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eit" sheetId="1" state="visible" r:id="rId1"/>
    <sheet xmlns:r="http://schemas.openxmlformats.org/officeDocument/2006/relationships" name="Normaal" sheetId="2" state="visible" r:id="rId2"/>
    <sheet xmlns:r="http://schemas.openxmlformats.org/officeDocument/2006/relationships" name="Sigma &amp; DPMO" sheetId="3" state="visible" r:id="rId3"/>
    <sheet xmlns:r="http://schemas.openxmlformats.org/officeDocument/2006/relationships" name="Varianties BI &amp; toetsen" sheetId="4" state="visible" r:id="rId4"/>
    <sheet xmlns:r="http://schemas.openxmlformats.org/officeDocument/2006/relationships" name="Confusion matrix" sheetId="5" state="visible" r:id="rId5"/>
    <sheet xmlns:r="http://schemas.openxmlformats.org/officeDocument/2006/relationships" name="Verdelingen" sheetId="6" state="visible" r:id="rId6"/>
    <sheet xmlns:r="http://schemas.openxmlformats.org/officeDocument/2006/relationships" name="Gemiddelde &amp; proportie" sheetId="7" state="visible" r:id="rId7"/>
    <sheet xmlns:r="http://schemas.openxmlformats.org/officeDocument/2006/relationships" name="Regelkaarten" sheetId="8" state="visible" r:id="rId8"/>
    <sheet xmlns:r="http://schemas.openxmlformats.org/officeDocument/2006/relationships" name="Gage R&amp;R" sheetId="9" state="visible" r:id="rId9"/>
    <sheet xmlns:r="http://schemas.openxmlformats.org/officeDocument/2006/relationships" name="Aanvaardingssteekproeven" sheetId="10" state="visible" r:id="rId10"/>
    <sheet xmlns:r="http://schemas.openxmlformats.org/officeDocument/2006/relationships" name="ANOVA (eenweg)" sheetId="11" state="visible" r:id="rId11"/>
    <sheet xmlns:r="http://schemas.openxmlformats.org/officeDocument/2006/relationships" name="DOE 2^k" sheetId="12" state="visible" r:id="rId12"/>
    <sheet xmlns:r="http://schemas.openxmlformats.org/officeDocument/2006/relationships" name="Regressie" sheetId="13" state="visible" r:id="rId13"/>
    <sheet xmlns:r="http://schemas.openxmlformats.org/officeDocument/2006/relationships" name="Voorwaardelijke kansen" sheetId="14" state="visible" r:id="rId14"/>
    <sheet xmlns:r="http://schemas.openxmlformats.org/officeDocument/2006/relationships" name="Extra (boeken)" sheetId="15" state="visible" r:id="rId15"/>
    <sheet xmlns:r="http://schemas.openxmlformats.org/officeDocument/2006/relationships" name="Tabellen" sheetId="16" state="visible" r:id="rId16"/>
  </sheets>
  <definedNames>
    <definedName name="T18_n">Tabellen!$A$14:$A$38</definedName>
    <definedName name="T18_A">Tabellen!$B$14:$B$38</definedName>
    <definedName name="T18_A0">Tabellen!$C$14:$C$38</definedName>
    <definedName name="T18_A1">Tabellen!$D$14:$D$38</definedName>
    <definedName name="T18_A2">Tabellen!$E$14:$E$38</definedName>
    <definedName name="T18_c2">Tabellen!$F$14:$F$38</definedName>
    <definedName name="T18_inv_c2">Tabellen!$G$14:$G$38</definedName>
    <definedName name="T18_B1">Tabellen!$H$14:$H$38</definedName>
    <definedName name="T18_B2">Tabellen!$I$14:$I$38</definedName>
    <definedName name="T18_B3">Tabellen!$J$14:$J$38</definedName>
    <definedName name="T18_B4">Tabellen!$K$14:$K$38</definedName>
    <definedName name="T18_d2">Tabellen!$L$14:$L$38</definedName>
    <definedName name="T18_inv_d2">Tabellen!$M$14:$M$38</definedName>
    <definedName name="T18_D1">Tabellen!$N$14:$N$38</definedName>
    <definedName name="T18_D2">Tabellen!$O$14:$O$38</definedName>
    <definedName name="T18_D3">Tabellen!$P$14:$P$38</definedName>
    <definedName name="T18_D4">Tabellen!$Q$14:$Q$38</definedName>
    <definedName name="TA_n">Tabellen!$A$44:$A$77</definedName>
    <definedName name="TA_d2">Tabellen!$B$44:$B$77</definedName>
    <definedName name="TA_c2">Tabellen!$C$44:$C$77</definedName>
    <definedName name="TA_c4">Tabellen!$D$44:$D$77</definedName>
    <definedName name="TA_d3">Tabellen!$E$44:$E$77</definedName>
    <definedName name="SSD1_n">Tabellen!$A$83:$A$107</definedName>
    <definedName name="SSD1_A">Tabellen!$B$83:$B$107</definedName>
    <definedName name="SSD1_A2">Tabellen!$C$83:$C$107</definedName>
    <definedName name="SSD1_A3">Tabellen!$D$83:$D$107</definedName>
    <definedName name="SSD1_c4">Tabellen!$E$83:$E$107</definedName>
    <definedName name="SSD1_inv_c4">Tabellen!$F$83:$F$107</definedName>
    <definedName name="SSD1_B3">Tabellen!$G$83:$G$107</definedName>
    <definedName name="SSD1_B4">Tabellen!$H$83:$H$107</definedName>
    <definedName name="SSD1_B5">Tabellen!$I$83:$I$107</definedName>
    <definedName name="SSD1_B6">Tabellen!$J$83:$J$107</definedName>
    <definedName name="SSD2_n">Tabellen!$A$113:$A$136</definedName>
    <definedName name="SSD2_d2">Tabellen!$B$113:$B$136</definedName>
    <definedName name="SSD2_inv_d2">Tabellen!$C$113:$C$136</definedName>
    <definedName name="SSD2_d3">Tabellen!$D$113:$D$136</definedName>
    <definedName name="SSD2_D1">Tabellen!$E$113:$E$136</definedName>
    <definedName name="SSD2_D2">Tabellen!$F$113:$F$136</definedName>
    <definedName name="SSD2_D3">Tabellen!$G$113:$G$136</definedName>
    <definedName name="SSD2_D4">Tabellen!$H$113:$H$136</definedName>
    <definedName name="SSD2_E2">Tabellen!$I$113:$I$136</definedName>
    <definedName name="MSA_d2star">Tabellen!$B$142:$T$161</definedName>
    <definedName name="MSA_m">Tabellen!$B$141:$T$141</definedName>
    <definedName name="MSA_g">Tabellen!$A$142:$A$161</definedName>
    <definedName name="MSA_nu">Tabellen!$B$164:$T$183</definedName>
    <definedName name="MSA_d2">Tabellen!$B$185:$T$185</definedName>
    <definedName name="MSA_cd">Tabellen!$B$186:$T$186</definedName>
    <definedName name="DUM_n">Tabellen!$A$194:$A$202</definedName>
    <definedName name="DUM_A2">Tabellen!$B$194:$B$202</definedName>
    <definedName name="DUM_A3">Tabellen!$C$194:$C$202</definedName>
    <definedName name="DUM_B3">Tabellen!$D$194:$D$202</definedName>
    <definedName name="DUM_B4">Tabellen!$E$194:$E$202</definedName>
    <definedName name="DUM_D3">Tabellen!$F$194:$F$202</definedName>
    <definedName name="DUM_D4">Tabellen!$G$194:$G$202</definedName>
    <definedName name="DUM_E2">Tabellen!$H$194:$H$202</definedName>
  </definedNames>
  <calcPr calcId="124519" fullCalcOnLoad="1"/>
</workbook>
</file>

<file path=xl/styles.xml><?xml version="1.0" encoding="utf-8"?>
<styleSheet xmlns="http://schemas.openxmlformats.org/spreadsheetml/2006/main">
  <numFmts count="14">
    <numFmt numFmtId="164" formatCode="0.000"/>
    <numFmt numFmtId="165" formatCode="0.0000"/>
    <numFmt numFmtId="166" formatCode="0.00000"/>
    <numFmt numFmtId="167" formatCode="0.0"/>
    <numFmt numFmtId="168" formatCode="0.0000%"/>
    <numFmt numFmtId="169" formatCode="#,##0.0"/>
    <numFmt numFmtId="170" formatCode="0.00000%"/>
    <numFmt numFmtId="171" formatCode="0.0000000%"/>
    <numFmt numFmtId="172" formatCode="0.000000000"/>
    <numFmt numFmtId="173" formatCode="#,##0.000"/>
    <numFmt numFmtId="174" formatCode="0.000000"/>
    <numFmt numFmtId="175" formatCode="0.0000000000"/>
    <numFmt numFmtId="176" formatCode="0.000000%"/>
    <numFmt numFmtId="177" formatCode="0.0000000000%"/>
  </numFmts>
  <fonts count="11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color rgb="000000FF"/>
      <sz val="10"/>
    </font>
    <font>
      <name val="Arial"/>
      <b val="1"/>
      <color rgb="00C00000"/>
      <sz val="10"/>
    </font>
    <font>
      <name val="Arial"/>
      <i val="1"/>
      <color rgb="00C00000"/>
      <sz val="10"/>
    </font>
    <font>
      <name val="Arial"/>
      <color rgb="000563C1"/>
      <sz val="10"/>
    </font>
    <font>
      <name val="Arial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5" fillId="0" borderId="0" pivotButton="0" quotePrefix="0" xfId="0"/>
    <xf numFmtId="0" fontId="3" fillId="0" borderId="0" pivotButton="0" quotePrefix="0" xfId="0"/>
    <xf numFmtId="0" fontId="6" fillId="4" borderId="1" pivotButton="0" quotePrefix="0" xfId="0"/>
    <xf numFmtId="0" fontId="4" fillId="0" borderId="0" pivotButton="0" quotePrefix="0" xfId="0"/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3" fillId="5" borderId="1" pivotButton="0" quotePrefix="0" xfId="0"/>
    <xf numFmtId="164" fontId="3" fillId="5" borderId="1" pivotButton="0" quotePrefix="0" xfId="0"/>
    <xf numFmtId="0" fontId="3" fillId="5" borderId="1" pivotButton="0" quotePrefix="0" xfId="0"/>
    <xf numFmtId="168" fontId="3" fillId="5" borderId="1" pivotButton="0" quotePrefix="0" xfId="0"/>
    <xf numFmtId="169" fontId="3" fillId="5" borderId="1" pivotButton="0" quotePrefix="0" xfId="0"/>
    <xf numFmtId="167" fontId="3" fillId="5" borderId="1" pivotButton="0" quotePrefix="0" xfId="0"/>
    <xf numFmtId="170" fontId="3" fillId="5" borderId="1" pivotButton="0" quotePrefix="0" xfId="0"/>
    <xf numFmtId="171" fontId="3" fillId="5" borderId="1" pivotButton="0" quotePrefix="0" xfId="0"/>
    <xf numFmtId="0" fontId="2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165" fontId="6" fillId="4" borderId="1" pivotButton="0" quotePrefix="0" xfId="0"/>
    <xf numFmtId="172" fontId="3" fillId="5" borderId="1" pivotButton="0" quotePrefix="0" xfId="0"/>
    <xf numFmtId="169" fontId="6" fillId="4" borderId="1" pivotButton="0" quotePrefix="0" xfId="0"/>
    <xf numFmtId="173" fontId="3" fillId="5" borderId="1" pivotButton="0" quotePrefix="0" xfId="0"/>
    <xf numFmtId="0" fontId="6" fillId="4" borderId="0" pivotButton="0" quotePrefix="0" xfId="0"/>
    <xf numFmtId="174" fontId="6" fillId="4" borderId="1" pivotButton="0" quotePrefix="0" xfId="0"/>
    <xf numFmtId="1" fontId="3" fillId="5" borderId="1" pivotButton="0" quotePrefix="0" xfId="0"/>
    <xf numFmtId="174" fontId="3" fillId="5" borderId="1" pivotButton="0" quotePrefix="0" xfId="0"/>
    <xf numFmtId="175" fontId="3" fillId="5" borderId="1" pivotButton="0" quotePrefix="0" xfId="0"/>
    <xf numFmtId="0" fontId="7" fillId="0" borderId="0" applyAlignment="1" pivotButton="0" quotePrefix="0" xfId="0">
      <alignment vertical="top"/>
    </xf>
    <xf numFmtId="1" fontId="6" fillId="4" borderId="1" pivotButton="0" quotePrefix="0" xfId="0"/>
    <xf numFmtId="10" fontId="3" fillId="5" borderId="1" pivotButton="0" quotePrefix="0" xfId="0"/>
    <xf numFmtId="0" fontId="8" fillId="0" borderId="0" pivotButton="0" quotePrefix="0" xfId="0"/>
    <xf numFmtId="176" fontId="3" fillId="5" borderId="1" pivotButton="0" quotePrefix="0" xfId="0"/>
    <xf numFmtId="0" fontId="0" fillId="5" borderId="0" pivotButton="0" quotePrefix="0" xfId="0"/>
    <xf numFmtId="2" fontId="6" fillId="4" borderId="1" pivotButton="0" quotePrefix="0" xfId="0"/>
    <xf numFmtId="0" fontId="9" fillId="0" borderId="0" pivotButton="0" quotePrefix="0" xfId="0"/>
    <xf numFmtId="166" fontId="3" fillId="0" borderId="1" pivotButton="0" quotePrefix="0" xfId="0"/>
    <xf numFmtId="166" fontId="3" fillId="5" borderId="1" pivotButton="0" quotePrefix="0" xfId="0"/>
    <xf numFmtId="9" fontId="2" fillId="0" borderId="1" pivotButton="0" quotePrefix="0" xfId="0"/>
    <xf numFmtId="0" fontId="10" fillId="0" borderId="0" pivotButton="0" quotePrefix="0" xfId="0"/>
    <xf numFmtId="2" fontId="3" fillId="5" borderId="1" pivotButton="0" quotePrefix="0" xfId="0"/>
    <xf numFmtId="0" fontId="2" fillId="5" borderId="1" pivotButton="0" quotePrefix="0" xfId="0"/>
    <xf numFmtId="165" fontId="2" fillId="5" borderId="1" pivotButton="0" quotePrefix="0" xfId="0"/>
    <xf numFmtId="177" fontId="3" fillId="5" borderId="1" pivotButton="0" quotePrefix="0" xfId="0"/>
    <xf numFmtId="1" fontId="3" fillId="0" borderId="1" pivotButton="0" quotePrefix="0" xfId="0"/>
    <xf numFmtId="164" fontId="3" fillId="0" borderId="1" pivotButton="0" quotePrefix="0" xfId="0"/>
    <xf numFmtId="164" fontId="3" fillId="3" borderId="1" pivotButton="0" quotePrefix="0" xfId="0"/>
    <xf numFmtId="165" fontId="3" fillId="3" borderId="1" pivotButton="0" quotePrefix="0" xfId="0"/>
    <xf numFmtId="0" fontId="3" fillId="0" borderId="1" pivotButton="0" quotePrefix="0" xfId="0"/>
    <xf numFmtId="0" fontId="0" fillId="0" borderId="1" pivotButton="0" quotePrefix="0" xfId="0"/>
    <xf numFmtId="167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omments/comment1.xml><?xml version="1.0" encoding="utf-8"?>
<comments xmlns="http://schemas.openxmlformats.org/spreadsheetml/2006/main">
  <authors>
    <author>bbtools</author>
  </authors>
  <commentList>
    <comment ref="Q15" authorId="0" shapeId="0">
      <text>
        <t>Andere gedrukte bronnen: SSD2: 2.574; DUM: 2.574</t>
      </text>
    </comment>
    <comment ref="Q17" authorId="0" shapeId="0">
      <text>
        <t>Andere gedrukte bronnen: SSD2: 2.114; DUM: 2.114</t>
      </text>
    </comment>
    <comment ref="N19" authorId="0" shapeId="0">
      <text>
        <t>Andere gedrukte bronnen: SSD2: 0.204</t>
      </text>
    </comment>
    <comment ref="O19" authorId="0" shapeId="0">
      <text>
        <t>Andere gedrukte bronnen: SSD2: 5.204</t>
      </text>
    </comment>
    <comment ref="N20" authorId="0" shapeId="0">
      <text>
        <t>Andere gedrukte bronnen: SSD2: 0.388</t>
      </text>
    </comment>
    <comment ref="O20" authorId="0" shapeId="0">
      <text>
        <t>Andere gedrukte bronnen: SSD2: 5.306</t>
      </text>
    </comment>
    <comment ref="N21" authorId="0" shapeId="0">
      <text>
        <t>Andere gedrukte bronnen: SSD2: 0.547</t>
      </text>
    </comment>
    <comment ref="O21" authorId="0" shapeId="0">
      <text>
        <t>Andere gedrukte bronnen: SSD2: 5.393</t>
      </text>
    </comment>
    <comment ref="N23" authorId="0" shapeId="0">
      <text>
        <t>Andere gedrukte bronnen: SSD2: 0.811</t>
      </text>
    </comment>
    <comment ref="O23" authorId="0" shapeId="0">
      <text>
        <t>Andere gedrukte bronnen: SSD2: 5.535</t>
      </text>
    </comment>
    <comment ref="N24" authorId="0" shapeId="0">
      <text>
        <t>Andere gedrukte bronnen: SSD2: 0.922</t>
      </text>
    </comment>
    <comment ref="O24" authorId="0" shapeId="0">
      <text>
        <t>Andere gedrukte bronnen: SSD2: 5.594</t>
      </text>
    </comment>
    <comment ref="P24" authorId="0" shapeId="0">
      <text>
        <t>Andere gedrukte bronnen: SSD2: 0.283</t>
      </text>
    </comment>
    <comment ref="Q24" authorId="0" shapeId="0">
      <text>
        <t>Andere gedrukte bronnen: SSD2: 1.717</t>
      </text>
    </comment>
    <comment ref="N25" authorId="0" shapeId="0">
      <text>
        <t>Andere gedrukte bronnen: SSD2: 1.025</t>
      </text>
    </comment>
    <comment ref="O25" authorId="0" shapeId="0">
      <text>
        <t>Andere gedrukte bronnen: SSD2: 5.647</t>
      </text>
    </comment>
    <comment ref="P25" authorId="0" shapeId="0">
      <text>
        <t>Andere gedrukte bronnen: SSD2: 0.307</t>
      </text>
    </comment>
    <comment ref="Q25" authorId="0" shapeId="0">
      <text>
        <t>Andere gedrukte bronnen: SSD2: 1.693</t>
      </text>
    </comment>
    <comment ref="N26" authorId="0" shapeId="0">
      <text>
        <t>Andere gedrukte bronnen: SSD2: 1.118</t>
      </text>
    </comment>
    <comment ref="O26" authorId="0" shapeId="0">
      <text>
        <t>Andere gedrukte bronnen: SSD2: 5.696</t>
      </text>
    </comment>
    <comment ref="P26" authorId="0" shapeId="0">
      <text>
        <t>Andere gedrukte bronnen: SSD2: 0.328</t>
      </text>
    </comment>
    <comment ref="Q26" authorId="0" shapeId="0">
      <text>
        <t>Andere gedrukte bronnen: SSD2: 1.672</t>
      </text>
    </comment>
    <comment ref="N27" authorId="0" shapeId="0">
      <text>
        <t>Andere gedrukte bronnen: SSD2: 1.203</t>
      </text>
    </comment>
    <comment ref="O27" authorId="0" shapeId="0">
      <text>
        <t>Andere gedrukte bronnen: SSD2: 5.741</t>
      </text>
    </comment>
    <comment ref="P27" authorId="0" shapeId="0">
      <text>
        <t>Andere gedrukte bronnen: SSD2: 0.347</t>
      </text>
    </comment>
    <comment ref="Q27" authorId="0" shapeId="0">
      <text>
        <t>Andere gedrukte bronnen: SSD2: 1.653</t>
      </text>
    </comment>
    <comment ref="N28" authorId="0" shapeId="0">
      <text>
        <t>Andere gedrukte bronnen: SSD2: 1.282</t>
      </text>
    </comment>
    <comment ref="O28" authorId="0" shapeId="0">
      <text>
        <t>Andere gedrukte bronnen: SSD2: 5.782</t>
      </text>
    </comment>
    <comment ref="P28" authorId="0" shapeId="0">
      <text>
        <t>Andere gedrukte bronnen: SSD2: 0.363</t>
      </text>
    </comment>
    <comment ref="Q28" authorId="0" shapeId="0">
      <text>
        <t>Andere gedrukte bronnen: SSD2: 1.637</t>
      </text>
    </comment>
    <comment ref="N29" authorId="0" shapeId="0">
      <text>
        <t>Andere gedrukte bronnen: SSD2: 1.356</t>
      </text>
    </comment>
    <comment ref="O29" authorId="0" shapeId="0">
      <text>
        <t>Andere gedrukte bronnen: SSD2: 5.820</t>
      </text>
    </comment>
    <comment ref="P29" authorId="0" shapeId="0">
      <text>
        <t>Andere gedrukte bronnen: SSD2: 0.378</t>
      </text>
    </comment>
    <comment ref="Q29" authorId="0" shapeId="0">
      <text>
        <t>Andere gedrukte bronnen: SSD2: 1.622</t>
      </text>
    </comment>
    <comment ref="N30" authorId="0" shapeId="0">
      <text>
        <t>Andere gedrukte bronnen: SSD2: 1.424</t>
      </text>
    </comment>
    <comment ref="O30" authorId="0" shapeId="0">
      <text>
        <t>Andere gedrukte bronnen: SSD2: 5.856</t>
      </text>
    </comment>
    <comment ref="P30" authorId="0" shapeId="0">
      <text>
        <t>Andere gedrukte bronnen: SSD2: 0.391</t>
      </text>
    </comment>
    <comment ref="N31" authorId="0" shapeId="0">
      <text>
        <t>Andere gedrukte bronnen: SSD2: 1.487</t>
      </text>
    </comment>
    <comment ref="O31" authorId="0" shapeId="0">
      <text>
        <t>Andere gedrukte bronnen: SSD2: 5.891</t>
      </text>
    </comment>
    <comment ref="P31" authorId="0" shapeId="0">
      <text>
        <t>Andere gedrukte bronnen: SSD2: 0.403</t>
      </text>
    </comment>
    <comment ref="Q31" authorId="0" shapeId="0">
      <text>
        <t>Andere gedrukte bronnen: SSD2: 1.597</t>
      </text>
    </comment>
    <comment ref="N32" authorId="0" shapeId="0">
      <text>
        <t>Andere gedrukte bronnen: SSD2: 1.549</t>
      </text>
    </comment>
    <comment ref="O32" authorId="0" shapeId="0">
      <text>
        <t>Andere gedrukte bronnen: SSD2: 5.921</t>
      </text>
    </comment>
    <comment ref="P32" authorId="0" shapeId="0">
      <text>
        <t>Andere gedrukte bronnen: SSD2: 0.415</t>
      </text>
    </comment>
    <comment ref="Q32" authorId="0" shapeId="0">
      <text>
        <t>Andere gedrukte bronnen: SSD2: 1.585</t>
      </text>
    </comment>
    <comment ref="N33" authorId="0" shapeId="0">
      <text>
        <t>Andere gedrukte bronnen: SSD2: 1.605</t>
      </text>
    </comment>
    <comment ref="O33" authorId="0" shapeId="0">
      <text>
        <t>Andere gedrukte bronnen: SSD2: 5.951</t>
      </text>
    </comment>
    <comment ref="P36" authorId="0" shapeId="0">
      <text>
        <t>Andere gedrukte bronnen: SSD2: 0.451</t>
      </text>
    </comment>
    <comment ref="F37" authorId="0" shapeId="0">
      <text>
        <t>Andere gedrukte bronnen: TA: 0.9695</t>
      </text>
    </comment>
    <comment ref="N37" authorId="0" shapeId="0">
      <text>
        <t>Andere gedrukte bronnen: SSD2: 1.806</t>
      </text>
    </comment>
    <comment ref="O37" authorId="0" shapeId="0">
      <text>
        <t>Andere gedrukte bronnen: SSD2: 6.056</t>
      </text>
    </comment>
    <comment ref="E54" authorId="0" shapeId="0">
      <text>
        <t>Andere gedrukte bronnen: SSD2: 0.778</t>
      </text>
    </comment>
    <comment ref="E63" authorId="0" shapeId="0">
      <text>
        <t>Andere gedrukte bronnen: SSD2: 0.724</t>
      </text>
    </comment>
    <comment ref="C67" authorId="0" shapeId="0">
      <text>
        <t>Andere gedrukte bronnen: T18: 0.9696</t>
      </text>
    </comment>
    <comment ref="A84" authorId="0" shapeId="0">
      <text>
        <t>Zo gedrukt in de bron (een losse rij na n = 2). Geen subgroepgrootte; nooit gebruikt.</t>
      </text>
    </comment>
    <comment ref="I113" authorId="0" shapeId="0">
      <text>
        <t>Andere gedrukte bronnen: DUM: 2.659</t>
      </text>
    </comment>
    <comment ref="H114" authorId="0" shapeId="0">
      <text>
        <t>Andere gedrukte bronnen: T18: 2.575; DUM: 2.574</t>
      </text>
    </comment>
    <comment ref="H116" authorId="0" shapeId="0">
      <text>
        <t>Andere gedrukte bronnen: T18: 2.115; DUM: 2.114</t>
      </text>
    </comment>
    <comment ref="E118" authorId="0" shapeId="0">
      <text>
        <t>Andere gedrukte bronnen: T18: 0.205</t>
      </text>
    </comment>
    <comment ref="F118" authorId="0" shapeId="0">
      <text>
        <t>Andere gedrukte bronnen: T18: 5.203</t>
      </text>
    </comment>
    <comment ref="E119" authorId="0" shapeId="0">
      <text>
        <t>Andere gedrukte bronnen: T18: 0.387</t>
      </text>
    </comment>
    <comment ref="F119" authorId="0" shapeId="0">
      <text>
        <t>Andere gedrukte bronnen: T18: 5.307</t>
      </text>
    </comment>
    <comment ref="E120" authorId="0" shapeId="0">
      <text>
        <t>Andere gedrukte bronnen: T18: 0.546</t>
      </text>
    </comment>
    <comment ref="F120" authorId="0" shapeId="0">
      <text>
        <t>Andere gedrukte bronnen: T18: 5.394</t>
      </text>
    </comment>
    <comment ref="E122" authorId="0" shapeId="0">
      <text>
        <t>Andere gedrukte bronnen: T18: 0.812</t>
      </text>
    </comment>
    <comment ref="F122" authorId="0" shapeId="0">
      <text>
        <t>Andere gedrukte bronnen: T18: 5.534</t>
      </text>
    </comment>
    <comment ref="D123" authorId="0" shapeId="0">
      <text>
        <t>Andere gedrukte bronnen: TA: 0.7785</t>
      </text>
    </comment>
    <comment ref="E123" authorId="0" shapeId="0">
      <text>
        <t>Andere gedrukte bronnen: T18: 0.924</t>
      </text>
    </comment>
    <comment ref="F123" authorId="0" shapeId="0">
      <text>
        <t>Andere gedrukte bronnen: T18: 5.592</t>
      </text>
    </comment>
    <comment ref="G123" authorId="0" shapeId="0">
      <text>
        <t>Andere gedrukte bronnen: T18: 0.284</t>
      </text>
    </comment>
    <comment ref="H123" authorId="0" shapeId="0">
      <text>
        <t>Andere gedrukte bronnen: T18: 1.716</t>
      </text>
    </comment>
    <comment ref="E124" authorId="0" shapeId="0">
      <text>
        <t>Andere gedrukte bronnen: T18: 1.026</t>
      </text>
    </comment>
    <comment ref="F124" authorId="0" shapeId="0">
      <text>
        <t>Andere gedrukte bronnen: T18: 5.646</t>
      </text>
    </comment>
    <comment ref="G124" authorId="0" shapeId="0">
      <text>
        <t>Andere gedrukte bronnen: T18: 0.308</t>
      </text>
    </comment>
    <comment ref="H124" authorId="0" shapeId="0">
      <text>
        <t>Andere gedrukte bronnen: T18: 1.692</t>
      </text>
    </comment>
    <comment ref="E125" authorId="0" shapeId="0">
      <text>
        <t>Andere gedrukte bronnen: T18: 1.121</t>
      </text>
    </comment>
    <comment ref="F125" authorId="0" shapeId="0">
      <text>
        <t>Andere gedrukte bronnen: T18: 5.693</t>
      </text>
    </comment>
    <comment ref="G125" authorId="0" shapeId="0">
      <text>
        <t>Andere gedrukte bronnen: T18: 0.329</t>
      </text>
    </comment>
    <comment ref="H125" authorId="0" shapeId="0">
      <text>
        <t>Andere gedrukte bronnen: T18: 1.671</t>
      </text>
    </comment>
    <comment ref="E126" authorId="0" shapeId="0">
      <text>
        <t>Andere gedrukte bronnen: T18: 1.207</t>
      </text>
    </comment>
    <comment ref="F126" authorId="0" shapeId="0">
      <text>
        <t>Andere gedrukte bronnen: T18: 5.737</t>
      </text>
    </comment>
    <comment ref="G126" authorId="0" shapeId="0">
      <text>
        <t>Andere gedrukte bronnen: T18: 0.348</t>
      </text>
    </comment>
    <comment ref="H126" authorId="0" shapeId="0">
      <text>
        <t>Andere gedrukte bronnen: T18: 1.652</t>
      </text>
    </comment>
    <comment ref="E127" authorId="0" shapeId="0">
      <text>
        <t>Andere gedrukte bronnen: T18: 1.285</t>
      </text>
    </comment>
    <comment ref="F127" authorId="0" shapeId="0">
      <text>
        <t>Andere gedrukte bronnen: T18: 5.779</t>
      </text>
    </comment>
    <comment ref="G127" authorId="0" shapeId="0">
      <text>
        <t>Andere gedrukte bronnen: T18: 0.364</t>
      </text>
    </comment>
    <comment ref="H127" authorId="0" shapeId="0">
      <text>
        <t>Andere gedrukte bronnen: T18: 1.636</t>
      </text>
    </comment>
    <comment ref="E128" authorId="0" shapeId="0">
      <text>
        <t>Andere gedrukte bronnen: T18: 1.359</t>
      </text>
    </comment>
    <comment ref="F128" authorId="0" shapeId="0">
      <text>
        <t>Andere gedrukte bronnen: T18: 5.817</t>
      </text>
    </comment>
    <comment ref="G128" authorId="0" shapeId="0">
      <text>
        <t>Andere gedrukte bronnen: T18: 0.379</t>
      </text>
    </comment>
    <comment ref="H128" authorId="0" shapeId="0">
      <text>
        <t>Andere gedrukte bronnen: T18: 1.621</t>
      </text>
    </comment>
    <comment ref="E129" authorId="0" shapeId="0">
      <text>
        <t>Andere gedrukte bronnen: T18: 1.426</t>
      </text>
    </comment>
    <comment ref="F129" authorId="0" shapeId="0">
      <text>
        <t>Andere gedrukte bronnen: T18: 5.854</t>
      </text>
    </comment>
    <comment ref="G129" authorId="0" shapeId="0">
      <text>
        <t>Andere gedrukte bronnen: T18: 0.392</t>
      </text>
    </comment>
    <comment ref="E130" authorId="0" shapeId="0">
      <text>
        <t>Andere gedrukte bronnen: T18: 1.490</t>
      </text>
    </comment>
    <comment ref="F130" authorId="0" shapeId="0">
      <text>
        <t>Andere gedrukte bronnen: T18: 5.888</t>
      </text>
    </comment>
    <comment ref="G130" authorId="0" shapeId="0">
      <text>
        <t>Andere gedrukte bronnen: T18: 0.404</t>
      </text>
    </comment>
    <comment ref="H130" authorId="0" shapeId="0">
      <text>
        <t>Andere gedrukte bronnen: T18: 1.596</t>
      </text>
    </comment>
    <comment ref="E131" authorId="0" shapeId="0">
      <text>
        <t>Andere gedrukte bronnen: T18: 1.548</t>
      </text>
    </comment>
    <comment ref="F131" authorId="0" shapeId="0">
      <text>
        <t>Andere gedrukte bronnen: T18: 5.922</t>
      </text>
    </comment>
    <comment ref="G131" authorId="0" shapeId="0">
      <text>
        <t>Andere gedrukte bronnen: T18: 0.414</t>
      </text>
    </comment>
    <comment ref="H131" authorId="0" shapeId="0">
      <text>
        <t>Andere gedrukte bronnen: T18: 1.586</t>
      </text>
    </comment>
    <comment ref="D132" authorId="0" shapeId="0">
      <text>
        <t>Andere gedrukte bronnen: TA: 0.7272</t>
      </text>
    </comment>
    <comment ref="E132" authorId="0" shapeId="0">
      <text>
        <t>Andere gedrukte bronnen: T18: 1.606</t>
      </text>
    </comment>
    <comment ref="F132" authorId="0" shapeId="0">
      <text>
        <t>Andere gedrukte bronnen: T18: 5.950</t>
      </text>
    </comment>
    <comment ref="G135" authorId="0" shapeId="0">
      <text>
        <t>Andere gedrukte bronnen: T18: 0.452</t>
      </text>
    </comment>
    <comment ref="E136" authorId="0" shapeId="0">
      <text>
        <t>Andere gedrukte bronnen: T18: 1.804</t>
      </text>
    </comment>
    <comment ref="F136" authorId="0" shapeId="0">
      <text>
        <t>Andere gedrukte bronnen: T18: 6.058</t>
      </text>
    </comment>
    <comment ref="H194" authorId="0" shapeId="0">
      <text>
        <t>Andere gedrukte bronnen: SSD2: 2.660</t>
      </text>
    </comment>
    <comment ref="G195" authorId="0" shapeId="0">
      <text>
        <t>Andere gedrukte bronnen: T18: 2.575; SSD2: 2.574</t>
      </text>
    </comment>
    <comment ref="G197" authorId="0" shapeId="0">
      <text>
        <t>Andere gedrukte bronnen: T18: 2.115; SSD2: 2.114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hyperlink" Target="#'Gage R&amp;R'!A12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Voorwaardelijke kansen'!A25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3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2" customWidth="1" min="15" max="15"/>
    <col width="2" customWidth="1" min="16" max="16"/>
    <col width="10" customWidth="1" min="17" max="17"/>
    <col width="44" customWidth="1" min="18" max="18"/>
    <col width="60" customWidth="1" min="19" max="19"/>
  </cols>
  <sheetData>
    <row r="1">
      <c r="A1" s="1" t="inlineStr">
        <is>
          <t>Procescapabiliteit (process capability): Cp, Cpk (Pp, Ppk) en % buiten specificatie (out of spec)</t>
        </is>
      </c>
    </row>
    <row r="2">
      <c r="A2" s="2" t="inlineStr">
        <is>
          <t>Bron in de cursus</t>
        </is>
      </c>
      <c r="B2" s="3" t="inlineStr">
        <is>
          <t>source/course/Les 4/2026 Lean - Six Sigma v13 - Capabiliteit - SPC.pdf p. 18-21, 32-47, 50, 64, 83; ___4.1 tabellen SPC.pdf p. 1-2; __Xbar R kaart data - berekeningen oefening 2.xlsx</t>
        </is>
      </c>
    </row>
    <row r="3">
      <c r="A3" s="2" t="inlineStr">
        <is>
          <t>Gebruikte conventie</t>
        </is>
      </c>
      <c r="B3" s="3" t="inlineStr">
        <is>
          <t>Beslissingen 1-2: één resultaatrij per σ-schatting die de cursus gebruikt (er wordt niet voor je gekozen); het '6 sigma'-criterium in beide lezingen van de cursus.</t>
        </is>
      </c>
    </row>
    <row r="4">
      <c r="A4" s="2" t="inlineStr">
        <is>
          <t>Status</t>
        </is>
      </c>
      <c r="B4" s="4" t="inlineStr">
        <is>
          <t>GEVERIFIEERD (VERIFIED): getest tegen de uitgewerkte voorbeelden S06-WE01, S06-WE02, S06-WE04, S06-WE07, S06-WE08, S06-WE12, S06-WE13 uit de cursus; enkele gedrukte waarden op deck p. 46 en 50 wijken af van de berekening (zie resources/build/README.md)</t>
        </is>
      </c>
    </row>
    <row r="5">
      <c r="A5" s="2" t="inlineStr">
        <is>
          <t>Legende</t>
        </is>
      </c>
      <c r="B5" s="3" t="inlineStr">
        <is>
          <t>Gele cel = vul hier in (invoer).  Groene cel = resultaat, niet overtypen.  Oranje cel (Tabellen) = verschilt van een andere gedrukte bron.</t>
        </is>
      </c>
    </row>
    <row r="6">
      <c r="A6" s="2" t="inlineStr">
        <is>
          <t>Controle</t>
        </is>
      </c>
      <c r="B6" s="3" t="inlineStr">
        <is>
          <t>Blijft een groene cel leeg, dan ontbreekt nog een invoer die ze nodig heeft.</t>
        </is>
      </c>
    </row>
    <row r="8">
      <c r="A8" s="5" t="inlineStr">
        <is>
          <t>1. Specificatie en proces</t>
        </is>
      </c>
    </row>
    <row r="9">
      <c r="A9" s="6" t="inlineStr">
        <is>
          <t>Onderste specificatiegrens LSL (lower specification limit)</t>
        </is>
      </c>
      <c r="B9" s="7" t="n"/>
      <c r="C9" s="8" t="inlineStr">
        <is>
          <t>leeg laten bij een eenzijdige specificatie</t>
        </is>
      </c>
    </row>
    <row r="10">
      <c r="A10" s="6" t="inlineStr">
        <is>
          <t>Bovenste specificatiegrens USL (upper specification limit)</t>
        </is>
      </c>
      <c r="B10" s="7" t="n"/>
      <c r="C10" s="8" t="inlineStr">
        <is>
          <t>leeg laten bij een eenzijdige specificatie</t>
        </is>
      </c>
    </row>
    <row r="11">
      <c r="A11" s="6" t="inlineStr">
        <is>
          <t>Procesgemiddelde x̄, of het gemiddelde van de subgroepgemiddelden (X̿)</t>
        </is>
      </c>
      <c r="B11" s="7" t="n"/>
      <c r="C11" s="8" t="inlineStr"/>
    </row>
    <row r="12">
      <c r="A12" s="9">
        <f>IF(AND(ISNUMBER(B9),ISNUMBER(B10),B10&lt;=B9),"Controle: USL moet boven LSL liggen","")</f>
        <v/>
      </c>
    </row>
    <row r="13">
      <c r="A13" s="5" t="inlineStr">
        <is>
          <t>2. Spreiding: vul alleen in wat de vraag geeft. Elke ingevulde lijn krijgt haar eigen resultaatrij in deel 3.</t>
        </is>
      </c>
    </row>
    <row r="14">
      <c r="A14" s="6" t="inlineStr">
        <is>
          <t>σ gegeven in de vraag</t>
        </is>
      </c>
      <c r="B14" s="7" t="n"/>
      <c r="C14" s="8" t="inlineStr">
        <is>
          <t>bv. 'standaardafwijking van 10 mm'</t>
        </is>
      </c>
    </row>
    <row r="15">
      <c r="A15" s="6" t="inlineStr">
        <is>
          <t>R̄ (R-bar) = gemiddelde spreidingsbreedte (range) van de subgroepen</t>
        </is>
      </c>
      <c r="B15" s="7" t="n"/>
      <c r="C15" s="8" t="inlineStr">
        <is>
          <t>heeft n hieronder nodig</t>
        </is>
      </c>
    </row>
    <row r="16">
      <c r="A16" s="6" t="inlineStr">
        <is>
          <t>s̄ (s-bar) = gemiddelde standaardafwijking van de subgroepen</t>
        </is>
      </c>
      <c r="B16" s="7" t="n"/>
      <c r="C16" s="8" t="inlineStr">
        <is>
          <t>heeft n hieronder nodig voor s̄ / c4</t>
        </is>
      </c>
    </row>
    <row r="17">
      <c r="A17" s="6" t="inlineStr">
        <is>
          <t>n = subgroepgrootte (voor R̄ en s̄)</t>
        </is>
      </c>
      <c r="B17" s="7" t="n"/>
      <c r="C17" s="8" t="inlineStr">
        <is>
          <t>2 tot 25 (Tabel 18); Tabel A ook 30-100</t>
        </is>
      </c>
    </row>
    <row r="18">
      <c r="A18" s="6" t="inlineStr">
        <is>
          <t>s = totale standaardafwijking van alle waarden (overall, STDEV.S)</t>
        </is>
      </c>
      <c r="B18" s="7" t="n"/>
      <c r="C18" s="8" t="inlineStr">
        <is>
          <t>lange termijn</t>
        </is>
      </c>
    </row>
    <row r="19">
      <c r="A19" s="8" t="inlineStr">
        <is>
          <t>MR̄ / 1,128 (individuele waarden) komt alleen uit Six Sigma For Dummies: zie blad 'Extra (boeken)'.</t>
        </is>
      </c>
    </row>
    <row r="21">
      <c r="A21" s="5" t="inlineStr">
        <is>
          <t>3. Resultaten: één rij per spreidingsschatting (een rij blijft leeg tot haar invoer is ingevuld)</t>
        </is>
      </c>
    </row>
    <row r="22" ht="42" customHeight="1">
      <c r="A22" s="10" t="inlineStr">
        <is>
          <t>Spreidingsschatting</t>
        </is>
      </c>
      <c r="B22" s="10" t="inlineStr">
        <is>
          <t>Gebruikte σ</t>
        </is>
      </c>
      <c r="C22" s="10" t="inlineStr">
        <is>
          <t>Cp  (laatste rij: Pp)</t>
        </is>
      </c>
      <c r="D22" s="10" t="inlineStr">
        <is>
          <t>Cp-niveau (deck p. 40)</t>
        </is>
      </c>
      <c r="E22" s="10" t="inlineStr">
        <is>
          <t>Cpu = (USL − gemiddelde) / 3σ</t>
        </is>
      </c>
      <c r="F22" s="10" t="inlineStr">
        <is>
          <t>Cpl = (gemiddelde − LSL) / 3σ</t>
        </is>
      </c>
      <c r="G22" s="10" t="inlineStr">
        <is>
          <t>Cpk = min(Cpu, Cpl)  (laatste rij: Ppk)</t>
        </is>
      </c>
      <c r="H22" s="10" t="inlineStr">
        <is>
          <t>Cpk ≥ 1,33, goed (good)? (deck p. 41; oefening 2)</t>
        </is>
      </c>
      <c r="I22" s="10" t="inlineStr">
        <is>
          <t>Z: LSL ligt … σ onder het gemiddelde</t>
        </is>
      </c>
      <c r="J22" s="10" t="inlineStr">
        <is>
          <t>Z: USL ligt … σ boven het gemiddelde</t>
        </is>
      </c>
      <c r="K22" s="10" t="inlineStr">
        <is>
          <t>% onder LSL</t>
        </is>
      </c>
      <c r="L22" s="10" t="inlineStr">
        <is>
          <t>% boven USL</t>
        </is>
      </c>
      <c r="M22" s="10" t="inlineStr">
        <is>
          <t>% buiten specificatie, totaal</t>
        </is>
      </c>
      <c r="N22" s="10" t="inlineStr">
        <is>
          <t>ppm buiten specificatie, totaal</t>
        </is>
      </c>
      <c r="O22" s="10" t="inlineStr"/>
      <c r="P22" s="10" t="inlineStr"/>
      <c r="Q22" s="10" t="inlineStr">
        <is>
          <t>Gebruikte constante</t>
        </is>
      </c>
      <c r="R22" s="10" t="inlineStr">
        <is>
          <t>Welke constante</t>
        </is>
      </c>
      <c r="S22" s="10" t="inlineStr">
        <is>
          <t>Bron in de cursus</t>
        </is>
      </c>
    </row>
    <row r="23">
      <c r="A23" s="6" t="inlineStr">
        <is>
          <t>σ gegeven in de vraag</t>
        </is>
      </c>
      <c r="B23" s="11">
        <f>IF(AND(ISNUMBER($B$9),ISNUMBER($B$10),$B$10&lt;=$B$9),"",IF(ISNUMBER(B14),B14,""))</f>
        <v/>
      </c>
      <c r="C23" s="12">
        <f>IF(AND(ISNUMBER(B23),ISNUMBER($B$9),ISNUMBER($B$10)),($B$10-$B$9)/(6*B23),"")</f>
        <v/>
      </c>
      <c r="D23" s="13">
        <f>IF(ISNUMBER(C23),IF(C23&gt;=$B$43,"6 Sigma-kwaliteitsniveau (6 Sigma quality level)",IF(C23&gt;=$B$42,"goed (good)",IF(C23&gt;=$B$41,"acceptabel (acceptable)",IF(C23&gt;=$B$40,"net capabel (just capable)","niet capabel (not capable)")))),"")</f>
        <v/>
      </c>
      <c r="E23" s="12">
        <f>IF(AND(ISNUMBER(B23),ISNUMBER($B$10),ISNUMBER($B$11)),($B$10-$B$11)/(3*B23),"")</f>
        <v/>
      </c>
      <c r="F23" s="12">
        <f>IF(AND(ISNUMBER(B23),ISNUMBER($B$9),ISNUMBER($B$11)),($B$11-$B$9)/(3*B23),"")</f>
        <v/>
      </c>
      <c r="G23" s="12">
        <f>IF(AND(ISNUMBER(E23),ISNUMBER(F23)),MIN(E23,F23),IF(ISNUMBER(E23),E23,IF(ISNUMBER(F23),F23,"")))</f>
        <v/>
      </c>
      <c r="H23" s="13">
        <f>IF(ISNUMBER(G23),IF(G23&gt;=$B$45,"ja","nee"),"")</f>
        <v/>
      </c>
      <c r="I23" s="12">
        <f>IF(AND(ISNUMBER(B23),ISNUMBER($B$9),ISNUMBER($B$11)),($B$11-$B$9)/B23,"")</f>
        <v/>
      </c>
      <c r="J23" s="12">
        <f>IF(AND(ISNUMBER(B23),ISNUMBER($B$10),ISNUMBER($B$11)),($B$10-$B$11)/B23,"")</f>
        <v/>
      </c>
      <c r="K23" s="14">
        <f>IF(ISNUMBER(I23),_xlfn.NORM.S.DIST(-I23,TRUE),"")</f>
        <v/>
      </c>
      <c r="L23" s="14">
        <f>IF(ISNUMBER(J23),_xlfn.NORM.S.DIST(-J23,TRUE),"")</f>
        <v/>
      </c>
      <c r="M23" s="14">
        <f>IF(OR(ISNUMBER(K23),ISNUMBER(L23)),SUM(K23,L23),"")</f>
        <v/>
      </c>
      <c r="N23" s="15">
        <f>IF(ISNUMBER(M23),M23*1000000,"")</f>
        <v/>
      </c>
      <c r="R23" s="8" t="inlineStr"/>
      <c r="S23" s="8" t="inlineStr">
        <is>
          <t>de vraag</t>
        </is>
      </c>
    </row>
    <row r="24">
      <c r="A24" s="6" t="inlineStr">
        <is>
          <t>R̄ / d2  (korte termijn: Cp, Cpk)</t>
        </is>
      </c>
      <c r="B24" s="11">
        <f>IF(AND(ISNUMBER($B$9),ISNUMBER($B$10),$B$10&lt;=$B$9),"",IF(AND(ISNUMBER(B15),ISNUMBER(Q24)),B15/Q24,""))</f>
        <v/>
      </c>
      <c r="C24" s="12">
        <f>IF(AND(ISNUMBER(B24),ISNUMBER($B$9),ISNUMBER($B$10)),($B$10-$B$9)/(6*B24),"")</f>
        <v/>
      </c>
      <c r="D24" s="13">
        <f>IF(ISNUMBER(C24),IF(C24&gt;=$B$43,"6 Sigma-kwaliteitsniveau (6 Sigma quality level)",IF(C24&gt;=$B$42,"goed (good)",IF(C24&gt;=$B$41,"acceptabel (acceptable)",IF(C24&gt;=$B$40,"net capabel (just capable)","niet capabel (not capable)")))),"")</f>
        <v/>
      </c>
      <c r="E24" s="12">
        <f>IF(AND(ISNUMBER(B24),ISNUMBER($B$10),ISNUMBER($B$11)),($B$10-$B$11)/(3*B24),"")</f>
        <v/>
      </c>
      <c r="F24" s="12">
        <f>IF(AND(ISNUMBER(B24),ISNUMBER($B$9),ISNUMBER($B$11)),($B$11-$B$9)/(3*B24),"")</f>
        <v/>
      </c>
      <c r="G24" s="12">
        <f>IF(AND(ISNUMBER(E24),ISNUMBER(F24)),MIN(E24,F24),IF(ISNUMBER(E24),E24,IF(ISNUMBER(F24),F24,"")))</f>
        <v/>
      </c>
      <c r="H24" s="13">
        <f>IF(ISNUMBER(G24),IF(G24&gt;=$B$45,"ja","nee"),"")</f>
        <v/>
      </c>
      <c r="I24" s="12">
        <f>IF(AND(ISNUMBER(B24),ISNUMBER($B$9),ISNUMBER($B$11)),($B$11-$B$9)/B24,"")</f>
        <v/>
      </c>
      <c r="J24" s="12">
        <f>IF(AND(ISNUMBER(B24),ISNUMBER($B$10),ISNUMBER($B$11)),($B$10-$B$11)/B24,"")</f>
        <v/>
      </c>
      <c r="K24" s="14">
        <f>IF(ISNUMBER(I24),_xlfn.NORM.S.DIST(-I24,TRUE),"")</f>
        <v/>
      </c>
      <c r="L24" s="14">
        <f>IF(ISNUMBER(J24),_xlfn.NORM.S.DIST(-J24,TRUE),"")</f>
        <v/>
      </c>
      <c r="M24" s="14">
        <f>IF(OR(ISNUMBER(K24),ISNUMBER(L24)),SUM(K24,L24),"")</f>
        <v/>
      </c>
      <c r="N24" s="15">
        <f>IF(ISNUMBER(M24),M24*1000000,"")</f>
        <v/>
      </c>
      <c r="Q24" s="11">
        <f>IF(AND(ISNUMBER(B15),ISNUMBER(B17)),IFERROR(INDEX(T18_d2,MATCH(B17,T18_n,0)),"n niet in Tabel 18"),"")</f>
        <v/>
      </c>
      <c r="R24" s="8" t="inlineStr">
        <is>
          <t>d2 voor n, Tabel 18 (___4.1 tabellen SPC.pdf p. 2)</t>
        </is>
      </c>
      <c r="S24" s="8" t="inlineStr">
        <is>
          <t>deck p. 64 (sprekersnotities); oefenwerkboeken oefening 2, 3, 5</t>
        </is>
      </c>
    </row>
    <row r="25">
      <c r="A25" s="6" t="inlineStr">
        <is>
          <t>s̄ rechtstreeks gebruikt  (zoals deck p. 46)</t>
        </is>
      </c>
      <c r="B25" s="11">
        <f>IF(AND(ISNUMBER($B$9),ISNUMBER($B$10),$B$10&lt;=$B$9),"",IF(ISNUMBER(B16),B16,""))</f>
        <v/>
      </c>
      <c r="C25" s="12">
        <f>IF(AND(ISNUMBER(B25),ISNUMBER($B$9),ISNUMBER($B$10)),($B$10-$B$9)/(6*B25),"")</f>
        <v/>
      </c>
      <c r="D25" s="13">
        <f>IF(ISNUMBER(C25),IF(C25&gt;=$B$43,"6 Sigma-kwaliteitsniveau (6 Sigma quality level)",IF(C25&gt;=$B$42,"goed (good)",IF(C25&gt;=$B$41,"acceptabel (acceptable)",IF(C25&gt;=$B$40,"net capabel (just capable)","niet capabel (not capable)")))),"")</f>
        <v/>
      </c>
      <c r="E25" s="12">
        <f>IF(AND(ISNUMBER(B25),ISNUMBER($B$10),ISNUMBER($B$11)),($B$10-$B$11)/(3*B25),"")</f>
        <v/>
      </c>
      <c r="F25" s="12">
        <f>IF(AND(ISNUMBER(B25),ISNUMBER($B$9),ISNUMBER($B$11)),($B$11-$B$9)/(3*B25),"")</f>
        <v/>
      </c>
      <c r="G25" s="12">
        <f>IF(AND(ISNUMBER(E25),ISNUMBER(F25)),MIN(E25,F25),IF(ISNUMBER(E25),E25,IF(ISNUMBER(F25),F25,"")))</f>
        <v/>
      </c>
      <c r="H25" s="13">
        <f>IF(ISNUMBER(G25),IF(G25&gt;=$B$45,"ja","nee"),"")</f>
        <v/>
      </c>
      <c r="I25" s="12">
        <f>IF(AND(ISNUMBER(B25),ISNUMBER($B$9),ISNUMBER($B$11)),($B$11-$B$9)/B25,"")</f>
        <v/>
      </c>
      <c r="J25" s="12">
        <f>IF(AND(ISNUMBER(B25),ISNUMBER($B$10),ISNUMBER($B$11)),($B$10-$B$11)/B25,"")</f>
        <v/>
      </c>
      <c r="K25" s="14">
        <f>IF(ISNUMBER(I25),_xlfn.NORM.S.DIST(-I25,TRUE),"")</f>
        <v/>
      </c>
      <c r="L25" s="14">
        <f>IF(ISNUMBER(J25),_xlfn.NORM.S.DIST(-J25,TRUE),"")</f>
        <v/>
      </c>
      <c r="M25" s="14">
        <f>IF(OR(ISNUMBER(K25),ISNUMBER(L25)),SUM(K25,L25),"")</f>
        <v/>
      </c>
      <c r="N25" s="15">
        <f>IF(ISNUMBER(M25),M25*1000000,"")</f>
        <v/>
      </c>
      <c r="R25" s="8" t="inlineStr"/>
      <c r="S25" s="8" t="inlineStr">
        <is>
          <t>deck p. 46 (Cp = (72,8 − 71,4)/(6 · 0,2))</t>
        </is>
      </c>
    </row>
    <row r="26">
      <c r="A26" s="6" t="inlineStr">
        <is>
          <t>s̄ / c4  (zuiver, unbiased; Tabel A)</t>
        </is>
      </c>
      <c r="B26" s="11">
        <f>IF(AND(ISNUMBER($B$9),ISNUMBER($B$10),$B$10&lt;=$B$9),"",IF(AND(ISNUMBER(B16),ISNUMBER(Q26)),B16/Q26,""))</f>
        <v/>
      </c>
      <c r="C26" s="12">
        <f>IF(AND(ISNUMBER(B26),ISNUMBER($B$9),ISNUMBER($B$10)),($B$10-$B$9)/(6*B26),"")</f>
        <v/>
      </c>
      <c r="D26" s="13">
        <f>IF(ISNUMBER(C26),IF(C26&gt;=$B$43,"6 Sigma-kwaliteitsniveau (6 Sigma quality level)",IF(C26&gt;=$B$42,"goed (good)",IF(C26&gt;=$B$41,"acceptabel (acceptable)",IF(C26&gt;=$B$40,"net capabel (just capable)","niet capabel (not capable)")))),"")</f>
        <v/>
      </c>
      <c r="E26" s="12">
        <f>IF(AND(ISNUMBER(B26),ISNUMBER($B$10),ISNUMBER($B$11)),($B$10-$B$11)/(3*B26),"")</f>
        <v/>
      </c>
      <c r="F26" s="12">
        <f>IF(AND(ISNUMBER(B26),ISNUMBER($B$9),ISNUMBER($B$11)),($B$11-$B$9)/(3*B26),"")</f>
        <v/>
      </c>
      <c r="G26" s="12">
        <f>IF(AND(ISNUMBER(E26),ISNUMBER(F26)),MIN(E26,F26),IF(ISNUMBER(E26),E26,IF(ISNUMBER(F26),F26,"")))</f>
        <v/>
      </c>
      <c r="H26" s="13">
        <f>IF(ISNUMBER(G26),IF(G26&gt;=$B$45,"ja","nee"),"")</f>
        <v/>
      </c>
      <c r="I26" s="12">
        <f>IF(AND(ISNUMBER(B26),ISNUMBER($B$9),ISNUMBER($B$11)),($B$11-$B$9)/B26,"")</f>
        <v/>
      </c>
      <c r="J26" s="12">
        <f>IF(AND(ISNUMBER(B26),ISNUMBER($B$10),ISNUMBER($B$11)),($B$10-$B$11)/B26,"")</f>
        <v/>
      </c>
      <c r="K26" s="14">
        <f>IF(ISNUMBER(I26),_xlfn.NORM.S.DIST(-I26,TRUE),"")</f>
        <v/>
      </c>
      <c r="L26" s="14">
        <f>IF(ISNUMBER(J26),_xlfn.NORM.S.DIST(-J26,TRUE),"")</f>
        <v/>
      </c>
      <c r="M26" s="14">
        <f>IF(OR(ISNUMBER(K26),ISNUMBER(L26)),SUM(K26,L26),"")</f>
        <v/>
      </c>
      <c r="N26" s="15">
        <f>IF(ISNUMBER(M26),M26*1000000,"")</f>
        <v/>
      </c>
      <c r="Q26" s="11">
        <f>IF(AND(ISNUMBER(B16),ISNUMBER(B17)),IFERROR(INDEX(TA_c4,MATCH(B17,TA_n,0)),"n niet in Tabel A"),"")</f>
        <v/>
      </c>
      <c r="R26" s="8" t="inlineStr">
        <is>
          <t>c4 voor n, Tabel A (___4.1 tabellen SPC.pdf p. 1)</t>
        </is>
      </c>
      <c r="S26" s="8" t="inlineStr">
        <is>
          <t>___4.1 tabellen SPC.pdf p. 1 ('An unbiased est. of SD(X) = s̄/c4')</t>
        </is>
      </c>
    </row>
    <row r="27">
      <c r="A27" s="6" t="inlineStr">
        <is>
          <t>totale s (overall; lange termijn: dit zijn Pp, Ppk)</t>
        </is>
      </c>
      <c r="B27" s="11">
        <f>IF(AND(ISNUMBER($B$9),ISNUMBER($B$10),$B$10&lt;=$B$9),"",IF(ISNUMBER(B18),B18,""))</f>
        <v/>
      </c>
      <c r="C27" s="12">
        <f>IF(AND(ISNUMBER(B27),ISNUMBER($B$9),ISNUMBER($B$10)),($B$10-$B$9)/(6*B27),"")</f>
        <v/>
      </c>
      <c r="D27" s="13">
        <f>IF(ISNUMBER(C27),IF(C27&gt;=$B$43,"6 Sigma-kwaliteitsniveau (6 Sigma quality level)",IF(C27&gt;=$B$42,"goed (good)",IF(C27&gt;=$B$41,"acceptabel (acceptable)",IF(C27&gt;=$B$40,"net capabel (just capable)","niet capabel (not capable)")))),"")</f>
        <v/>
      </c>
      <c r="E27" s="12">
        <f>IF(AND(ISNUMBER(B27),ISNUMBER($B$10),ISNUMBER($B$11)),($B$10-$B$11)/(3*B27),"")</f>
        <v/>
      </c>
      <c r="F27" s="12">
        <f>IF(AND(ISNUMBER(B27),ISNUMBER($B$9),ISNUMBER($B$11)),($B$11-$B$9)/(3*B27),"")</f>
        <v/>
      </c>
      <c r="G27" s="12">
        <f>IF(AND(ISNUMBER(E27),ISNUMBER(F27)),MIN(E27,F27),IF(ISNUMBER(E27),E27,IF(ISNUMBER(F27),F27,"")))</f>
        <v/>
      </c>
      <c r="H27" s="13">
        <f>IF(ISNUMBER(G27),IF(G27&gt;=$B$45,"ja","nee"),"")</f>
        <v/>
      </c>
      <c r="I27" s="12">
        <f>IF(AND(ISNUMBER(B27),ISNUMBER($B$9),ISNUMBER($B$11)),($B$11-$B$9)/B27,"")</f>
        <v/>
      </c>
      <c r="J27" s="12">
        <f>IF(AND(ISNUMBER(B27),ISNUMBER($B$10),ISNUMBER($B$11)),($B$10-$B$11)/B27,"")</f>
        <v/>
      </c>
      <c r="K27" s="14">
        <f>IF(ISNUMBER(I27),_xlfn.NORM.S.DIST(-I27,TRUE),"")</f>
        <v/>
      </c>
      <c r="L27" s="14">
        <f>IF(ISNUMBER(J27),_xlfn.NORM.S.DIST(-J27,TRUE),"")</f>
        <v/>
      </c>
      <c r="M27" s="14">
        <f>IF(OR(ISNUMBER(K27),ISNUMBER(L27)),SUM(K27,L27),"")</f>
        <v/>
      </c>
      <c r="N27" s="15">
        <f>IF(ISNUMBER(M27),M27*1000000,"")</f>
        <v/>
      </c>
      <c r="R27" s="8" t="inlineStr"/>
      <c r="S27" s="8" t="inlineStr">
        <is>
          <t>deck p. 33</t>
        </is>
      </c>
    </row>
    <row r="30">
      <c r="A30" s="5" t="inlineStr">
        <is>
          <t>4. Het '6 sigma'-criterium: het maximum buiten specificatie. De cursus gebruikt twee lezingen.</t>
        </is>
      </c>
    </row>
    <row r="31">
      <c r="A31" s="10" t="inlineStr">
        <is>
          <t>Lezing</t>
        </is>
      </c>
      <c r="B31" s="10" t="inlineStr">
        <is>
          <t>Gebruikte Z</t>
        </is>
      </c>
      <c r="C31" s="10" t="inlineStr">
        <is>
          <t>Max % buiten specificatie</t>
        </is>
      </c>
      <c r="D31" s="10" t="inlineStr">
        <is>
          <t>Max ppm</t>
        </is>
      </c>
      <c r="E31" s="10" t="inlineStr">
        <is>
          <t>Bron in de cursus</t>
        </is>
      </c>
    </row>
    <row r="32">
      <c r="A32" s="6" t="inlineStr">
        <is>
          <t>Lange termijn, met de 1,5σ-verschuiving (1.5σ shift): één staart voorbij Z = 6 − 1,5</t>
        </is>
      </c>
      <c r="B32" s="16">
        <f>B36-B35</f>
        <v/>
      </c>
      <c r="C32" s="17">
        <f>_xlfn.NORM.S.DIST(-B32,TRUE)</f>
        <v/>
      </c>
      <c r="D32" s="16">
        <f>C32*1000000</f>
        <v/>
      </c>
      <c r="E32" s="8" t="inlineStr">
        <is>
          <t>deck p. 21 (tabel: 6 -&gt; 3,4 DPMO), 37 (+ notities)</t>
        </is>
      </c>
    </row>
    <row r="33">
      <c r="A33" s="6" t="inlineStr">
        <is>
          <t>Korte termijn, gecentreerd proces met Cp = 2: beide staarten voorbij ±6σ</t>
        </is>
      </c>
      <c r="B33" s="16">
        <f>B36</f>
        <v/>
      </c>
      <c r="C33" s="18">
        <f>2*_xlfn.NORM.S.DIST(-B33,TRUE)</f>
        <v/>
      </c>
      <c r="D33" s="12">
        <f>C33*1000000</f>
        <v/>
      </c>
      <c r="E33" s="8" t="inlineStr">
        <is>
          <t>deck p. 40: 'CP = 2  6 Sigma quality level – 2 defect per billion of opportunities (short term)'</t>
        </is>
      </c>
    </row>
    <row r="35">
      <c r="A35" s="6" t="inlineStr">
        <is>
          <t>Verschuiving die de cursus aanneemt (σ)</t>
        </is>
      </c>
      <c r="B35" s="19" t="n">
        <v>1.5</v>
      </c>
      <c r="C35" s="8" t="inlineStr">
        <is>
          <t>deck p. 37</t>
        </is>
      </c>
    </row>
    <row r="36">
      <c r="A36" s="6" t="inlineStr">
        <is>
          <t>Six sigma: afstand van het gemiddelde tot de specificatie (σ)</t>
        </is>
      </c>
      <c r="B36" s="19" t="n">
        <v>6</v>
      </c>
      <c r="C36" s="8" t="inlineStr">
        <is>
          <t>deck p. 40 (CP = 2: 6 Sigma quality level)</t>
        </is>
      </c>
    </row>
    <row r="38">
      <c r="A38" s="5" t="inlineStr">
        <is>
          <t>5. Interpretatiedrempels gebruikt in kolommen D en H</t>
        </is>
      </c>
    </row>
    <row r="39">
      <c r="A39" s="8" t="inlineStr">
        <is>
          <t>CP &lt; 1: het proces is niet capabel (not capable)</t>
        </is>
      </c>
    </row>
    <row r="40">
      <c r="A40" s="6" t="inlineStr">
        <is>
          <t>Cp ≥ dit: net capabel (just capable)</t>
        </is>
      </c>
      <c r="B40" s="19" t="n">
        <v>1</v>
      </c>
      <c r="C40" s="8" t="inlineStr">
        <is>
          <t>deck p. 40 ('CP = 1 The process is just capable')</t>
        </is>
      </c>
    </row>
    <row r="41">
      <c r="A41" s="6" t="inlineStr">
        <is>
          <t>Cp ≥ dit: acceptabel (acceptable)</t>
        </is>
      </c>
      <c r="B41" s="19" t="n">
        <v>1.33</v>
      </c>
      <c r="C41" s="8" t="inlineStr">
        <is>
          <t>deck p. 40 ('CP &gt;= 1.33 The capability of the process is acceptable')</t>
        </is>
      </c>
    </row>
    <row r="42">
      <c r="A42" s="6" t="inlineStr">
        <is>
          <t>Cp ≥ dit: goed (good)</t>
        </is>
      </c>
      <c r="B42" s="19" t="n">
        <v>1.67</v>
      </c>
      <c r="C42" s="8" t="inlineStr">
        <is>
          <t>deck p. 40 ('CP &gt;= 1.67 The capability of the process is good')</t>
        </is>
      </c>
    </row>
    <row r="43">
      <c r="A43" s="6" t="inlineStr">
        <is>
          <t>Cp ≥ dit: 6 Sigma-kwaliteitsniveau (6 Sigma quality level)</t>
        </is>
      </c>
      <c r="B43" s="19" t="n">
        <v>2</v>
      </c>
      <c r="C43" s="8" t="inlineStr">
        <is>
          <t>deck p. 40 ('CP = 2 6 Sigma quality level')</t>
        </is>
      </c>
    </row>
    <row r="45">
      <c r="A45" s="6" t="inlineStr">
        <is>
          <t>Cpk ≥ dit: goed (good)</t>
        </is>
      </c>
      <c r="B45" s="19" t="n">
        <v>1.33</v>
      </c>
      <c r="C45" s="8" t="inlineStr">
        <is>
          <t>deck p. 41 (figuur: Cpk 1,33 'Good'); __Xbar R kaart data - berekeningen oefening 2.xlsx ('Cpk: 1,33 = good')</t>
        </is>
      </c>
    </row>
    <row r="47">
      <c r="A47" s="5" t="inlineStr">
        <is>
          <t>6. Capabiliteit verbeteren (cursus)</t>
        </is>
      </c>
    </row>
    <row r="48">
      <c r="A48" s="6" t="inlineStr">
        <is>
          <t>Centreer het proces (gemiddelde naar het midden van LSL en USL): Cpk stijgt tot Cp. Deck p. 36, 42-45, 46.</t>
        </is>
      </c>
    </row>
    <row r="49">
      <c r="A49" s="6" t="inlineStr">
        <is>
          <t>Verklein de variatie (σ): Cp en Cpk stijgen allebei. Deck p. 22, 36.</t>
        </is>
      </c>
    </row>
    <row r="51">
      <c r="A51" s="20" t="inlineStr">
        <is>
          <t>Constanten die dit blad gebruikt (σ̂ = R̄/d2 en σ̂ = s̄/c4)</t>
        </is>
      </c>
    </row>
    <row r="52">
      <c r="A52" s="8" t="inlineStr">
        <is>
          <t>Bron: d2 uit Table 18 (___4.1 tabellen SPC.pdf p. 2); c4 uit Table A (___4.1 tabellen SPC.pdf p. 1). Alle bronnen naast elkaar: blad Tabellen.</t>
        </is>
      </c>
    </row>
    <row r="53">
      <c r="A53" s="10" t="inlineStr">
        <is>
          <t>n</t>
        </is>
      </c>
      <c r="B53" s="10" t="inlineStr">
        <is>
          <t>d2</t>
        </is>
      </c>
      <c r="C53" s="10" t="inlineStr">
        <is>
          <t>c4</t>
        </is>
      </c>
    </row>
    <row r="54">
      <c r="A54" s="19" t="n">
        <v>2</v>
      </c>
      <c r="B54" s="21">
        <f>IFERROR(INDEX(T18_d2,MATCH(A54,T18_n,0)),"")</f>
        <v/>
      </c>
      <c r="C54" s="21">
        <f>IFERROR(INDEX(TA_c4,MATCH(A54,TA_n,0)),"")</f>
        <v/>
      </c>
    </row>
    <row r="55">
      <c r="A55" s="19" t="n">
        <v>3</v>
      </c>
      <c r="B55" s="21">
        <f>IFERROR(INDEX(T18_d2,MATCH(A55,T18_n,0)),"")</f>
        <v/>
      </c>
      <c r="C55" s="21">
        <f>IFERROR(INDEX(TA_c4,MATCH(A55,TA_n,0)),"")</f>
        <v/>
      </c>
    </row>
    <row r="56">
      <c r="A56" s="19" t="n">
        <v>4</v>
      </c>
      <c r="B56" s="21">
        <f>IFERROR(INDEX(T18_d2,MATCH(A56,T18_n,0)),"")</f>
        <v/>
      </c>
      <c r="C56" s="21">
        <f>IFERROR(INDEX(TA_c4,MATCH(A56,TA_n,0)),"")</f>
        <v/>
      </c>
    </row>
    <row r="57">
      <c r="A57" s="19" t="n">
        <v>5</v>
      </c>
      <c r="B57" s="21">
        <f>IFERROR(INDEX(T18_d2,MATCH(A57,T18_n,0)),"")</f>
        <v/>
      </c>
      <c r="C57" s="21">
        <f>IFERROR(INDEX(TA_c4,MATCH(A57,TA_n,0)),"")</f>
        <v/>
      </c>
    </row>
    <row r="58">
      <c r="A58" s="19" t="n">
        <v>6</v>
      </c>
      <c r="B58" s="21">
        <f>IFERROR(INDEX(T18_d2,MATCH(A58,T18_n,0)),"")</f>
        <v/>
      </c>
      <c r="C58" s="21">
        <f>IFERROR(INDEX(TA_c4,MATCH(A58,TA_n,0)),"")</f>
        <v/>
      </c>
    </row>
    <row r="59">
      <c r="A59" s="19" t="n">
        <v>7</v>
      </c>
      <c r="B59" s="21">
        <f>IFERROR(INDEX(T18_d2,MATCH(A59,T18_n,0)),"")</f>
        <v/>
      </c>
      <c r="C59" s="21">
        <f>IFERROR(INDEX(TA_c4,MATCH(A59,TA_n,0)),"")</f>
        <v/>
      </c>
    </row>
    <row r="60">
      <c r="A60" s="19" t="n">
        <v>8</v>
      </c>
      <c r="B60" s="21">
        <f>IFERROR(INDEX(T18_d2,MATCH(A60,T18_n,0)),"")</f>
        <v/>
      </c>
      <c r="C60" s="21">
        <f>IFERROR(INDEX(TA_c4,MATCH(A60,TA_n,0)),"")</f>
        <v/>
      </c>
    </row>
    <row r="61">
      <c r="A61" s="19" t="n">
        <v>9</v>
      </c>
      <c r="B61" s="21">
        <f>IFERROR(INDEX(T18_d2,MATCH(A61,T18_n,0)),"")</f>
        <v/>
      </c>
      <c r="C61" s="21">
        <f>IFERROR(INDEX(TA_c4,MATCH(A61,TA_n,0)),"")</f>
        <v/>
      </c>
    </row>
    <row r="62">
      <c r="A62" s="19" t="n">
        <v>10</v>
      </c>
      <c r="B62" s="21">
        <f>IFERROR(INDEX(T18_d2,MATCH(A62,T18_n,0)),"")</f>
        <v/>
      </c>
      <c r="C62" s="21">
        <f>IFERROR(INDEX(TA_c4,MATCH(A62,TA_n,0)),"")</f>
        <v/>
      </c>
    </row>
    <row r="63">
      <c r="A63" s="19" t="n">
        <v>11</v>
      </c>
      <c r="B63" s="21">
        <f>IFERROR(INDEX(T18_d2,MATCH(A63,T18_n,0)),"")</f>
        <v/>
      </c>
      <c r="C63" s="21">
        <f>IFERROR(INDEX(TA_c4,MATCH(A63,TA_n,0)),"")</f>
        <v/>
      </c>
    </row>
    <row r="64">
      <c r="A64" s="19" t="n">
        <v>12</v>
      </c>
      <c r="B64" s="21">
        <f>IFERROR(INDEX(T18_d2,MATCH(A64,T18_n,0)),"")</f>
        <v/>
      </c>
      <c r="C64" s="21">
        <f>IFERROR(INDEX(TA_c4,MATCH(A64,TA_n,0)),"")</f>
        <v/>
      </c>
    </row>
    <row r="65">
      <c r="A65" s="19" t="n">
        <v>13</v>
      </c>
      <c r="B65" s="21">
        <f>IFERROR(INDEX(T18_d2,MATCH(A65,T18_n,0)),"")</f>
        <v/>
      </c>
      <c r="C65" s="21">
        <f>IFERROR(INDEX(TA_c4,MATCH(A65,TA_n,0)),"")</f>
        <v/>
      </c>
    </row>
    <row r="66">
      <c r="A66" s="19" t="n">
        <v>14</v>
      </c>
      <c r="B66" s="21">
        <f>IFERROR(INDEX(T18_d2,MATCH(A66,T18_n,0)),"")</f>
        <v/>
      </c>
      <c r="C66" s="21">
        <f>IFERROR(INDEX(TA_c4,MATCH(A66,TA_n,0)),"")</f>
        <v/>
      </c>
    </row>
    <row r="67">
      <c r="A67" s="19" t="n">
        <v>15</v>
      </c>
      <c r="B67" s="21">
        <f>IFERROR(INDEX(T18_d2,MATCH(A67,T18_n,0)),"")</f>
        <v/>
      </c>
      <c r="C67" s="21">
        <f>IFERROR(INDEX(TA_c4,MATCH(A67,TA_n,0)),"")</f>
        <v/>
      </c>
    </row>
    <row r="68">
      <c r="A68" s="19" t="n">
        <v>16</v>
      </c>
      <c r="B68" s="21">
        <f>IFERROR(INDEX(T18_d2,MATCH(A68,T18_n,0)),"")</f>
        <v/>
      </c>
      <c r="C68" s="21">
        <f>IFERROR(INDEX(TA_c4,MATCH(A68,TA_n,0)),"")</f>
        <v/>
      </c>
    </row>
    <row r="69">
      <c r="A69" s="19" t="n">
        <v>17</v>
      </c>
      <c r="B69" s="21">
        <f>IFERROR(INDEX(T18_d2,MATCH(A69,T18_n,0)),"")</f>
        <v/>
      </c>
      <c r="C69" s="21">
        <f>IFERROR(INDEX(TA_c4,MATCH(A69,TA_n,0)),"")</f>
        <v/>
      </c>
    </row>
    <row r="70">
      <c r="A70" s="19" t="n">
        <v>18</v>
      </c>
      <c r="B70" s="21">
        <f>IFERROR(INDEX(T18_d2,MATCH(A70,T18_n,0)),"")</f>
        <v/>
      </c>
      <c r="C70" s="21">
        <f>IFERROR(INDEX(TA_c4,MATCH(A70,TA_n,0)),"")</f>
        <v/>
      </c>
    </row>
    <row r="71">
      <c r="A71" s="19" t="n">
        <v>19</v>
      </c>
      <c r="B71" s="21">
        <f>IFERROR(INDEX(T18_d2,MATCH(A71,T18_n,0)),"")</f>
        <v/>
      </c>
      <c r="C71" s="21">
        <f>IFERROR(INDEX(TA_c4,MATCH(A71,TA_n,0)),"")</f>
        <v/>
      </c>
    </row>
    <row r="72">
      <c r="A72" s="19" t="n">
        <v>20</v>
      </c>
      <c r="B72" s="21">
        <f>IFERROR(INDEX(T18_d2,MATCH(A72,T18_n,0)),"")</f>
        <v/>
      </c>
      <c r="C72" s="21">
        <f>IFERROR(INDEX(TA_c4,MATCH(A72,TA_n,0)),"")</f>
        <v/>
      </c>
    </row>
    <row r="73">
      <c r="A73" s="19" t="n">
        <v>21</v>
      </c>
      <c r="B73" s="21">
        <f>IFERROR(INDEX(T18_d2,MATCH(A73,T18_n,0)),"")</f>
        <v/>
      </c>
      <c r="C73" s="21">
        <f>IFERROR(INDEX(TA_c4,MATCH(A73,TA_n,0)),"")</f>
        <v/>
      </c>
    </row>
    <row r="74">
      <c r="A74" s="19" t="n">
        <v>22</v>
      </c>
      <c r="B74" s="21">
        <f>IFERROR(INDEX(T18_d2,MATCH(A74,T18_n,0)),"")</f>
        <v/>
      </c>
      <c r="C74" s="21">
        <f>IFERROR(INDEX(TA_c4,MATCH(A74,TA_n,0)),"")</f>
        <v/>
      </c>
    </row>
    <row r="75">
      <c r="A75" s="19" t="n">
        <v>23</v>
      </c>
      <c r="B75" s="21">
        <f>IFERROR(INDEX(T18_d2,MATCH(A75,T18_n,0)),"")</f>
        <v/>
      </c>
      <c r="C75" s="21">
        <f>IFERROR(INDEX(TA_c4,MATCH(A75,TA_n,0)),"")</f>
        <v/>
      </c>
    </row>
    <row r="76">
      <c r="A76" s="19" t="n">
        <v>24</v>
      </c>
      <c r="B76" s="21">
        <f>IFERROR(INDEX(T18_d2,MATCH(A76,T18_n,0)),"")</f>
        <v/>
      </c>
      <c r="C76" s="21">
        <f>IFERROR(INDEX(TA_c4,MATCH(A76,TA_n,0)),"")</f>
        <v/>
      </c>
    </row>
    <row r="77">
      <c r="A77" s="19" t="n">
        <v>25</v>
      </c>
      <c r="B77" s="21">
        <f>IFERROR(INDEX(T18_d2,MATCH(A77,T18_n,0)),"")</f>
        <v/>
      </c>
      <c r="C77" s="21">
        <f>IFERROR(INDEX(TA_c4,MATCH(A77,TA_n,0)),"")</f>
        <v/>
      </c>
    </row>
  </sheetData>
  <dataValidations count="2">
    <dataValidation sqref="B14 B15 B16 B18" showDropDown="0" showInputMessage="0" showErrorMessage="1" allowBlank="1" errorTitle="Spreiding moet positief zijn" error="σ, R̄, s̄ en s moeten groter zijn dan 0." type="decimal" operator="greaterThan">
      <formula1>0</formula1>
    </dataValidation>
    <dataValidation sqref="B17" showDropDown="0" showInputMessage="0" showErrorMessage="1" allowBlank="1" errorTitle="Subgroepgrootte" error="n is een geheel getal, 2 tot 100." type="whole" operator="between">
      <formula1>2</formula1>
      <formula2>100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20" customWidth="1" min="4" max="4"/>
  </cols>
  <sheetData>
    <row r="1">
      <c r="A1" s="1" t="inlineStr">
        <is>
          <t>Normale verdeling (normal distribution): kansen, waarden, μ ± kσ, σ of gemiddelde uit een staartfractie</t>
        </is>
      </c>
    </row>
    <row r="2">
      <c r="A2" s="2" t="inlineStr">
        <is>
          <t>Bron in de cursus</t>
        </is>
      </c>
      <c r="B2" s="3" t="inlineStr">
        <is>
          <t>source/course/Les 4/2026 Lean - Six Sigma v13 - Capabiliteit - SPC.pdf p. 16-19, 27; ___1.1 Ztable.pdf; ___1.2 statistische functionaliteit in excel.pdf p. 1-3; __NormVerdeling Excel functies.xlsx</t>
        </is>
      </c>
    </row>
    <row r="3">
      <c r="A3" s="2" t="inlineStr">
        <is>
          <t>Gebruikte conventie</t>
        </is>
      </c>
      <c r="B3" s="3" t="inlineStr">
        <is>
          <t>De normale functies van Excel zoals de cursus ze gebruikt (NORM.DIST = NORM.VERD, NORM.INV); kansen zijn fracties, weergegeven als %.</t>
        </is>
      </c>
    </row>
    <row r="4">
      <c r="A4" s="2" t="inlineStr">
        <is>
          <t>Status</t>
        </is>
      </c>
      <c r="B4" s="4" t="inlineStr">
        <is>
          <t>GEVERIFIEERD (VERIFIED): getest tegen de uitgewerkte cursusvoorbeelden (worked examples) S06-WE09 (werkmap NORM.INV / NORM.VERD) en S06-WE10 (notities bij deck p. 19), de 68-95-99,7-regel (deck p. 19) en de Z-tabel van de cursus</t>
        </is>
      </c>
    </row>
    <row r="5">
      <c r="A5" s="2" t="inlineStr">
        <is>
          <t>Legende</t>
        </is>
      </c>
      <c r="B5" s="3" t="inlineStr">
        <is>
          <t>Gele cel = vul hier in (invoer).  Groene cel = resultaat, niet overtypen.  Oranje cel (Tabellen) = verschilt van een andere gedrukte bron.</t>
        </is>
      </c>
    </row>
    <row r="6">
      <c r="A6" s="2" t="inlineStr">
        <is>
          <t>Controle</t>
        </is>
      </c>
      <c r="B6" s="3" t="inlineStr">
        <is>
          <t>Blijft een groene cel leeg, dan ontbreekt nog een invoer die ze nodig heeft.</t>
        </is>
      </c>
    </row>
    <row r="8">
      <c r="A8" s="5" t="inlineStr">
        <is>
          <t>1. De verdeling</t>
        </is>
      </c>
    </row>
    <row r="9">
      <c r="A9" s="6" t="inlineStr">
        <is>
          <t>Gemiddelde (mean) μ</t>
        </is>
      </c>
      <c r="B9" s="7" t="n"/>
      <c r="C9" s="8" t="inlineStr">
        <is>
          <t>standaardnormale Z (zoals in de Z-tabel): μ = 0</t>
        </is>
      </c>
    </row>
    <row r="10">
      <c r="A10" s="6" t="inlineStr">
        <is>
          <t>Standaardafwijking (standard deviation) σ</t>
        </is>
      </c>
      <c r="B10" s="7" t="n"/>
      <c r="C10" s="8" t="inlineStr">
        <is>
          <t>standaardnormale Z: σ = 1</t>
        </is>
      </c>
    </row>
    <row r="12">
      <c r="A12" s="5" t="inlineStr">
        <is>
          <t>2. Kans onder en boven een waarde x</t>
        </is>
      </c>
    </row>
    <row r="13">
      <c r="A13" s="6" t="inlineStr">
        <is>
          <t>Waarde x</t>
        </is>
      </c>
      <c r="B13" s="7" t="n"/>
    </row>
    <row r="14">
      <c r="A14" s="6" t="inlineStr">
        <is>
          <t>z = (x − μ) / σ</t>
        </is>
      </c>
      <c r="B14" s="11">
        <f>IF(AND(ISNUMBER(B9),ISNUMBER(B10),ISNUMBER(B13)),(B13-B9)/B10,"")</f>
        <v/>
      </c>
      <c r="C14" s="8" t="inlineStr">
        <is>
          <t>deck p. 19; Excel NORMALISEREN (STANDARDIZE)</t>
        </is>
      </c>
    </row>
    <row r="15">
      <c r="A15" s="6" t="inlineStr">
        <is>
          <t>P(X &lt; x)</t>
        </is>
      </c>
      <c r="B15" s="14">
        <f>IF(ISNUMBER(B14),_xlfn.NORM.S.DIST(B14,TRUE),"")</f>
        <v/>
      </c>
      <c r="C15" s="8" t="inlineStr">
        <is>
          <t>Excel NORM.VERD(x; μ; σ; WAAR) = NORM.DIST(..., TRUE); Z-tabel ___1.1 Ztable.pdf</t>
        </is>
      </c>
    </row>
    <row r="16">
      <c r="A16" s="6" t="inlineStr">
        <is>
          <t>P(X &gt; x)</t>
        </is>
      </c>
      <c r="B16" s="14">
        <f>IF(ISNUMBER(B14),_xlfn.NORM.S.DIST(-B14,TRUE),"")</f>
        <v/>
      </c>
      <c r="C16" s="8" t="inlineStr">
        <is>
          <t>1 − P(X &lt; x)</t>
        </is>
      </c>
    </row>
    <row r="18">
      <c r="A18" s="5" t="inlineStr">
        <is>
          <t>3. Kans tussen twee waarden a &lt; b</t>
        </is>
      </c>
    </row>
    <row r="19">
      <c r="A19" s="6" t="inlineStr">
        <is>
          <t>Kleinste waarde a</t>
        </is>
      </c>
      <c r="B19" s="7" t="n"/>
    </row>
    <row r="20">
      <c r="A20" s="6" t="inlineStr">
        <is>
          <t>Grootste waarde b</t>
        </is>
      </c>
      <c r="B20" s="7" t="n"/>
      <c r="C20" s="8" t="inlineStr">
        <is>
          <t>moet groter zijn dan a</t>
        </is>
      </c>
    </row>
    <row r="21">
      <c r="A21" s="6" t="inlineStr">
        <is>
          <t>P(a &lt; X &lt; b)</t>
        </is>
      </c>
      <c r="B21" s="14">
        <f>IF(AND(ISNUMBER(B9),ISNUMBER(B10),ISNUMBER(B19),ISNUMBER(B20),B20&gt;B19),_xlfn.NORM.DIST(B20,B9,B10,TRUE)-_xlfn.NORM.DIST(B19,B9,B10,TRUE),"")</f>
        <v/>
      </c>
    </row>
    <row r="22">
      <c r="A22" s="6" t="inlineStr">
        <is>
          <t>P(X &lt; a of X &gt; b)</t>
        </is>
      </c>
      <c r="B22" s="14">
        <f>IF(AND(ISNUMBER(B9),ISNUMBER(B10),ISNUMBER(B19),ISNUMBER(B20),B20&gt;B19),_xlfn.NORM.DIST(B19,B9,B10,TRUE)+_xlfn.NORM.S.DIST(-(B20-B9)/B10,TRUE),"")</f>
        <v/>
      </c>
    </row>
    <row r="24">
      <c r="A24" s="5" t="inlineStr">
        <is>
          <t>4. Waarde x bij een kans p</t>
        </is>
      </c>
    </row>
    <row r="25">
      <c r="A25" s="6" t="inlineStr">
        <is>
          <t>Kans p (als fractie: 0,01 = 1 %)</t>
        </is>
      </c>
      <c r="B25" s="22" t="n"/>
      <c r="C25" s="8" t="inlineStr">
        <is>
          <t>tussen 0 en 1</t>
        </is>
      </c>
    </row>
    <row r="26">
      <c r="A26" s="6" t="inlineStr">
        <is>
          <t>x met P(X &lt; x) = p  (ondergrens met p eronder)</t>
        </is>
      </c>
      <c r="B26" s="11">
        <f>IF(AND(ISNUMBER(B9),ISNUMBER(B10),ISNUMBER(B25),B25&gt;0,B25&lt;1),_xlfn.NORM.INV(B25,B9,B10),"")</f>
        <v/>
      </c>
      <c r="C26" s="8" t="inlineStr">
        <is>
          <t>Excel NORM.INV(p; μ; σ)</t>
        </is>
      </c>
    </row>
    <row r="27">
      <c r="A27" s="6" t="inlineStr">
        <is>
          <t>x met P(X &gt; x) = p  (bovengrens met p erboven)</t>
        </is>
      </c>
      <c r="B27" s="11">
        <f>IF(AND(ISNUMBER(B9),ISNUMBER(B10),ISNUMBER(B25),B25&gt;0,B25&lt;1),_xlfn.NORM.INV(1-B25,B9,B10),"")</f>
        <v/>
      </c>
      <c r="C27" s="8" t="inlineStr">
        <is>
          <t>bv. 1 % afkeur bovengrens: NORM.INV(0,99; 20; 0,5) (__NormVerdeling Excel functies.xlsx)</t>
        </is>
      </c>
    </row>
    <row r="28">
      <c r="A28" s="6" t="inlineStr">
        <is>
          <t>Centraal interval (p over beide staarten): ondergrens</t>
        </is>
      </c>
      <c r="B28" s="11">
        <f>IF(AND(ISNUMBER(B9),ISNUMBER(B10),ISNUMBER(B25),B25&gt;0,B25&lt;1),_xlfn.NORM.INV(B25/2,B9,B10),"")</f>
        <v/>
      </c>
      <c r="C28" s="8" t="inlineStr">
        <is>
          <t>bevat 1 − p van de waarden</t>
        </is>
      </c>
    </row>
    <row r="29">
      <c r="A29" s="6" t="inlineStr">
        <is>
          <t>Centraal interval (p over beide staarten): bovengrens</t>
        </is>
      </c>
      <c r="B29" s="11">
        <f>IF(AND(ISNUMBER(B9),ISNUMBER(B10),ISNUMBER(B25),B25&gt;0,B25&lt;1),_xlfn.NORM.INV(1-B25/2,B9,B10),"")</f>
        <v/>
      </c>
    </row>
    <row r="31">
      <c r="A31" s="5" t="inlineStr">
        <is>
          <t>5. μ ± kσ</t>
        </is>
      </c>
    </row>
    <row r="32">
      <c r="A32" s="6" t="inlineStr">
        <is>
          <t>k (aantal standaardafwijkingen)</t>
        </is>
      </c>
      <c r="B32" s="7" t="n"/>
      <c r="C32" s="8" t="inlineStr">
        <is>
          <t>bv. 3</t>
        </is>
      </c>
    </row>
    <row r="33">
      <c r="A33" s="6" t="inlineStr">
        <is>
          <t>μ − kσ</t>
        </is>
      </c>
      <c r="B33" s="11">
        <f>IF(AND(ISNUMBER(B9),ISNUMBER(B10),ISNUMBER(B32)),B9-B32*B10,"")</f>
        <v/>
      </c>
      <c r="C33" s="8" t="inlineStr">
        <is>
          <t>deck p. 19, notities: schoenmaten 42,5 − 3·2,5 = 35</t>
        </is>
      </c>
    </row>
    <row r="34">
      <c r="A34" s="6" t="inlineStr">
        <is>
          <t>μ + kσ</t>
        </is>
      </c>
      <c r="B34" s="11">
        <f>IF(AND(ISNUMBER(B9),ISNUMBER(B10),ISNUMBER(B32)),B9+B32*B10,"")</f>
        <v/>
      </c>
      <c r="C34" s="8" t="inlineStr">
        <is>
          <t>42,5 + 3·2,5 = 50</t>
        </is>
      </c>
    </row>
    <row r="35">
      <c r="A35" s="6" t="inlineStr">
        <is>
          <t>Fractie binnen μ ± kσ</t>
        </is>
      </c>
      <c r="B35" s="14">
        <f>IF(ISNUMBER(B32),1-2*_xlfn.NORM.S.DIST(-ABS(B32),TRUE),"")</f>
        <v/>
      </c>
    </row>
    <row r="36">
      <c r="A36" s="6" t="inlineStr">
        <is>
          <t>Fractie buiten μ ± kσ</t>
        </is>
      </c>
      <c r="B36" s="14">
        <f>IF(ISNUMBER(B32),2*_xlfn.NORM.S.DIST(-ABS(B32),TRUE),"")</f>
        <v/>
      </c>
    </row>
    <row r="38">
      <c r="A38" s="5" t="inlineStr">
        <is>
          <t>6. De 68 - 95 - 99,7-regel (deck p. 19)</t>
        </is>
      </c>
    </row>
    <row r="39">
      <c r="A39" s="6" t="inlineStr">
        <is>
          <t>binnen μ ± 1σ</t>
        </is>
      </c>
      <c r="B39" s="19" t="n">
        <v>1</v>
      </c>
      <c r="C39" s="14">
        <f>1-2*_xlfn.NORM.S.DIST(-B39,TRUE)</f>
        <v/>
      </c>
      <c r="D39" s="8" t="inlineStr">
        <is>
          <t>deck p. 19: ≈ 68 %</t>
        </is>
      </c>
    </row>
    <row r="40">
      <c r="A40" s="6" t="inlineStr">
        <is>
          <t>binnen μ ± 2σ</t>
        </is>
      </c>
      <c r="B40" s="19" t="n">
        <v>2</v>
      </c>
      <c r="C40" s="14">
        <f>1-2*_xlfn.NORM.S.DIST(-B40,TRUE)</f>
        <v/>
      </c>
      <c r="D40" s="8" t="inlineStr">
        <is>
          <t>deck p. 19: ≈ 95 %</t>
        </is>
      </c>
    </row>
    <row r="41">
      <c r="A41" s="6" t="inlineStr">
        <is>
          <t>binnen μ ± 3σ</t>
        </is>
      </c>
      <c r="B41" s="19" t="n">
        <v>3</v>
      </c>
      <c r="C41" s="14">
        <f>1-2*_xlfn.NORM.S.DIST(-B41,TRUE)</f>
        <v/>
      </c>
      <c r="D41" s="8" t="inlineStr">
        <is>
          <t>deck p. 19: ≈ 99,7 %</t>
        </is>
      </c>
    </row>
    <row r="43">
      <c r="A43" s="5" t="inlineStr">
        <is>
          <t>7. σ uit een staartfractie (tail fraction), gemiddelde bekend (bv. '2 op 40 onder 720, gemiddelde 820')</t>
        </is>
      </c>
    </row>
    <row r="44">
      <c r="A44" s="6" t="inlineStr">
        <is>
          <t>Grens L</t>
        </is>
      </c>
      <c r="B44" s="7" t="n"/>
      <c r="C44" s="8" t="inlineStr">
        <is>
          <t>gebruikt het gemiddelde μ uit blok 1</t>
        </is>
      </c>
    </row>
    <row r="45">
      <c r="A45" s="6" t="inlineStr">
        <is>
          <t>Fractie f voorbij L (als fractie: 2/40 = 0,05)</t>
        </is>
      </c>
      <c r="B45" s="22" t="n"/>
    </row>
    <row r="46">
      <c r="A46" s="6" t="inlineStr">
        <is>
          <t>σ als f ONDER L ligt</t>
        </is>
      </c>
      <c r="B46" s="11">
        <f>IF(AND(ISNUMBER(B9),ISNUMBER(B44),ISNUMBER(B45),B45&gt;0,B45&lt;1,B45&lt;&gt;0.5),IF((B44-B9)/_xlfn.NORM.S.INV(B45)&gt;0,(B44-B9)/_xlfn.NORM.S.INV(B45),"niet mogelijk: L ligt aan de andere kant"),"")</f>
        <v/>
      </c>
      <c r="C46" s="8" t="inlineStr">
        <is>
          <t>(L − μ) / NORM.S.INV(f)</t>
        </is>
      </c>
    </row>
    <row r="47">
      <c r="A47" s="6" t="inlineStr">
        <is>
          <t>σ als f BOVEN L ligt</t>
        </is>
      </c>
      <c r="B47" s="11">
        <f>IF(AND(ISNUMBER(B9),ISNUMBER(B44),ISNUMBER(B45),B45&gt;0,B45&lt;1,B45&lt;&gt;0.5),IF((B44-B9)/_xlfn.NORM.S.INV(1-B45)&gt;0,(B44-B9)/_xlfn.NORM.S.INV(1-B45),"niet mogelijk: L ligt aan de andere kant"),"")</f>
        <v/>
      </c>
      <c r="C47" s="8" t="inlineStr">
        <is>
          <t>(L − μ) / NORM.S.INV(1 − f)</t>
        </is>
      </c>
    </row>
    <row r="48">
      <c r="A48" s="6" t="inlineStr">
        <is>
          <t>Variantie σ² (f onder L)</t>
        </is>
      </c>
      <c r="B48" s="11">
        <f>IF(ISNUMBER(B46),B46^2,"")</f>
        <v/>
      </c>
    </row>
    <row r="49">
      <c r="A49" s="6" t="inlineStr">
        <is>
          <t>Variantie σ² (f boven L)</t>
        </is>
      </c>
      <c r="B49" s="11">
        <f>IF(ISNUMBER(B47),B47^2,"")</f>
        <v/>
      </c>
    </row>
    <row r="51">
      <c r="A51" s="5" t="inlineStr">
        <is>
          <t>8. Gemiddelde uit een staartfractie, σ bekend (gebruikt σ uit blok 1, L en f uit blok 7)</t>
        </is>
      </c>
    </row>
    <row r="52">
      <c r="A52" s="6" t="inlineStr">
        <is>
          <t>μ als f ONDER L ligt</t>
        </is>
      </c>
      <c r="B52" s="11">
        <f>IF(AND(ISNUMBER(B10),ISNUMBER(B44),ISNUMBER(B45),B45&gt;0,B45&lt;1),B44-B10*_xlfn.NORM.S.INV(B45),"")</f>
        <v/>
      </c>
      <c r="C52" s="8" t="inlineStr">
        <is>
          <t>L − σ · NORM.S.INV(f)</t>
        </is>
      </c>
    </row>
    <row r="53">
      <c r="A53" s="6" t="inlineStr">
        <is>
          <t>μ als f BOVEN L ligt</t>
        </is>
      </c>
      <c r="B53" s="11">
        <f>IF(AND(ISNUMBER(B10),ISNUMBER(B44),ISNUMBER(B45),B45&gt;0,B45&lt;1),B44-B10*_xlfn.NORM.S.INV(1-B45),"")</f>
        <v/>
      </c>
      <c r="C53" s="8" t="inlineStr">
        <is>
          <t>L − σ · NORM.S.INV(1 − f)</t>
        </is>
      </c>
    </row>
  </sheetData>
  <dataValidations count="2">
    <dataValidation sqref="B25 B45" showDropDown="0" showInputMessage="0" showErrorMessage="1" allowBlank="1" errorTitle="Kans" error="Typ een fractie tussen 0 en 1, bv. 0,01 voor 1 %." type="decimal" operator="between">
      <formula1>0.0000000001</formula1>
      <formula2>0.9999999999</formula2>
    </dataValidation>
    <dataValidation sqref="B10" showDropDown="0" showInputMessage="0" showErrorMessage="1" allowBlank="1" errorTitle="σ" error="σ moet groter zijn dan 0." type="decimal" operator="greaterThan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66" customWidth="1" min="1" max="1"/>
    <col width="16" customWidth="1" min="2" max="2"/>
    <col width="16" customWidth="1" min="3" max="3"/>
  </cols>
  <sheetData>
    <row r="1">
      <c r="A1" s="1" t="inlineStr">
        <is>
          <t>Sigmaniveau, DPMO en yield: DPO, DPMO, Z met en zonder 1,5σ-verschuiving (1.5σ shift)</t>
        </is>
      </c>
    </row>
    <row r="2">
      <c r="A2" s="2" t="inlineStr">
        <is>
          <t>Bron in de cursus</t>
        </is>
      </c>
      <c r="B2" s="3" t="inlineStr">
        <is>
          <t>source/course/Les 4/2026 Lean - Six Sigma v13 - Capabiliteit - SPC.pdf p. 19-21, 37-40; Les 1/20260521_van volsem.pdf p. 7</t>
        </is>
      </c>
    </row>
    <row r="3">
      <c r="A3" s="2" t="inlineStr">
        <is>
          <t>Gebruikte conventie</t>
        </is>
      </c>
      <c r="B3" s="3" t="inlineStr">
        <is>
          <t>Beslissing 3: sigmaniveau ↔ DPMO getoond met de 1,5σ-verschuiving (zoals in elke cursustabel) en zonder.</t>
        </is>
      </c>
    </row>
    <row r="4">
      <c r="A4" s="2" t="inlineStr">
        <is>
          <t>Status</t>
        </is>
      </c>
      <c r="B4" s="4" t="inlineStr">
        <is>
          <t>GEVERIFIEERD (VERIFIED): getest tegen de uitgewerkte voorbeelden S08-WE05 tot S08-WE08 en S09-WE03 en tegen de sigmatabellen van de cursus (deck p. 21, Van Volsem p. 7); één gedrukte waarde wijkt af (zie resources/build/README.md)</t>
        </is>
      </c>
    </row>
    <row r="5">
      <c r="A5" s="2" t="inlineStr">
        <is>
          <t>Legende</t>
        </is>
      </c>
      <c r="B5" s="3" t="inlineStr">
        <is>
          <t>Gele cel = vul hier in (invoer).  Groene cel = resultaat, niet overtypen.  Oranje cel (Tabellen) = verschilt van een andere gedrukte bron.</t>
        </is>
      </c>
    </row>
    <row r="6">
      <c r="A6" s="2" t="inlineStr">
        <is>
          <t>Controle</t>
        </is>
      </c>
      <c r="B6" s="3" t="inlineStr">
        <is>
          <t>Blijft een groene cel leeg, dan ontbreekt nog een invoer die ze nodig heeft.</t>
        </is>
      </c>
    </row>
    <row r="8">
      <c r="A8" s="5" t="inlineStr">
        <is>
          <t>1. Defecten (defects), eenheden (units) en kansen (opportunities): discrete data</t>
        </is>
      </c>
    </row>
    <row r="9">
      <c r="A9" s="6" t="inlineStr">
        <is>
          <t>D = aantal waargenomen defecten</t>
        </is>
      </c>
      <c r="B9" s="7" t="n"/>
    </row>
    <row r="10">
      <c r="A10" s="6" t="inlineStr">
        <is>
          <t>N = aantal geïnspecteerde eenheden</t>
        </is>
      </c>
      <c r="B10" s="7" t="n"/>
      <c r="C10" s="8" t="inlineStr">
        <is>
          <t>voor één item met veel kansen: N = 1</t>
        </is>
      </c>
    </row>
    <row r="11">
      <c r="A11" s="6" t="inlineStr">
        <is>
          <t>O = kansen (opportunities, CTQ's) per eenheid</t>
        </is>
      </c>
      <c r="B11" s="7" t="n"/>
      <c r="C11" s="8" t="inlineStr">
        <is>
          <t>1 als elke eenheid één kans is</t>
        </is>
      </c>
    </row>
    <row r="12">
      <c r="A12" s="6" t="inlineStr">
        <is>
          <t>DPO = D / (N · O)  (defects per opportunity)</t>
        </is>
      </c>
      <c r="B12" s="23">
        <f>IF(AND(ISNUMBER(B9),ISNUMBER(B10),B10&gt;0,ISNUMBER(B11),B11&gt;0),B9/(B10*B11),"")</f>
        <v/>
      </c>
      <c r="C12" s="8" t="inlineStr">
        <is>
          <t>deck p. 20</t>
        </is>
      </c>
    </row>
    <row r="13">
      <c r="A13" s="6" t="inlineStr">
        <is>
          <t>DPMO = DPO · 1 000 000  (defects per million opportunities)</t>
        </is>
      </c>
      <c r="B13" s="15">
        <f>IF(ISNUMBER(B12),B12*1000000,"")</f>
        <v/>
      </c>
      <c r="C13" s="8" t="inlineStr">
        <is>
          <t>deck p. 20</t>
        </is>
      </c>
    </row>
    <row r="14">
      <c r="A14" s="6" t="inlineStr">
        <is>
          <t>Yield per kans (opportunity) = 1 − DPO</t>
        </is>
      </c>
      <c r="B14" s="14">
        <f>IF(ISNUMBER(B12),1-B12,"")</f>
        <v/>
      </c>
      <c r="C14" s="8" t="inlineStr">
        <is>
          <t>deck p. 20</t>
        </is>
      </c>
    </row>
    <row r="16">
      <c r="A16" s="5" t="inlineStr">
        <is>
          <t>2. Van DPMO naar sigmaniveau (beide lezingen van de cursus)</t>
        </is>
      </c>
    </row>
    <row r="17">
      <c r="A17" s="6" t="inlineStr">
        <is>
          <t>DPMO</t>
        </is>
      </c>
      <c r="B17" s="24" t="n"/>
      <c r="C17" s="8" t="inlineStr">
        <is>
          <t>leeg laten om de DPMO van deel 1 te gebruiken</t>
        </is>
      </c>
    </row>
    <row r="18">
      <c r="A18" s="6" t="inlineStr">
        <is>
          <t>Gebruikte DPMO</t>
        </is>
      </c>
      <c r="B18" s="15">
        <f>IF(ISNUMBER(B17),B17,IF(ISNUMBER(B13),B13,""))</f>
        <v/>
      </c>
    </row>
    <row r="19">
      <c r="A19" s="6" t="inlineStr">
        <is>
          <t>Yield = 1 − DPMO / 1 000 000</t>
        </is>
      </c>
      <c r="B19" s="14">
        <f>IF(AND(ISNUMBER(B18),B18&gt;0,B18&lt;1000000),1-B18/1000000,"")</f>
        <v/>
      </c>
    </row>
    <row r="20">
      <c r="A20" s="6" t="inlineStr">
        <is>
          <t>Z zonder verschuiving (één staart voorbij Z)</t>
        </is>
      </c>
      <c r="B20" s="12">
        <f>IF(AND(ISNUMBER(B18),B18&gt;0,B18&lt;1000000),_xlfn.NORM.S.INV(1-B18/1000000),"")</f>
        <v/>
      </c>
      <c r="C20" s="8" t="inlineStr">
        <is>
          <t>standaardnormale verdeling, Z-score (deck p. 19-20)</t>
        </is>
      </c>
    </row>
    <row r="21">
      <c r="A21" s="6" t="inlineStr">
        <is>
          <t>Sigmaniveau met de 1,5σ-verschuiving = Z + 1,5  (cursustabellen)</t>
        </is>
      </c>
      <c r="B21" s="12">
        <f>IF(ISNUMBER(B20),B20+B30,"")</f>
        <v/>
      </c>
      <c r="C21" s="8" t="inlineStr">
        <is>
          <t>deck p. 21, 37</t>
        </is>
      </c>
    </row>
    <row r="23">
      <c r="A23" s="5" t="inlineStr">
        <is>
          <t>3. Van sigmaniveau naar DPMO (beide lezingen van de cursus)</t>
        </is>
      </c>
    </row>
    <row r="24">
      <c r="A24" s="6" t="inlineStr">
        <is>
          <t>Sigmaniveau Z</t>
        </is>
      </c>
      <c r="B24" s="7" t="n"/>
      <c r="C24" s="8" t="inlineStr">
        <is>
          <t>bv. 6</t>
        </is>
      </c>
    </row>
    <row r="25">
      <c r="A25" s="6" t="inlineStr">
        <is>
          <t>DPMO met de 1,5σ-verschuiving (één staart voorbij Z − 1,5)  (cursustabellen)</t>
        </is>
      </c>
      <c r="B25" s="25">
        <f>IF(ISNUMBER(B24),1000000*_xlfn.NORM.S.DIST(-(B24-B30),TRUE),"")</f>
        <v/>
      </c>
      <c r="C25" s="8" t="inlineStr">
        <is>
          <t>deck p. 21; Van Volsem p. 7: 6 -&gt; 3,4</t>
        </is>
      </c>
    </row>
    <row r="26">
      <c r="A26" s="6" t="inlineStr">
        <is>
          <t>DPMO zonder verschuiving, één staart voorbij Z</t>
        </is>
      </c>
      <c r="B26" s="25">
        <f>IF(ISNUMBER(B24),1000000*_xlfn.NORM.S.DIST(-B24,TRUE),"")</f>
        <v/>
      </c>
    </row>
    <row r="27">
      <c r="A27" s="6" t="inlineStr">
        <is>
          <t>DPMO zonder verschuiving, beide staarten voorbij ±Z (gecentreerd, Cp = Z / 3)</t>
        </is>
      </c>
      <c r="B27" s="25">
        <f>IF(ISNUMBER(B24),2*1000000*_xlfn.NORM.S.DIST(-B24,TRUE),"")</f>
        <v/>
      </c>
      <c r="C27" s="8" t="inlineStr">
        <is>
          <t>deck p. 40: CP = 2 (Z = 6) -&gt; '2 defect per billion'</t>
        </is>
      </c>
    </row>
    <row r="28">
      <c r="A28" s="6" t="inlineStr">
        <is>
          <t>Yield met de 1,5σ-verschuiving</t>
        </is>
      </c>
      <c r="B28" s="17">
        <f>IF(ISNUMBER(B24),1-B25/1000000,"")</f>
        <v/>
      </c>
      <c r="C28" s="8" t="inlineStr">
        <is>
          <t>deck p. 21; Van Volsem p. 7</t>
        </is>
      </c>
    </row>
    <row r="30">
      <c r="A30" s="6" t="inlineStr">
        <is>
          <t>Verschuiving die de cursus aanneemt (σ)</t>
        </is>
      </c>
      <c r="B30" s="19" t="n">
        <v>1.5</v>
      </c>
      <c r="C30" s="8" t="inlineStr">
        <is>
          <t>deck p. 37</t>
        </is>
      </c>
    </row>
    <row r="32">
      <c r="A32" s="8" t="inlineStr">
        <is>
          <t>DPU, throughput yield, first-time yield, verborgen fabriek (hidden factory), RTY, genormaliseerde yield en yield per defectkans komen alleen uit de boeken: zie blad 'Extra (boeken)' (niet te kennen voor het examen).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52" customWidth="1" min="1" max="1"/>
    <col width="17" customWidth="1" min="2" max="2"/>
    <col width="17" customWidth="1" min="3" max="3"/>
    <col width="17" customWidth="1" min="4" max="4"/>
    <col width="17" customWidth="1" min="5" max="5"/>
    <col width="18" customWidth="1" min="6" max="6"/>
    <col width="4" customWidth="1" min="7" max="7"/>
    <col width="18" customWidth="1" style="26" min="8" max="8"/>
    <col width="18" customWidth="1" style="26" min="9" max="9"/>
    <col width="4" customWidth="1" min="10" max="10"/>
  </cols>
  <sheetData>
    <row r="1">
      <c r="A1" s="1" t="inlineStr">
        <is>
          <t>Varianties: betrouwbaarheidsinterval (confidence interval, BI) en toets voor σ² en σ (χ²), BI en toets voor een verhouding van twee varianties (F)</t>
        </is>
      </c>
      <c r="H1" s="6" t="n"/>
      <c r="I1" s="6" t="n"/>
    </row>
    <row r="2">
      <c r="A2" s="2" t="inlineStr">
        <is>
          <t>Bron in de cursus</t>
        </is>
      </c>
      <c r="B2" s="3" t="inlineStr">
        <is>
          <t>source/course/Les 2/20260529_ottoy_Confidence Intervals - Further Reading (Dutch).pdf p. 21; Confidence Intervals.pdf p. 16; Testing of Hypotheses.pdf p. 13; Test Recipes - Further Reading (Dutch).pdf p. 11-14</t>
        </is>
      </c>
      <c r="H2" s="6" t="n"/>
      <c r="I2" s="6" t="n"/>
    </row>
    <row r="3">
      <c r="A3" s="2" t="inlineStr">
        <is>
          <t>Gebruikte conventie</t>
        </is>
      </c>
      <c r="B3" s="3" t="inlineStr">
        <is>
          <t>Conventiebeslissingen 5-7: invoer α vooraf ingevuld op 0,05; tweezijdig, alleen ondergrens en alleen bovengrens naast elkaar; F uit F.INV / F.INV.RT, zowel σ1²/σ2² als σ2²/σ1².</t>
        </is>
      </c>
      <c r="H3" s="6" t="n"/>
      <c r="I3" s="6" t="n"/>
    </row>
    <row r="4">
      <c r="A4" s="2" t="inlineStr">
        <is>
          <t>Status</t>
        </is>
      </c>
      <c r="B4" s="4" t="inlineStr">
        <is>
          <t>GEVERIFIEERD (VERIFIED): getest tegen uitgewerkte cursusvoorbeelden (worked examples) S03-WE03, S03-WE05; ook tegen S08-WE10 en de χ²- en F-tabellen van Dummies (p. 194, 196) (extra, Dummies; niet te kennen); het F-intervalvoorbeeld S08-WE11 van Dummies klopt niet (resources/build/README.md)</t>
        </is>
      </c>
      <c r="H4" s="6" t="n"/>
      <c r="I4" s="6" t="n"/>
    </row>
    <row r="5">
      <c r="A5" s="2" t="inlineStr">
        <is>
          <t>Legende</t>
        </is>
      </c>
      <c r="B5" s="3" t="inlineStr">
        <is>
          <t>Gele cel = vul hier in (invoer).  Groene cel = resultaat, niet overtypen.  Oranje cel (Tabellen) = verschilt van een andere gedrukte bron.</t>
        </is>
      </c>
      <c r="H5" s="6" t="n"/>
      <c r="I5" s="6" t="n"/>
    </row>
    <row r="6">
      <c r="A6" s="2" t="inlineStr">
        <is>
          <t>Controle</t>
        </is>
      </c>
      <c r="B6" s="3" t="inlineStr">
        <is>
          <t>Blijft een groene cel leeg, dan ontbreekt nog een invoer die ze nodig heeft.</t>
        </is>
      </c>
      <c r="H6" s="6" t="n"/>
      <c r="I6" s="6" t="n"/>
    </row>
    <row r="7">
      <c r="H7" s="6" t="n"/>
      <c r="I7" s="6" t="n"/>
    </row>
    <row r="8">
      <c r="A8" s="5" t="inlineStr">
        <is>
          <t>1. Instellingen</t>
        </is>
      </c>
      <c r="H8" s="8" t="inlineStr">
        <is>
          <t>Optioneel: ruwe waarden (uitleg →)</t>
        </is>
      </c>
      <c r="I8" s="6" t="n"/>
      <c r="K8" s="20" t="inlineStr">
        <is>
          <t>Zo gebruik je kolommen H en I (ruwe data)</t>
        </is>
      </c>
    </row>
    <row r="9">
      <c r="A9" s="6" t="inlineStr">
        <is>
          <t>Significantieniveau α (betrouwbaarheid = 1 − α)</t>
        </is>
      </c>
      <c r="B9" s="22" t="n">
        <v>0.05</v>
      </c>
      <c r="C9" s="8" t="inlineStr">
        <is>
          <t>de cursus geeft geen standaardwaarde; de meeste cursusvoorbeelden gebruiken 5 %; gebruik de waarde uit de vraag</t>
        </is>
      </c>
      <c r="H9" s="20" t="inlineStr">
        <is>
          <t>Data steekproef 1</t>
        </is>
      </c>
      <c r="I9" s="20" t="inlineStr">
        <is>
          <t>Data steekproef 2</t>
        </is>
      </c>
      <c r="K9" s="8" t="inlineStr">
        <is>
          <t>• Eén GETAL per cel, onder elkaar, vanaf rij 10; zoveel rijen als je wilt. Geen kop of tekst: de kop staat al in rij 9.</t>
        </is>
      </c>
    </row>
    <row r="10">
      <c r="K10" s="8" t="inlineStr">
        <is>
          <t>• Kolom H = steekproef 1: telt voor sectie 2 (één steekproef) én voor steekproef 1 van sectie 3.</t>
        </is>
      </c>
    </row>
    <row r="11">
      <c r="A11" s="5" t="inlineStr">
        <is>
          <t>2. Eén steekproef: σ² en σ</t>
        </is>
      </c>
      <c r="K11" s="8" t="inlineStr">
        <is>
          <t>• Kolom I = steekproef 2 (sectie 3, F-toets).</t>
        </is>
      </c>
    </row>
    <row r="12">
      <c r="A12" s="6" t="inlineStr">
        <is>
          <t>n (steekproefgrootte, sample size)</t>
        </is>
      </c>
      <c r="B12" s="7" t="n"/>
      <c r="C12" s="8" t="inlineStr">
        <is>
          <t>of plak de data in kolom H</t>
        </is>
      </c>
      <c r="K12" s="8" t="inlineStr">
        <is>
          <t>• Met 2 of meer getallen in een kolom rekent het blad n en s daaruit; de getypte n en s tellen dan niet.</t>
        </is>
      </c>
    </row>
    <row r="13">
      <c r="A13" s="6" t="inlineStr">
        <is>
          <t>s (steekproefstandaardafwijking, STDEV.S)</t>
        </is>
      </c>
      <c r="B13" s="27" t="n"/>
      <c r="K13" s="8" t="inlineStr">
        <is>
          <t>• Typ je liever n en s: laat H en I leeg (selecteer de kolom vanaf rij 10 en druk Delete).</t>
        </is>
      </c>
    </row>
    <row r="14">
      <c r="A14" s="6" t="inlineStr">
        <is>
          <t>σ0 voor de toets (de beweerde σ)</t>
        </is>
      </c>
      <c r="B14" s="27" t="n"/>
      <c r="C14" s="8" t="inlineStr">
        <is>
          <t>bv. 0,01</t>
        </is>
      </c>
      <c r="K14" s="8" t="inlineStr">
        <is>
          <t>• Plakken uit een ander bestand: Plakken speciaal → Waarden.</t>
        </is>
      </c>
    </row>
    <row r="15">
      <c r="A15" s="6" t="inlineStr">
        <is>
          <t>n gebruikt</t>
        </is>
      </c>
      <c r="B15" s="28">
        <f>IF(COUNT(H10:H100000)&gt;1,COUNT(H10:H100000),IF(ISNUMBER(B12),B12,""))</f>
        <v/>
      </c>
      <c r="C15" s="8" t="inlineStr">
        <is>
          <t>uit kolom H als die 2+ waarden bevat, anders de getypte waarde</t>
        </is>
      </c>
      <c r="K15" s="20" t="inlineStr">
        <is>
          <t>Controle van de geplakte data:</t>
        </is>
      </c>
    </row>
    <row r="16">
      <c r="A16" s="6" t="inlineStr">
        <is>
          <t>s gebruikt</t>
        </is>
      </c>
      <c r="B16" s="29">
        <f>IF(COUNT(H10:H100000)&gt;1,_xlfn.STDEV.S(H10:H100000),IF(ISNUMBER(B13),B13,""))</f>
        <v/>
      </c>
      <c r="C16" s="8" t="inlineStr">
        <is>
          <t>uit kolom H als die 2+ waarden bevat, anders de getypte waarde</t>
        </is>
      </c>
      <c r="J16" s="6" t="inlineStr">
        <is>
          <t>H:</t>
        </is>
      </c>
      <c r="K16" s="13">
        <f>IF(COUNTA(H10:H100000)=0,"leeg",COUNT(H10:H100000)&amp;" getallen"&amp;IF(COUNTA(H10:H100000)&gt;COUNT(H10:H100000),"; LET OP: "&amp;(COUNTA(H10:H100000)-COUNT(H10:H100000))&amp;" cel(len) met tekst tellen NIET mee",""))</f>
        <v/>
      </c>
    </row>
    <row r="17">
      <c r="A17" s="6" t="inlineStr">
        <is>
          <t>s² gebruikt</t>
        </is>
      </c>
      <c r="B17" s="30">
        <f>IF(ISNUMBER(B16),B16^2,"")</f>
        <v/>
      </c>
      <c r="J17" s="6" t="inlineStr">
        <is>
          <t>I:</t>
        </is>
      </c>
      <c r="K17" s="13">
        <f>IF(COUNTA(I10:I100000)=0,"leeg",COUNT(I10:I100000)&amp;" getallen"&amp;IF(COUNTA(I10:I100000)&gt;COUNT(I10:I100000),"; LET OP: "&amp;(COUNTA(I10:I100000)-COUNT(I10:I100000))&amp;" cel(len) met tekst tellen NIET mee",""))</f>
        <v/>
      </c>
    </row>
    <row r="18">
      <c r="A18" s="6" t="inlineStr">
        <is>
          <t>vrijheidsgraden (degrees of freedom, df) n − 1</t>
        </is>
      </c>
      <c r="B18" s="28">
        <f>IF(ISNUMBER(B15),B15-1,"")</f>
        <v/>
      </c>
    </row>
    <row r="20">
      <c r="A20" s="10" t="inlineStr">
        <is>
          <t>Betrouwbaarheidsinterval (confidence interval, BI) (1 − α)</t>
        </is>
      </c>
      <c r="B20" s="10" t="inlineStr">
        <is>
          <t>σ² van</t>
        </is>
      </c>
      <c r="C20" s="10" t="inlineStr">
        <is>
          <t>σ² tot</t>
        </is>
      </c>
      <c r="D20" s="10" t="inlineStr">
        <is>
          <t>σ van</t>
        </is>
      </c>
      <c r="E20" s="10" t="inlineStr">
        <is>
          <t>σ tot</t>
        </is>
      </c>
      <c r="F20" s="10" t="inlineStr">
        <is>
          <t>Bron in de cursus</t>
        </is>
      </c>
    </row>
    <row r="21">
      <c r="A21" s="6" t="inlineStr">
        <is>
          <t>tweezijdig (two-sided)</t>
        </is>
      </c>
      <c r="B21" s="29">
        <f>IF(AND(ISNUMBER(B17),ISNUMBER(B18),B18&gt;0,ISNUMBER(B9)),B18*B17/_xlfn.CHISQ.INV.RT(B9/2,B18),"")</f>
        <v/>
      </c>
      <c r="C21" s="29">
        <f>IF(AND(ISNUMBER(B17),ISNUMBER(B18),B18&gt;0,ISNUMBER(B9)),B18*B17/_xlfn.CHISQ.INV(B9/2,B18),"")</f>
        <v/>
      </c>
      <c r="D21" s="29">
        <f>IF(ISNUMBER(B21),SQRT(B21),"")</f>
        <v/>
      </c>
      <c r="E21" s="29">
        <f>IF(ISNUMBER(C21),SQRT(C21),C21)</f>
        <v/>
      </c>
      <c r="F21" s="8" t="inlineStr">
        <is>
          <t>CI Further Reading (Dutch) p. 21</t>
        </is>
      </c>
    </row>
    <row r="22">
      <c r="A22" s="6" t="inlineStr">
        <is>
          <t>alleen ondergrens (σ minstens …; hoort bij HA: σ &gt; σ0)</t>
        </is>
      </c>
      <c r="B22" s="29">
        <f>IF(AND(ISNUMBER(B17),ISNUMBER(B18),B18&gt;0,ISNUMBER(B9)),B18*B17/_xlfn.CHISQ.INV.RT(B9,B18),"")</f>
        <v/>
      </c>
      <c r="C22" s="29">
        <f>IF(AND(ISNUMBER(B17),ISNUMBER(B18),B18&gt;0,ISNUMBER(B9)),"+∞","")</f>
        <v/>
      </c>
      <c r="D22" s="29">
        <f>IF(ISNUMBER(B22),SQRT(B22),"")</f>
        <v/>
      </c>
      <c r="E22" s="29">
        <f>IF(ISNUMBER(C22),SQRT(C22),C22)</f>
        <v/>
      </c>
      <c r="F22" s="8" t="inlineStr">
        <is>
          <t>Confidence Intervals.pdf p. 16 ('one-sided 98 %-CI ]0.0088, +∞[')</t>
        </is>
      </c>
    </row>
    <row r="23">
      <c r="A23" s="6" t="inlineStr">
        <is>
          <t>alleen bovengrens (σ hoogstens …; hoort bij HA: σ &lt; σ0)</t>
        </is>
      </c>
      <c r="B23" s="29">
        <f>IF(AND(ISNUMBER(B17),ISNUMBER(B18),B18&gt;0,ISNUMBER(B9)),0,"")</f>
        <v/>
      </c>
      <c r="C23" s="29">
        <f>IF(AND(ISNUMBER(B17),ISNUMBER(B18),B18&gt;0,ISNUMBER(B9)),B18*B17/_xlfn.CHISQ.INV(B9,B18),"")</f>
        <v/>
      </c>
      <c r="D23" s="29">
        <f>IF(ISNUMBER(B23),SQRT(B23),"")</f>
        <v/>
      </c>
      <c r="E23" s="29">
        <f>IF(ISNUMBER(C23),SQRT(C23),C23)</f>
        <v/>
      </c>
      <c r="F23" s="8" t="inlineStr"/>
    </row>
    <row r="26">
      <c r="A26" s="10" t="inlineStr">
        <is>
          <t>χ²-toets van H0: σ = σ0</t>
        </is>
      </c>
      <c r="B26" s="10" t="inlineStr">
        <is>
          <t>Toetsgrootheid (test statistic) (n−1)s²/σ0²</t>
        </is>
      </c>
      <c r="C26" s="10" t="inlineStr">
        <is>
          <t>Kritieke waarde (critical value)</t>
        </is>
      </c>
      <c r="D26" s="10" t="inlineStr">
        <is>
          <t>2de kritieke waarde</t>
        </is>
      </c>
      <c r="E26" s="10" t="inlineStr">
        <is>
          <t>p-waarde (p-value)</t>
        </is>
      </c>
      <c r="F26" s="10" t="inlineStr">
        <is>
          <t>Besluit bij α</t>
        </is>
      </c>
    </row>
    <row r="27">
      <c r="A27" s="6" t="inlineStr">
        <is>
          <t>HA: σ ≠ σ0 (tweezijdig)</t>
        </is>
      </c>
      <c r="B27" s="11">
        <f>IF(AND(AND(ISNUMBER(B17),ISNUMBER(B18),B18&gt;0,ISNUMBER(B9)),ISNUMBER(B14),B14&gt;0),B18*B17/B14^2,"")</f>
        <v/>
      </c>
      <c r="C27" s="11">
        <f>IF(AND(ISNUMBER(B18),N(B18)&gt;0,ISNUMBER(B9)),_xlfn.CHISQ.INV(B9/2,B18),"")</f>
        <v/>
      </c>
      <c r="D27" s="11">
        <f>IF(AND(ISNUMBER(B18),N(B18)&gt;0,ISNUMBER(B9)),_xlfn.CHISQ.INV.RT(B9/2,B18),"")</f>
        <v/>
      </c>
      <c r="E27" s="14">
        <f>IF(AND(AND(ISNUMBER(B17),ISNUMBER(B18),B18&gt;0,ISNUMBER(B9)),ISNUMBER(B14),B14&gt;0),2*MIN(_xlfn.CHISQ.DIST(B27,B18,TRUE),_xlfn.CHISQ.DIST.RT(B27,B18)),"")</f>
        <v/>
      </c>
      <c r="F27" s="13">
        <f>IF(ISNUMBER(E27),IF(E27&lt;B9,"verwerp H0","H0 niet verwerpen"),"")</f>
        <v/>
      </c>
    </row>
    <row r="28">
      <c r="A28" s="6" t="inlineStr">
        <is>
          <t>HA: σ &gt; σ0 (bv. 'more erratic')</t>
        </is>
      </c>
      <c r="B28" s="11">
        <f>IF(AND(AND(ISNUMBER(B17),ISNUMBER(B18),B18&gt;0,ISNUMBER(B9)),ISNUMBER(B14),B14&gt;0),B18*B17/B14^2,"")</f>
        <v/>
      </c>
      <c r="C28" s="11">
        <f>IF(AND(ISNUMBER(B18),N(B18)&gt;0,ISNUMBER(B9)),_xlfn.CHISQ.INV.RT(B9,B18),"")</f>
        <v/>
      </c>
      <c r="D28" s="11">
        <f>""</f>
        <v/>
      </c>
      <c r="E28" s="14">
        <f>IF(AND(AND(ISNUMBER(B17),ISNUMBER(B18),B18&gt;0,ISNUMBER(B9)),ISNUMBER(B14),B14&gt;0),_xlfn.CHISQ.DIST.RT(B28,B18),"")</f>
        <v/>
      </c>
      <c r="F28" s="13">
        <f>IF(ISNUMBER(E28),IF(E28&lt;B9,"verwerp H0","H0 niet verwerpen"),"")</f>
        <v/>
      </c>
    </row>
    <row r="29">
      <c r="A29" s="6" t="inlineStr">
        <is>
          <t>HA: σ &lt; σ0</t>
        </is>
      </c>
      <c r="B29" s="11">
        <f>IF(AND(AND(ISNUMBER(B17),ISNUMBER(B18),B18&gt;0,ISNUMBER(B9)),ISNUMBER(B14),B14&gt;0),B18*B17/B14^2,"")</f>
        <v/>
      </c>
      <c r="C29" s="11">
        <f>IF(AND(ISNUMBER(B18),N(B18)&gt;0,ISNUMBER(B9)),_xlfn.CHISQ.INV(B9,B18),"")</f>
        <v/>
      </c>
      <c r="D29" s="11">
        <f>""</f>
        <v/>
      </c>
      <c r="E29" s="14">
        <f>IF(AND(AND(ISNUMBER(B17),ISNUMBER(B18),B18&gt;0,ISNUMBER(B9)),ISNUMBER(B14),B14&gt;0),_xlfn.CHISQ.DIST(B29,B18,TRUE),"")</f>
        <v/>
      </c>
      <c r="F29" s="13">
        <f>IF(ISNUMBER(E29),IF(E29&lt;B9,"verwerp H0","H0 niet verwerpen"),"")</f>
        <v/>
      </c>
    </row>
    <row r="30">
      <c r="A30" s="8" t="inlineStr">
        <is>
          <t>Bron: Test Recipes - Further Reading (Dutch) p. 11; Testing of Hypotheses.pdf p. 13</t>
        </is>
      </c>
    </row>
    <row r="31">
      <c r="A31" s="5" t="inlineStr">
        <is>
          <t>3. Twee steekproeven: verhouding van varianties (F)   bv. examenvraag Q2: werkt machine M1 nauwkeuriger dan M2?</t>
        </is>
      </c>
    </row>
    <row r="32">
      <c r="A32" s="6" t="inlineStr">
        <is>
          <t>n1 (steekproef 1)</t>
        </is>
      </c>
      <c r="B32" s="7" t="n"/>
      <c r="C32" s="8" t="inlineStr">
        <is>
          <t>of plak steekproef 1 in kolom H</t>
        </is>
      </c>
    </row>
    <row r="33">
      <c r="A33" s="6" t="inlineStr">
        <is>
          <t>s1</t>
        </is>
      </c>
      <c r="B33" s="27" t="n"/>
    </row>
    <row r="34">
      <c r="A34" s="6" t="inlineStr">
        <is>
          <t>n2 (steekproef 2)</t>
        </is>
      </c>
      <c r="B34" s="7" t="n"/>
      <c r="C34" s="8" t="inlineStr">
        <is>
          <t>of plak steekproef 2 in kolom I</t>
        </is>
      </c>
    </row>
    <row r="35">
      <c r="A35" s="6" t="inlineStr">
        <is>
          <t>s2</t>
        </is>
      </c>
      <c r="B35" s="27" t="n"/>
    </row>
    <row r="36">
      <c r="A36" s="6" t="inlineStr">
        <is>
          <t>n1 gebruikt</t>
        </is>
      </c>
      <c r="B36" s="28">
        <f>IF(COUNT(H10:H100000)&gt;1,COUNT(H10:H100000),IF(ISNUMBER(B32),B32,""))</f>
        <v/>
      </c>
      <c r="C36" s="8" t="inlineStr">
        <is>
          <t>uit kolom H als die 2+ waarden bevat, anders de getypte waarde</t>
        </is>
      </c>
    </row>
    <row r="37">
      <c r="A37" s="6" t="inlineStr">
        <is>
          <t>s1 gebruikt</t>
        </is>
      </c>
      <c r="B37" s="29">
        <f>IF(COUNT(H10:H100000)&gt;1,_xlfn.STDEV.S(H10:H100000),IF(ISNUMBER(B33),B33,""))</f>
        <v/>
      </c>
      <c r="C37" s="8" t="inlineStr">
        <is>
          <t>uit kolom H als die 2+ waarden bevat, anders de getypte waarde</t>
        </is>
      </c>
    </row>
    <row r="38">
      <c r="A38" s="6" t="inlineStr">
        <is>
          <t>n2 gebruikt</t>
        </is>
      </c>
      <c r="B38" s="28">
        <f>IF(COUNT(I10:I100000)&gt;1,COUNT(I10:I100000),IF(ISNUMBER(B34),B34,""))</f>
        <v/>
      </c>
      <c r="C38" s="8" t="inlineStr">
        <is>
          <t>uit kolom I als die 2+ waarden bevat, anders de getypte waarde</t>
        </is>
      </c>
    </row>
    <row r="39">
      <c r="A39" s="6" t="inlineStr">
        <is>
          <t>s2 gebruikt</t>
        </is>
      </c>
      <c r="B39" s="29">
        <f>IF(COUNT(I10:I100000)&gt;1,_xlfn.STDEV.S(I10:I100000),IF(ISNUMBER(B35),B35,""))</f>
        <v/>
      </c>
      <c r="C39" s="8" t="inlineStr">
        <is>
          <t>uit kolom I als die 2+ waarden bevat, anders de getypte waarde</t>
        </is>
      </c>
    </row>
    <row r="40">
      <c r="A40" s="6" t="inlineStr">
        <is>
          <t>F = s1² / s2²</t>
        </is>
      </c>
      <c r="B40" s="11">
        <f>IF(AND(ISNUMBER(B36),ISNUMBER(B37),ISNUMBER(B38),ISNUMBER(B39),B36&gt;1,B38&gt;1,B39&gt;0,ISNUMBER(B9)),B37^2/B39^2,"")</f>
        <v/>
      </c>
      <c r="C40" s="8" t="inlineStr">
        <is>
          <t>Test Recipes p. 12-13: (s1²/σ1²)/(s2²/σ2²) ~ F(n1 − 1, n2 − 1)</t>
        </is>
      </c>
    </row>
    <row r="41">
      <c r="A41" s="6" t="inlineStr">
        <is>
          <t>vrijheidsgraden (teller n1 − 1, noemer n2 − 1)</t>
        </is>
      </c>
      <c r="B41" s="28">
        <f>IF(ISNUMBER(B36),B36-1,"")</f>
        <v/>
      </c>
      <c r="C41" s="28">
        <f>IF(ISNUMBER(B38),B38-1,"")</f>
        <v/>
      </c>
    </row>
    <row r="43">
      <c r="A43" s="10" t="inlineStr">
        <is>
          <t>Betrouwbaarheidsinterval (1 − α)</t>
        </is>
      </c>
      <c r="B43" s="10" t="inlineStr">
        <is>
          <t>σ1²/σ2² van</t>
        </is>
      </c>
      <c r="C43" s="10" t="inlineStr">
        <is>
          <t>σ1²/σ2² tot</t>
        </is>
      </c>
      <c r="D43" s="10" t="inlineStr">
        <is>
          <t>σ2²/σ1² van</t>
        </is>
      </c>
      <c r="E43" s="10" t="inlineStr">
        <is>
          <t>σ2²/σ1² tot</t>
        </is>
      </c>
      <c r="F43" s="10" t="inlineStr">
        <is>
          <t>Bron in de cursus</t>
        </is>
      </c>
    </row>
    <row r="44">
      <c r="A44" s="6" t="inlineStr">
        <is>
          <t>tweezijdig (two-sided)</t>
        </is>
      </c>
      <c r="B44" s="29">
        <f>IF(AND(ISNUMBER(B36),ISNUMBER(B37),ISNUMBER(B38),ISNUMBER(B39),B36&gt;1,B38&gt;1,B39&gt;0,ISNUMBER(B9)),B40/_xlfn.F.INV.RT(B9/2,B41,C41),"")</f>
        <v/>
      </c>
      <c r="C44" s="29">
        <f>IF(AND(ISNUMBER(B36),ISNUMBER(B37),ISNUMBER(B38),ISNUMBER(B39),B36&gt;1,B38&gt;1,B39&gt;0,ISNUMBER(B9)),B40/_xlfn.F.INV(B9/2,B41,C41),"")</f>
        <v/>
      </c>
      <c r="D44" s="29">
        <f>IF(ISNUMBER(C44),1/C44,IF(C44="+∞",0,""))</f>
        <v/>
      </c>
      <c r="E44" s="29">
        <f>IF(ISNUMBER(B44),IF(B44=0,"+∞",1/B44),"")</f>
        <v/>
      </c>
      <c r="F44" s="8" t="inlineStr">
        <is>
          <t>hint van examenvraag Q2; Test Recipes p. 12</t>
        </is>
      </c>
    </row>
    <row r="45">
      <c r="A45" s="6" t="inlineStr">
        <is>
          <t>eenzijdig: σ1²/σ2² minstens … (σ2²/σ1² hoogstens …)</t>
        </is>
      </c>
      <c r="B45" s="29">
        <f>IF(AND(ISNUMBER(B36),ISNUMBER(B37),ISNUMBER(B38),ISNUMBER(B39),B36&gt;1,B38&gt;1,B39&gt;0,ISNUMBER(B9)),B40/_xlfn.F.INV.RT(B9,B41,C41),"")</f>
        <v/>
      </c>
      <c r="C45" s="29">
        <f>IF(AND(ISNUMBER(B36),ISNUMBER(B37),ISNUMBER(B38),ISNUMBER(B39),B36&gt;1,B38&gt;1,B39&gt;0,ISNUMBER(B9)),"+∞","")</f>
        <v/>
      </c>
      <c r="D45" s="29">
        <f>IF(ISNUMBER(C45),1/C45,IF(C45="+∞",0,""))</f>
        <v/>
      </c>
      <c r="E45" s="29">
        <f>IF(ISNUMBER(B45),IF(B45=0,"+∞",1/B45),"")</f>
        <v/>
      </c>
      <c r="F45" s="8" t="inlineStr">
        <is>
          <t>hoort bij HA: σ1 &gt; σ2</t>
        </is>
      </c>
    </row>
    <row r="46">
      <c r="A46" s="6" t="inlineStr">
        <is>
          <t>eenzijdig: σ1²/σ2² hoogstens … (σ2²/σ1² minstens …)</t>
        </is>
      </c>
      <c r="B46" s="29">
        <f>IF(AND(ISNUMBER(B36),ISNUMBER(B37),ISNUMBER(B38),ISNUMBER(B39),B36&gt;1,B38&gt;1,B39&gt;0,ISNUMBER(B9)),0,"")</f>
        <v/>
      </c>
      <c r="C46" s="29">
        <f>IF(AND(ISNUMBER(B36),ISNUMBER(B37),ISNUMBER(B38),ISNUMBER(B39),B36&gt;1,B38&gt;1,B39&gt;0,ISNUMBER(B9)),B40/_xlfn.F.INV(B9,B41,C41),"")</f>
        <v/>
      </c>
      <c r="D46" s="29">
        <f>IF(ISNUMBER(C46),1/C46,IF(C46="+∞",0,""))</f>
        <v/>
      </c>
      <c r="E46" s="29">
        <f>IF(ISNUMBER(B46),IF(B46=0,"+∞",1/B46),"")</f>
        <v/>
      </c>
      <c r="F46" s="8" t="inlineStr">
        <is>
          <t>hoort bij HA: σ1 &lt; σ2 (bv. M1 nauwkeuriger)</t>
        </is>
      </c>
    </row>
    <row r="48">
      <c r="A48" s="10" t="inlineStr">
        <is>
          <t>F-toets van H0: σ1 = σ2</t>
        </is>
      </c>
      <c r="B48" s="10" t="inlineStr">
        <is>
          <t>Toetsgrootheid F = s1²/s2²</t>
        </is>
      </c>
      <c r="C48" s="10" t="inlineStr">
        <is>
          <t>Kritieke waarde</t>
        </is>
      </c>
      <c r="D48" s="10" t="inlineStr">
        <is>
          <t>2de kritieke waarde</t>
        </is>
      </c>
      <c r="E48" s="10" t="inlineStr">
        <is>
          <t>p-waarde</t>
        </is>
      </c>
      <c r="F48" s="10" t="inlineStr">
        <is>
          <t>Besluit bij α</t>
        </is>
      </c>
    </row>
    <row r="49">
      <c r="A49" s="6" t="inlineStr">
        <is>
          <t>HA: σ1 ≠ σ2 (tweezijdig)</t>
        </is>
      </c>
      <c r="B49" s="11">
        <f>IF(AND(ISNUMBER(B36),ISNUMBER(B37),ISNUMBER(B38),ISNUMBER(B39),B36&gt;1,B38&gt;1,B39&gt;0,ISNUMBER(B9)),B40,"")</f>
        <v/>
      </c>
      <c r="C49" s="11">
        <f>IF(AND(ISNUMBER(B41),ISNUMBER(C41),N(B41)&gt;0,N(C41)&gt;0,ISNUMBER(B9)),_xlfn.F.INV(B9/2,B41,C41),"")</f>
        <v/>
      </c>
      <c r="D49" s="11">
        <f>IF(AND(ISNUMBER(B41),ISNUMBER(C41),N(B41)&gt;0,N(C41)&gt;0,ISNUMBER(B9)),_xlfn.F.INV.RT(B9/2,B41,C41),"")</f>
        <v/>
      </c>
      <c r="E49" s="14">
        <f>IF(AND(ISNUMBER(B36),ISNUMBER(B37),ISNUMBER(B38),ISNUMBER(B39),B36&gt;1,B38&gt;1,B39&gt;0,ISNUMBER(B9)),2*MIN(_xlfn.F.DIST(B49,B41,C41,TRUE),_xlfn.F.DIST.RT(B49,B41,C41)),"")</f>
        <v/>
      </c>
      <c r="F49" s="13">
        <f>IF(ISNUMBER(E49),IF(E49&lt;B9,"verwerp H0","H0 niet verwerpen"),"")</f>
        <v/>
      </c>
    </row>
    <row r="50">
      <c r="A50" s="6" t="inlineStr">
        <is>
          <t>HA: σ1 &gt; σ2</t>
        </is>
      </c>
      <c r="B50" s="11">
        <f>IF(AND(ISNUMBER(B36),ISNUMBER(B37),ISNUMBER(B38),ISNUMBER(B39),B36&gt;1,B38&gt;1,B39&gt;0,ISNUMBER(B9)),B40,"")</f>
        <v/>
      </c>
      <c r="C50" s="11">
        <f>IF(AND(ISNUMBER(B41),ISNUMBER(C41),N(B41)&gt;0,N(C41)&gt;0,ISNUMBER(B9)),_xlfn.F.INV.RT(B9,B41,C41),"")</f>
        <v/>
      </c>
      <c r="D50" s="11">
        <f>""</f>
        <v/>
      </c>
      <c r="E50" s="14">
        <f>IF(AND(ISNUMBER(B36),ISNUMBER(B37),ISNUMBER(B38),ISNUMBER(B39),B36&gt;1,B38&gt;1,B39&gt;0,ISNUMBER(B9)),_xlfn.F.DIST.RT(B50,B41,C41),"")</f>
        <v/>
      </c>
      <c r="F50" s="13">
        <f>IF(ISNUMBER(E50),IF(E50&lt;B9,"verwerp H0","H0 niet verwerpen"),"")</f>
        <v/>
      </c>
    </row>
    <row r="51">
      <c r="A51" s="6" t="inlineStr">
        <is>
          <t>HA: σ1 &lt; σ2</t>
        </is>
      </c>
      <c r="B51" s="11">
        <f>IF(AND(ISNUMBER(B36),ISNUMBER(B37),ISNUMBER(B38),ISNUMBER(B39),B36&gt;1,B38&gt;1,B39&gt;0,ISNUMBER(B9)),B40,"")</f>
        <v/>
      </c>
      <c r="C51" s="11">
        <f>IF(AND(ISNUMBER(B41),ISNUMBER(C41),N(B41)&gt;0,N(C41)&gt;0,ISNUMBER(B9)),_xlfn.F.INV(B9,B41,C41),"")</f>
        <v/>
      </c>
      <c r="D51" s="11">
        <f>""</f>
        <v/>
      </c>
      <c r="E51" s="14">
        <f>IF(AND(ISNUMBER(B36),ISNUMBER(B37),ISNUMBER(B38),ISNUMBER(B39),B36&gt;1,B38&gt;1,B39&gt;0,ISNUMBER(B9)),_xlfn.F.DIST(B51,B41,C41,TRUE),"")</f>
        <v/>
      </c>
      <c r="F51" s="13">
        <f>IF(ISNUMBER(E51),IF(E51&lt;B9,"verwerp H0","H0 niet verwerpen"),"")</f>
        <v/>
      </c>
    </row>
    <row r="52">
      <c r="A52" s="8" t="inlineStr">
        <is>
          <t>Bron: Test Recipes - Further Reading (Dutch) p. 13-14</t>
        </is>
      </c>
    </row>
  </sheetData>
  <dataValidations count="2">
    <dataValidation sqref="B9" showDropDown="0" showInputMessage="0" showErrorMessage="1" allowBlank="1" errorTitle="α" error="α is een fractie, bv. 0,05." type="decimal" operator="between">
      <formula1>0.0000001</formula1>
      <formula2>0.9999999</formula2>
    </dataValidation>
    <dataValidation sqref="B12 B13 B14 B32 B33 B34 B35" showDropDown="0" showInputMessage="0" showErrorMessage="1" allowBlank="1" errorTitle="Moet positief zijn" error="Moet groter zijn dan 0." type="decimal" operator="greaterThan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4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Confusion matrix: nauwkeurigheid (accuracy), sensitiviteit (recall), precisie (precision), F1 (trainingsset vs testset, tot drie modellen)</t>
        </is>
      </c>
    </row>
    <row r="2">
      <c r="A2" s="2" t="inlineStr">
        <is>
          <t>Bron in de cursus</t>
        </is>
      </c>
      <c r="B2" s="3" t="inlineStr">
        <is>
          <t>source/course/Les 2/20260529_naert.pdf p. 19-32 (train/test, underfitting/overfitting, bias-variance, confusion matrix en haar maten)</t>
        </is>
      </c>
    </row>
    <row r="3">
      <c r="A3" s="2" t="inlineStr">
        <is>
          <t>Gebruikte conventie</t>
        </is>
      </c>
      <c r="B3" s="3" t="inlineStr">
        <is>
          <t>Sensitiviteit (recall), precisie en F1 getoond met elke klasse als de positieve klasse (de cursus laat die keuze aan het domein); geen automatisch bias/variance-label.</t>
        </is>
      </c>
    </row>
    <row r="4">
      <c r="A4" s="2" t="inlineStr">
        <is>
          <t>Status</t>
        </is>
      </c>
      <c r="B4" s="31" t="inlineStr">
        <is>
          <t>NIET GEVERIFIEERD (UNVERIFIED): geen uitgewerkt cursusvoorbeeld drukt deze maten af; gecontroleerd tegen een onafhankelijke berekening en door de stats-auditor (resources/build/README.md)</t>
        </is>
      </c>
    </row>
    <row r="5">
      <c r="A5" s="2" t="inlineStr">
        <is>
          <t>Legende</t>
        </is>
      </c>
      <c r="B5" s="3" t="inlineStr">
        <is>
          <t>Gele cel = vul hier in (invoer).  Groene cel = resultaat, niet overtypen.  Oranje cel (Tabellen) = verschilt van een andere gedrukte bron.</t>
        </is>
      </c>
    </row>
    <row r="6">
      <c r="A6" s="2" t="inlineStr">
        <is>
          <t>Controle</t>
        </is>
      </c>
      <c r="B6" s="3" t="inlineStr">
        <is>
          <t>Blijft een groene cel leeg, dan ontbreekt nog een invoer die ze nodig heeft.</t>
        </is>
      </c>
    </row>
    <row r="8">
      <c r="A8" s="5" t="inlineStr">
        <is>
          <t>1. Klassenamen (optioneel, voor eigen gebruik)</t>
        </is>
      </c>
    </row>
    <row r="9">
      <c r="A9" s="6" t="inlineStr">
        <is>
          <t>Klasse 1</t>
        </is>
      </c>
      <c r="B9" s="7" t="n"/>
      <c r="C9" s="8" t="inlineStr">
        <is>
          <t>bv. Goed</t>
        </is>
      </c>
    </row>
    <row r="10">
      <c r="A10" s="6" t="inlineStr">
        <is>
          <t>Klasse 2</t>
        </is>
      </c>
      <c r="B10" s="7" t="n"/>
      <c r="C10" s="8" t="inlineStr">
        <is>
          <t>bv. Slecht</t>
        </is>
      </c>
    </row>
    <row r="12">
      <c r="A12" s="5" t="inlineStr">
        <is>
          <t>2. Model A</t>
        </is>
      </c>
    </row>
    <row r="13">
      <c r="A13" s="10" t="inlineStr">
        <is>
          <t>aantallen (rijen = werkelijk)</t>
        </is>
      </c>
      <c r="B13" s="10" t="inlineStr">
        <is>
          <t>Trainingsset: voorspeld klasse 1</t>
        </is>
      </c>
      <c r="C13" s="10" t="inlineStr">
        <is>
          <t>voorspeld klasse 2</t>
        </is>
      </c>
      <c r="D13" s="10" t="inlineStr"/>
      <c r="E13" s="10" t="inlineStr">
        <is>
          <t>Testset: voorspeld klasse 1</t>
        </is>
      </c>
      <c r="F13" s="10" t="inlineStr">
        <is>
          <t>voorspeld klasse 2</t>
        </is>
      </c>
    </row>
    <row r="14">
      <c r="A14" s="20" t="inlineStr">
        <is>
          <t>werkelijk klasse 1</t>
        </is>
      </c>
      <c r="B14" s="32" t="n"/>
      <c r="C14" s="32" t="n"/>
      <c r="E14" s="32" t="n"/>
      <c r="F14" s="32" t="n"/>
    </row>
    <row r="15">
      <c r="A15" s="20" t="inlineStr">
        <is>
          <t>werkelijk klasse 2</t>
        </is>
      </c>
      <c r="B15" s="32" t="n"/>
      <c r="C15" s="32" t="n"/>
      <c r="E15" s="32" t="n"/>
      <c r="F15" s="32" t="n"/>
    </row>
    <row r="16">
      <c r="A16" s="10" t="inlineStr">
        <is>
          <t>Maat (metric)</t>
        </is>
      </c>
      <c r="B16" s="10" t="inlineStr">
        <is>
          <t>Trainingsset</t>
        </is>
      </c>
      <c r="C16" s="10" t="inlineStr">
        <is>
          <t>Testset</t>
        </is>
      </c>
      <c r="D16" s="10" t="inlineStr">
        <is>
          <t>Testset − trainingsset</t>
        </is>
      </c>
      <c r="E16" s="10" t="inlineStr">
        <is>
          <t>Bron in de cursus</t>
        </is>
      </c>
    </row>
    <row r="17">
      <c r="A17" s="6" t="inlineStr">
        <is>
          <t>Nauwkeurigheid (accuracy) = (juist) / (alle)</t>
        </is>
      </c>
      <c r="B17" s="33">
        <f>IFERROR(IF(COUNT(B14,C14,B15,C15)=4,(B14+C15)/(B14+C14+B15+C15),""),"")</f>
        <v/>
      </c>
      <c r="C17" s="33">
        <f>IFERROR(IF(COUNT(E14,F14,E15,F15)=4,(E14+F15)/(E14+F14+E15+F15),""),"")</f>
        <v/>
      </c>
      <c r="D17" s="33">
        <f>IF(AND(ISNUMBER(B17),ISNUMBER(C17)),C17-B17,"")</f>
        <v/>
      </c>
      <c r="E17" s="8" t="inlineStr">
        <is>
          <t>p. 31 ('Misleidend bij onevenwicht.')</t>
        </is>
      </c>
    </row>
    <row r="18">
      <c r="A18" s="6" t="inlineStr">
        <is>
          <t>Foutenpercentage (error rate) = 1 − nauwkeurigheid</t>
        </is>
      </c>
      <c r="B18" s="33">
        <f>IFERROR(IF(COUNT(B14,C14,B15,C15)=4,(C14+B15)/(B14+C14+B15+C15),""),"")</f>
        <v/>
      </c>
      <c r="C18" s="33">
        <f>IFERROR(IF(COUNT(E14,F14,E15,F15)=4,(F14+E15)/(E14+F14+E15+F15),""),"")</f>
        <v/>
      </c>
      <c r="D18" s="33">
        <f>IF(AND(ISNUMBER(B18),ISNUMBER(C18)),C18-B18,"")</f>
        <v/>
      </c>
      <c r="E18" s="8" t="inlineStr"/>
    </row>
    <row r="19">
      <c r="A19" s="6" t="inlineStr">
        <is>
          <t>Sensitiviteit (recall), klasse 1 positief = TP / (TP + FN)</t>
        </is>
      </c>
      <c r="B19" s="33">
        <f>IFERROR(IF(COUNT(B14,C14,B15,C15)=4,B14/(B14+C14),""),"")</f>
        <v/>
      </c>
      <c r="C19" s="33">
        <f>IFERROR(IF(COUNT(E14,F14,E15,F15)=4,E14/(E14+F14),""),"")</f>
        <v/>
      </c>
      <c r="D19" s="33">
        <f>IF(AND(ISNUMBER(B19),ISNUMBER(C19)),C19-B19,"")</f>
        <v/>
      </c>
      <c r="E19" s="8" t="inlineStr">
        <is>
          <t>p. 31</t>
        </is>
      </c>
    </row>
    <row r="20">
      <c r="A20" s="6" t="inlineStr">
        <is>
          <t>Precisie (precision), klasse 1 positief = TP / (TP + FP)</t>
        </is>
      </c>
      <c r="B20" s="33">
        <f>IFERROR(IF(COUNT(B14,C14,B15,C15)=4,B14/(B14+B15),""),"")</f>
        <v/>
      </c>
      <c r="C20" s="33">
        <f>IFERROR(IF(COUNT(E14,F14,E15,F15)=4,E14/(E14+E15),""),"")</f>
        <v/>
      </c>
      <c r="D20" s="33">
        <f>IF(AND(ISNUMBER(B20),ISNUMBER(C20)),C20-B20,"")</f>
        <v/>
      </c>
      <c r="E20" s="8" t="inlineStr">
        <is>
          <t>p. 31</t>
        </is>
      </c>
    </row>
    <row r="21">
      <c r="A21" s="6" t="inlineStr">
        <is>
          <t>F1, klasse 1 positief = 2·P·R / (P + R)</t>
        </is>
      </c>
      <c r="B21" s="33">
        <f>IFERROR(IF(COUNT(B14,C14,B15,C15)=4,2*(B14/(B14+B15))*(B14/(B14+C14))/((B14/(B14+B15))+(B14/(B14+C14))),""),"")</f>
        <v/>
      </c>
      <c r="C21" s="33">
        <f>IFERROR(IF(COUNT(E14,F14,E15,F15)=4,2*(E14/(E14+E15))*(E14/(E14+F14))/((E14/(E14+E15))+(E14/(E14+F14))),""),"")</f>
        <v/>
      </c>
      <c r="D21" s="33">
        <f>IF(AND(ISNUMBER(B21),ISNUMBER(C21)),C21-B21,"")</f>
        <v/>
      </c>
      <c r="E21" s="8" t="inlineStr">
        <is>
          <t>p. 31</t>
        </is>
      </c>
    </row>
    <row r="22">
      <c r="A22" s="6" t="inlineStr">
        <is>
          <t>Sensitiviteit (recall), klasse 2 positief</t>
        </is>
      </c>
      <c r="B22" s="33">
        <f>IFERROR(IF(COUNT(B14,C14,B15,C15)=4,C15/(C15+B15),""),"")</f>
        <v/>
      </c>
      <c r="C22" s="33">
        <f>IFERROR(IF(COUNT(E14,F14,E15,F15)=4,F15/(F15+E15),""),"")</f>
        <v/>
      </c>
      <c r="D22" s="33">
        <f>IF(AND(ISNUMBER(B22),ISNUMBER(C22)),C22-B22,"")</f>
        <v/>
      </c>
      <c r="E22" s="8" t="inlineStr">
        <is>
          <t>p. 31</t>
        </is>
      </c>
    </row>
    <row r="23">
      <c r="A23" s="6" t="inlineStr">
        <is>
          <t>Precisie, klasse 2 positief</t>
        </is>
      </c>
      <c r="B23" s="33">
        <f>IFERROR(IF(COUNT(B14,C14,B15,C15)=4,C15/(C15+C14),""),"")</f>
        <v/>
      </c>
      <c r="C23" s="33">
        <f>IFERROR(IF(COUNT(E14,F14,E15,F15)=4,F15/(F15+F14),""),"")</f>
        <v/>
      </c>
      <c r="D23" s="33">
        <f>IF(AND(ISNUMBER(B23),ISNUMBER(C23)),C23-B23,"")</f>
        <v/>
      </c>
      <c r="E23" s="8" t="inlineStr">
        <is>
          <t>p. 31</t>
        </is>
      </c>
    </row>
    <row r="24">
      <c r="A24" s="6" t="inlineStr">
        <is>
          <t>F1, klasse 2 positief</t>
        </is>
      </c>
      <c r="B24" s="33">
        <f>IFERROR(IF(COUNT(B14,C14,B15,C15)=4,2*(C15/(C15+C14))*(C15/(C15+B15))/((C15/(C15+C14))+(C15/(C15+B15))),""),"")</f>
        <v/>
      </c>
      <c r="C24" s="33">
        <f>IFERROR(IF(COUNT(E14,F14,E15,F15)=4,2*(F15/(F15+F14))*(F15/(F15+E15))/((F15/(F15+F14))+(F15/(F15+E15))),""),"")</f>
        <v/>
      </c>
      <c r="D24" s="33">
        <f>IF(AND(ISNUMBER(B24),ISNUMBER(C24)),C24-B24,"")</f>
        <v/>
      </c>
      <c r="E24" s="8" t="inlineStr">
        <is>
          <t>p. 31</t>
        </is>
      </c>
    </row>
    <row r="25">
      <c r="A25" s="6" t="inlineStr">
        <is>
          <t>Aantal items</t>
        </is>
      </c>
      <c r="B25" s="28">
        <f>IFERROR(IF(COUNT(B14,C14,B15,C15)=4,(B14+C14+B15+C15),""),"")</f>
        <v/>
      </c>
      <c r="C25" s="28">
        <f>IFERROR(IF(COUNT(E14,F14,E15,F15)=4,(E14+F14+E15+F15),""),"")</f>
        <v/>
      </c>
      <c r="E25" s="8" t="inlineStr"/>
    </row>
    <row r="27">
      <c r="A27" s="5" t="inlineStr">
        <is>
          <t>3. Model B</t>
        </is>
      </c>
    </row>
    <row r="28">
      <c r="A28" s="10" t="inlineStr">
        <is>
          <t>aantallen (rijen = werkelijk)</t>
        </is>
      </c>
      <c r="B28" s="10" t="inlineStr">
        <is>
          <t>Trainingsset: voorspeld klasse 1</t>
        </is>
      </c>
      <c r="C28" s="10" t="inlineStr">
        <is>
          <t>voorspeld klasse 2</t>
        </is>
      </c>
      <c r="D28" s="10" t="inlineStr"/>
      <c r="E28" s="10" t="inlineStr">
        <is>
          <t>Testset: voorspeld klasse 1</t>
        </is>
      </c>
      <c r="F28" s="10" t="inlineStr">
        <is>
          <t>voorspeld klasse 2</t>
        </is>
      </c>
    </row>
    <row r="29">
      <c r="A29" s="20" t="inlineStr">
        <is>
          <t>werkelijk klasse 1</t>
        </is>
      </c>
      <c r="B29" s="32" t="n"/>
      <c r="C29" s="32" t="n"/>
      <c r="E29" s="32" t="n"/>
      <c r="F29" s="32" t="n"/>
    </row>
    <row r="30">
      <c r="A30" s="20" t="inlineStr">
        <is>
          <t>werkelijk klasse 2</t>
        </is>
      </c>
      <c r="B30" s="32" t="n"/>
      <c r="C30" s="32" t="n"/>
      <c r="E30" s="32" t="n"/>
      <c r="F30" s="32" t="n"/>
    </row>
    <row r="31">
      <c r="A31" s="10" t="inlineStr">
        <is>
          <t>Maat (metric)</t>
        </is>
      </c>
      <c r="B31" s="10" t="inlineStr">
        <is>
          <t>Trainingsset</t>
        </is>
      </c>
      <c r="C31" s="10" t="inlineStr">
        <is>
          <t>Testset</t>
        </is>
      </c>
      <c r="D31" s="10" t="inlineStr">
        <is>
          <t>Testset − trainingsset</t>
        </is>
      </c>
      <c r="E31" s="10" t="inlineStr">
        <is>
          <t>Bron in de cursus</t>
        </is>
      </c>
    </row>
    <row r="32">
      <c r="A32" s="6" t="inlineStr">
        <is>
          <t>Nauwkeurigheid (accuracy) = (juist) / (alle)</t>
        </is>
      </c>
      <c r="B32" s="33">
        <f>IFERROR(IF(COUNT(B29,C29,B30,C30)=4,(B29+C30)/(B29+C29+B30+C30),""),"")</f>
        <v/>
      </c>
      <c r="C32" s="33">
        <f>IFERROR(IF(COUNT(E29,F29,E30,F30)=4,(E29+F30)/(E29+F29+E30+F30),""),"")</f>
        <v/>
      </c>
      <c r="D32" s="33">
        <f>IF(AND(ISNUMBER(B32),ISNUMBER(C32)),C32-B32,"")</f>
        <v/>
      </c>
      <c r="E32" s="8" t="inlineStr">
        <is>
          <t>p. 31 ('Misleidend bij onevenwicht.')</t>
        </is>
      </c>
    </row>
    <row r="33">
      <c r="A33" s="6" t="inlineStr">
        <is>
          <t>Foutenpercentage (error rate) = 1 − nauwkeurigheid</t>
        </is>
      </c>
      <c r="B33" s="33">
        <f>IFERROR(IF(COUNT(B29,C29,B30,C30)=4,(C29+B30)/(B29+C29+B30+C30),""),"")</f>
        <v/>
      </c>
      <c r="C33" s="33">
        <f>IFERROR(IF(COUNT(E29,F29,E30,F30)=4,(F29+E30)/(E29+F29+E30+F30),""),"")</f>
        <v/>
      </c>
      <c r="D33" s="33">
        <f>IF(AND(ISNUMBER(B33),ISNUMBER(C33)),C33-B33,"")</f>
        <v/>
      </c>
      <c r="E33" s="8" t="inlineStr"/>
    </row>
    <row r="34">
      <c r="A34" s="6" t="inlineStr">
        <is>
          <t>Sensitiviteit (recall), klasse 1 positief = TP / (TP + FN)</t>
        </is>
      </c>
      <c r="B34" s="33">
        <f>IFERROR(IF(COUNT(B29,C29,B30,C30)=4,B29/(B29+C29),""),"")</f>
        <v/>
      </c>
      <c r="C34" s="33">
        <f>IFERROR(IF(COUNT(E29,F29,E30,F30)=4,E29/(E29+F29),""),"")</f>
        <v/>
      </c>
      <c r="D34" s="33">
        <f>IF(AND(ISNUMBER(B34),ISNUMBER(C34)),C34-B34,"")</f>
        <v/>
      </c>
      <c r="E34" s="8" t="inlineStr">
        <is>
          <t>p. 31</t>
        </is>
      </c>
    </row>
    <row r="35">
      <c r="A35" s="6" t="inlineStr">
        <is>
          <t>Precisie (precision), klasse 1 positief = TP / (TP + FP)</t>
        </is>
      </c>
      <c r="B35" s="33">
        <f>IFERROR(IF(COUNT(B29,C29,B30,C30)=4,B29/(B29+B30),""),"")</f>
        <v/>
      </c>
      <c r="C35" s="33">
        <f>IFERROR(IF(COUNT(E29,F29,E30,F30)=4,E29/(E29+E30),""),"")</f>
        <v/>
      </c>
      <c r="D35" s="33">
        <f>IF(AND(ISNUMBER(B35),ISNUMBER(C35)),C35-B35,"")</f>
        <v/>
      </c>
      <c r="E35" s="8" t="inlineStr">
        <is>
          <t>p. 31</t>
        </is>
      </c>
    </row>
    <row r="36">
      <c r="A36" s="6" t="inlineStr">
        <is>
          <t>F1, klasse 1 positief = 2·P·R / (P + R)</t>
        </is>
      </c>
      <c r="B36" s="33">
        <f>IFERROR(IF(COUNT(B29,C29,B30,C30)=4,2*(B29/(B29+B30))*(B29/(B29+C29))/((B29/(B29+B30))+(B29/(B29+C29))),""),"")</f>
        <v/>
      </c>
      <c r="C36" s="33">
        <f>IFERROR(IF(COUNT(E29,F29,E30,F30)=4,2*(E29/(E29+E30))*(E29/(E29+F29))/((E29/(E29+E30))+(E29/(E29+F29))),""),"")</f>
        <v/>
      </c>
      <c r="D36" s="33">
        <f>IF(AND(ISNUMBER(B36),ISNUMBER(C36)),C36-B36,"")</f>
        <v/>
      </c>
      <c r="E36" s="8" t="inlineStr">
        <is>
          <t>p. 31</t>
        </is>
      </c>
    </row>
    <row r="37">
      <c r="A37" s="6" t="inlineStr">
        <is>
          <t>Sensitiviteit (recall), klasse 2 positief</t>
        </is>
      </c>
      <c r="B37" s="33">
        <f>IFERROR(IF(COUNT(B29,C29,B30,C30)=4,C30/(C30+B30),""),"")</f>
        <v/>
      </c>
      <c r="C37" s="33">
        <f>IFERROR(IF(COUNT(E29,F29,E30,F30)=4,F30/(F30+E30),""),"")</f>
        <v/>
      </c>
      <c r="D37" s="33">
        <f>IF(AND(ISNUMBER(B37),ISNUMBER(C37)),C37-B37,"")</f>
        <v/>
      </c>
      <c r="E37" s="8" t="inlineStr">
        <is>
          <t>p. 31</t>
        </is>
      </c>
    </row>
    <row r="38">
      <c r="A38" s="6" t="inlineStr">
        <is>
          <t>Precisie, klasse 2 positief</t>
        </is>
      </c>
      <c r="B38" s="33">
        <f>IFERROR(IF(COUNT(B29,C29,B30,C30)=4,C30/(C30+C29),""),"")</f>
        <v/>
      </c>
      <c r="C38" s="33">
        <f>IFERROR(IF(COUNT(E29,F29,E30,F30)=4,F30/(F30+F29),""),"")</f>
        <v/>
      </c>
      <c r="D38" s="33">
        <f>IF(AND(ISNUMBER(B38),ISNUMBER(C38)),C38-B38,"")</f>
        <v/>
      </c>
      <c r="E38" s="8" t="inlineStr">
        <is>
          <t>p. 31</t>
        </is>
      </c>
    </row>
    <row r="39">
      <c r="A39" s="6" t="inlineStr">
        <is>
          <t>F1, klasse 2 positief</t>
        </is>
      </c>
      <c r="B39" s="33">
        <f>IFERROR(IF(COUNT(B29,C29,B30,C30)=4,2*(C30/(C30+C29))*(C30/(C30+B30))/((C30/(C30+C29))+(C30/(C30+B30))),""),"")</f>
        <v/>
      </c>
      <c r="C39" s="33">
        <f>IFERROR(IF(COUNT(E29,F29,E30,F30)=4,2*(F30/(F30+F29))*(F30/(F30+E30))/((F30/(F30+F29))+(F30/(F30+E30))),""),"")</f>
        <v/>
      </c>
      <c r="D39" s="33">
        <f>IF(AND(ISNUMBER(B39),ISNUMBER(C39)),C39-B39,"")</f>
        <v/>
      </c>
      <c r="E39" s="8" t="inlineStr">
        <is>
          <t>p. 31</t>
        </is>
      </c>
    </row>
    <row r="40">
      <c r="A40" s="6" t="inlineStr">
        <is>
          <t>Aantal items</t>
        </is>
      </c>
      <c r="B40" s="28">
        <f>IFERROR(IF(COUNT(B29,C29,B30,C30)=4,(B29+C29+B30+C30),""),"")</f>
        <v/>
      </c>
      <c r="C40" s="28">
        <f>IFERROR(IF(COUNT(E29,F29,E30,F30)=4,(E29+F29+E30+F30),""),"")</f>
        <v/>
      </c>
      <c r="E40" s="8" t="inlineStr"/>
    </row>
    <row r="42">
      <c r="A42" s="5" t="inlineStr">
        <is>
          <t>4. Model C</t>
        </is>
      </c>
    </row>
    <row r="43">
      <c r="A43" s="10" t="inlineStr">
        <is>
          <t>aantallen (rijen = werkelijk)</t>
        </is>
      </c>
      <c r="B43" s="10" t="inlineStr">
        <is>
          <t>Trainingsset: voorspeld klasse 1</t>
        </is>
      </c>
      <c r="C43" s="10" t="inlineStr">
        <is>
          <t>voorspeld klasse 2</t>
        </is>
      </c>
      <c r="D43" s="10" t="inlineStr"/>
      <c r="E43" s="10" t="inlineStr">
        <is>
          <t>Testset: voorspeld klasse 1</t>
        </is>
      </c>
      <c r="F43" s="10" t="inlineStr">
        <is>
          <t>voorspeld klasse 2</t>
        </is>
      </c>
    </row>
    <row r="44">
      <c r="A44" s="20" t="inlineStr">
        <is>
          <t>werkelijk klasse 1</t>
        </is>
      </c>
      <c r="B44" s="32" t="n"/>
      <c r="C44" s="32" t="n"/>
      <c r="E44" s="32" t="n"/>
      <c r="F44" s="32" t="n"/>
    </row>
    <row r="45">
      <c r="A45" s="20" t="inlineStr">
        <is>
          <t>werkelijk klasse 2</t>
        </is>
      </c>
      <c r="B45" s="32" t="n"/>
      <c r="C45" s="32" t="n"/>
      <c r="E45" s="32" t="n"/>
      <c r="F45" s="32" t="n"/>
    </row>
    <row r="46">
      <c r="A46" s="10" t="inlineStr">
        <is>
          <t>Maat (metric)</t>
        </is>
      </c>
      <c r="B46" s="10" t="inlineStr">
        <is>
          <t>Trainingsset</t>
        </is>
      </c>
      <c r="C46" s="10" t="inlineStr">
        <is>
          <t>Testset</t>
        </is>
      </c>
      <c r="D46" s="10" t="inlineStr">
        <is>
          <t>Testset − trainingsset</t>
        </is>
      </c>
      <c r="E46" s="10" t="inlineStr">
        <is>
          <t>Bron in de cursus</t>
        </is>
      </c>
    </row>
    <row r="47">
      <c r="A47" s="6" t="inlineStr">
        <is>
          <t>Nauwkeurigheid (accuracy) = (juist) / (alle)</t>
        </is>
      </c>
      <c r="B47" s="33">
        <f>IFERROR(IF(COUNT(B44,C44,B45,C45)=4,(B44+C45)/(B44+C44+B45+C45),""),"")</f>
        <v/>
      </c>
      <c r="C47" s="33">
        <f>IFERROR(IF(COUNT(E44,F44,E45,F45)=4,(E44+F45)/(E44+F44+E45+F45),""),"")</f>
        <v/>
      </c>
      <c r="D47" s="33">
        <f>IF(AND(ISNUMBER(B47),ISNUMBER(C47)),C47-B47,"")</f>
        <v/>
      </c>
      <c r="E47" s="8" t="inlineStr">
        <is>
          <t>p. 31 ('Misleidend bij onevenwicht.')</t>
        </is>
      </c>
    </row>
    <row r="48">
      <c r="A48" s="6" t="inlineStr">
        <is>
          <t>Foutenpercentage (error rate) = 1 − nauwkeurigheid</t>
        </is>
      </c>
      <c r="B48" s="33">
        <f>IFERROR(IF(COUNT(B44,C44,B45,C45)=4,(C44+B45)/(B44+C44+B45+C45),""),"")</f>
        <v/>
      </c>
      <c r="C48" s="33">
        <f>IFERROR(IF(COUNT(E44,F44,E45,F45)=4,(F44+E45)/(E44+F44+E45+F45),""),"")</f>
        <v/>
      </c>
      <c r="D48" s="33">
        <f>IF(AND(ISNUMBER(B48),ISNUMBER(C48)),C48-B48,"")</f>
        <v/>
      </c>
      <c r="E48" s="8" t="inlineStr"/>
    </row>
    <row r="49">
      <c r="A49" s="6" t="inlineStr">
        <is>
          <t>Sensitiviteit (recall), klasse 1 positief = TP / (TP + FN)</t>
        </is>
      </c>
      <c r="B49" s="33">
        <f>IFERROR(IF(COUNT(B44,C44,B45,C45)=4,B44/(B44+C44),""),"")</f>
        <v/>
      </c>
      <c r="C49" s="33">
        <f>IFERROR(IF(COUNT(E44,F44,E45,F45)=4,E44/(E44+F44),""),"")</f>
        <v/>
      </c>
      <c r="D49" s="33">
        <f>IF(AND(ISNUMBER(B49),ISNUMBER(C49)),C49-B49,"")</f>
        <v/>
      </c>
      <c r="E49" s="8" t="inlineStr">
        <is>
          <t>p. 31</t>
        </is>
      </c>
    </row>
    <row r="50">
      <c r="A50" s="6" t="inlineStr">
        <is>
          <t>Precisie (precision), klasse 1 positief = TP / (TP + FP)</t>
        </is>
      </c>
      <c r="B50" s="33">
        <f>IFERROR(IF(COUNT(B44,C44,B45,C45)=4,B44/(B44+B45),""),"")</f>
        <v/>
      </c>
      <c r="C50" s="33">
        <f>IFERROR(IF(COUNT(E44,F44,E45,F45)=4,E44/(E44+E45),""),"")</f>
        <v/>
      </c>
      <c r="D50" s="33">
        <f>IF(AND(ISNUMBER(B50),ISNUMBER(C50)),C50-B50,"")</f>
        <v/>
      </c>
      <c r="E50" s="8" t="inlineStr">
        <is>
          <t>p. 31</t>
        </is>
      </c>
    </row>
    <row r="51">
      <c r="A51" s="6" t="inlineStr">
        <is>
          <t>F1, klasse 1 positief = 2·P·R / (P + R)</t>
        </is>
      </c>
      <c r="B51" s="33">
        <f>IFERROR(IF(COUNT(B44,C44,B45,C45)=4,2*(B44/(B44+B45))*(B44/(B44+C44))/((B44/(B44+B45))+(B44/(B44+C44))),""),"")</f>
        <v/>
      </c>
      <c r="C51" s="33">
        <f>IFERROR(IF(COUNT(E44,F44,E45,F45)=4,2*(E44/(E44+E45))*(E44/(E44+F44))/((E44/(E44+E45))+(E44/(E44+F44))),""),"")</f>
        <v/>
      </c>
      <c r="D51" s="33">
        <f>IF(AND(ISNUMBER(B51),ISNUMBER(C51)),C51-B51,"")</f>
        <v/>
      </c>
      <c r="E51" s="8" t="inlineStr">
        <is>
          <t>p. 31</t>
        </is>
      </c>
    </row>
    <row r="52">
      <c r="A52" s="6" t="inlineStr">
        <is>
          <t>Sensitiviteit (recall), klasse 2 positief</t>
        </is>
      </c>
      <c r="B52" s="33">
        <f>IFERROR(IF(COUNT(B44,C44,B45,C45)=4,C45/(C45+B45),""),"")</f>
        <v/>
      </c>
      <c r="C52" s="33">
        <f>IFERROR(IF(COUNT(E44,F44,E45,F45)=4,F45/(F45+E45),""),"")</f>
        <v/>
      </c>
      <c r="D52" s="33">
        <f>IF(AND(ISNUMBER(B52),ISNUMBER(C52)),C52-B52,"")</f>
        <v/>
      </c>
      <c r="E52" s="8" t="inlineStr">
        <is>
          <t>p. 31</t>
        </is>
      </c>
    </row>
    <row r="53">
      <c r="A53" s="6" t="inlineStr">
        <is>
          <t>Precisie, klasse 2 positief</t>
        </is>
      </c>
      <c r="B53" s="33">
        <f>IFERROR(IF(COUNT(B44,C44,B45,C45)=4,C45/(C45+C44),""),"")</f>
        <v/>
      </c>
      <c r="C53" s="33">
        <f>IFERROR(IF(COUNT(E44,F44,E45,F45)=4,F45/(F45+F44),""),"")</f>
        <v/>
      </c>
      <c r="D53" s="33">
        <f>IF(AND(ISNUMBER(B53),ISNUMBER(C53)),C53-B53,"")</f>
        <v/>
      </c>
      <c r="E53" s="8" t="inlineStr">
        <is>
          <t>p. 31</t>
        </is>
      </c>
    </row>
    <row r="54">
      <c r="A54" s="6" t="inlineStr">
        <is>
          <t>F1, klasse 2 positief</t>
        </is>
      </c>
      <c r="B54" s="33">
        <f>IFERROR(IF(COUNT(B44,C44,B45,C45)=4,2*(C45/(C45+C44))*(C45/(C45+B45))/((C45/(C45+C44))+(C45/(C45+B45))),""),"")</f>
        <v/>
      </c>
      <c r="C54" s="33">
        <f>IFERROR(IF(COUNT(E44,F44,E45,F45)=4,2*(F45/(F45+F44))*(F45/(F45+E45))/((F45/(F45+F44))+(F45/(F45+E45))),""),"")</f>
        <v/>
      </c>
      <c r="D54" s="33">
        <f>IF(AND(ISNUMBER(B54),ISNUMBER(C54)),C54-B54,"")</f>
        <v/>
      </c>
      <c r="E54" s="8" t="inlineStr">
        <is>
          <t>p. 31</t>
        </is>
      </c>
    </row>
    <row r="55">
      <c r="A55" s="6" t="inlineStr">
        <is>
          <t>Aantal items</t>
        </is>
      </c>
      <c r="B55" s="28">
        <f>IFERROR(IF(COUNT(B44,C44,B45,C45)=4,(B44+C44+B45+C45),""),"")</f>
        <v/>
      </c>
      <c r="C55" s="28">
        <f>IFERROR(IF(COUNT(E44,F44,E45,F45)=4,(E44+F44+E45+F45),""),"")</f>
        <v/>
      </c>
      <c r="E55" s="8" t="inlineStr"/>
    </row>
    <row r="57">
      <c r="A57" s="5" t="inlineStr">
        <is>
          <t>5. Vergelijking en hoe de cursus ze leest</t>
        </is>
      </c>
    </row>
    <row r="58">
      <c r="A58" s="10" t="inlineStr">
        <is>
          <t>Model</t>
        </is>
      </c>
      <c r="B58" s="10" t="inlineStr">
        <is>
          <t>Nauwkeurigheid trainingsset</t>
        </is>
      </c>
      <c r="C58" s="10" t="inlineStr">
        <is>
          <t>Nauwkeurigheid testset</t>
        </is>
      </c>
      <c r="D58" s="10" t="inlineStr">
        <is>
          <t>Testset − trainingsset</t>
        </is>
      </c>
    </row>
    <row r="59">
      <c r="A59" s="20" t="inlineStr">
        <is>
          <t>Model A</t>
        </is>
      </c>
      <c r="B59" s="33">
        <f>B17</f>
        <v/>
      </c>
      <c r="C59" s="33">
        <f>C17</f>
        <v/>
      </c>
      <c r="D59" s="33">
        <f>D17</f>
        <v/>
      </c>
    </row>
    <row r="60">
      <c r="A60" s="20" t="inlineStr">
        <is>
          <t>Model B</t>
        </is>
      </c>
      <c r="B60" s="33">
        <f>B32</f>
        <v/>
      </c>
      <c r="C60" s="33">
        <f>C32</f>
        <v/>
      </c>
      <c r="D60" s="33">
        <f>D32</f>
        <v/>
      </c>
    </row>
    <row r="61">
      <c r="A61" s="20" t="inlineStr">
        <is>
          <t>Model C</t>
        </is>
      </c>
      <c r="B61" s="33">
        <f>B47</f>
        <v/>
      </c>
      <c r="C61" s="33">
        <f>C47</f>
        <v/>
      </c>
      <c r="D61" s="33">
        <f>D47</f>
        <v/>
      </c>
    </row>
    <row r="63">
      <c r="A63" s="6" t="inlineStr">
        <is>
          <t>Underfitting: hoge bias, lage variantie (variance); hoog verlies (loss) op trainingsset en testset, dus beide nauwkeurigheden laag.</t>
        </is>
      </c>
    </row>
    <row r="64">
      <c r="A64" s="6" t="inlineStr">
        <is>
          <t>Overfitting: lage bias, hoge variantie; laag verlies op de trainingsset, hoog op de testset, dus nauwkeurigheid trainingsset hoog en nauwkeurigheid testset duidelijk lager.</t>
        </is>
      </c>
    </row>
    <row r="65">
      <c r="A65" s="6" t="inlineStr">
        <is>
          <t>Goede fit: lage bias, lage variantie; laag verlies op trainingsset en testset. Optimum bij het minimum van bias² + variantie.</t>
        </is>
      </c>
    </row>
    <row r="66">
      <c r="A66" s="8" t="inlineStr">
        <is>
          <t>Bron: 20260529_naert.pdf p. 22-28 (underfitting, overfitting, bias-variance-afweging, trade-off); beslissingsbomen (decision trees) p. 43-46.</t>
        </is>
      </c>
    </row>
  </sheetData>
  <dataValidations count="1">
    <dataValidation sqref="B14 B15 B29 B30 B44 B45 C14 C15 C29 C30 C44 C45 E14 E15 E29 E30 E44 E45 F14 F15 F29 F30 F44 F45" showDropDown="0" showInputMessage="0" showErrorMessage="1" allowBlank="1" errorTitle="Aantal" error="Een aantal is een geheel getal, 0 of meer." type="whole" operator="greaterThanOrEqual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  <col width="16" customWidth="1" min="3" max="3"/>
  </cols>
  <sheetData>
    <row r="1">
      <c r="A1" s="1" t="inlineStr">
        <is>
          <t>Verdelingen (distributions): E[X], Var[X] en kansen (Bernoulli, binomiaal, hypergeometrisch, Poisson, exponentieel, uniform)</t>
        </is>
      </c>
    </row>
    <row r="2">
      <c r="A2" s="2" t="inlineStr">
        <is>
          <t>Bron in de cursus</t>
        </is>
      </c>
      <c r="B2" s="3" t="inlineStr">
        <is>
          <t>source/course/Les 2/20260529_ottoy_Acceptance Sampling.pdf p. 12, 16, 20; Acceptance Sampling.xlsm; Testing of Hypotheses.xlsx; Les 1/20260522_naert_big data.pdf p. 5-10</t>
        </is>
      </c>
    </row>
    <row r="3">
      <c r="A3" s="2" t="inlineStr">
        <is>
          <t>Gebruikte conventie</t>
        </is>
      </c>
      <c r="B3" s="3" t="inlineStr">
        <is>
          <t>De verdelingsfuncties van Excel zoals de werkmappen van de cursus ze gebruiken; aantallen k zijn gehele getallen; P(X ≥ k) = 1 − P(X ≤ k − 1).</t>
        </is>
      </c>
    </row>
    <row r="4">
      <c r="A4" s="2" t="inlineStr">
        <is>
          <t>Status</t>
        </is>
      </c>
      <c r="B4" s="4" t="inlineStr">
        <is>
          <t>GEVERIFIEERD (VERIFIED): binomiaal en hypergeometrisch blok getest tegen de uitgewerkte cursusvoorbeelden (worked examples) S04-WE02, S03-WE19, S03-WE21, het Poisson-blok tegen S02-WE09; Bernoulli, Poisson, exponentieel en uniform gebruiken standaarddefinities die niet in de cursus gedrukt staan (beslissing 20; geaudit)</t>
        </is>
      </c>
    </row>
    <row r="5">
      <c r="A5" s="2" t="inlineStr">
        <is>
          <t>Legende</t>
        </is>
      </c>
      <c r="B5" s="3" t="inlineStr">
        <is>
          <t>Gele cel = vul hier in (invoer).  Groene cel = resultaat, niet overtypen.  Oranje cel (Tabellen) = verschilt van een andere gedrukte bron.</t>
        </is>
      </c>
    </row>
    <row r="6">
      <c r="A6" s="2" t="inlineStr">
        <is>
          <t>Controle</t>
        </is>
      </c>
      <c r="B6" s="3" t="inlineStr">
        <is>
          <t>Blijft een groene cel leeg, dan ontbreekt nog een invoer die ze nodig heeft.</t>
        </is>
      </c>
    </row>
    <row r="8">
      <c r="A8" s="5" t="inlineStr">
        <is>
          <t>1. Bernoulli: één stuk, X = 1 (bv. niet-conform) met kans p</t>
        </is>
      </c>
      <c r="D8" s="34" t="inlineStr">
        <is>
          <t>standaarddefinitie, niet gedrukt in de cursus (beslissing 20); geen uitgewerkt cursusvoorbeeld; gecontroleerd door de stats-auditor (resources/build/README.md)</t>
        </is>
      </c>
    </row>
    <row r="9">
      <c r="A9" s="6" t="inlineStr">
        <is>
          <t>p = P(X = 1) (fractie)</t>
        </is>
      </c>
      <c r="B9" s="22" t="n"/>
      <c r="C9" s="8" t="inlineStr">
        <is>
          <t>bv. 2 op 40 -&gt; 0,05</t>
        </is>
      </c>
    </row>
    <row r="10">
      <c r="A10" s="6" t="inlineStr">
        <is>
          <t>E[X] = p</t>
        </is>
      </c>
      <c r="B10" s="29">
        <f>IF(AND(ISNUMBER(B9),B9&gt;=0,B9&lt;=1),B9,"")</f>
        <v/>
      </c>
    </row>
    <row r="11">
      <c r="A11" s="6" t="inlineStr">
        <is>
          <t>Var[X] = p (1 − p)</t>
        </is>
      </c>
      <c r="B11" s="29">
        <f>IF(AND(ISNUMBER(B9),B9&gt;=0,B9&lt;=1),B9*(1-B9),"")</f>
        <v/>
      </c>
    </row>
    <row r="13">
      <c r="A13" s="5" t="inlineStr">
        <is>
          <t>2. Binomiaal (binomial): aantal successen (bv. defecte stuks) in n onafhankelijke herhalingen (trials)</t>
        </is>
      </c>
    </row>
    <row r="14">
      <c r="A14" s="6" t="inlineStr">
        <is>
          <t>n = aantal herhalingen (stuks)</t>
        </is>
      </c>
      <c r="B14" s="7" t="n"/>
    </row>
    <row r="15">
      <c r="A15" s="6" t="inlineStr">
        <is>
          <t>p = kans per herhaling (fractie)</t>
        </is>
      </c>
      <c r="B15" s="27" t="n"/>
    </row>
    <row r="16">
      <c r="A16" s="6" t="inlineStr">
        <is>
          <t>k (voor de kansen)</t>
        </is>
      </c>
      <c r="B16" s="7" t="n"/>
    </row>
    <row r="17">
      <c r="A17" s="6" t="inlineStr">
        <is>
          <t>E[X] = n p</t>
        </is>
      </c>
      <c r="B17" s="29">
        <f>IF(AND(ISNUMBER(B14),ISNUMBER(B15),B15&gt;=0,B15&lt;=1),B14*B15,"")</f>
        <v/>
      </c>
      <c r="C17" s="8" t="inlineStr">
        <is>
          <t>Acceptance Sampling.pdf p. 12 (E[i] = Nπ)</t>
        </is>
      </c>
    </row>
    <row r="18">
      <c r="A18" s="6" t="inlineStr">
        <is>
          <t>Var[X] = n p (1 − p)</t>
        </is>
      </c>
      <c r="B18" s="29">
        <f>IF(AND(ISNUMBER(B14),ISNUMBER(B15),B15&gt;=0,B15&lt;=1),B14*B15*(1-B15),"")</f>
        <v/>
      </c>
    </row>
    <row r="19">
      <c r="A19" s="6" t="inlineStr">
        <is>
          <t>σ = √Var[X]</t>
        </is>
      </c>
      <c r="B19" s="29">
        <f>IF(ISNUMBER(B18),SQRT(B18),"")</f>
        <v/>
      </c>
    </row>
    <row r="20">
      <c r="A20" s="6" t="inlineStr">
        <is>
          <t>P(X = k)</t>
        </is>
      </c>
      <c r="B20" s="35">
        <f>IF(AND(AND(ISNUMBER(B14),ISNUMBER(B15),B15&gt;=0,B15&lt;=1),ISNUMBER(B16)),_xlfn.BINOM.DIST(B16,B14,B15,FALSE),"")</f>
        <v/>
      </c>
      <c r="C20" s="8" t="inlineStr">
        <is>
          <t>P[i] = C(n,i) p^i (1 − p)^(n − i) (p. 12); Excel BINOM.DIST(k; n; p; ONWAAR)</t>
        </is>
      </c>
    </row>
    <row r="21">
      <c r="A21" s="6" t="inlineStr">
        <is>
          <t>P(X ≤ k)</t>
        </is>
      </c>
      <c r="B21" s="35">
        <f>IF(AND(AND(ISNUMBER(B14),ISNUMBER(B15),B15&gt;=0,B15&lt;=1),ISNUMBER(B16)),_xlfn.BINOM.DIST(B16,B14,B15,TRUE),"")</f>
        <v/>
      </c>
      <c r="C21" s="8" t="inlineStr">
        <is>
          <t>OC-curve P[d ≤ c] (Confidence Intervals.xlsx, Testing of Hypotheses.xlsx)</t>
        </is>
      </c>
    </row>
    <row r="22">
      <c r="A22" s="6" t="inlineStr">
        <is>
          <t>P(X ≥ k)</t>
        </is>
      </c>
      <c r="B22" s="35">
        <f>IF(AND(AND(ISNUMBER(B14),ISNUMBER(B15),B15&gt;=0,B15&lt;=1),ISNUMBER(B16)),IF(B16&lt;=0,1,1-_xlfn.BINOM.DIST(B16-1,B14,B15,TRUE)),"")</f>
        <v/>
      </c>
    </row>
    <row r="24">
      <c r="A24" s="5" t="inlineStr">
        <is>
          <t>3. Hypergeometrisch (hypergeometric): defecte stuks in een steekproef van n, zonder teruglegging uit een lot</t>
        </is>
      </c>
    </row>
    <row r="25">
      <c r="A25" s="6" t="inlineStr">
        <is>
          <t>N = lotgrootte (lot size)</t>
        </is>
      </c>
      <c r="B25" s="7" t="n"/>
    </row>
    <row r="26">
      <c r="A26" s="6" t="inlineStr">
        <is>
          <t>D = defecte stuks in het lot</t>
        </is>
      </c>
      <c r="B26" s="7" t="n"/>
      <c r="C26" s="8" t="inlineStr">
        <is>
          <t>D = π · N</t>
        </is>
      </c>
    </row>
    <row r="27">
      <c r="A27" s="6" t="inlineStr">
        <is>
          <t>n = steekproefgrootte (sample size)</t>
        </is>
      </c>
      <c r="B27" s="7" t="n"/>
    </row>
    <row r="28">
      <c r="A28" s="6" t="inlineStr">
        <is>
          <t>k (voor de kansen)</t>
        </is>
      </c>
      <c r="B28" s="7" t="n"/>
    </row>
    <row r="29">
      <c r="A29" s="6" t="inlineStr">
        <is>
          <t>E[X] = n D / N</t>
        </is>
      </c>
      <c r="B29" s="29">
        <f>IF(AND(ISNUMBER(B25),ISNUMBER(B26),ISNUMBER(B27),B25&gt;1,B26&lt;=B25,B27&lt;=B25),B27*B26/B25,"")</f>
        <v/>
      </c>
    </row>
    <row r="30">
      <c r="A30" s="6" t="inlineStr">
        <is>
          <t>Var[X] = n (D/N)(1 − D/N)(N − n)/(N − 1)</t>
        </is>
      </c>
      <c r="B30" s="29">
        <f>IF(AND(ISNUMBER(B25),ISNUMBER(B26),ISNUMBER(B27),B25&gt;1,B26&lt;=B25,B27&lt;=B25),B27*(B26/B25)*(1-B26/B25)*(B25-B27)/(B25-1),"")</f>
        <v/>
      </c>
    </row>
    <row r="31">
      <c r="A31" s="6" t="inlineStr">
        <is>
          <t>P(X = k)</t>
        </is>
      </c>
      <c r="B31" s="35">
        <f>IF(AND(AND(ISNUMBER(B25),ISNUMBER(B26),ISNUMBER(B27),B25&gt;1,B26&lt;=B25,B27&lt;=B25),ISNUMBER(B28)),_xlfn.HYPGEOM.DIST(B28,B27,B26,B25,FALSE),"")</f>
        <v/>
      </c>
      <c r="C31" s="8" t="inlineStr">
        <is>
          <t>Acceptance Sampling.pdf p. 16: P[d = i] = C(D,i) C(N−D,n−i) / C(N,n)</t>
        </is>
      </c>
    </row>
    <row r="32">
      <c r="A32" s="6" t="inlineStr">
        <is>
          <t>P(X ≤ k)</t>
        </is>
      </c>
      <c r="B32" s="35">
        <f>IF(AND(AND(ISNUMBER(B25),ISNUMBER(B26),ISNUMBER(B27),B25&gt;1,B26&lt;=B25,B27&lt;=B25),ISNUMBER(B28)),_xlfn.HYPGEOM.DIST(B28,B27,B26,B25,TRUE),"")</f>
        <v/>
      </c>
      <c r="C32" s="8" t="inlineStr">
        <is>
          <t>Testing of Hypotheses.xlsx 'OC-curve (hypergeometric)'</t>
        </is>
      </c>
    </row>
    <row r="33">
      <c r="A33" s="6" t="inlineStr">
        <is>
          <t>P(X ≥ k)</t>
        </is>
      </c>
      <c r="B33" s="35">
        <f>IF(AND(AND(ISNUMBER(B25),ISNUMBER(B26),ISNUMBER(B27),B25&gt;1,B26&lt;=B25,B27&lt;=B25),ISNUMBER(B28)),IF(B28&lt;=0,1,1-_xlfn.HYPGEOM.DIST(B28-1,B27,B26,B25,TRUE)),"")</f>
        <v/>
      </c>
    </row>
    <row r="35">
      <c r="A35" s="5" t="inlineStr">
        <is>
          <t>4. Poisson: aantal gebeurtenissen in een vast interval (bv. bestellingen per week)</t>
        </is>
      </c>
      <c r="D35" s="34" t="inlineStr">
        <is>
          <t>standaarddefinitie, niet gedrukt in de cursus (beslissing 20); cursusvoorbeeld Naert Les 1 p. 9-10 (λ = 2,959) getest</t>
        </is>
      </c>
    </row>
    <row r="36">
      <c r="A36" s="6" t="inlineStr">
        <is>
          <t>λ = gemiddeld aantal gebeurtenissen per interval</t>
        </is>
      </c>
      <c r="B36" s="7" t="n"/>
      <c r="C36" s="8" t="inlineStr">
        <is>
          <t>Naert Les 1 p. 9-10: λ = 2,959 klanten / minuut</t>
        </is>
      </c>
    </row>
    <row r="37">
      <c r="A37" s="6" t="inlineStr">
        <is>
          <t>k (voor de kansen)</t>
        </is>
      </c>
      <c r="B37" s="7" t="n"/>
    </row>
    <row r="38">
      <c r="A38" s="6" t="inlineStr">
        <is>
          <t>E[X] = λ</t>
        </is>
      </c>
      <c r="B38" s="29">
        <f>IF(AND(ISNUMBER(B36),B36&gt;0),B36,"")</f>
        <v/>
      </c>
      <c r="C38" s="8" t="inlineStr">
        <is>
          <t>Naert Les 1 p. 7-9 noemt Poisson voor tellingen (counts)</t>
        </is>
      </c>
    </row>
    <row r="39">
      <c r="A39" s="6" t="inlineStr">
        <is>
          <t>Var[X] = λ</t>
        </is>
      </c>
      <c r="B39" s="29">
        <f>IF(AND(ISNUMBER(B36),B36&gt;0),B36,"")</f>
        <v/>
      </c>
    </row>
    <row r="40">
      <c r="A40" s="6" t="inlineStr">
        <is>
          <t>P(X = k)</t>
        </is>
      </c>
      <c r="B40" s="35">
        <f>IF(AND(AND(ISNUMBER(B36),B36&gt;0),ISNUMBER(B37)),_xlfn.POISSON.DIST(B37,B36,FALSE),"")</f>
        <v/>
      </c>
      <c r="C40" s="8" t="inlineStr">
        <is>
          <t>Excel POISSON.DIST(k; λ; ONWAAR)</t>
        </is>
      </c>
    </row>
    <row r="41">
      <c r="A41" s="6" t="inlineStr">
        <is>
          <t>P(X ≤ k)</t>
        </is>
      </c>
      <c r="B41" s="35">
        <f>IF(AND(AND(ISNUMBER(B36),B36&gt;0),ISNUMBER(B37)),_xlfn.POISSON.DIST(B37,B36,TRUE),"")</f>
        <v/>
      </c>
    </row>
    <row r="42">
      <c r="A42" s="6" t="inlineStr">
        <is>
          <t>P(X ≥ k)</t>
        </is>
      </c>
      <c r="B42" s="35">
        <f>IF(AND(AND(ISNUMBER(B36),B36&gt;0),ISNUMBER(B37)),IF(B37&lt;=0,1,1-_xlfn.POISSON.DIST(B37-1,B36,TRUE)),"")</f>
        <v/>
      </c>
    </row>
    <row r="44">
      <c r="A44" s="5" t="inlineStr">
        <is>
          <t>5. Exponentieel (exponential): wachttijd tussen gebeurtenissen (intensiteit λ per tijdseenheid)</t>
        </is>
      </c>
      <c r="D44" s="34" t="inlineStr">
        <is>
          <t>standaarddefinitie, niet gedrukt in de cursus (beslissing 20); geen uitgewerkt cursusvoorbeeld; gecontroleerd door de stats-auditor (resources/build/README.md)</t>
        </is>
      </c>
    </row>
    <row r="45">
      <c r="A45" s="6" t="inlineStr">
        <is>
          <t>intensiteit (rate) λ = gebeurtenissen per tijdseenheid</t>
        </is>
      </c>
      <c r="B45" s="7" t="n"/>
      <c r="C45" s="8" t="inlineStr">
        <is>
          <t>bv. 175,3 bestellingen per week</t>
        </is>
      </c>
    </row>
    <row r="46">
      <c r="A46" s="6" t="inlineStr">
        <is>
          <t>t (voor de kansen)</t>
        </is>
      </c>
      <c r="B46" s="7" t="n"/>
    </row>
    <row r="47">
      <c r="A47" s="6" t="inlineStr">
        <is>
          <t>E[T] = 1 / λ</t>
        </is>
      </c>
      <c r="B47" s="29">
        <f>IF(AND(ISNUMBER(B45),B45&gt;0),1/B45,"")</f>
        <v/>
      </c>
      <c r="C47" s="8" t="inlineStr">
        <is>
          <t>Naert Les 1 p. 7 noemt exponentieel voor wachttijden</t>
        </is>
      </c>
    </row>
    <row r="48">
      <c r="A48" s="6" t="inlineStr">
        <is>
          <t>Var[T] = 1 / λ²</t>
        </is>
      </c>
      <c r="B48" s="30">
        <f>IF(AND(ISNUMBER(B45),B45&gt;0),1/B45^2,"")</f>
        <v/>
      </c>
    </row>
    <row r="49">
      <c r="A49" s="6" t="inlineStr">
        <is>
          <t>P(T ≤ t) = 1 − e^(−λt)</t>
        </is>
      </c>
      <c r="B49" s="35">
        <f>IF(AND(AND(ISNUMBER(B45),B45&gt;0),ISNUMBER(B46)),_xlfn.EXPON.DIST(B46,B45,TRUE),"")</f>
        <v/>
      </c>
      <c r="C49" s="8" t="inlineStr">
        <is>
          <t>Excel EXPON.DIST(t; λ; WAAR); de werkmap van de cursus gebruikt EXPON.DIST met een intensiteit (rate) (Acceptance Sampling.xlsm)</t>
        </is>
      </c>
    </row>
    <row r="50">
      <c r="A50" s="6" t="inlineStr">
        <is>
          <t>P(T &gt; t) = e^(−λt)</t>
        </is>
      </c>
      <c r="B50" s="35">
        <f>IF(AND(AND(ISNUMBER(B45),B45&gt;0),ISNUMBER(B46)),EXP(-B45*B46),"")</f>
        <v/>
      </c>
    </row>
    <row r="52">
      <c r="A52" s="5" t="inlineStr">
        <is>
          <t>6. Uniforme verdeling (uniform) op [a, b]</t>
        </is>
      </c>
      <c r="D52" s="34" t="inlineStr">
        <is>
          <t>standaarddefinitie, niet gedrukt in de cursus (beslissing 20); geen uitgewerkt cursusvoorbeeld; gecontroleerd door de stats-auditor (resources/build/README.md)</t>
        </is>
      </c>
    </row>
    <row r="53">
      <c r="A53" s="6" t="inlineStr">
        <is>
          <t>a (ondergrens)</t>
        </is>
      </c>
      <c r="B53" s="7" t="n"/>
    </row>
    <row r="54">
      <c r="A54" s="6" t="inlineStr">
        <is>
          <t>b (bovengrens)</t>
        </is>
      </c>
      <c r="B54" s="7" t="n"/>
    </row>
    <row r="55">
      <c r="A55" s="6" t="inlineStr">
        <is>
          <t>x (voor de kans)</t>
        </is>
      </c>
      <c r="B55" s="7" t="n"/>
    </row>
    <row r="56">
      <c r="A56" s="6" t="inlineStr">
        <is>
          <t>E[X] = (a + b) / 2</t>
        </is>
      </c>
      <c r="B56" s="29">
        <f>IF(AND(ISNUMBER(B53),ISNUMBER(B54),B54&gt;B53),(B53+B54)/2,"")</f>
        <v/>
      </c>
      <c r="C56" s="8" t="inlineStr">
        <is>
          <t>Acceptance Sampling.xlsm 'distributions' (uniforme dichtheid op [1, 2])</t>
        </is>
      </c>
    </row>
    <row r="57">
      <c r="A57" s="6" t="inlineStr">
        <is>
          <t>Var[X] = (b − a)² / 12</t>
        </is>
      </c>
      <c r="B57" s="29">
        <f>IF(AND(ISNUMBER(B53),ISNUMBER(B54),B54&gt;B53),(B54-B53)^2/12,"")</f>
        <v/>
      </c>
    </row>
    <row r="58">
      <c r="A58" s="6" t="inlineStr">
        <is>
          <t>P(X ≤ x)</t>
        </is>
      </c>
      <c r="B58" s="35">
        <f>IF(AND(AND(ISNUMBER(B53),ISNUMBER(B54),B54&gt;B53),ISNUMBER(B55)),MIN(1,MAX(0,(B55-B53)/(B54-B53))),"")</f>
        <v/>
      </c>
    </row>
    <row r="60">
      <c r="A60" s="5" t="inlineStr">
        <is>
          <t>7. Normaal (normal): E[X] = μ, Var[X] = σ²; kansen en σ uit een staartfractie op het blad Normaal</t>
        </is>
      </c>
    </row>
  </sheetData>
  <dataValidations count="2">
    <dataValidation sqref="B14 B16 B25 B26 B27 B28 B37" showDropDown="0" showInputMessage="0" showErrorMessage="1" allowBlank="1" errorTitle="Geheel getal" error="Typ een geheel getal, 0 of meer." type="whole" operator="greaterThanOrEqual">
      <formula1>0</formula1>
    </dataValidation>
    <dataValidation sqref="B9 B15" showDropDown="0" showInputMessage="0" showErrorMessage="1" allowBlank="1" errorTitle="Kans" error="Typ een fractie tussen 0 en 1." type="decimal" operator="between">
      <formula1>0</formula1>
      <formula2>1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0009"/>
  <sheetViews>
    <sheetView workbookViewId="0">
      <selection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7" customWidth="1" min="8" max="8"/>
    <col width="3" customWidth="1" min="11" max="11"/>
    <col width="12" customWidth="1" style="26" min="12" max="12"/>
    <col width="12" customWidth="1" style="26" min="13" max="13"/>
    <col width="12" customWidth="1" style="36" min="14" max="14"/>
    <col width="3" customWidth="1" min="15" max="15"/>
  </cols>
  <sheetData>
    <row r="1">
      <c r="A1" s="1" t="inlineStr">
        <is>
          <t>Gemiddelden en proporties: betrouwbaarheidsintervallen (confidence intervals, BI) en toetsen (z, t, ongepaarde en gepaarde t, proportie exact en benaderd, Z-toets)</t>
        </is>
      </c>
      <c r="L1" s="6" t="n"/>
      <c r="M1" s="6" t="n"/>
      <c r="N1" s="6" t="n"/>
    </row>
    <row r="2">
      <c r="A2" s="2" t="inlineStr">
        <is>
          <t>Bron in de cursus</t>
        </is>
      </c>
      <c r="B2" s="3" t="inlineStr">
        <is>
          <t>source/course/Les 2/20260529_ottoy_Confidence Intervals.pdf p. 4, 9-15; Confidence Intervals - Further Reading (Dutch).pdf p. 5-20; Testing of Hypotheses.pdf p. 12; Testing of Hypotheses - Further Reading (Dutch).pdf p. 10-14; Test Recipes - Further Reading (Dutch).pdf p. 4-10</t>
        </is>
      </c>
      <c r="L2" s="6" t="n"/>
      <c r="M2" s="6" t="n"/>
      <c r="N2" s="6" t="n"/>
    </row>
    <row r="3">
      <c r="A3" s="2" t="inlineStr">
        <is>
          <t>Gebruikte conventie</t>
        </is>
      </c>
      <c r="B3" s="3" t="inlineStr">
        <is>
          <t>Conventiebeslissingen 5, 6, 8: invoer α vooraf ingevuld op 0,05; tweezijdig, alleen ondergrens en alleen bovengrens naast elkaar; gepoolde variantie (pooled variance) met n1 + n2 − 2.</t>
        </is>
      </c>
      <c r="L3" s="6" t="n"/>
      <c r="M3" s="6" t="n"/>
      <c r="N3" s="6" t="n"/>
    </row>
    <row r="4">
      <c r="A4" s="2" t="inlineStr">
        <is>
          <t>Status</t>
        </is>
      </c>
      <c r="B4" s="4" t="inlineStr">
        <is>
          <t>GEVERIFIEERD (VERIFIED): getest tegen uitgewerkte cursusvoorbeelden (worked examples) S03-WE01, S03-WE02, S03-WE04, S03-WE10, S03-WE13, S03-WE14, S03-WE15; ook tegen S08-WE12, S08-WE13 uit Dummies p. 197 (extra, Dummies; niet te kennen)</t>
        </is>
      </c>
      <c r="L4" s="6" t="n"/>
      <c r="M4" s="6" t="n"/>
      <c r="N4" s="6" t="n"/>
    </row>
    <row r="5">
      <c r="A5" s="2" t="inlineStr">
        <is>
          <t>Legende</t>
        </is>
      </c>
      <c r="B5" s="3" t="inlineStr">
        <is>
          <t>Gele cel = vul hier in (invoer).  Groene cel = resultaat, niet overtypen.  Oranje cel (Tabellen) = verschilt van een andere gedrukte bron.</t>
        </is>
      </c>
      <c r="L5" s="6" t="n"/>
      <c r="M5" s="6" t="n"/>
      <c r="N5" s="6" t="n"/>
    </row>
    <row r="6">
      <c r="A6" s="2" t="inlineStr">
        <is>
          <t>Controle</t>
        </is>
      </c>
      <c r="B6" s="3" t="inlineStr">
        <is>
          <t>Blijft een groene cel leeg, dan ontbreekt nog een invoer die ze nodig heeft.</t>
        </is>
      </c>
      <c r="L6" s="6" t="n"/>
      <c r="M6" s="6" t="n"/>
      <c r="N6" s="6" t="n"/>
    </row>
    <row r="7">
      <c r="L7" s="6" t="n"/>
      <c r="M7" s="6" t="n"/>
      <c r="N7" s="6" t="n"/>
    </row>
    <row r="8">
      <c r="A8" s="5" t="inlineStr">
        <is>
          <t>1. Instellingen</t>
        </is>
      </c>
      <c r="L8" s="8" t="inlineStr">
        <is>
          <t>Optioneel: ruwe waarden (uitleg →)</t>
        </is>
      </c>
      <c r="M8" s="6" t="n"/>
      <c r="N8" s="6" t="n"/>
      <c r="P8" s="20" t="inlineStr">
        <is>
          <t>Zo gebruik je kolommen L en M (ruwe data)</t>
        </is>
      </c>
    </row>
    <row r="9">
      <c r="A9" s="6" t="inlineStr">
        <is>
          <t>Significantieniveau α (betrouwbaarheid = 1 − α)</t>
        </is>
      </c>
      <c r="B9" s="22" t="n">
        <v>0.05</v>
      </c>
      <c r="C9" s="8" t="inlineStr">
        <is>
          <t>de cursus geeft geen standaardwaarde; de meeste cursusvoorbeelden gebruiken 5 %; gebruik de waarde uit de vraag</t>
        </is>
      </c>
      <c r="L9" s="20" t="inlineStr">
        <is>
          <t>Steekproef 1</t>
        </is>
      </c>
      <c r="M9" s="20" t="inlineStr">
        <is>
          <t>Steekproef 2</t>
        </is>
      </c>
      <c r="N9" s="20" t="inlineStr">
        <is>
          <t>L − M (gepaard)</t>
        </is>
      </c>
      <c r="P9" s="8" t="inlineStr">
        <is>
          <t>• Eén GETAL per cel, onder elkaar, vanaf rij 10; zoveel rijen als je wilt. Geen kop of tekst.</t>
        </is>
      </c>
    </row>
    <row r="10">
      <c r="N10">
        <f>IF(AND(ISNUMBER(L10),ISNUMBER(M10)),L10-M10,"")</f>
        <v/>
      </c>
      <c r="P10" s="8" t="inlineStr">
        <is>
          <t>• Kolom L = steekproef 1: telt voor sectie 2 (één gemiddelde) én voor steekproef 1 van sectie 3.</t>
        </is>
      </c>
    </row>
    <row r="11">
      <c r="A11" s="5" t="inlineStr">
        <is>
          <t>2. Eén gemiddelde μ</t>
        </is>
      </c>
      <c r="N11">
        <f>IF(AND(ISNUMBER(L11),ISNUMBER(M11)),L11-M11,"")</f>
        <v/>
      </c>
      <c r="P11" s="8" t="inlineStr">
        <is>
          <t>• Kolom M = steekproef 2 (sectie 3). Gepaarde data (sectie 4): elk paar op dezelfde rij in L en M; kolom N rekent L − M (tot 10000 paren).</t>
        </is>
      </c>
    </row>
    <row r="12">
      <c r="A12" s="6" t="inlineStr">
        <is>
          <t>n</t>
        </is>
      </c>
      <c r="B12" s="7" t="n"/>
      <c r="C12" s="8" t="inlineStr">
        <is>
          <t>of plak de data in kolom L</t>
        </is>
      </c>
      <c r="N12">
        <f>IF(AND(ISNUMBER(L12),ISNUMBER(M12)),L12-M12,"")</f>
        <v/>
      </c>
      <c r="P12" s="8" t="inlineStr">
        <is>
          <t>• Met 2 of meer getallen rekent het blad n, x̄ en s uit de kolom; de getypte waarden tellen dan niet.</t>
        </is>
      </c>
    </row>
    <row r="13">
      <c r="A13" s="6" t="inlineStr">
        <is>
          <t>steekproefgemiddelde (sample mean) x̄</t>
        </is>
      </c>
      <c r="B13" s="27" t="n"/>
      <c r="N13">
        <f>IF(AND(ISNUMBER(L13),ISNUMBER(M13)),L13-M13,"")</f>
        <v/>
      </c>
      <c r="P13" s="8" t="inlineStr">
        <is>
          <t>• Typ je liever n, x̄ en s: laat L en M leeg (selecteer vanaf rij 10 en druk Delete). Plakken uit een ander bestand: Plakken speciaal → Waarden.</t>
        </is>
      </c>
    </row>
    <row r="14">
      <c r="A14" s="6" t="inlineStr">
        <is>
          <t>s = steekproefstandaardafwijking (STDEV.S)</t>
        </is>
      </c>
      <c r="B14" s="27" t="n"/>
      <c r="C14" s="8" t="inlineStr">
        <is>
          <t>voor de t-rijen</t>
        </is>
      </c>
      <c r="N14">
        <f>IF(AND(ISNUMBER(L14),ISNUMBER(M14)),L14-M14,"")</f>
        <v/>
      </c>
    </row>
    <row r="15">
      <c r="A15" s="6" t="inlineStr">
        <is>
          <t>σ = gekende standaardafwijking van de populatie</t>
        </is>
      </c>
      <c r="B15" s="27" t="n"/>
      <c r="C15" s="8" t="inlineStr">
        <is>
          <t>voor de z-rijen (alleen als de vraag σ geeft)</t>
        </is>
      </c>
      <c r="N15">
        <f>IF(AND(ISNUMBER(L15),ISNUMBER(M15)),L15-M15,"")</f>
        <v/>
      </c>
      <c r="P15" s="20" t="inlineStr">
        <is>
          <t>Controle van de geplakte data:</t>
        </is>
      </c>
    </row>
    <row r="16">
      <c r="A16" s="6" t="inlineStr">
        <is>
          <t>μ0 voor de toets</t>
        </is>
      </c>
      <c r="B16" s="27" t="n"/>
      <c r="N16">
        <f>IF(AND(ISNUMBER(L16),ISNUMBER(M16)),L16-M16,"")</f>
        <v/>
      </c>
    </row>
    <row r="17">
      <c r="A17" s="6" t="inlineStr">
        <is>
          <t>n gebruikt</t>
        </is>
      </c>
      <c r="B17" s="28">
        <f>IF(COUNT(L10:L100000)&gt;1,COUNT(L10:L100000),IF(ISNUMBER(B12),B12,""))</f>
        <v/>
      </c>
      <c r="C17" s="8" t="inlineStr">
        <is>
          <t>uit kolom L als die 2+ waarden bevat, anders de getypte waarde</t>
        </is>
      </c>
      <c r="N17">
        <f>IF(AND(ISNUMBER(L17),ISNUMBER(M17)),L17-M17,"")</f>
        <v/>
      </c>
      <c r="P17" s="6" t="inlineStr">
        <is>
          <t>L:</t>
        </is>
      </c>
      <c r="Q17" s="13">
        <f>IF(COUNTA(L10:L100000)=0,"leeg",COUNT(L10:L100000)&amp;" getallen"&amp;IF(COUNTA(L10:L100000)&gt;COUNT(L10:L100000),"; LET OP: "&amp;(COUNTA(L10:L100000)-COUNT(L10:L100000))&amp;" cel(len) met tekst tellen NIET mee",""))</f>
        <v/>
      </c>
    </row>
    <row r="18">
      <c r="A18" s="6" t="inlineStr">
        <is>
          <t>x̄ gebruikt</t>
        </is>
      </c>
      <c r="B18" s="29">
        <f>IF(COUNT(L10:L100000)&gt;1,AVERAGE(L10:L100000),IF(ISNUMBER(B13),B13,""))</f>
        <v/>
      </c>
      <c r="C18" s="8" t="inlineStr">
        <is>
          <t>uit kolom L als die 2+ waarden bevat, anders de getypte waarde</t>
        </is>
      </c>
      <c r="N18">
        <f>IF(AND(ISNUMBER(L18),ISNUMBER(M18)),L18-M18,"")</f>
        <v/>
      </c>
      <c r="P18" s="6" t="inlineStr">
        <is>
          <t>M:</t>
        </is>
      </c>
      <c r="Q18" s="13">
        <f>IF(COUNTA(M10:M100000)=0,"leeg",COUNT(M10:M100000)&amp;" getallen"&amp;IF(COUNTA(M10:M100000)&gt;COUNT(M10:M100000),"; LET OP: "&amp;(COUNTA(M10:M100000)-COUNT(M10:M100000))&amp;" cel(len) met tekst tellen NIET mee",""))</f>
        <v/>
      </c>
    </row>
    <row r="19">
      <c r="A19" s="6" t="inlineStr">
        <is>
          <t>s gebruikt</t>
        </is>
      </c>
      <c r="B19" s="29">
        <f>IF(COUNT(L10:L100000)&gt;1,_xlfn.STDEV.S(L10:L100000),IF(ISNUMBER(B14),B14,""))</f>
        <v/>
      </c>
      <c r="C19" s="8" t="inlineStr">
        <is>
          <t>uit kolom L als die 2+ waarden bevat, anders de getypte waarde</t>
        </is>
      </c>
      <c r="N19">
        <f>IF(AND(ISNUMBER(L19),ISNUMBER(M19)),L19-M19,"")</f>
        <v/>
      </c>
      <c r="P19" s="6" t="inlineStr">
        <is>
          <t>paren (N):</t>
        </is>
      </c>
      <c r="Q19" s="13">
        <f>IF(COUNT(N10:N10009)=0,"leeg",COUNT(N10:N10009)&amp;" paren"&amp;IF(COUNT(L10:L100000)&lt;&gt;COUNT(M10:M100000),"; LET OP: L en M hebben niet evenveel getallen",""))</f>
        <v/>
      </c>
    </row>
    <row r="20">
      <c r="A20" s="6" t="inlineStr">
        <is>
          <t>standaardfout (standard error) met σ: σ / √n</t>
        </is>
      </c>
      <c r="B20" s="29">
        <f>IF(AND(ISNUMBER(B15),ISNUMBER(B17)),B15/SQRT(B17),"")</f>
        <v/>
      </c>
      <c r="N20">
        <f>IF(AND(ISNUMBER(L20),ISNUMBER(M20)),L20-M20,"")</f>
        <v/>
      </c>
    </row>
    <row r="21">
      <c r="A21" s="6" t="inlineStr">
        <is>
          <t>standaardfout met s: s / √n</t>
        </is>
      </c>
      <c r="B21" s="29">
        <f>IF(AND(ISNUMBER(B19),ISNUMBER(B17)),B19/SQRT(B17),"")</f>
        <v/>
      </c>
      <c r="N21">
        <f>IF(AND(ISNUMBER(L21),ISNUMBER(M21)),L21-M21,"")</f>
        <v/>
      </c>
    </row>
    <row r="22">
      <c r="A22" s="6" t="inlineStr">
        <is>
          <t>vrijheidsgraden (degrees of freedom, df) n − 1</t>
        </is>
      </c>
      <c r="B22" s="28">
        <f>IF(ISNUMBER(B17),B17-1,"")</f>
        <v/>
      </c>
      <c r="N22">
        <f>IF(AND(ISNUMBER(L22),ISNUMBER(M22)),L22-M22,"")</f>
        <v/>
      </c>
    </row>
    <row r="23">
      <c r="N23">
        <f>IF(AND(ISNUMBER(L23),ISNUMBER(M23)),L23-M23,"")</f>
        <v/>
      </c>
    </row>
    <row r="24">
      <c r="A24" s="10" t="inlineStr">
        <is>
          <t>Betrouwbaarheidsinterval (confidence interval, BI) voor μ (1 − α)</t>
        </is>
      </c>
      <c r="B24" s="10" t="inlineStr">
        <is>
          <t>σ gekend (z): van</t>
        </is>
      </c>
      <c r="C24" s="10" t="inlineStr">
        <is>
          <t>tot</t>
        </is>
      </c>
      <c r="D24" s="10" t="inlineStr">
        <is>
          <t>σ ongekend (t): van</t>
        </is>
      </c>
      <c r="E24" s="10" t="inlineStr">
        <is>
          <t>tot</t>
        </is>
      </c>
      <c r="F24" s="10" t="inlineStr">
        <is>
          <t>Bron in de cursus</t>
        </is>
      </c>
      <c r="N24">
        <f>IF(AND(ISNUMBER(L24),ISNUMBER(M24)),L24-M24,"")</f>
        <v/>
      </c>
    </row>
    <row r="25">
      <c r="A25" s="6" t="inlineStr">
        <is>
          <t>tweezijdig (two-sided)</t>
        </is>
      </c>
      <c r="B25" s="29">
        <f>IF(AND(ISNUMBER(B18),ISNUMBER(B20),ISNUMBER(B9)),B18-_xlfn.NORM.S.INV(1-B9/2)*B20,IF(AND(ISNUMBER(B20),ISNUMBER(B9)),"x̄ − "&amp;FIXED(_xlfn.NORM.S.INV(1-B9/2)*B20,4),""))</f>
        <v/>
      </c>
      <c r="C25" s="29">
        <f>IF(AND(ISNUMBER(B18),ISNUMBER(B20),ISNUMBER(B9)),B18+_xlfn.NORM.S.INV(1-B9/2)*B20,IF(AND(ISNUMBER(B20),ISNUMBER(B9)),"x̄ + "&amp;FIXED(_xlfn.NORM.S.INV(1-B9/2)*B20,4),""))</f>
        <v/>
      </c>
      <c r="D25" s="29">
        <f>IF(AND(ISNUMBER(B18),ISNUMBER(B21),B22&gt;0,ISNUMBER(B9)),B18-_xlfn.T.INV(1-B9/2,B22)*B21,IF(AND(ISNUMBER(B21),N(B22)&gt;0,ISNUMBER(B9)),"x̄ − "&amp;FIXED(_xlfn.T.INV(1-B9/2,B22)*B21,4),""))</f>
        <v/>
      </c>
      <c r="E25" s="29">
        <f>IF(AND(ISNUMBER(B18),ISNUMBER(B21),B22&gt;0,ISNUMBER(B9)),B18+_xlfn.T.INV(1-B9/2,B22)*B21,IF(AND(ISNUMBER(B21),N(B22)&gt;0,ISNUMBER(B9)),"x̄ + "&amp;FIXED(_xlfn.T.INV(1-B9/2,B22)*B21,4),""))</f>
        <v/>
      </c>
      <c r="F25" s="8" t="inlineStr">
        <is>
          <t>CI Further Reading p. 5-8; Confidence Intervals.pdf p. 9-10</t>
        </is>
      </c>
      <c r="N25">
        <f>IF(AND(ISNUMBER(L25),ISNUMBER(M25)),L25-M25,"")</f>
        <v/>
      </c>
    </row>
    <row r="26">
      <c r="A26" s="6" t="inlineStr">
        <is>
          <t>alleen ondergrens (μ minstens …)</t>
        </is>
      </c>
      <c r="B26" s="29">
        <f>IF(AND(ISNUMBER(B18),ISNUMBER(B20),ISNUMBER(B9)),B18-_xlfn.NORM.S.INV(1-B9)*B20,IF(AND(ISNUMBER(B20),ISNUMBER(B9)),"x̄ − "&amp;FIXED(_xlfn.NORM.S.INV(1-B9)*B20,4),""))</f>
        <v/>
      </c>
      <c r="C26" s="29">
        <f>IF(OR(AND(ISNUMBER(B18),ISNUMBER(B20),ISNUMBER(B9)),AND(ISNUMBER(B20),ISNUMBER(B9))),"+∞","")</f>
        <v/>
      </c>
      <c r="D26" s="29">
        <f>IF(AND(ISNUMBER(B18),ISNUMBER(B21),B22&gt;0,ISNUMBER(B9)),B18-_xlfn.T.INV(1-B9,B22)*B21,IF(AND(ISNUMBER(B21),N(B22)&gt;0,ISNUMBER(B9)),"x̄ − "&amp;FIXED(_xlfn.T.INV(1-B9,B22)*B21,4),""))</f>
        <v/>
      </c>
      <c r="E26" s="29">
        <f>IF(OR(AND(ISNUMBER(B18),ISNUMBER(B21),B22&gt;0,ISNUMBER(B9)),AND(ISNUMBER(B21),N(B22)&gt;0,ISNUMBER(B9))),"+∞","")</f>
        <v/>
      </c>
      <c r="N26">
        <f>IF(AND(ISNUMBER(L26),ISNUMBER(M26)),L26-M26,"")</f>
        <v/>
      </c>
    </row>
    <row r="27">
      <c r="A27" s="6" t="inlineStr">
        <is>
          <t>alleen bovengrens (μ hoogstens …)</t>
        </is>
      </c>
      <c r="B27" s="29">
        <f>IF(OR(AND(ISNUMBER(B18),ISNUMBER(B20),ISNUMBER(B9)),AND(ISNUMBER(B20),ISNUMBER(B9))),"−∞","")</f>
        <v/>
      </c>
      <c r="C27" s="29">
        <f>IF(AND(ISNUMBER(B18),ISNUMBER(B20),ISNUMBER(B9)),B18+_xlfn.NORM.S.INV(1-B9)*B20,IF(AND(ISNUMBER(B20),ISNUMBER(B9)),"x̄ + "&amp;FIXED(_xlfn.NORM.S.INV(1-B9)*B20,4),""))</f>
        <v/>
      </c>
      <c r="D27" s="29">
        <f>IF(OR(AND(ISNUMBER(B18),ISNUMBER(B21),B22&gt;0,ISNUMBER(B9)),AND(ISNUMBER(B21),N(B22)&gt;0,ISNUMBER(B9))),"−∞","")</f>
        <v/>
      </c>
      <c r="E27" s="29">
        <f>IF(AND(ISNUMBER(B18),ISNUMBER(B21),B22&gt;0,ISNUMBER(B9)),B18+_xlfn.T.INV(1-B9,B22)*B21,IF(AND(ISNUMBER(B21),N(B22)&gt;0,ISNUMBER(B9)),"x̄ + "&amp;FIXED(_xlfn.T.INV(1-B9,B22)*B21,4),""))</f>
        <v/>
      </c>
      <c r="F27" s="8" t="inlineStr">
        <is>
          <t>Confidence Intervals.pdf p. 15 ('one-sided 98 %-CI ]−∞, 9.98[')</t>
        </is>
      </c>
      <c r="N27">
        <f>IF(AND(ISNUMBER(L27),ISNUMBER(M27)),L27-M27,"")</f>
        <v/>
      </c>
    </row>
    <row r="28">
      <c r="N28">
        <f>IF(AND(ISNUMBER(L28),ISNUMBER(M28)),L28-M28,"")</f>
        <v/>
      </c>
    </row>
    <row r="29">
      <c r="A29" s="10" t="inlineStr">
        <is>
          <t>z-toets (z-test, σ gekend): toets van H0: μ = μ0</t>
        </is>
      </c>
      <c r="B29" s="10" t="inlineStr">
        <is>
          <t>z = (x̄ − μ0) / (σ/√n)</t>
        </is>
      </c>
      <c r="C29" s="10" t="inlineStr">
        <is>
          <t>kritieke waarde (critical value)</t>
        </is>
      </c>
      <c r="D29" s="10" t="inlineStr">
        <is>
          <t>2de kritieke waarde</t>
        </is>
      </c>
      <c r="E29" s="10" t="inlineStr">
        <is>
          <t>kritieke x̄</t>
        </is>
      </c>
      <c r="F29" s="10" t="inlineStr">
        <is>
          <t>2de kritieke x̄</t>
        </is>
      </c>
      <c r="G29" s="10" t="inlineStr">
        <is>
          <t>p-waarde (p-value)</t>
        </is>
      </c>
      <c r="H29" s="10" t="inlineStr">
        <is>
          <t>Besluit bij α</t>
        </is>
      </c>
      <c r="N29">
        <f>IF(AND(ISNUMBER(L29),ISNUMBER(M29)),L29-M29,"")</f>
        <v/>
      </c>
    </row>
    <row r="30">
      <c r="A30" s="6" t="inlineStr">
        <is>
          <t>HA: μ ≠ μ0</t>
        </is>
      </c>
      <c r="B30" s="11">
        <f>IF(AND(AND(ISNUMBER(B18),ISNUMBER(B20),ISNUMBER(B9)),ISNUMBER(B16)),(B18-B16)/B20,"")</f>
        <v/>
      </c>
      <c r="C30" s="11">
        <f>IF(ISNUMBER(B9),-_xlfn.NORM.S.INV(1-B9/2),"")</f>
        <v/>
      </c>
      <c r="D30" s="11">
        <f>IF(ISNUMBER(B9),_xlfn.NORM.S.INV(1-B9/2),"")</f>
        <v/>
      </c>
      <c r="E30" s="11">
        <f>IF(AND(ISNUMBER(C30),ISNUMBER(B20),ISNUMBER($B$16)),$B$16+C30*B20,"")</f>
        <v/>
      </c>
      <c r="F30" s="11">
        <f>IF(AND(ISNUMBER(D30),ISNUMBER(B20),ISNUMBER($B$16)),$B$16+D30*B20,"")</f>
        <v/>
      </c>
      <c r="G30" s="14">
        <f>IF(AND(AND(ISNUMBER(B18),ISNUMBER(B20),ISNUMBER(B9)),ISNUMBER(B16)),2*_xlfn.NORM.S.DIST(-ABS(B30),TRUE),"")</f>
        <v/>
      </c>
      <c r="H30" s="13">
        <f>IF(ISNUMBER(G30),IF(G30&lt;B9,"verwerp H0","H0 niet verwerpen"),"")</f>
        <v/>
      </c>
      <c r="N30">
        <f>IF(AND(ISNUMBER(L30),ISNUMBER(M30)),L30-M30,"")</f>
        <v/>
      </c>
    </row>
    <row r="31">
      <c r="A31" s="6" t="inlineStr">
        <is>
          <t>HA: μ &gt; μ0</t>
        </is>
      </c>
      <c r="B31" s="11">
        <f>IF(AND(AND(ISNUMBER(B18),ISNUMBER(B20),ISNUMBER(B9)),ISNUMBER(B16)),(B18-B16)/B20,"")</f>
        <v/>
      </c>
      <c r="C31" s="11">
        <f>IF(ISNUMBER(B9),_xlfn.NORM.S.INV(1-B9),"")</f>
        <v/>
      </c>
      <c r="D31" s="11">
        <f>""</f>
        <v/>
      </c>
      <c r="E31" s="11">
        <f>IF(AND(ISNUMBER(C31),ISNUMBER(B20),ISNUMBER($B$16)),$B$16+C31*B20,"")</f>
        <v/>
      </c>
      <c r="F31" s="11">
        <f>IF(AND(ISNUMBER(D31),ISNUMBER(B20),ISNUMBER($B$16)),$B$16+D31*B20,"")</f>
        <v/>
      </c>
      <c r="G31" s="14">
        <f>IF(AND(AND(ISNUMBER(B18),ISNUMBER(B20),ISNUMBER(B9)),ISNUMBER(B16)),_xlfn.NORM.S.DIST(-B31,TRUE),"")</f>
        <v/>
      </c>
      <c r="H31" s="13">
        <f>IF(ISNUMBER(G31),IF(G31&lt;B9,"verwerp H0","H0 niet verwerpen"),"")</f>
        <v/>
      </c>
      <c r="N31">
        <f>IF(AND(ISNUMBER(L31),ISNUMBER(M31)),L31-M31,"")</f>
        <v/>
      </c>
    </row>
    <row r="32">
      <c r="A32" s="6" t="inlineStr">
        <is>
          <t>HA: μ &lt; μ0</t>
        </is>
      </c>
      <c r="B32" s="11">
        <f>IF(AND(AND(ISNUMBER(B18),ISNUMBER(B20),ISNUMBER(B9)),ISNUMBER(B16)),(B18-B16)/B20,"")</f>
        <v/>
      </c>
      <c r="C32" s="11">
        <f>IF(ISNUMBER(B9),-_xlfn.NORM.S.INV(1-B9),"")</f>
        <v/>
      </c>
      <c r="D32" s="11">
        <f>""</f>
        <v/>
      </c>
      <c r="E32" s="11">
        <f>IF(AND(ISNUMBER(C32),ISNUMBER(B20),ISNUMBER($B$16)),$B$16+C32*B20,"")</f>
        <v/>
      </c>
      <c r="F32" s="11">
        <f>IF(AND(ISNUMBER(D32),ISNUMBER(B20),ISNUMBER($B$16)),$B$16+D32*B20,"")</f>
        <v/>
      </c>
      <c r="G32" s="14">
        <f>IF(AND(AND(ISNUMBER(B18),ISNUMBER(B20),ISNUMBER(B9)),ISNUMBER(B16)),_xlfn.NORM.S.DIST(B32,TRUE),"")</f>
        <v/>
      </c>
      <c r="H32" s="13">
        <f>IF(ISNUMBER(G32),IF(G32&lt;B9,"verwerp H0","H0 niet verwerpen"),"")</f>
        <v/>
      </c>
      <c r="N32">
        <f>IF(AND(ISNUMBER(L32),ISNUMBER(M32)),L32-M32,"")</f>
        <v/>
      </c>
    </row>
    <row r="33">
      <c r="N33">
        <f>IF(AND(ISNUMBER(L33),ISNUMBER(M33)),L33-M33,"")</f>
        <v/>
      </c>
    </row>
    <row r="34">
      <c r="A34" s="10" t="inlineStr">
        <is>
          <t>t-toets (t-test, σ ongekend): toets van H0: μ = μ0</t>
        </is>
      </c>
      <c r="B34" s="10" t="inlineStr">
        <is>
          <t>t = (x̄ − μ0) / (s/√n)</t>
        </is>
      </c>
      <c r="C34" s="10" t="inlineStr">
        <is>
          <t>kritieke waarde (critical value)</t>
        </is>
      </c>
      <c r="D34" s="10" t="inlineStr">
        <is>
          <t>2de kritieke waarde</t>
        </is>
      </c>
      <c r="E34" s="10" t="inlineStr">
        <is>
          <t>kritieke x̄</t>
        </is>
      </c>
      <c r="F34" s="10" t="inlineStr">
        <is>
          <t>2de kritieke x̄</t>
        </is>
      </c>
      <c r="G34" s="10" t="inlineStr">
        <is>
          <t>p-waarde (p-value)</t>
        </is>
      </c>
      <c r="H34" s="10" t="inlineStr">
        <is>
          <t>Besluit bij α</t>
        </is>
      </c>
      <c r="N34">
        <f>IF(AND(ISNUMBER(L34),ISNUMBER(M34)),L34-M34,"")</f>
        <v/>
      </c>
    </row>
    <row r="35">
      <c r="A35" s="6" t="inlineStr">
        <is>
          <t>HA: μ ≠ μ0</t>
        </is>
      </c>
      <c r="B35" s="11">
        <f>IF(AND(AND(ISNUMBER(B18),ISNUMBER(B21),B22&gt;0,ISNUMBER(B9)),ISNUMBER(B16)),(B18-B16)/B21,"")</f>
        <v/>
      </c>
      <c r="C35" s="11">
        <f>IF(AND(ISNUMBER(B9),ISNUMBER(B22),N(B22)&gt;0),-_xlfn.T.INV(1-B9/2,B22),"")</f>
        <v/>
      </c>
      <c r="D35" s="11">
        <f>IF(AND(ISNUMBER(B9),ISNUMBER(B22),N(B22)&gt;0),_xlfn.T.INV(1-B9/2,B22),"")</f>
        <v/>
      </c>
      <c r="E35" s="11">
        <f>IF(AND(ISNUMBER(C35),ISNUMBER(B21),ISNUMBER($B$16)),$B$16+C35*B21,"")</f>
        <v/>
      </c>
      <c r="F35" s="11">
        <f>IF(AND(ISNUMBER(D35),ISNUMBER(B21),ISNUMBER($B$16)),$B$16+D35*B21,"")</f>
        <v/>
      </c>
      <c r="G35" s="14">
        <f>IF(AND(AND(ISNUMBER(B18),ISNUMBER(B21),B22&gt;0,ISNUMBER(B9)),ISNUMBER(B16)),_xlfn.T.DIST.2T(ABS(B35),B22),"")</f>
        <v/>
      </c>
      <c r="H35" s="13">
        <f>IF(ISNUMBER(G35),IF(G35&lt;B9,"verwerp H0","H0 niet verwerpen"),"")</f>
        <v/>
      </c>
      <c r="N35">
        <f>IF(AND(ISNUMBER(L35),ISNUMBER(M35)),L35-M35,"")</f>
        <v/>
      </c>
    </row>
    <row r="36">
      <c r="A36" s="6" t="inlineStr">
        <is>
          <t>HA: μ &gt; μ0</t>
        </is>
      </c>
      <c r="B36" s="11">
        <f>IF(AND(AND(ISNUMBER(B18),ISNUMBER(B21),B22&gt;0,ISNUMBER(B9)),ISNUMBER(B16)),(B18-B16)/B21,"")</f>
        <v/>
      </c>
      <c r="C36" s="11">
        <f>IF(AND(ISNUMBER(B9),ISNUMBER(B22),N(B22)&gt;0),_xlfn.T.INV(1-B9,B22),"")</f>
        <v/>
      </c>
      <c r="D36" s="11">
        <f>""</f>
        <v/>
      </c>
      <c r="E36" s="11">
        <f>IF(AND(ISNUMBER(C36),ISNUMBER(B21),ISNUMBER($B$16)),$B$16+C36*B21,"")</f>
        <v/>
      </c>
      <c r="F36" s="11">
        <f>IF(AND(ISNUMBER(D36),ISNUMBER(B21),ISNUMBER($B$16)),$B$16+D36*B21,"")</f>
        <v/>
      </c>
      <c r="G36" s="14">
        <f>IF(AND(AND(ISNUMBER(B18),ISNUMBER(B21),B22&gt;0,ISNUMBER(B9)),ISNUMBER(B16)),_xlfn.T.DIST.RT(B36,B22),"")</f>
        <v/>
      </c>
      <c r="H36" s="13">
        <f>IF(ISNUMBER(G36),IF(G36&lt;B9,"verwerp H0","H0 niet verwerpen"),"")</f>
        <v/>
      </c>
      <c r="N36">
        <f>IF(AND(ISNUMBER(L36),ISNUMBER(M36)),L36-M36,"")</f>
        <v/>
      </c>
    </row>
    <row r="37">
      <c r="A37" s="6" t="inlineStr">
        <is>
          <t>HA: μ &lt; μ0</t>
        </is>
      </c>
      <c r="B37" s="11">
        <f>IF(AND(AND(ISNUMBER(B18),ISNUMBER(B21),B22&gt;0,ISNUMBER(B9)),ISNUMBER(B16)),(B18-B16)/B21,"")</f>
        <v/>
      </c>
      <c r="C37" s="11">
        <f>IF(AND(ISNUMBER(B9),ISNUMBER(B22),N(B22)&gt;0),-_xlfn.T.INV(1-B9,B22),"")</f>
        <v/>
      </c>
      <c r="D37" s="11">
        <f>""</f>
        <v/>
      </c>
      <c r="E37" s="11">
        <f>IF(AND(ISNUMBER(C37),ISNUMBER(B21),ISNUMBER($B$16)),$B$16+C37*B21,"")</f>
        <v/>
      </c>
      <c r="F37" s="11">
        <f>IF(AND(ISNUMBER(D37),ISNUMBER(B21),ISNUMBER($B$16)),$B$16+D37*B21,"")</f>
        <v/>
      </c>
      <c r="G37" s="14">
        <f>IF(AND(AND(ISNUMBER(B18),ISNUMBER(B21),B22&gt;0,ISNUMBER(B9)),ISNUMBER(B16)),_xlfn.T.DIST(B37,B22,TRUE),"")</f>
        <v/>
      </c>
      <c r="H37" s="13">
        <f>IF(ISNUMBER(G37),IF(G37&lt;B9,"verwerp H0","H0 niet verwerpen"),"")</f>
        <v/>
      </c>
      <c r="N37">
        <f>IF(AND(ISNUMBER(L37),ISNUMBER(M37)),L37-M37,"")</f>
        <v/>
      </c>
    </row>
    <row r="38">
      <c r="A38" s="8" t="inlineStr">
        <is>
          <t>Bronnen: z-toets Testing of Hypotheses - Further Reading (Dutch) p. 10-14; t-toets Test Recipes p. 4, Testing of Hypotheses.pdf p. 12.</t>
        </is>
      </c>
      <c r="N38">
        <f>IF(AND(ISNUMBER(L38),ISNUMBER(M38)),L38-M38,"")</f>
        <v/>
      </c>
    </row>
    <row r="39">
      <c r="N39">
        <f>IF(AND(ISNUMBER(L39),ISNUMBER(M39)),L39-M39,"")</f>
        <v/>
      </c>
    </row>
    <row r="40">
      <c r="N40">
        <f>IF(AND(ISNUMBER(L40),ISNUMBER(M40)),L40-M40,"")</f>
        <v/>
      </c>
    </row>
    <row r="41">
      <c r="A41" s="5" t="inlineStr">
        <is>
          <t>3. Twee gemiddelden, ongepaarde steekproeven (unpaired; σ1 = σ2 verondersteld: gepoolde s_p)</t>
        </is>
      </c>
      <c r="N41">
        <f>IF(AND(ISNUMBER(L41),ISNUMBER(M41)),L41-M41,"")</f>
        <v/>
      </c>
    </row>
    <row r="42">
      <c r="A42" s="6" t="inlineStr">
        <is>
          <t>n1</t>
        </is>
      </c>
      <c r="B42" s="7" t="n"/>
      <c r="C42" s="8" t="inlineStr">
        <is>
          <t>of plak steekproef 1 in kolom L</t>
        </is>
      </c>
      <c r="N42">
        <f>IF(AND(ISNUMBER(L42),ISNUMBER(M42)),L42-M42,"")</f>
        <v/>
      </c>
    </row>
    <row r="43">
      <c r="A43" s="6" t="inlineStr">
        <is>
          <t>x̄1</t>
        </is>
      </c>
      <c r="B43" s="27" t="n"/>
      <c r="N43">
        <f>IF(AND(ISNUMBER(L43),ISNUMBER(M43)),L43-M43,"")</f>
        <v/>
      </c>
    </row>
    <row r="44">
      <c r="A44" s="6" t="inlineStr">
        <is>
          <t>s1</t>
        </is>
      </c>
      <c r="B44" s="27" t="n"/>
      <c r="N44">
        <f>IF(AND(ISNUMBER(L44),ISNUMBER(M44)),L44-M44,"")</f>
        <v/>
      </c>
    </row>
    <row r="45">
      <c r="A45" s="6" t="inlineStr">
        <is>
          <t>n2</t>
        </is>
      </c>
      <c r="B45" s="7" t="n"/>
      <c r="C45" s="8" t="inlineStr">
        <is>
          <t>of plak steekproef 2 in kolom M</t>
        </is>
      </c>
      <c r="N45">
        <f>IF(AND(ISNUMBER(L45),ISNUMBER(M45)),L45-M45,"")</f>
        <v/>
      </c>
    </row>
    <row r="46">
      <c r="A46" s="6" t="inlineStr">
        <is>
          <t>x̄2</t>
        </is>
      </c>
      <c r="B46" s="27" t="n"/>
      <c r="N46">
        <f>IF(AND(ISNUMBER(L46),ISNUMBER(M46)),L46-M46,"")</f>
        <v/>
      </c>
    </row>
    <row r="47">
      <c r="A47" s="6" t="inlineStr">
        <is>
          <t>s2</t>
        </is>
      </c>
      <c r="B47" s="27" t="n"/>
      <c r="N47">
        <f>IF(AND(ISNUMBER(L47),ISNUMBER(M47)),L47-M47,"")</f>
        <v/>
      </c>
    </row>
    <row r="48">
      <c r="A48" s="6" t="inlineStr">
        <is>
          <t>d0 = μ1 − μ2 onder H0</t>
        </is>
      </c>
      <c r="B48" s="27" t="n"/>
      <c r="C48" s="8" t="inlineStr">
        <is>
          <t>leeg laten voor 0</t>
        </is>
      </c>
      <c r="N48">
        <f>IF(AND(ISNUMBER(L48),ISNUMBER(M48)),L48-M48,"")</f>
        <v/>
      </c>
    </row>
    <row r="49">
      <c r="A49" s="6" t="inlineStr">
        <is>
          <t>n1 gebruikt</t>
        </is>
      </c>
      <c r="B49" s="28">
        <f>IF(COUNT(L10:L100000)&gt;1,COUNT(L10:L100000),IF(ISNUMBER(B42),B42,""))</f>
        <v/>
      </c>
      <c r="C49" s="8" t="inlineStr">
        <is>
          <t>uit kolom L als die 2+ waarden bevat, anders de getypte waarde</t>
        </is>
      </c>
      <c r="N49">
        <f>IF(AND(ISNUMBER(L49),ISNUMBER(M49)),L49-M49,"")</f>
        <v/>
      </c>
    </row>
    <row r="50">
      <c r="A50" s="6" t="inlineStr">
        <is>
          <t>x̄1 gebruikt</t>
        </is>
      </c>
      <c r="B50" s="29">
        <f>IF(COUNT(L10:L100000)&gt;1,AVERAGE(L10:L100000),IF(ISNUMBER(B43),B43,""))</f>
        <v/>
      </c>
      <c r="C50" s="8" t="inlineStr">
        <is>
          <t>uit kolom L als die 2+ waarden bevat, anders de getypte waarde</t>
        </is>
      </c>
      <c r="N50">
        <f>IF(AND(ISNUMBER(L50),ISNUMBER(M50)),L50-M50,"")</f>
        <v/>
      </c>
    </row>
    <row r="51">
      <c r="A51" s="6" t="inlineStr">
        <is>
          <t>s1 gebruikt</t>
        </is>
      </c>
      <c r="B51" s="29">
        <f>IF(COUNT(L10:L100000)&gt;1,_xlfn.STDEV.S(L10:L100000),IF(ISNUMBER(B44),B44,""))</f>
        <v/>
      </c>
      <c r="C51" s="8" t="inlineStr">
        <is>
          <t>uit kolom L als die 2+ waarden bevat, anders de getypte waarde</t>
        </is>
      </c>
      <c r="N51">
        <f>IF(AND(ISNUMBER(L51),ISNUMBER(M51)),L51-M51,"")</f>
        <v/>
      </c>
    </row>
    <row r="52">
      <c r="A52" s="6" t="inlineStr">
        <is>
          <t>n2 gebruikt</t>
        </is>
      </c>
      <c r="B52" s="28">
        <f>IF(COUNT(M10:M100000)&gt;1,COUNT(M10:M100000),IF(ISNUMBER(B45),B45,""))</f>
        <v/>
      </c>
      <c r="C52" s="8" t="inlineStr">
        <is>
          <t>uit kolom M als die 2+ waarden bevat, anders de getypte waarde</t>
        </is>
      </c>
      <c r="N52">
        <f>IF(AND(ISNUMBER(L52),ISNUMBER(M52)),L52-M52,"")</f>
        <v/>
      </c>
    </row>
    <row r="53">
      <c r="A53" s="6" t="inlineStr">
        <is>
          <t>x̄2 gebruikt</t>
        </is>
      </c>
      <c r="B53" s="29">
        <f>IF(COUNT(M10:M100000)&gt;1,AVERAGE(M10:M100000),IF(ISNUMBER(B46),B46,""))</f>
        <v/>
      </c>
      <c r="C53" s="8" t="inlineStr">
        <is>
          <t>uit kolom M als die 2+ waarden bevat, anders de getypte waarde</t>
        </is>
      </c>
      <c r="N53">
        <f>IF(AND(ISNUMBER(L53),ISNUMBER(M53)),L53-M53,"")</f>
        <v/>
      </c>
    </row>
    <row r="54">
      <c r="A54" s="6" t="inlineStr">
        <is>
          <t>s2 gebruikt</t>
        </is>
      </c>
      <c r="B54" s="29">
        <f>IF(COUNT(M10:M100000)&gt;1,_xlfn.STDEV.S(M10:M100000),IF(ISNUMBER(B47),B47,""))</f>
        <v/>
      </c>
      <c r="C54" s="8" t="inlineStr">
        <is>
          <t>uit kolom M als die 2+ waarden bevat, anders de getypte waarde</t>
        </is>
      </c>
      <c r="N54">
        <f>IF(AND(ISNUMBER(L54),ISNUMBER(M54)),L54-M54,"")</f>
        <v/>
      </c>
    </row>
    <row r="55">
      <c r="A55" s="6" t="inlineStr">
        <is>
          <t>s_p = √[((n1 − 1)s1² + (n2 − 1)s2²) / (n1 + n2 − 2)]</t>
        </is>
      </c>
      <c r="B55" s="29">
        <f>IF(AND(AND(ISNUMBER(B49),ISNUMBER(B52),N(B49)+N(B52)&gt;2),ISNUMBER(B51),ISNUMBER(B54)),SQRT(((B49-1)*B51^2+(B52-1)*B54^2)/(B49+B52-2)),"")</f>
        <v/>
      </c>
      <c r="C55" s="8" t="inlineStr">
        <is>
          <t>Test Recipes p. 5 (conventiebeslissing 8; CI Further Reading p. 15 drukt n1 + n2 − 1)</t>
        </is>
      </c>
      <c r="N55">
        <f>IF(AND(ISNUMBER(L55),ISNUMBER(M55)),L55-M55,"")</f>
        <v/>
      </c>
    </row>
    <row r="56">
      <c r="A56" s="6" t="inlineStr">
        <is>
          <t>vrijheidsgraden n1 + n2 − 2</t>
        </is>
      </c>
      <c r="B56" s="28">
        <f>IF(AND(ISNUMBER(B49),ISNUMBER(B52),N(B49)+N(B52)&gt;2),B49+B52-2,"")</f>
        <v/>
      </c>
      <c r="N56">
        <f>IF(AND(ISNUMBER(L56),ISNUMBER(M56)),L56-M56,"")</f>
        <v/>
      </c>
    </row>
    <row r="57">
      <c r="A57" s="6" t="inlineStr">
        <is>
          <t>standaardfout s_p √(1/n1 + 1/n2)</t>
        </is>
      </c>
      <c r="B57" s="29">
        <f>IF(ISNUMBER(B55),B55*SQRT(1/B49+1/B52),"")</f>
        <v/>
      </c>
      <c r="N57">
        <f>IF(AND(ISNUMBER(L57),ISNUMBER(M57)),L57-M57,"")</f>
        <v/>
      </c>
    </row>
    <row r="58">
      <c r="A58" s="6" t="inlineStr">
        <is>
          <t>x̄1 − x̄2</t>
        </is>
      </c>
      <c r="B58" s="29">
        <f>IF(AND(ISNUMBER(B50),ISNUMBER(B53)),B50-B53,"")</f>
        <v/>
      </c>
      <c r="N58">
        <f>IF(AND(ISNUMBER(L58),ISNUMBER(M58)),L58-M58,"")</f>
        <v/>
      </c>
    </row>
    <row r="59">
      <c r="N59">
        <f>IF(AND(ISNUMBER(L59),ISNUMBER(M59)),L59-M59,"")</f>
        <v/>
      </c>
    </row>
    <row r="60">
      <c r="A60" s="10" t="inlineStr">
        <is>
          <t>BI voor μ1 − μ2 (1 − α)</t>
        </is>
      </c>
      <c r="B60" s="10" t="inlineStr">
        <is>
          <t>van</t>
        </is>
      </c>
      <c r="C60" s="10" t="inlineStr">
        <is>
          <t>tot</t>
        </is>
      </c>
      <c r="D60" s="10" t="inlineStr">
        <is>
          <t>± (halve breedte, half-width)</t>
        </is>
      </c>
      <c r="E60" s="10" t="inlineStr">
        <is>
          <t>t gebruikt</t>
        </is>
      </c>
      <c r="F60" s="10" t="inlineStr">
        <is>
          <t>Bron in de cursus</t>
        </is>
      </c>
      <c r="N60">
        <f>IF(AND(ISNUMBER(L60),ISNUMBER(M60)),L60-M60,"")</f>
        <v/>
      </c>
    </row>
    <row r="61">
      <c r="A61" s="6" t="inlineStr">
        <is>
          <t>tweezijdig (two-sided)</t>
        </is>
      </c>
      <c r="B61" s="29">
        <f>IF(AND(ISNUMBER(B58),ISNUMBER(B57),ISNUMBER(B56),N(B56)&gt;0,ISNUMBER(B9)),B58-_xlfn.T.INV(1-B9/2,B56)*B57,IF(AND(AND(ISNUMBER(B56),N(B56)&gt;0,ISNUMBER(B9)),ISNUMBER(B57)),"verschil − "&amp;FIXED(_xlfn.T.INV(1-B9/2,B56)*B57,4),""))</f>
        <v/>
      </c>
      <c r="C61" s="29">
        <f>IF(AND(ISNUMBER(B58),ISNUMBER(B57),ISNUMBER(B56),N(B56)&gt;0,ISNUMBER(B9)),B58+_xlfn.T.INV(1-B9/2,B56)*B57,IF(AND(AND(ISNUMBER(B56),N(B56)&gt;0,ISNUMBER(B9)),ISNUMBER(B57)),"verschil + "&amp;FIXED(_xlfn.T.INV(1-B9/2,B56)*B57,4),""))</f>
        <v/>
      </c>
      <c r="D61" s="29">
        <f>IF(AND(AND(ISNUMBER(B56),N(B56)&gt;0,ISNUMBER(B9)),ISNUMBER(B57)),_xlfn.T.INV(1-B9/2,B56)*B57,"")</f>
        <v/>
      </c>
      <c r="E61" s="11">
        <f>IF(AND(ISNUMBER(B56),N(B56)&gt;0,ISNUMBER(B9)),_xlfn.T.INV(1-B9/2,B56),"")</f>
        <v/>
      </c>
      <c r="F61" s="8" t="inlineStr">
        <is>
          <t>CI Further Reading p. 15-17 (S03-WE13: −5,6 ± 6,19)</t>
        </is>
      </c>
      <c r="N61">
        <f>IF(AND(ISNUMBER(L61),ISNUMBER(M61)),L61-M61,"")</f>
        <v/>
      </c>
    </row>
    <row r="62">
      <c r="A62" s="6" t="inlineStr">
        <is>
          <t>alleen ondergrens (μ1 − μ2 minstens …)</t>
        </is>
      </c>
      <c r="B62" s="29">
        <f>IF(AND(ISNUMBER(B58),ISNUMBER(B57),ISNUMBER(B56),N(B56)&gt;0,ISNUMBER(B9)),B58-_xlfn.T.INV(1-B9,B56)*B57,IF(AND(AND(ISNUMBER(B56),N(B56)&gt;0,ISNUMBER(B9)),ISNUMBER(B57)),"verschil − "&amp;FIXED(_xlfn.T.INV(1-B9,B56)*B57,4),""))</f>
        <v/>
      </c>
      <c r="C62" s="29">
        <f>IF(OR(AND(ISNUMBER(B58),ISNUMBER(B57),ISNUMBER(B56),N(B56)&gt;0,ISNUMBER(B9)),AND(AND(ISNUMBER(B56),N(B56)&gt;0,ISNUMBER(B9)),ISNUMBER(B57))),"+∞","")</f>
        <v/>
      </c>
      <c r="D62" s="29">
        <f>IF(AND(AND(ISNUMBER(B56),N(B56)&gt;0,ISNUMBER(B9)),ISNUMBER(B57)),_xlfn.T.INV(1-B9,B56)*B57,"")</f>
        <v/>
      </c>
      <c r="E62" s="11">
        <f>IF(AND(ISNUMBER(B56),N(B56)&gt;0,ISNUMBER(B9)),_xlfn.T.INV(1-B9,B56),"")</f>
        <v/>
      </c>
      <c r="N62">
        <f>IF(AND(ISNUMBER(L62),ISNUMBER(M62)),L62-M62,"")</f>
        <v/>
      </c>
    </row>
    <row r="63">
      <c r="A63" s="6" t="inlineStr">
        <is>
          <t>alleen bovengrens (μ1 − μ2 hoogstens …)</t>
        </is>
      </c>
      <c r="B63" s="29">
        <f>IF(OR(AND(ISNUMBER(B58),ISNUMBER(B57),ISNUMBER(B56),N(B56)&gt;0,ISNUMBER(B9)),AND(AND(ISNUMBER(B56),N(B56)&gt;0,ISNUMBER(B9)),ISNUMBER(B57))),"−∞","")</f>
        <v/>
      </c>
      <c r="C63" s="29">
        <f>IF(AND(ISNUMBER(B58),ISNUMBER(B57),ISNUMBER(B56),N(B56)&gt;0,ISNUMBER(B9)),B58+_xlfn.T.INV(1-B9,B56)*B57,IF(AND(AND(ISNUMBER(B56),N(B56)&gt;0,ISNUMBER(B9)),ISNUMBER(B57)),"verschil + "&amp;FIXED(_xlfn.T.INV(1-B9,B56)*B57,4),""))</f>
        <v/>
      </c>
      <c r="D63" s="29">
        <f>IF(AND(AND(ISNUMBER(B56),N(B56)&gt;0,ISNUMBER(B9)),ISNUMBER(B57)),_xlfn.T.INV(1-B9,B56)*B57,"")</f>
        <v/>
      </c>
      <c r="E63" s="11">
        <f>IF(AND(ISNUMBER(B56),N(B56)&gt;0,ISNUMBER(B9)),_xlfn.T.INV(1-B9,B56),"")</f>
        <v/>
      </c>
      <c r="N63">
        <f>IF(AND(ISNUMBER(L63),ISNUMBER(M63)),L63-M63,"")</f>
        <v/>
      </c>
    </row>
    <row r="64">
      <c r="N64">
        <f>IF(AND(ISNUMBER(L64),ISNUMBER(M64)),L64-M64,"")</f>
        <v/>
      </c>
    </row>
    <row r="65">
      <c r="A65" s="10" t="inlineStr">
        <is>
          <t>t-toets van H0: μ1 − μ2 = d0</t>
        </is>
      </c>
      <c r="B65" s="10" t="inlineStr">
        <is>
          <t>t = (verschil − d0) / SE</t>
        </is>
      </c>
      <c r="C65" s="10" t="inlineStr">
        <is>
          <t>kritieke t</t>
        </is>
      </c>
      <c r="D65" s="10" t="inlineStr">
        <is>
          <t>2de kritieke t</t>
        </is>
      </c>
      <c r="E65" s="10" t="inlineStr"/>
      <c r="F65" s="10" t="inlineStr"/>
      <c r="G65" s="10" t="inlineStr">
        <is>
          <t>p-waarde</t>
        </is>
      </c>
      <c r="H65" s="10" t="inlineStr">
        <is>
          <t>Besluit bij α</t>
        </is>
      </c>
      <c r="N65">
        <f>IF(AND(ISNUMBER(L65),ISNUMBER(M65)),L65-M65,"")</f>
        <v/>
      </c>
    </row>
    <row r="66">
      <c r="A66" s="6" t="inlineStr">
        <is>
          <t>HA: μ1 − μ2 ≠ d0</t>
        </is>
      </c>
      <c r="B66" s="11">
        <f>IF(AND(ISNUMBER(B58),ISNUMBER(B57),ISNUMBER(B56),N(B56)&gt;0,ISNUMBER(B9)),(B58-IF(ISNUMBER(B48),B48,0))/B57,"")</f>
        <v/>
      </c>
      <c r="C66" s="11">
        <f>IF(AND(ISNUMBER(B9),ISNUMBER(B56),N(B56)&gt;0),-_xlfn.T.INV(1-B9/2,B56),"")</f>
        <v/>
      </c>
      <c r="D66" s="11">
        <f>IF(AND(ISNUMBER(B9),ISNUMBER(B56),N(B56)&gt;0),_xlfn.T.INV(1-B9/2,B56),"")</f>
        <v/>
      </c>
      <c r="G66" s="14">
        <f>IF(AND(ISNUMBER(B58),ISNUMBER(B57),ISNUMBER(B56),N(B56)&gt;0,ISNUMBER(B9)),_xlfn.T.DIST.2T(ABS(B66),B56),"")</f>
        <v/>
      </c>
      <c r="H66" s="13">
        <f>IF(ISNUMBER(G66),IF(G66&lt;B9,"verwerp H0","H0 niet verwerpen"),"")</f>
        <v/>
      </c>
      <c r="N66">
        <f>IF(AND(ISNUMBER(L66),ISNUMBER(M66)),L66-M66,"")</f>
        <v/>
      </c>
    </row>
    <row r="67">
      <c r="A67" s="6" t="inlineStr">
        <is>
          <t>HA: μ1 − μ2 &gt; d0</t>
        </is>
      </c>
      <c r="B67" s="11">
        <f>IF(AND(ISNUMBER(B58),ISNUMBER(B57),ISNUMBER(B56),N(B56)&gt;0,ISNUMBER(B9)),(B58-IF(ISNUMBER(B48),B48,0))/B57,"")</f>
        <v/>
      </c>
      <c r="C67" s="11">
        <f>IF(AND(ISNUMBER(B9),ISNUMBER(B56),N(B56)&gt;0),_xlfn.T.INV(1-B9,B56),"")</f>
        <v/>
      </c>
      <c r="D67" s="11">
        <f>""</f>
        <v/>
      </c>
      <c r="G67" s="14">
        <f>IF(AND(ISNUMBER(B58),ISNUMBER(B57),ISNUMBER(B56),N(B56)&gt;0,ISNUMBER(B9)),_xlfn.T.DIST.RT(B67,B56),"")</f>
        <v/>
      </c>
      <c r="H67" s="13">
        <f>IF(ISNUMBER(G67),IF(G67&lt;B9,"verwerp H0","H0 niet verwerpen"),"")</f>
        <v/>
      </c>
      <c r="N67">
        <f>IF(AND(ISNUMBER(L67),ISNUMBER(M67)),L67-M67,"")</f>
        <v/>
      </c>
    </row>
    <row r="68">
      <c r="A68" s="6" t="inlineStr">
        <is>
          <t>HA: μ1 − μ2 &lt; d0</t>
        </is>
      </c>
      <c r="B68" s="11">
        <f>IF(AND(ISNUMBER(B58),ISNUMBER(B57),ISNUMBER(B56),N(B56)&gt;0,ISNUMBER(B9)),(B58-IF(ISNUMBER(B48),B48,0))/B57,"")</f>
        <v/>
      </c>
      <c r="C68" s="11">
        <f>IF(AND(ISNUMBER(B9),ISNUMBER(B56),N(B56)&gt;0),-_xlfn.T.INV(1-B9,B56),"")</f>
        <v/>
      </c>
      <c r="D68" s="11">
        <f>""</f>
        <v/>
      </c>
      <c r="G68" s="14">
        <f>IF(AND(ISNUMBER(B58),ISNUMBER(B57),ISNUMBER(B56),N(B56)&gt;0,ISNUMBER(B9)),_xlfn.T.DIST(B68,B56,TRUE),"")</f>
        <v/>
      </c>
      <c r="H68" s="13">
        <f>IF(ISNUMBER(G68),IF(G68&lt;B9,"verwerp H0","H0 niet verwerpen"),"")</f>
        <v/>
      </c>
      <c r="N68">
        <f>IF(AND(ISNUMBER(L68),ISNUMBER(M68)),L68-M68,"")</f>
        <v/>
      </c>
    </row>
    <row r="69">
      <c r="N69">
        <f>IF(AND(ISNUMBER(L69),ISNUMBER(M69)),L69-M69,"")</f>
        <v/>
      </c>
    </row>
    <row r="70">
      <c r="N70">
        <f>IF(AND(ISNUMBER(L70),ISNUMBER(M70)),L70-M70,"")</f>
        <v/>
      </c>
    </row>
    <row r="71">
      <c r="N71">
        <f>IF(AND(ISNUMBER(L71),ISNUMBER(M71)),L71-M71,"")</f>
        <v/>
      </c>
    </row>
    <row r="72">
      <c r="A72" s="5" t="inlineStr">
        <is>
          <t>4. Twee gemiddelden, gepaarde steekproeven (paired; verschillen v = steekproef 1 − steekproef 2)</t>
        </is>
      </c>
      <c r="N72">
        <f>IF(AND(ISNUMBER(L72),ISNUMBER(M72)),L72-M72,"")</f>
        <v/>
      </c>
    </row>
    <row r="73">
      <c r="A73" s="6" t="inlineStr">
        <is>
          <t>n = aantal paren</t>
        </is>
      </c>
      <c r="B73" s="7" t="n"/>
      <c r="C73" s="8" t="inlineStr">
        <is>
          <t>of plak de paren in kolommen L en M (zelfde rijen)</t>
        </is>
      </c>
      <c r="N73">
        <f>IF(AND(ISNUMBER(L73),ISNUMBER(M73)),L73-M73,"")</f>
        <v/>
      </c>
    </row>
    <row r="74">
      <c r="A74" s="6" t="inlineStr">
        <is>
          <t>v̄ = gemiddeld verschil</t>
        </is>
      </c>
      <c r="B74" s="27" t="n"/>
      <c r="N74">
        <f>IF(AND(ISNUMBER(L74),ISNUMBER(M74)),L74-M74,"")</f>
        <v/>
      </c>
    </row>
    <row r="75">
      <c r="A75" s="6" t="inlineStr">
        <is>
          <t>s_v = standaardafwijking van de verschillen</t>
        </is>
      </c>
      <c r="B75" s="27" t="n"/>
      <c r="N75">
        <f>IF(AND(ISNUMBER(L75),ISNUMBER(M75)),L75-M75,"")</f>
        <v/>
      </c>
    </row>
    <row r="76">
      <c r="A76" s="6" t="inlineStr">
        <is>
          <t>d0 onder H0</t>
        </is>
      </c>
      <c r="B76" s="27" t="n"/>
      <c r="C76" s="8" t="inlineStr">
        <is>
          <t>leeg laten voor 0</t>
        </is>
      </c>
      <c r="N76">
        <f>IF(AND(ISNUMBER(L76),ISNUMBER(M76)),L76-M76,"")</f>
        <v/>
      </c>
    </row>
    <row r="77">
      <c r="A77" s="6" t="inlineStr">
        <is>
          <t>n gebruikt</t>
        </is>
      </c>
      <c r="B77" s="28">
        <f>IF(COUNT(N10:N10009)&gt;1,COUNT(N10:N10009),IF(ISNUMBER(B73),B73,""))</f>
        <v/>
      </c>
      <c r="C77" s="8" t="inlineStr">
        <is>
          <t>uit kolom N als die 2+ waarden bevat, anders de getypte waarde</t>
        </is>
      </c>
      <c r="N77">
        <f>IF(AND(ISNUMBER(L77),ISNUMBER(M77)),L77-M77,"")</f>
        <v/>
      </c>
    </row>
    <row r="78">
      <c r="A78" s="6" t="inlineStr">
        <is>
          <t>v̄ gebruikt</t>
        </is>
      </c>
      <c r="B78" s="29">
        <f>IF(COUNT(N10:N10009)&gt;1,AVERAGE(N10:N10009),IF(ISNUMBER(B74),B74,""))</f>
        <v/>
      </c>
      <c r="C78" s="8" t="inlineStr">
        <is>
          <t>uit kolom N als die 2+ waarden bevat, anders de getypte waarde</t>
        </is>
      </c>
      <c r="N78">
        <f>IF(AND(ISNUMBER(L78),ISNUMBER(M78)),L78-M78,"")</f>
        <v/>
      </c>
    </row>
    <row r="79">
      <c r="A79" s="6" t="inlineStr">
        <is>
          <t>s_v gebruikt</t>
        </is>
      </c>
      <c r="B79" s="29">
        <f>IF(COUNT(N10:N10009)&gt;1,_xlfn.STDEV.S(N10:N10009),IF(ISNUMBER(B75),B75,""))</f>
        <v/>
      </c>
      <c r="C79" s="8" t="inlineStr">
        <is>
          <t>uit kolom N als die 2+ waarden bevat, anders de getypte waarde</t>
        </is>
      </c>
      <c r="N79">
        <f>IF(AND(ISNUMBER(L79),ISNUMBER(M79)),L79-M79,"")</f>
        <v/>
      </c>
    </row>
    <row r="80">
      <c r="A80" s="6" t="inlineStr">
        <is>
          <t>standaardfout s_v / √n</t>
        </is>
      </c>
      <c r="B80" s="29">
        <f>IF(AND(AND(ISNUMBER(B77),N(B77)&gt;1),ISNUMBER(B79)),B79/SQRT(B77),"")</f>
        <v/>
      </c>
      <c r="N80">
        <f>IF(AND(ISNUMBER(L80),ISNUMBER(M80)),L80-M80,"")</f>
        <v/>
      </c>
    </row>
    <row r="81">
      <c r="A81" s="6" t="inlineStr">
        <is>
          <t>vrijheidsgraden n − 1</t>
        </is>
      </c>
      <c r="B81" s="28">
        <f>IF(AND(ISNUMBER(B77),N(B77)&gt;1),B77-1,"")</f>
        <v/>
      </c>
      <c r="N81">
        <f>IF(AND(ISNUMBER(L81),ISNUMBER(M81)),L81-M81,"")</f>
        <v/>
      </c>
    </row>
    <row r="82">
      <c r="N82">
        <f>IF(AND(ISNUMBER(L82),ISNUMBER(M82)),L82-M82,"")</f>
        <v/>
      </c>
    </row>
    <row r="83">
      <c r="A83" s="10" t="inlineStr">
        <is>
          <t>BI voor μ1 − μ2 (1 − α)</t>
        </is>
      </c>
      <c r="B83" s="10" t="inlineStr">
        <is>
          <t>van</t>
        </is>
      </c>
      <c r="C83" s="10" t="inlineStr">
        <is>
          <t>tot</t>
        </is>
      </c>
      <c r="D83" s="10" t="inlineStr">
        <is>
          <t>± (halve breedte, half-width)</t>
        </is>
      </c>
      <c r="E83" s="10" t="inlineStr">
        <is>
          <t>t gebruikt</t>
        </is>
      </c>
      <c r="F83" s="10" t="inlineStr">
        <is>
          <t>Bron in de cursus</t>
        </is>
      </c>
      <c r="N83">
        <f>IF(AND(ISNUMBER(L83),ISNUMBER(M83)),L83-M83,"")</f>
        <v/>
      </c>
    </row>
    <row r="84">
      <c r="A84" s="6" t="inlineStr">
        <is>
          <t>tweezijdig (two-sided)</t>
        </is>
      </c>
      <c r="B84" s="29">
        <f>IF(AND(ISNUMBER(B78),ISNUMBER(B80),ISNUMBER(B81),N(B81)&gt;0,ISNUMBER(B9)),B78-_xlfn.T.INV(1-B9/2,B81)*B80,IF(AND(AND(ISNUMBER(B81),N(B81)&gt;0,ISNUMBER(B9)),ISNUMBER(B80)),"verschil − "&amp;FIXED(_xlfn.T.INV(1-B9/2,B81)*B80,4),""))</f>
        <v/>
      </c>
      <c r="C84" s="29">
        <f>IF(AND(ISNUMBER(B78),ISNUMBER(B80),ISNUMBER(B81),N(B81)&gt;0,ISNUMBER(B9)),B78+_xlfn.T.INV(1-B9/2,B81)*B80,IF(AND(AND(ISNUMBER(B81),N(B81)&gt;0,ISNUMBER(B9)),ISNUMBER(B80)),"verschil + "&amp;FIXED(_xlfn.T.INV(1-B9/2,B81)*B80,4),""))</f>
        <v/>
      </c>
      <c r="D84" s="29">
        <f>IF(AND(AND(ISNUMBER(B81),N(B81)&gt;0,ISNUMBER(B9)),ISNUMBER(B80)),_xlfn.T.INV(1-B9/2,B81)*B80,"")</f>
        <v/>
      </c>
      <c r="E84" s="11">
        <f>IF(AND(ISNUMBER(B81),N(B81)&gt;0,ISNUMBER(B9)),_xlfn.T.INV(1-B9/2,B81),"")</f>
        <v/>
      </c>
      <c r="F84" s="8" t="inlineStr">
        <is>
          <t>CI Further Reading p. 16, 18 (S03-WE14: −3,3 ± 1,72); Test Recipes p. 7-8</t>
        </is>
      </c>
      <c r="N84">
        <f>IF(AND(ISNUMBER(L84),ISNUMBER(M84)),L84-M84,"")</f>
        <v/>
      </c>
    </row>
    <row r="85">
      <c r="A85" s="6" t="inlineStr">
        <is>
          <t>alleen ondergrens (μ1 − μ2 minstens …)</t>
        </is>
      </c>
      <c r="B85" s="29">
        <f>IF(AND(ISNUMBER(B78),ISNUMBER(B80),ISNUMBER(B81),N(B81)&gt;0,ISNUMBER(B9)),B78-_xlfn.T.INV(1-B9,B81)*B80,IF(AND(AND(ISNUMBER(B81),N(B81)&gt;0,ISNUMBER(B9)),ISNUMBER(B80)),"verschil − "&amp;FIXED(_xlfn.T.INV(1-B9,B81)*B80,4),""))</f>
        <v/>
      </c>
      <c r="C85" s="29">
        <f>IF(OR(AND(ISNUMBER(B78),ISNUMBER(B80),ISNUMBER(B81),N(B81)&gt;0,ISNUMBER(B9)),AND(AND(ISNUMBER(B81),N(B81)&gt;0,ISNUMBER(B9)),ISNUMBER(B80))),"+∞","")</f>
        <v/>
      </c>
      <c r="D85" s="29">
        <f>IF(AND(AND(ISNUMBER(B81),N(B81)&gt;0,ISNUMBER(B9)),ISNUMBER(B80)),_xlfn.T.INV(1-B9,B81)*B80,"")</f>
        <v/>
      </c>
      <c r="E85" s="11">
        <f>IF(AND(ISNUMBER(B81),N(B81)&gt;0,ISNUMBER(B9)),_xlfn.T.INV(1-B9,B81),"")</f>
        <v/>
      </c>
      <c r="N85">
        <f>IF(AND(ISNUMBER(L85),ISNUMBER(M85)),L85-M85,"")</f>
        <v/>
      </c>
    </row>
    <row r="86">
      <c r="A86" s="6" t="inlineStr">
        <is>
          <t>alleen bovengrens (μ1 − μ2 hoogstens …)</t>
        </is>
      </c>
      <c r="B86" s="29">
        <f>IF(OR(AND(ISNUMBER(B78),ISNUMBER(B80),ISNUMBER(B81),N(B81)&gt;0,ISNUMBER(B9)),AND(AND(ISNUMBER(B81),N(B81)&gt;0,ISNUMBER(B9)),ISNUMBER(B80))),"−∞","")</f>
        <v/>
      </c>
      <c r="C86" s="29">
        <f>IF(AND(ISNUMBER(B78),ISNUMBER(B80),ISNUMBER(B81),N(B81)&gt;0,ISNUMBER(B9)),B78+_xlfn.T.INV(1-B9,B81)*B80,IF(AND(AND(ISNUMBER(B81),N(B81)&gt;0,ISNUMBER(B9)),ISNUMBER(B80)),"verschil + "&amp;FIXED(_xlfn.T.INV(1-B9,B81)*B80,4),""))</f>
        <v/>
      </c>
      <c r="D86" s="29">
        <f>IF(AND(AND(ISNUMBER(B81),N(B81)&gt;0,ISNUMBER(B9)),ISNUMBER(B80)),_xlfn.T.INV(1-B9,B81)*B80,"")</f>
        <v/>
      </c>
      <c r="E86" s="11">
        <f>IF(AND(ISNUMBER(B81),N(B81)&gt;0,ISNUMBER(B9)),_xlfn.T.INV(1-B9,B81),"")</f>
        <v/>
      </c>
      <c r="N86">
        <f>IF(AND(ISNUMBER(L86),ISNUMBER(M86)),L86-M86,"")</f>
        <v/>
      </c>
    </row>
    <row r="87">
      <c r="N87">
        <f>IF(AND(ISNUMBER(L87),ISNUMBER(M87)),L87-M87,"")</f>
        <v/>
      </c>
    </row>
    <row r="88">
      <c r="A88" s="10" t="inlineStr">
        <is>
          <t>t-toets van H0: μ1 − μ2 = d0</t>
        </is>
      </c>
      <c r="B88" s="10" t="inlineStr">
        <is>
          <t>t = (verschil − d0) / SE</t>
        </is>
      </c>
      <c r="C88" s="10" t="inlineStr">
        <is>
          <t>kritieke t</t>
        </is>
      </c>
      <c r="D88" s="10" t="inlineStr">
        <is>
          <t>2de kritieke t</t>
        </is>
      </c>
      <c r="E88" s="10" t="inlineStr"/>
      <c r="F88" s="10" t="inlineStr"/>
      <c r="G88" s="10" t="inlineStr">
        <is>
          <t>p-waarde</t>
        </is>
      </c>
      <c r="H88" s="10" t="inlineStr">
        <is>
          <t>Besluit bij α</t>
        </is>
      </c>
      <c r="N88">
        <f>IF(AND(ISNUMBER(L88),ISNUMBER(M88)),L88-M88,"")</f>
        <v/>
      </c>
    </row>
    <row r="89">
      <c r="A89" s="6" t="inlineStr">
        <is>
          <t>HA: μ1 − μ2 ≠ d0</t>
        </is>
      </c>
      <c r="B89" s="11">
        <f>IF(AND(ISNUMBER(B78),ISNUMBER(B80),ISNUMBER(B81),N(B81)&gt;0,ISNUMBER(B9)),(B78-IF(ISNUMBER(B76),B76,0))/B80,"")</f>
        <v/>
      </c>
      <c r="C89" s="11">
        <f>IF(AND(ISNUMBER(B9),ISNUMBER(B81),N(B81)&gt;0),-_xlfn.T.INV(1-B9/2,B81),"")</f>
        <v/>
      </c>
      <c r="D89" s="11">
        <f>IF(AND(ISNUMBER(B9),ISNUMBER(B81),N(B81)&gt;0),_xlfn.T.INV(1-B9/2,B81),"")</f>
        <v/>
      </c>
      <c r="G89" s="14">
        <f>IF(AND(ISNUMBER(B78),ISNUMBER(B80),ISNUMBER(B81),N(B81)&gt;0,ISNUMBER(B9)),_xlfn.T.DIST.2T(ABS(B89),B81),"")</f>
        <v/>
      </c>
      <c r="H89" s="13">
        <f>IF(ISNUMBER(G89),IF(G89&lt;B9,"verwerp H0","H0 niet verwerpen"),"")</f>
        <v/>
      </c>
      <c r="N89">
        <f>IF(AND(ISNUMBER(L89),ISNUMBER(M89)),L89-M89,"")</f>
        <v/>
      </c>
    </row>
    <row r="90">
      <c r="A90" s="6" t="inlineStr">
        <is>
          <t>HA: μ1 − μ2 &gt; d0</t>
        </is>
      </c>
      <c r="B90" s="11">
        <f>IF(AND(ISNUMBER(B78),ISNUMBER(B80),ISNUMBER(B81),N(B81)&gt;0,ISNUMBER(B9)),(B78-IF(ISNUMBER(B76),B76,0))/B80,"")</f>
        <v/>
      </c>
      <c r="C90" s="11">
        <f>IF(AND(ISNUMBER(B9),ISNUMBER(B81),N(B81)&gt;0),_xlfn.T.INV(1-B9,B81),"")</f>
        <v/>
      </c>
      <c r="D90" s="11">
        <f>""</f>
        <v/>
      </c>
      <c r="G90" s="14">
        <f>IF(AND(ISNUMBER(B78),ISNUMBER(B80),ISNUMBER(B81),N(B81)&gt;0,ISNUMBER(B9)),_xlfn.T.DIST.RT(B90,B81),"")</f>
        <v/>
      </c>
      <c r="H90" s="13">
        <f>IF(ISNUMBER(G90),IF(G90&lt;B9,"verwerp H0","H0 niet verwerpen"),"")</f>
        <v/>
      </c>
      <c r="N90">
        <f>IF(AND(ISNUMBER(L90),ISNUMBER(M90)),L90-M90,"")</f>
        <v/>
      </c>
    </row>
    <row r="91">
      <c r="A91" s="6" t="inlineStr">
        <is>
          <t>HA: μ1 − μ2 &lt; d0</t>
        </is>
      </c>
      <c r="B91" s="11">
        <f>IF(AND(ISNUMBER(B78),ISNUMBER(B80),ISNUMBER(B81),N(B81)&gt;0,ISNUMBER(B9)),(B78-IF(ISNUMBER(B76),B76,0))/B80,"")</f>
        <v/>
      </c>
      <c r="C91" s="11">
        <f>IF(AND(ISNUMBER(B9),ISNUMBER(B81),N(B81)&gt;0),-_xlfn.T.INV(1-B9,B81),"")</f>
        <v/>
      </c>
      <c r="D91" s="11">
        <f>""</f>
        <v/>
      </c>
      <c r="G91" s="14">
        <f>IF(AND(ISNUMBER(B78),ISNUMBER(B80),ISNUMBER(B81),N(B81)&gt;0,ISNUMBER(B9)),_xlfn.T.DIST(B91,B81,TRUE),"")</f>
        <v/>
      </c>
      <c r="H91" s="13">
        <f>IF(ISNUMBER(G91),IF(G91&lt;B9,"verwerp H0","H0 niet verwerpen"),"")</f>
        <v/>
      </c>
      <c r="N91">
        <f>IF(AND(ISNUMBER(L91),ISNUMBER(M91)),L91-M91,"")</f>
        <v/>
      </c>
    </row>
    <row r="92">
      <c r="N92">
        <f>IF(AND(ISNUMBER(L92),ISNUMBER(M92)),L92-M92,"")</f>
        <v/>
      </c>
    </row>
    <row r="93">
      <c r="N93">
        <f>IF(AND(ISNUMBER(L93),ISNUMBER(M93)),L93-M93,"")</f>
        <v/>
      </c>
    </row>
    <row r="94">
      <c r="A94" s="5" t="inlineStr">
        <is>
          <t>5. Eén proportie π (bv. fractie defect, fraction defective)</t>
        </is>
      </c>
      <c r="N94">
        <f>IF(AND(ISNUMBER(L94),ISNUMBER(M94)),L94-M94,"")</f>
        <v/>
      </c>
    </row>
    <row r="95">
      <c r="A95" s="6" t="inlineStr">
        <is>
          <t>n = steekproefgrootte (sample size)</t>
        </is>
      </c>
      <c r="B95" s="7" t="n"/>
      <c r="N95">
        <f>IF(AND(ISNUMBER(L95),ISNUMBER(M95)),L95-M95,"")</f>
        <v/>
      </c>
    </row>
    <row r="96">
      <c r="A96" s="6" t="inlineStr">
        <is>
          <t>x = aantal successen (bv. defecte stuks)</t>
        </is>
      </c>
      <c r="B96" s="7" t="n"/>
      <c r="N96">
        <f>IF(AND(ISNUMBER(L96),ISNUMBER(M96)),L96-M96,"")</f>
        <v/>
      </c>
    </row>
    <row r="97">
      <c r="A97" s="6" t="inlineStr">
        <is>
          <t>π0 voor de toets (fractie)</t>
        </is>
      </c>
      <c r="B97" s="22" t="n"/>
      <c r="N97">
        <f>IF(AND(ISNUMBER(L97),ISNUMBER(M97)),L97-M97,"")</f>
        <v/>
      </c>
    </row>
    <row r="98">
      <c r="A98" s="6" t="inlineStr">
        <is>
          <t>p = x / n</t>
        </is>
      </c>
      <c r="B98" s="14">
        <f>IF(AND(ISNUMBER(B95),ISNUMBER(B96),B95&gt;0,B96&gt;=0,B96&lt;=B95),B96/B95,"")</f>
        <v/>
      </c>
      <c r="N98">
        <f>IF(AND(ISNUMBER(L98),ISNUMBER(M98)),L98-M98,"")</f>
        <v/>
      </c>
    </row>
    <row r="99">
      <c r="A99" s="6" t="inlineStr">
        <is>
          <t>standaardfout √(p(1 − p)/n)</t>
        </is>
      </c>
      <c r="B99" s="29">
        <f>IF(ISNUMBER(B98),SQRT(B98*(1-B98)/B95),"")</f>
        <v/>
      </c>
      <c r="N99">
        <f>IF(AND(ISNUMBER(L99),ISNUMBER(M99)),L99-M99,"")</f>
        <v/>
      </c>
    </row>
    <row r="100">
      <c r="A100" s="6" t="inlineStr">
        <is>
          <t>Voorwaarde voor de Z-toets: n · π0 &gt; 5</t>
        </is>
      </c>
      <c r="B100" s="13">
        <f>IF(AND(ISNUMBER(B95),ISNUMBER(B97)),IF(B95*B97&gt;5,"voldaan","NIET voldaan: gebruik het exacte (binomiale) interval"),"")</f>
        <v/>
      </c>
      <c r="C100" s="8" t="inlineStr">
        <is>
          <t>Test Recipes p. 9-10</t>
        </is>
      </c>
      <c r="N100">
        <f>IF(AND(ISNUMBER(L100),ISNUMBER(M100)),L100-M100,"")</f>
        <v/>
      </c>
    </row>
    <row r="101">
      <c r="N101">
        <f>IF(AND(ISNUMBER(L101),ISNUMBER(M101)),L101-M101,"")</f>
        <v/>
      </c>
    </row>
    <row r="102">
      <c r="A102" s="10" t="inlineStr">
        <is>
          <t>BI voor π (1 − α)</t>
        </is>
      </c>
      <c r="B102" s="10" t="inlineStr">
        <is>
          <t>normale benadering: van</t>
        </is>
      </c>
      <c r="C102" s="10" t="inlineStr">
        <is>
          <t>tot</t>
        </is>
      </c>
      <c r="D102" s="10" t="inlineStr">
        <is>
          <t>exact (binomiaal): van</t>
        </is>
      </c>
      <c r="E102" s="10" t="inlineStr">
        <is>
          <t>tot</t>
        </is>
      </c>
      <c r="F102" s="10" t="inlineStr">
        <is>
          <t>Bron in de cursus</t>
        </is>
      </c>
      <c r="N102">
        <f>IF(AND(ISNUMBER(L102),ISNUMBER(M102)),L102-M102,"")</f>
        <v/>
      </c>
    </row>
    <row r="103">
      <c r="A103" s="6" t="inlineStr">
        <is>
          <t>tweezijdig (two-sided)</t>
        </is>
      </c>
      <c r="B103" s="14">
        <f>IF(AND(ISNUMBER(B98),ISNUMBER(B9)),B98-_xlfn.NORM.S.INV(1-B9/2)*B99,"")</f>
        <v/>
      </c>
      <c r="C103" s="14">
        <f>IF(AND(ISNUMBER(B98),ISNUMBER(B9)),B98+_xlfn.NORM.S.INV(1-B9/2)*B99,"")</f>
        <v/>
      </c>
      <c r="D103" s="14">
        <f>IF(AND(ISNUMBER(B98),ISNUMBER(B9)),IF(B96=0,0,_xlfn.BETA.INV(B9/2,B96,B95-B96+1)),"")</f>
        <v/>
      </c>
      <c r="E103" s="14">
        <f>IF(AND(ISNUMBER(B98),ISNUMBER(B9)),IF(B96=B95,1,_xlfn.BETA.INV(1-B9/2,B96+1,B95-B96)),"")</f>
        <v/>
      </c>
      <c r="F103" s="8" t="inlineStr">
        <is>
          <t>CI Further Reading p. 20 (normale benadering; exact = R binom.test); Confidence Intervals.pdf p. 4</t>
        </is>
      </c>
      <c r="N103">
        <f>IF(AND(ISNUMBER(L103),ISNUMBER(M103)),L103-M103,"")</f>
        <v/>
      </c>
    </row>
    <row r="104">
      <c r="A104" s="6" t="inlineStr">
        <is>
          <t>alleen ondergrens (π minstens …)</t>
        </is>
      </c>
      <c r="B104" s="14">
        <f>IF(AND(ISNUMBER(B98),ISNUMBER(B9)),B98-_xlfn.NORM.S.INV(1-B9)*B99,"")</f>
        <v/>
      </c>
      <c r="C104" s="14">
        <f>IF(OR(AND(ISNUMBER(B98),ISNUMBER(B9)),FALSE),"+∞","")</f>
        <v/>
      </c>
      <c r="D104" s="14">
        <f>IF(AND(ISNUMBER(B98),ISNUMBER(B9)),IF(B96=0,0,_xlfn.BETA.INV(B9,B96,B95-B96+1)),"")</f>
        <v/>
      </c>
      <c r="E104" s="14">
        <f>IF(AND(ISNUMBER(B98),ISNUMBER(B9)),"+∞","")</f>
        <v/>
      </c>
      <c r="N104">
        <f>IF(AND(ISNUMBER(L104),ISNUMBER(M104)),L104-M104,"")</f>
        <v/>
      </c>
    </row>
    <row r="105">
      <c r="A105" s="6" t="inlineStr">
        <is>
          <t>alleen bovengrens (π hoogstens …)</t>
        </is>
      </c>
      <c r="B105" s="14">
        <f>IF(OR(AND(ISNUMBER(B98),ISNUMBER(B9)),FALSE),"−∞","")</f>
        <v/>
      </c>
      <c r="C105" s="14">
        <f>IF(AND(ISNUMBER(B98),ISNUMBER(B9)),B98+_xlfn.NORM.S.INV(1-B9)*B99,"")</f>
        <v/>
      </c>
      <c r="D105" s="14">
        <f>IF(AND(ISNUMBER(B98),ISNUMBER(B9)),0,"")</f>
        <v/>
      </c>
      <c r="E105" s="14">
        <f>IF(AND(ISNUMBER(B98),ISNUMBER(B9)),IF(B96=B95,1,_xlfn.BETA.INV(1-B9,B96+1,B95-B96)),"")</f>
        <v/>
      </c>
      <c r="N105">
        <f>IF(AND(ISNUMBER(L105),ISNUMBER(M105)),L105-M105,"")</f>
        <v/>
      </c>
    </row>
    <row r="106">
      <c r="N106">
        <f>IF(AND(ISNUMBER(L106),ISNUMBER(M106)),L106-M106,"")</f>
        <v/>
      </c>
    </row>
    <row r="107">
      <c r="A107" s="10" t="inlineStr">
        <is>
          <t>Z-toets van H0: π = π0</t>
        </is>
      </c>
      <c r="B107" s="10" t="inlineStr">
        <is>
          <t>z = (p − π0) / √(π0(1 − π0)/n)</t>
        </is>
      </c>
      <c r="C107" s="10" t="inlineStr">
        <is>
          <t>kritieke z</t>
        </is>
      </c>
      <c r="D107" s="10" t="inlineStr">
        <is>
          <t>2de kritieke z</t>
        </is>
      </c>
      <c r="E107" s="10" t="inlineStr"/>
      <c r="F107" s="10" t="inlineStr"/>
      <c r="G107" s="10" t="inlineStr">
        <is>
          <t>p-waarde</t>
        </is>
      </c>
      <c r="H107" s="10" t="inlineStr">
        <is>
          <t>Besluit bij α</t>
        </is>
      </c>
      <c r="N107">
        <f>IF(AND(ISNUMBER(L107),ISNUMBER(M107)),L107-M107,"")</f>
        <v/>
      </c>
    </row>
    <row r="108">
      <c r="A108" s="6" t="inlineStr">
        <is>
          <t>HA: π ≠ π0</t>
        </is>
      </c>
      <c r="B108" s="11">
        <f>IF(AND(AND(ISNUMBER(B98),ISNUMBER(B9)),ISNUMBER(B97),B97&gt;0,B97&lt;1),(B98-B97)/SQRT(B97*(1-B97)/B95),"")</f>
        <v/>
      </c>
      <c r="C108" s="11">
        <f>IF(ISNUMBER(B9),-_xlfn.NORM.S.INV(1-B9/2),"")</f>
        <v/>
      </c>
      <c r="D108" s="11">
        <f>IF(ISNUMBER(B9),_xlfn.NORM.S.INV(1-B9/2),"")</f>
        <v/>
      </c>
      <c r="G108" s="14">
        <f>IF(AND(AND(ISNUMBER(B98),ISNUMBER(B9)),ISNUMBER(B97),B97&gt;0,B97&lt;1),2*_xlfn.NORM.S.DIST(-ABS(B108),TRUE),"")</f>
        <v/>
      </c>
      <c r="H108" s="13">
        <f>IF(ISNUMBER(G108),IF(G108&lt;B9,"verwerp H0","H0 niet verwerpen"),"")</f>
        <v/>
      </c>
      <c r="N108">
        <f>IF(AND(ISNUMBER(L108),ISNUMBER(M108)),L108-M108,"")</f>
        <v/>
      </c>
    </row>
    <row r="109">
      <c r="A109" s="6" t="inlineStr">
        <is>
          <t>HA: π &gt; π0</t>
        </is>
      </c>
      <c r="B109" s="11">
        <f>IF(AND(AND(ISNUMBER(B98),ISNUMBER(B9)),ISNUMBER(B97),B97&gt;0,B97&lt;1),(B98-B97)/SQRT(B97*(1-B97)/B95),"")</f>
        <v/>
      </c>
      <c r="C109" s="11">
        <f>IF(ISNUMBER(B9),_xlfn.NORM.S.INV(1-B9),"")</f>
        <v/>
      </c>
      <c r="D109" s="11">
        <f>""</f>
        <v/>
      </c>
      <c r="G109" s="14">
        <f>IF(AND(AND(ISNUMBER(B98),ISNUMBER(B9)),ISNUMBER(B97),B97&gt;0,B97&lt;1),_xlfn.NORM.S.DIST(-B109,TRUE),"")</f>
        <v/>
      </c>
      <c r="H109" s="13">
        <f>IF(ISNUMBER(G109),IF(G109&lt;B9,"verwerp H0","H0 niet verwerpen"),"")</f>
        <v/>
      </c>
      <c r="N109">
        <f>IF(AND(ISNUMBER(L109),ISNUMBER(M109)),L109-M109,"")</f>
        <v/>
      </c>
    </row>
    <row r="110">
      <c r="A110" s="6" t="inlineStr">
        <is>
          <t>HA: π &lt; π0</t>
        </is>
      </c>
      <c r="B110" s="11">
        <f>IF(AND(AND(ISNUMBER(B98),ISNUMBER(B9)),ISNUMBER(B97),B97&gt;0,B97&lt;1),(B98-B97)/SQRT(B97*(1-B97)/B95),"")</f>
        <v/>
      </c>
      <c r="C110" s="11">
        <f>IF(ISNUMBER(B9),-_xlfn.NORM.S.INV(1-B9),"")</f>
        <v/>
      </c>
      <c r="D110" s="11">
        <f>""</f>
        <v/>
      </c>
      <c r="G110" s="14">
        <f>IF(AND(AND(ISNUMBER(B98),ISNUMBER(B9)),ISNUMBER(B97),B97&gt;0,B97&lt;1),_xlfn.NORM.S.DIST(B110,TRUE),"")</f>
        <v/>
      </c>
      <c r="H110" s="13">
        <f>IF(ISNUMBER(G110),IF(G110&lt;B9,"verwerp H0","H0 niet verwerpen"),"")</f>
        <v/>
      </c>
      <c r="N110">
        <f>IF(AND(ISNUMBER(L110),ISNUMBER(M110)),L110-M110,"")</f>
        <v/>
      </c>
    </row>
    <row r="111">
      <c r="N111">
        <f>IF(AND(ISNUMBER(L111),ISNUMBER(M111)),L111-M111,"")</f>
        <v/>
      </c>
    </row>
    <row r="112">
      <c r="A112" s="5" t="inlineStr">
        <is>
          <t>6. Twee proporties: verschil π1 − π2 (normale benadering)</t>
        </is>
      </c>
      <c r="N112">
        <f>IF(AND(ISNUMBER(L112),ISNUMBER(M112)),L112-M112,"")</f>
        <v/>
      </c>
    </row>
    <row r="113">
      <c r="A113" s="6" t="inlineStr">
        <is>
          <t>n1</t>
        </is>
      </c>
      <c r="B113" s="7" t="n"/>
      <c r="N113">
        <f>IF(AND(ISNUMBER(L113),ISNUMBER(M113)),L113-M113,"")</f>
        <v/>
      </c>
    </row>
    <row r="114">
      <c r="A114" s="6" t="inlineStr">
        <is>
          <t>x1 = successen in steekproef 1</t>
        </is>
      </c>
      <c r="B114" s="7" t="n"/>
      <c r="N114">
        <f>IF(AND(ISNUMBER(L114),ISNUMBER(M114)),L114-M114,"")</f>
        <v/>
      </c>
    </row>
    <row r="115">
      <c r="A115" s="6" t="inlineStr">
        <is>
          <t>n2</t>
        </is>
      </c>
      <c r="B115" s="7" t="n"/>
      <c r="N115">
        <f>IF(AND(ISNUMBER(L115),ISNUMBER(M115)),L115-M115,"")</f>
        <v/>
      </c>
    </row>
    <row r="116">
      <c r="A116" s="6" t="inlineStr">
        <is>
          <t>x2 = successen in steekproef 2</t>
        </is>
      </c>
      <c r="B116" s="7" t="n"/>
      <c r="N116">
        <f>IF(AND(ISNUMBER(L116),ISNUMBER(M116)),L116-M116,"")</f>
        <v/>
      </c>
    </row>
    <row r="117">
      <c r="A117" s="6" t="inlineStr">
        <is>
          <t>p1 = x1 / n1</t>
        </is>
      </c>
      <c r="B117" s="14">
        <f>IF(AND(ISNUMBER(B113),ISNUMBER(B114),ISNUMBER(B115),ISNUMBER(B116),B113&gt;0,B115&gt;0),B114/B113,"")</f>
        <v/>
      </c>
      <c r="N117">
        <f>IF(AND(ISNUMBER(L117),ISNUMBER(M117)),L117-M117,"")</f>
        <v/>
      </c>
    </row>
    <row r="118">
      <c r="A118" s="6" t="inlineStr">
        <is>
          <t>p2 = x2 / n2</t>
        </is>
      </c>
      <c r="B118" s="14">
        <f>IF(AND(ISNUMBER(B113),ISNUMBER(B114),ISNUMBER(B115),ISNUMBER(B116),B113&gt;0,B115&gt;0),B116/B115,"")</f>
        <v/>
      </c>
      <c r="N118">
        <f>IF(AND(ISNUMBER(L118),ISNUMBER(M118)),L118-M118,"")</f>
        <v/>
      </c>
    </row>
    <row r="119">
      <c r="A119" s="6" t="inlineStr">
        <is>
          <t>p1 − p2</t>
        </is>
      </c>
      <c r="B119" s="14">
        <f>IF(AND(ISNUMBER(B113),ISNUMBER(B114),ISNUMBER(B115),ISNUMBER(B116),B113&gt;0,B115&gt;0),B117-B118,"")</f>
        <v/>
      </c>
      <c r="N119">
        <f>IF(AND(ISNUMBER(L119),ISNUMBER(M119)),L119-M119,"")</f>
        <v/>
      </c>
    </row>
    <row r="120">
      <c r="A120" s="6" t="inlineStr">
        <is>
          <t>standaardfout √(p1(1 − p1)/n1 + p2(1 − p2)/n2)</t>
        </is>
      </c>
      <c r="B120" s="29">
        <f>IF(AND(ISNUMBER(B113),ISNUMBER(B114),ISNUMBER(B115),ISNUMBER(B116),B113&gt;0,B115&gt;0),SQRT(B117*(1-B117)/B113+B118*(1-B118)/B115),"")</f>
        <v/>
      </c>
      <c r="C120" s="8" t="inlineStr">
        <is>
          <t>CI Further Reading p. 20</t>
        </is>
      </c>
      <c r="N120">
        <f>IF(AND(ISNUMBER(L120),ISNUMBER(M120)),L120-M120,"")</f>
        <v/>
      </c>
    </row>
    <row r="121">
      <c r="N121">
        <f>IF(AND(ISNUMBER(L121),ISNUMBER(M121)),L121-M121,"")</f>
        <v/>
      </c>
    </row>
    <row r="122">
      <c r="A122" s="10" t="inlineStr">
        <is>
          <t>BI voor π1 − π2 (1 − α)</t>
        </is>
      </c>
      <c r="B122" s="10" t="inlineStr">
        <is>
          <t>van</t>
        </is>
      </c>
      <c r="C122" s="10" t="inlineStr">
        <is>
          <t>tot</t>
        </is>
      </c>
      <c r="D122" s="10" t="inlineStr">
        <is>
          <t>± (halve breedte)</t>
        </is>
      </c>
      <c r="E122" s="10" t="inlineStr"/>
      <c r="F122" s="10" t="inlineStr">
        <is>
          <t>Bron in de cursus</t>
        </is>
      </c>
      <c r="N122">
        <f>IF(AND(ISNUMBER(L122),ISNUMBER(M122)),L122-M122,"")</f>
        <v/>
      </c>
    </row>
    <row r="123">
      <c r="A123" s="6" t="inlineStr">
        <is>
          <t>tweezijdig (two-sided)</t>
        </is>
      </c>
      <c r="B123" s="14">
        <f>IF(AND(ISNUMBER(B119),ISNUMBER(B120),ISNUMBER(B9)),B119-_xlfn.NORM.S.INV(1-B9/2)*B120,"")</f>
        <v/>
      </c>
      <c r="C123" s="14">
        <f>IF(AND(ISNUMBER(B119),ISNUMBER(B120),ISNUMBER(B9)),B119+_xlfn.NORM.S.INV(1-B9/2)*B120,"")</f>
        <v/>
      </c>
      <c r="D123" s="14">
        <f>IF(AND(ISNUMBER(B119),ISNUMBER(B120),ISNUMBER(B9)),_xlfn.NORM.S.INV(1-B9/2)*B120,"")</f>
        <v/>
      </c>
      <c r="F123" s="8" t="inlineStr">
        <is>
          <t>CI Further Reading p. 20. Voorbeeld S08-WE13: Dummies p. 197 (extra, Dummies; niet te kennen)</t>
        </is>
      </c>
      <c r="N123">
        <f>IF(AND(ISNUMBER(L123),ISNUMBER(M123)),L123-M123,"")</f>
        <v/>
      </c>
    </row>
    <row r="124">
      <c r="A124" s="6" t="inlineStr">
        <is>
          <t>alleen ondergrens (π1 − π2 minstens …)</t>
        </is>
      </c>
      <c r="B124" s="14">
        <f>IF(AND(ISNUMBER(B119),ISNUMBER(B120),ISNUMBER(B9)),B119-_xlfn.NORM.S.INV(1-B9)*B120,"")</f>
        <v/>
      </c>
      <c r="C124" s="14">
        <f>IF(OR(AND(ISNUMBER(B119),ISNUMBER(B120),ISNUMBER(B9)),FALSE),"+∞","")</f>
        <v/>
      </c>
      <c r="D124" s="14">
        <f>IF(AND(ISNUMBER(B119),ISNUMBER(B120),ISNUMBER(B9)),_xlfn.NORM.S.INV(1-B9)*B120,"")</f>
        <v/>
      </c>
      <c r="N124">
        <f>IF(AND(ISNUMBER(L124),ISNUMBER(M124)),L124-M124,"")</f>
        <v/>
      </c>
    </row>
    <row r="125">
      <c r="A125" s="6" t="inlineStr">
        <is>
          <t>alleen bovengrens (π1 − π2 hoogstens …)</t>
        </is>
      </c>
      <c r="B125" s="14">
        <f>IF(OR(AND(ISNUMBER(B119),ISNUMBER(B120),ISNUMBER(B9)),FALSE),"−∞","")</f>
        <v/>
      </c>
      <c r="C125" s="14">
        <f>IF(AND(ISNUMBER(B119),ISNUMBER(B120),ISNUMBER(B9)),B119+_xlfn.NORM.S.INV(1-B9)*B120,"")</f>
        <v/>
      </c>
      <c r="D125" s="14">
        <f>IF(AND(ISNUMBER(B119),ISNUMBER(B120),ISNUMBER(B9)),_xlfn.NORM.S.INV(1-B9)*B120,"")</f>
        <v/>
      </c>
      <c r="N125">
        <f>IF(AND(ISNUMBER(L125),ISNUMBER(M125)),L125-M125,"")</f>
        <v/>
      </c>
    </row>
    <row r="126">
      <c r="N126">
        <f>IF(AND(ISNUMBER(L126),ISNUMBER(M126)),L126-M126,"")</f>
        <v/>
      </c>
    </row>
    <row r="127">
      <c r="N127">
        <f>IF(AND(ISNUMBER(L127),ISNUMBER(M127)),L127-M127,"")</f>
        <v/>
      </c>
    </row>
    <row r="128">
      <c r="N128">
        <f>IF(AND(ISNUMBER(L128),ISNUMBER(M128)),L128-M128,"")</f>
        <v/>
      </c>
    </row>
    <row r="129">
      <c r="N129">
        <f>IF(AND(ISNUMBER(L129),ISNUMBER(M129)),L129-M129,"")</f>
        <v/>
      </c>
    </row>
    <row r="130">
      <c r="N130">
        <f>IF(AND(ISNUMBER(L130),ISNUMBER(M130)),L130-M130,"")</f>
        <v/>
      </c>
    </row>
    <row r="131">
      <c r="N131">
        <f>IF(AND(ISNUMBER(L131),ISNUMBER(M131)),L131-M131,"")</f>
        <v/>
      </c>
    </row>
    <row r="132">
      <c r="N132">
        <f>IF(AND(ISNUMBER(L132),ISNUMBER(M132)),L132-M132,"")</f>
        <v/>
      </c>
    </row>
    <row r="133">
      <c r="N133">
        <f>IF(AND(ISNUMBER(L133),ISNUMBER(M133)),L133-M133,"")</f>
        <v/>
      </c>
    </row>
    <row r="134">
      <c r="N134">
        <f>IF(AND(ISNUMBER(L134),ISNUMBER(M134)),L134-M134,"")</f>
        <v/>
      </c>
    </row>
    <row r="135">
      <c r="N135">
        <f>IF(AND(ISNUMBER(L135),ISNUMBER(M135)),L135-M135,"")</f>
        <v/>
      </c>
    </row>
    <row r="136">
      <c r="N136">
        <f>IF(AND(ISNUMBER(L136),ISNUMBER(M136)),L136-M136,"")</f>
        <v/>
      </c>
    </row>
    <row r="137">
      <c r="N137">
        <f>IF(AND(ISNUMBER(L137),ISNUMBER(M137)),L137-M137,"")</f>
        <v/>
      </c>
    </row>
    <row r="138">
      <c r="N138">
        <f>IF(AND(ISNUMBER(L138),ISNUMBER(M138)),L138-M138,"")</f>
        <v/>
      </c>
    </row>
    <row r="139">
      <c r="N139">
        <f>IF(AND(ISNUMBER(L139),ISNUMBER(M139)),L139-M139,"")</f>
        <v/>
      </c>
    </row>
    <row r="140">
      <c r="N140">
        <f>IF(AND(ISNUMBER(L140),ISNUMBER(M140)),L140-M140,"")</f>
        <v/>
      </c>
    </row>
    <row r="141">
      <c r="N141">
        <f>IF(AND(ISNUMBER(L141),ISNUMBER(M141)),L141-M141,"")</f>
        <v/>
      </c>
    </row>
    <row r="142">
      <c r="N142">
        <f>IF(AND(ISNUMBER(L142),ISNUMBER(M142)),L142-M142,"")</f>
        <v/>
      </c>
    </row>
    <row r="143">
      <c r="N143">
        <f>IF(AND(ISNUMBER(L143),ISNUMBER(M143)),L143-M143,"")</f>
        <v/>
      </c>
    </row>
    <row r="144">
      <c r="N144">
        <f>IF(AND(ISNUMBER(L144),ISNUMBER(M144)),L144-M144,"")</f>
        <v/>
      </c>
    </row>
    <row r="145">
      <c r="N145">
        <f>IF(AND(ISNUMBER(L145),ISNUMBER(M145)),L145-M145,"")</f>
        <v/>
      </c>
    </row>
    <row r="146">
      <c r="N146">
        <f>IF(AND(ISNUMBER(L146),ISNUMBER(M146)),L146-M146,"")</f>
        <v/>
      </c>
    </row>
    <row r="147">
      <c r="N147">
        <f>IF(AND(ISNUMBER(L147),ISNUMBER(M147)),L147-M147,"")</f>
        <v/>
      </c>
    </row>
    <row r="148">
      <c r="N148">
        <f>IF(AND(ISNUMBER(L148),ISNUMBER(M148)),L148-M148,"")</f>
        <v/>
      </c>
    </row>
    <row r="149">
      <c r="N149">
        <f>IF(AND(ISNUMBER(L149),ISNUMBER(M149)),L149-M149,"")</f>
        <v/>
      </c>
    </row>
    <row r="150">
      <c r="N150">
        <f>IF(AND(ISNUMBER(L150),ISNUMBER(M150)),L150-M150,"")</f>
        <v/>
      </c>
    </row>
    <row r="151">
      <c r="N151">
        <f>IF(AND(ISNUMBER(L151),ISNUMBER(M151)),L151-M151,"")</f>
        <v/>
      </c>
    </row>
    <row r="152">
      <c r="N152">
        <f>IF(AND(ISNUMBER(L152),ISNUMBER(M152)),L152-M152,"")</f>
        <v/>
      </c>
    </row>
    <row r="153">
      <c r="N153">
        <f>IF(AND(ISNUMBER(L153),ISNUMBER(M153)),L153-M153,"")</f>
        <v/>
      </c>
    </row>
    <row r="154">
      <c r="N154">
        <f>IF(AND(ISNUMBER(L154),ISNUMBER(M154)),L154-M154,"")</f>
        <v/>
      </c>
    </row>
    <row r="155">
      <c r="N155">
        <f>IF(AND(ISNUMBER(L155),ISNUMBER(M155)),L155-M155,"")</f>
        <v/>
      </c>
    </row>
    <row r="156">
      <c r="N156">
        <f>IF(AND(ISNUMBER(L156),ISNUMBER(M156)),L156-M156,"")</f>
        <v/>
      </c>
    </row>
    <row r="157">
      <c r="N157">
        <f>IF(AND(ISNUMBER(L157),ISNUMBER(M157)),L157-M157,"")</f>
        <v/>
      </c>
    </row>
    <row r="158">
      <c r="N158">
        <f>IF(AND(ISNUMBER(L158),ISNUMBER(M158)),L158-M158,"")</f>
        <v/>
      </c>
    </row>
    <row r="159">
      <c r="N159">
        <f>IF(AND(ISNUMBER(L159),ISNUMBER(M159)),L159-M159,"")</f>
        <v/>
      </c>
    </row>
    <row r="160">
      <c r="N160">
        <f>IF(AND(ISNUMBER(L160),ISNUMBER(M160)),L160-M160,"")</f>
        <v/>
      </c>
    </row>
    <row r="161">
      <c r="N161">
        <f>IF(AND(ISNUMBER(L161),ISNUMBER(M161)),L161-M161,"")</f>
        <v/>
      </c>
    </row>
    <row r="162">
      <c r="N162">
        <f>IF(AND(ISNUMBER(L162),ISNUMBER(M162)),L162-M162,"")</f>
        <v/>
      </c>
    </row>
    <row r="163">
      <c r="N163">
        <f>IF(AND(ISNUMBER(L163),ISNUMBER(M163)),L163-M163,"")</f>
        <v/>
      </c>
    </row>
    <row r="164">
      <c r="N164">
        <f>IF(AND(ISNUMBER(L164),ISNUMBER(M164)),L164-M164,"")</f>
        <v/>
      </c>
    </row>
    <row r="165">
      <c r="N165">
        <f>IF(AND(ISNUMBER(L165),ISNUMBER(M165)),L165-M165,"")</f>
        <v/>
      </c>
    </row>
    <row r="166">
      <c r="N166">
        <f>IF(AND(ISNUMBER(L166),ISNUMBER(M166)),L166-M166,"")</f>
        <v/>
      </c>
    </row>
    <row r="167">
      <c r="N167">
        <f>IF(AND(ISNUMBER(L167),ISNUMBER(M167)),L167-M167,"")</f>
        <v/>
      </c>
    </row>
    <row r="168">
      <c r="N168">
        <f>IF(AND(ISNUMBER(L168),ISNUMBER(M168)),L168-M168,"")</f>
        <v/>
      </c>
    </row>
    <row r="169">
      <c r="N169">
        <f>IF(AND(ISNUMBER(L169),ISNUMBER(M169)),L169-M169,"")</f>
        <v/>
      </c>
    </row>
    <row r="170">
      <c r="N170">
        <f>IF(AND(ISNUMBER(L170),ISNUMBER(M170)),L170-M170,"")</f>
        <v/>
      </c>
    </row>
    <row r="171">
      <c r="N171">
        <f>IF(AND(ISNUMBER(L171),ISNUMBER(M171)),L171-M171,"")</f>
        <v/>
      </c>
    </row>
    <row r="172">
      <c r="N172">
        <f>IF(AND(ISNUMBER(L172),ISNUMBER(M172)),L172-M172,"")</f>
        <v/>
      </c>
    </row>
    <row r="173">
      <c r="N173">
        <f>IF(AND(ISNUMBER(L173),ISNUMBER(M173)),L173-M173,"")</f>
        <v/>
      </c>
    </row>
    <row r="174">
      <c r="N174">
        <f>IF(AND(ISNUMBER(L174),ISNUMBER(M174)),L174-M174,"")</f>
        <v/>
      </c>
    </row>
    <row r="175">
      <c r="N175">
        <f>IF(AND(ISNUMBER(L175),ISNUMBER(M175)),L175-M175,"")</f>
        <v/>
      </c>
    </row>
    <row r="176">
      <c r="N176">
        <f>IF(AND(ISNUMBER(L176),ISNUMBER(M176)),L176-M176,"")</f>
        <v/>
      </c>
    </row>
    <row r="177">
      <c r="N177">
        <f>IF(AND(ISNUMBER(L177),ISNUMBER(M177)),L177-M177,"")</f>
        <v/>
      </c>
    </row>
    <row r="178">
      <c r="N178">
        <f>IF(AND(ISNUMBER(L178),ISNUMBER(M178)),L178-M178,"")</f>
        <v/>
      </c>
    </row>
    <row r="179">
      <c r="N179">
        <f>IF(AND(ISNUMBER(L179),ISNUMBER(M179)),L179-M179,"")</f>
        <v/>
      </c>
    </row>
    <row r="180">
      <c r="N180">
        <f>IF(AND(ISNUMBER(L180),ISNUMBER(M180)),L180-M180,"")</f>
        <v/>
      </c>
    </row>
    <row r="181">
      <c r="N181">
        <f>IF(AND(ISNUMBER(L181),ISNUMBER(M181)),L181-M181,"")</f>
        <v/>
      </c>
    </row>
    <row r="182">
      <c r="N182">
        <f>IF(AND(ISNUMBER(L182),ISNUMBER(M182)),L182-M182,"")</f>
        <v/>
      </c>
    </row>
    <row r="183">
      <c r="N183">
        <f>IF(AND(ISNUMBER(L183),ISNUMBER(M183)),L183-M183,"")</f>
        <v/>
      </c>
    </row>
    <row r="184">
      <c r="N184">
        <f>IF(AND(ISNUMBER(L184),ISNUMBER(M184)),L184-M184,"")</f>
        <v/>
      </c>
    </row>
    <row r="185">
      <c r="N185">
        <f>IF(AND(ISNUMBER(L185),ISNUMBER(M185)),L185-M185,"")</f>
        <v/>
      </c>
    </row>
    <row r="186">
      <c r="N186">
        <f>IF(AND(ISNUMBER(L186),ISNUMBER(M186)),L186-M186,"")</f>
        <v/>
      </c>
    </row>
    <row r="187">
      <c r="N187">
        <f>IF(AND(ISNUMBER(L187),ISNUMBER(M187)),L187-M187,"")</f>
        <v/>
      </c>
    </row>
    <row r="188">
      <c r="N188">
        <f>IF(AND(ISNUMBER(L188),ISNUMBER(M188)),L188-M188,"")</f>
        <v/>
      </c>
    </row>
    <row r="189">
      <c r="N189">
        <f>IF(AND(ISNUMBER(L189),ISNUMBER(M189)),L189-M189,"")</f>
        <v/>
      </c>
    </row>
    <row r="190">
      <c r="N190">
        <f>IF(AND(ISNUMBER(L190),ISNUMBER(M190)),L190-M190,"")</f>
        <v/>
      </c>
    </row>
    <row r="191">
      <c r="N191">
        <f>IF(AND(ISNUMBER(L191),ISNUMBER(M191)),L191-M191,"")</f>
        <v/>
      </c>
    </row>
    <row r="192">
      <c r="N192">
        <f>IF(AND(ISNUMBER(L192),ISNUMBER(M192)),L192-M192,"")</f>
        <v/>
      </c>
    </row>
    <row r="193">
      <c r="N193">
        <f>IF(AND(ISNUMBER(L193),ISNUMBER(M193)),L193-M193,"")</f>
        <v/>
      </c>
    </row>
    <row r="194">
      <c r="N194">
        <f>IF(AND(ISNUMBER(L194),ISNUMBER(M194)),L194-M194,"")</f>
        <v/>
      </c>
    </row>
    <row r="195">
      <c r="N195">
        <f>IF(AND(ISNUMBER(L195),ISNUMBER(M195)),L195-M195,"")</f>
        <v/>
      </c>
    </row>
    <row r="196">
      <c r="N196">
        <f>IF(AND(ISNUMBER(L196),ISNUMBER(M196)),L196-M196,"")</f>
        <v/>
      </c>
    </row>
    <row r="197">
      <c r="N197">
        <f>IF(AND(ISNUMBER(L197),ISNUMBER(M197)),L197-M197,"")</f>
        <v/>
      </c>
    </row>
    <row r="198">
      <c r="N198">
        <f>IF(AND(ISNUMBER(L198),ISNUMBER(M198)),L198-M198,"")</f>
        <v/>
      </c>
    </row>
    <row r="199">
      <c r="N199">
        <f>IF(AND(ISNUMBER(L199),ISNUMBER(M199)),L199-M199,"")</f>
        <v/>
      </c>
    </row>
    <row r="200">
      <c r="N200">
        <f>IF(AND(ISNUMBER(L200),ISNUMBER(M200)),L200-M200,"")</f>
        <v/>
      </c>
    </row>
    <row r="201">
      <c r="N201">
        <f>IF(AND(ISNUMBER(L201),ISNUMBER(M201)),L201-M201,"")</f>
        <v/>
      </c>
    </row>
    <row r="202">
      <c r="N202">
        <f>IF(AND(ISNUMBER(L202),ISNUMBER(M202)),L202-M202,"")</f>
        <v/>
      </c>
    </row>
    <row r="203">
      <c r="N203">
        <f>IF(AND(ISNUMBER(L203),ISNUMBER(M203)),L203-M203,"")</f>
        <v/>
      </c>
    </row>
    <row r="204">
      <c r="N204">
        <f>IF(AND(ISNUMBER(L204),ISNUMBER(M204)),L204-M204,"")</f>
        <v/>
      </c>
    </row>
    <row r="205">
      <c r="N205">
        <f>IF(AND(ISNUMBER(L205),ISNUMBER(M205)),L205-M205,"")</f>
        <v/>
      </c>
    </row>
    <row r="206">
      <c r="N206">
        <f>IF(AND(ISNUMBER(L206),ISNUMBER(M206)),L206-M206,"")</f>
        <v/>
      </c>
    </row>
    <row r="207">
      <c r="N207">
        <f>IF(AND(ISNUMBER(L207),ISNUMBER(M207)),L207-M207,"")</f>
        <v/>
      </c>
    </row>
    <row r="208">
      <c r="N208">
        <f>IF(AND(ISNUMBER(L208),ISNUMBER(M208)),L208-M208,"")</f>
        <v/>
      </c>
    </row>
    <row r="209">
      <c r="N209">
        <f>IF(AND(ISNUMBER(L209),ISNUMBER(M209)),L209-M209,"")</f>
        <v/>
      </c>
    </row>
    <row r="210">
      <c r="N210">
        <f>IF(AND(ISNUMBER(L210),ISNUMBER(M210)),L210-M210,"")</f>
        <v/>
      </c>
    </row>
    <row r="211">
      <c r="N211">
        <f>IF(AND(ISNUMBER(L211),ISNUMBER(M211)),L211-M211,"")</f>
        <v/>
      </c>
    </row>
    <row r="212">
      <c r="N212">
        <f>IF(AND(ISNUMBER(L212),ISNUMBER(M212)),L212-M212,"")</f>
        <v/>
      </c>
    </row>
    <row r="213">
      <c r="N213">
        <f>IF(AND(ISNUMBER(L213),ISNUMBER(M213)),L213-M213,"")</f>
        <v/>
      </c>
    </row>
    <row r="214">
      <c r="N214">
        <f>IF(AND(ISNUMBER(L214),ISNUMBER(M214)),L214-M214,"")</f>
        <v/>
      </c>
    </row>
    <row r="215">
      <c r="N215">
        <f>IF(AND(ISNUMBER(L215),ISNUMBER(M215)),L215-M215,"")</f>
        <v/>
      </c>
    </row>
    <row r="216">
      <c r="N216">
        <f>IF(AND(ISNUMBER(L216),ISNUMBER(M216)),L216-M216,"")</f>
        <v/>
      </c>
    </row>
    <row r="217">
      <c r="N217">
        <f>IF(AND(ISNUMBER(L217),ISNUMBER(M217)),L217-M217,"")</f>
        <v/>
      </c>
    </row>
    <row r="218">
      <c r="N218">
        <f>IF(AND(ISNUMBER(L218),ISNUMBER(M218)),L218-M218,"")</f>
        <v/>
      </c>
    </row>
    <row r="219">
      <c r="N219">
        <f>IF(AND(ISNUMBER(L219),ISNUMBER(M219)),L219-M219,"")</f>
        <v/>
      </c>
    </row>
    <row r="220">
      <c r="N220">
        <f>IF(AND(ISNUMBER(L220),ISNUMBER(M220)),L220-M220,"")</f>
        <v/>
      </c>
    </row>
    <row r="221">
      <c r="N221">
        <f>IF(AND(ISNUMBER(L221),ISNUMBER(M221)),L221-M221,"")</f>
        <v/>
      </c>
    </row>
    <row r="222">
      <c r="N222">
        <f>IF(AND(ISNUMBER(L222),ISNUMBER(M222)),L222-M222,"")</f>
        <v/>
      </c>
    </row>
    <row r="223">
      <c r="N223">
        <f>IF(AND(ISNUMBER(L223),ISNUMBER(M223)),L223-M223,"")</f>
        <v/>
      </c>
    </row>
    <row r="224">
      <c r="N224">
        <f>IF(AND(ISNUMBER(L224),ISNUMBER(M224)),L224-M224,"")</f>
        <v/>
      </c>
    </row>
    <row r="225">
      <c r="N225">
        <f>IF(AND(ISNUMBER(L225),ISNUMBER(M225)),L225-M225,"")</f>
        <v/>
      </c>
    </row>
    <row r="226">
      <c r="N226">
        <f>IF(AND(ISNUMBER(L226),ISNUMBER(M226)),L226-M226,"")</f>
        <v/>
      </c>
    </row>
    <row r="227">
      <c r="N227">
        <f>IF(AND(ISNUMBER(L227),ISNUMBER(M227)),L227-M227,"")</f>
        <v/>
      </c>
    </row>
    <row r="228">
      <c r="N228">
        <f>IF(AND(ISNUMBER(L228),ISNUMBER(M228)),L228-M228,"")</f>
        <v/>
      </c>
    </row>
    <row r="229">
      <c r="N229">
        <f>IF(AND(ISNUMBER(L229),ISNUMBER(M229)),L229-M229,"")</f>
        <v/>
      </c>
    </row>
    <row r="230">
      <c r="N230">
        <f>IF(AND(ISNUMBER(L230),ISNUMBER(M230)),L230-M230,"")</f>
        <v/>
      </c>
    </row>
    <row r="231">
      <c r="N231">
        <f>IF(AND(ISNUMBER(L231),ISNUMBER(M231)),L231-M231,"")</f>
        <v/>
      </c>
    </row>
    <row r="232">
      <c r="N232">
        <f>IF(AND(ISNUMBER(L232),ISNUMBER(M232)),L232-M232,"")</f>
        <v/>
      </c>
    </row>
    <row r="233">
      <c r="N233">
        <f>IF(AND(ISNUMBER(L233),ISNUMBER(M233)),L233-M233,"")</f>
        <v/>
      </c>
    </row>
    <row r="234">
      <c r="N234">
        <f>IF(AND(ISNUMBER(L234),ISNUMBER(M234)),L234-M234,"")</f>
        <v/>
      </c>
    </row>
    <row r="235">
      <c r="N235">
        <f>IF(AND(ISNUMBER(L235),ISNUMBER(M235)),L235-M235,"")</f>
        <v/>
      </c>
    </row>
    <row r="236">
      <c r="N236">
        <f>IF(AND(ISNUMBER(L236),ISNUMBER(M236)),L236-M236,"")</f>
        <v/>
      </c>
    </row>
    <row r="237">
      <c r="N237">
        <f>IF(AND(ISNUMBER(L237),ISNUMBER(M237)),L237-M237,"")</f>
        <v/>
      </c>
    </row>
    <row r="238">
      <c r="N238">
        <f>IF(AND(ISNUMBER(L238),ISNUMBER(M238)),L238-M238,"")</f>
        <v/>
      </c>
    </row>
    <row r="239">
      <c r="N239">
        <f>IF(AND(ISNUMBER(L239),ISNUMBER(M239)),L239-M239,"")</f>
        <v/>
      </c>
    </row>
    <row r="240">
      <c r="N240">
        <f>IF(AND(ISNUMBER(L240),ISNUMBER(M240)),L240-M240,"")</f>
        <v/>
      </c>
    </row>
    <row r="241">
      <c r="N241">
        <f>IF(AND(ISNUMBER(L241),ISNUMBER(M241)),L241-M241,"")</f>
        <v/>
      </c>
    </row>
    <row r="242">
      <c r="N242">
        <f>IF(AND(ISNUMBER(L242),ISNUMBER(M242)),L242-M242,"")</f>
        <v/>
      </c>
    </row>
    <row r="243">
      <c r="N243">
        <f>IF(AND(ISNUMBER(L243),ISNUMBER(M243)),L243-M243,"")</f>
        <v/>
      </c>
    </row>
    <row r="244">
      <c r="N244">
        <f>IF(AND(ISNUMBER(L244),ISNUMBER(M244)),L244-M244,"")</f>
        <v/>
      </c>
    </row>
    <row r="245">
      <c r="N245">
        <f>IF(AND(ISNUMBER(L245),ISNUMBER(M245)),L245-M245,"")</f>
        <v/>
      </c>
    </row>
    <row r="246">
      <c r="N246">
        <f>IF(AND(ISNUMBER(L246),ISNUMBER(M246)),L246-M246,"")</f>
        <v/>
      </c>
    </row>
    <row r="247">
      <c r="N247">
        <f>IF(AND(ISNUMBER(L247),ISNUMBER(M247)),L247-M247,"")</f>
        <v/>
      </c>
    </row>
    <row r="248">
      <c r="N248">
        <f>IF(AND(ISNUMBER(L248),ISNUMBER(M248)),L248-M248,"")</f>
        <v/>
      </c>
    </row>
    <row r="249">
      <c r="N249">
        <f>IF(AND(ISNUMBER(L249),ISNUMBER(M249)),L249-M249,"")</f>
        <v/>
      </c>
    </row>
    <row r="250">
      <c r="N250">
        <f>IF(AND(ISNUMBER(L250),ISNUMBER(M250)),L250-M250,"")</f>
        <v/>
      </c>
    </row>
    <row r="251">
      <c r="N251">
        <f>IF(AND(ISNUMBER(L251),ISNUMBER(M251)),L251-M251,"")</f>
        <v/>
      </c>
    </row>
    <row r="252">
      <c r="N252">
        <f>IF(AND(ISNUMBER(L252),ISNUMBER(M252)),L252-M252,"")</f>
        <v/>
      </c>
    </row>
    <row r="253">
      <c r="N253">
        <f>IF(AND(ISNUMBER(L253),ISNUMBER(M253)),L253-M253,"")</f>
        <v/>
      </c>
    </row>
    <row r="254">
      <c r="N254">
        <f>IF(AND(ISNUMBER(L254),ISNUMBER(M254)),L254-M254,"")</f>
        <v/>
      </c>
    </row>
    <row r="255">
      <c r="N255">
        <f>IF(AND(ISNUMBER(L255),ISNUMBER(M255)),L255-M255,"")</f>
        <v/>
      </c>
    </row>
    <row r="256">
      <c r="N256">
        <f>IF(AND(ISNUMBER(L256),ISNUMBER(M256)),L256-M256,"")</f>
        <v/>
      </c>
    </row>
    <row r="257">
      <c r="N257">
        <f>IF(AND(ISNUMBER(L257),ISNUMBER(M257)),L257-M257,"")</f>
        <v/>
      </c>
    </row>
    <row r="258">
      <c r="N258">
        <f>IF(AND(ISNUMBER(L258),ISNUMBER(M258)),L258-M258,"")</f>
        <v/>
      </c>
    </row>
    <row r="259">
      <c r="N259">
        <f>IF(AND(ISNUMBER(L259),ISNUMBER(M259)),L259-M259,"")</f>
        <v/>
      </c>
    </row>
    <row r="260">
      <c r="N260">
        <f>IF(AND(ISNUMBER(L260),ISNUMBER(M260)),L260-M260,"")</f>
        <v/>
      </c>
    </row>
    <row r="261">
      <c r="N261">
        <f>IF(AND(ISNUMBER(L261),ISNUMBER(M261)),L261-M261,"")</f>
        <v/>
      </c>
    </row>
    <row r="262">
      <c r="N262">
        <f>IF(AND(ISNUMBER(L262),ISNUMBER(M262)),L262-M262,"")</f>
        <v/>
      </c>
    </row>
    <row r="263">
      <c r="N263">
        <f>IF(AND(ISNUMBER(L263),ISNUMBER(M263)),L263-M263,"")</f>
        <v/>
      </c>
    </row>
    <row r="264">
      <c r="N264">
        <f>IF(AND(ISNUMBER(L264),ISNUMBER(M264)),L264-M264,"")</f>
        <v/>
      </c>
    </row>
    <row r="265">
      <c r="N265">
        <f>IF(AND(ISNUMBER(L265),ISNUMBER(M265)),L265-M265,"")</f>
        <v/>
      </c>
    </row>
    <row r="266">
      <c r="N266">
        <f>IF(AND(ISNUMBER(L266),ISNUMBER(M266)),L266-M266,"")</f>
        <v/>
      </c>
    </row>
    <row r="267">
      <c r="N267">
        <f>IF(AND(ISNUMBER(L267),ISNUMBER(M267)),L267-M267,"")</f>
        <v/>
      </c>
    </row>
    <row r="268">
      <c r="N268">
        <f>IF(AND(ISNUMBER(L268),ISNUMBER(M268)),L268-M268,"")</f>
        <v/>
      </c>
    </row>
    <row r="269">
      <c r="N269">
        <f>IF(AND(ISNUMBER(L269),ISNUMBER(M269)),L269-M269,"")</f>
        <v/>
      </c>
    </row>
    <row r="270">
      <c r="N270">
        <f>IF(AND(ISNUMBER(L270),ISNUMBER(M270)),L270-M270,"")</f>
        <v/>
      </c>
    </row>
    <row r="271">
      <c r="N271">
        <f>IF(AND(ISNUMBER(L271),ISNUMBER(M271)),L271-M271,"")</f>
        <v/>
      </c>
    </row>
    <row r="272">
      <c r="N272">
        <f>IF(AND(ISNUMBER(L272),ISNUMBER(M272)),L272-M272,"")</f>
        <v/>
      </c>
    </row>
    <row r="273">
      <c r="N273">
        <f>IF(AND(ISNUMBER(L273),ISNUMBER(M273)),L273-M273,"")</f>
        <v/>
      </c>
    </row>
    <row r="274">
      <c r="N274">
        <f>IF(AND(ISNUMBER(L274),ISNUMBER(M274)),L274-M274,"")</f>
        <v/>
      </c>
    </row>
    <row r="275">
      <c r="N275">
        <f>IF(AND(ISNUMBER(L275),ISNUMBER(M275)),L275-M275,"")</f>
        <v/>
      </c>
    </row>
    <row r="276">
      <c r="N276">
        <f>IF(AND(ISNUMBER(L276),ISNUMBER(M276)),L276-M276,"")</f>
        <v/>
      </c>
    </row>
    <row r="277">
      <c r="N277">
        <f>IF(AND(ISNUMBER(L277),ISNUMBER(M277)),L277-M277,"")</f>
        <v/>
      </c>
    </row>
    <row r="278">
      <c r="N278">
        <f>IF(AND(ISNUMBER(L278),ISNUMBER(M278)),L278-M278,"")</f>
        <v/>
      </c>
    </row>
    <row r="279">
      <c r="N279">
        <f>IF(AND(ISNUMBER(L279),ISNUMBER(M279)),L279-M279,"")</f>
        <v/>
      </c>
    </row>
    <row r="280">
      <c r="N280">
        <f>IF(AND(ISNUMBER(L280),ISNUMBER(M280)),L280-M280,"")</f>
        <v/>
      </c>
    </row>
    <row r="281">
      <c r="N281">
        <f>IF(AND(ISNUMBER(L281),ISNUMBER(M281)),L281-M281,"")</f>
        <v/>
      </c>
    </row>
    <row r="282">
      <c r="N282">
        <f>IF(AND(ISNUMBER(L282),ISNUMBER(M282)),L282-M282,"")</f>
        <v/>
      </c>
    </row>
    <row r="283">
      <c r="N283">
        <f>IF(AND(ISNUMBER(L283),ISNUMBER(M283)),L283-M283,"")</f>
        <v/>
      </c>
    </row>
    <row r="284">
      <c r="N284">
        <f>IF(AND(ISNUMBER(L284),ISNUMBER(M284)),L284-M284,"")</f>
        <v/>
      </c>
    </row>
    <row r="285">
      <c r="N285">
        <f>IF(AND(ISNUMBER(L285),ISNUMBER(M285)),L285-M285,"")</f>
        <v/>
      </c>
    </row>
    <row r="286">
      <c r="N286">
        <f>IF(AND(ISNUMBER(L286),ISNUMBER(M286)),L286-M286,"")</f>
        <v/>
      </c>
    </row>
    <row r="287">
      <c r="N287">
        <f>IF(AND(ISNUMBER(L287),ISNUMBER(M287)),L287-M287,"")</f>
        <v/>
      </c>
    </row>
    <row r="288">
      <c r="N288">
        <f>IF(AND(ISNUMBER(L288),ISNUMBER(M288)),L288-M288,"")</f>
        <v/>
      </c>
    </row>
    <row r="289">
      <c r="N289">
        <f>IF(AND(ISNUMBER(L289),ISNUMBER(M289)),L289-M289,"")</f>
        <v/>
      </c>
    </row>
    <row r="290">
      <c r="N290">
        <f>IF(AND(ISNUMBER(L290),ISNUMBER(M290)),L290-M290,"")</f>
        <v/>
      </c>
    </row>
    <row r="291">
      <c r="N291">
        <f>IF(AND(ISNUMBER(L291),ISNUMBER(M291)),L291-M291,"")</f>
        <v/>
      </c>
    </row>
    <row r="292">
      <c r="N292">
        <f>IF(AND(ISNUMBER(L292),ISNUMBER(M292)),L292-M292,"")</f>
        <v/>
      </c>
    </row>
    <row r="293">
      <c r="N293">
        <f>IF(AND(ISNUMBER(L293),ISNUMBER(M293)),L293-M293,"")</f>
        <v/>
      </c>
    </row>
    <row r="294">
      <c r="N294">
        <f>IF(AND(ISNUMBER(L294),ISNUMBER(M294)),L294-M294,"")</f>
        <v/>
      </c>
    </row>
    <row r="295">
      <c r="N295">
        <f>IF(AND(ISNUMBER(L295),ISNUMBER(M295)),L295-M295,"")</f>
        <v/>
      </c>
    </row>
    <row r="296">
      <c r="N296">
        <f>IF(AND(ISNUMBER(L296),ISNUMBER(M296)),L296-M296,"")</f>
        <v/>
      </c>
    </row>
    <row r="297">
      <c r="N297">
        <f>IF(AND(ISNUMBER(L297),ISNUMBER(M297)),L297-M297,"")</f>
        <v/>
      </c>
    </row>
    <row r="298">
      <c r="N298">
        <f>IF(AND(ISNUMBER(L298),ISNUMBER(M298)),L298-M298,"")</f>
        <v/>
      </c>
    </row>
    <row r="299">
      <c r="N299">
        <f>IF(AND(ISNUMBER(L299),ISNUMBER(M299)),L299-M299,"")</f>
        <v/>
      </c>
    </row>
    <row r="300">
      <c r="N300">
        <f>IF(AND(ISNUMBER(L300),ISNUMBER(M300)),L300-M300,"")</f>
        <v/>
      </c>
    </row>
    <row r="301">
      <c r="N301">
        <f>IF(AND(ISNUMBER(L301),ISNUMBER(M301)),L301-M301,"")</f>
        <v/>
      </c>
    </row>
    <row r="302">
      <c r="N302">
        <f>IF(AND(ISNUMBER(L302),ISNUMBER(M302)),L302-M302,"")</f>
        <v/>
      </c>
    </row>
    <row r="303">
      <c r="N303">
        <f>IF(AND(ISNUMBER(L303),ISNUMBER(M303)),L303-M303,"")</f>
        <v/>
      </c>
    </row>
    <row r="304">
      <c r="N304">
        <f>IF(AND(ISNUMBER(L304),ISNUMBER(M304)),L304-M304,"")</f>
        <v/>
      </c>
    </row>
    <row r="305">
      <c r="N305">
        <f>IF(AND(ISNUMBER(L305),ISNUMBER(M305)),L305-M305,"")</f>
        <v/>
      </c>
    </row>
    <row r="306">
      <c r="N306">
        <f>IF(AND(ISNUMBER(L306),ISNUMBER(M306)),L306-M306,"")</f>
        <v/>
      </c>
    </row>
    <row r="307">
      <c r="N307">
        <f>IF(AND(ISNUMBER(L307),ISNUMBER(M307)),L307-M307,"")</f>
        <v/>
      </c>
    </row>
    <row r="308">
      <c r="N308">
        <f>IF(AND(ISNUMBER(L308),ISNUMBER(M308)),L308-M308,"")</f>
        <v/>
      </c>
    </row>
    <row r="309">
      <c r="N309">
        <f>IF(AND(ISNUMBER(L309),ISNUMBER(M309)),L309-M309,"")</f>
        <v/>
      </c>
    </row>
    <row r="310">
      <c r="N310">
        <f>IF(AND(ISNUMBER(L310),ISNUMBER(M310)),L310-M310,"")</f>
        <v/>
      </c>
    </row>
    <row r="311">
      <c r="N311">
        <f>IF(AND(ISNUMBER(L311),ISNUMBER(M311)),L311-M311,"")</f>
        <v/>
      </c>
    </row>
    <row r="312">
      <c r="N312">
        <f>IF(AND(ISNUMBER(L312),ISNUMBER(M312)),L312-M312,"")</f>
        <v/>
      </c>
    </row>
    <row r="313">
      <c r="N313">
        <f>IF(AND(ISNUMBER(L313),ISNUMBER(M313)),L313-M313,"")</f>
        <v/>
      </c>
    </row>
    <row r="314">
      <c r="N314">
        <f>IF(AND(ISNUMBER(L314),ISNUMBER(M314)),L314-M314,"")</f>
        <v/>
      </c>
    </row>
    <row r="315">
      <c r="N315">
        <f>IF(AND(ISNUMBER(L315),ISNUMBER(M315)),L315-M315,"")</f>
        <v/>
      </c>
    </row>
    <row r="316">
      <c r="N316">
        <f>IF(AND(ISNUMBER(L316),ISNUMBER(M316)),L316-M316,"")</f>
        <v/>
      </c>
    </row>
    <row r="317">
      <c r="N317">
        <f>IF(AND(ISNUMBER(L317),ISNUMBER(M317)),L317-M317,"")</f>
        <v/>
      </c>
    </row>
    <row r="318">
      <c r="N318">
        <f>IF(AND(ISNUMBER(L318),ISNUMBER(M318)),L318-M318,"")</f>
        <v/>
      </c>
    </row>
    <row r="319">
      <c r="N319">
        <f>IF(AND(ISNUMBER(L319),ISNUMBER(M319)),L319-M319,"")</f>
        <v/>
      </c>
    </row>
    <row r="320">
      <c r="N320">
        <f>IF(AND(ISNUMBER(L320),ISNUMBER(M320)),L320-M320,"")</f>
        <v/>
      </c>
    </row>
    <row r="321">
      <c r="N321">
        <f>IF(AND(ISNUMBER(L321),ISNUMBER(M321)),L321-M321,"")</f>
        <v/>
      </c>
    </row>
    <row r="322">
      <c r="N322">
        <f>IF(AND(ISNUMBER(L322),ISNUMBER(M322)),L322-M322,"")</f>
        <v/>
      </c>
    </row>
    <row r="323">
      <c r="N323">
        <f>IF(AND(ISNUMBER(L323),ISNUMBER(M323)),L323-M323,"")</f>
        <v/>
      </c>
    </row>
    <row r="324">
      <c r="N324">
        <f>IF(AND(ISNUMBER(L324),ISNUMBER(M324)),L324-M324,"")</f>
        <v/>
      </c>
    </row>
    <row r="325">
      <c r="N325">
        <f>IF(AND(ISNUMBER(L325),ISNUMBER(M325)),L325-M325,"")</f>
        <v/>
      </c>
    </row>
    <row r="326">
      <c r="N326">
        <f>IF(AND(ISNUMBER(L326),ISNUMBER(M326)),L326-M326,"")</f>
        <v/>
      </c>
    </row>
    <row r="327">
      <c r="N327">
        <f>IF(AND(ISNUMBER(L327),ISNUMBER(M327)),L327-M327,"")</f>
        <v/>
      </c>
    </row>
    <row r="328">
      <c r="N328">
        <f>IF(AND(ISNUMBER(L328),ISNUMBER(M328)),L328-M328,"")</f>
        <v/>
      </c>
    </row>
    <row r="329">
      <c r="N329">
        <f>IF(AND(ISNUMBER(L329),ISNUMBER(M329)),L329-M329,"")</f>
        <v/>
      </c>
    </row>
    <row r="330">
      <c r="N330">
        <f>IF(AND(ISNUMBER(L330),ISNUMBER(M330)),L330-M330,"")</f>
        <v/>
      </c>
    </row>
    <row r="331">
      <c r="N331">
        <f>IF(AND(ISNUMBER(L331),ISNUMBER(M331)),L331-M331,"")</f>
        <v/>
      </c>
    </row>
    <row r="332">
      <c r="N332">
        <f>IF(AND(ISNUMBER(L332),ISNUMBER(M332)),L332-M332,"")</f>
        <v/>
      </c>
    </row>
    <row r="333">
      <c r="N333">
        <f>IF(AND(ISNUMBER(L333),ISNUMBER(M333)),L333-M333,"")</f>
        <v/>
      </c>
    </row>
    <row r="334">
      <c r="N334">
        <f>IF(AND(ISNUMBER(L334),ISNUMBER(M334)),L334-M334,"")</f>
        <v/>
      </c>
    </row>
    <row r="335">
      <c r="N335">
        <f>IF(AND(ISNUMBER(L335),ISNUMBER(M335)),L335-M335,"")</f>
        <v/>
      </c>
    </row>
    <row r="336">
      <c r="N336">
        <f>IF(AND(ISNUMBER(L336),ISNUMBER(M336)),L336-M336,"")</f>
        <v/>
      </c>
    </row>
    <row r="337">
      <c r="N337">
        <f>IF(AND(ISNUMBER(L337),ISNUMBER(M337)),L337-M337,"")</f>
        <v/>
      </c>
    </row>
    <row r="338">
      <c r="N338">
        <f>IF(AND(ISNUMBER(L338),ISNUMBER(M338)),L338-M338,"")</f>
        <v/>
      </c>
    </row>
    <row r="339">
      <c r="N339">
        <f>IF(AND(ISNUMBER(L339),ISNUMBER(M339)),L339-M339,"")</f>
        <v/>
      </c>
    </row>
    <row r="340">
      <c r="N340">
        <f>IF(AND(ISNUMBER(L340),ISNUMBER(M340)),L340-M340,"")</f>
        <v/>
      </c>
    </row>
    <row r="341">
      <c r="N341">
        <f>IF(AND(ISNUMBER(L341),ISNUMBER(M341)),L341-M341,"")</f>
        <v/>
      </c>
    </row>
    <row r="342">
      <c r="N342">
        <f>IF(AND(ISNUMBER(L342),ISNUMBER(M342)),L342-M342,"")</f>
        <v/>
      </c>
    </row>
    <row r="343">
      <c r="N343">
        <f>IF(AND(ISNUMBER(L343),ISNUMBER(M343)),L343-M343,"")</f>
        <v/>
      </c>
    </row>
    <row r="344">
      <c r="N344">
        <f>IF(AND(ISNUMBER(L344),ISNUMBER(M344)),L344-M344,"")</f>
        <v/>
      </c>
    </row>
    <row r="345">
      <c r="N345">
        <f>IF(AND(ISNUMBER(L345),ISNUMBER(M345)),L345-M345,"")</f>
        <v/>
      </c>
    </row>
    <row r="346">
      <c r="N346">
        <f>IF(AND(ISNUMBER(L346),ISNUMBER(M346)),L346-M346,"")</f>
        <v/>
      </c>
    </row>
    <row r="347">
      <c r="N347">
        <f>IF(AND(ISNUMBER(L347),ISNUMBER(M347)),L347-M347,"")</f>
        <v/>
      </c>
    </row>
    <row r="348">
      <c r="N348">
        <f>IF(AND(ISNUMBER(L348),ISNUMBER(M348)),L348-M348,"")</f>
        <v/>
      </c>
    </row>
    <row r="349">
      <c r="N349">
        <f>IF(AND(ISNUMBER(L349),ISNUMBER(M349)),L349-M349,"")</f>
        <v/>
      </c>
    </row>
    <row r="350">
      <c r="N350">
        <f>IF(AND(ISNUMBER(L350),ISNUMBER(M350)),L350-M350,"")</f>
        <v/>
      </c>
    </row>
    <row r="351">
      <c r="N351">
        <f>IF(AND(ISNUMBER(L351),ISNUMBER(M351)),L351-M351,"")</f>
        <v/>
      </c>
    </row>
    <row r="352">
      <c r="N352">
        <f>IF(AND(ISNUMBER(L352),ISNUMBER(M352)),L352-M352,"")</f>
        <v/>
      </c>
    </row>
    <row r="353">
      <c r="N353">
        <f>IF(AND(ISNUMBER(L353),ISNUMBER(M353)),L353-M353,"")</f>
        <v/>
      </c>
    </row>
    <row r="354">
      <c r="N354">
        <f>IF(AND(ISNUMBER(L354),ISNUMBER(M354)),L354-M354,"")</f>
        <v/>
      </c>
    </row>
    <row r="355">
      <c r="N355">
        <f>IF(AND(ISNUMBER(L355),ISNUMBER(M355)),L355-M355,"")</f>
        <v/>
      </c>
    </row>
    <row r="356">
      <c r="N356">
        <f>IF(AND(ISNUMBER(L356),ISNUMBER(M356)),L356-M356,"")</f>
        <v/>
      </c>
    </row>
    <row r="357">
      <c r="N357">
        <f>IF(AND(ISNUMBER(L357),ISNUMBER(M357)),L357-M357,"")</f>
        <v/>
      </c>
    </row>
    <row r="358">
      <c r="N358">
        <f>IF(AND(ISNUMBER(L358),ISNUMBER(M358)),L358-M358,"")</f>
        <v/>
      </c>
    </row>
    <row r="359">
      <c r="N359">
        <f>IF(AND(ISNUMBER(L359),ISNUMBER(M359)),L359-M359,"")</f>
        <v/>
      </c>
    </row>
    <row r="360">
      <c r="N360">
        <f>IF(AND(ISNUMBER(L360),ISNUMBER(M360)),L360-M360,"")</f>
        <v/>
      </c>
    </row>
    <row r="361">
      <c r="N361">
        <f>IF(AND(ISNUMBER(L361),ISNUMBER(M361)),L361-M361,"")</f>
        <v/>
      </c>
    </row>
    <row r="362">
      <c r="N362">
        <f>IF(AND(ISNUMBER(L362),ISNUMBER(M362)),L362-M362,"")</f>
        <v/>
      </c>
    </row>
    <row r="363">
      <c r="N363">
        <f>IF(AND(ISNUMBER(L363),ISNUMBER(M363)),L363-M363,"")</f>
        <v/>
      </c>
    </row>
    <row r="364">
      <c r="N364">
        <f>IF(AND(ISNUMBER(L364),ISNUMBER(M364)),L364-M364,"")</f>
        <v/>
      </c>
    </row>
    <row r="365">
      <c r="N365">
        <f>IF(AND(ISNUMBER(L365),ISNUMBER(M365)),L365-M365,"")</f>
        <v/>
      </c>
    </row>
    <row r="366">
      <c r="N366">
        <f>IF(AND(ISNUMBER(L366),ISNUMBER(M366)),L366-M366,"")</f>
        <v/>
      </c>
    </row>
    <row r="367">
      <c r="N367">
        <f>IF(AND(ISNUMBER(L367),ISNUMBER(M367)),L367-M367,"")</f>
        <v/>
      </c>
    </row>
    <row r="368">
      <c r="N368">
        <f>IF(AND(ISNUMBER(L368),ISNUMBER(M368)),L368-M368,"")</f>
        <v/>
      </c>
    </row>
    <row r="369">
      <c r="N369">
        <f>IF(AND(ISNUMBER(L369),ISNUMBER(M369)),L369-M369,"")</f>
        <v/>
      </c>
    </row>
    <row r="370">
      <c r="N370">
        <f>IF(AND(ISNUMBER(L370),ISNUMBER(M370)),L370-M370,"")</f>
        <v/>
      </c>
    </row>
    <row r="371">
      <c r="N371">
        <f>IF(AND(ISNUMBER(L371),ISNUMBER(M371)),L371-M371,"")</f>
        <v/>
      </c>
    </row>
    <row r="372">
      <c r="N372">
        <f>IF(AND(ISNUMBER(L372),ISNUMBER(M372)),L372-M372,"")</f>
        <v/>
      </c>
    </row>
    <row r="373">
      <c r="N373">
        <f>IF(AND(ISNUMBER(L373),ISNUMBER(M373)),L373-M373,"")</f>
        <v/>
      </c>
    </row>
    <row r="374">
      <c r="N374">
        <f>IF(AND(ISNUMBER(L374),ISNUMBER(M374)),L374-M374,"")</f>
        <v/>
      </c>
    </row>
    <row r="375">
      <c r="N375">
        <f>IF(AND(ISNUMBER(L375),ISNUMBER(M375)),L375-M375,"")</f>
        <v/>
      </c>
    </row>
    <row r="376">
      <c r="N376">
        <f>IF(AND(ISNUMBER(L376),ISNUMBER(M376)),L376-M376,"")</f>
        <v/>
      </c>
    </row>
    <row r="377">
      <c r="N377">
        <f>IF(AND(ISNUMBER(L377),ISNUMBER(M377)),L377-M377,"")</f>
        <v/>
      </c>
    </row>
    <row r="378">
      <c r="N378">
        <f>IF(AND(ISNUMBER(L378),ISNUMBER(M378)),L378-M378,"")</f>
        <v/>
      </c>
    </row>
    <row r="379">
      <c r="N379">
        <f>IF(AND(ISNUMBER(L379),ISNUMBER(M379)),L379-M379,"")</f>
        <v/>
      </c>
    </row>
    <row r="380">
      <c r="N380">
        <f>IF(AND(ISNUMBER(L380),ISNUMBER(M380)),L380-M380,"")</f>
        <v/>
      </c>
    </row>
    <row r="381">
      <c r="N381">
        <f>IF(AND(ISNUMBER(L381),ISNUMBER(M381)),L381-M381,"")</f>
        <v/>
      </c>
    </row>
    <row r="382">
      <c r="N382">
        <f>IF(AND(ISNUMBER(L382),ISNUMBER(M382)),L382-M382,"")</f>
        <v/>
      </c>
    </row>
    <row r="383">
      <c r="N383">
        <f>IF(AND(ISNUMBER(L383),ISNUMBER(M383)),L383-M383,"")</f>
        <v/>
      </c>
    </row>
    <row r="384">
      <c r="N384">
        <f>IF(AND(ISNUMBER(L384),ISNUMBER(M384)),L384-M384,"")</f>
        <v/>
      </c>
    </row>
    <row r="385">
      <c r="N385">
        <f>IF(AND(ISNUMBER(L385),ISNUMBER(M385)),L385-M385,"")</f>
        <v/>
      </c>
    </row>
    <row r="386">
      <c r="N386">
        <f>IF(AND(ISNUMBER(L386),ISNUMBER(M386)),L386-M386,"")</f>
        <v/>
      </c>
    </row>
    <row r="387">
      <c r="N387">
        <f>IF(AND(ISNUMBER(L387),ISNUMBER(M387)),L387-M387,"")</f>
        <v/>
      </c>
    </row>
    <row r="388">
      <c r="N388">
        <f>IF(AND(ISNUMBER(L388),ISNUMBER(M388)),L388-M388,"")</f>
        <v/>
      </c>
    </row>
    <row r="389">
      <c r="N389">
        <f>IF(AND(ISNUMBER(L389),ISNUMBER(M389)),L389-M389,"")</f>
        <v/>
      </c>
    </row>
    <row r="390">
      <c r="N390">
        <f>IF(AND(ISNUMBER(L390),ISNUMBER(M390)),L390-M390,"")</f>
        <v/>
      </c>
    </row>
    <row r="391">
      <c r="N391">
        <f>IF(AND(ISNUMBER(L391),ISNUMBER(M391)),L391-M391,"")</f>
        <v/>
      </c>
    </row>
    <row r="392">
      <c r="N392">
        <f>IF(AND(ISNUMBER(L392),ISNUMBER(M392)),L392-M392,"")</f>
        <v/>
      </c>
    </row>
    <row r="393">
      <c r="N393">
        <f>IF(AND(ISNUMBER(L393),ISNUMBER(M393)),L393-M393,"")</f>
        <v/>
      </c>
    </row>
    <row r="394">
      <c r="N394">
        <f>IF(AND(ISNUMBER(L394),ISNUMBER(M394)),L394-M394,"")</f>
        <v/>
      </c>
    </row>
    <row r="395">
      <c r="N395">
        <f>IF(AND(ISNUMBER(L395),ISNUMBER(M395)),L395-M395,"")</f>
        <v/>
      </c>
    </row>
    <row r="396">
      <c r="N396">
        <f>IF(AND(ISNUMBER(L396),ISNUMBER(M396)),L396-M396,"")</f>
        <v/>
      </c>
    </row>
    <row r="397">
      <c r="N397">
        <f>IF(AND(ISNUMBER(L397),ISNUMBER(M397)),L397-M397,"")</f>
        <v/>
      </c>
    </row>
    <row r="398">
      <c r="N398">
        <f>IF(AND(ISNUMBER(L398),ISNUMBER(M398)),L398-M398,"")</f>
        <v/>
      </c>
    </row>
    <row r="399">
      <c r="N399">
        <f>IF(AND(ISNUMBER(L399),ISNUMBER(M399)),L399-M399,"")</f>
        <v/>
      </c>
    </row>
    <row r="400">
      <c r="N400">
        <f>IF(AND(ISNUMBER(L400),ISNUMBER(M400)),L400-M400,"")</f>
        <v/>
      </c>
    </row>
    <row r="401">
      <c r="N401">
        <f>IF(AND(ISNUMBER(L401),ISNUMBER(M401)),L401-M401,"")</f>
        <v/>
      </c>
    </row>
    <row r="402">
      <c r="N402">
        <f>IF(AND(ISNUMBER(L402),ISNUMBER(M402)),L402-M402,"")</f>
        <v/>
      </c>
    </row>
    <row r="403">
      <c r="N403">
        <f>IF(AND(ISNUMBER(L403),ISNUMBER(M403)),L403-M403,"")</f>
        <v/>
      </c>
    </row>
    <row r="404">
      <c r="N404">
        <f>IF(AND(ISNUMBER(L404),ISNUMBER(M404)),L404-M404,"")</f>
        <v/>
      </c>
    </row>
    <row r="405">
      <c r="N405">
        <f>IF(AND(ISNUMBER(L405),ISNUMBER(M405)),L405-M405,"")</f>
        <v/>
      </c>
    </row>
    <row r="406">
      <c r="N406">
        <f>IF(AND(ISNUMBER(L406),ISNUMBER(M406)),L406-M406,"")</f>
        <v/>
      </c>
    </row>
    <row r="407">
      <c r="N407">
        <f>IF(AND(ISNUMBER(L407),ISNUMBER(M407)),L407-M407,"")</f>
        <v/>
      </c>
    </row>
    <row r="408">
      <c r="N408">
        <f>IF(AND(ISNUMBER(L408),ISNUMBER(M408)),L408-M408,"")</f>
        <v/>
      </c>
    </row>
    <row r="409">
      <c r="N409">
        <f>IF(AND(ISNUMBER(L409),ISNUMBER(M409)),L409-M409,"")</f>
        <v/>
      </c>
    </row>
    <row r="410">
      <c r="N410">
        <f>IF(AND(ISNUMBER(L410),ISNUMBER(M410)),L410-M410,"")</f>
        <v/>
      </c>
    </row>
    <row r="411">
      <c r="N411">
        <f>IF(AND(ISNUMBER(L411),ISNUMBER(M411)),L411-M411,"")</f>
        <v/>
      </c>
    </row>
    <row r="412">
      <c r="N412">
        <f>IF(AND(ISNUMBER(L412),ISNUMBER(M412)),L412-M412,"")</f>
        <v/>
      </c>
    </row>
    <row r="413">
      <c r="N413">
        <f>IF(AND(ISNUMBER(L413),ISNUMBER(M413)),L413-M413,"")</f>
        <v/>
      </c>
    </row>
    <row r="414">
      <c r="N414">
        <f>IF(AND(ISNUMBER(L414),ISNUMBER(M414)),L414-M414,"")</f>
        <v/>
      </c>
    </row>
    <row r="415">
      <c r="N415">
        <f>IF(AND(ISNUMBER(L415),ISNUMBER(M415)),L415-M415,"")</f>
        <v/>
      </c>
    </row>
    <row r="416">
      <c r="N416">
        <f>IF(AND(ISNUMBER(L416),ISNUMBER(M416)),L416-M416,"")</f>
        <v/>
      </c>
    </row>
    <row r="417">
      <c r="N417">
        <f>IF(AND(ISNUMBER(L417),ISNUMBER(M417)),L417-M417,"")</f>
        <v/>
      </c>
    </row>
    <row r="418">
      <c r="N418">
        <f>IF(AND(ISNUMBER(L418),ISNUMBER(M418)),L418-M418,"")</f>
        <v/>
      </c>
    </row>
    <row r="419">
      <c r="N419">
        <f>IF(AND(ISNUMBER(L419),ISNUMBER(M419)),L419-M419,"")</f>
        <v/>
      </c>
    </row>
    <row r="420">
      <c r="N420">
        <f>IF(AND(ISNUMBER(L420),ISNUMBER(M420)),L420-M420,"")</f>
        <v/>
      </c>
    </row>
    <row r="421">
      <c r="N421">
        <f>IF(AND(ISNUMBER(L421),ISNUMBER(M421)),L421-M421,"")</f>
        <v/>
      </c>
    </row>
    <row r="422">
      <c r="N422">
        <f>IF(AND(ISNUMBER(L422),ISNUMBER(M422)),L422-M422,"")</f>
        <v/>
      </c>
    </row>
    <row r="423">
      <c r="N423">
        <f>IF(AND(ISNUMBER(L423),ISNUMBER(M423)),L423-M423,"")</f>
        <v/>
      </c>
    </row>
    <row r="424">
      <c r="N424">
        <f>IF(AND(ISNUMBER(L424),ISNUMBER(M424)),L424-M424,"")</f>
        <v/>
      </c>
    </row>
    <row r="425">
      <c r="N425">
        <f>IF(AND(ISNUMBER(L425),ISNUMBER(M425)),L425-M425,"")</f>
        <v/>
      </c>
    </row>
    <row r="426">
      <c r="N426">
        <f>IF(AND(ISNUMBER(L426),ISNUMBER(M426)),L426-M426,"")</f>
        <v/>
      </c>
    </row>
    <row r="427">
      <c r="N427">
        <f>IF(AND(ISNUMBER(L427),ISNUMBER(M427)),L427-M427,"")</f>
        <v/>
      </c>
    </row>
    <row r="428">
      <c r="N428">
        <f>IF(AND(ISNUMBER(L428),ISNUMBER(M428)),L428-M428,"")</f>
        <v/>
      </c>
    </row>
    <row r="429">
      <c r="N429">
        <f>IF(AND(ISNUMBER(L429),ISNUMBER(M429)),L429-M429,"")</f>
        <v/>
      </c>
    </row>
    <row r="430">
      <c r="N430">
        <f>IF(AND(ISNUMBER(L430),ISNUMBER(M430)),L430-M430,"")</f>
        <v/>
      </c>
    </row>
    <row r="431">
      <c r="N431">
        <f>IF(AND(ISNUMBER(L431),ISNUMBER(M431)),L431-M431,"")</f>
        <v/>
      </c>
    </row>
    <row r="432">
      <c r="N432">
        <f>IF(AND(ISNUMBER(L432),ISNUMBER(M432)),L432-M432,"")</f>
        <v/>
      </c>
    </row>
    <row r="433">
      <c r="N433">
        <f>IF(AND(ISNUMBER(L433),ISNUMBER(M433)),L433-M433,"")</f>
        <v/>
      </c>
    </row>
    <row r="434">
      <c r="N434">
        <f>IF(AND(ISNUMBER(L434),ISNUMBER(M434)),L434-M434,"")</f>
        <v/>
      </c>
    </row>
    <row r="435">
      <c r="N435">
        <f>IF(AND(ISNUMBER(L435),ISNUMBER(M435)),L435-M435,"")</f>
        <v/>
      </c>
    </row>
    <row r="436">
      <c r="N436">
        <f>IF(AND(ISNUMBER(L436),ISNUMBER(M436)),L436-M436,"")</f>
        <v/>
      </c>
    </row>
    <row r="437">
      <c r="N437">
        <f>IF(AND(ISNUMBER(L437),ISNUMBER(M437)),L437-M437,"")</f>
        <v/>
      </c>
    </row>
    <row r="438">
      <c r="N438">
        <f>IF(AND(ISNUMBER(L438),ISNUMBER(M438)),L438-M438,"")</f>
        <v/>
      </c>
    </row>
    <row r="439">
      <c r="N439">
        <f>IF(AND(ISNUMBER(L439),ISNUMBER(M439)),L439-M439,"")</f>
        <v/>
      </c>
    </row>
    <row r="440">
      <c r="N440">
        <f>IF(AND(ISNUMBER(L440),ISNUMBER(M440)),L440-M440,"")</f>
        <v/>
      </c>
    </row>
    <row r="441">
      <c r="N441">
        <f>IF(AND(ISNUMBER(L441),ISNUMBER(M441)),L441-M441,"")</f>
        <v/>
      </c>
    </row>
    <row r="442">
      <c r="N442">
        <f>IF(AND(ISNUMBER(L442),ISNUMBER(M442)),L442-M442,"")</f>
        <v/>
      </c>
    </row>
    <row r="443">
      <c r="N443">
        <f>IF(AND(ISNUMBER(L443),ISNUMBER(M443)),L443-M443,"")</f>
        <v/>
      </c>
    </row>
    <row r="444">
      <c r="N444">
        <f>IF(AND(ISNUMBER(L444),ISNUMBER(M444)),L444-M444,"")</f>
        <v/>
      </c>
    </row>
    <row r="445">
      <c r="N445">
        <f>IF(AND(ISNUMBER(L445),ISNUMBER(M445)),L445-M445,"")</f>
        <v/>
      </c>
    </row>
    <row r="446">
      <c r="N446">
        <f>IF(AND(ISNUMBER(L446),ISNUMBER(M446)),L446-M446,"")</f>
        <v/>
      </c>
    </row>
    <row r="447">
      <c r="N447">
        <f>IF(AND(ISNUMBER(L447),ISNUMBER(M447)),L447-M447,"")</f>
        <v/>
      </c>
    </row>
    <row r="448">
      <c r="N448">
        <f>IF(AND(ISNUMBER(L448),ISNUMBER(M448)),L448-M448,"")</f>
        <v/>
      </c>
    </row>
    <row r="449">
      <c r="N449">
        <f>IF(AND(ISNUMBER(L449),ISNUMBER(M449)),L449-M449,"")</f>
        <v/>
      </c>
    </row>
    <row r="450">
      <c r="N450">
        <f>IF(AND(ISNUMBER(L450),ISNUMBER(M450)),L450-M450,"")</f>
        <v/>
      </c>
    </row>
    <row r="451">
      <c r="N451">
        <f>IF(AND(ISNUMBER(L451),ISNUMBER(M451)),L451-M451,"")</f>
        <v/>
      </c>
    </row>
    <row r="452">
      <c r="N452">
        <f>IF(AND(ISNUMBER(L452),ISNUMBER(M452)),L452-M452,"")</f>
        <v/>
      </c>
    </row>
    <row r="453">
      <c r="N453">
        <f>IF(AND(ISNUMBER(L453),ISNUMBER(M453)),L453-M453,"")</f>
        <v/>
      </c>
    </row>
    <row r="454">
      <c r="N454">
        <f>IF(AND(ISNUMBER(L454),ISNUMBER(M454)),L454-M454,"")</f>
        <v/>
      </c>
    </row>
    <row r="455">
      <c r="N455">
        <f>IF(AND(ISNUMBER(L455),ISNUMBER(M455)),L455-M455,"")</f>
        <v/>
      </c>
    </row>
    <row r="456">
      <c r="N456">
        <f>IF(AND(ISNUMBER(L456),ISNUMBER(M456)),L456-M456,"")</f>
        <v/>
      </c>
    </row>
    <row r="457">
      <c r="N457">
        <f>IF(AND(ISNUMBER(L457),ISNUMBER(M457)),L457-M457,"")</f>
        <v/>
      </c>
    </row>
    <row r="458">
      <c r="N458">
        <f>IF(AND(ISNUMBER(L458),ISNUMBER(M458)),L458-M458,"")</f>
        <v/>
      </c>
    </row>
    <row r="459">
      <c r="N459">
        <f>IF(AND(ISNUMBER(L459),ISNUMBER(M459)),L459-M459,"")</f>
        <v/>
      </c>
    </row>
    <row r="460">
      <c r="N460">
        <f>IF(AND(ISNUMBER(L460),ISNUMBER(M460)),L460-M460,"")</f>
        <v/>
      </c>
    </row>
    <row r="461">
      <c r="N461">
        <f>IF(AND(ISNUMBER(L461),ISNUMBER(M461)),L461-M461,"")</f>
        <v/>
      </c>
    </row>
    <row r="462">
      <c r="N462">
        <f>IF(AND(ISNUMBER(L462),ISNUMBER(M462)),L462-M462,"")</f>
        <v/>
      </c>
    </row>
    <row r="463">
      <c r="N463">
        <f>IF(AND(ISNUMBER(L463),ISNUMBER(M463)),L463-M463,"")</f>
        <v/>
      </c>
    </row>
    <row r="464">
      <c r="N464">
        <f>IF(AND(ISNUMBER(L464),ISNUMBER(M464)),L464-M464,"")</f>
        <v/>
      </c>
    </row>
    <row r="465">
      <c r="N465">
        <f>IF(AND(ISNUMBER(L465),ISNUMBER(M465)),L465-M465,"")</f>
        <v/>
      </c>
    </row>
    <row r="466">
      <c r="N466">
        <f>IF(AND(ISNUMBER(L466),ISNUMBER(M466)),L466-M466,"")</f>
        <v/>
      </c>
    </row>
    <row r="467">
      <c r="N467">
        <f>IF(AND(ISNUMBER(L467),ISNUMBER(M467)),L467-M467,"")</f>
        <v/>
      </c>
    </row>
    <row r="468">
      <c r="N468">
        <f>IF(AND(ISNUMBER(L468),ISNUMBER(M468)),L468-M468,"")</f>
        <v/>
      </c>
    </row>
    <row r="469">
      <c r="N469">
        <f>IF(AND(ISNUMBER(L469),ISNUMBER(M469)),L469-M469,"")</f>
        <v/>
      </c>
    </row>
    <row r="470">
      <c r="N470">
        <f>IF(AND(ISNUMBER(L470),ISNUMBER(M470)),L470-M470,"")</f>
        <v/>
      </c>
    </row>
    <row r="471">
      <c r="N471">
        <f>IF(AND(ISNUMBER(L471),ISNUMBER(M471)),L471-M471,"")</f>
        <v/>
      </c>
    </row>
    <row r="472">
      <c r="N472">
        <f>IF(AND(ISNUMBER(L472),ISNUMBER(M472)),L472-M472,"")</f>
        <v/>
      </c>
    </row>
    <row r="473">
      <c r="N473">
        <f>IF(AND(ISNUMBER(L473),ISNUMBER(M473)),L473-M473,"")</f>
        <v/>
      </c>
    </row>
    <row r="474">
      <c r="N474">
        <f>IF(AND(ISNUMBER(L474),ISNUMBER(M474)),L474-M474,"")</f>
        <v/>
      </c>
    </row>
    <row r="475">
      <c r="N475">
        <f>IF(AND(ISNUMBER(L475),ISNUMBER(M475)),L475-M475,"")</f>
        <v/>
      </c>
    </row>
    <row r="476">
      <c r="N476">
        <f>IF(AND(ISNUMBER(L476),ISNUMBER(M476)),L476-M476,"")</f>
        <v/>
      </c>
    </row>
    <row r="477">
      <c r="N477">
        <f>IF(AND(ISNUMBER(L477),ISNUMBER(M477)),L477-M477,"")</f>
        <v/>
      </c>
    </row>
    <row r="478">
      <c r="N478">
        <f>IF(AND(ISNUMBER(L478),ISNUMBER(M478)),L478-M478,"")</f>
        <v/>
      </c>
    </row>
    <row r="479">
      <c r="N479">
        <f>IF(AND(ISNUMBER(L479),ISNUMBER(M479)),L479-M479,"")</f>
        <v/>
      </c>
    </row>
    <row r="480">
      <c r="N480">
        <f>IF(AND(ISNUMBER(L480),ISNUMBER(M480)),L480-M480,"")</f>
        <v/>
      </c>
    </row>
    <row r="481">
      <c r="N481">
        <f>IF(AND(ISNUMBER(L481),ISNUMBER(M481)),L481-M481,"")</f>
        <v/>
      </c>
    </row>
    <row r="482">
      <c r="N482">
        <f>IF(AND(ISNUMBER(L482),ISNUMBER(M482)),L482-M482,"")</f>
        <v/>
      </c>
    </row>
    <row r="483">
      <c r="N483">
        <f>IF(AND(ISNUMBER(L483),ISNUMBER(M483)),L483-M483,"")</f>
        <v/>
      </c>
    </row>
    <row r="484">
      <c r="N484">
        <f>IF(AND(ISNUMBER(L484),ISNUMBER(M484)),L484-M484,"")</f>
        <v/>
      </c>
    </row>
    <row r="485">
      <c r="N485">
        <f>IF(AND(ISNUMBER(L485),ISNUMBER(M485)),L485-M485,"")</f>
        <v/>
      </c>
    </row>
    <row r="486">
      <c r="N486">
        <f>IF(AND(ISNUMBER(L486),ISNUMBER(M486)),L486-M486,"")</f>
        <v/>
      </c>
    </row>
    <row r="487">
      <c r="N487">
        <f>IF(AND(ISNUMBER(L487),ISNUMBER(M487)),L487-M487,"")</f>
        <v/>
      </c>
    </row>
    <row r="488">
      <c r="N488">
        <f>IF(AND(ISNUMBER(L488),ISNUMBER(M488)),L488-M488,"")</f>
        <v/>
      </c>
    </row>
    <row r="489">
      <c r="N489">
        <f>IF(AND(ISNUMBER(L489),ISNUMBER(M489)),L489-M489,"")</f>
        <v/>
      </c>
    </row>
    <row r="490">
      <c r="N490">
        <f>IF(AND(ISNUMBER(L490),ISNUMBER(M490)),L490-M490,"")</f>
        <v/>
      </c>
    </row>
    <row r="491">
      <c r="N491">
        <f>IF(AND(ISNUMBER(L491),ISNUMBER(M491)),L491-M491,"")</f>
        <v/>
      </c>
    </row>
    <row r="492">
      <c r="N492">
        <f>IF(AND(ISNUMBER(L492),ISNUMBER(M492)),L492-M492,"")</f>
        <v/>
      </c>
    </row>
    <row r="493">
      <c r="N493">
        <f>IF(AND(ISNUMBER(L493),ISNUMBER(M493)),L493-M493,"")</f>
        <v/>
      </c>
    </row>
    <row r="494">
      <c r="N494">
        <f>IF(AND(ISNUMBER(L494),ISNUMBER(M494)),L494-M494,"")</f>
        <v/>
      </c>
    </row>
    <row r="495">
      <c r="N495">
        <f>IF(AND(ISNUMBER(L495),ISNUMBER(M495)),L495-M495,"")</f>
        <v/>
      </c>
    </row>
    <row r="496">
      <c r="N496">
        <f>IF(AND(ISNUMBER(L496),ISNUMBER(M496)),L496-M496,"")</f>
        <v/>
      </c>
    </row>
    <row r="497">
      <c r="N497">
        <f>IF(AND(ISNUMBER(L497),ISNUMBER(M497)),L497-M497,"")</f>
        <v/>
      </c>
    </row>
    <row r="498">
      <c r="N498">
        <f>IF(AND(ISNUMBER(L498),ISNUMBER(M498)),L498-M498,"")</f>
        <v/>
      </c>
    </row>
    <row r="499">
      <c r="N499">
        <f>IF(AND(ISNUMBER(L499),ISNUMBER(M499)),L499-M499,"")</f>
        <v/>
      </c>
    </row>
    <row r="500">
      <c r="N500">
        <f>IF(AND(ISNUMBER(L500),ISNUMBER(M500)),L500-M500,"")</f>
        <v/>
      </c>
    </row>
    <row r="501">
      <c r="N501">
        <f>IF(AND(ISNUMBER(L501),ISNUMBER(M501)),L501-M501,"")</f>
        <v/>
      </c>
    </row>
    <row r="502">
      <c r="N502">
        <f>IF(AND(ISNUMBER(L502),ISNUMBER(M502)),L502-M502,"")</f>
        <v/>
      </c>
    </row>
    <row r="503">
      <c r="N503">
        <f>IF(AND(ISNUMBER(L503),ISNUMBER(M503)),L503-M503,"")</f>
        <v/>
      </c>
    </row>
    <row r="504">
      <c r="N504">
        <f>IF(AND(ISNUMBER(L504),ISNUMBER(M504)),L504-M504,"")</f>
        <v/>
      </c>
    </row>
    <row r="505">
      <c r="N505">
        <f>IF(AND(ISNUMBER(L505),ISNUMBER(M505)),L505-M505,"")</f>
        <v/>
      </c>
    </row>
    <row r="506">
      <c r="N506">
        <f>IF(AND(ISNUMBER(L506),ISNUMBER(M506)),L506-M506,"")</f>
        <v/>
      </c>
    </row>
    <row r="507">
      <c r="N507">
        <f>IF(AND(ISNUMBER(L507),ISNUMBER(M507)),L507-M507,"")</f>
        <v/>
      </c>
    </row>
    <row r="508">
      <c r="N508">
        <f>IF(AND(ISNUMBER(L508),ISNUMBER(M508)),L508-M508,"")</f>
        <v/>
      </c>
    </row>
    <row r="509">
      <c r="N509">
        <f>IF(AND(ISNUMBER(L509),ISNUMBER(M509)),L509-M509,"")</f>
        <v/>
      </c>
    </row>
    <row r="510">
      <c r="N510">
        <f>IF(AND(ISNUMBER(L510),ISNUMBER(M510)),L510-M510,"")</f>
        <v/>
      </c>
    </row>
    <row r="511">
      <c r="N511">
        <f>IF(AND(ISNUMBER(L511),ISNUMBER(M511)),L511-M511,"")</f>
        <v/>
      </c>
    </row>
    <row r="512">
      <c r="N512">
        <f>IF(AND(ISNUMBER(L512),ISNUMBER(M512)),L512-M512,"")</f>
        <v/>
      </c>
    </row>
    <row r="513">
      <c r="N513">
        <f>IF(AND(ISNUMBER(L513),ISNUMBER(M513)),L513-M513,"")</f>
        <v/>
      </c>
    </row>
    <row r="514">
      <c r="N514">
        <f>IF(AND(ISNUMBER(L514),ISNUMBER(M514)),L514-M514,"")</f>
        <v/>
      </c>
    </row>
    <row r="515">
      <c r="N515">
        <f>IF(AND(ISNUMBER(L515),ISNUMBER(M515)),L515-M515,"")</f>
        <v/>
      </c>
    </row>
    <row r="516">
      <c r="N516">
        <f>IF(AND(ISNUMBER(L516),ISNUMBER(M516)),L516-M516,"")</f>
        <v/>
      </c>
    </row>
    <row r="517">
      <c r="N517">
        <f>IF(AND(ISNUMBER(L517),ISNUMBER(M517)),L517-M517,"")</f>
        <v/>
      </c>
    </row>
    <row r="518">
      <c r="N518">
        <f>IF(AND(ISNUMBER(L518),ISNUMBER(M518)),L518-M518,"")</f>
        <v/>
      </c>
    </row>
    <row r="519">
      <c r="N519">
        <f>IF(AND(ISNUMBER(L519),ISNUMBER(M519)),L519-M519,"")</f>
        <v/>
      </c>
    </row>
    <row r="520">
      <c r="N520">
        <f>IF(AND(ISNUMBER(L520),ISNUMBER(M520)),L520-M520,"")</f>
        <v/>
      </c>
    </row>
    <row r="521">
      <c r="N521">
        <f>IF(AND(ISNUMBER(L521),ISNUMBER(M521)),L521-M521,"")</f>
        <v/>
      </c>
    </row>
    <row r="522">
      <c r="N522">
        <f>IF(AND(ISNUMBER(L522),ISNUMBER(M522)),L522-M522,"")</f>
        <v/>
      </c>
    </row>
    <row r="523">
      <c r="N523">
        <f>IF(AND(ISNUMBER(L523),ISNUMBER(M523)),L523-M523,"")</f>
        <v/>
      </c>
    </row>
    <row r="524">
      <c r="N524">
        <f>IF(AND(ISNUMBER(L524),ISNUMBER(M524)),L524-M524,"")</f>
        <v/>
      </c>
    </row>
    <row r="525">
      <c r="N525">
        <f>IF(AND(ISNUMBER(L525),ISNUMBER(M525)),L525-M525,"")</f>
        <v/>
      </c>
    </row>
    <row r="526">
      <c r="N526">
        <f>IF(AND(ISNUMBER(L526),ISNUMBER(M526)),L526-M526,"")</f>
        <v/>
      </c>
    </row>
    <row r="527">
      <c r="N527">
        <f>IF(AND(ISNUMBER(L527),ISNUMBER(M527)),L527-M527,"")</f>
        <v/>
      </c>
    </row>
    <row r="528">
      <c r="N528">
        <f>IF(AND(ISNUMBER(L528),ISNUMBER(M528)),L528-M528,"")</f>
        <v/>
      </c>
    </row>
    <row r="529">
      <c r="N529">
        <f>IF(AND(ISNUMBER(L529),ISNUMBER(M529)),L529-M529,"")</f>
        <v/>
      </c>
    </row>
    <row r="530">
      <c r="N530">
        <f>IF(AND(ISNUMBER(L530),ISNUMBER(M530)),L530-M530,"")</f>
        <v/>
      </c>
    </row>
    <row r="531">
      <c r="N531">
        <f>IF(AND(ISNUMBER(L531),ISNUMBER(M531)),L531-M531,"")</f>
        <v/>
      </c>
    </row>
    <row r="532">
      <c r="N532">
        <f>IF(AND(ISNUMBER(L532),ISNUMBER(M532)),L532-M532,"")</f>
        <v/>
      </c>
    </row>
    <row r="533">
      <c r="N533">
        <f>IF(AND(ISNUMBER(L533),ISNUMBER(M533)),L533-M533,"")</f>
        <v/>
      </c>
    </row>
    <row r="534">
      <c r="N534">
        <f>IF(AND(ISNUMBER(L534),ISNUMBER(M534)),L534-M534,"")</f>
        <v/>
      </c>
    </row>
    <row r="535">
      <c r="N535">
        <f>IF(AND(ISNUMBER(L535),ISNUMBER(M535)),L535-M535,"")</f>
        <v/>
      </c>
    </row>
    <row r="536">
      <c r="N536">
        <f>IF(AND(ISNUMBER(L536),ISNUMBER(M536)),L536-M536,"")</f>
        <v/>
      </c>
    </row>
    <row r="537">
      <c r="N537">
        <f>IF(AND(ISNUMBER(L537),ISNUMBER(M537)),L537-M537,"")</f>
        <v/>
      </c>
    </row>
    <row r="538">
      <c r="N538">
        <f>IF(AND(ISNUMBER(L538),ISNUMBER(M538)),L538-M538,"")</f>
        <v/>
      </c>
    </row>
    <row r="539">
      <c r="N539">
        <f>IF(AND(ISNUMBER(L539),ISNUMBER(M539)),L539-M539,"")</f>
        <v/>
      </c>
    </row>
    <row r="540">
      <c r="N540">
        <f>IF(AND(ISNUMBER(L540),ISNUMBER(M540)),L540-M540,"")</f>
        <v/>
      </c>
    </row>
    <row r="541">
      <c r="N541">
        <f>IF(AND(ISNUMBER(L541),ISNUMBER(M541)),L541-M541,"")</f>
        <v/>
      </c>
    </row>
    <row r="542">
      <c r="N542">
        <f>IF(AND(ISNUMBER(L542),ISNUMBER(M542)),L542-M542,"")</f>
        <v/>
      </c>
    </row>
    <row r="543">
      <c r="N543">
        <f>IF(AND(ISNUMBER(L543),ISNUMBER(M543)),L543-M543,"")</f>
        <v/>
      </c>
    </row>
    <row r="544">
      <c r="N544">
        <f>IF(AND(ISNUMBER(L544),ISNUMBER(M544)),L544-M544,"")</f>
        <v/>
      </c>
    </row>
    <row r="545">
      <c r="N545">
        <f>IF(AND(ISNUMBER(L545),ISNUMBER(M545)),L545-M545,"")</f>
        <v/>
      </c>
    </row>
    <row r="546">
      <c r="N546">
        <f>IF(AND(ISNUMBER(L546),ISNUMBER(M546)),L546-M546,"")</f>
        <v/>
      </c>
    </row>
    <row r="547">
      <c r="N547">
        <f>IF(AND(ISNUMBER(L547),ISNUMBER(M547)),L547-M547,"")</f>
        <v/>
      </c>
    </row>
    <row r="548">
      <c r="N548">
        <f>IF(AND(ISNUMBER(L548),ISNUMBER(M548)),L548-M548,"")</f>
        <v/>
      </c>
    </row>
    <row r="549">
      <c r="N549">
        <f>IF(AND(ISNUMBER(L549),ISNUMBER(M549)),L549-M549,"")</f>
        <v/>
      </c>
    </row>
    <row r="550">
      <c r="N550">
        <f>IF(AND(ISNUMBER(L550),ISNUMBER(M550)),L550-M550,"")</f>
        <v/>
      </c>
    </row>
    <row r="551">
      <c r="N551">
        <f>IF(AND(ISNUMBER(L551),ISNUMBER(M551)),L551-M551,"")</f>
        <v/>
      </c>
    </row>
    <row r="552">
      <c r="N552">
        <f>IF(AND(ISNUMBER(L552),ISNUMBER(M552)),L552-M552,"")</f>
        <v/>
      </c>
    </row>
    <row r="553">
      <c r="N553">
        <f>IF(AND(ISNUMBER(L553),ISNUMBER(M553)),L553-M553,"")</f>
        <v/>
      </c>
    </row>
    <row r="554">
      <c r="N554">
        <f>IF(AND(ISNUMBER(L554),ISNUMBER(M554)),L554-M554,"")</f>
        <v/>
      </c>
    </row>
    <row r="555">
      <c r="N555">
        <f>IF(AND(ISNUMBER(L555),ISNUMBER(M555)),L555-M555,"")</f>
        <v/>
      </c>
    </row>
    <row r="556">
      <c r="N556">
        <f>IF(AND(ISNUMBER(L556),ISNUMBER(M556)),L556-M556,"")</f>
        <v/>
      </c>
    </row>
    <row r="557">
      <c r="N557">
        <f>IF(AND(ISNUMBER(L557),ISNUMBER(M557)),L557-M557,"")</f>
        <v/>
      </c>
    </row>
    <row r="558">
      <c r="N558">
        <f>IF(AND(ISNUMBER(L558),ISNUMBER(M558)),L558-M558,"")</f>
        <v/>
      </c>
    </row>
    <row r="559">
      <c r="N559">
        <f>IF(AND(ISNUMBER(L559),ISNUMBER(M559)),L559-M559,"")</f>
        <v/>
      </c>
    </row>
    <row r="560">
      <c r="N560">
        <f>IF(AND(ISNUMBER(L560),ISNUMBER(M560)),L560-M560,"")</f>
        <v/>
      </c>
    </row>
    <row r="561">
      <c r="N561">
        <f>IF(AND(ISNUMBER(L561),ISNUMBER(M561)),L561-M561,"")</f>
        <v/>
      </c>
    </row>
    <row r="562">
      <c r="N562">
        <f>IF(AND(ISNUMBER(L562),ISNUMBER(M562)),L562-M562,"")</f>
        <v/>
      </c>
    </row>
    <row r="563">
      <c r="N563">
        <f>IF(AND(ISNUMBER(L563),ISNUMBER(M563)),L563-M563,"")</f>
        <v/>
      </c>
    </row>
    <row r="564">
      <c r="N564">
        <f>IF(AND(ISNUMBER(L564),ISNUMBER(M564)),L564-M564,"")</f>
        <v/>
      </c>
    </row>
    <row r="565">
      <c r="N565">
        <f>IF(AND(ISNUMBER(L565),ISNUMBER(M565)),L565-M565,"")</f>
        <v/>
      </c>
    </row>
    <row r="566">
      <c r="N566">
        <f>IF(AND(ISNUMBER(L566),ISNUMBER(M566)),L566-M566,"")</f>
        <v/>
      </c>
    </row>
    <row r="567">
      <c r="N567">
        <f>IF(AND(ISNUMBER(L567),ISNUMBER(M567)),L567-M567,"")</f>
        <v/>
      </c>
    </row>
    <row r="568">
      <c r="N568">
        <f>IF(AND(ISNUMBER(L568),ISNUMBER(M568)),L568-M568,"")</f>
        <v/>
      </c>
    </row>
    <row r="569">
      <c r="N569">
        <f>IF(AND(ISNUMBER(L569),ISNUMBER(M569)),L569-M569,"")</f>
        <v/>
      </c>
    </row>
    <row r="570">
      <c r="N570">
        <f>IF(AND(ISNUMBER(L570),ISNUMBER(M570)),L570-M570,"")</f>
        <v/>
      </c>
    </row>
    <row r="571">
      <c r="N571">
        <f>IF(AND(ISNUMBER(L571),ISNUMBER(M571)),L571-M571,"")</f>
        <v/>
      </c>
    </row>
    <row r="572">
      <c r="N572">
        <f>IF(AND(ISNUMBER(L572),ISNUMBER(M572)),L572-M572,"")</f>
        <v/>
      </c>
    </row>
    <row r="573">
      <c r="N573">
        <f>IF(AND(ISNUMBER(L573),ISNUMBER(M573)),L573-M573,"")</f>
        <v/>
      </c>
    </row>
    <row r="574">
      <c r="N574">
        <f>IF(AND(ISNUMBER(L574),ISNUMBER(M574)),L574-M574,"")</f>
        <v/>
      </c>
    </row>
    <row r="575">
      <c r="N575">
        <f>IF(AND(ISNUMBER(L575),ISNUMBER(M575)),L575-M575,"")</f>
        <v/>
      </c>
    </row>
    <row r="576">
      <c r="N576">
        <f>IF(AND(ISNUMBER(L576),ISNUMBER(M576)),L576-M576,"")</f>
        <v/>
      </c>
    </row>
    <row r="577">
      <c r="N577">
        <f>IF(AND(ISNUMBER(L577),ISNUMBER(M577)),L577-M577,"")</f>
        <v/>
      </c>
    </row>
    <row r="578">
      <c r="N578">
        <f>IF(AND(ISNUMBER(L578),ISNUMBER(M578)),L578-M578,"")</f>
        <v/>
      </c>
    </row>
    <row r="579">
      <c r="N579">
        <f>IF(AND(ISNUMBER(L579),ISNUMBER(M579)),L579-M579,"")</f>
        <v/>
      </c>
    </row>
    <row r="580">
      <c r="N580">
        <f>IF(AND(ISNUMBER(L580),ISNUMBER(M580)),L580-M580,"")</f>
        <v/>
      </c>
    </row>
    <row r="581">
      <c r="N581">
        <f>IF(AND(ISNUMBER(L581),ISNUMBER(M581)),L581-M581,"")</f>
        <v/>
      </c>
    </row>
    <row r="582">
      <c r="N582">
        <f>IF(AND(ISNUMBER(L582),ISNUMBER(M582)),L582-M582,"")</f>
        <v/>
      </c>
    </row>
    <row r="583">
      <c r="N583">
        <f>IF(AND(ISNUMBER(L583),ISNUMBER(M583)),L583-M583,"")</f>
        <v/>
      </c>
    </row>
    <row r="584">
      <c r="N584">
        <f>IF(AND(ISNUMBER(L584),ISNUMBER(M584)),L584-M584,"")</f>
        <v/>
      </c>
    </row>
    <row r="585">
      <c r="N585">
        <f>IF(AND(ISNUMBER(L585),ISNUMBER(M585)),L585-M585,"")</f>
        <v/>
      </c>
    </row>
    <row r="586">
      <c r="N586">
        <f>IF(AND(ISNUMBER(L586),ISNUMBER(M586)),L586-M586,"")</f>
        <v/>
      </c>
    </row>
    <row r="587">
      <c r="N587">
        <f>IF(AND(ISNUMBER(L587),ISNUMBER(M587)),L587-M587,"")</f>
        <v/>
      </c>
    </row>
    <row r="588">
      <c r="N588">
        <f>IF(AND(ISNUMBER(L588),ISNUMBER(M588)),L588-M588,"")</f>
        <v/>
      </c>
    </row>
    <row r="589">
      <c r="N589">
        <f>IF(AND(ISNUMBER(L589),ISNUMBER(M589)),L589-M589,"")</f>
        <v/>
      </c>
    </row>
    <row r="590">
      <c r="N590">
        <f>IF(AND(ISNUMBER(L590),ISNUMBER(M590)),L590-M590,"")</f>
        <v/>
      </c>
    </row>
    <row r="591">
      <c r="N591">
        <f>IF(AND(ISNUMBER(L591),ISNUMBER(M591)),L591-M591,"")</f>
        <v/>
      </c>
    </row>
    <row r="592">
      <c r="N592">
        <f>IF(AND(ISNUMBER(L592),ISNUMBER(M592)),L592-M592,"")</f>
        <v/>
      </c>
    </row>
    <row r="593">
      <c r="N593">
        <f>IF(AND(ISNUMBER(L593),ISNUMBER(M593)),L593-M593,"")</f>
        <v/>
      </c>
    </row>
    <row r="594">
      <c r="N594">
        <f>IF(AND(ISNUMBER(L594),ISNUMBER(M594)),L594-M594,"")</f>
        <v/>
      </c>
    </row>
    <row r="595">
      <c r="N595">
        <f>IF(AND(ISNUMBER(L595),ISNUMBER(M595)),L595-M595,"")</f>
        <v/>
      </c>
    </row>
    <row r="596">
      <c r="N596">
        <f>IF(AND(ISNUMBER(L596),ISNUMBER(M596)),L596-M596,"")</f>
        <v/>
      </c>
    </row>
    <row r="597">
      <c r="N597">
        <f>IF(AND(ISNUMBER(L597),ISNUMBER(M597)),L597-M597,"")</f>
        <v/>
      </c>
    </row>
    <row r="598">
      <c r="N598">
        <f>IF(AND(ISNUMBER(L598),ISNUMBER(M598)),L598-M598,"")</f>
        <v/>
      </c>
    </row>
    <row r="599">
      <c r="N599">
        <f>IF(AND(ISNUMBER(L599),ISNUMBER(M599)),L599-M599,"")</f>
        <v/>
      </c>
    </row>
    <row r="600">
      <c r="N600">
        <f>IF(AND(ISNUMBER(L600),ISNUMBER(M600)),L600-M600,"")</f>
        <v/>
      </c>
    </row>
    <row r="601">
      <c r="N601">
        <f>IF(AND(ISNUMBER(L601),ISNUMBER(M601)),L601-M601,"")</f>
        <v/>
      </c>
    </row>
    <row r="602">
      <c r="N602">
        <f>IF(AND(ISNUMBER(L602),ISNUMBER(M602)),L602-M602,"")</f>
        <v/>
      </c>
    </row>
    <row r="603">
      <c r="N603">
        <f>IF(AND(ISNUMBER(L603),ISNUMBER(M603)),L603-M603,"")</f>
        <v/>
      </c>
    </row>
    <row r="604">
      <c r="N604">
        <f>IF(AND(ISNUMBER(L604),ISNUMBER(M604)),L604-M604,"")</f>
        <v/>
      </c>
    </row>
    <row r="605">
      <c r="N605">
        <f>IF(AND(ISNUMBER(L605),ISNUMBER(M605)),L605-M605,"")</f>
        <v/>
      </c>
    </row>
    <row r="606">
      <c r="N606">
        <f>IF(AND(ISNUMBER(L606),ISNUMBER(M606)),L606-M606,"")</f>
        <v/>
      </c>
    </row>
    <row r="607">
      <c r="N607">
        <f>IF(AND(ISNUMBER(L607),ISNUMBER(M607)),L607-M607,"")</f>
        <v/>
      </c>
    </row>
    <row r="608">
      <c r="N608">
        <f>IF(AND(ISNUMBER(L608),ISNUMBER(M608)),L608-M608,"")</f>
        <v/>
      </c>
    </row>
    <row r="609">
      <c r="N609">
        <f>IF(AND(ISNUMBER(L609),ISNUMBER(M609)),L609-M609,"")</f>
        <v/>
      </c>
    </row>
    <row r="610">
      <c r="N610">
        <f>IF(AND(ISNUMBER(L610),ISNUMBER(M610)),L610-M610,"")</f>
        <v/>
      </c>
    </row>
    <row r="611">
      <c r="N611">
        <f>IF(AND(ISNUMBER(L611),ISNUMBER(M611)),L611-M611,"")</f>
        <v/>
      </c>
    </row>
    <row r="612">
      <c r="N612">
        <f>IF(AND(ISNUMBER(L612),ISNUMBER(M612)),L612-M612,"")</f>
        <v/>
      </c>
    </row>
    <row r="613">
      <c r="N613">
        <f>IF(AND(ISNUMBER(L613),ISNUMBER(M613)),L613-M613,"")</f>
        <v/>
      </c>
    </row>
    <row r="614">
      <c r="N614">
        <f>IF(AND(ISNUMBER(L614),ISNUMBER(M614)),L614-M614,"")</f>
        <v/>
      </c>
    </row>
    <row r="615">
      <c r="N615">
        <f>IF(AND(ISNUMBER(L615),ISNUMBER(M615)),L615-M615,"")</f>
        <v/>
      </c>
    </row>
    <row r="616">
      <c r="N616">
        <f>IF(AND(ISNUMBER(L616),ISNUMBER(M616)),L616-M616,"")</f>
        <v/>
      </c>
    </row>
    <row r="617">
      <c r="N617">
        <f>IF(AND(ISNUMBER(L617),ISNUMBER(M617)),L617-M617,"")</f>
        <v/>
      </c>
    </row>
    <row r="618">
      <c r="N618">
        <f>IF(AND(ISNUMBER(L618),ISNUMBER(M618)),L618-M618,"")</f>
        <v/>
      </c>
    </row>
    <row r="619">
      <c r="N619">
        <f>IF(AND(ISNUMBER(L619),ISNUMBER(M619)),L619-M619,"")</f>
        <v/>
      </c>
    </row>
    <row r="620">
      <c r="N620">
        <f>IF(AND(ISNUMBER(L620),ISNUMBER(M620)),L620-M620,"")</f>
        <v/>
      </c>
    </row>
    <row r="621">
      <c r="N621">
        <f>IF(AND(ISNUMBER(L621),ISNUMBER(M621)),L621-M621,"")</f>
        <v/>
      </c>
    </row>
    <row r="622">
      <c r="N622">
        <f>IF(AND(ISNUMBER(L622),ISNUMBER(M622)),L622-M622,"")</f>
        <v/>
      </c>
    </row>
    <row r="623">
      <c r="N623">
        <f>IF(AND(ISNUMBER(L623),ISNUMBER(M623)),L623-M623,"")</f>
        <v/>
      </c>
    </row>
    <row r="624">
      <c r="N624">
        <f>IF(AND(ISNUMBER(L624),ISNUMBER(M624)),L624-M624,"")</f>
        <v/>
      </c>
    </row>
    <row r="625">
      <c r="N625">
        <f>IF(AND(ISNUMBER(L625),ISNUMBER(M625)),L625-M625,"")</f>
        <v/>
      </c>
    </row>
    <row r="626">
      <c r="N626">
        <f>IF(AND(ISNUMBER(L626),ISNUMBER(M626)),L626-M626,"")</f>
        <v/>
      </c>
    </row>
    <row r="627">
      <c r="N627">
        <f>IF(AND(ISNUMBER(L627),ISNUMBER(M627)),L627-M627,"")</f>
        <v/>
      </c>
    </row>
    <row r="628">
      <c r="N628">
        <f>IF(AND(ISNUMBER(L628),ISNUMBER(M628)),L628-M628,"")</f>
        <v/>
      </c>
    </row>
    <row r="629">
      <c r="N629">
        <f>IF(AND(ISNUMBER(L629),ISNUMBER(M629)),L629-M629,"")</f>
        <v/>
      </c>
    </row>
    <row r="630">
      <c r="N630">
        <f>IF(AND(ISNUMBER(L630),ISNUMBER(M630)),L630-M630,"")</f>
        <v/>
      </c>
    </row>
    <row r="631">
      <c r="N631">
        <f>IF(AND(ISNUMBER(L631),ISNUMBER(M631)),L631-M631,"")</f>
        <v/>
      </c>
    </row>
    <row r="632">
      <c r="N632">
        <f>IF(AND(ISNUMBER(L632),ISNUMBER(M632)),L632-M632,"")</f>
        <v/>
      </c>
    </row>
    <row r="633">
      <c r="N633">
        <f>IF(AND(ISNUMBER(L633),ISNUMBER(M633)),L633-M633,"")</f>
        <v/>
      </c>
    </row>
    <row r="634">
      <c r="N634">
        <f>IF(AND(ISNUMBER(L634),ISNUMBER(M634)),L634-M634,"")</f>
        <v/>
      </c>
    </row>
    <row r="635">
      <c r="N635">
        <f>IF(AND(ISNUMBER(L635),ISNUMBER(M635)),L635-M635,"")</f>
        <v/>
      </c>
    </row>
    <row r="636">
      <c r="N636">
        <f>IF(AND(ISNUMBER(L636),ISNUMBER(M636)),L636-M636,"")</f>
        <v/>
      </c>
    </row>
    <row r="637">
      <c r="N637">
        <f>IF(AND(ISNUMBER(L637),ISNUMBER(M637)),L637-M637,"")</f>
        <v/>
      </c>
    </row>
    <row r="638">
      <c r="N638">
        <f>IF(AND(ISNUMBER(L638),ISNUMBER(M638)),L638-M638,"")</f>
        <v/>
      </c>
    </row>
    <row r="639">
      <c r="N639">
        <f>IF(AND(ISNUMBER(L639),ISNUMBER(M639)),L639-M639,"")</f>
        <v/>
      </c>
    </row>
    <row r="640">
      <c r="N640">
        <f>IF(AND(ISNUMBER(L640),ISNUMBER(M640)),L640-M640,"")</f>
        <v/>
      </c>
    </row>
    <row r="641">
      <c r="N641">
        <f>IF(AND(ISNUMBER(L641),ISNUMBER(M641)),L641-M641,"")</f>
        <v/>
      </c>
    </row>
    <row r="642">
      <c r="N642">
        <f>IF(AND(ISNUMBER(L642),ISNUMBER(M642)),L642-M642,"")</f>
        <v/>
      </c>
    </row>
    <row r="643">
      <c r="N643">
        <f>IF(AND(ISNUMBER(L643),ISNUMBER(M643)),L643-M643,"")</f>
        <v/>
      </c>
    </row>
    <row r="644">
      <c r="N644">
        <f>IF(AND(ISNUMBER(L644),ISNUMBER(M644)),L644-M644,"")</f>
        <v/>
      </c>
    </row>
    <row r="645">
      <c r="N645">
        <f>IF(AND(ISNUMBER(L645),ISNUMBER(M645)),L645-M645,"")</f>
        <v/>
      </c>
    </row>
    <row r="646">
      <c r="N646">
        <f>IF(AND(ISNUMBER(L646),ISNUMBER(M646)),L646-M646,"")</f>
        <v/>
      </c>
    </row>
    <row r="647">
      <c r="N647">
        <f>IF(AND(ISNUMBER(L647),ISNUMBER(M647)),L647-M647,"")</f>
        <v/>
      </c>
    </row>
    <row r="648">
      <c r="N648">
        <f>IF(AND(ISNUMBER(L648),ISNUMBER(M648)),L648-M648,"")</f>
        <v/>
      </c>
    </row>
    <row r="649">
      <c r="N649">
        <f>IF(AND(ISNUMBER(L649),ISNUMBER(M649)),L649-M649,"")</f>
        <v/>
      </c>
    </row>
    <row r="650">
      <c r="N650">
        <f>IF(AND(ISNUMBER(L650),ISNUMBER(M650)),L650-M650,"")</f>
        <v/>
      </c>
    </row>
    <row r="651">
      <c r="N651">
        <f>IF(AND(ISNUMBER(L651),ISNUMBER(M651)),L651-M651,"")</f>
        <v/>
      </c>
    </row>
    <row r="652">
      <c r="N652">
        <f>IF(AND(ISNUMBER(L652),ISNUMBER(M652)),L652-M652,"")</f>
        <v/>
      </c>
    </row>
    <row r="653">
      <c r="N653">
        <f>IF(AND(ISNUMBER(L653),ISNUMBER(M653)),L653-M653,"")</f>
        <v/>
      </c>
    </row>
    <row r="654">
      <c r="N654">
        <f>IF(AND(ISNUMBER(L654),ISNUMBER(M654)),L654-M654,"")</f>
        <v/>
      </c>
    </row>
    <row r="655">
      <c r="N655">
        <f>IF(AND(ISNUMBER(L655),ISNUMBER(M655)),L655-M655,"")</f>
        <v/>
      </c>
    </row>
    <row r="656">
      <c r="N656">
        <f>IF(AND(ISNUMBER(L656),ISNUMBER(M656)),L656-M656,"")</f>
        <v/>
      </c>
    </row>
    <row r="657">
      <c r="N657">
        <f>IF(AND(ISNUMBER(L657),ISNUMBER(M657)),L657-M657,"")</f>
        <v/>
      </c>
    </row>
    <row r="658">
      <c r="N658">
        <f>IF(AND(ISNUMBER(L658),ISNUMBER(M658)),L658-M658,"")</f>
        <v/>
      </c>
    </row>
    <row r="659">
      <c r="N659">
        <f>IF(AND(ISNUMBER(L659),ISNUMBER(M659)),L659-M659,"")</f>
        <v/>
      </c>
    </row>
    <row r="660">
      <c r="N660">
        <f>IF(AND(ISNUMBER(L660),ISNUMBER(M660)),L660-M660,"")</f>
        <v/>
      </c>
    </row>
    <row r="661">
      <c r="N661">
        <f>IF(AND(ISNUMBER(L661),ISNUMBER(M661)),L661-M661,"")</f>
        <v/>
      </c>
    </row>
    <row r="662">
      <c r="N662">
        <f>IF(AND(ISNUMBER(L662),ISNUMBER(M662)),L662-M662,"")</f>
        <v/>
      </c>
    </row>
    <row r="663">
      <c r="N663">
        <f>IF(AND(ISNUMBER(L663),ISNUMBER(M663)),L663-M663,"")</f>
        <v/>
      </c>
    </row>
    <row r="664">
      <c r="N664">
        <f>IF(AND(ISNUMBER(L664),ISNUMBER(M664)),L664-M664,"")</f>
        <v/>
      </c>
    </row>
    <row r="665">
      <c r="N665">
        <f>IF(AND(ISNUMBER(L665),ISNUMBER(M665)),L665-M665,"")</f>
        <v/>
      </c>
    </row>
    <row r="666">
      <c r="N666">
        <f>IF(AND(ISNUMBER(L666),ISNUMBER(M666)),L666-M666,"")</f>
        <v/>
      </c>
    </row>
    <row r="667">
      <c r="N667">
        <f>IF(AND(ISNUMBER(L667),ISNUMBER(M667)),L667-M667,"")</f>
        <v/>
      </c>
    </row>
    <row r="668">
      <c r="N668">
        <f>IF(AND(ISNUMBER(L668),ISNUMBER(M668)),L668-M668,"")</f>
        <v/>
      </c>
    </row>
    <row r="669">
      <c r="N669">
        <f>IF(AND(ISNUMBER(L669),ISNUMBER(M669)),L669-M669,"")</f>
        <v/>
      </c>
    </row>
    <row r="670">
      <c r="N670">
        <f>IF(AND(ISNUMBER(L670),ISNUMBER(M670)),L670-M670,"")</f>
        <v/>
      </c>
    </row>
    <row r="671">
      <c r="N671">
        <f>IF(AND(ISNUMBER(L671),ISNUMBER(M671)),L671-M671,"")</f>
        <v/>
      </c>
    </row>
    <row r="672">
      <c r="N672">
        <f>IF(AND(ISNUMBER(L672),ISNUMBER(M672)),L672-M672,"")</f>
        <v/>
      </c>
    </row>
    <row r="673">
      <c r="N673">
        <f>IF(AND(ISNUMBER(L673),ISNUMBER(M673)),L673-M673,"")</f>
        <v/>
      </c>
    </row>
    <row r="674">
      <c r="N674">
        <f>IF(AND(ISNUMBER(L674),ISNUMBER(M674)),L674-M674,"")</f>
        <v/>
      </c>
    </row>
    <row r="675">
      <c r="N675">
        <f>IF(AND(ISNUMBER(L675),ISNUMBER(M675)),L675-M675,"")</f>
        <v/>
      </c>
    </row>
    <row r="676">
      <c r="N676">
        <f>IF(AND(ISNUMBER(L676),ISNUMBER(M676)),L676-M676,"")</f>
        <v/>
      </c>
    </row>
    <row r="677">
      <c r="N677">
        <f>IF(AND(ISNUMBER(L677),ISNUMBER(M677)),L677-M677,"")</f>
        <v/>
      </c>
    </row>
    <row r="678">
      <c r="N678">
        <f>IF(AND(ISNUMBER(L678),ISNUMBER(M678)),L678-M678,"")</f>
        <v/>
      </c>
    </row>
    <row r="679">
      <c r="N679">
        <f>IF(AND(ISNUMBER(L679),ISNUMBER(M679)),L679-M679,"")</f>
        <v/>
      </c>
    </row>
    <row r="680">
      <c r="N680">
        <f>IF(AND(ISNUMBER(L680),ISNUMBER(M680)),L680-M680,"")</f>
        <v/>
      </c>
    </row>
    <row r="681">
      <c r="N681">
        <f>IF(AND(ISNUMBER(L681),ISNUMBER(M681)),L681-M681,"")</f>
        <v/>
      </c>
    </row>
    <row r="682">
      <c r="N682">
        <f>IF(AND(ISNUMBER(L682),ISNUMBER(M682)),L682-M682,"")</f>
        <v/>
      </c>
    </row>
    <row r="683">
      <c r="N683">
        <f>IF(AND(ISNUMBER(L683),ISNUMBER(M683)),L683-M683,"")</f>
        <v/>
      </c>
    </row>
    <row r="684">
      <c r="N684">
        <f>IF(AND(ISNUMBER(L684),ISNUMBER(M684)),L684-M684,"")</f>
        <v/>
      </c>
    </row>
    <row r="685">
      <c r="N685">
        <f>IF(AND(ISNUMBER(L685),ISNUMBER(M685)),L685-M685,"")</f>
        <v/>
      </c>
    </row>
    <row r="686">
      <c r="N686">
        <f>IF(AND(ISNUMBER(L686),ISNUMBER(M686)),L686-M686,"")</f>
        <v/>
      </c>
    </row>
    <row r="687">
      <c r="N687">
        <f>IF(AND(ISNUMBER(L687),ISNUMBER(M687)),L687-M687,"")</f>
        <v/>
      </c>
    </row>
    <row r="688">
      <c r="N688">
        <f>IF(AND(ISNUMBER(L688),ISNUMBER(M688)),L688-M688,"")</f>
        <v/>
      </c>
    </row>
    <row r="689">
      <c r="N689">
        <f>IF(AND(ISNUMBER(L689),ISNUMBER(M689)),L689-M689,"")</f>
        <v/>
      </c>
    </row>
    <row r="690">
      <c r="N690">
        <f>IF(AND(ISNUMBER(L690),ISNUMBER(M690)),L690-M690,"")</f>
        <v/>
      </c>
    </row>
    <row r="691">
      <c r="N691">
        <f>IF(AND(ISNUMBER(L691),ISNUMBER(M691)),L691-M691,"")</f>
        <v/>
      </c>
    </row>
    <row r="692">
      <c r="N692">
        <f>IF(AND(ISNUMBER(L692),ISNUMBER(M692)),L692-M692,"")</f>
        <v/>
      </c>
    </row>
    <row r="693">
      <c r="N693">
        <f>IF(AND(ISNUMBER(L693),ISNUMBER(M693)),L693-M693,"")</f>
        <v/>
      </c>
    </row>
    <row r="694">
      <c r="N694">
        <f>IF(AND(ISNUMBER(L694),ISNUMBER(M694)),L694-M694,"")</f>
        <v/>
      </c>
    </row>
    <row r="695">
      <c r="N695">
        <f>IF(AND(ISNUMBER(L695),ISNUMBER(M695)),L695-M695,"")</f>
        <v/>
      </c>
    </row>
    <row r="696">
      <c r="N696">
        <f>IF(AND(ISNUMBER(L696),ISNUMBER(M696)),L696-M696,"")</f>
        <v/>
      </c>
    </row>
    <row r="697">
      <c r="N697">
        <f>IF(AND(ISNUMBER(L697),ISNUMBER(M697)),L697-M697,"")</f>
        <v/>
      </c>
    </row>
    <row r="698">
      <c r="N698">
        <f>IF(AND(ISNUMBER(L698),ISNUMBER(M698)),L698-M698,"")</f>
        <v/>
      </c>
    </row>
    <row r="699">
      <c r="N699">
        <f>IF(AND(ISNUMBER(L699),ISNUMBER(M699)),L699-M699,"")</f>
        <v/>
      </c>
    </row>
    <row r="700">
      <c r="N700">
        <f>IF(AND(ISNUMBER(L700),ISNUMBER(M700)),L700-M700,"")</f>
        <v/>
      </c>
    </row>
    <row r="701">
      <c r="N701">
        <f>IF(AND(ISNUMBER(L701),ISNUMBER(M701)),L701-M701,"")</f>
        <v/>
      </c>
    </row>
    <row r="702">
      <c r="N702">
        <f>IF(AND(ISNUMBER(L702),ISNUMBER(M702)),L702-M702,"")</f>
        <v/>
      </c>
    </row>
    <row r="703">
      <c r="N703">
        <f>IF(AND(ISNUMBER(L703),ISNUMBER(M703)),L703-M703,"")</f>
        <v/>
      </c>
    </row>
    <row r="704">
      <c r="N704">
        <f>IF(AND(ISNUMBER(L704),ISNUMBER(M704)),L704-M704,"")</f>
        <v/>
      </c>
    </row>
    <row r="705">
      <c r="N705">
        <f>IF(AND(ISNUMBER(L705),ISNUMBER(M705)),L705-M705,"")</f>
        <v/>
      </c>
    </row>
    <row r="706">
      <c r="N706">
        <f>IF(AND(ISNUMBER(L706),ISNUMBER(M706)),L706-M706,"")</f>
        <v/>
      </c>
    </row>
    <row r="707">
      <c r="N707">
        <f>IF(AND(ISNUMBER(L707),ISNUMBER(M707)),L707-M707,"")</f>
        <v/>
      </c>
    </row>
    <row r="708">
      <c r="N708">
        <f>IF(AND(ISNUMBER(L708),ISNUMBER(M708)),L708-M708,"")</f>
        <v/>
      </c>
    </row>
    <row r="709">
      <c r="N709">
        <f>IF(AND(ISNUMBER(L709),ISNUMBER(M709)),L709-M709,"")</f>
        <v/>
      </c>
    </row>
    <row r="710">
      <c r="N710">
        <f>IF(AND(ISNUMBER(L710),ISNUMBER(M710)),L710-M710,"")</f>
        <v/>
      </c>
    </row>
    <row r="711">
      <c r="N711">
        <f>IF(AND(ISNUMBER(L711),ISNUMBER(M711)),L711-M711,"")</f>
        <v/>
      </c>
    </row>
    <row r="712">
      <c r="N712">
        <f>IF(AND(ISNUMBER(L712),ISNUMBER(M712)),L712-M712,"")</f>
        <v/>
      </c>
    </row>
    <row r="713">
      <c r="N713">
        <f>IF(AND(ISNUMBER(L713),ISNUMBER(M713)),L713-M713,"")</f>
        <v/>
      </c>
    </row>
    <row r="714">
      <c r="N714">
        <f>IF(AND(ISNUMBER(L714),ISNUMBER(M714)),L714-M714,"")</f>
        <v/>
      </c>
    </row>
    <row r="715">
      <c r="N715">
        <f>IF(AND(ISNUMBER(L715),ISNUMBER(M715)),L715-M715,"")</f>
        <v/>
      </c>
    </row>
    <row r="716">
      <c r="N716">
        <f>IF(AND(ISNUMBER(L716),ISNUMBER(M716)),L716-M716,"")</f>
        <v/>
      </c>
    </row>
    <row r="717">
      <c r="N717">
        <f>IF(AND(ISNUMBER(L717),ISNUMBER(M717)),L717-M717,"")</f>
        <v/>
      </c>
    </row>
    <row r="718">
      <c r="N718">
        <f>IF(AND(ISNUMBER(L718),ISNUMBER(M718)),L718-M718,"")</f>
        <v/>
      </c>
    </row>
    <row r="719">
      <c r="N719">
        <f>IF(AND(ISNUMBER(L719),ISNUMBER(M719)),L719-M719,"")</f>
        <v/>
      </c>
    </row>
    <row r="720">
      <c r="N720">
        <f>IF(AND(ISNUMBER(L720),ISNUMBER(M720)),L720-M720,"")</f>
        <v/>
      </c>
    </row>
    <row r="721">
      <c r="N721">
        <f>IF(AND(ISNUMBER(L721),ISNUMBER(M721)),L721-M721,"")</f>
        <v/>
      </c>
    </row>
    <row r="722">
      <c r="N722">
        <f>IF(AND(ISNUMBER(L722),ISNUMBER(M722)),L722-M722,"")</f>
        <v/>
      </c>
    </row>
    <row r="723">
      <c r="N723">
        <f>IF(AND(ISNUMBER(L723),ISNUMBER(M723)),L723-M723,"")</f>
        <v/>
      </c>
    </row>
    <row r="724">
      <c r="N724">
        <f>IF(AND(ISNUMBER(L724),ISNUMBER(M724)),L724-M724,"")</f>
        <v/>
      </c>
    </row>
    <row r="725">
      <c r="N725">
        <f>IF(AND(ISNUMBER(L725),ISNUMBER(M725)),L725-M725,"")</f>
        <v/>
      </c>
    </row>
    <row r="726">
      <c r="N726">
        <f>IF(AND(ISNUMBER(L726),ISNUMBER(M726)),L726-M726,"")</f>
        <v/>
      </c>
    </row>
    <row r="727">
      <c r="N727">
        <f>IF(AND(ISNUMBER(L727),ISNUMBER(M727)),L727-M727,"")</f>
        <v/>
      </c>
    </row>
    <row r="728">
      <c r="N728">
        <f>IF(AND(ISNUMBER(L728),ISNUMBER(M728)),L728-M728,"")</f>
        <v/>
      </c>
    </row>
    <row r="729">
      <c r="N729">
        <f>IF(AND(ISNUMBER(L729),ISNUMBER(M729)),L729-M729,"")</f>
        <v/>
      </c>
    </row>
    <row r="730">
      <c r="N730">
        <f>IF(AND(ISNUMBER(L730),ISNUMBER(M730)),L730-M730,"")</f>
        <v/>
      </c>
    </row>
    <row r="731">
      <c r="N731">
        <f>IF(AND(ISNUMBER(L731),ISNUMBER(M731)),L731-M731,"")</f>
        <v/>
      </c>
    </row>
    <row r="732">
      <c r="N732">
        <f>IF(AND(ISNUMBER(L732),ISNUMBER(M732)),L732-M732,"")</f>
        <v/>
      </c>
    </row>
    <row r="733">
      <c r="N733">
        <f>IF(AND(ISNUMBER(L733),ISNUMBER(M733)),L733-M733,"")</f>
        <v/>
      </c>
    </row>
    <row r="734">
      <c r="N734">
        <f>IF(AND(ISNUMBER(L734),ISNUMBER(M734)),L734-M734,"")</f>
        <v/>
      </c>
    </row>
    <row r="735">
      <c r="N735">
        <f>IF(AND(ISNUMBER(L735),ISNUMBER(M735)),L735-M735,"")</f>
        <v/>
      </c>
    </row>
    <row r="736">
      <c r="N736">
        <f>IF(AND(ISNUMBER(L736),ISNUMBER(M736)),L736-M736,"")</f>
        <v/>
      </c>
    </row>
    <row r="737">
      <c r="N737">
        <f>IF(AND(ISNUMBER(L737),ISNUMBER(M737)),L737-M737,"")</f>
        <v/>
      </c>
    </row>
    <row r="738">
      <c r="N738">
        <f>IF(AND(ISNUMBER(L738),ISNUMBER(M738)),L738-M738,"")</f>
        <v/>
      </c>
    </row>
    <row r="739">
      <c r="N739">
        <f>IF(AND(ISNUMBER(L739),ISNUMBER(M739)),L739-M739,"")</f>
        <v/>
      </c>
    </row>
    <row r="740">
      <c r="N740">
        <f>IF(AND(ISNUMBER(L740),ISNUMBER(M740)),L740-M740,"")</f>
        <v/>
      </c>
    </row>
    <row r="741">
      <c r="N741">
        <f>IF(AND(ISNUMBER(L741),ISNUMBER(M741)),L741-M741,"")</f>
        <v/>
      </c>
    </row>
    <row r="742">
      <c r="N742">
        <f>IF(AND(ISNUMBER(L742),ISNUMBER(M742)),L742-M742,"")</f>
        <v/>
      </c>
    </row>
    <row r="743">
      <c r="N743">
        <f>IF(AND(ISNUMBER(L743),ISNUMBER(M743)),L743-M743,"")</f>
        <v/>
      </c>
    </row>
    <row r="744">
      <c r="N744">
        <f>IF(AND(ISNUMBER(L744),ISNUMBER(M744)),L744-M744,"")</f>
        <v/>
      </c>
    </row>
    <row r="745">
      <c r="N745">
        <f>IF(AND(ISNUMBER(L745),ISNUMBER(M745)),L745-M745,"")</f>
        <v/>
      </c>
    </row>
    <row r="746">
      <c r="N746">
        <f>IF(AND(ISNUMBER(L746),ISNUMBER(M746)),L746-M746,"")</f>
        <v/>
      </c>
    </row>
    <row r="747">
      <c r="N747">
        <f>IF(AND(ISNUMBER(L747),ISNUMBER(M747)),L747-M747,"")</f>
        <v/>
      </c>
    </row>
    <row r="748">
      <c r="N748">
        <f>IF(AND(ISNUMBER(L748),ISNUMBER(M748)),L748-M748,"")</f>
        <v/>
      </c>
    </row>
    <row r="749">
      <c r="N749">
        <f>IF(AND(ISNUMBER(L749),ISNUMBER(M749)),L749-M749,"")</f>
        <v/>
      </c>
    </row>
    <row r="750">
      <c r="N750">
        <f>IF(AND(ISNUMBER(L750),ISNUMBER(M750)),L750-M750,"")</f>
        <v/>
      </c>
    </row>
    <row r="751">
      <c r="N751">
        <f>IF(AND(ISNUMBER(L751),ISNUMBER(M751)),L751-M751,"")</f>
        <v/>
      </c>
    </row>
    <row r="752">
      <c r="N752">
        <f>IF(AND(ISNUMBER(L752),ISNUMBER(M752)),L752-M752,"")</f>
        <v/>
      </c>
    </row>
    <row r="753">
      <c r="N753">
        <f>IF(AND(ISNUMBER(L753),ISNUMBER(M753)),L753-M753,"")</f>
        <v/>
      </c>
    </row>
    <row r="754">
      <c r="N754">
        <f>IF(AND(ISNUMBER(L754),ISNUMBER(M754)),L754-M754,"")</f>
        <v/>
      </c>
    </row>
    <row r="755">
      <c r="N755">
        <f>IF(AND(ISNUMBER(L755),ISNUMBER(M755)),L755-M755,"")</f>
        <v/>
      </c>
    </row>
    <row r="756">
      <c r="N756">
        <f>IF(AND(ISNUMBER(L756),ISNUMBER(M756)),L756-M756,"")</f>
        <v/>
      </c>
    </row>
    <row r="757">
      <c r="N757">
        <f>IF(AND(ISNUMBER(L757),ISNUMBER(M757)),L757-M757,"")</f>
        <v/>
      </c>
    </row>
    <row r="758">
      <c r="N758">
        <f>IF(AND(ISNUMBER(L758),ISNUMBER(M758)),L758-M758,"")</f>
        <v/>
      </c>
    </row>
    <row r="759">
      <c r="N759">
        <f>IF(AND(ISNUMBER(L759),ISNUMBER(M759)),L759-M759,"")</f>
        <v/>
      </c>
    </row>
    <row r="760">
      <c r="N760">
        <f>IF(AND(ISNUMBER(L760),ISNUMBER(M760)),L760-M760,"")</f>
        <v/>
      </c>
    </row>
    <row r="761">
      <c r="N761">
        <f>IF(AND(ISNUMBER(L761),ISNUMBER(M761)),L761-M761,"")</f>
        <v/>
      </c>
    </row>
    <row r="762">
      <c r="N762">
        <f>IF(AND(ISNUMBER(L762),ISNUMBER(M762)),L762-M762,"")</f>
        <v/>
      </c>
    </row>
    <row r="763">
      <c r="N763">
        <f>IF(AND(ISNUMBER(L763),ISNUMBER(M763)),L763-M763,"")</f>
        <v/>
      </c>
    </row>
    <row r="764">
      <c r="N764">
        <f>IF(AND(ISNUMBER(L764),ISNUMBER(M764)),L764-M764,"")</f>
        <v/>
      </c>
    </row>
    <row r="765">
      <c r="N765">
        <f>IF(AND(ISNUMBER(L765),ISNUMBER(M765)),L765-M765,"")</f>
        <v/>
      </c>
    </row>
    <row r="766">
      <c r="N766">
        <f>IF(AND(ISNUMBER(L766),ISNUMBER(M766)),L766-M766,"")</f>
        <v/>
      </c>
    </row>
    <row r="767">
      <c r="N767">
        <f>IF(AND(ISNUMBER(L767),ISNUMBER(M767)),L767-M767,"")</f>
        <v/>
      </c>
    </row>
    <row r="768">
      <c r="N768">
        <f>IF(AND(ISNUMBER(L768),ISNUMBER(M768)),L768-M768,"")</f>
        <v/>
      </c>
    </row>
    <row r="769">
      <c r="N769">
        <f>IF(AND(ISNUMBER(L769),ISNUMBER(M769)),L769-M769,"")</f>
        <v/>
      </c>
    </row>
    <row r="770">
      <c r="N770">
        <f>IF(AND(ISNUMBER(L770),ISNUMBER(M770)),L770-M770,"")</f>
        <v/>
      </c>
    </row>
    <row r="771">
      <c r="N771">
        <f>IF(AND(ISNUMBER(L771),ISNUMBER(M771)),L771-M771,"")</f>
        <v/>
      </c>
    </row>
    <row r="772">
      <c r="N772">
        <f>IF(AND(ISNUMBER(L772),ISNUMBER(M772)),L772-M772,"")</f>
        <v/>
      </c>
    </row>
    <row r="773">
      <c r="N773">
        <f>IF(AND(ISNUMBER(L773),ISNUMBER(M773)),L773-M773,"")</f>
        <v/>
      </c>
    </row>
    <row r="774">
      <c r="N774">
        <f>IF(AND(ISNUMBER(L774),ISNUMBER(M774)),L774-M774,"")</f>
        <v/>
      </c>
    </row>
    <row r="775">
      <c r="N775">
        <f>IF(AND(ISNUMBER(L775),ISNUMBER(M775)),L775-M775,"")</f>
        <v/>
      </c>
    </row>
    <row r="776">
      <c r="N776">
        <f>IF(AND(ISNUMBER(L776),ISNUMBER(M776)),L776-M776,"")</f>
        <v/>
      </c>
    </row>
    <row r="777">
      <c r="N777">
        <f>IF(AND(ISNUMBER(L777),ISNUMBER(M777)),L777-M777,"")</f>
        <v/>
      </c>
    </row>
    <row r="778">
      <c r="N778">
        <f>IF(AND(ISNUMBER(L778),ISNUMBER(M778)),L778-M778,"")</f>
        <v/>
      </c>
    </row>
    <row r="779">
      <c r="N779">
        <f>IF(AND(ISNUMBER(L779),ISNUMBER(M779)),L779-M779,"")</f>
        <v/>
      </c>
    </row>
    <row r="780">
      <c r="N780">
        <f>IF(AND(ISNUMBER(L780),ISNUMBER(M780)),L780-M780,"")</f>
        <v/>
      </c>
    </row>
    <row r="781">
      <c r="N781">
        <f>IF(AND(ISNUMBER(L781),ISNUMBER(M781)),L781-M781,"")</f>
        <v/>
      </c>
    </row>
    <row r="782">
      <c r="N782">
        <f>IF(AND(ISNUMBER(L782),ISNUMBER(M782)),L782-M782,"")</f>
        <v/>
      </c>
    </row>
    <row r="783">
      <c r="N783">
        <f>IF(AND(ISNUMBER(L783),ISNUMBER(M783)),L783-M783,"")</f>
        <v/>
      </c>
    </row>
    <row r="784">
      <c r="N784">
        <f>IF(AND(ISNUMBER(L784),ISNUMBER(M784)),L784-M784,"")</f>
        <v/>
      </c>
    </row>
    <row r="785">
      <c r="N785">
        <f>IF(AND(ISNUMBER(L785),ISNUMBER(M785)),L785-M785,"")</f>
        <v/>
      </c>
    </row>
    <row r="786">
      <c r="N786">
        <f>IF(AND(ISNUMBER(L786),ISNUMBER(M786)),L786-M786,"")</f>
        <v/>
      </c>
    </row>
    <row r="787">
      <c r="N787">
        <f>IF(AND(ISNUMBER(L787),ISNUMBER(M787)),L787-M787,"")</f>
        <v/>
      </c>
    </row>
    <row r="788">
      <c r="N788">
        <f>IF(AND(ISNUMBER(L788),ISNUMBER(M788)),L788-M788,"")</f>
        <v/>
      </c>
    </row>
    <row r="789">
      <c r="N789">
        <f>IF(AND(ISNUMBER(L789),ISNUMBER(M789)),L789-M789,"")</f>
        <v/>
      </c>
    </row>
    <row r="790">
      <c r="N790">
        <f>IF(AND(ISNUMBER(L790),ISNUMBER(M790)),L790-M790,"")</f>
        <v/>
      </c>
    </row>
    <row r="791">
      <c r="N791">
        <f>IF(AND(ISNUMBER(L791),ISNUMBER(M791)),L791-M791,"")</f>
        <v/>
      </c>
    </row>
    <row r="792">
      <c r="N792">
        <f>IF(AND(ISNUMBER(L792),ISNUMBER(M792)),L792-M792,"")</f>
        <v/>
      </c>
    </row>
    <row r="793">
      <c r="N793">
        <f>IF(AND(ISNUMBER(L793),ISNUMBER(M793)),L793-M793,"")</f>
        <v/>
      </c>
    </row>
    <row r="794">
      <c r="N794">
        <f>IF(AND(ISNUMBER(L794),ISNUMBER(M794)),L794-M794,"")</f>
        <v/>
      </c>
    </row>
    <row r="795">
      <c r="N795">
        <f>IF(AND(ISNUMBER(L795),ISNUMBER(M795)),L795-M795,"")</f>
        <v/>
      </c>
    </row>
    <row r="796">
      <c r="N796">
        <f>IF(AND(ISNUMBER(L796),ISNUMBER(M796)),L796-M796,"")</f>
        <v/>
      </c>
    </row>
    <row r="797">
      <c r="N797">
        <f>IF(AND(ISNUMBER(L797),ISNUMBER(M797)),L797-M797,"")</f>
        <v/>
      </c>
    </row>
    <row r="798">
      <c r="N798">
        <f>IF(AND(ISNUMBER(L798),ISNUMBER(M798)),L798-M798,"")</f>
        <v/>
      </c>
    </row>
    <row r="799">
      <c r="N799">
        <f>IF(AND(ISNUMBER(L799),ISNUMBER(M799)),L799-M799,"")</f>
        <v/>
      </c>
    </row>
    <row r="800">
      <c r="N800">
        <f>IF(AND(ISNUMBER(L800),ISNUMBER(M800)),L800-M800,"")</f>
        <v/>
      </c>
    </row>
    <row r="801">
      <c r="N801">
        <f>IF(AND(ISNUMBER(L801),ISNUMBER(M801)),L801-M801,"")</f>
        <v/>
      </c>
    </row>
    <row r="802">
      <c r="N802">
        <f>IF(AND(ISNUMBER(L802),ISNUMBER(M802)),L802-M802,"")</f>
        <v/>
      </c>
    </row>
    <row r="803">
      <c r="N803">
        <f>IF(AND(ISNUMBER(L803),ISNUMBER(M803)),L803-M803,"")</f>
        <v/>
      </c>
    </row>
    <row r="804">
      <c r="N804">
        <f>IF(AND(ISNUMBER(L804),ISNUMBER(M804)),L804-M804,"")</f>
        <v/>
      </c>
    </row>
    <row r="805">
      <c r="N805">
        <f>IF(AND(ISNUMBER(L805),ISNUMBER(M805)),L805-M805,"")</f>
        <v/>
      </c>
    </row>
    <row r="806">
      <c r="N806">
        <f>IF(AND(ISNUMBER(L806),ISNUMBER(M806)),L806-M806,"")</f>
        <v/>
      </c>
    </row>
    <row r="807">
      <c r="N807">
        <f>IF(AND(ISNUMBER(L807),ISNUMBER(M807)),L807-M807,"")</f>
        <v/>
      </c>
    </row>
    <row r="808">
      <c r="N808">
        <f>IF(AND(ISNUMBER(L808),ISNUMBER(M808)),L808-M808,"")</f>
        <v/>
      </c>
    </row>
    <row r="809">
      <c r="N809">
        <f>IF(AND(ISNUMBER(L809),ISNUMBER(M809)),L809-M809,"")</f>
        <v/>
      </c>
    </row>
    <row r="810">
      <c r="N810">
        <f>IF(AND(ISNUMBER(L810),ISNUMBER(M810)),L810-M810,"")</f>
        <v/>
      </c>
    </row>
    <row r="811">
      <c r="N811">
        <f>IF(AND(ISNUMBER(L811),ISNUMBER(M811)),L811-M811,"")</f>
        <v/>
      </c>
    </row>
    <row r="812">
      <c r="N812">
        <f>IF(AND(ISNUMBER(L812),ISNUMBER(M812)),L812-M812,"")</f>
        <v/>
      </c>
    </row>
    <row r="813">
      <c r="N813">
        <f>IF(AND(ISNUMBER(L813),ISNUMBER(M813)),L813-M813,"")</f>
        <v/>
      </c>
    </row>
    <row r="814">
      <c r="N814">
        <f>IF(AND(ISNUMBER(L814),ISNUMBER(M814)),L814-M814,"")</f>
        <v/>
      </c>
    </row>
    <row r="815">
      <c r="N815">
        <f>IF(AND(ISNUMBER(L815),ISNUMBER(M815)),L815-M815,"")</f>
        <v/>
      </c>
    </row>
    <row r="816">
      <c r="N816">
        <f>IF(AND(ISNUMBER(L816),ISNUMBER(M816)),L816-M816,"")</f>
        <v/>
      </c>
    </row>
    <row r="817">
      <c r="N817">
        <f>IF(AND(ISNUMBER(L817),ISNUMBER(M817)),L817-M817,"")</f>
        <v/>
      </c>
    </row>
    <row r="818">
      <c r="N818">
        <f>IF(AND(ISNUMBER(L818),ISNUMBER(M818)),L818-M818,"")</f>
        <v/>
      </c>
    </row>
    <row r="819">
      <c r="N819">
        <f>IF(AND(ISNUMBER(L819),ISNUMBER(M819)),L819-M819,"")</f>
        <v/>
      </c>
    </row>
    <row r="820">
      <c r="N820">
        <f>IF(AND(ISNUMBER(L820),ISNUMBER(M820)),L820-M820,"")</f>
        <v/>
      </c>
    </row>
    <row r="821">
      <c r="N821">
        <f>IF(AND(ISNUMBER(L821),ISNUMBER(M821)),L821-M821,"")</f>
        <v/>
      </c>
    </row>
    <row r="822">
      <c r="N822">
        <f>IF(AND(ISNUMBER(L822),ISNUMBER(M822)),L822-M822,"")</f>
        <v/>
      </c>
    </row>
    <row r="823">
      <c r="N823">
        <f>IF(AND(ISNUMBER(L823),ISNUMBER(M823)),L823-M823,"")</f>
        <v/>
      </c>
    </row>
    <row r="824">
      <c r="N824">
        <f>IF(AND(ISNUMBER(L824),ISNUMBER(M824)),L824-M824,"")</f>
        <v/>
      </c>
    </row>
    <row r="825">
      <c r="N825">
        <f>IF(AND(ISNUMBER(L825),ISNUMBER(M825)),L825-M825,"")</f>
        <v/>
      </c>
    </row>
    <row r="826">
      <c r="N826">
        <f>IF(AND(ISNUMBER(L826),ISNUMBER(M826)),L826-M826,"")</f>
        <v/>
      </c>
    </row>
    <row r="827">
      <c r="N827">
        <f>IF(AND(ISNUMBER(L827),ISNUMBER(M827)),L827-M827,"")</f>
        <v/>
      </c>
    </row>
    <row r="828">
      <c r="N828">
        <f>IF(AND(ISNUMBER(L828),ISNUMBER(M828)),L828-M828,"")</f>
        <v/>
      </c>
    </row>
    <row r="829">
      <c r="N829">
        <f>IF(AND(ISNUMBER(L829),ISNUMBER(M829)),L829-M829,"")</f>
        <v/>
      </c>
    </row>
    <row r="830">
      <c r="N830">
        <f>IF(AND(ISNUMBER(L830),ISNUMBER(M830)),L830-M830,"")</f>
        <v/>
      </c>
    </row>
    <row r="831">
      <c r="N831">
        <f>IF(AND(ISNUMBER(L831),ISNUMBER(M831)),L831-M831,"")</f>
        <v/>
      </c>
    </row>
    <row r="832">
      <c r="N832">
        <f>IF(AND(ISNUMBER(L832),ISNUMBER(M832)),L832-M832,"")</f>
        <v/>
      </c>
    </row>
    <row r="833">
      <c r="N833">
        <f>IF(AND(ISNUMBER(L833),ISNUMBER(M833)),L833-M833,"")</f>
        <v/>
      </c>
    </row>
    <row r="834">
      <c r="N834">
        <f>IF(AND(ISNUMBER(L834),ISNUMBER(M834)),L834-M834,"")</f>
        <v/>
      </c>
    </row>
    <row r="835">
      <c r="N835">
        <f>IF(AND(ISNUMBER(L835),ISNUMBER(M835)),L835-M835,"")</f>
        <v/>
      </c>
    </row>
    <row r="836">
      <c r="N836">
        <f>IF(AND(ISNUMBER(L836),ISNUMBER(M836)),L836-M836,"")</f>
        <v/>
      </c>
    </row>
    <row r="837">
      <c r="N837">
        <f>IF(AND(ISNUMBER(L837),ISNUMBER(M837)),L837-M837,"")</f>
        <v/>
      </c>
    </row>
    <row r="838">
      <c r="N838">
        <f>IF(AND(ISNUMBER(L838),ISNUMBER(M838)),L838-M838,"")</f>
        <v/>
      </c>
    </row>
    <row r="839">
      <c r="N839">
        <f>IF(AND(ISNUMBER(L839),ISNUMBER(M839)),L839-M839,"")</f>
        <v/>
      </c>
    </row>
    <row r="840">
      <c r="N840">
        <f>IF(AND(ISNUMBER(L840),ISNUMBER(M840)),L840-M840,"")</f>
        <v/>
      </c>
    </row>
    <row r="841">
      <c r="N841">
        <f>IF(AND(ISNUMBER(L841),ISNUMBER(M841)),L841-M841,"")</f>
        <v/>
      </c>
    </row>
    <row r="842">
      <c r="N842">
        <f>IF(AND(ISNUMBER(L842),ISNUMBER(M842)),L842-M842,"")</f>
        <v/>
      </c>
    </row>
    <row r="843">
      <c r="N843">
        <f>IF(AND(ISNUMBER(L843),ISNUMBER(M843)),L843-M843,"")</f>
        <v/>
      </c>
    </row>
    <row r="844">
      <c r="N844">
        <f>IF(AND(ISNUMBER(L844),ISNUMBER(M844)),L844-M844,"")</f>
        <v/>
      </c>
    </row>
    <row r="845">
      <c r="N845">
        <f>IF(AND(ISNUMBER(L845),ISNUMBER(M845)),L845-M845,"")</f>
        <v/>
      </c>
    </row>
    <row r="846">
      <c r="N846">
        <f>IF(AND(ISNUMBER(L846),ISNUMBER(M846)),L846-M846,"")</f>
        <v/>
      </c>
    </row>
    <row r="847">
      <c r="N847">
        <f>IF(AND(ISNUMBER(L847),ISNUMBER(M847)),L847-M847,"")</f>
        <v/>
      </c>
    </row>
    <row r="848">
      <c r="N848">
        <f>IF(AND(ISNUMBER(L848),ISNUMBER(M848)),L848-M848,"")</f>
        <v/>
      </c>
    </row>
    <row r="849">
      <c r="N849">
        <f>IF(AND(ISNUMBER(L849),ISNUMBER(M849)),L849-M849,"")</f>
        <v/>
      </c>
    </row>
    <row r="850">
      <c r="N850">
        <f>IF(AND(ISNUMBER(L850),ISNUMBER(M850)),L850-M850,"")</f>
        <v/>
      </c>
    </row>
    <row r="851">
      <c r="N851">
        <f>IF(AND(ISNUMBER(L851),ISNUMBER(M851)),L851-M851,"")</f>
        <v/>
      </c>
    </row>
    <row r="852">
      <c r="N852">
        <f>IF(AND(ISNUMBER(L852),ISNUMBER(M852)),L852-M852,"")</f>
        <v/>
      </c>
    </row>
    <row r="853">
      <c r="N853">
        <f>IF(AND(ISNUMBER(L853),ISNUMBER(M853)),L853-M853,"")</f>
        <v/>
      </c>
    </row>
    <row r="854">
      <c r="N854">
        <f>IF(AND(ISNUMBER(L854),ISNUMBER(M854)),L854-M854,"")</f>
        <v/>
      </c>
    </row>
    <row r="855">
      <c r="N855">
        <f>IF(AND(ISNUMBER(L855),ISNUMBER(M855)),L855-M855,"")</f>
        <v/>
      </c>
    </row>
    <row r="856">
      <c r="N856">
        <f>IF(AND(ISNUMBER(L856),ISNUMBER(M856)),L856-M856,"")</f>
        <v/>
      </c>
    </row>
    <row r="857">
      <c r="N857">
        <f>IF(AND(ISNUMBER(L857),ISNUMBER(M857)),L857-M857,"")</f>
        <v/>
      </c>
    </row>
    <row r="858">
      <c r="N858">
        <f>IF(AND(ISNUMBER(L858),ISNUMBER(M858)),L858-M858,"")</f>
        <v/>
      </c>
    </row>
    <row r="859">
      <c r="N859">
        <f>IF(AND(ISNUMBER(L859),ISNUMBER(M859)),L859-M859,"")</f>
        <v/>
      </c>
    </row>
    <row r="860">
      <c r="N860">
        <f>IF(AND(ISNUMBER(L860),ISNUMBER(M860)),L860-M860,"")</f>
        <v/>
      </c>
    </row>
    <row r="861">
      <c r="N861">
        <f>IF(AND(ISNUMBER(L861),ISNUMBER(M861)),L861-M861,"")</f>
        <v/>
      </c>
    </row>
    <row r="862">
      <c r="N862">
        <f>IF(AND(ISNUMBER(L862),ISNUMBER(M862)),L862-M862,"")</f>
        <v/>
      </c>
    </row>
    <row r="863">
      <c r="N863">
        <f>IF(AND(ISNUMBER(L863),ISNUMBER(M863)),L863-M863,"")</f>
        <v/>
      </c>
    </row>
    <row r="864">
      <c r="N864">
        <f>IF(AND(ISNUMBER(L864),ISNUMBER(M864)),L864-M864,"")</f>
        <v/>
      </c>
    </row>
    <row r="865">
      <c r="N865">
        <f>IF(AND(ISNUMBER(L865),ISNUMBER(M865)),L865-M865,"")</f>
        <v/>
      </c>
    </row>
    <row r="866">
      <c r="N866">
        <f>IF(AND(ISNUMBER(L866),ISNUMBER(M866)),L866-M866,"")</f>
        <v/>
      </c>
    </row>
    <row r="867">
      <c r="N867">
        <f>IF(AND(ISNUMBER(L867),ISNUMBER(M867)),L867-M867,"")</f>
        <v/>
      </c>
    </row>
    <row r="868">
      <c r="N868">
        <f>IF(AND(ISNUMBER(L868),ISNUMBER(M868)),L868-M868,"")</f>
        <v/>
      </c>
    </row>
    <row r="869">
      <c r="N869">
        <f>IF(AND(ISNUMBER(L869),ISNUMBER(M869)),L869-M869,"")</f>
        <v/>
      </c>
    </row>
    <row r="870">
      <c r="N870">
        <f>IF(AND(ISNUMBER(L870),ISNUMBER(M870)),L870-M870,"")</f>
        <v/>
      </c>
    </row>
    <row r="871">
      <c r="N871">
        <f>IF(AND(ISNUMBER(L871),ISNUMBER(M871)),L871-M871,"")</f>
        <v/>
      </c>
    </row>
    <row r="872">
      <c r="N872">
        <f>IF(AND(ISNUMBER(L872),ISNUMBER(M872)),L872-M872,"")</f>
        <v/>
      </c>
    </row>
    <row r="873">
      <c r="N873">
        <f>IF(AND(ISNUMBER(L873),ISNUMBER(M873)),L873-M873,"")</f>
        <v/>
      </c>
    </row>
    <row r="874">
      <c r="N874">
        <f>IF(AND(ISNUMBER(L874),ISNUMBER(M874)),L874-M874,"")</f>
        <v/>
      </c>
    </row>
    <row r="875">
      <c r="N875">
        <f>IF(AND(ISNUMBER(L875),ISNUMBER(M875)),L875-M875,"")</f>
        <v/>
      </c>
    </row>
    <row r="876">
      <c r="N876">
        <f>IF(AND(ISNUMBER(L876),ISNUMBER(M876)),L876-M876,"")</f>
        <v/>
      </c>
    </row>
    <row r="877">
      <c r="N877">
        <f>IF(AND(ISNUMBER(L877),ISNUMBER(M877)),L877-M877,"")</f>
        <v/>
      </c>
    </row>
    <row r="878">
      <c r="N878">
        <f>IF(AND(ISNUMBER(L878),ISNUMBER(M878)),L878-M878,"")</f>
        <v/>
      </c>
    </row>
    <row r="879">
      <c r="N879">
        <f>IF(AND(ISNUMBER(L879),ISNUMBER(M879)),L879-M879,"")</f>
        <v/>
      </c>
    </row>
    <row r="880">
      <c r="N880">
        <f>IF(AND(ISNUMBER(L880),ISNUMBER(M880)),L880-M880,"")</f>
        <v/>
      </c>
    </row>
    <row r="881">
      <c r="N881">
        <f>IF(AND(ISNUMBER(L881),ISNUMBER(M881)),L881-M881,"")</f>
        <v/>
      </c>
    </row>
    <row r="882">
      <c r="N882">
        <f>IF(AND(ISNUMBER(L882),ISNUMBER(M882)),L882-M882,"")</f>
        <v/>
      </c>
    </row>
    <row r="883">
      <c r="N883">
        <f>IF(AND(ISNUMBER(L883),ISNUMBER(M883)),L883-M883,"")</f>
        <v/>
      </c>
    </row>
    <row r="884">
      <c r="N884">
        <f>IF(AND(ISNUMBER(L884),ISNUMBER(M884)),L884-M884,"")</f>
        <v/>
      </c>
    </row>
    <row r="885">
      <c r="N885">
        <f>IF(AND(ISNUMBER(L885),ISNUMBER(M885)),L885-M885,"")</f>
        <v/>
      </c>
    </row>
    <row r="886">
      <c r="N886">
        <f>IF(AND(ISNUMBER(L886),ISNUMBER(M886)),L886-M886,"")</f>
        <v/>
      </c>
    </row>
    <row r="887">
      <c r="N887">
        <f>IF(AND(ISNUMBER(L887),ISNUMBER(M887)),L887-M887,"")</f>
        <v/>
      </c>
    </row>
    <row r="888">
      <c r="N888">
        <f>IF(AND(ISNUMBER(L888),ISNUMBER(M888)),L888-M888,"")</f>
        <v/>
      </c>
    </row>
    <row r="889">
      <c r="N889">
        <f>IF(AND(ISNUMBER(L889),ISNUMBER(M889)),L889-M889,"")</f>
        <v/>
      </c>
    </row>
    <row r="890">
      <c r="N890">
        <f>IF(AND(ISNUMBER(L890),ISNUMBER(M890)),L890-M890,"")</f>
        <v/>
      </c>
    </row>
    <row r="891">
      <c r="N891">
        <f>IF(AND(ISNUMBER(L891),ISNUMBER(M891)),L891-M891,"")</f>
        <v/>
      </c>
    </row>
    <row r="892">
      <c r="N892">
        <f>IF(AND(ISNUMBER(L892),ISNUMBER(M892)),L892-M892,"")</f>
        <v/>
      </c>
    </row>
    <row r="893">
      <c r="N893">
        <f>IF(AND(ISNUMBER(L893),ISNUMBER(M893)),L893-M893,"")</f>
        <v/>
      </c>
    </row>
    <row r="894">
      <c r="N894">
        <f>IF(AND(ISNUMBER(L894),ISNUMBER(M894)),L894-M894,"")</f>
        <v/>
      </c>
    </row>
    <row r="895">
      <c r="N895">
        <f>IF(AND(ISNUMBER(L895),ISNUMBER(M895)),L895-M895,"")</f>
        <v/>
      </c>
    </row>
    <row r="896">
      <c r="N896">
        <f>IF(AND(ISNUMBER(L896),ISNUMBER(M896)),L896-M896,"")</f>
        <v/>
      </c>
    </row>
    <row r="897">
      <c r="N897">
        <f>IF(AND(ISNUMBER(L897),ISNUMBER(M897)),L897-M897,"")</f>
        <v/>
      </c>
    </row>
    <row r="898">
      <c r="N898">
        <f>IF(AND(ISNUMBER(L898),ISNUMBER(M898)),L898-M898,"")</f>
        <v/>
      </c>
    </row>
    <row r="899">
      <c r="N899">
        <f>IF(AND(ISNUMBER(L899),ISNUMBER(M899)),L899-M899,"")</f>
        <v/>
      </c>
    </row>
    <row r="900">
      <c r="N900">
        <f>IF(AND(ISNUMBER(L900),ISNUMBER(M900)),L900-M900,"")</f>
        <v/>
      </c>
    </row>
    <row r="901">
      <c r="N901">
        <f>IF(AND(ISNUMBER(L901),ISNUMBER(M901)),L901-M901,"")</f>
        <v/>
      </c>
    </row>
    <row r="902">
      <c r="N902">
        <f>IF(AND(ISNUMBER(L902),ISNUMBER(M902)),L902-M902,"")</f>
        <v/>
      </c>
    </row>
    <row r="903">
      <c r="N903">
        <f>IF(AND(ISNUMBER(L903),ISNUMBER(M903)),L903-M903,"")</f>
        <v/>
      </c>
    </row>
    <row r="904">
      <c r="N904">
        <f>IF(AND(ISNUMBER(L904),ISNUMBER(M904)),L904-M904,"")</f>
        <v/>
      </c>
    </row>
    <row r="905">
      <c r="N905">
        <f>IF(AND(ISNUMBER(L905),ISNUMBER(M905)),L905-M905,"")</f>
        <v/>
      </c>
    </row>
    <row r="906">
      <c r="N906">
        <f>IF(AND(ISNUMBER(L906),ISNUMBER(M906)),L906-M906,"")</f>
        <v/>
      </c>
    </row>
    <row r="907">
      <c r="N907">
        <f>IF(AND(ISNUMBER(L907),ISNUMBER(M907)),L907-M907,"")</f>
        <v/>
      </c>
    </row>
    <row r="908">
      <c r="N908">
        <f>IF(AND(ISNUMBER(L908),ISNUMBER(M908)),L908-M908,"")</f>
        <v/>
      </c>
    </row>
    <row r="909">
      <c r="N909">
        <f>IF(AND(ISNUMBER(L909),ISNUMBER(M909)),L909-M909,"")</f>
        <v/>
      </c>
    </row>
    <row r="910">
      <c r="N910">
        <f>IF(AND(ISNUMBER(L910),ISNUMBER(M910)),L910-M910,"")</f>
        <v/>
      </c>
    </row>
    <row r="911">
      <c r="N911">
        <f>IF(AND(ISNUMBER(L911),ISNUMBER(M911)),L911-M911,"")</f>
        <v/>
      </c>
    </row>
    <row r="912">
      <c r="N912">
        <f>IF(AND(ISNUMBER(L912),ISNUMBER(M912)),L912-M912,"")</f>
        <v/>
      </c>
    </row>
    <row r="913">
      <c r="N913">
        <f>IF(AND(ISNUMBER(L913),ISNUMBER(M913)),L913-M913,"")</f>
        <v/>
      </c>
    </row>
    <row r="914">
      <c r="N914">
        <f>IF(AND(ISNUMBER(L914),ISNUMBER(M914)),L914-M914,"")</f>
        <v/>
      </c>
    </row>
    <row r="915">
      <c r="N915">
        <f>IF(AND(ISNUMBER(L915),ISNUMBER(M915)),L915-M915,"")</f>
        <v/>
      </c>
    </row>
    <row r="916">
      <c r="N916">
        <f>IF(AND(ISNUMBER(L916),ISNUMBER(M916)),L916-M916,"")</f>
        <v/>
      </c>
    </row>
    <row r="917">
      <c r="N917">
        <f>IF(AND(ISNUMBER(L917),ISNUMBER(M917)),L917-M917,"")</f>
        <v/>
      </c>
    </row>
    <row r="918">
      <c r="N918">
        <f>IF(AND(ISNUMBER(L918),ISNUMBER(M918)),L918-M918,"")</f>
        <v/>
      </c>
    </row>
    <row r="919">
      <c r="N919">
        <f>IF(AND(ISNUMBER(L919),ISNUMBER(M919)),L919-M919,"")</f>
        <v/>
      </c>
    </row>
    <row r="920">
      <c r="N920">
        <f>IF(AND(ISNUMBER(L920),ISNUMBER(M920)),L920-M920,"")</f>
        <v/>
      </c>
    </row>
    <row r="921">
      <c r="N921">
        <f>IF(AND(ISNUMBER(L921),ISNUMBER(M921)),L921-M921,"")</f>
        <v/>
      </c>
    </row>
    <row r="922">
      <c r="N922">
        <f>IF(AND(ISNUMBER(L922),ISNUMBER(M922)),L922-M922,"")</f>
        <v/>
      </c>
    </row>
    <row r="923">
      <c r="N923">
        <f>IF(AND(ISNUMBER(L923),ISNUMBER(M923)),L923-M923,"")</f>
        <v/>
      </c>
    </row>
    <row r="924">
      <c r="N924">
        <f>IF(AND(ISNUMBER(L924),ISNUMBER(M924)),L924-M924,"")</f>
        <v/>
      </c>
    </row>
    <row r="925">
      <c r="N925">
        <f>IF(AND(ISNUMBER(L925),ISNUMBER(M925)),L925-M925,"")</f>
        <v/>
      </c>
    </row>
    <row r="926">
      <c r="N926">
        <f>IF(AND(ISNUMBER(L926),ISNUMBER(M926)),L926-M926,"")</f>
        <v/>
      </c>
    </row>
    <row r="927">
      <c r="N927">
        <f>IF(AND(ISNUMBER(L927),ISNUMBER(M927)),L927-M927,"")</f>
        <v/>
      </c>
    </row>
    <row r="928">
      <c r="N928">
        <f>IF(AND(ISNUMBER(L928),ISNUMBER(M928)),L928-M928,"")</f>
        <v/>
      </c>
    </row>
    <row r="929">
      <c r="N929">
        <f>IF(AND(ISNUMBER(L929),ISNUMBER(M929)),L929-M929,"")</f>
        <v/>
      </c>
    </row>
    <row r="930">
      <c r="N930">
        <f>IF(AND(ISNUMBER(L930),ISNUMBER(M930)),L930-M930,"")</f>
        <v/>
      </c>
    </row>
    <row r="931">
      <c r="N931">
        <f>IF(AND(ISNUMBER(L931),ISNUMBER(M931)),L931-M931,"")</f>
        <v/>
      </c>
    </row>
    <row r="932">
      <c r="N932">
        <f>IF(AND(ISNUMBER(L932),ISNUMBER(M932)),L932-M932,"")</f>
        <v/>
      </c>
    </row>
    <row r="933">
      <c r="N933">
        <f>IF(AND(ISNUMBER(L933),ISNUMBER(M933)),L933-M933,"")</f>
        <v/>
      </c>
    </row>
    <row r="934">
      <c r="N934">
        <f>IF(AND(ISNUMBER(L934),ISNUMBER(M934)),L934-M934,"")</f>
        <v/>
      </c>
    </row>
    <row r="935">
      <c r="N935">
        <f>IF(AND(ISNUMBER(L935),ISNUMBER(M935)),L935-M935,"")</f>
        <v/>
      </c>
    </row>
    <row r="936">
      <c r="N936">
        <f>IF(AND(ISNUMBER(L936),ISNUMBER(M936)),L936-M936,"")</f>
        <v/>
      </c>
    </row>
    <row r="937">
      <c r="N937">
        <f>IF(AND(ISNUMBER(L937),ISNUMBER(M937)),L937-M937,"")</f>
        <v/>
      </c>
    </row>
    <row r="938">
      <c r="N938">
        <f>IF(AND(ISNUMBER(L938),ISNUMBER(M938)),L938-M938,"")</f>
        <v/>
      </c>
    </row>
    <row r="939">
      <c r="N939">
        <f>IF(AND(ISNUMBER(L939),ISNUMBER(M939)),L939-M939,"")</f>
        <v/>
      </c>
    </row>
    <row r="940">
      <c r="N940">
        <f>IF(AND(ISNUMBER(L940),ISNUMBER(M940)),L940-M940,"")</f>
        <v/>
      </c>
    </row>
    <row r="941">
      <c r="N941">
        <f>IF(AND(ISNUMBER(L941),ISNUMBER(M941)),L941-M941,"")</f>
        <v/>
      </c>
    </row>
    <row r="942">
      <c r="N942">
        <f>IF(AND(ISNUMBER(L942),ISNUMBER(M942)),L942-M942,"")</f>
        <v/>
      </c>
    </row>
    <row r="943">
      <c r="N943">
        <f>IF(AND(ISNUMBER(L943),ISNUMBER(M943)),L943-M943,"")</f>
        <v/>
      </c>
    </row>
    <row r="944">
      <c r="N944">
        <f>IF(AND(ISNUMBER(L944),ISNUMBER(M944)),L944-M944,"")</f>
        <v/>
      </c>
    </row>
    <row r="945">
      <c r="N945">
        <f>IF(AND(ISNUMBER(L945),ISNUMBER(M945)),L945-M945,"")</f>
        <v/>
      </c>
    </row>
    <row r="946">
      <c r="N946">
        <f>IF(AND(ISNUMBER(L946),ISNUMBER(M946)),L946-M946,"")</f>
        <v/>
      </c>
    </row>
    <row r="947">
      <c r="N947">
        <f>IF(AND(ISNUMBER(L947),ISNUMBER(M947)),L947-M947,"")</f>
        <v/>
      </c>
    </row>
    <row r="948">
      <c r="N948">
        <f>IF(AND(ISNUMBER(L948),ISNUMBER(M948)),L948-M948,"")</f>
        <v/>
      </c>
    </row>
    <row r="949">
      <c r="N949">
        <f>IF(AND(ISNUMBER(L949),ISNUMBER(M949)),L949-M949,"")</f>
        <v/>
      </c>
    </row>
    <row r="950">
      <c r="N950">
        <f>IF(AND(ISNUMBER(L950),ISNUMBER(M950)),L950-M950,"")</f>
        <v/>
      </c>
    </row>
    <row r="951">
      <c r="N951">
        <f>IF(AND(ISNUMBER(L951),ISNUMBER(M951)),L951-M951,"")</f>
        <v/>
      </c>
    </row>
    <row r="952">
      <c r="N952">
        <f>IF(AND(ISNUMBER(L952),ISNUMBER(M952)),L952-M952,"")</f>
        <v/>
      </c>
    </row>
    <row r="953">
      <c r="N953">
        <f>IF(AND(ISNUMBER(L953),ISNUMBER(M953)),L953-M953,"")</f>
        <v/>
      </c>
    </row>
    <row r="954">
      <c r="N954">
        <f>IF(AND(ISNUMBER(L954),ISNUMBER(M954)),L954-M954,"")</f>
        <v/>
      </c>
    </row>
    <row r="955">
      <c r="N955">
        <f>IF(AND(ISNUMBER(L955),ISNUMBER(M955)),L955-M955,"")</f>
        <v/>
      </c>
    </row>
    <row r="956">
      <c r="N956">
        <f>IF(AND(ISNUMBER(L956),ISNUMBER(M956)),L956-M956,"")</f>
        <v/>
      </c>
    </row>
    <row r="957">
      <c r="N957">
        <f>IF(AND(ISNUMBER(L957),ISNUMBER(M957)),L957-M957,"")</f>
        <v/>
      </c>
    </row>
    <row r="958">
      <c r="N958">
        <f>IF(AND(ISNUMBER(L958),ISNUMBER(M958)),L958-M958,"")</f>
        <v/>
      </c>
    </row>
    <row r="959">
      <c r="N959">
        <f>IF(AND(ISNUMBER(L959),ISNUMBER(M959)),L959-M959,"")</f>
        <v/>
      </c>
    </row>
    <row r="960">
      <c r="N960">
        <f>IF(AND(ISNUMBER(L960),ISNUMBER(M960)),L960-M960,"")</f>
        <v/>
      </c>
    </row>
    <row r="961">
      <c r="N961">
        <f>IF(AND(ISNUMBER(L961),ISNUMBER(M961)),L961-M961,"")</f>
        <v/>
      </c>
    </row>
    <row r="962">
      <c r="N962">
        <f>IF(AND(ISNUMBER(L962),ISNUMBER(M962)),L962-M962,"")</f>
        <v/>
      </c>
    </row>
    <row r="963">
      <c r="N963">
        <f>IF(AND(ISNUMBER(L963),ISNUMBER(M963)),L963-M963,"")</f>
        <v/>
      </c>
    </row>
    <row r="964">
      <c r="N964">
        <f>IF(AND(ISNUMBER(L964),ISNUMBER(M964)),L964-M964,"")</f>
        <v/>
      </c>
    </row>
    <row r="965">
      <c r="N965">
        <f>IF(AND(ISNUMBER(L965),ISNUMBER(M965)),L965-M965,"")</f>
        <v/>
      </c>
    </row>
    <row r="966">
      <c r="N966">
        <f>IF(AND(ISNUMBER(L966),ISNUMBER(M966)),L966-M966,"")</f>
        <v/>
      </c>
    </row>
    <row r="967">
      <c r="N967">
        <f>IF(AND(ISNUMBER(L967),ISNUMBER(M967)),L967-M967,"")</f>
        <v/>
      </c>
    </row>
    <row r="968">
      <c r="N968">
        <f>IF(AND(ISNUMBER(L968),ISNUMBER(M968)),L968-M968,"")</f>
        <v/>
      </c>
    </row>
    <row r="969">
      <c r="N969">
        <f>IF(AND(ISNUMBER(L969),ISNUMBER(M969)),L969-M969,"")</f>
        <v/>
      </c>
    </row>
    <row r="970">
      <c r="N970">
        <f>IF(AND(ISNUMBER(L970),ISNUMBER(M970)),L970-M970,"")</f>
        <v/>
      </c>
    </row>
    <row r="971">
      <c r="N971">
        <f>IF(AND(ISNUMBER(L971),ISNUMBER(M971)),L971-M971,"")</f>
        <v/>
      </c>
    </row>
    <row r="972">
      <c r="N972">
        <f>IF(AND(ISNUMBER(L972),ISNUMBER(M972)),L972-M972,"")</f>
        <v/>
      </c>
    </row>
    <row r="973">
      <c r="N973">
        <f>IF(AND(ISNUMBER(L973),ISNUMBER(M973)),L973-M973,"")</f>
        <v/>
      </c>
    </row>
    <row r="974">
      <c r="N974">
        <f>IF(AND(ISNUMBER(L974),ISNUMBER(M974)),L974-M974,"")</f>
        <v/>
      </c>
    </row>
    <row r="975">
      <c r="N975">
        <f>IF(AND(ISNUMBER(L975),ISNUMBER(M975)),L975-M975,"")</f>
        <v/>
      </c>
    </row>
    <row r="976">
      <c r="N976">
        <f>IF(AND(ISNUMBER(L976),ISNUMBER(M976)),L976-M976,"")</f>
        <v/>
      </c>
    </row>
    <row r="977">
      <c r="N977">
        <f>IF(AND(ISNUMBER(L977),ISNUMBER(M977)),L977-M977,"")</f>
        <v/>
      </c>
    </row>
    <row r="978">
      <c r="N978">
        <f>IF(AND(ISNUMBER(L978),ISNUMBER(M978)),L978-M978,"")</f>
        <v/>
      </c>
    </row>
    <row r="979">
      <c r="N979">
        <f>IF(AND(ISNUMBER(L979),ISNUMBER(M979)),L979-M979,"")</f>
        <v/>
      </c>
    </row>
    <row r="980">
      <c r="N980">
        <f>IF(AND(ISNUMBER(L980),ISNUMBER(M980)),L980-M980,"")</f>
        <v/>
      </c>
    </row>
    <row r="981">
      <c r="N981">
        <f>IF(AND(ISNUMBER(L981),ISNUMBER(M981)),L981-M981,"")</f>
        <v/>
      </c>
    </row>
    <row r="982">
      <c r="N982">
        <f>IF(AND(ISNUMBER(L982),ISNUMBER(M982)),L982-M982,"")</f>
        <v/>
      </c>
    </row>
    <row r="983">
      <c r="N983">
        <f>IF(AND(ISNUMBER(L983),ISNUMBER(M983)),L983-M983,"")</f>
        <v/>
      </c>
    </row>
    <row r="984">
      <c r="N984">
        <f>IF(AND(ISNUMBER(L984),ISNUMBER(M984)),L984-M984,"")</f>
        <v/>
      </c>
    </row>
    <row r="985">
      <c r="N985">
        <f>IF(AND(ISNUMBER(L985),ISNUMBER(M985)),L985-M985,"")</f>
        <v/>
      </c>
    </row>
    <row r="986">
      <c r="N986">
        <f>IF(AND(ISNUMBER(L986),ISNUMBER(M986)),L986-M986,"")</f>
        <v/>
      </c>
    </row>
    <row r="987">
      <c r="N987">
        <f>IF(AND(ISNUMBER(L987),ISNUMBER(M987)),L987-M987,"")</f>
        <v/>
      </c>
    </row>
    <row r="988">
      <c r="N988">
        <f>IF(AND(ISNUMBER(L988),ISNUMBER(M988)),L988-M988,"")</f>
        <v/>
      </c>
    </row>
    <row r="989">
      <c r="N989">
        <f>IF(AND(ISNUMBER(L989),ISNUMBER(M989)),L989-M989,"")</f>
        <v/>
      </c>
    </row>
    <row r="990">
      <c r="N990">
        <f>IF(AND(ISNUMBER(L990),ISNUMBER(M990)),L990-M990,"")</f>
        <v/>
      </c>
    </row>
    <row r="991">
      <c r="N991">
        <f>IF(AND(ISNUMBER(L991),ISNUMBER(M991)),L991-M991,"")</f>
        <v/>
      </c>
    </row>
    <row r="992">
      <c r="N992">
        <f>IF(AND(ISNUMBER(L992),ISNUMBER(M992)),L992-M992,"")</f>
        <v/>
      </c>
    </row>
    <row r="993">
      <c r="N993">
        <f>IF(AND(ISNUMBER(L993),ISNUMBER(M993)),L993-M993,"")</f>
        <v/>
      </c>
    </row>
    <row r="994">
      <c r="N994">
        <f>IF(AND(ISNUMBER(L994),ISNUMBER(M994)),L994-M994,"")</f>
        <v/>
      </c>
    </row>
    <row r="995">
      <c r="N995">
        <f>IF(AND(ISNUMBER(L995),ISNUMBER(M995)),L995-M995,"")</f>
        <v/>
      </c>
    </row>
    <row r="996">
      <c r="N996">
        <f>IF(AND(ISNUMBER(L996),ISNUMBER(M996)),L996-M996,"")</f>
        <v/>
      </c>
    </row>
    <row r="997">
      <c r="N997">
        <f>IF(AND(ISNUMBER(L997),ISNUMBER(M997)),L997-M997,"")</f>
        <v/>
      </c>
    </row>
    <row r="998">
      <c r="N998">
        <f>IF(AND(ISNUMBER(L998),ISNUMBER(M998)),L998-M998,"")</f>
        <v/>
      </c>
    </row>
    <row r="999">
      <c r="N999">
        <f>IF(AND(ISNUMBER(L999),ISNUMBER(M999)),L999-M999,"")</f>
        <v/>
      </c>
    </row>
    <row r="1000">
      <c r="N1000">
        <f>IF(AND(ISNUMBER(L1000),ISNUMBER(M1000)),L1000-M1000,"")</f>
        <v/>
      </c>
    </row>
    <row r="1001">
      <c r="N1001">
        <f>IF(AND(ISNUMBER(L1001),ISNUMBER(M1001)),L1001-M1001,"")</f>
        <v/>
      </c>
    </row>
    <row r="1002">
      <c r="N1002">
        <f>IF(AND(ISNUMBER(L1002),ISNUMBER(M1002)),L1002-M1002,"")</f>
        <v/>
      </c>
    </row>
    <row r="1003">
      <c r="N1003">
        <f>IF(AND(ISNUMBER(L1003),ISNUMBER(M1003)),L1003-M1003,"")</f>
        <v/>
      </c>
    </row>
    <row r="1004">
      <c r="N1004">
        <f>IF(AND(ISNUMBER(L1004),ISNUMBER(M1004)),L1004-M1004,"")</f>
        <v/>
      </c>
    </row>
    <row r="1005">
      <c r="N1005">
        <f>IF(AND(ISNUMBER(L1005),ISNUMBER(M1005)),L1005-M1005,"")</f>
        <v/>
      </c>
    </row>
    <row r="1006">
      <c r="N1006">
        <f>IF(AND(ISNUMBER(L1006),ISNUMBER(M1006)),L1006-M1006,"")</f>
        <v/>
      </c>
    </row>
    <row r="1007">
      <c r="N1007">
        <f>IF(AND(ISNUMBER(L1007),ISNUMBER(M1007)),L1007-M1007,"")</f>
        <v/>
      </c>
    </row>
    <row r="1008">
      <c r="N1008">
        <f>IF(AND(ISNUMBER(L1008),ISNUMBER(M1008)),L1008-M1008,"")</f>
        <v/>
      </c>
    </row>
    <row r="1009">
      <c r="N1009">
        <f>IF(AND(ISNUMBER(L1009),ISNUMBER(M1009)),L1009-M1009,"")</f>
        <v/>
      </c>
    </row>
    <row r="1010">
      <c r="N1010">
        <f>IF(AND(ISNUMBER(L1010),ISNUMBER(M1010)),L1010-M1010,"")</f>
        <v/>
      </c>
    </row>
    <row r="1011">
      <c r="N1011">
        <f>IF(AND(ISNUMBER(L1011),ISNUMBER(M1011)),L1011-M1011,"")</f>
        <v/>
      </c>
    </row>
    <row r="1012">
      <c r="N1012">
        <f>IF(AND(ISNUMBER(L1012),ISNUMBER(M1012)),L1012-M1012,"")</f>
        <v/>
      </c>
    </row>
    <row r="1013">
      <c r="N1013">
        <f>IF(AND(ISNUMBER(L1013),ISNUMBER(M1013)),L1013-M1013,"")</f>
        <v/>
      </c>
    </row>
    <row r="1014">
      <c r="N1014">
        <f>IF(AND(ISNUMBER(L1014),ISNUMBER(M1014)),L1014-M1014,"")</f>
        <v/>
      </c>
    </row>
    <row r="1015">
      <c r="N1015">
        <f>IF(AND(ISNUMBER(L1015),ISNUMBER(M1015)),L1015-M1015,"")</f>
        <v/>
      </c>
    </row>
    <row r="1016">
      <c r="N1016">
        <f>IF(AND(ISNUMBER(L1016),ISNUMBER(M1016)),L1016-M1016,"")</f>
        <v/>
      </c>
    </row>
    <row r="1017">
      <c r="N1017">
        <f>IF(AND(ISNUMBER(L1017),ISNUMBER(M1017)),L1017-M1017,"")</f>
        <v/>
      </c>
    </row>
    <row r="1018">
      <c r="N1018">
        <f>IF(AND(ISNUMBER(L1018),ISNUMBER(M1018)),L1018-M1018,"")</f>
        <v/>
      </c>
    </row>
    <row r="1019">
      <c r="N1019">
        <f>IF(AND(ISNUMBER(L1019),ISNUMBER(M1019)),L1019-M1019,"")</f>
        <v/>
      </c>
    </row>
    <row r="1020">
      <c r="N1020">
        <f>IF(AND(ISNUMBER(L1020),ISNUMBER(M1020)),L1020-M1020,"")</f>
        <v/>
      </c>
    </row>
    <row r="1021">
      <c r="N1021">
        <f>IF(AND(ISNUMBER(L1021),ISNUMBER(M1021)),L1021-M1021,"")</f>
        <v/>
      </c>
    </row>
    <row r="1022">
      <c r="N1022">
        <f>IF(AND(ISNUMBER(L1022),ISNUMBER(M1022)),L1022-M1022,"")</f>
        <v/>
      </c>
    </row>
    <row r="1023">
      <c r="N1023">
        <f>IF(AND(ISNUMBER(L1023),ISNUMBER(M1023)),L1023-M1023,"")</f>
        <v/>
      </c>
    </row>
    <row r="1024">
      <c r="N1024">
        <f>IF(AND(ISNUMBER(L1024),ISNUMBER(M1024)),L1024-M1024,"")</f>
        <v/>
      </c>
    </row>
    <row r="1025">
      <c r="N1025">
        <f>IF(AND(ISNUMBER(L1025),ISNUMBER(M1025)),L1025-M1025,"")</f>
        <v/>
      </c>
    </row>
    <row r="1026">
      <c r="N1026">
        <f>IF(AND(ISNUMBER(L1026),ISNUMBER(M1026)),L1026-M1026,"")</f>
        <v/>
      </c>
    </row>
    <row r="1027">
      <c r="N1027">
        <f>IF(AND(ISNUMBER(L1027),ISNUMBER(M1027)),L1027-M1027,"")</f>
        <v/>
      </c>
    </row>
    <row r="1028">
      <c r="N1028">
        <f>IF(AND(ISNUMBER(L1028),ISNUMBER(M1028)),L1028-M1028,"")</f>
        <v/>
      </c>
    </row>
    <row r="1029">
      <c r="N1029">
        <f>IF(AND(ISNUMBER(L1029),ISNUMBER(M1029)),L1029-M1029,"")</f>
        <v/>
      </c>
    </row>
    <row r="1030">
      <c r="N1030">
        <f>IF(AND(ISNUMBER(L1030),ISNUMBER(M1030)),L1030-M1030,"")</f>
        <v/>
      </c>
    </row>
    <row r="1031">
      <c r="N1031">
        <f>IF(AND(ISNUMBER(L1031),ISNUMBER(M1031)),L1031-M1031,"")</f>
        <v/>
      </c>
    </row>
    <row r="1032">
      <c r="N1032">
        <f>IF(AND(ISNUMBER(L1032),ISNUMBER(M1032)),L1032-M1032,"")</f>
        <v/>
      </c>
    </row>
    <row r="1033">
      <c r="N1033">
        <f>IF(AND(ISNUMBER(L1033),ISNUMBER(M1033)),L1033-M1033,"")</f>
        <v/>
      </c>
    </row>
    <row r="1034">
      <c r="N1034">
        <f>IF(AND(ISNUMBER(L1034),ISNUMBER(M1034)),L1034-M1034,"")</f>
        <v/>
      </c>
    </row>
    <row r="1035">
      <c r="N1035">
        <f>IF(AND(ISNUMBER(L1035),ISNUMBER(M1035)),L1035-M1035,"")</f>
        <v/>
      </c>
    </row>
    <row r="1036">
      <c r="N1036">
        <f>IF(AND(ISNUMBER(L1036),ISNUMBER(M1036)),L1036-M1036,"")</f>
        <v/>
      </c>
    </row>
    <row r="1037">
      <c r="N1037">
        <f>IF(AND(ISNUMBER(L1037),ISNUMBER(M1037)),L1037-M1037,"")</f>
        <v/>
      </c>
    </row>
    <row r="1038">
      <c r="N1038">
        <f>IF(AND(ISNUMBER(L1038),ISNUMBER(M1038)),L1038-M1038,"")</f>
        <v/>
      </c>
    </row>
    <row r="1039">
      <c r="N1039">
        <f>IF(AND(ISNUMBER(L1039),ISNUMBER(M1039)),L1039-M1039,"")</f>
        <v/>
      </c>
    </row>
    <row r="1040">
      <c r="N1040">
        <f>IF(AND(ISNUMBER(L1040),ISNUMBER(M1040)),L1040-M1040,"")</f>
        <v/>
      </c>
    </row>
    <row r="1041">
      <c r="N1041">
        <f>IF(AND(ISNUMBER(L1041),ISNUMBER(M1041)),L1041-M1041,"")</f>
        <v/>
      </c>
    </row>
    <row r="1042">
      <c r="N1042">
        <f>IF(AND(ISNUMBER(L1042),ISNUMBER(M1042)),L1042-M1042,"")</f>
        <v/>
      </c>
    </row>
    <row r="1043">
      <c r="N1043">
        <f>IF(AND(ISNUMBER(L1043),ISNUMBER(M1043)),L1043-M1043,"")</f>
        <v/>
      </c>
    </row>
    <row r="1044">
      <c r="N1044">
        <f>IF(AND(ISNUMBER(L1044),ISNUMBER(M1044)),L1044-M1044,"")</f>
        <v/>
      </c>
    </row>
    <row r="1045">
      <c r="N1045">
        <f>IF(AND(ISNUMBER(L1045),ISNUMBER(M1045)),L1045-M1045,"")</f>
        <v/>
      </c>
    </row>
    <row r="1046">
      <c r="N1046">
        <f>IF(AND(ISNUMBER(L1046),ISNUMBER(M1046)),L1046-M1046,"")</f>
        <v/>
      </c>
    </row>
    <row r="1047">
      <c r="N1047">
        <f>IF(AND(ISNUMBER(L1047),ISNUMBER(M1047)),L1047-M1047,"")</f>
        <v/>
      </c>
    </row>
    <row r="1048">
      <c r="N1048">
        <f>IF(AND(ISNUMBER(L1048),ISNUMBER(M1048)),L1048-M1048,"")</f>
        <v/>
      </c>
    </row>
    <row r="1049">
      <c r="N1049">
        <f>IF(AND(ISNUMBER(L1049),ISNUMBER(M1049)),L1049-M1049,"")</f>
        <v/>
      </c>
    </row>
    <row r="1050">
      <c r="N1050">
        <f>IF(AND(ISNUMBER(L1050),ISNUMBER(M1050)),L1050-M1050,"")</f>
        <v/>
      </c>
    </row>
    <row r="1051">
      <c r="N1051">
        <f>IF(AND(ISNUMBER(L1051),ISNUMBER(M1051)),L1051-M1051,"")</f>
        <v/>
      </c>
    </row>
    <row r="1052">
      <c r="N1052">
        <f>IF(AND(ISNUMBER(L1052),ISNUMBER(M1052)),L1052-M1052,"")</f>
        <v/>
      </c>
    </row>
    <row r="1053">
      <c r="N1053">
        <f>IF(AND(ISNUMBER(L1053),ISNUMBER(M1053)),L1053-M1053,"")</f>
        <v/>
      </c>
    </row>
    <row r="1054">
      <c r="N1054">
        <f>IF(AND(ISNUMBER(L1054),ISNUMBER(M1054)),L1054-M1054,"")</f>
        <v/>
      </c>
    </row>
    <row r="1055">
      <c r="N1055">
        <f>IF(AND(ISNUMBER(L1055),ISNUMBER(M1055)),L1055-M1055,"")</f>
        <v/>
      </c>
    </row>
    <row r="1056">
      <c r="N1056">
        <f>IF(AND(ISNUMBER(L1056),ISNUMBER(M1056)),L1056-M1056,"")</f>
        <v/>
      </c>
    </row>
    <row r="1057">
      <c r="N1057">
        <f>IF(AND(ISNUMBER(L1057),ISNUMBER(M1057)),L1057-M1057,"")</f>
        <v/>
      </c>
    </row>
    <row r="1058">
      <c r="N1058">
        <f>IF(AND(ISNUMBER(L1058),ISNUMBER(M1058)),L1058-M1058,"")</f>
        <v/>
      </c>
    </row>
    <row r="1059">
      <c r="N1059">
        <f>IF(AND(ISNUMBER(L1059),ISNUMBER(M1059)),L1059-M1059,"")</f>
        <v/>
      </c>
    </row>
    <row r="1060">
      <c r="N1060">
        <f>IF(AND(ISNUMBER(L1060),ISNUMBER(M1060)),L1060-M1060,"")</f>
        <v/>
      </c>
    </row>
    <row r="1061">
      <c r="N1061">
        <f>IF(AND(ISNUMBER(L1061),ISNUMBER(M1061)),L1061-M1061,"")</f>
        <v/>
      </c>
    </row>
    <row r="1062">
      <c r="N1062">
        <f>IF(AND(ISNUMBER(L1062),ISNUMBER(M1062)),L1062-M1062,"")</f>
        <v/>
      </c>
    </row>
    <row r="1063">
      <c r="N1063">
        <f>IF(AND(ISNUMBER(L1063),ISNUMBER(M1063)),L1063-M1063,"")</f>
        <v/>
      </c>
    </row>
    <row r="1064">
      <c r="N1064">
        <f>IF(AND(ISNUMBER(L1064),ISNUMBER(M1064)),L1064-M1064,"")</f>
        <v/>
      </c>
    </row>
    <row r="1065">
      <c r="N1065">
        <f>IF(AND(ISNUMBER(L1065),ISNUMBER(M1065)),L1065-M1065,"")</f>
        <v/>
      </c>
    </row>
    <row r="1066">
      <c r="N1066">
        <f>IF(AND(ISNUMBER(L1066),ISNUMBER(M1066)),L1066-M1066,"")</f>
        <v/>
      </c>
    </row>
    <row r="1067">
      <c r="N1067">
        <f>IF(AND(ISNUMBER(L1067),ISNUMBER(M1067)),L1067-M1067,"")</f>
        <v/>
      </c>
    </row>
    <row r="1068">
      <c r="N1068">
        <f>IF(AND(ISNUMBER(L1068),ISNUMBER(M1068)),L1068-M1068,"")</f>
        <v/>
      </c>
    </row>
    <row r="1069">
      <c r="N1069">
        <f>IF(AND(ISNUMBER(L1069),ISNUMBER(M1069)),L1069-M1069,"")</f>
        <v/>
      </c>
    </row>
    <row r="1070">
      <c r="N1070">
        <f>IF(AND(ISNUMBER(L1070),ISNUMBER(M1070)),L1070-M1070,"")</f>
        <v/>
      </c>
    </row>
    <row r="1071">
      <c r="N1071">
        <f>IF(AND(ISNUMBER(L1071),ISNUMBER(M1071)),L1071-M1071,"")</f>
        <v/>
      </c>
    </row>
    <row r="1072">
      <c r="N1072">
        <f>IF(AND(ISNUMBER(L1072),ISNUMBER(M1072)),L1072-M1072,"")</f>
        <v/>
      </c>
    </row>
    <row r="1073">
      <c r="N1073">
        <f>IF(AND(ISNUMBER(L1073),ISNUMBER(M1073)),L1073-M1073,"")</f>
        <v/>
      </c>
    </row>
    <row r="1074">
      <c r="N1074">
        <f>IF(AND(ISNUMBER(L1074),ISNUMBER(M1074)),L1074-M1074,"")</f>
        <v/>
      </c>
    </row>
    <row r="1075">
      <c r="N1075">
        <f>IF(AND(ISNUMBER(L1075),ISNUMBER(M1075)),L1075-M1075,"")</f>
        <v/>
      </c>
    </row>
    <row r="1076">
      <c r="N1076">
        <f>IF(AND(ISNUMBER(L1076),ISNUMBER(M1076)),L1076-M1076,"")</f>
        <v/>
      </c>
    </row>
    <row r="1077">
      <c r="N1077">
        <f>IF(AND(ISNUMBER(L1077),ISNUMBER(M1077)),L1077-M1077,"")</f>
        <v/>
      </c>
    </row>
    <row r="1078">
      <c r="N1078">
        <f>IF(AND(ISNUMBER(L1078),ISNUMBER(M1078)),L1078-M1078,"")</f>
        <v/>
      </c>
    </row>
    <row r="1079">
      <c r="N1079">
        <f>IF(AND(ISNUMBER(L1079),ISNUMBER(M1079)),L1079-M1079,"")</f>
        <v/>
      </c>
    </row>
    <row r="1080">
      <c r="N1080">
        <f>IF(AND(ISNUMBER(L1080),ISNUMBER(M1080)),L1080-M1080,"")</f>
        <v/>
      </c>
    </row>
    <row r="1081">
      <c r="N1081">
        <f>IF(AND(ISNUMBER(L1081),ISNUMBER(M1081)),L1081-M1081,"")</f>
        <v/>
      </c>
    </row>
    <row r="1082">
      <c r="N1082">
        <f>IF(AND(ISNUMBER(L1082),ISNUMBER(M1082)),L1082-M1082,"")</f>
        <v/>
      </c>
    </row>
    <row r="1083">
      <c r="N1083">
        <f>IF(AND(ISNUMBER(L1083),ISNUMBER(M1083)),L1083-M1083,"")</f>
        <v/>
      </c>
    </row>
    <row r="1084">
      <c r="N1084">
        <f>IF(AND(ISNUMBER(L1084),ISNUMBER(M1084)),L1084-M1084,"")</f>
        <v/>
      </c>
    </row>
    <row r="1085">
      <c r="N1085">
        <f>IF(AND(ISNUMBER(L1085),ISNUMBER(M1085)),L1085-M1085,"")</f>
        <v/>
      </c>
    </row>
    <row r="1086">
      <c r="N1086">
        <f>IF(AND(ISNUMBER(L1086),ISNUMBER(M1086)),L1086-M1086,"")</f>
        <v/>
      </c>
    </row>
    <row r="1087">
      <c r="N1087">
        <f>IF(AND(ISNUMBER(L1087),ISNUMBER(M1087)),L1087-M1087,"")</f>
        <v/>
      </c>
    </row>
    <row r="1088">
      <c r="N1088">
        <f>IF(AND(ISNUMBER(L1088),ISNUMBER(M1088)),L1088-M1088,"")</f>
        <v/>
      </c>
    </row>
    <row r="1089">
      <c r="N1089">
        <f>IF(AND(ISNUMBER(L1089),ISNUMBER(M1089)),L1089-M1089,"")</f>
        <v/>
      </c>
    </row>
    <row r="1090">
      <c r="N1090">
        <f>IF(AND(ISNUMBER(L1090),ISNUMBER(M1090)),L1090-M1090,"")</f>
        <v/>
      </c>
    </row>
    <row r="1091">
      <c r="N1091">
        <f>IF(AND(ISNUMBER(L1091),ISNUMBER(M1091)),L1091-M1091,"")</f>
        <v/>
      </c>
    </row>
    <row r="1092">
      <c r="N1092">
        <f>IF(AND(ISNUMBER(L1092),ISNUMBER(M1092)),L1092-M1092,"")</f>
        <v/>
      </c>
    </row>
    <row r="1093">
      <c r="N1093">
        <f>IF(AND(ISNUMBER(L1093),ISNUMBER(M1093)),L1093-M1093,"")</f>
        <v/>
      </c>
    </row>
    <row r="1094">
      <c r="N1094">
        <f>IF(AND(ISNUMBER(L1094),ISNUMBER(M1094)),L1094-M1094,"")</f>
        <v/>
      </c>
    </row>
    <row r="1095">
      <c r="N1095">
        <f>IF(AND(ISNUMBER(L1095),ISNUMBER(M1095)),L1095-M1095,"")</f>
        <v/>
      </c>
    </row>
    <row r="1096">
      <c r="N1096">
        <f>IF(AND(ISNUMBER(L1096),ISNUMBER(M1096)),L1096-M1096,"")</f>
        <v/>
      </c>
    </row>
    <row r="1097">
      <c r="N1097">
        <f>IF(AND(ISNUMBER(L1097),ISNUMBER(M1097)),L1097-M1097,"")</f>
        <v/>
      </c>
    </row>
    <row r="1098">
      <c r="N1098">
        <f>IF(AND(ISNUMBER(L1098),ISNUMBER(M1098)),L1098-M1098,"")</f>
        <v/>
      </c>
    </row>
    <row r="1099">
      <c r="N1099">
        <f>IF(AND(ISNUMBER(L1099),ISNUMBER(M1099)),L1099-M1099,"")</f>
        <v/>
      </c>
    </row>
    <row r="1100">
      <c r="N1100">
        <f>IF(AND(ISNUMBER(L1100),ISNUMBER(M1100)),L1100-M1100,"")</f>
        <v/>
      </c>
    </row>
    <row r="1101">
      <c r="N1101">
        <f>IF(AND(ISNUMBER(L1101),ISNUMBER(M1101)),L1101-M1101,"")</f>
        <v/>
      </c>
    </row>
    <row r="1102">
      <c r="N1102">
        <f>IF(AND(ISNUMBER(L1102),ISNUMBER(M1102)),L1102-M1102,"")</f>
        <v/>
      </c>
    </row>
    <row r="1103">
      <c r="N1103">
        <f>IF(AND(ISNUMBER(L1103),ISNUMBER(M1103)),L1103-M1103,"")</f>
        <v/>
      </c>
    </row>
    <row r="1104">
      <c r="N1104">
        <f>IF(AND(ISNUMBER(L1104),ISNUMBER(M1104)),L1104-M1104,"")</f>
        <v/>
      </c>
    </row>
    <row r="1105">
      <c r="N1105">
        <f>IF(AND(ISNUMBER(L1105),ISNUMBER(M1105)),L1105-M1105,"")</f>
        <v/>
      </c>
    </row>
    <row r="1106">
      <c r="N1106">
        <f>IF(AND(ISNUMBER(L1106),ISNUMBER(M1106)),L1106-M1106,"")</f>
        <v/>
      </c>
    </row>
    <row r="1107">
      <c r="N1107">
        <f>IF(AND(ISNUMBER(L1107),ISNUMBER(M1107)),L1107-M1107,"")</f>
        <v/>
      </c>
    </row>
    <row r="1108">
      <c r="N1108">
        <f>IF(AND(ISNUMBER(L1108),ISNUMBER(M1108)),L1108-M1108,"")</f>
        <v/>
      </c>
    </row>
    <row r="1109">
      <c r="N1109">
        <f>IF(AND(ISNUMBER(L1109),ISNUMBER(M1109)),L1109-M1109,"")</f>
        <v/>
      </c>
    </row>
    <row r="1110">
      <c r="N1110">
        <f>IF(AND(ISNUMBER(L1110),ISNUMBER(M1110)),L1110-M1110,"")</f>
        <v/>
      </c>
    </row>
    <row r="1111">
      <c r="N1111">
        <f>IF(AND(ISNUMBER(L1111),ISNUMBER(M1111)),L1111-M1111,"")</f>
        <v/>
      </c>
    </row>
    <row r="1112">
      <c r="N1112">
        <f>IF(AND(ISNUMBER(L1112),ISNUMBER(M1112)),L1112-M1112,"")</f>
        <v/>
      </c>
    </row>
    <row r="1113">
      <c r="N1113">
        <f>IF(AND(ISNUMBER(L1113),ISNUMBER(M1113)),L1113-M1113,"")</f>
        <v/>
      </c>
    </row>
    <row r="1114">
      <c r="N1114">
        <f>IF(AND(ISNUMBER(L1114),ISNUMBER(M1114)),L1114-M1114,"")</f>
        <v/>
      </c>
    </row>
    <row r="1115">
      <c r="N1115">
        <f>IF(AND(ISNUMBER(L1115),ISNUMBER(M1115)),L1115-M1115,"")</f>
        <v/>
      </c>
    </row>
    <row r="1116">
      <c r="N1116">
        <f>IF(AND(ISNUMBER(L1116),ISNUMBER(M1116)),L1116-M1116,"")</f>
        <v/>
      </c>
    </row>
    <row r="1117">
      <c r="N1117">
        <f>IF(AND(ISNUMBER(L1117),ISNUMBER(M1117)),L1117-M1117,"")</f>
        <v/>
      </c>
    </row>
    <row r="1118">
      <c r="N1118">
        <f>IF(AND(ISNUMBER(L1118),ISNUMBER(M1118)),L1118-M1118,"")</f>
        <v/>
      </c>
    </row>
    <row r="1119">
      <c r="N1119">
        <f>IF(AND(ISNUMBER(L1119),ISNUMBER(M1119)),L1119-M1119,"")</f>
        <v/>
      </c>
    </row>
    <row r="1120">
      <c r="N1120">
        <f>IF(AND(ISNUMBER(L1120),ISNUMBER(M1120)),L1120-M1120,"")</f>
        <v/>
      </c>
    </row>
    <row r="1121">
      <c r="N1121">
        <f>IF(AND(ISNUMBER(L1121),ISNUMBER(M1121)),L1121-M1121,"")</f>
        <v/>
      </c>
    </row>
    <row r="1122">
      <c r="N1122">
        <f>IF(AND(ISNUMBER(L1122),ISNUMBER(M1122)),L1122-M1122,"")</f>
        <v/>
      </c>
    </row>
    <row r="1123">
      <c r="N1123">
        <f>IF(AND(ISNUMBER(L1123),ISNUMBER(M1123)),L1123-M1123,"")</f>
        <v/>
      </c>
    </row>
    <row r="1124">
      <c r="N1124">
        <f>IF(AND(ISNUMBER(L1124),ISNUMBER(M1124)),L1124-M1124,"")</f>
        <v/>
      </c>
    </row>
    <row r="1125">
      <c r="N1125">
        <f>IF(AND(ISNUMBER(L1125),ISNUMBER(M1125)),L1125-M1125,"")</f>
        <v/>
      </c>
    </row>
    <row r="1126">
      <c r="N1126">
        <f>IF(AND(ISNUMBER(L1126),ISNUMBER(M1126)),L1126-M1126,"")</f>
        <v/>
      </c>
    </row>
    <row r="1127">
      <c r="N1127">
        <f>IF(AND(ISNUMBER(L1127),ISNUMBER(M1127)),L1127-M1127,"")</f>
        <v/>
      </c>
    </row>
    <row r="1128">
      <c r="N1128">
        <f>IF(AND(ISNUMBER(L1128),ISNUMBER(M1128)),L1128-M1128,"")</f>
        <v/>
      </c>
    </row>
    <row r="1129">
      <c r="N1129">
        <f>IF(AND(ISNUMBER(L1129),ISNUMBER(M1129)),L1129-M1129,"")</f>
        <v/>
      </c>
    </row>
    <row r="1130">
      <c r="N1130">
        <f>IF(AND(ISNUMBER(L1130),ISNUMBER(M1130)),L1130-M1130,"")</f>
        <v/>
      </c>
    </row>
    <row r="1131">
      <c r="N1131">
        <f>IF(AND(ISNUMBER(L1131),ISNUMBER(M1131)),L1131-M1131,"")</f>
        <v/>
      </c>
    </row>
    <row r="1132">
      <c r="N1132">
        <f>IF(AND(ISNUMBER(L1132),ISNUMBER(M1132)),L1132-M1132,"")</f>
        <v/>
      </c>
    </row>
    <row r="1133">
      <c r="N1133">
        <f>IF(AND(ISNUMBER(L1133),ISNUMBER(M1133)),L1133-M1133,"")</f>
        <v/>
      </c>
    </row>
    <row r="1134">
      <c r="N1134">
        <f>IF(AND(ISNUMBER(L1134),ISNUMBER(M1134)),L1134-M1134,"")</f>
        <v/>
      </c>
    </row>
    <row r="1135">
      <c r="N1135">
        <f>IF(AND(ISNUMBER(L1135),ISNUMBER(M1135)),L1135-M1135,"")</f>
        <v/>
      </c>
    </row>
    <row r="1136">
      <c r="N1136">
        <f>IF(AND(ISNUMBER(L1136),ISNUMBER(M1136)),L1136-M1136,"")</f>
        <v/>
      </c>
    </row>
    <row r="1137">
      <c r="N1137">
        <f>IF(AND(ISNUMBER(L1137),ISNUMBER(M1137)),L1137-M1137,"")</f>
        <v/>
      </c>
    </row>
    <row r="1138">
      <c r="N1138">
        <f>IF(AND(ISNUMBER(L1138),ISNUMBER(M1138)),L1138-M1138,"")</f>
        <v/>
      </c>
    </row>
    <row r="1139">
      <c r="N1139">
        <f>IF(AND(ISNUMBER(L1139),ISNUMBER(M1139)),L1139-M1139,"")</f>
        <v/>
      </c>
    </row>
    <row r="1140">
      <c r="N1140">
        <f>IF(AND(ISNUMBER(L1140),ISNUMBER(M1140)),L1140-M1140,"")</f>
        <v/>
      </c>
    </row>
    <row r="1141">
      <c r="N1141">
        <f>IF(AND(ISNUMBER(L1141),ISNUMBER(M1141)),L1141-M1141,"")</f>
        <v/>
      </c>
    </row>
    <row r="1142">
      <c r="N1142">
        <f>IF(AND(ISNUMBER(L1142),ISNUMBER(M1142)),L1142-M1142,"")</f>
        <v/>
      </c>
    </row>
    <row r="1143">
      <c r="N1143">
        <f>IF(AND(ISNUMBER(L1143),ISNUMBER(M1143)),L1143-M1143,"")</f>
        <v/>
      </c>
    </row>
    <row r="1144">
      <c r="N1144">
        <f>IF(AND(ISNUMBER(L1144),ISNUMBER(M1144)),L1144-M1144,"")</f>
        <v/>
      </c>
    </row>
    <row r="1145">
      <c r="N1145">
        <f>IF(AND(ISNUMBER(L1145),ISNUMBER(M1145)),L1145-M1145,"")</f>
        <v/>
      </c>
    </row>
    <row r="1146">
      <c r="N1146">
        <f>IF(AND(ISNUMBER(L1146),ISNUMBER(M1146)),L1146-M1146,"")</f>
        <v/>
      </c>
    </row>
    <row r="1147">
      <c r="N1147">
        <f>IF(AND(ISNUMBER(L1147),ISNUMBER(M1147)),L1147-M1147,"")</f>
        <v/>
      </c>
    </row>
    <row r="1148">
      <c r="N1148">
        <f>IF(AND(ISNUMBER(L1148),ISNUMBER(M1148)),L1148-M1148,"")</f>
        <v/>
      </c>
    </row>
    <row r="1149">
      <c r="N1149">
        <f>IF(AND(ISNUMBER(L1149),ISNUMBER(M1149)),L1149-M1149,"")</f>
        <v/>
      </c>
    </row>
    <row r="1150">
      <c r="N1150">
        <f>IF(AND(ISNUMBER(L1150),ISNUMBER(M1150)),L1150-M1150,"")</f>
        <v/>
      </c>
    </row>
    <row r="1151">
      <c r="N1151">
        <f>IF(AND(ISNUMBER(L1151),ISNUMBER(M1151)),L1151-M1151,"")</f>
        <v/>
      </c>
    </row>
    <row r="1152">
      <c r="N1152">
        <f>IF(AND(ISNUMBER(L1152),ISNUMBER(M1152)),L1152-M1152,"")</f>
        <v/>
      </c>
    </row>
    <row r="1153">
      <c r="N1153">
        <f>IF(AND(ISNUMBER(L1153),ISNUMBER(M1153)),L1153-M1153,"")</f>
        <v/>
      </c>
    </row>
    <row r="1154">
      <c r="N1154">
        <f>IF(AND(ISNUMBER(L1154),ISNUMBER(M1154)),L1154-M1154,"")</f>
        <v/>
      </c>
    </row>
    <row r="1155">
      <c r="N1155">
        <f>IF(AND(ISNUMBER(L1155),ISNUMBER(M1155)),L1155-M1155,"")</f>
        <v/>
      </c>
    </row>
    <row r="1156">
      <c r="N1156">
        <f>IF(AND(ISNUMBER(L1156),ISNUMBER(M1156)),L1156-M1156,"")</f>
        <v/>
      </c>
    </row>
    <row r="1157">
      <c r="N1157">
        <f>IF(AND(ISNUMBER(L1157),ISNUMBER(M1157)),L1157-M1157,"")</f>
        <v/>
      </c>
    </row>
    <row r="1158">
      <c r="N1158">
        <f>IF(AND(ISNUMBER(L1158),ISNUMBER(M1158)),L1158-M1158,"")</f>
        <v/>
      </c>
    </row>
    <row r="1159">
      <c r="N1159">
        <f>IF(AND(ISNUMBER(L1159),ISNUMBER(M1159)),L1159-M1159,"")</f>
        <v/>
      </c>
    </row>
    <row r="1160">
      <c r="N1160">
        <f>IF(AND(ISNUMBER(L1160),ISNUMBER(M1160)),L1160-M1160,"")</f>
        <v/>
      </c>
    </row>
    <row r="1161">
      <c r="N1161">
        <f>IF(AND(ISNUMBER(L1161),ISNUMBER(M1161)),L1161-M1161,"")</f>
        <v/>
      </c>
    </row>
    <row r="1162">
      <c r="N1162">
        <f>IF(AND(ISNUMBER(L1162),ISNUMBER(M1162)),L1162-M1162,"")</f>
        <v/>
      </c>
    </row>
    <row r="1163">
      <c r="N1163">
        <f>IF(AND(ISNUMBER(L1163),ISNUMBER(M1163)),L1163-M1163,"")</f>
        <v/>
      </c>
    </row>
    <row r="1164">
      <c r="N1164">
        <f>IF(AND(ISNUMBER(L1164),ISNUMBER(M1164)),L1164-M1164,"")</f>
        <v/>
      </c>
    </row>
    <row r="1165">
      <c r="N1165">
        <f>IF(AND(ISNUMBER(L1165),ISNUMBER(M1165)),L1165-M1165,"")</f>
        <v/>
      </c>
    </row>
    <row r="1166">
      <c r="N1166">
        <f>IF(AND(ISNUMBER(L1166),ISNUMBER(M1166)),L1166-M1166,"")</f>
        <v/>
      </c>
    </row>
    <row r="1167">
      <c r="N1167">
        <f>IF(AND(ISNUMBER(L1167),ISNUMBER(M1167)),L1167-M1167,"")</f>
        <v/>
      </c>
    </row>
    <row r="1168">
      <c r="N1168">
        <f>IF(AND(ISNUMBER(L1168),ISNUMBER(M1168)),L1168-M1168,"")</f>
        <v/>
      </c>
    </row>
    <row r="1169">
      <c r="N1169">
        <f>IF(AND(ISNUMBER(L1169),ISNUMBER(M1169)),L1169-M1169,"")</f>
        <v/>
      </c>
    </row>
    <row r="1170">
      <c r="N1170">
        <f>IF(AND(ISNUMBER(L1170),ISNUMBER(M1170)),L1170-M1170,"")</f>
        <v/>
      </c>
    </row>
    <row r="1171">
      <c r="N1171">
        <f>IF(AND(ISNUMBER(L1171),ISNUMBER(M1171)),L1171-M1171,"")</f>
        <v/>
      </c>
    </row>
    <row r="1172">
      <c r="N1172">
        <f>IF(AND(ISNUMBER(L1172),ISNUMBER(M1172)),L1172-M1172,"")</f>
        <v/>
      </c>
    </row>
    <row r="1173">
      <c r="N1173">
        <f>IF(AND(ISNUMBER(L1173),ISNUMBER(M1173)),L1173-M1173,"")</f>
        <v/>
      </c>
    </row>
    <row r="1174">
      <c r="N1174">
        <f>IF(AND(ISNUMBER(L1174),ISNUMBER(M1174)),L1174-M1174,"")</f>
        <v/>
      </c>
    </row>
    <row r="1175">
      <c r="N1175">
        <f>IF(AND(ISNUMBER(L1175),ISNUMBER(M1175)),L1175-M1175,"")</f>
        <v/>
      </c>
    </row>
    <row r="1176">
      <c r="N1176">
        <f>IF(AND(ISNUMBER(L1176),ISNUMBER(M1176)),L1176-M1176,"")</f>
        <v/>
      </c>
    </row>
    <row r="1177">
      <c r="N1177">
        <f>IF(AND(ISNUMBER(L1177),ISNUMBER(M1177)),L1177-M1177,"")</f>
        <v/>
      </c>
    </row>
    <row r="1178">
      <c r="N1178">
        <f>IF(AND(ISNUMBER(L1178),ISNUMBER(M1178)),L1178-M1178,"")</f>
        <v/>
      </c>
    </row>
    <row r="1179">
      <c r="N1179">
        <f>IF(AND(ISNUMBER(L1179),ISNUMBER(M1179)),L1179-M1179,"")</f>
        <v/>
      </c>
    </row>
    <row r="1180">
      <c r="N1180">
        <f>IF(AND(ISNUMBER(L1180),ISNUMBER(M1180)),L1180-M1180,"")</f>
        <v/>
      </c>
    </row>
    <row r="1181">
      <c r="N1181">
        <f>IF(AND(ISNUMBER(L1181),ISNUMBER(M1181)),L1181-M1181,"")</f>
        <v/>
      </c>
    </row>
    <row r="1182">
      <c r="N1182">
        <f>IF(AND(ISNUMBER(L1182),ISNUMBER(M1182)),L1182-M1182,"")</f>
        <v/>
      </c>
    </row>
    <row r="1183">
      <c r="N1183">
        <f>IF(AND(ISNUMBER(L1183),ISNUMBER(M1183)),L1183-M1183,"")</f>
        <v/>
      </c>
    </row>
    <row r="1184">
      <c r="N1184">
        <f>IF(AND(ISNUMBER(L1184),ISNUMBER(M1184)),L1184-M1184,"")</f>
        <v/>
      </c>
    </row>
    <row r="1185">
      <c r="N1185">
        <f>IF(AND(ISNUMBER(L1185),ISNUMBER(M1185)),L1185-M1185,"")</f>
        <v/>
      </c>
    </row>
    <row r="1186">
      <c r="N1186">
        <f>IF(AND(ISNUMBER(L1186),ISNUMBER(M1186)),L1186-M1186,"")</f>
        <v/>
      </c>
    </row>
    <row r="1187">
      <c r="N1187">
        <f>IF(AND(ISNUMBER(L1187),ISNUMBER(M1187)),L1187-M1187,"")</f>
        <v/>
      </c>
    </row>
    <row r="1188">
      <c r="N1188">
        <f>IF(AND(ISNUMBER(L1188),ISNUMBER(M1188)),L1188-M1188,"")</f>
        <v/>
      </c>
    </row>
    <row r="1189">
      <c r="N1189">
        <f>IF(AND(ISNUMBER(L1189),ISNUMBER(M1189)),L1189-M1189,"")</f>
        <v/>
      </c>
    </row>
    <row r="1190">
      <c r="N1190">
        <f>IF(AND(ISNUMBER(L1190),ISNUMBER(M1190)),L1190-M1190,"")</f>
        <v/>
      </c>
    </row>
    <row r="1191">
      <c r="N1191">
        <f>IF(AND(ISNUMBER(L1191),ISNUMBER(M1191)),L1191-M1191,"")</f>
        <v/>
      </c>
    </row>
    <row r="1192">
      <c r="N1192">
        <f>IF(AND(ISNUMBER(L1192),ISNUMBER(M1192)),L1192-M1192,"")</f>
        <v/>
      </c>
    </row>
    <row r="1193">
      <c r="N1193">
        <f>IF(AND(ISNUMBER(L1193),ISNUMBER(M1193)),L1193-M1193,"")</f>
        <v/>
      </c>
    </row>
    <row r="1194">
      <c r="N1194">
        <f>IF(AND(ISNUMBER(L1194),ISNUMBER(M1194)),L1194-M1194,"")</f>
        <v/>
      </c>
    </row>
    <row r="1195">
      <c r="N1195">
        <f>IF(AND(ISNUMBER(L1195),ISNUMBER(M1195)),L1195-M1195,"")</f>
        <v/>
      </c>
    </row>
    <row r="1196">
      <c r="N1196">
        <f>IF(AND(ISNUMBER(L1196),ISNUMBER(M1196)),L1196-M1196,"")</f>
        <v/>
      </c>
    </row>
    <row r="1197">
      <c r="N1197">
        <f>IF(AND(ISNUMBER(L1197),ISNUMBER(M1197)),L1197-M1197,"")</f>
        <v/>
      </c>
    </row>
    <row r="1198">
      <c r="N1198">
        <f>IF(AND(ISNUMBER(L1198),ISNUMBER(M1198)),L1198-M1198,"")</f>
        <v/>
      </c>
    </row>
    <row r="1199">
      <c r="N1199">
        <f>IF(AND(ISNUMBER(L1199),ISNUMBER(M1199)),L1199-M1199,"")</f>
        <v/>
      </c>
    </row>
    <row r="1200">
      <c r="N1200">
        <f>IF(AND(ISNUMBER(L1200),ISNUMBER(M1200)),L1200-M1200,"")</f>
        <v/>
      </c>
    </row>
    <row r="1201">
      <c r="N1201">
        <f>IF(AND(ISNUMBER(L1201),ISNUMBER(M1201)),L1201-M1201,"")</f>
        <v/>
      </c>
    </row>
    <row r="1202">
      <c r="N1202">
        <f>IF(AND(ISNUMBER(L1202),ISNUMBER(M1202)),L1202-M1202,"")</f>
        <v/>
      </c>
    </row>
    <row r="1203">
      <c r="N1203">
        <f>IF(AND(ISNUMBER(L1203),ISNUMBER(M1203)),L1203-M1203,"")</f>
        <v/>
      </c>
    </row>
    <row r="1204">
      <c r="N1204">
        <f>IF(AND(ISNUMBER(L1204),ISNUMBER(M1204)),L1204-M1204,"")</f>
        <v/>
      </c>
    </row>
    <row r="1205">
      <c r="N1205">
        <f>IF(AND(ISNUMBER(L1205),ISNUMBER(M1205)),L1205-M1205,"")</f>
        <v/>
      </c>
    </row>
    <row r="1206">
      <c r="N1206">
        <f>IF(AND(ISNUMBER(L1206),ISNUMBER(M1206)),L1206-M1206,"")</f>
        <v/>
      </c>
    </row>
    <row r="1207">
      <c r="N1207">
        <f>IF(AND(ISNUMBER(L1207),ISNUMBER(M1207)),L1207-M1207,"")</f>
        <v/>
      </c>
    </row>
    <row r="1208">
      <c r="N1208">
        <f>IF(AND(ISNUMBER(L1208),ISNUMBER(M1208)),L1208-M1208,"")</f>
        <v/>
      </c>
    </row>
    <row r="1209">
      <c r="N1209">
        <f>IF(AND(ISNUMBER(L1209),ISNUMBER(M1209)),L1209-M1209,"")</f>
        <v/>
      </c>
    </row>
    <row r="1210">
      <c r="N1210">
        <f>IF(AND(ISNUMBER(L1210),ISNUMBER(M1210)),L1210-M1210,"")</f>
        <v/>
      </c>
    </row>
    <row r="1211">
      <c r="N1211">
        <f>IF(AND(ISNUMBER(L1211),ISNUMBER(M1211)),L1211-M1211,"")</f>
        <v/>
      </c>
    </row>
    <row r="1212">
      <c r="N1212">
        <f>IF(AND(ISNUMBER(L1212),ISNUMBER(M1212)),L1212-M1212,"")</f>
        <v/>
      </c>
    </row>
    <row r="1213">
      <c r="N1213">
        <f>IF(AND(ISNUMBER(L1213),ISNUMBER(M1213)),L1213-M1213,"")</f>
        <v/>
      </c>
    </row>
    <row r="1214">
      <c r="N1214">
        <f>IF(AND(ISNUMBER(L1214),ISNUMBER(M1214)),L1214-M1214,"")</f>
        <v/>
      </c>
    </row>
    <row r="1215">
      <c r="N1215">
        <f>IF(AND(ISNUMBER(L1215),ISNUMBER(M1215)),L1215-M1215,"")</f>
        <v/>
      </c>
    </row>
    <row r="1216">
      <c r="N1216">
        <f>IF(AND(ISNUMBER(L1216),ISNUMBER(M1216)),L1216-M1216,"")</f>
        <v/>
      </c>
    </row>
    <row r="1217">
      <c r="N1217">
        <f>IF(AND(ISNUMBER(L1217),ISNUMBER(M1217)),L1217-M1217,"")</f>
        <v/>
      </c>
    </row>
    <row r="1218">
      <c r="N1218">
        <f>IF(AND(ISNUMBER(L1218),ISNUMBER(M1218)),L1218-M1218,"")</f>
        <v/>
      </c>
    </row>
    <row r="1219">
      <c r="N1219">
        <f>IF(AND(ISNUMBER(L1219),ISNUMBER(M1219)),L1219-M1219,"")</f>
        <v/>
      </c>
    </row>
    <row r="1220">
      <c r="N1220">
        <f>IF(AND(ISNUMBER(L1220),ISNUMBER(M1220)),L1220-M1220,"")</f>
        <v/>
      </c>
    </row>
    <row r="1221">
      <c r="N1221">
        <f>IF(AND(ISNUMBER(L1221),ISNUMBER(M1221)),L1221-M1221,"")</f>
        <v/>
      </c>
    </row>
    <row r="1222">
      <c r="N1222">
        <f>IF(AND(ISNUMBER(L1222),ISNUMBER(M1222)),L1222-M1222,"")</f>
        <v/>
      </c>
    </row>
    <row r="1223">
      <c r="N1223">
        <f>IF(AND(ISNUMBER(L1223),ISNUMBER(M1223)),L1223-M1223,"")</f>
        <v/>
      </c>
    </row>
    <row r="1224">
      <c r="N1224">
        <f>IF(AND(ISNUMBER(L1224),ISNUMBER(M1224)),L1224-M1224,"")</f>
        <v/>
      </c>
    </row>
    <row r="1225">
      <c r="N1225">
        <f>IF(AND(ISNUMBER(L1225),ISNUMBER(M1225)),L1225-M1225,"")</f>
        <v/>
      </c>
    </row>
    <row r="1226">
      <c r="N1226">
        <f>IF(AND(ISNUMBER(L1226),ISNUMBER(M1226)),L1226-M1226,"")</f>
        <v/>
      </c>
    </row>
    <row r="1227">
      <c r="N1227">
        <f>IF(AND(ISNUMBER(L1227),ISNUMBER(M1227)),L1227-M1227,"")</f>
        <v/>
      </c>
    </row>
    <row r="1228">
      <c r="N1228">
        <f>IF(AND(ISNUMBER(L1228),ISNUMBER(M1228)),L1228-M1228,"")</f>
        <v/>
      </c>
    </row>
    <row r="1229">
      <c r="N1229">
        <f>IF(AND(ISNUMBER(L1229),ISNUMBER(M1229)),L1229-M1229,"")</f>
        <v/>
      </c>
    </row>
    <row r="1230">
      <c r="N1230">
        <f>IF(AND(ISNUMBER(L1230),ISNUMBER(M1230)),L1230-M1230,"")</f>
        <v/>
      </c>
    </row>
    <row r="1231">
      <c r="N1231">
        <f>IF(AND(ISNUMBER(L1231),ISNUMBER(M1231)),L1231-M1231,"")</f>
        <v/>
      </c>
    </row>
    <row r="1232">
      <c r="N1232">
        <f>IF(AND(ISNUMBER(L1232),ISNUMBER(M1232)),L1232-M1232,"")</f>
        <v/>
      </c>
    </row>
    <row r="1233">
      <c r="N1233">
        <f>IF(AND(ISNUMBER(L1233),ISNUMBER(M1233)),L1233-M1233,"")</f>
        <v/>
      </c>
    </row>
    <row r="1234">
      <c r="N1234">
        <f>IF(AND(ISNUMBER(L1234),ISNUMBER(M1234)),L1234-M1234,"")</f>
        <v/>
      </c>
    </row>
    <row r="1235">
      <c r="N1235">
        <f>IF(AND(ISNUMBER(L1235),ISNUMBER(M1235)),L1235-M1235,"")</f>
        <v/>
      </c>
    </row>
    <row r="1236">
      <c r="N1236">
        <f>IF(AND(ISNUMBER(L1236),ISNUMBER(M1236)),L1236-M1236,"")</f>
        <v/>
      </c>
    </row>
    <row r="1237">
      <c r="N1237">
        <f>IF(AND(ISNUMBER(L1237),ISNUMBER(M1237)),L1237-M1237,"")</f>
        <v/>
      </c>
    </row>
    <row r="1238">
      <c r="N1238">
        <f>IF(AND(ISNUMBER(L1238),ISNUMBER(M1238)),L1238-M1238,"")</f>
        <v/>
      </c>
    </row>
    <row r="1239">
      <c r="N1239">
        <f>IF(AND(ISNUMBER(L1239),ISNUMBER(M1239)),L1239-M1239,"")</f>
        <v/>
      </c>
    </row>
    <row r="1240">
      <c r="N1240">
        <f>IF(AND(ISNUMBER(L1240),ISNUMBER(M1240)),L1240-M1240,"")</f>
        <v/>
      </c>
    </row>
    <row r="1241">
      <c r="N1241">
        <f>IF(AND(ISNUMBER(L1241),ISNUMBER(M1241)),L1241-M1241,"")</f>
        <v/>
      </c>
    </row>
    <row r="1242">
      <c r="N1242">
        <f>IF(AND(ISNUMBER(L1242),ISNUMBER(M1242)),L1242-M1242,"")</f>
        <v/>
      </c>
    </row>
    <row r="1243">
      <c r="N1243">
        <f>IF(AND(ISNUMBER(L1243),ISNUMBER(M1243)),L1243-M1243,"")</f>
        <v/>
      </c>
    </row>
    <row r="1244">
      <c r="N1244">
        <f>IF(AND(ISNUMBER(L1244),ISNUMBER(M1244)),L1244-M1244,"")</f>
        <v/>
      </c>
    </row>
    <row r="1245">
      <c r="N1245">
        <f>IF(AND(ISNUMBER(L1245),ISNUMBER(M1245)),L1245-M1245,"")</f>
        <v/>
      </c>
    </row>
    <row r="1246">
      <c r="N1246">
        <f>IF(AND(ISNUMBER(L1246),ISNUMBER(M1246)),L1246-M1246,"")</f>
        <v/>
      </c>
    </row>
    <row r="1247">
      <c r="N1247">
        <f>IF(AND(ISNUMBER(L1247),ISNUMBER(M1247)),L1247-M1247,"")</f>
        <v/>
      </c>
    </row>
    <row r="1248">
      <c r="N1248">
        <f>IF(AND(ISNUMBER(L1248),ISNUMBER(M1248)),L1248-M1248,"")</f>
        <v/>
      </c>
    </row>
    <row r="1249">
      <c r="N1249">
        <f>IF(AND(ISNUMBER(L1249),ISNUMBER(M1249)),L1249-M1249,"")</f>
        <v/>
      </c>
    </row>
    <row r="1250">
      <c r="N1250">
        <f>IF(AND(ISNUMBER(L1250),ISNUMBER(M1250)),L1250-M1250,"")</f>
        <v/>
      </c>
    </row>
    <row r="1251">
      <c r="N1251">
        <f>IF(AND(ISNUMBER(L1251),ISNUMBER(M1251)),L1251-M1251,"")</f>
        <v/>
      </c>
    </row>
    <row r="1252">
      <c r="N1252">
        <f>IF(AND(ISNUMBER(L1252),ISNUMBER(M1252)),L1252-M1252,"")</f>
        <v/>
      </c>
    </row>
    <row r="1253">
      <c r="N1253">
        <f>IF(AND(ISNUMBER(L1253),ISNUMBER(M1253)),L1253-M1253,"")</f>
        <v/>
      </c>
    </row>
    <row r="1254">
      <c r="N1254">
        <f>IF(AND(ISNUMBER(L1254),ISNUMBER(M1254)),L1254-M1254,"")</f>
        <v/>
      </c>
    </row>
    <row r="1255">
      <c r="N1255">
        <f>IF(AND(ISNUMBER(L1255),ISNUMBER(M1255)),L1255-M1255,"")</f>
        <v/>
      </c>
    </row>
    <row r="1256">
      <c r="N1256">
        <f>IF(AND(ISNUMBER(L1256),ISNUMBER(M1256)),L1256-M1256,"")</f>
        <v/>
      </c>
    </row>
    <row r="1257">
      <c r="N1257">
        <f>IF(AND(ISNUMBER(L1257),ISNUMBER(M1257)),L1257-M1257,"")</f>
        <v/>
      </c>
    </row>
    <row r="1258">
      <c r="N1258">
        <f>IF(AND(ISNUMBER(L1258),ISNUMBER(M1258)),L1258-M1258,"")</f>
        <v/>
      </c>
    </row>
    <row r="1259">
      <c r="N1259">
        <f>IF(AND(ISNUMBER(L1259),ISNUMBER(M1259)),L1259-M1259,"")</f>
        <v/>
      </c>
    </row>
    <row r="1260">
      <c r="N1260">
        <f>IF(AND(ISNUMBER(L1260),ISNUMBER(M1260)),L1260-M1260,"")</f>
        <v/>
      </c>
    </row>
    <row r="1261">
      <c r="N1261">
        <f>IF(AND(ISNUMBER(L1261),ISNUMBER(M1261)),L1261-M1261,"")</f>
        <v/>
      </c>
    </row>
    <row r="1262">
      <c r="N1262">
        <f>IF(AND(ISNUMBER(L1262),ISNUMBER(M1262)),L1262-M1262,"")</f>
        <v/>
      </c>
    </row>
    <row r="1263">
      <c r="N1263">
        <f>IF(AND(ISNUMBER(L1263),ISNUMBER(M1263)),L1263-M1263,"")</f>
        <v/>
      </c>
    </row>
    <row r="1264">
      <c r="N1264">
        <f>IF(AND(ISNUMBER(L1264),ISNUMBER(M1264)),L1264-M1264,"")</f>
        <v/>
      </c>
    </row>
    <row r="1265">
      <c r="N1265">
        <f>IF(AND(ISNUMBER(L1265),ISNUMBER(M1265)),L1265-M1265,"")</f>
        <v/>
      </c>
    </row>
    <row r="1266">
      <c r="N1266">
        <f>IF(AND(ISNUMBER(L1266),ISNUMBER(M1266)),L1266-M1266,"")</f>
        <v/>
      </c>
    </row>
    <row r="1267">
      <c r="N1267">
        <f>IF(AND(ISNUMBER(L1267),ISNUMBER(M1267)),L1267-M1267,"")</f>
        <v/>
      </c>
    </row>
    <row r="1268">
      <c r="N1268">
        <f>IF(AND(ISNUMBER(L1268),ISNUMBER(M1268)),L1268-M1268,"")</f>
        <v/>
      </c>
    </row>
    <row r="1269">
      <c r="N1269">
        <f>IF(AND(ISNUMBER(L1269),ISNUMBER(M1269)),L1269-M1269,"")</f>
        <v/>
      </c>
    </row>
    <row r="1270">
      <c r="N1270">
        <f>IF(AND(ISNUMBER(L1270),ISNUMBER(M1270)),L1270-M1270,"")</f>
        <v/>
      </c>
    </row>
    <row r="1271">
      <c r="N1271">
        <f>IF(AND(ISNUMBER(L1271),ISNUMBER(M1271)),L1271-M1271,"")</f>
        <v/>
      </c>
    </row>
    <row r="1272">
      <c r="N1272">
        <f>IF(AND(ISNUMBER(L1272),ISNUMBER(M1272)),L1272-M1272,"")</f>
        <v/>
      </c>
    </row>
    <row r="1273">
      <c r="N1273">
        <f>IF(AND(ISNUMBER(L1273),ISNUMBER(M1273)),L1273-M1273,"")</f>
        <v/>
      </c>
    </row>
    <row r="1274">
      <c r="N1274">
        <f>IF(AND(ISNUMBER(L1274),ISNUMBER(M1274)),L1274-M1274,"")</f>
        <v/>
      </c>
    </row>
    <row r="1275">
      <c r="N1275">
        <f>IF(AND(ISNUMBER(L1275),ISNUMBER(M1275)),L1275-M1275,"")</f>
        <v/>
      </c>
    </row>
    <row r="1276">
      <c r="N1276">
        <f>IF(AND(ISNUMBER(L1276),ISNUMBER(M1276)),L1276-M1276,"")</f>
        <v/>
      </c>
    </row>
    <row r="1277">
      <c r="N1277">
        <f>IF(AND(ISNUMBER(L1277),ISNUMBER(M1277)),L1277-M1277,"")</f>
        <v/>
      </c>
    </row>
    <row r="1278">
      <c r="N1278">
        <f>IF(AND(ISNUMBER(L1278),ISNUMBER(M1278)),L1278-M1278,"")</f>
        <v/>
      </c>
    </row>
    <row r="1279">
      <c r="N1279">
        <f>IF(AND(ISNUMBER(L1279),ISNUMBER(M1279)),L1279-M1279,"")</f>
        <v/>
      </c>
    </row>
    <row r="1280">
      <c r="N1280">
        <f>IF(AND(ISNUMBER(L1280),ISNUMBER(M1280)),L1280-M1280,"")</f>
        <v/>
      </c>
    </row>
    <row r="1281">
      <c r="N1281">
        <f>IF(AND(ISNUMBER(L1281),ISNUMBER(M1281)),L1281-M1281,"")</f>
        <v/>
      </c>
    </row>
    <row r="1282">
      <c r="N1282">
        <f>IF(AND(ISNUMBER(L1282),ISNUMBER(M1282)),L1282-M1282,"")</f>
        <v/>
      </c>
    </row>
    <row r="1283">
      <c r="N1283">
        <f>IF(AND(ISNUMBER(L1283),ISNUMBER(M1283)),L1283-M1283,"")</f>
        <v/>
      </c>
    </row>
    <row r="1284">
      <c r="N1284">
        <f>IF(AND(ISNUMBER(L1284),ISNUMBER(M1284)),L1284-M1284,"")</f>
        <v/>
      </c>
    </row>
    <row r="1285">
      <c r="N1285">
        <f>IF(AND(ISNUMBER(L1285),ISNUMBER(M1285)),L1285-M1285,"")</f>
        <v/>
      </c>
    </row>
    <row r="1286">
      <c r="N1286">
        <f>IF(AND(ISNUMBER(L1286),ISNUMBER(M1286)),L1286-M1286,"")</f>
        <v/>
      </c>
    </row>
    <row r="1287">
      <c r="N1287">
        <f>IF(AND(ISNUMBER(L1287),ISNUMBER(M1287)),L1287-M1287,"")</f>
        <v/>
      </c>
    </row>
    <row r="1288">
      <c r="N1288">
        <f>IF(AND(ISNUMBER(L1288),ISNUMBER(M1288)),L1288-M1288,"")</f>
        <v/>
      </c>
    </row>
    <row r="1289">
      <c r="N1289">
        <f>IF(AND(ISNUMBER(L1289),ISNUMBER(M1289)),L1289-M1289,"")</f>
        <v/>
      </c>
    </row>
    <row r="1290">
      <c r="N1290">
        <f>IF(AND(ISNUMBER(L1290),ISNUMBER(M1290)),L1290-M1290,"")</f>
        <v/>
      </c>
    </row>
    <row r="1291">
      <c r="N1291">
        <f>IF(AND(ISNUMBER(L1291),ISNUMBER(M1291)),L1291-M1291,"")</f>
        <v/>
      </c>
    </row>
    <row r="1292">
      <c r="N1292">
        <f>IF(AND(ISNUMBER(L1292),ISNUMBER(M1292)),L1292-M1292,"")</f>
        <v/>
      </c>
    </row>
    <row r="1293">
      <c r="N1293">
        <f>IF(AND(ISNUMBER(L1293),ISNUMBER(M1293)),L1293-M1293,"")</f>
        <v/>
      </c>
    </row>
    <row r="1294">
      <c r="N1294">
        <f>IF(AND(ISNUMBER(L1294),ISNUMBER(M1294)),L1294-M1294,"")</f>
        <v/>
      </c>
    </row>
    <row r="1295">
      <c r="N1295">
        <f>IF(AND(ISNUMBER(L1295),ISNUMBER(M1295)),L1295-M1295,"")</f>
        <v/>
      </c>
    </row>
    <row r="1296">
      <c r="N1296">
        <f>IF(AND(ISNUMBER(L1296),ISNUMBER(M1296)),L1296-M1296,"")</f>
        <v/>
      </c>
    </row>
    <row r="1297">
      <c r="N1297">
        <f>IF(AND(ISNUMBER(L1297),ISNUMBER(M1297)),L1297-M1297,"")</f>
        <v/>
      </c>
    </row>
    <row r="1298">
      <c r="N1298">
        <f>IF(AND(ISNUMBER(L1298),ISNUMBER(M1298)),L1298-M1298,"")</f>
        <v/>
      </c>
    </row>
    <row r="1299">
      <c r="N1299">
        <f>IF(AND(ISNUMBER(L1299),ISNUMBER(M1299)),L1299-M1299,"")</f>
        <v/>
      </c>
    </row>
    <row r="1300">
      <c r="N1300">
        <f>IF(AND(ISNUMBER(L1300),ISNUMBER(M1300)),L1300-M1300,"")</f>
        <v/>
      </c>
    </row>
    <row r="1301">
      <c r="N1301">
        <f>IF(AND(ISNUMBER(L1301),ISNUMBER(M1301)),L1301-M1301,"")</f>
        <v/>
      </c>
    </row>
    <row r="1302">
      <c r="N1302">
        <f>IF(AND(ISNUMBER(L1302),ISNUMBER(M1302)),L1302-M1302,"")</f>
        <v/>
      </c>
    </row>
    <row r="1303">
      <c r="N1303">
        <f>IF(AND(ISNUMBER(L1303),ISNUMBER(M1303)),L1303-M1303,"")</f>
        <v/>
      </c>
    </row>
    <row r="1304">
      <c r="N1304">
        <f>IF(AND(ISNUMBER(L1304),ISNUMBER(M1304)),L1304-M1304,"")</f>
        <v/>
      </c>
    </row>
    <row r="1305">
      <c r="N1305">
        <f>IF(AND(ISNUMBER(L1305),ISNUMBER(M1305)),L1305-M1305,"")</f>
        <v/>
      </c>
    </row>
    <row r="1306">
      <c r="N1306">
        <f>IF(AND(ISNUMBER(L1306),ISNUMBER(M1306)),L1306-M1306,"")</f>
        <v/>
      </c>
    </row>
    <row r="1307">
      <c r="N1307">
        <f>IF(AND(ISNUMBER(L1307),ISNUMBER(M1307)),L1307-M1307,"")</f>
        <v/>
      </c>
    </row>
    <row r="1308">
      <c r="N1308">
        <f>IF(AND(ISNUMBER(L1308),ISNUMBER(M1308)),L1308-M1308,"")</f>
        <v/>
      </c>
    </row>
    <row r="1309">
      <c r="N1309">
        <f>IF(AND(ISNUMBER(L1309),ISNUMBER(M1309)),L1309-M1309,"")</f>
        <v/>
      </c>
    </row>
    <row r="1310">
      <c r="N1310">
        <f>IF(AND(ISNUMBER(L1310),ISNUMBER(M1310)),L1310-M1310,"")</f>
        <v/>
      </c>
    </row>
    <row r="1311">
      <c r="N1311">
        <f>IF(AND(ISNUMBER(L1311),ISNUMBER(M1311)),L1311-M1311,"")</f>
        <v/>
      </c>
    </row>
    <row r="1312">
      <c r="N1312">
        <f>IF(AND(ISNUMBER(L1312),ISNUMBER(M1312)),L1312-M1312,"")</f>
        <v/>
      </c>
    </row>
    <row r="1313">
      <c r="N1313">
        <f>IF(AND(ISNUMBER(L1313),ISNUMBER(M1313)),L1313-M1313,"")</f>
        <v/>
      </c>
    </row>
    <row r="1314">
      <c r="N1314">
        <f>IF(AND(ISNUMBER(L1314),ISNUMBER(M1314)),L1314-M1314,"")</f>
        <v/>
      </c>
    </row>
    <row r="1315">
      <c r="N1315">
        <f>IF(AND(ISNUMBER(L1315),ISNUMBER(M1315)),L1315-M1315,"")</f>
        <v/>
      </c>
    </row>
    <row r="1316">
      <c r="N1316">
        <f>IF(AND(ISNUMBER(L1316),ISNUMBER(M1316)),L1316-M1316,"")</f>
        <v/>
      </c>
    </row>
    <row r="1317">
      <c r="N1317">
        <f>IF(AND(ISNUMBER(L1317),ISNUMBER(M1317)),L1317-M1317,"")</f>
        <v/>
      </c>
    </row>
    <row r="1318">
      <c r="N1318">
        <f>IF(AND(ISNUMBER(L1318),ISNUMBER(M1318)),L1318-M1318,"")</f>
        <v/>
      </c>
    </row>
    <row r="1319">
      <c r="N1319">
        <f>IF(AND(ISNUMBER(L1319),ISNUMBER(M1319)),L1319-M1319,"")</f>
        <v/>
      </c>
    </row>
    <row r="1320">
      <c r="N1320">
        <f>IF(AND(ISNUMBER(L1320),ISNUMBER(M1320)),L1320-M1320,"")</f>
        <v/>
      </c>
    </row>
    <row r="1321">
      <c r="N1321">
        <f>IF(AND(ISNUMBER(L1321),ISNUMBER(M1321)),L1321-M1321,"")</f>
        <v/>
      </c>
    </row>
    <row r="1322">
      <c r="N1322">
        <f>IF(AND(ISNUMBER(L1322),ISNUMBER(M1322)),L1322-M1322,"")</f>
        <v/>
      </c>
    </row>
    <row r="1323">
      <c r="N1323">
        <f>IF(AND(ISNUMBER(L1323),ISNUMBER(M1323)),L1323-M1323,"")</f>
        <v/>
      </c>
    </row>
    <row r="1324">
      <c r="N1324">
        <f>IF(AND(ISNUMBER(L1324),ISNUMBER(M1324)),L1324-M1324,"")</f>
        <v/>
      </c>
    </row>
    <row r="1325">
      <c r="N1325">
        <f>IF(AND(ISNUMBER(L1325),ISNUMBER(M1325)),L1325-M1325,"")</f>
        <v/>
      </c>
    </row>
    <row r="1326">
      <c r="N1326">
        <f>IF(AND(ISNUMBER(L1326),ISNUMBER(M1326)),L1326-M1326,"")</f>
        <v/>
      </c>
    </row>
    <row r="1327">
      <c r="N1327">
        <f>IF(AND(ISNUMBER(L1327),ISNUMBER(M1327)),L1327-M1327,"")</f>
        <v/>
      </c>
    </row>
    <row r="1328">
      <c r="N1328">
        <f>IF(AND(ISNUMBER(L1328),ISNUMBER(M1328)),L1328-M1328,"")</f>
        <v/>
      </c>
    </row>
    <row r="1329">
      <c r="N1329">
        <f>IF(AND(ISNUMBER(L1329),ISNUMBER(M1329)),L1329-M1329,"")</f>
        <v/>
      </c>
    </row>
    <row r="1330">
      <c r="N1330">
        <f>IF(AND(ISNUMBER(L1330),ISNUMBER(M1330)),L1330-M1330,"")</f>
        <v/>
      </c>
    </row>
    <row r="1331">
      <c r="N1331">
        <f>IF(AND(ISNUMBER(L1331),ISNUMBER(M1331)),L1331-M1331,"")</f>
        <v/>
      </c>
    </row>
    <row r="1332">
      <c r="N1332">
        <f>IF(AND(ISNUMBER(L1332),ISNUMBER(M1332)),L1332-M1332,"")</f>
        <v/>
      </c>
    </row>
    <row r="1333">
      <c r="N1333">
        <f>IF(AND(ISNUMBER(L1333),ISNUMBER(M1333)),L1333-M1333,"")</f>
        <v/>
      </c>
    </row>
    <row r="1334">
      <c r="N1334">
        <f>IF(AND(ISNUMBER(L1334),ISNUMBER(M1334)),L1334-M1334,"")</f>
        <v/>
      </c>
    </row>
    <row r="1335">
      <c r="N1335">
        <f>IF(AND(ISNUMBER(L1335),ISNUMBER(M1335)),L1335-M1335,"")</f>
        <v/>
      </c>
    </row>
    <row r="1336">
      <c r="N1336">
        <f>IF(AND(ISNUMBER(L1336),ISNUMBER(M1336)),L1336-M1336,"")</f>
        <v/>
      </c>
    </row>
    <row r="1337">
      <c r="N1337">
        <f>IF(AND(ISNUMBER(L1337),ISNUMBER(M1337)),L1337-M1337,"")</f>
        <v/>
      </c>
    </row>
    <row r="1338">
      <c r="N1338">
        <f>IF(AND(ISNUMBER(L1338),ISNUMBER(M1338)),L1338-M1338,"")</f>
        <v/>
      </c>
    </row>
    <row r="1339">
      <c r="N1339">
        <f>IF(AND(ISNUMBER(L1339),ISNUMBER(M1339)),L1339-M1339,"")</f>
        <v/>
      </c>
    </row>
    <row r="1340">
      <c r="N1340">
        <f>IF(AND(ISNUMBER(L1340),ISNUMBER(M1340)),L1340-M1340,"")</f>
        <v/>
      </c>
    </row>
    <row r="1341">
      <c r="N1341">
        <f>IF(AND(ISNUMBER(L1341),ISNUMBER(M1341)),L1341-M1341,"")</f>
        <v/>
      </c>
    </row>
    <row r="1342">
      <c r="N1342">
        <f>IF(AND(ISNUMBER(L1342),ISNUMBER(M1342)),L1342-M1342,"")</f>
        <v/>
      </c>
    </row>
    <row r="1343">
      <c r="N1343">
        <f>IF(AND(ISNUMBER(L1343),ISNUMBER(M1343)),L1343-M1343,"")</f>
        <v/>
      </c>
    </row>
    <row r="1344">
      <c r="N1344">
        <f>IF(AND(ISNUMBER(L1344),ISNUMBER(M1344)),L1344-M1344,"")</f>
        <v/>
      </c>
    </row>
    <row r="1345">
      <c r="N1345">
        <f>IF(AND(ISNUMBER(L1345),ISNUMBER(M1345)),L1345-M1345,"")</f>
        <v/>
      </c>
    </row>
    <row r="1346">
      <c r="N1346">
        <f>IF(AND(ISNUMBER(L1346),ISNUMBER(M1346)),L1346-M1346,"")</f>
        <v/>
      </c>
    </row>
    <row r="1347">
      <c r="N1347">
        <f>IF(AND(ISNUMBER(L1347),ISNUMBER(M1347)),L1347-M1347,"")</f>
        <v/>
      </c>
    </row>
    <row r="1348">
      <c r="N1348">
        <f>IF(AND(ISNUMBER(L1348),ISNUMBER(M1348)),L1348-M1348,"")</f>
        <v/>
      </c>
    </row>
    <row r="1349">
      <c r="N1349">
        <f>IF(AND(ISNUMBER(L1349),ISNUMBER(M1349)),L1349-M1349,"")</f>
        <v/>
      </c>
    </row>
    <row r="1350">
      <c r="N1350">
        <f>IF(AND(ISNUMBER(L1350),ISNUMBER(M1350)),L1350-M1350,"")</f>
        <v/>
      </c>
    </row>
    <row r="1351">
      <c r="N1351">
        <f>IF(AND(ISNUMBER(L1351),ISNUMBER(M1351)),L1351-M1351,"")</f>
        <v/>
      </c>
    </row>
    <row r="1352">
      <c r="N1352">
        <f>IF(AND(ISNUMBER(L1352),ISNUMBER(M1352)),L1352-M1352,"")</f>
        <v/>
      </c>
    </row>
    <row r="1353">
      <c r="N1353">
        <f>IF(AND(ISNUMBER(L1353),ISNUMBER(M1353)),L1353-M1353,"")</f>
        <v/>
      </c>
    </row>
    <row r="1354">
      <c r="N1354">
        <f>IF(AND(ISNUMBER(L1354),ISNUMBER(M1354)),L1354-M1354,"")</f>
        <v/>
      </c>
    </row>
    <row r="1355">
      <c r="N1355">
        <f>IF(AND(ISNUMBER(L1355),ISNUMBER(M1355)),L1355-M1355,"")</f>
        <v/>
      </c>
    </row>
    <row r="1356">
      <c r="N1356">
        <f>IF(AND(ISNUMBER(L1356),ISNUMBER(M1356)),L1356-M1356,"")</f>
        <v/>
      </c>
    </row>
    <row r="1357">
      <c r="N1357">
        <f>IF(AND(ISNUMBER(L1357),ISNUMBER(M1357)),L1357-M1357,"")</f>
        <v/>
      </c>
    </row>
    <row r="1358">
      <c r="N1358">
        <f>IF(AND(ISNUMBER(L1358),ISNUMBER(M1358)),L1358-M1358,"")</f>
        <v/>
      </c>
    </row>
    <row r="1359">
      <c r="N1359">
        <f>IF(AND(ISNUMBER(L1359),ISNUMBER(M1359)),L1359-M1359,"")</f>
        <v/>
      </c>
    </row>
    <row r="1360">
      <c r="N1360">
        <f>IF(AND(ISNUMBER(L1360),ISNUMBER(M1360)),L1360-M1360,"")</f>
        <v/>
      </c>
    </row>
    <row r="1361">
      <c r="N1361">
        <f>IF(AND(ISNUMBER(L1361),ISNUMBER(M1361)),L1361-M1361,"")</f>
        <v/>
      </c>
    </row>
    <row r="1362">
      <c r="N1362">
        <f>IF(AND(ISNUMBER(L1362),ISNUMBER(M1362)),L1362-M1362,"")</f>
        <v/>
      </c>
    </row>
    <row r="1363">
      <c r="N1363">
        <f>IF(AND(ISNUMBER(L1363),ISNUMBER(M1363)),L1363-M1363,"")</f>
        <v/>
      </c>
    </row>
    <row r="1364">
      <c r="N1364">
        <f>IF(AND(ISNUMBER(L1364),ISNUMBER(M1364)),L1364-M1364,"")</f>
        <v/>
      </c>
    </row>
    <row r="1365">
      <c r="N1365">
        <f>IF(AND(ISNUMBER(L1365),ISNUMBER(M1365)),L1365-M1365,"")</f>
        <v/>
      </c>
    </row>
    <row r="1366">
      <c r="N1366">
        <f>IF(AND(ISNUMBER(L1366),ISNUMBER(M1366)),L1366-M1366,"")</f>
        <v/>
      </c>
    </row>
    <row r="1367">
      <c r="N1367">
        <f>IF(AND(ISNUMBER(L1367),ISNUMBER(M1367)),L1367-M1367,"")</f>
        <v/>
      </c>
    </row>
    <row r="1368">
      <c r="N1368">
        <f>IF(AND(ISNUMBER(L1368),ISNUMBER(M1368)),L1368-M1368,"")</f>
        <v/>
      </c>
    </row>
    <row r="1369">
      <c r="N1369">
        <f>IF(AND(ISNUMBER(L1369),ISNUMBER(M1369)),L1369-M1369,"")</f>
        <v/>
      </c>
    </row>
    <row r="1370">
      <c r="N1370">
        <f>IF(AND(ISNUMBER(L1370),ISNUMBER(M1370)),L1370-M1370,"")</f>
        <v/>
      </c>
    </row>
    <row r="1371">
      <c r="N1371">
        <f>IF(AND(ISNUMBER(L1371),ISNUMBER(M1371)),L1371-M1371,"")</f>
        <v/>
      </c>
    </row>
    <row r="1372">
      <c r="N1372">
        <f>IF(AND(ISNUMBER(L1372),ISNUMBER(M1372)),L1372-M1372,"")</f>
        <v/>
      </c>
    </row>
    <row r="1373">
      <c r="N1373">
        <f>IF(AND(ISNUMBER(L1373),ISNUMBER(M1373)),L1373-M1373,"")</f>
        <v/>
      </c>
    </row>
    <row r="1374">
      <c r="N1374">
        <f>IF(AND(ISNUMBER(L1374),ISNUMBER(M1374)),L1374-M1374,"")</f>
        <v/>
      </c>
    </row>
    <row r="1375">
      <c r="N1375">
        <f>IF(AND(ISNUMBER(L1375),ISNUMBER(M1375)),L1375-M1375,"")</f>
        <v/>
      </c>
    </row>
    <row r="1376">
      <c r="N1376">
        <f>IF(AND(ISNUMBER(L1376),ISNUMBER(M1376)),L1376-M1376,"")</f>
        <v/>
      </c>
    </row>
    <row r="1377">
      <c r="N1377">
        <f>IF(AND(ISNUMBER(L1377),ISNUMBER(M1377)),L1377-M1377,"")</f>
        <v/>
      </c>
    </row>
    <row r="1378">
      <c r="N1378">
        <f>IF(AND(ISNUMBER(L1378),ISNUMBER(M1378)),L1378-M1378,"")</f>
        <v/>
      </c>
    </row>
    <row r="1379">
      <c r="N1379">
        <f>IF(AND(ISNUMBER(L1379),ISNUMBER(M1379)),L1379-M1379,"")</f>
        <v/>
      </c>
    </row>
    <row r="1380">
      <c r="N1380">
        <f>IF(AND(ISNUMBER(L1380),ISNUMBER(M1380)),L1380-M1380,"")</f>
        <v/>
      </c>
    </row>
    <row r="1381">
      <c r="N1381">
        <f>IF(AND(ISNUMBER(L1381),ISNUMBER(M1381)),L1381-M1381,"")</f>
        <v/>
      </c>
    </row>
    <row r="1382">
      <c r="N1382">
        <f>IF(AND(ISNUMBER(L1382),ISNUMBER(M1382)),L1382-M1382,"")</f>
        <v/>
      </c>
    </row>
    <row r="1383">
      <c r="N1383">
        <f>IF(AND(ISNUMBER(L1383),ISNUMBER(M1383)),L1383-M1383,"")</f>
        <v/>
      </c>
    </row>
    <row r="1384">
      <c r="N1384">
        <f>IF(AND(ISNUMBER(L1384),ISNUMBER(M1384)),L1384-M1384,"")</f>
        <v/>
      </c>
    </row>
    <row r="1385">
      <c r="N1385">
        <f>IF(AND(ISNUMBER(L1385),ISNUMBER(M1385)),L1385-M1385,"")</f>
        <v/>
      </c>
    </row>
    <row r="1386">
      <c r="N1386">
        <f>IF(AND(ISNUMBER(L1386),ISNUMBER(M1386)),L1386-M1386,"")</f>
        <v/>
      </c>
    </row>
    <row r="1387">
      <c r="N1387">
        <f>IF(AND(ISNUMBER(L1387),ISNUMBER(M1387)),L1387-M1387,"")</f>
        <v/>
      </c>
    </row>
    <row r="1388">
      <c r="N1388">
        <f>IF(AND(ISNUMBER(L1388),ISNUMBER(M1388)),L1388-M1388,"")</f>
        <v/>
      </c>
    </row>
    <row r="1389">
      <c r="N1389">
        <f>IF(AND(ISNUMBER(L1389),ISNUMBER(M1389)),L1389-M1389,"")</f>
        <v/>
      </c>
    </row>
    <row r="1390">
      <c r="N1390">
        <f>IF(AND(ISNUMBER(L1390),ISNUMBER(M1390)),L1390-M1390,"")</f>
        <v/>
      </c>
    </row>
    <row r="1391">
      <c r="N1391">
        <f>IF(AND(ISNUMBER(L1391),ISNUMBER(M1391)),L1391-M1391,"")</f>
        <v/>
      </c>
    </row>
    <row r="1392">
      <c r="N1392">
        <f>IF(AND(ISNUMBER(L1392),ISNUMBER(M1392)),L1392-M1392,"")</f>
        <v/>
      </c>
    </row>
    <row r="1393">
      <c r="N1393">
        <f>IF(AND(ISNUMBER(L1393),ISNUMBER(M1393)),L1393-M1393,"")</f>
        <v/>
      </c>
    </row>
    <row r="1394">
      <c r="N1394">
        <f>IF(AND(ISNUMBER(L1394),ISNUMBER(M1394)),L1394-M1394,"")</f>
        <v/>
      </c>
    </row>
    <row r="1395">
      <c r="N1395">
        <f>IF(AND(ISNUMBER(L1395),ISNUMBER(M1395)),L1395-M1395,"")</f>
        <v/>
      </c>
    </row>
    <row r="1396">
      <c r="N1396">
        <f>IF(AND(ISNUMBER(L1396),ISNUMBER(M1396)),L1396-M1396,"")</f>
        <v/>
      </c>
    </row>
    <row r="1397">
      <c r="N1397">
        <f>IF(AND(ISNUMBER(L1397),ISNUMBER(M1397)),L1397-M1397,"")</f>
        <v/>
      </c>
    </row>
    <row r="1398">
      <c r="N1398">
        <f>IF(AND(ISNUMBER(L1398),ISNUMBER(M1398)),L1398-M1398,"")</f>
        <v/>
      </c>
    </row>
    <row r="1399">
      <c r="N1399">
        <f>IF(AND(ISNUMBER(L1399),ISNUMBER(M1399)),L1399-M1399,"")</f>
        <v/>
      </c>
    </row>
    <row r="1400">
      <c r="N1400">
        <f>IF(AND(ISNUMBER(L1400),ISNUMBER(M1400)),L1400-M1400,"")</f>
        <v/>
      </c>
    </row>
    <row r="1401">
      <c r="N1401">
        <f>IF(AND(ISNUMBER(L1401),ISNUMBER(M1401)),L1401-M1401,"")</f>
        <v/>
      </c>
    </row>
    <row r="1402">
      <c r="N1402">
        <f>IF(AND(ISNUMBER(L1402),ISNUMBER(M1402)),L1402-M1402,"")</f>
        <v/>
      </c>
    </row>
    <row r="1403">
      <c r="N1403">
        <f>IF(AND(ISNUMBER(L1403),ISNUMBER(M1403)),L1403-M1403,"")</f>
        <v/>
      </c>
    </row>
    <row r="1404">
      <c r="N1404">
        <f>IF(AND(ISNUMBER(L1404),ISNUMBER(M1404)),L1404-M1404,"")</f>
        <v/>
      </c>
    </row>
    <row r="1405">
      <c r="N1405">
        <f>IF(AND(ISNUMBER(L1405),ISNUMBER(M1405)),L1405-M1405,"")</f>
        <v/>
      </c>
    </row>
    <row r="1406">
      <c r="N1406">
        <f>IF(AND(ISNUMBER(L1406),ISNUMBER(M1406)),L1406-M1406,"")</f>
        <v/>
      </c>
    </row>
    <row r="1407">
      <c r="N1407">
        <f>IF(AND(ISNUMBER(L1407),ISNUMBER(M1407)),L1407-M1407,"")</f>
        <v/>
      </c>
    </row>
    <row r="1408">
      <c r="N1408">
        <f>IF(AND(ISNUMBER(L1408),ISNUMBER(M1408)),L1408-M1408,"")</f>
        <v/>
      </c>
    </row>
    <row r="1409">
      <c r="N1409">
        <f>IF(AND(ISNUMBER(L1409),ISNUMBER(M1409)),L1409-M1409,"")</f>
        <v/>
      </c>
    </row>
    <row r="1410">
      <c r="N1410">
        <f>IF(AND(ISNUMBER(L1410),ISNUMBER(M1410)),L1410-M1410,"")</f>
        <v/>
      </c>
    </row>
    <row r="1411">
      <c r="N1411">
        <f>IF(AND(ISNUMBER(L1411),ISNUMBER(M1411)),L1411-M1411,"")</f>
        <v/>
      </c>
    </row>
    <row r="1412">
      <c r="N1412">
        <f>IF(AND(ISNUMBER(L1412),ISNUMBER(M1412)),L1412-M1412,"")</f>
        <v/>
      </c>
    </row>
    <row r="1413">
      <c r="N1413">
        <f>IF(AND(ISNUMBER(L1413),ISNUMBER(M1413)),L1413-M1413,"")</f>
        <v/>
      </c>
    </row>
    <row r="1414">
      <c r="N1414">
        <f>IF(AND(ISNUMBER(L1414),ISNUMBER(M1414)),L1414-M1414,"")</f>
        <v/>
      </c>
    </row>
    <row r="1415">
      <c r="N1415">
        <f>IF(AND(ISNUMBER(L1415),ISNUMBER(M1415)),L1415-M1415,"")</f>
        <v/>
      </c>
    </row>
    <row r="1416">
      <c r="N1416">
        <f>IF(AND(ISNUMBER(L1416),ISNUMBER(M1416)),L1416-M1416,"")</f>
        <v/>
      </c>
    </row>
    <row r="1417">
      <c r="N1417">
        <f>IF(AND(ISNUMBER(L1417),ISNUMBER(M1417)),L1417-M1417,"")</f>
        <v/>
      </c>
    </row>
    <row r="1418">
      <c r="N1418">
        <f>IF(AND(ISNUMBER(L1418),ISNUMBER(M1418)),L1418-M1418,"")</f>
        <v/>
      </c>
    </row>
    <row r="1419">
      <c r="N1419">
        <f>IF(AND(ISNUMBER(L1419),ISNUMBER(M1419)),L1419-M1419,"")</f>
        <v/>
      </c>
    </row>
    <row r="1420">
      <c r="N1420">
        <f>IF(AND(ISNUMBER(L1420),ISNUMBER(M1420)),L1420-M1420,"")</f>
        <v/>
      </c>
    </row>
    <row r="1421">
      <c r="N1421">
        <f>IF(AND(ISNUMBER(L1421),ISNUMBER(M1421)),L1421-M1421,"")</f>
        <v/>
      </c>
    </row>
    <row r="1422">
      <c r="N1422">
        <f>IF(AND(ISNUMBER(L1422),ISNUMBER(M1422)),L1422-M1422,"")</f>
        <v/>
      </c>
    </row>
    <row r="1423">
      <c r="N1423">
        <f>IF(AND(ISNUMBER(L1423),ISNUMBER(M1423)),L1423-M1423,"")</f>
        <v/>
      </c>
    </row>
    <row r="1424">
      <c r="N1424">
        <f>IF(AND(ISNUMBER(L1424),ISNUMBER(M1424)),L1424-M1424,"")</f>
        <v/>
      </c>
    </row>
    <row r="1425">
      <c r="N1425">
        <f>IF(AND(ISNUMBER(L1425),ISNUMBER(M1425)),L1425-M1425,"")</f>
        <v/>
      </c>
    </row>
    <row r="1426">
      <c r="N1426">
        <f>IF(AND(ISNUMBER(L1426),ISNUMBER(M1426)),L1426-M1426,"")</f>
        <v/>
      </c>
    </row>
    <row r="1427">
      <c r="N1427">
        <f>IF(AND(ISNUMBER(L1427),ISNUMBER(M1427)),L1427-M1427,"")</f>
        <v/>
      </c>
    </row>
    <row r="1428">
      <c r="N1428">
        <f>IF(AND(ISNUMBER(L1428),ISNUMBER(M1428)),L1428-M1428,"")</f>
        <v/>
      </c>
    </row>
    <row r="1429">
      <c r="N1429">
        <f>IF(AND(ISNUMBER(L1429),ISNUMBER(M1429)),L1429-M1429,"")</f>
        <v/>
      </c>
    </row>
    <row r="1430">
      <c r="N1430">
        <f>IF(AND(ISNUMBER(L1430),ISNUMBER(M1430)),L1430-M1430,"")</f>
        <v/>
      </c>
    </row>
    <row r="1431">
      <c r="N1431">
        <f>IF(AND(ISNUMBER(L1431),ISNUMBER(M1431)),L1431-M1431,"")</f>
        <v/>
      </c>
    </row>
    <row r="1432">
      <c r="N1432">
        <f>IF(AND(ISNUMBER(L1432),ISNUMBER(M1432)),L1432-M1432,"")</f>
        <v/>
      </c>
    </row>
    <row r="1433">
      <c r="N1433">
        <f>IF(AND(ISNUMBER(L1433),ISNUMBER(M1433)),L1433-M1433,"")</f>
        <v/>
      </c>
    </row>
    <row r="1434">
      <c r="N1434">
        <f>IF(AND(ISNUMBER(L1434),ISNUMBER(M1434)),L1434-M1434,"")</f>
        <v/>
      </c>
    </row>
    <row r="1435">
      <c r="N1435">
        <f>IF(AND(ISNUMBER(L1435),ISNUMBER(M1435)),L1435-M1435,"")</f>
        <v/>
      </c>
    </row>
    <row r="1436">
      <c r="N1436">
        <f>IF(AND(ISNUMBER(L1436),ISNUMBER(M1436)),L1436-M1436,"")</f>
        <v/>
      </c>
    </row>
    <row r="1437">
      <c r="N1437">
        <f>IF(AND(ISNUMBER(L1437),ISNUMBER(M1437)),L1437-M1437,"")</f>
        <v/>
      </c>
    </row>
    <row r="1438">
      <c r="N1438">
        <f>IF(AND(ISNUMBER(L1438),ISNUMBER(M1438)),L1438-M1438,"")</f>
        <v/>
      </c>
    </row>
    <row r="1439">
      <c r="N1439">
        <f>IF(AND(ISNUMBER(L1439),ISNUMBER(M1439)),L1439-M1439,"")</f>
        <v/>
      </c>
    </row>
    <row r="1440">
      <c r="N1440">
        <f>IF(AND(ISNUMBER(L1440),ISNUMBER(M1440)),L1440-M1440,"")</f>
        <v/>
      </c>
    </row>
    <row r="1441">
      <c r="N1441">
        <f>IF(AND(ISNUMBER(L1441),ISNUMBER(M1441)),L1441-M1441,"")</f>
        <v/>
      </c>
    </row>
    <row r="1442">
      <c r="N1442">
        <f>IF(AND(ISNUMBER(L1442),ISNUMBER(M1442)),L1442-M1442,"")</f>
        <v/>
      </c>
    </row>
    <row r="1443">
      <c r="N1443">
        <f>IF(AND(ISNUMBER(L1443),ISNUMBER(M1443)),L1443-M1443,"")</f>
        <v/>
      </c>
    </row>
    <row r="1444">
      <c r="N1444">
        <f>IF(AND(ISNUMBER(L1444),ISNUMBER(M1444)),L1444-M1444,"")</f>
        <v/>
      </c>
    </row>
    <row r="1445">
      <c r="N1445">
        <f>IF(AND(ISNUMBER(L1445),ISNUMBER(M1445)),L1445-M1445,"")</f>
        <v/>
      </c>
    </row>
    <row r="1446">
      <c r="N1446">
        <f>IF(AND(ISNUMBER(L1446),ISNUMBER(M1446)),L1446-M1446,"")</f>
        <v/>
      </c>
    </row>
    <row r="1447">
      <c r="N1447">
        <f>IF(AND(ISNUMBER(L1447),ISNUMBER(M1447)),L1447-M1447,"")</f>
        <v/>
      </c>
    </row>
    <row r="1448">
      <c r="N1448">
        <f>IF(AND(ISNUMBER(L1448),ISNUMBER(M1448)),L1448-M1448,"")</f>
        <v/>
      </c>
    </row>
    <row r="1449">
      <c r="N1449">
        <f>IF(AND(ISNUMBER(L1449),ISNUMBER(M1449)),L1449-M1449,"")</f>
        <v/>
      </c>
    </row>
    <row r="1450">
      <c r="N1450">
        <f>IF(AND(ISNUMBER(L1450),ISNUMBER(M1450)),L1450-M1450,"")</f>
        <v/>
      </c>
    </row>
    <row r="1451">
      <c r="N1451">
        <f>IF(AND(ISNUMBER(L1451),ISNUMBER(M1451)),L1451-M1451,"")</f>
        <v/>
      </c>
    </row>
    <row r="1452">
      <c r="N1452">
        <f>IF(AND(ISNUMBER(L1452),ISNUMBER(M1452)),L1452-M1452,"")</f>
        <v/>
      </c>
    </row>
    <row r="1453">
      <c r="N1453">
        <f>IF(AND(ISNUMBER(L1453),ISNUMBER(M1453)),L1453-M1453,"")</f>
        <v/>
      </c>
    </row>
    <row r="1454">
      <c r="N1454">
        <f>IF(AND(ISNUMBER(L1454),ISNUMBER(M1454)),L1454-M1454,"")</f>
        <v/>
      </c>
    </row>
    <row r="1455">
      <c r="N1455">
        <f>IF(AND(ISNUMBER(L1455),ISNUMBER(M1455)),L1455-M1455,"")</f>
        <v/>
      </c>
    </row>
    <row r="1456">
      <c r="N1456">
        <f>IF(AND(ISNUMBER(L1456),ISNUMBER(M1456)),L1456-M1456,"")</f>
        <v/>
      </c>
    </row>
    <row r="1457">
      <c r="N1457">
        <f>IF(AND(ISNUMBER(L1457),ISNUMBER(M1457)),L1457-M1457,"")</f>
        <v/>
      </c>
    </row>
    <row r="1458">
      <c r="N1458">
        <f>IF(AND(ISNUMBER(L1458),ISNUMBER(M1458)),L1458-M1458,"")</f>
        <v/>
      </c>
    </row>
    <row r="1459">
      <c r="N1459">
        <f>IF(AND(ISNUMBER(L1459),ISNUMBER(M1459)),L1459-M1459,"")</f>
        <v/>
      </c>
    </row>
    <row r="1460">
      <c r="N1460">
        <f>IF(AND(ISNUMBER(L1460),ISNUMBER(M1460)),L1460-M1460,"")</f>
        <v/>
      </c>
    </row>
    <row r="1461">
      <c r="N1461">
        <f>IF(AND(ISNUMBER(L1461),ISNUMBER(M1461)),L1461-M1461,"")</f>
        <v/>
      </c>
    </row>
    <row r="1462">
      <c r="N1462">
        <f>IF(AND(ISNUMBER(L1462),ISNUMBER(M1462)),L1462-M1462,"")</f>
        <v/>
      </c>
    </row>
    <row r="1463">
      <c r="N1463">
        <f>IF(AND(ISNUMBER(L1463),ISNUMBER(M1463)),L1463-M1463,"")</f>
        <v/>
      </c>
    </row>
    <row r="1464">
      <c r="N1464">
        <f>IF(AND(ISNUMBER(L1464),ISNUMBER(M1464)),L1464-M1464,"")</f>
        <v/>
      </c>
    </row>
    <row r="1465">
      <c r="N1465">
        <f>IF(AND(ISNUMBER(L1465),ISNUMBER(M1465)),L1465-M1465,"")</f>
        <v/>
      </c>
    </row>
    <row r="1466">
      <c r="N1466">
        <f>IF(AND(ISNUMBER(L1466),ISNUMBER(M1466)),L1466-M1466,"")</f>
        <v/>
      </c>
    </row>
    <row r="1467">
      <c r="N1467">
        <f>IF(AND(ISNUMBER(L1467),ISNUMBER(M1467)),L1467-M1467,"")</f>
        <v/>
      </c>
    </row>
    <row r="1468">
      <c r="N1468">
        <f>IF(AND(ISNUMBER(L1468),ISNUMBER(M1468)),L1468-M1468,"")</f>
        <v/>
      </c>
    </row>
    <row r="1469">
      <c r="N1469">
        <f>IF(AND(ISNUMBER(L1469),ISNUMBER(M1469)),L1469-M1469,"")</f>
        <v/>
      </c>
    </row>
    <row r="1470">
      <c r="N1470">
        <f>IF(AND(ISNUMBER(L1470),ISNUMBER(M1470)),L1470-M1470,"")</f>
        <v/>
      </c>
    </row>
    <row r="1471">
      <c r="N1471">
        <f>IF(AND(ISNUMBER(L1471),ISNUMBER(M1471)),L1471-M1471,"")</f>
        <v/>
      </c>
    </row>
    <row r="1472">
      <c r="N1472">
        <f>IF(AND(ISNUMBER(L1472),ISNUMBER(M1472)),L1472-M1472,"")</f>
        <v/>
      </c>
    </row>
    <row r="1473">
      <c r="N1473">
        <f>IF(AND(ISNUMBER(L1473),ISNUMBER(M1473)),L1473-M1473,"")</f>
        <v/>
      </c>
    </row>
    <row r="1474">
      <c r="N1474">
        <f>IF(AND(ISNUMBER(L1474),ISNUMBER(M1474)),L1474-M1474,"")</f>
        <v/>
      </c>
    </row>
    <row r="1475">
      <c r="N1475">
        <f>IF(AND(ISNUMBER(L1475),ISNUMBER(M1475)),L1475-M1475,"")</f>
        <v/>
      </c>
    </row>
    <row r="1476">
      <c r="N1476">
        <f>IF(AND(ISNUMBER(L1476),ISNUMBER(M1476)),L1476-M1476,"")</f>
        <v/>
      </c>
    </row>
    <row r="1477">
      <c r="N1477">
        <f>IF(AND(ISNUMBER(L1477),ISNUMBER(M1477)),L1477-M1477,"")</f>
        <v/>
      </c>
    </row>
    <row r="1478">
      <c r="N1478">
        <f>IF(AND(ISNUMBER(L1478),ISNUMBER(M1478)),L1478-M1478,"")</f>
        <v/>
      </c>
    </row>
    <row r="1479">
      <c r="N1479">
        <f>IF(AND(ISNUMBER(L1479),ISNUMBER(M1479)),L1479-M1479,"")</f>
        <v/>
      </c>
    </row>
    <row r="1480">
      <c r="N1480">
        <f>IF(AND(ISNUMBER(L1480),ISNUMBER(M1480)),L1480-M1480,"")</f>
        <v/>
      </c>
    </row>
    <row r="1481">
      <c r="N1481">
        <f>IF(AND(ISNUMBER(L1481),ISNUMBER(M1481)),L1481-M1481,"")</f>
        <v/>
      </c>
    </row>
    <row r="1482">
      <c r="N1482">
        <f>IF(AND(ISNUMBER(L1482),ISNUMBER(M1482)),L1482-M1482,"")</f>
        <v/>
      </c>
    </row>
    <row r="1483">
      <c r="N1483">
        <f>IF(AND(ISNUMBER(L1483),ISNUMBER(M1483)),L1483-M1483,"")</f>
        <v/>
      </c>
    </row>
    <row r="1484">
      <c r="N1484">
        <f>IF(AND(ISNUMBER(L1484),ISNUMBER(M1484)),L1484-M1484,"")</f>
        <v/>
      </c>
    </row>
    <row r="1485">
      <c r="N1485">
        <f>IF(AND(ISNUMBER(L1485),ISNUMBER(M1485)),L1485-M1485,"")</f>
        <v/>
      </c>
    </row>
    <row r="1486">
      <c r="N1486">
        <f>IF(AND(ISNUMBER(L1486),ISNUMBER(M1486)),L1486-M1486,"")</f>
        <v/>
      </c>
    </row>
    <row r="1487">
      <c r="N1487">
        <f>IF(AND(ISNUMBER(L1487),ISNUMBER(M1487)),L1487-M1487,"")</f>
        <v/>
      </c>
    </row>
    <row r="1488">
      <c r="N1488">
        <f>IF(AND(ISNUMBER(L1488),ISNUMBER(M1488)),L1488-M1488,"")</f>
        <v/>
      </c>
    </row>
    <row r="1489">
      <c r="N1489">
        <f>IF(AND(ISNUMBER(L1489),ISNUMBER(M1489)),L1489-M1489,"")</f>
        <v/>
      </c>
    </row>
    <row r="1490">
      <c r="N1490">
        <f>IF(AND(ISNUMBER(L1490),ISNUMBER(M1490)),L1490-M1490,"")</f>
        <v/>
      </c>
    </row>
    <row r="1491">
      <c r="N1491">
        <f>IF(AND(ISNUMBER(L1491),ISNUMBER(M1491)),L1491-M1491,"")</f>
        <v/>
      </c>
    </row>
    <row r="1492">
      <c r="N1492">
        <f>IF(AND(ISNUMBER(L1492),ISNUMBER(M1492)),L1492-M1492,"")</f>
        <v/>
      </c>
    </row>
    <row r="1493">
      <c r="N1493">
        <f>IF(AND(ISNUMBER(L1493),ISNUMBER(M1493)),L1493-M1493,"")</f>
        <v/>
      </c>
    </row>
    <row r="1494">
      <c r="N1494">
        <f>IF(AND(ISNUMBER(L1494),ISNUMBER(M1494)),L1494-M1494,"")</f>
        <v/>
      </c>
    </row>
    <row r="1495">
      <c r="N1495">
        <f>IF(AND(ISNUMBER(L1495),ISNUMBER(M1495)),L1495-M1495,"")</f>
        <v/>
      </c>
    </row>
    <row r="1496">
      <c r="N1496">
        <f>IF(AND(ISNUMBER(L1496),ISNUMBER(M1496)),L1496-M1496,"")</f>
        <v/>
      </c>
    </row>
    <row r="1497">
      <c r="N1497">
        <f>IF(AND(ISNUMBER(L1497),ISNUMBER(M1497)),L1497-M1497,"")</f>
        <v/>
      </c>
    </row>
    <row r="1498">
      <c r="N1498">
        <f>IF(AND(ISNUMBER(L1498),ISNUMBER(M1498)),L1498-M1498,"")</f>
        <v/>
      </c>
    </row>
    <row r="1499">
      <c r="N1499">
        <f>IF(AND(ISNUMBER(L1499),ISNUMBER(M1499)),L1499-M1499,"")</f>
        <v/>
      </c>
    </row>
    <row r="1500">
      <c r="N1500">
        <f>IF(AND(ISNUMBER(L1500),ISNUMBER(M1500)),L1500-M1500,"")</f>
        <v/>
      </c>
    </row>
    <row r="1501">
      <c r="N1501">
        <f>IF(AND(ISNUMBER(L1501),ISNUMBER(M1501)),L1501-M1501,"")</f>
        <v/>
      </c>
    </row>
    <row r="1502">
      <c r="N1502">
        <f>IF(AND(ISNUMBER(L1502),ISNUMBER(M1502)),L1502-M1502,"")</f>
        <v/>
      </c>
    </row>
    <row r="1503">
      <c r="N1503">
        <f>IF(AND(ISNUMBER(L1503),ISNUMBER(M1503)),L1503-M1503,"")</f>
        <v/>
      </c>
    </row>
    <row r="1504">
      <c r="N1504">
        <f>IF(AND(ISNUMBER(L1504),ISNUMBER(M1504)),L1504-M1504,"")</f>
        <v/>
      </c>
    </row>
    <row r="1505">
      <c r="N1505">
        <f>IF(AND(ISNUMBER(L1505),ISNUMBER(M1505)),L1505-M1505,"")</f>
        <v/>
      </c>
    </row>
    <row r="1506">
      <c r="N1506">
        <f>IF(AND(ISNUMBER(L1506),ISNUMBER(M1506)),L1506-M1506,"")</f>
        <v/>
      </c>
    </row>
    <row r="1507">
      <c r="N1507">
        <f>IF(AND(ISNUMBER(L1507),ISNUMBER(M1507)),L1507-M1507,"")</f>
        <v/>
      </c>
    </row>
    <row r="1508">
      <c r="N1508">
        <f>IF(AND(ISNUMBER(L1508),ISNUMBER(M1508)),L1508-M1508,"")</f>
        <v/>
      </c>
    </row>
    <row r="1509">
      <c r="N1509">
        <f>IF(AND(ISNUMBER(L1509),ISNUMBER(M1509)),L1509-M1509,"")</f>
        <v/>
      </c>
    </row>
    <row r="1510">
      <c r="N1510">
        <f>IF(AND(ISNUMBER(L1510),ISNUMBER(M1510)),L1510-M1510,"")</f>
        <v/>
      </c>
    </row>
    <row r="1511">
      <c r="N1511">
        <f>IF(AND(ISNUMBER(L1511),ISNUMBER(M1511)),L1511-M1511,"")</f>
        <v/>
      </c>
    </row>
    <row r="1512">
      <c r="N1512">
        <f>IF(AND(ISNUMBER(L1512),ISNUMBER(M1512)),L1512-M1512,"")</f>
        <v/>
      </c>
    </row>
    <row r="1513">
      <c r="N1513">
        <f>IF(AND(ISNUMBER(L1513),ISNUMBER(M1513)),L1513-M1513,"")</f>
        <v/>
      </c>
    </row>
    <row r="1514">
      <c r="N1514">
        <f>IF(AND(ISNUMBER(L1514),ISNUMBER(M1514)),L1514-M1514,"")</f>
        <v/>
      </c>
    </row>
    <row r="1515">
      <c r="N1515">
        <f>IF(AND(ISNUMBER(L1515),ISNUMBER(M1515)),L1515-M1515,"")</f>
        <v/>
      </c>
    </row>
    <row r="1516">
      <c r="N1516">
        <f>IF(AND(ISNUMBER(L1516),ISNUMBER(M1516)),L1516-M1516,"")</f>
        <v/>
      </c>
    </row>
    <row r="1517">
      <c r="N1517">
        <f>IF(AND(ISNUMBER(L1517),ISNUMBER(M1517)),L1517-M1517,"")</f>
        <v/>
      </c>
    </row>
    <row r="1518">
      <c r="N1518">
        <f>IF(AND(ISNUMBER(L1518),ISNUMBER(M1518)),L1518-M1518,"")</f>
        <v/>
      </c>
    </row>
    <row r="1519">
      <c r="N1519">
        <f>IF(AND(ISNUMBER(L1519),ISNUMBER(M1519)),L1519-M1519,"")</f>
        <v/>
      </c>
    </row>
    <row r="1520">
      <c r="N1520">
        <f>IF(AND(ISNUMBER(L1520),ISNUMBER(M1520)),L1520-M1520,"")</f>
        <v/>
      </c>
    </row>
    <row r="1521">
      <c r="N1521">
        <f>IF(AND(ISNUMBER(L1521),ISNUMBER(M1521)),L1521-M1521,"")</f>
        <v/>
      </c>
    </row>
    <row r="1522">
      <c r="N1522">
        <f>IF(AND(ISNUMBER(L1522),ISNUMBER(M1522)),L1522-M1522,"")</f>
        <v/>
      </c>
    </row>
    <row r="1523">
      <c r="N1523">
        <f>IF(AND(ISNUMBER(L1523),ISNUMBER(M1523)),L1523-M1523,"")</f>
        <v/>
      </c>
    </row>
    <row r="1524">
      <c r="N1524">
        <f>IF(AND(ISNUMBER(L1524),ISNUMBER(M1524)),L1524-M1524,"")</f>
        <v/>
      </c>
    </row>
    <row r="1525">
      <c r="N1525">
        <f>IF(AND(ISNUMBER(L1525),ISNUMBER(M1525)),L1525-M1525,"")</f>
        <v/>
      </c>
    </row>
    <row r="1526">
      <c r="N1526">
        <f>IF(AND(ISNUMBER(L1526),ISNUMBER(M1526)),L1526-M1526,"")</f>
        <v/>
      </c>
    </row>
    <row r="1527">
      <c r="N1527">
        <f>IF(AND(ISNUMBER(L1527),ISNUMBER(M1527)),L1527-M1527,"")</f>
        <v/>
      </c>
    </row>
    <row r="1528">
      <c r="N1528">
        <f>IF(AND(ISNUMBER(L1528),ISNUMBER(M1528)),L1528-M1528,"")</f>
        <v/>
      </c>
    </row>
    <row r="1529">
      <c r="N1529">
        <f>IF(AND(ISNUMBER(L1529),ISNUMBER(M1529)),L1529-M1529,"")</f>
        <v/>
      </c>
    </row>
    <row r="1530">
      <c r="N1530">
        <f>IF(AND(ISNUMBER(L1530),ISNUMBER(M1530)),L1530-M1530,"")</f>
        <v/>
      </c>
    </row>
    <row r="1531">
      <c r="N1531">
        <f>IF(AND(ISNUMBER(L1531),ISNUMBER(M1531)),L1531-M1531,"")</f>
        <v/>
      </c>
    </row>
    <row r="1532">
      <c r="N1532">
        <f>IF(AND(ISNUMBER(L1532),ISNUMBER(M1532)),L1532-M1532,"")</f>
        <v/>
      </c>
    </row>
    <row r="1533">
      <c r="N1533">
        <f>IF(AND(ISNUMBER(L1533),ISNUMBER(M1533)),L1533-M1533,"")</f>
        <v/>
      </c>
    </row>
    <row r="1534">
      <c r="N1534">
        <f>IF(AND(ISNUMBER(L1534),ISNUMBER(M1534)),L1534-M1534,"")</f>
        <v/>
      </c>
    </row>
    <row r="1535">
      <c r="N1535">
        <f>IF(AND(ISNUMBER(L1535),ISNUMBER(M1535)),L1535-M1535,"")</f>
        <v/>
      </c>
    </row>
    <row r="1536">
      <c r="N1536">
        <f>IF(AND(ISNUMBER(L1536),ISNUMBER(M1536)),L1536-M1536,"")</f>
        <v/>
      </c>
    </row>
    <row r="1537">
      <c r="N1537">
        <f>IF(AND(ISNUMBER(L1537),ISNUMBER(M1537)),L1537-M1537,"")</f>
        <v/>
      </c>
    </row>
    <row r="1538">
      <c r="N1538">
        <f>IF(AND(ISNUMBER(L1538),ISNUMBER(M1538)),L1538-M1538,"")</f>
        <v/>
      </c>
    </row>
    <row r="1539">
      <c r="N1539">
        <f>IF(AND(ISNUMBER(L1539),ISNUMBER(M1539)),L1539-M1539,"")</f>
        <v/>
      </c>
    </row>
    <row r="1540">
      <c r="N1540">
        <f>IF(AND(ISNUMBER(L1540),ISNUMBER(M1540)),L1540-M1540,"")</f>
        <v/>
      </c>
    </row>
    <row r="1541">
      <c r="N1541">
        <f>IF(AND(ISNUMBER(L1541),ISNUMBER(M1541)),L1541-M1541,"")</f>
        <v/>
      </c>
    </row>
    <row r="1542">
      <c r="N1542">
        <f>IF(AND(ISNUMBER(L1542),ISNUMBER(M1542)),L1542-M1542,"")</f>
        <v/>
      </c>
    </row>
    <row r="1543">
      <c r="N1543">
        <f>IF(AND(ISNUMBER(L1543),ISNUMBER(M1543)),L1543-M1543,"")</f>
        <v/>
      </c>
    </row>
    <row r="1544">
      <c r="N1544">
        <f>IF(AND(ISNUMBER(L1544),ISNUMBER(M1544)),L1544-M1544,"")</f>
        <v/>
      </c>
    </row>
    <row r="1545">
      <c r="N1545">
        <f>IF(AND(ISNUMBER(L1545),ISNUMBER(M1545)),L1545-M1545,"")</f>
        <v/>
      </c>
    </row>
    <row r="1546">
      <c r="N1546">
        <f>IF(AND(ISNUMBER(L1546),ISNUMBER(M1546)),L1546-M1546,"")</f>
        <v/>
      </c>
    </row>
    <row r="1547">
      <c r="N1547">
        <f>IF(AND(ISNUMBER(L1547),ISNUMBER(M1547)),L1547-M1547,"")</f>
        <v/>
      </c>
    </row>
    <row r="1548">
      <c r="N1548">
        <f>IF(AND(ISNUMBER(L1548),ISNUMBER(M1548)),L1548-M1548,"")</f>
        <v/>
      </c>
    </row>
    <row r="1549">
      <c r="N1549">
        <f>IF(AND(ISNUMBER(L1549),ISNUMBER(M1549)),L1549-M1549,"")</f>
        <v/>
      </c>
    </row>
    <row r="1550">
      <c r="N1550">
        <f>IF(AND(ISNUMBER(L1550),ISNUMBER(M1550)),L1550-M1550,"")</f>
        <v/>
      </c>
    </row>
    <row r="1551">
      <c r="N1551">
        <f>IF(AND(ISNUMBER(L1551),ISNUMBER(M1551)),L1551-M1551,"")</f>
        <v/>
      </c>
    </row>
    <row r="1552">
      <c r="N1552">
        <f>IF(AND(ISNUMBER(L1552),ISNUMBER(M1552)),L1552-M1552,"")</f>
        <v/>
      </c>
    </row>
    <row r="1553">
      <c r="N1553">
        <f>IF(AND(ISNUMBER(L1553),ISNUMBER(M1553)),L1553-M1553,"")</f>
        <v/>
      </c>
    </row>
    <row r="1554">
      <c r="N1554">
        <f>IF(AND(ISNUMBER(L1554),ISNUMBER(M1554)),L1554-M1554,"")</f>
        <v/>
      </c>
    </row>
    <row r="1555">
      <c r="N1555">
        <f>IF(AND(ISNUMBER(L1555),ISNUMBER(M1555)),L1555-M1555,"")</f>
        <v/>
      </c>
    </row>
    <row r="1556">
      <c r="N1556">
        <f>IF(AND(ISNUMBER(L1556),ISNUMBER(M1556)),L1556-M1556,"")</f>
        <v/>
      </c>
    </row>
    <row r="1557">
      <c r="N1557">
        <f>IF(AND(ISNUMBER(L1557),ISNUMBER(M1557)),L1557-M1557,"")</f>
        <v/>
      </c>
    </row>
    <row r="1558">
      <c r="N1558">
        <f>IF(AND(ISNUMBER(L1558),ISNUMBER(M1558)),L1558-M1558,"")</f>
        <v/>
      </c>
    </row>
    <row r="1559">
      <c r="N1559">
        <f>IF(AND(ISNUMBER(L1559),ISNUMBER(M1559)),L1559-M1559,"")</f>
        <v/>
      </c>
    </row>
    <row r="1560">
      <c r="N1560">
        <f>IF(AND(ISNUMBER(L1560),ISNUMBER(M1560)),L1560-M1560,"")</f>
        <v/>
      </c>
    </row>
    <row r="1561">
      <c r="N1561">
        <f>IF(AND(ISNUMBER(L1561),ISNUMBER(M1561)),L1561-M1561,"")</f>
        <v/>
      </c>
    </row>
    <row r="1562">
      <c r="N1562">
        <f>IF(AND(ISNUMBER(L1562),ISNUMBER(M1562)),L1562-M1562,"")</f>
        <v/>
      </c>
    </row>
    <row r="1563">
      <c r="N1563">
        <f>IF(AND(ISNUMBER(L1563),ISNUMBER(M1563)),L1563-M1563,"")</f>
        <v/>
      </c>
    </row>
    <row r="1564">
      <c r="N1564">
        <f>IF(AND(ISNUMBER(L1564),ISNUMBER(M1564)),L1564-M1564,"")</f>
        <v/>
      </c>
    </row>
    <row r="1565">
      <c r="N1565">
        <f>IF(AND(ISNUMBER(L1565),ISNUMBER(M1565)),L1565-M1565,"")</f>
        <v/>
      </c>
    </row>
    <row r="1566">
      <c r="N1566">
        <f>IF(AND(ISNUMBER(L1566),ISNUMBER(M1566)),L1566-M1566,"")</f>
        <v/>
      </c>
    </row>
    <row r="1567">
      <c r="N1567">
        <f>IF(AND(ISNUMBER(L1567),ISNUMBER(M1567)),L1567-M1567,"")</f>
        <v/>
      </c>
    </row>
    <row r="1568">
      <c r="N1568">
        <f>IF(AND(ISNUMBER(L1568),ISNUMBER(M1568)),L1568-M1568,"")</f>
        <v/>
      </c>
    </row>
    <row r="1569">
      <c r="N1569">
        <f>IF(AND(ISNUMBER(L1569),ISNUMBER(M1569)),L1569-M1569,"")</f>
        <v/>
      </c>
    </row>
    <row r="1570">
      <c r="N1570">
        <f>IF(AND(ISNUMBER(L1570),ISNUMBER(M1570)),L1570-M1570,"")</f>
        <v/>
      </c>
    </row>
    <row r="1571">
      <c r="N1571">
        <f>IF(AND(ISNUMBER(L1571),ISNUMBER(M1571)),L1571-M1571,"")</f>
        <v/>
      </c>
    </row>
    <row r="1572">
      <c r="N1572">
        <f>IF(AND(ISNUMBER(L1572),ISNUMBER(M1572)),L1572-M1572,"")</f>
        <v/>
      </c>
    </row>
    <row r="1573">
      <c r="N1573">
        <f>IF(AND(ISNUMBER(L1573),ISNUMBER(M1573)),L1573-M1573,"")</f>
        <v/>
      </c>
    </row>
    <row r="1574">
      <c r="N1574">
        <f>IF(AND(ISNUMBER(L1574),ISNUMBER(M1574)),L1574-M1574,"")</f>
        <v/>
      </c>
    </row>
    <row r="1575">
      <c r="N1575">
        <f>IF(AND(ISNUMBER(L1575),ISNUMBER(M1575)),L1575-M1575,"")</f>
        <v/>
      </c>
    </row>
    <row r="1576">
      <c r="N1576">
        <f>IF(AND(ISNUMBER(L1576),ISNUMBER(M1576)),L1576-M1576,"")</f>
        <v/>
      </c>
    </row>
    <row r="1577">
      <c r="N1577">
        <f>IF(AND(ISNUMBER(L1577),ISNUMBER(M1577)),L1577-M1577,"")</f>
        <v/>
      </c>
    </row>
    <row r="1578">
      <c r="N1578">
        <f>IF(AND(ISNUMBER(L1578),ISNUMBER(M1578)),L1578-M1578,"")</f>
        <v/>
      </c>
    </row>
    <row r="1579">
      <c r="N1579">
        <f>IF(AND(ISNUMBER(L1579),ISNUMBER(M1579)),L1579-M1579,"")</f>
        <v/>
      </c>
    </row>
    <row r="1580">
      <c r="N1580">
        <f>IF(AND(ISNUMBER(L1580),ISNUMBER(M1580)),L1580-M1580,"")</f>
        <v/>
      </c>
    </row>
    <row r="1581">
      <c r="N1581">
        <f>IF(AND(ISNUMBER(L1581),ISNUMBER(M1581)),L1581-M1581,"")</f>
        <v/>
      </c>
    </row>
    <row r="1582">
      <c r="N1582">
        <f>IF(AND(ISNUMBER(L1582),ISNUMBER(M1582)),L1582-M1582,"")</f>
        <v/>
      </c>
    </row>
    <row r="1583">
      <c r="N1583">
        <f>IF(AND(ISNUMBER(L1583),ISNUMBER(M1583)),L1583-M1583,"")</f>
        <v/>
      </c>
    </row>
    <row r="1584">
      <c r="N1584">
        <f>IF(AND(ISNUMBER(L1584),ISNUMBER(M1584)),L1584-M1584,"")</f>
        <v/>
      </c>
    </row>
    <row r="1585">
      <c r="N1585">
        <f>IF(AND(ISNUMBER(L1585),ISNUMBER(M1585)),L1585-M1585,"")</f>
        <v/>
      </c>
    </row>
    <row r="1586">
      <c r="N1586">
        <f>IF(AND(ISNUMBER(L1586),ISNUMBER(M1586)),L1586-M1586,"")</f>
        <v/>
      </c>
    </row>
    <row r="1587">
      <c r="N1587">
        <f>IF(AND(ISNUMBER(L1587),ISNUMBER(M1587)),L1587-M1587,"")</f>
        <v/>
      </c>
    </row>
    <row r="1588">
      <c r="N1588">
        <f>IF(AND(ISNUMBER(L1588),ISNUMBER(M1588)),L1588-M1588,"")</f>
        <v/>
      </c>
    </row>
    <row r="1589">
      <c r="N1589">
        <f>IF(AND(ISNUMBER(L1589),ISNUMBER(M1589)),L1589-M1589,"")</f>
        <v/>
      </c>
    </row>
    <row r="1590">
      <c r="N1590">
        <f>IF(AND(ISNUMBER(L1590),ISNUMBER(M1590)),L1590-M1590,"")</f>
        <v/>
      </c>
    </row>
    <row r="1591">
      <c r="N1591">
        <f>IF(AND(ISNUMBER(L1591),ISNUMBER(M1591)),L1591-M1591,"")</f>
        <v/>
      </c>
    </row>
    <row r="1592">
      <c r="N1592">
        <f>IF(AND(ISNUMBER(L1592),ISNUMBER(M1592)),L1592-M1592,"")</f>
        <v/>
      </c>
    </row>
    <row r="1593">
      <c r="N1593">
        <f>IF(AND(ISNUMBER(L1593),ISNUMBER(M1593)),L1593-M1593,"")</f>
        <v/>
      </c>
    </row>
    <row r="1594">
      <c r="N1594">
        <f>IF(AND(ISNUMBER(L1594),ISNUMBER(M1594)),L1594-M1594,"")</f>
        <v/>
      </c>
    </row>
    <row r="1595">
      <c r="N1595">
        <f>IF(AND(ISNUMBER(L1595),ISNUMBER(M1595)),L1595-M1595,"")</f>
        <v/>
      </c>
    </row>
    <row r="1596">
      <c r="N1596">
        <f>IF(AND(ISNUMBER(L1596),ISNUMBER(M1596)),L1596-M1596,"")</f>
        <v/>
      </c>
    </row>
    <row r="1597">
      <c r="N1597">
        <f>IF(AND(ISNUMBER(L1597),ISNUMBER(M1597)),L1597-M1597,"")</f>
        <v/>
      </c>
    </row>
    <row r="1598">
      <c r="N1598">
        <f>IF(AND(ISNUMBER(L1598),ISNUMBER(M1598)),L1598-M1598,"")</f>
        <v/>
      </c>
    </row>
    <row r="1599">
      <c r="N1599">
        <f>IF(AND(ISNUMBER(L1599),ISNUMBER(M1599)),L1599-M1599,"")</f>
        <v/>
      </c>
    </row>
    <row r="1600">
      <c r="N1600">
        <f>IF(AND(ISNUMBER(L1600),ISNUMBER(M1600)),L1600-M1600,"")</f>
        <v/>
      </c>
    </row>
    <row r="1601">
      <c r="N1601">
        <f>IF(AND(ISNUMBER(L1601),ISNUMBER(M1601)),L1601-M1601,"")</f>
        <v/>
      </c>
    </row>
    <row r="1602">
      <c r="N1602">
        <f>IF(AND(ISNUMBER(L1602),ISNUMBER(M1602)),L1602-M1602,"")</f>
        <v/>
      </c>
    </row>
    <row r="1603">
      <c r="N1603">
        <f>IF(AND(ISNUMBER(L1603),ISNUMBER(M1603)),L1603-M1603,"")</f>
        <v/>
      </c>
    </row>
    <row r="1604">
      <c r="N1604">
        <f>IF(AND(ISNUMBER(L1604),ISNUMBER(M1604)),L1604-M1604,"")</f>
        <v/>
      </c>
    </row>
    <row r="1605">
      <c r="N1605">
        <f>IF(AND(ISNUMBER(L1605),ISNUMBER(M1605)),L1605-M1605,"")</f>
        <v/>
      </c>
    </row>
    <row r="1606">
      <c r="N1606">
        <f>IF(AND(ISNUMBER(L1606),ISNUMBER(M1606)),L1606-M1606,"")</f>
        <v/>
      </c>
    </row>
    <row r="1607">
      <c r="N1607">
        <f>IF(AND(ISNUMBER(L1607),ISNUMBER(M1607)),L1607-M1607,"")</f>
        <v/>
      </c>
    </row>
    <row r="1608">
      <c r="N1608">
        <f>IF(AND(ISNUMBER(L1608),ISNUMBER(M1608)),L1608-M1608,"")</f>
        <v/>
      </c>
    </row>
    <row r="1609">
      <c r="N1609">
        <f>IF(AND(ISNUMBER(L1609),ISNUMBER(M1609)),L1609-M1609,"")</f>
        <v/>
      </c>
    </row>
    <row r="1610">
      <c r="N1610">
        <f>IF(AND(ISNUMBER(L1610),ISNUMBER(M1610)),L1610-M1610,"")</f>
        <v/>
      </c>
    </row>
    <row r="1611">
      <c r="N1611">
        <f>IF(AND(ISNUMBER(L1611),ISNUMBER(M1611)),L1611-M1611,"")</f>
        <v/>
      </c>
    </row>
    <row r="1612">
      <c r="N1612">
        <f>IF(AND(ISNUMBER(L1612),ISNUMBER(M1612)),L1612-M1612,"")</f>
        <v/>
      </c>
    </row>
    <row r="1613">
      <c r="N1613">
        <f>IF(AND(ISNUMBER(L1613),ISNUMBER(M1613)),L1613-M1613,"")</f>
        <v/>
      </c>
    </row>
    <row r="1614">
      <c r="N1614">
        <f>IF(AND(ISNUMBER(L1614),ISNUMBER(M1614)),L1614-M1614,"")</f>
        <v/>
      </c>
    </row>
    <row r="1615">
      <c r="N1615">
        <f>IF(AND(ISNUMBER(L1615),ISNUMBER(M1615)),L1615-M1615,"")</f>
        <v/>
      </c>
    </row>
    <row r="1616">
      <c r="N1616">
        <f>IF(AND(ISNUMBER(L1616),ISNUMBER(M1616)),L1616-M1616,"")</f>
        <v/>
      </c>
    </row>
    <row r="1617">
      <c r="N1617">
        <f>IF(AND(ISNUMBER(L1617),ISNUMBER(M1617)),L1617-M1617,"")</f>
        <v/>
      </c>
    </row>
    <row r="1618">
      <c r="N1618">
        <f>IF(AND(ISNUMBER(L1618),ISNUMBER(M1618)),L1618-M1618,"")</f>
        <v/>
      </c>
    </row>
    <row r="1619">
      <c r="N1619">
        <f>IF(AND(ISNUMBER(L1619),ISNUMBER(M1619)),L1619-M1619,"")</f>
        <v/>
      </c>
    </row>
    <row r="1620">
      <c r="N1620">
        <f>IF(AND(ISNUMBER(L1620),ISNUMBER(M1620)),L1620-M1620,"")</f>
        <v/>
      </c>
    </row>
    <row r="1621">
      <c r="N1621">
        <f>IF(AND(ISNUMBER(L1621),ISNUMBER(M1621)),L1621-M1621,"")</f>
        <v/>
      </c>
    </row>
    <row r="1622">
      <c r="N1622">
        <f>IF(AND(ISNUMBER(L1622),ISNUMBER(M1622)),L1622-M1622,"")</f>
        <v/>
      </c>
    </row>
    <row r="1623">
      <c r="N1623">
        <f>IF(AND(ISNUMBER(L1623),ISNUMBER(M1623)),L1623-M1623,"")</f>
        <v/>
      </c>
    </row>
    <row r="1624">
      <c r="N1624">
        <f>IF(AND(ISNUMBER(L1624),ISNUMBER(M1624)),L1624-M1624,"")</f>
        <v/>
      </c>
    </row>
    <row r="1625">
      <c r="N1625">
        <f>IF(AND(ISNUMBER(L1625),ISNUMBER(M1625)),L1625-M1625,"")</f>
        <v/>
      </c>
    </row>
    <row r="1626">
      <c r="N1626">
        <f>IF(AND(ISNUMBER(L1626),ISNUMBER(M1626)),L1626-M1626,"")</f>
        <v/>
      </c>
    </row>
    <row r="1627">
      <c r="N1627">
        <f>IF(AND(ISNUMBER(L1627),ISNUMBER(M1627)),L1627-M1627,"")</f>
        <v/>
      </c>
    </row>
    <row r="1628">
      <c r="N1628">
        <f>IF(AND(ISNUMBER(L1628),ISNUMBER(M1628)),L1628-M1628,"")</f>
        <v/>
      </c>
    </row>
    <row r="1629">
      <c r="N1629">
        <f>IF(AND(ISNUMBER(L1629),ISNUMBER(M1629)),L1629-M1629,"")</f>
        <v/>
      </c>
    </row>
    <row r="1630">
      <c r="N1630">
        <f>IF(AND(ISNUMBER(L1630),ISNUMBER(M1630)),L1630-M1630,"")</f>
        <v/>
      </c>
    </row>
    <row r="1631">
      <c r="N1631">
        <f>IF(AND(ISNUMBER(L1631),ISNUMBER(M1631)),L1631-M1631,"")</f>
        <v/>
      </c>
    </row>
    <row r="1632">
      <c r="N1632">
        <f>IF(AND(ISNUMBER(L1632),ISNUMBER(M1632)),L1632-M1632,"")</f>
        <v/>
      </c>
    </row>
    <row r="1633">
      <c r="N1633">
        <f>IF(AND(ISNUMBER(L1633),ISNUMBER(M1633)),L1633-M1633,"")</f>
        <v/>
      </c>
    </row>
    <row r="1634">
      <c r="N1634">
        <f>IF(AND(ISNUMBER(L1634),ISNUMBER(M1634)),L1634-M1634,"")</f>
        <v/>
      </c>
    </row>
    <row r="1635">
      <c r="N1635">
        <f>IF(AND(ISNUMBER(L1635),ISNUMBER(M1635)),L1635-M1635,"")</f>
        <v/>
      </c>
    </row>
    <row r="1636">
      <c r="N1636">
        <f>IF(AND(ISNUMBER(L1636),ISNUMBER(M1636)),L1636-M1636,"")</f>
        <v/>
      </c>
    </row>
    <row r="1637">
      <c r="N1637">
        <f>IF(AND(ISNUMBER(L1637),ISNUMBER(M1637)),L1637-M1637,"")</f>
        <v/>
      </c>
    </row>
    <row r="1638">
      <c r="N1638">
        <f>IF(AND(ISNUMBER(L1638),ISNUMBER(M1638)),L1638-M1638,"")</f>
        <v/>
      </c>
    </row>
    <row r="1639">
      <c r="N1639">
        <f>IF(AND(ISNUMBER(L1639),ISNUMBER(M1639)),L1639-M1639,"")</f>
        <v/>
      </c>
    </row>
    <row r="1640">
      <c r="N1640">
        <f>IF(AND(ISNUMBER(L1640),ISNUMBER(M1640)),L1640-M1640,"")</f>
        <v/>
      </c>
    </row>
    <row r="1641">
      <c r="N1641">
        <f>IF(AND(ISNUMBER(L1641),ISNUMBER(M1641)),L1641-M1641,"")</f>
        <v/>
      </c>
    </row>
    <row r="1642">
      <c r="N1642">
        <f>IF(AND(ISNUMBER(L1642),ISNUMBER(M1642)),L1642-M1642,"")</f>
        <v/>
      </c>
    </row>
    <row r="1643">
      <c r="N1643">
        <f>IF(AND(ISNUMBER(L1643),ISNUMBER(M1643)),L1643-M1643,"")</f>
        <v/>
      </c>
    </row>
    <row r="1644">
      <c r="N1644">
        <f>IF(AND(ISNUMBER(L1644),ISNUMBER(M1644)),L1644-M1644,"")</f>
        <v/>
      </c>
    </row>
    <row r="1645">
      <c r="N1645">
        <f>IF(AND(ISNUMBER(L1645),ISNUMBER(M1645)),L1645-M1645,"")</f>
        <v/>
      </c>
    </row>
    <row r="1646">
      <c r="N1646">
        <f>IF(AND(ISNUMBER(L1646),ISNUMBER(M1646)),L1646-M1646,"")</f>
        <v/>
      </c>
    </row>
    <row r="1647">
      <c r="N1647">
        <f>IF(AND(ISNUMBER(L1647),ISNUMBER(M1647)),L1647-M1647,"")</f>
        <v/>
      </c>
    </row>
    <row r="1648">
      <c r="N1648">
        <f>IF(AND(ISNUMBER(L1648),ISNUMBER(M1648)),L1648-M1648,"")</f>
        <v/>
      </c>
    </row>
    <row r="1649">
      <c r="N1649">
        <f>IF(AND(ISNUMBER(L1649),ISNUMBER(M1649)),L1649-M1649,"")</f>
        <v/>
      </c>
    </row>
    <row r="1650">
      <c r="N1650">
        <f>IF(AND(ISNUMBER(L1650),ISNUMBER(M1650)),L1650-M1650,"")</f>
        <v/>
      </c>
    </row>
    <row r="1651">
      <c r="N1651">
        <f>IF(AND(ISNUMBER(L1651),ISNUMBER(M1651)),L1651-M1651,"")</f>
        <v/>
      </c>
    </row>
    <row r="1652">
      <c r="N1652">
        <f>IF(AND(ISNUMBER(L1652),ISNUMBER(M1652)),L1652-M1652,"")</f>
        <v/>
      </c>
    </row>
    <row r="1653">
      <c r="N1653">
        <f>IF(AND(ISNUMBER(L1653),ISNUMBER(M1653)),L1653-M1653,"")</f>
        <v/>
      </c>
    </row>
    <row r="1654">
      <c r="N1654">
        <f>IF(AND(ISNUMBER(L1654),ISNUMBER(M1654)),L1654-M1654,"")</f>
        <v/>
      </c>
    </row>
    <row r="1655">
      <c r="N1655">
        <f>IF(AND(ISNUMBER(L1655),ISNUMBER(M1655)),L1655-M1655,"")</f>
        <v/>
      </c>
    </row>
    <row r="1656">
      <c r="N1656">
        <f>IF(AND(ISNUMBER(L1656),ISNUMBER(M1656)),L1656-M1656,"")</f>
        <v/>
      </c>
    </row>
    <row r="1657">
      <c r="N1657">
        <f>IF(AND(ISNUMBER(L1657),ISNUMBER(M1657)),L1657-M1657,"")</f>
        <v/>
      </c>
    </row>
    <row r="1658">
      <c r="N1658">
        <f>IF(AND(ISNUMBER(L1658),ISNUMBER(M1658)),L1658-M1658,"")</f>
        <v/>
      </c>
    </row>
    <row r="1659">
      <c r="N1659">
        <f>IF(AND(ISNUMBER(L1659),ISNUMBER(M1659)),L1659-M1659,"")</f>
        <v/>
      </c>
    </row>
    <row r="1660">
      <c r="N1660">
        <f>IF(AND(ISNUMBER(L1660),ISNUMBER(M1660)),L1660-M1660,"")</f>
        <v/>
      </c>
    </row>
    <row r="1661">
      <c r="N1661">
        <f>IF(AND(ISNUMBER(L1661),ISNUMBER(M1661)),L1661-M1661,"")</f>
        <v/>
      </c>
    </row>
    <row r="1662">
      <c r="N1662">
        <f>IF(AND(ISNUMBER(L1662),ISNUMBER(M1662)),L1662-M1662,"")</f>
        <v/>
      </c>
    </row>
    <row r="1663">
      <c r="N1663">
        <f>IF(AND(ISNUMBER(L1663),ISNUMBER(M1663)),L1663-M1663,"")</f>
        <v/>
      </c>
    </row>
    <row r="1664">
      <c r="N1664">
        <f>IF(AND(ISNUMBER(L1664),ISNUMBER(M1664)),L1664-M1664,"")</f>
        <v/>
      </c>
    </row>
    <row r="1665">
      <c r="N1665">
        <f>IF(AND(ISNUMBER(L1665),ISNUMBER(M1665)),L1665-M1665,"")</f>
        <v/>
      </c>
    </row>
    <row r="1666">
      <c r="N1666">
        <f>IF(AND(ISNUMBER(L1666),ISNUMBER(M1666)),L1666-M1666,"")</f>
        <v/>
      </c>
    </row>
    <row r="1667">
      <c r="N1667">
        <f>IF(AND(ISNUMBER(L1667),ISNUMBER(M1667)),L1667-M1667,"")</f>
        <v/>
      </c>
    </row>
    <row r="1668">
      <c r="N1668">
        <f>IF(AND(ISNUMBER(L1668),ISNUMBER(M1668)),L1668-M1668,"")</f>
        <v/>
      </c>
    </row>
    <row r="1669">
      <c r="N1669">
        <f>IF(AND(ISNUMBER(L1669),ISNUMBER(M1669)),L1669-M1669,"")</f>
        <v/>
      </c>
    </row>
    <row r="1670">
      <c r="N1670">
        <f>IF(AND(ISNUMBER(L1670),ISNUMBER(M1670)),L1670-M1670,"")</f>
        <v/>
      </c>
    </row>
    <row r="1671">
      <c r="N1671">
        <f>IF(AND(ISNUMBER(L1671),ISNUMBER(M1671)),L1671-M1671,"")</f>
        <v/>
      </c>
    </row>
    <row r="1672">
      <c r="N1672">
        <f>IF(AND(ISNUMBER(L1672),ISNUMBER(M1672)),L1672-M1672,"")</f>
        <v/>
      </c>
    </row>
    <row r="1673">
      <c r="N1673">
        <f>IF(AND(ISNUMBER(L1673),ISNUMBER(M1673)),L1673-M1673,"")</f>
        <v/>
      </c>
    </row>
    <row r="1674">
      <c r="N1674">
        <f>IF(AND(ISNUMBER(L1674),ISNUMBER(M1674)),L1674-M1674,"")</f>
        <v/>
      </c>
    </row>
    <row r="1675">
      <c r="N1675">
        <f>IF(AND(ISNUMBER(L1675),ISNUMBER(M1675)),L1675-M1675,"")</f>
        <v/>
      </c>
    </row>
    <row r="1676">
      <c r="N1676">
        <f>IF(AND(ISNUMBER(L1676),ISNUMBER(M1676)),L1676-M1676,"")</f>
        <v/>
      </c>
    </row>
    <row r="1677">
      <c r="N1677">
        <f>IF(AND(ISNUMBER(L1677),ISNUMBER(M1677)),L1677-M1677,"")</f>
        <v/>
      </c>
    </row>
    <row r="1678">
      <c r="N1678">
        <f>IF(AND(ISNUMBER(L1678),ISNUMBER(M1678)),L1678-M1678,"")</f>
        <v/>
      </c>
    </row>
    <row r="1679">
      <c r="N1679">
        <f>IF(AND(ISNUMBER(L1679),ISNUMBER(M1679)),L1679-M1679,"")</f>
        <v/>
      </c>
    </row>
    <row r="1680">
      <c r="N1680">
        <f>IF(AND(ISNUMBER(L1680),ISNUMBER(M1680)),L1680-M1680,"")</f>
        <v/>
      </c>
    </row>
    <row r="1681">
      <c r="N1681">
        <f>IF(AND(ISNUMBER(L1681),ISNUMBER(M1681)),L1681-M1681,"")</f>
        <v/>
      </c>
    </row>
    <row r="1682">
      <c r="N1682">
        <f>IF(AND(ISNUMBER(L1682),ISNUMBER(M1682)),L1682-M1682,"")</f>
        <v/>
      </c>
    </row>
    <row r="1683">
      <c r="N1683">
        <f>IF(AND(ISNUMBER(L1683),ISNUMBER(M1683)),L1683-M1683,"")</f>
        <v/>
      </c>
    </row>
    <row r="1684">
      <c r="N1684">
        <f>IF(AND(ISNUMBER(L1684),ISNUMBER(M1684)),L1684-M1684,"")</f>
        <v/>
      </c>
    </row>
    <row r="1685">
      <c r="N1685">
        <f>IF(AND(ISNUMBER(L1685),ISNUMBER(M1685)),L1685-M1685,"")</f>
        <v/>
      </c>
    </row>
    <row r="1686">
      <c r="N1686">
        <f>IF(AND(ISNUMBER(L1686),ISNUMBER(M1686)),L1686-M1686,"")</f>
        <v/>
      </c>
    </row>
    <row r="1687">
      <c r="N1687">
        <f>IF(AND(ISNUMBER(L1687),ISNUMBER(M1687)),L1687-M1687,"")</f>
        <v/>
      </c>
    </row>
    <row r="1688">
      <c r="N1688">
        <f>IF(AND(ISNUMBER(L1688),ISNUMBER(M1688)),L1688-M1688,"")</f>
        <v/>
      </c>
    </row>
    <row r="1689">
      <c r="N1689">
        <f>IF(AND(ISNUMBER(L1689),ISNUMBER(M1689)),L1689-M1689,"")</f>
        <v/>
      </c>
    </row>
    <row r="1690">
      <c r="N1690">
        <f>IF(AND(ISNUMBER(L1690),ISNUMBER(M1690)),L1690-M1690,"")</f>
        <v/>
      </c>
    </row>
    <row r="1691">
      <c r="N1691">
        <f>IF(AND(ISNUMBER(L1691),ISNUMBER(M1691)),L1691-M1691,"")</f>
        <v/>
      </c>
    </row>
    <row r="1692">
      <c r="N1692">
        <f>IF(AND(ISNUMBER(L1692),ISNUMBER(M1692)),L1692-M1692,"")</f>
        <v/>
      </c>
    </row>
    <row r="1693">
      <c r="N1693">
        <f>IF(AND(ISNUMBER(L1693),ISNUMBER(M1693)),L1693-M1693,"")</f>
        <v/>
      </c>
    </row>
    <row r="1694">
      <c r="N1694">
        <f>IF(AND(ISNUMBER(L1694),ISNUMBER(M1694)),L1694-M1694,"")</f>
        <v/>
      </c>
    </row>
    <row r="1695">
      <c r="N1695">
        <f>IF(AND(ISNUMBER(L1695),ISNUMBER(M1695)),L1695-M1695,"")</f>
        <v/>
      </c>
    </row>
    <row r="1696">
      <c r="N1696">
        <f>IF(AND(ISNUMBER(L1696),ISNUMBER(M1696)),L1696-M1696,"")</f>
        <v/>
      </c>
    </row>
    <row r="1697">
      <c r="N1697">
        <f>IF(AND(ISNUMBER(L1697),ISNUMBER(M1697)),L1697-M1697,"")</f>
        <v/>
      </c>
    </row>
    <row r="1698">
      <c r="N1698">
        <f>IF(AND(ISNUMBER(L1698),ISNUMBER(M1698)),L1698-M1698,"")</f>
        <v/>
      </c>
    </row>
    <row r="1699">
      <c r="N1699">
        <f>IF(AND(ISNUMBER(L1699),ISNUMBER(M1699)),L1699-M1699,"")</f>
        <v/>
      </c>
    </row>
    <row r="1700">
      <c r="N1700">
        <f>IF(AND(ISNUMBER(L1700),ISNUMBER(M1700)),L1700-M1700,"")</f>
        <v/>
      </c>
    </row>
    <row r="1701">
      <c r="N1701">
        <f>IF(AND(ISNUMBER(L1701),ISNUMBER(M1701)),L1701-M1701,"")</f>
        <v/>
      </c>
    </row>
    <row r="1702">
      <c r="N1702">
        <f>IF(AND(ISNUMBER(L1702),ISNUMBER(M1702)),L1702-M1702,"")</f>
        <v/>
      </c>
    </row>
    <row r="1703">
      <c r="N1703">
        <f>IF(AND(ISNUMBER(L1703),ISNUMBER(M1703)),L1703-M1703,"")</f>
        <v/>
      </c>
    </row>
    <row r="1704">
      <c r="N1704">
        <f>IF(AND(ISNUMBER(L1704),ISNUMBER(M1704)),L1704-M1704,"")</f>
        <v/>
      </c>
    </row>
    <row r="1705">
      <c r="N1705">
        <f>IF(AND(ISNUMBER(L1705),ISNUMBER(M1705)),L1705-M1705,"")</f>
        <v/>
      </c>
    </row>
    <row r="1706">
      <c r="N1706">
        <f>IF(AND(ISNUMBER(L1706),ISNUMBER(M1706)),L1706-M1706,"")</f>
        <v/>
      </c>
    </row>
    <row r="1707">
      <c r="N1707">
        <f>IF(AND(ISNUMBER(L1707),ISNUMBER(M1707)),L1707-M1707,"")</f>
        <v/>
      </c>
    </row>
    <row r="1708">
      <c r="N1708">
        <f>IF(AND(ISNUMBER(L1708),ISNUMBER(M1708)),L1708-M1708,"")</f>
        <v/>
      </c>
    </row>
    <row r="1709">
      <c r="N1709">
        <f>IF(AND(ISNUMBER(L1709),ISNUMBER(M1709)),L1709-M1709,"")</f>
        <v/>
      </c>
    </row>
    <row r="1710">
      <c r="N1710">
        <f>IF(AND(ISNUMBER(L1710),ISNUMBER(M1710)),L1710-M1710,"")</f>
        <v/>
      </c>
    </row>
    <row r="1711">
      <c r="N1711">
        <f>IF(AND(ISNUMBER(L1711),ISNUMBER(M1711)),L1711-M1711,"")</f>
        <v/>
      </c>
    </row>
    <row r="1712">
      <c r="N1712">
        <f>IF(AND(ISNUMBER(L1712),ISNUMBER(M1712)),L1712-M1712,"")</f>
        <v/>
      </c>
    </row>
    <row r="1713">
      <c r="N1713">
        <f>IF(AND(ISNUMBER(L1713),ISNUMBER(M1713)),L1713-M1713,"")</f>
        <v/>
      </c>
    </row>
    <row r="1714">
      <c r="N1714">
        <f>IF(AND(ISNUMBER(L1714),ISNUMBER(M1714)),L1714-M1714,"")</f>
        <v/>
      </c>
    </row>
    <row r="1715">
      <c r="N1715">
        <f>IF(AND(ISNUMBER(L1715),ISNUMBER(M1715)),L1715-M1715,"")</f>
        <v/>
      </c>
    </row>
    <row r="1716">
      <c r="N1716">
        <f>IF(AND(ISNUMBER(L1716),ISNUMBER(M1716)),L1716-M1716,"")</f>
        <v/>
      </c>
    </row>
    <row r="1717">
      <c r="N1717">
        <f>IF(AND(ISNUMBER(L1717),ISNUMBER(M1717)),L1717-M1717,"")</f>
        <v/>
      </c>
    </row>
    <row r="1718">
      <c r="N1718">
        <f>IF(AND(ISNUMBER(L1718),ISNUMBER(M1718)),L1718-M1718,"")</f>
        <v/>
      </c>
    </row>
    <row r="1719">
      <c r="N1719">
        <f>IF(AND(ISNUMBER(L1719),ISNUMBER(M1719)),L1719-M1719,"")</f>
        <v/>
      </c>
    </row>
    <row r="1720">
      <c r="N1720">
        <f>IF(AND(ISNUMBER(L1720),ISNUMBER(M1720)),L1720-M1720,"")</f>
        <v/>
      </c>
    </row>
    <row r="1721">
      <c r="N1721">
        <f>IF(AND(ISNUMBER(L1721),ISNUMBER(M1721)),L1721-M1721,"")</f>
        <v/>
      </c>
    </row>
    <row r="1722">
      <c r="N1722">
        <f>IF(AND(ISNUMBER(L1722),ISNUMBER(M1722)),L1722-M1722,"")</f>
        <v/>
      </c>
    </row>
    <row r="1723">
      <c r="N1723">
        <f>IF(AND(ISNUMBER(L1723),ISNUMBER(M1723)),L1723-M1723,"")</f>
        <v/>
      </c>
    </row>
    <row r="1724">
      <c r="N1724">
        <f>IF(AND(ISNUMBER(L1724),ISNUMBER(M1724)),L1724-M1724,"")</f>
        <v/>
      </c>
    </row>
    <row r="1725">
      <c r="N1725">
        <f>IF(AND(ISNUMBER(L1725),ISNUMBER(M1725)),L1725-M1725,"")</f>
        <v/>
      </c>
    </row>
    <row r="1726">
      <c r="N1726">
        <f>IF(AND(ISNUMBER(L1726),ISNUMBER(M1726)),L1726-M1726,"")</f>
        <v/>
      </c>
    </row>
    <row r="1727">
      <c r="N1727">
        <f>IF(AND(ISNUMBER(L1727),ISNUMBER(M1727)),L1727-M1727,"")</f>
        <v/>
      </c>
    </row>
    <row r="1728">
      <c r="N1728">
        <f>IF(AND(ISNUMBER(L1728),ISNUMBER(M1728)),L1728-M1728,"")</f>
        <v/>
      </c>
    </row>
    <row r="1729">
      <c r="N1729">
        <f>IF(AND(ISNUMBER(L1729),ISNUMBER(M1729)),L1729-M1729,"")</f>
        <v/>
      </c>
    </row>
    <row r="1730">
      <c r="N1730">
        <f>IF(AND(ISNUMBER(L1730),ISNUMBER(M1730)),L1730-M1730,"")</f>
        <v/>
      </c>
    </row>
    <row r="1731">
      <c r="N1731">
        <f>IF(AND(ISNUMBER(L1731),ISNUMBER(M1731)),L1731-M1731,"")</f>
        <v/>
      </c>
    </row>
    <row r="1732">
      <c r="N1732">
        <f>IF(AND(ISNUMBER(L1732),ISNUMBER(M1732)),L1732-M1732,"")</f>
        <v/>
      </c>
    </row>
    <row r="1733">
      <c r="N1733">
        <f>IF(AND(ISNUMBER(L1733),ISNUMBER(M1733)),L1733-M1733,"")</f>
        <v/>
      </c>
    </row>
    <row r="1734">
      <c r="N1734">
        <f>IF(AND(ISNUMBER(L1734),ISNUMBER(M1734)),L1734-M1734,"")</f>
        <v/>
      </c>
    </row>
    <row r="1735">
      <c r="N1735">
        <f>IF(AND(ISNUMBER(L1735),ISNUMBER(M1735)),L1735-M1735,"")</f>
        <v/>
      </c>
    </row>
    <row r="1736">
      <c r="N1736">
        <f>IF(AND(ISNUMBER(L1736),ISNUMBER(M1736)),L1736-M1736,"")</f>
        <v/>
      </c>
    </row>
    <row r="1737">
      <c r="N1737">
        <f>IF(AND(ISNUMBER(L1737),ISNUMBER(M1737)),L1737-M1737,"")</f>
        <v/>
      </c>
    </row>
    <row r="1738">
      <c r="N1738">
        <f>IF(AND(ISNUMBER(L1738),ISNUMBER(M1738)),L1738-M1738,"")</f>
        <v/>
      </c>
    </row>
    <row r="1739">
      <c r="N1739">
        <f>IF(AND(ISNUMBER(L1739),ISNUMBER(M1739)),L1739-M1739,"")</f>
        <v/>
      </c>
    </row>
    <row r="1740">
      <c r="N1740">
        <f>IF(AND(ISNUMBER(L1740),ISNUMBER(M1740)),L1740-M1740,"")</f>
        <v/>
      </c>
    </row>
    <row r="1741">
      <c r="N1741">
        <f>IF(AND(ISNUMBER(L1741),ISNUMBER(M1741)),L1741-M1741,"")</f>
        <v/>
      </c>
    </row>
    <row r="1742">
      <c r="N1742">
        <f>IF(AND(ISNUMBER(L1742),ISNUMBER(M1742)),L1742-M1742,"")</f>
        <v/>
      </c>
    </row>
    <row r="1743">
      <c r="N1743">
        <f>IF(AND(ISNUMBER(L1743),ISNUMBER(M1743)),L1743-M1743,"")</f>
        <v/>
      </c>
    </row>
    <row r="1744">
      <c r="N1744">
        <f>IF(AND(ISNUMBER(L1744),ISNUMBER(M1744)),L1744-M1744,"")</f>
        <v/>
      </c>
    </row>
    <row r="1745">
      <c r="N1745">
        <f>IF(AND(ISNUMBER(L1745),ISNUMBER(M1745)),L1745-M1745,"")</f>
        <v/>
      </c>
    </row>
    <row r="1746">
      <c r="N1746">
        <f>IF(AND(ISNUMBER(L1746),ISNUMBER(M1746)),L1746-M1746,"")</f>
        <v/>
      </c>
    </row>
    <row r="1747">
      <c r="N1747">
        <f>IF(AND(ISNUMBER(L1747),ISNUMBER(M1747)),L1747-M1747,"")</f>
        <v/>
      </c>
    </row>
    <row r="1748">
      <c r="N1748">
        <f>IF(AND(ISNUMBER(L1748),ISNUMBER(M1748)),L1748-M1748,"")</f>
        <v/>
      </c>
    </row>
    <row r="1749">
      <c r="N1749">
        <f>IF(AND(ISNUMBER(L1749),ISNUMBER(M1749)),L1749-M1749,"")</f>
        <v/>
      </c>
    </row>
    <row r="1750">
      <c r="N1750">
        <f>IF(AND(ISNUMBER(L1750),ISNUMBER(M1750)),L1750-M1750,"")</f>
        <v/>
      </c>
    </row>
    <row r="1751">
      <c r="N1751">
        <f>IF(AND(ISNUMBER(L1751),ISNUMBER(M1751)),L1751-M1751,"")</f>
        <v/>
      </c>
    </row>
    <row r="1752">
      <c r="N1752">
        <f>IF(AND(ISNUMBER(L1752),ISNUMBER(M1752)),L1752-M1752,"")</f>
        <v/>
      </c>
    </row>
    <row r="1753">
      <c r="N1753">
        <f>IF(AND(ISNUMBER(L1753),ISNUMBER(M1753)),L1753-M1753,"")</f>
        <v/>
      </c>
    </row>
    <row r="1754">
      <c r="N1754">
        <f>IF(AND(ISNUMBER(L1754),ISNUMBER(M1754)),L1754-M1754,"")</f>
        <v/>
      </c>
    </row>
    <row r="1755">
      <c r="N1755">
        <f>IF(AND(ISNUMBER(L1755),ISNUMBER(M1755)),L1755-M1755,"")</f>
        <v/>
      </c>
    </row>
    <row r="1756">
      <c r="N1756">
        <f>IF(AND(ISNUMBER(L1756),ISNUMBER(M1756)),L1756-M1756,"")</f>
        <v/>
      </c>
    </row>
    <row r="1757">
      <c r="N1757">
        <f>IF(AND(ISNUMBER(L1757),ISNUMBER(M1757)),L1757-M1757,"")</f>
        <v/>
      </c>
    </row>
    <row r="1758">
      <c r="N1758">
        <f>IF(AND(ISNUMBER(L1758),ISNUMBER(M1758)),L1758-M1758,"")</f>
        <v/>
      </c>
    </row>
    <row r="1759">
      <c r="N1759">
        <f>IF(AND(ISNUMBER(L1759),ISNUMBER(M1759)),L1759-M1759,"")</f>
        <v/>
      </c>
    </row>
    <row r="1760">
      <c r="N1760">
        <f>IF(AND(ISNUMBER(L1760),ISNUMBER(M1760)),L1760-M1760,"")</f>
        <v/>
      </c>
    </row>
    <row r="1761">
      <c r="N1761">
        <f>IF(AND(ISNUMBER(L1761),ISNUMBER(M1761)),L1761-M1761,"")</f>
        <v/>
      </c>
    </row>
    <row r="1762">
      <c r="N1762">
        <f>IF(AND(ISNUMBER(L1762),ISNUMBER(M1762)),L1762-M1762,"")</f>
        <v/>
      </c>
    </row>
    <row r="1763">
      <c r="N1763">
        <f>IF(AND(ISNUMBER(L1763),ISNUMBER(M1763)),L1763-M1763,"")</f>
        <v/>
      </c>
    </row>
    <row r="1764">
      <c r="N1764">
        <f>IF(AND(ISNUMBER(L1764),ISNUMBER(M1764)),L1764-M1764,"")</f>
        <v/>
      </c>
    </row>
    <row r="1765">
      <c r="N1765">
        <f>IF(AND(ISNUMBER(L1765),ISNUMBER(M1765)),L1765-M1765,"")</f>
        <v/>
      </c>
    </row>
    <row r="1766">
      <c r="N1766">
        <f>IF(AND(ISNUMBER(L1766),ISNUMBER(M1766)),L1766-M1766,"")</f>
        <v/>
      </c>
    </row>
    <row r="1767">
      <c r="N1767">
        <f>IF(AND(ISNUMBER(L1767),ISNUMBER(M1767)),L1767-M1767,"")</f>
        <v/>
      </c>
    </row>
    <row r="1768">
      <c r="N1768">
        <f>IF(AND(ISNUMBER(L1768),ISNUMBER(M1768)),L1768-M1768,"")</f>
        <v/>
      </c>
    </row>
    <row r="1769">
      <c r="N1769">
        <f>IF(AND(ISNUMBER(L1769),ISNUMBER(M1769)),L1769-M1769,"")</f>
        <v/>
      </c>
    </row>
    <row r="1770">
      <c r="N1770">
        <f>IF(AND(ISNUMBER(L1770),ISNUMBER(M1770)),L1770-M1770,"")</f>
        <v/>
      </c>
    </row>
    <row r="1771">
      <c r="N1771">
        <f>IF(AND(ISNUMBER(L1771),ISNUMBER(M1771)),L1771-M1771,"")</f>
        <v/>
      </c>
    </row>
    <row r="1772">
      <c r="N1772">
        <f>IF(AND(ISNUMBER(L1772),ISNUMBER(M1772)),L1772-M1772,"")</f>
        <v/>
      </c>
    </row>
    <row r="1773">
      <c r="N1773">
        <f>IF(AND(ISNUMBER(L1773),ISNUMBER(M1773)),L1773-M1773,"")</f>
        <v/>
      </c>
    </row>
    <row r="1774">
      <c r="N1774">
        <f>IF(AND(ISNUMBER(L1774),ISNUMBER(M1774)),L1774-M1774,"")</f>
        <v/>
      </c>
    </row>
    <row r="1775">
      <c r="N1775">
        <f>IF(AND(ISNUMBER(L1775),ISNUMBER(M1775)),L1775-M1775,"")</f>
        <v/>
      </c>
    </row>
    <row r="1776">
      <c r="N1776">
        <f>IF(AND(ISNUMBER(L1776),ISNUMBER(M1776)),L1776-M1776,"")</f>
        <v/>
      </c>
    </row>
    <row r="1777">
      <c r="N1777">
        <f>IF(AND(ISNUMBER(L1777),ISNUMBER(M1777)),L1777-M1777,"")</f>
        <v/>
      </c>
    </row>
    <row r="1778">
      <c r="N1778">
        <f>IF(AND(ISNUMBER(L1778),ISNUMBER(M1778)),L1778-M1778,"")</f>
        <v/>
      </c>
    </row>
    <row r="1779">
      <c r="N1779">
        <f>IF(AND(ISNUMBER(L1779),ISNUMBER(M1779)),L1779-M1779,"")</f>
        <v/>
      </c>
    </row>
    <row r="1780">
      <c r="N1780">
        <f>IF(AND(ISNUMBER(L1780),ISNUMBER(M1780)),L1780-M1780,"")</f>
        <v/>
      </c>
    </row>
    <row r="1781">
      <c r="N1781">
        <f>IF(AND(ISNUMBER(L1781),ISNUMBER(M1781)),L1781-M1781,"")</f>
        <v/>
      </c>
    </row>
    <row r="1782">
      <c r="N1782">
        <f>IF(AND(ISNUMBER(L1782),ISNUMBER(M1782)),L1782-M1782,"")</f>
        <v/>
      </c>
    </row>
    <row r="1783">
      <c r="N1783">
        <f>IF(AND(ISNUMBER(L1783),ISNUMBER(M1783)),L1783-M1783,"")</f>
        <v/>
      </c>
    </row>
    <row r="1784">
      <c r="N1784">
        <f>IF(AND(ISNUMBER(L1784),ISNUMBER(M1784)),L1784-M1784,"")</f>
        <v/>
      </c>
    </row>
    <row r="1785">
      <c r="N1785">
        <f>IF(AND(ISNUMBER(L1785),ISNUMBER(M1785)),L1785-M1785,"")</f>
        <v/>
      </c>
    </row>
    <row r="1786">
      <c r="N1786">
        <f>IF(AND(ISNUMBER(L1786),ISNUMBER(M1786)),L1786-M1786,"")</f>
        <v/>
      </c>
    </row>
    <row r="1787">
      <c r="N1787">
        <f>IF(AND(ISNUMBER(L1787),ISNUMBER(M1787)),L1787-M1787,"")</f>
        <v/>
      </c>
    </row>
    <row r="1788">
      <c r="N1788">
        <f>IF(AND(ISNUMBER(L1788),ISNUMBER(M1788)),L1788-M1788,"")</f>
        <v/>
      </c>
    </row>
    <row r="1789">
      <c r="N1789">
        <f>IF(AND(ISNUMBER(L1789),ISNUMBER(M1789)),L1789-M1789,"")</f>
        <v/>
      </c>
    </row>
    <row r="1790">
      <c r="N1790">
        <f>IF(AND(ISNUMBER(L1790),ISNUMBER(M1790)),L1790-M1790,"")</f>
        <v/>
      </c>
    </row>
    <row r="1791">
      <c r="N1791">
        <f>IF(AND(ISNUMBER(L1791),ISNUMBER(M1791)),L1791-M1791,"")</f>
        <v/>
      </c>
    </row>
    <row r="1792">
      <c r="N1792">
        <f>IF(AND(ISNUMBER(L1792),ISNUMBER(M1792)),L1792-M1792,"")</f>
        <v/>
      </c>
    </row>
    <row r="1793">
      <c r="N1793">
        <f>IF(AND(ISNUMBER(L1793),ISNUMBER(M1793)),L1793-M1793,"")</f>
        <v/>
      </c>
    </row>
    <row r="1794">
      <c r="N1794">
        <f>IF(AND(ISNUMBER(L1794),ISNUMBER(M1794)),L1794-M1794,"")</f>
        <v/>
      </c>
    </row>
    <row r="1795">
      <c r="N1795">
        <f>IF(AND(ISNUMBER(L1795),ISNUMBER(M1795)),L1795-M1795,"")</f>
        <v/>
      </c>
    </row>
    <row r="1796">
      <c r="N1796">
        <f>IF(AND(ISNUMBER(L1796),ISNUMBER(M1796)),L1796-M1796,"")</f>
        <v/>
      </c>
    </row>
    <row r="1797">
      <c r="N1797">
        <f>IF(AND(ISNUMBER(L1797),ISNUMBER(M1797)),L1797-M1797,"")</f>
        <v/>
      </c>
    </row>
    <row r="1798">
      <c r="N1798">
        <f>IF(AND(ISNUMBER(L1798),ISNUMBER(M1798)),L1798-M1798,"")</f>
        <v/>
      </c>
    </row>
    <row r="1799">
      <c r="N1799">
        <f>IF(AND(ISNUMBER(L1799),ISNUMBER(M1799)),L1799-M1799,"")</f>
        <v/>
      </c>
    </row>
    <row r="1800">
      <c r="N1800">
        <f>IF(AND(ISNUMBER(L1800),ISNUMBER(M1800)),L1800-M1800,"")</f>
        <v/>
      </c>
    </row>
    <row r="1801">
      <c r="N1801">
        <f>IF(AND(ISNUMBER(L1801),ISNUMBER(M1801)),L1801-M1801,"")</f>
        <v/>
      </c>
    </row>
    <row r="1802">
      <c r="N1802">
        <f>IF(AND(ISNUMBER(L1802),ISNUMBER(M1802)),L1802-M1802,"")</f>
        <v/>
      </c>
    </row>
    <row r="1803">
      <c r="N1803">
        <f>IF(AND(ISNUMBER(L1803),ISNUMBER(M1803)),L1803-M1803,"")</f>
        <v/>
      </c>
    </row>
    <row r="1804">
      <c r="N1804">
        <f>IF(AND(ISNUMBER(L1804),ISNUMBER(M1804)),L1804-M1804,"")</f>
        <v/>
      </c>
    </row>
    <row r="1805">
      <c r="N1805">
        <f>IF(AND(ISNUMBER(L1805),ISNUMBER(M1805)),L1805-M1805,"")</f>
        <v/>
      </c>
    </row>
    <row r="1806">
      <c r="N1806">
        <f>IF(AND(ISNUMBER(L1806),ISNUMBER(M1806)),L1806-M1806,"")</f>
        <v/>
      </c>
    </row>
    <row r="1807">
      <c r="N1807">
        <f>IF(AND(ISNUMBER(L1807),ISNUMBER(M1807)),L1807-M1807,"")</f>
        <v/>
      </c>
    </row>
    <row r="1808">
      <c r="N1808">
        <f>IF(AND(ISNUMBER(L1808),ISNUMBER(M1808)),L1808-M1808,"")</f>
        <v/>
      </c>
    </row>
    <row r="1809">
      <c r="N1809">
        <f>IF(AND(ISNUMBER(L1809),ISNUMBER(M1809)),L1809-M1809,"")</f>
        <v/>
      </c>
    </row>
    <row r="1810">
      <c r="N1810">
        <f>IF(AND(ISNUMBER(L1810),ISNUMBER(M1810)),L1810-M1810,"")</f>
        <v/>
      </c>
    </row>
    <row r="1811">
      <c r="N1811">
        <f>IF(AND(ISNUMBER(L1811),ISNUMBER(M1811)),L1811-M1811,"")</f>
        <v/>
      </c>
    </row>
    <row r="1812">
      <c r="N1812">
        <f>IF(AND(ISNUMBER(L1812),ISNUMBER(M1812)),L1812-M1812,"")</f>
        <v/>
      </c>
    </row>
    <row r="1813">
      <c r="N1813">
        <f>IF(AND(ISNUMBER(L1813),ISNUMBER(M1813)),L1813-M1813,"")</f>
        <v/>
      </c>
    </row>
    <row r="1814">
      <c r="N1814">
        <f>IF(AND(ISNUMBER(L1814),ISNUMBER(M1814)),L1814-M1814,"")</f>
        <v/>
      </c>
    </row>
    <row r="1815">
      <c r="N1815">
        <f>IF(AND(ISNUMBER(L1815),ISNUMBER(M1815)),L1815-M1815,"")</f>
        <v/>
      </c>
    </row>
    <row r="1816">
      <c r="N1816">
        <f>IF(AND(ISNUMBER(L1816),ISNUMBER(M1816)),L1816-M1816,"")</f>
        <v/>
      </c>
    </row>
    <row r="1817">
      <c r="N1817">
        <f>IF(AND(ISNUMBER(L1817),ISNUMBER(M1817)),L1817-M1817,"")</f>
        <v/>
      </c>
    </row>
    <row r="1818">
      <c r="N1818">
        <f>IF(AND(ISNUMBER(L1818),ISNUMBER(M1818)),L1818-M1818,"")</f>
        <v/>
      </c>
    </row>
    <row r="1819">
      <c r="N1819">
        <f>IF(AND(ISNUMBER(L1819),ISNUMBER(M1819)),L1819-M1819,"")</f>
        <v/>
      </c>
    </row>
    <row r="1820">
      <c r="N1820">
        <f>IF(AND(ISNUMBER(L1820),ISNUMBER(M1820)),L1820-M1820,"")</f>
        <v/>
      </c>
    </row>
    <row r="1821">
      <c r="N1821">
        <f>IF(AND(ISNUMBER(L1821),ISNUMBER(M1821)),L1821-M1821,"")</f>
        <v/>
      </c>
    </row>
    <row r="1822">
      <c r="N1822">
        <f>IF(AND(ISNUMBER(L1822),ISNUMBER(M1822)),L1822-M1822,"")</f>
        <v/>
      </c>
    </row>
    <row r="1823">
      <c r="N1823">
        <f>IF(AND(ISNUMBER(L1823),ISNUMBER(M1823)),L1823-M1823,"")</f>
        <v/>
      </c>
    </row>
    <row r="1824">
      <c r="N1824">
        <f>IF(AND(ISNUMBER(L1824),ISNUMBER(M1824)),L1824-M1824,"")</f>
        <v/>
      </c>
    </row>
    <row r="1825">
      <c r="N1825">
        <f>IF(AND(ISNUMBER(L1825),ISNUMBER(M1825)),L1825-M1825,"")</f>
        <v/>
      </c>
    </row>
    <row r="1826">
      <c r="N1826">
        <f>IF(AND(ISNUMBER(L1826),ISNUMBER(M1826)),L1826-M1826,"")</f>
        <v/>
      </c>
    </row>
    <row r="1827">
      <c r="N1827">
        <f>IF(AND(ISNUMBER(L1827),ISNUMBER(M1827)),L1827-M1827,"")</f>
        <v/>
      </c>
    </row>
    <row r="1828">
      <c r="N1828">
        <f>IF(AND(ISNUMBER(L1828),ISNUMBER(M1828)),L1828-M1828,"")</f>
        <v/>
      </c>
    </row>
    <row r="1829">
      <c r="N1829">
        <f>IF(AND(ISNUMBER(L1829),ISNUMBER(M1829)),L1829-M1829,"")</f>
        <v/>
      </c>
    </row>
    <row r="1830">
      <c r="N1830">
        <f>IF(AND(ISNUMBER(L1830),ISNUMBER(M1830)),L1830-M1830,"")</f>
        <v/>
      </c>
    </row>
    <row r="1831">
      <c r="N1831">
        <f>IF(AND(ISNUMBER(L1831),ISNUMBER(M1831)),L1831-M1831,"")</f>
        <v/>
      </c>
    </row>
    <row r="1832">
      <c r="N1832">
        <f>IF(AND(ISNUMBER(L1832),ISNUMBER(M1832)),L1832-M1832,"")</f>
        <v/>
      </c>
    </row>
    <row r="1833">
      <c r="N1833">
        <f>IF(AND(ISNUMBER(L1833),ISNUMBER(M1833)),L1833-M1833,"")</f>
        <v/>
      </c>
    </row>
    <row r="1834">
      <c r="N1834">
        <f>IF(AND(ISNUMBER(L1834),ISNUMBER(M1834)),L1834-M1834,"")</f>
        <v/>
      </c>
    </row>
    <row r="1835">
      <c r="N1835">
        <f>IF(AND(ISNUMBER(L1835),ISNUMBER(M1835)),L1835-M1835,"")</f>
        <v/>
      </c>
    </row>
    <row r="1836">
      <c r="N1836">
        <f>IF(AND(ISNUMBER(L1836),ISNUMBER(M1836)),L1836-M1836,"")</f>
        <v/>
      </c>
    </row>
    <row r="1837">
      <c r="N1837">
        <f>IF(AND(ISNUMBER(L1837),ISNUMBER(M1837)),L1837-M1837,"")</f>
        <v/>
      </c>
    </row>
    <row r="1838">
      <c r="N1838">
        <f>IF(AND(ISNUMBER(L1838),ISNUMBER(M1838)),L1838-M1838,"")</f>
        <v/>
      </c>
    </row>
    <row r="1839">
      <c r="N1839">
        <f>IF(AND(ISNUMBER(L1839),ISNUMBER(M1839)),L1839-M1839,"")</f>
        <v/>
      </c>
    </row>
    <row r="1840">
      <c r="N1840">
        <f>IF(AND(ISNUMBER(L1840),ISNUMBER(M1840)),L1840-M1840,"")</f>
        <v/>
      </c>
    </row>
    <row r="1841">
      <c r="N1841">
        <f>IF(AND(ISNUMBER(L1841),ISNUMBER(M1841)),L1841-M1841,"")</f>
        <v/>
      </c>
    </row>
    <row r="1842">
      <c r="N1842">
        <f>IF(AND(ISNUMBER(L1842),ISNUMBER(M1842)),L1842-M1842,"")</f>
        <v/>
      </c>
    </row>
    <row r="1843">
      <c r="N1843">
        <f>IF(AND(ISNUMBER(L1843),ISNUMBER(M1843)),L1843-M1843,"")</f>
        <v/>
      </c>
    </row>
    <row r="1844">
      <c r="N1844">
        <f>IF(AND(ISNUMBER(L1844),ISNUMBER(M1844)),L1844-M1844,"")</f>
        <v/>
      </c>
    </row>
    <row r="1845">
      <c r="N1845">
        <f>IF(AND(ISNUMBER(L1845),ISNUMBER(M1845)),L1845-M1845,"")</f>
        <v/>
      </c>
    </row>
    <row r="1846">
      <c r="N1846">
        <f>IF(AND(ISNUMBER(L1846),ISNUMBER(M1846)),L1846-M1846,"")</f>
        <v/>
      </c>
    </row>
    <row r="1847">
      <c r="N1847">
        <f>IF(AND(ISNUMBER(L1847),ISNUMBER(M1847)),L1847-M1847,"")</f>
        <v/>
      </c>
    </row>
    <row r="1848">
      <c r="N1848">
        <f>IF(AND(ISNUMBER(L1848),ISNUMBER(M1848)),L1848-M1848,"")</f>
        <v/>
      </c>
    </row>
    <row r="1849">
      <c r="N1849">
        <f>IF(AND(ISNUMBER(L1849),ISNUMBER(M1849)),L1849-M1849,"")</f>
        <v/>
      </c>
    </row>
    <row r="1850">
      <c r="N1850">
        <f>IF(AND(ISNUMBER(L1850),ISNUMBER(M1850)),L1850-M1850,"")</f>
        <v/>
      </c>
    </row>
    <row r="1851">
      <c r="N1851">
        <f>IF(AND(ISNUMBER(L1851),ISNUMBER(M1851)),L1851-M1851,"")</f>
        <v/>
      </c>
    </row>
    <row r="1852">
      <c r="N1852">
        <f>IF(AND(ISNUMBER(L1852),ISNUMBER(M1852)),L1852-M1852,"")</f>
        <v/>
      </c>
    </row>
    <row r="1853">
      <c r="N1853">
        <f>IF(AND(ISNUMBER(L1853),ISNUMBER(M1853)),L1853-M1853,"")</f>
        <v/>
      </c>
    </row>
    <row r="1854">
      <c r="N1854">
        <f>IF(AND(ISNUMBER(L1854),ISNUMBER(M1854)),L1854-M1854,"")</f>
        <v/>
      </c>
    </row>
    <row r="1855">
      <c r="N1855">
        <f>IF(AND(ISNUMBER(L1855),ISNUMBER(M1855)),L1855-M1855,"")</f>
        <v/>
      </c>
    </row>
    <row r="1856">
      <c r="N1856">
        <f>IF(AND(ISNUMBER(L1856),ISNUMBER(M1856)),L1856-M1856,"")</f>
        <v/>
      </c>
    </row>
    <row r="1857">
      <c r="N1857">
        <f>IF(AND(ISNUMBER(L1857),ISNUMBER(M1857)),L1857-M1857,"")</f>
        <v/>
      </c>
    </row>
    <row r="1858">
      <c r="N1858">
        <f>IF(AND(ISNUMBER(L1858),ISNUMBER(M1858)),L1858-M1858,"")</f>
        <v/>
      </c>
    </row>
    <row r="1859">
      <c r="N1859">
        <f>IF(AND(ISNUMBER(L1859),ISNUMBER(M1859)),L1859-M1859,"")</f>
        <v/>
      </c>
    </row>
    <row r="1860">
      <c r="N1860">
        <f>IF(AND(ISNUMBER(L1860),ISNUMBER(M1860)),L1860-M1860,"")</f>
        <v/>
      </c>
    </row>
    <row r="1861">
      <c r="N1861">
        <f>IF(AND(ISNUMBER(L1861),ISNUMBER(M1861)),L1861-M1861,"")</f>
        <v/>
      </c>
    </row>
    <row r="1862">
      <c r="N1862">
        <f>IF(AND(ISNUMBER(L1862),ISNUMBER(M1862)),L1862-M1862,"")</f>
        <v/>
      </c>
    </row>
    <row r="1863">
      <c r="N1863">
        <f>IF(AND(ISNUMBER(L1863),ISNUMBER(M1863)),L1863-M1863,"")</f>
        <v/>
      </c>
    </row>
    <row r="1864">
      <c r="N1864">
        <f>IF(AND(ISNUMBER(L1864),ISNUMBER(M1864)),L1864-M1864,"")</f>
        <v/>
      </c>
    </row>
    <row r="1865">
      <c r="N1865">
        <f>IF(AND(ISNUMBER(L1865),ISNUMBER(M1865)),L1865-M1865,"")</f>
        <v/>
      </c>
    </row>
    <row r="1866">
      <c r="N1866">
        <f>IF(AND(ISNUMBER(L1866),ISNUMBER(M1866)),L1866-M1866,"")</f>
        <v/>
      </c>
    </row>
    <row r="1867">
      <c r="N1867">
        <f>IF(AND(ISNUMBER(L1867),ISNUMBER(M1867)),L1867-M1867,"")</f>
        <v/>
      </c>
    </row>
    <row r="1868">
      <c r="N1868">
        <f>IF(AND(ISNUMBER(L1868),ISNUMBER(M1868)),L1868-M1868,"")</f>
        <v/>
      </c>
    </row>
    <row r="1869">
      <c r="N1869">
        <f>IF(AND(ISNUMBER(L1869),ISNUMBER(M1869)),L1869-M1869,"")</f>
        <v/>
      </c>
    </row>
    <row r="1870">
      <c r="N1870">
        <f>IF(AND(ISNUMBER(L1870),ISNUMBER(M1870)),L1870-M1870,"")</f>
        <v/>
      </c>
    </row>
    <row r="1871">
      <c r="N1871">
        <f>IF(AND(ISNUMBER(L1871),ISNUMBER(M1871)),L1871-M1871,"")</f>
        <v/>
      </c>
    </row>
    <row r="1872">
      <c r="N1872">
        <f>IF(AND(ISNUMBER(L1872),ISNUMBER(M1872)),L1872-M1872,"")</f>
        <v/>
      </c>
    </row>
    <row r="1873">
      <c r="N1873">
        <f>IF(AND(ISNUMBER(L1873),ISNUMBER(M1873)),L1873-M1873,"")</f>
        <v/>
      </c>
    </row>
    <row r="1874">
      <c r="N1874">
        <f>IF(AND(ISNUMBER(L1874),ISNUMBER(M1874)),L1874-M1874,"")</f>
        <v/>
      </c>
    </row>
    <row r="1875">
      <c r="N1875">
        <f>IF(AND(ISNUMBER(L1875),ISNUMBER(M1875)),L1875-M1875,"")</f>
        <v/>
      </c>
    </row>
    <row r="1876">
      <c r="N1876">
        <f>IF(AND(ISNUMBER(L1876),ISNUMBER(M1876)),L1876-M1876,"")</f>
        <v/>
      </c>
    </row>
    <row r="1877">
      <c r="N1877">
        <f>IF(AND(ISNUMBER(L1877),ISNUMBER(M1877)),L1877-M1877,"")</f>
        <v/>
      </c>
    </row>
    <row r="1878">
      <c r="N1878">
        <f>IF(AND(ISNUMBER(L1878),ISNUMBER(M1878)),L1878-M1878,"")</f>
        <v/>
      </c>
    </row>
    <row r="1879">
      <c r="N1879">
        <f>IF(AND(ISNUMBER(L1879),ISNUMBER(M1879)),L1879-M1879,"")</f>
        <v/>
      </c>
    </row>
    <row r="1880">
      <c r="N1880">
        <f>IF(AND(ISNUMBER(L1880),ISNUMBER(M1880)),L1880-M1880,"")</f>
        <v/>
      </c>
    </row>
    <row r="1881">
      <c r="N1881">
        <f>IF(AND(ISNUMBER(L1881),ISNUMBER(M1881)),L1881-M1881,"")</f>
        <v/>
      </c>
    </row>
    <row r="1882">
      <c r="N1882">
        <f>IF(AND(ISNUMBER(L1882),ISNUMBER(M1882)),L1882-M1882,"")</f>
        <v/>
      </c>
    </row>
    <row r="1883">
      <c r="N1883">
        <f>IF(AND(ISNUMBER(L1883),ISNUMBER(M1883)),L1883-M1883,"")</f>
        <v/>
      </c>
    </row>
    <row r="1884">
      <c r="N1884">
        <f>IF(AND(ISNUMBER(L1884),ISNUMBER(M1884)),L1884-M1884,"")</f>
        <v/>
      </c>
    </row>
    <row r="1885">
      <c r="N1885">
        <f>IF(AND(ISNUMBER(L1885),ISNUMBER(M1885)),L1885-M1885,"")</f>
        <v/>
      </c>
    </row>
    <row r="1886">
      <c r="N1886">
        <f>IF(AND(ISNUMBER(L1886),ISNUMBER(M1886)),L1886-M1886,"")</f>
        <v/>
      </c>
    </row>
    <row r="1887">
      <c r="N1887">
        <f>IF(AND(ISNUMBER(L1887),ISNUMBER(M1887)),L1887-M1887,"")</f>
        <v/>
      </c>
    </row>
    <row r="1888">
      <c r="N1888">
        <f>IF(AND(ISNUMBER(L1888),ISNUMBER(M1888)),L1888-M1888,"")</f>
        <v/>
      </c>
    </row>
    <row r="1889">
      <c r="N1889">
        <f>IF(AND(ISNUMBER(L1889),ISNUMBER(M1889)),L1889-M1889,"")</f>
        <v/>
      </c>
    </row>
    <row r="1890">
      <c r="N1890">
        <f>IF(AND(ISNUMBER(L1890),ISNUMBER(M1890)),L1890-M1890,"")</f>
        <v/>
      </c>
    </row>
    <row r="1891">
      <c r="N1891">
        <f>IF(AND(ISNUMBER(L1891),ISNUMBER(M1891)),L1891-M1891,"")</f>
        <v/>
      </c>
    </row>
    <row r="1892">
      <c r="N1892">
        <f>IF(AND(ISNUMBER(L1892),ISNUMBER(M1892)),L1892-M1892,"")</f>
        <v/>
      </c>
    </row>
    <row r="1893">
      <c r="N1893">
        <f>IF(AND(ISNUMBER(L1893),ISNUMBER(M1893)),L1893-M1893,"")</f>
        <v/>
      </c>
    </row>
    <row r="1894">
      <c r="N1894">
        <f>IF(AND(ISNUMBER(L1894),ISNUMBER(M1894)),L1894-M1894,"")</f>
        <v/>
      </c>
    </row>
    <row r="1895">
      <c r="N1895">
        <f>IF(AND(ISNUMBER(L1895),ISNUMBER(M1895)),L1895-M1895,"")</f>
        <v/>
      </c>
    </row>
    <row r="1896">
      <c r="N1896">
        <f>IF(AND(ISNUMBER(L1896),ISNUMBER(M1896)),L1896-M1896,"")</f>
        <v/>
      </c>
    </row>
    <row r="1897">
      <c r="N1897">
        <f>IF(AND(ISNUMBER(L1897),ISNUMBER(M1897)),L1897-M1897,"")</f>
        <v/>
      </c>
    </row>
    <row r="1898">
      <c r="N1898">
        <f>IF(AND(ISNUMBER(L1898),ISNUMBER(M1898)),L1898-M1898,"")</f>
        <v/>
      </c>
    </row>
    <row r="1899">
      <c r="N1899">
        <f>IF(AND(ISNUMBER(L1899),ISNUMBER(M1899)),L1899-M1899,"")</f>
        <v/>
      </c>
    </row>
    <row r="1900">
      <c r="N1900">
        <f>IF(AND(ISNUMBER(L1900),ISNUMBER(M1900)),L1900-M1900,"")</f>
        <v/>
      </c>
    </row>
    <row r="1901">
      <c r="N1901">
        <f>IF(AND(ISNUMBER(L1901),ISNUMBER(M1901)),L1901-M1901,"")</f>
        <v/>
      </c>
    </row>
    <row r="1902">
      <c r="N1902">
        <f>IF(AND(ISNUMBER(L1902),ISNUMBER(M1902)),L1902-M1902,"")</f>
        <v/>
      </c>
    </row>
    <row r="1903">
      <c r="N1903">
        <f>IF(AND(ISNUMBER(L1903),ISNUMBER(M1903)),L1903-M1903,"")</f>
        <v/>
      </c>
    </row>
    <row r="1904">
      <c r="N1904">
        <f>IF(AND(ISNUMBER(L1904),ISNUMBER(M1904)),L1904-M1904,"")</f>
        <v/>
      </c>
    </row>
    <row r="1905">
      <c r="N1905">
        <f>IF(AND(ISNUMBER(L1905),ISNUMBER(M1905)),L1905-M1905,"")</f>
        <v/>
      </c>
    </row>
    <row r="1906">
      <c r="N1906">
        <f>IF(AND(ISNUMBER(L1906),ISNUMBER(M1906)),L1906-M1906,"")</f>
        <v/>
      </c>
    </row>
    <row r="1907">
      <c r="N1907">
        <f>IF(AND(ISNUMBER(L1907),ISNUMBER(M1907)),L1907-M1907,"")</f>
        <v/>
      </c>
    </row>
    <row r="1908">
      <c r="N1908">
        <f>IF(AND(ISNUMBER(L1908),ISNUMBER(M1908)),L1908-M1908,"")</f>
        <v/>
      </c>
    </row>
    <row r="1909">
      <c r="N1909">
        <f>IF(AND(ISNUMBER(L1909),ISNUMBER(M1909)),L1909-M1909,"")</f>
        <v/>
      </c>
    </row>
    <row r="1910">
      <c r="N1910">
        <f>IF(AND(ISNUMBER(L1910),ISNUMBER(M1910)),L1910-M1910,"")</f>
        <v/>
      </c>
    </row>
    <row r="1911">
      <c r="N1911">
        <f>IF(AND(ISNUMBER(L1911),ISNUMBER(M1911)),L1911-M1911,"")</f>
        <v/>
      </c>
    </row>
    <row r="1912">
      <c r="N1912">
        <f>IF(AND(ISNUMBER(L1912),ISNUMBER(M1912)),L1912-M1912,"")</f>
        <v/>
      </c>
    </row>
    <row r="1913">
      <c r="N1913">
        <f>IF(AND(ISNUMBER(L1913),ISNUMBER(M1913)),L1913-M1913,"")</f>
        <v/>
      </c>
    </row>
    <row r="1914">
      <c r="N1914">
        <f>IF(AND(ISNUMBER(L1914),ISNUMBER(M1914)),L1914-M1914,"")</f>
        <v/>
      </c>
    </row>
    <row r="1915">
      <c r="N1915">
        <f>IF(AND(ISNUMBER(L1915),ISNUMBER(M1915)),L1915-M1915,"")</f>
        <v/>
      </c>
    </row>
    <row r="1916">
      <c r="N1916">
        <f>IF(AND(ISNUMBER(L1916),ISNUMBER(M1916)),L1916-M1916,"")</f>
        <v/>
      </c>
    </row>
    <row r="1917">
      <c r="N1917">
        <f>IF(AND(ISNUMBER(L1917),ISNUMBER(M1917)),L1917-M1917,"")</f>
        <v/>
      </c>
    </row>
    <row r="1918">
      <c r="N1918">
        <f>IF(AND(ISNUMBER(L1918),ISNUMBER(M1918)),L1918-M1918,"")</f>
        <v/>
      </c>
    </row>
    <row r="1919">
      <c r="N1919">
        <f>IF(AND(ISNUMBER(L1919),ISNUMBER(M1919)),L1919-M1919,"")</f>
        <v/>
      </c>
    </row>
    <row r="1920">
      <c r="N1920">
        <f>IF(AND(ISNUMBER(L1920),ISNUMBER(M1920)),L1920-M1920,"")</f>
        <v/>
      </c>
    </row>
    <row r="1921">
      <c r="N1921">
        <f>IF(AND(ISNUMBER(L1921),ISNUMBER(M1921)),L1921-M1921,"")</f>
        <v/>
      </c>
    </row>
    <row r="1922">
      <c r="N1922">
        <f>IF(AND(ISNUMBER(L1922),ISNUMBER(M1922)),L1922-M1922,"")</f>
        <v/>
      </c>
    </row>
    <row r="1923">
      <c r="N1923">
        <f>IF(AND(ISNUMBER(L1923),ISNUMBER(M1923)),L1923-M1923,"")</f>
        <v/>
      </c>
    </row>
    <row r="1924">
      <c r="N1924">
        <f>IF(AND(ISNUMBER(L1924),ISNUMBER(M1924)),L1924-M1924,"")</f>
        <v/>
      </c>
    </row>
    <row r="1925">
      <c r="N1925">
        <f>IF(AND(ISNUMBER(L1925),ISNUMBER(M1925)),L1925-M1925,"")</f>
        <v/>
      </c>
    </row>
    <row r="1926">
      <c r="N1926">
        <f>IF(AND(ISNUMBER(L1926),ISNUMBER(M1926)),L1926-M1926,"")</f>
        <v/>
      </c>
    </row>
    <row r="1927">
      <c r="N1927">
        <f>IF(AND(ISNUMBER(L1927),ISNUMBER(M1927)),L1927-M1927,"")</f>
        <v/>
      </c>
    </row>
    <row r="1928">
      <c r="N1928">
        <f>IF(AND(ISNUMBER(L1928),ISNUMBER(M1928)),L1928-M1928,"")</f>
        <v/>
      </c>
    </row>
    <row r="1929">
      <c r="N1929">
        <f>IF(AND(ISNUMBER(L1929),ISNUMBER(M1929)),L1929-M1929,"")</f>
        <v/>
      </c>
    </row>
    <row r="1930">
      <c r="N1930">
        <f>IF(AND(ISNUMBER(L1930),ISNUMBER(M1930)),L1930-M1930,"")</f>
        <v/>
      </c>
    </row>
    <row r="1931">
      <c r="N1931">
        <f>IF(AND(ISNUMBER(L1931),ISNUMBER(M1931)),L1931-M1931,"")</f>
        <v/>
      </c>
    </row>
    <row r="1932">
      <c r="N1932">
        <f>IF(AND(ISNUMBER(L1932),ISNUMBER(M1932)),L1932-M1932,"")</f>
        <v/>
      </c>
    </row>
    <row r="1933">
      <c r="N1933">
        <f>IF(AND(ISNUMBER(L1933),ISNUMBER(M1933)),L1933-M1933,"")</f>
        <v/>
      </c>
    </row>
    <row r="1934">
      <c r="N1934">
        <f>IF(AND(ISNUMBER(L1934),ISNUMBER(M1934)),L1934-M1934,"")</f>
        <v/>
      </c>
    </row>
    <row r="1935">
      <c r="N1935">
        <f>IF(AND(ISNUMBER(L1935),ISNUMBER(M1935)),L1935-M1935,"")</f>
        <v/>
      </c>
    </row>
    <row r="1936">
      <c r="N1936">
        <f>IF(AND(ISNUMBER(L1936),ISNUMBER(M1936)),L1936-M1936,"")</f>
        <v/>
      </c>
    </row>
    <row r="1937">
      <c r="N1937">
        <f>IF(AND(ISNUMBER(L1937),ISNUMBER(M1937)),L1937-M1937,"")</f>
        <v/>
      </c>
    </row>
    <row r="1938">
      <c r="N1938">
        <f>IF(AND(ISNUMBER(L1938),ISNUMBER(M1938)),L1938-M1938,"")</f>
        <v/>
      </c>
    </row>
    <row r="1939">
      <c r="N1939">
        <f>IF(AND(ISNUMBER(L1939),ISNUMBER(M1939)),L1939-M1939,"")</f>
        <v/>
      </c>
    </row>
    <row r="1940">
      <c r="N1940">
        <f>IF(AND(ISNUMBER(L1940),ISNUMBER(M1940)),L1940-M1940,"")</f>
        <v/>
      </c>
    </row>
    <row r="1941">
      <c r="N1941">
        <f>IF(AND(ISNUMBER(L1941),ISNUMBER(M1941)),L1941-M1941,"")</f>
        <v/>
      </c>
    </row>
    <row r="1942">
      <c r="N1942">
        <f>IF(AND(ISNUMBER(L1942),ISNUMBER(M1942)),L1942-M1942,"")</f>
        <v/>
      </c>
    </row>
    <row r="1943">
      <c r="N1943">
        <f>IF(AND(ISNUMBER(L1943),ISNUMBER(M1943)),L1943-M1943,"")</f>
        <v/>
      </c>
    </row>
    <row r="1944">
      <c r="N1944">
        <f>IF(AND(ISNUMBER(L1944),ISNUMBER(M1944)),L1944-M1944,"")</f>
        <v/>
      </c>
    </row>
    <row r="1945">
      <c r="N1945">
        <f>IF(AND(ISNUMBER(L1945),ISNUMBER(M1945)),L1945-M1945,"")</f>
        <v/>
      </c>
    </row>
    <row r="1946">
      <c r="N1946">
        <f>IF(AND(ISNUMBER(L1946),ISNUMBER(M1946)),L1946-M1946,"")</f>
        <v/>
      </c>
    </row>
    <row r="1947">
      <c r="N1947">
        <f>IF(AND(ISNUMBER(L1947),ISNUMBER(M1947)),L1947-M1947,"")</f>
        <v/>
      </c>
    </row>
    <row r="1948">
      <c r="N1948">
        <f>IF(AND(ISNUMBER(L1948),ISNUMBER(M1948)),L1948-M1948,"")</f>
        <v/>
      </c>
    </row>
    <row r="1949">
      <c r="N1949">
        <f>IF(AND(ISNUMBER(L1949),ISNUMBER(M1949)),L1949-M1949,"")</f>
        <v/>
      </c>
    </row>
    <row r="1950">
      <c r="N1950">
        <f>IF(AND(ISNUMBER(L1950),ISNUMBER(M1950)),L1950-M1950,"")</f>
        <v/>
      </c>
    </row>
    <row r="1951">
      <c r="N1951">
        <f>IF(AND(ISNUMBER(L1951),ISNUMBER(M1951)),L1951-M1951,"")</f>
        <v/>
      </c>
    </row>
    <row r="1952">
      <c r="N1952">
        <f>IF(AND(ISNUMBER(L1952),ISNUMBER(M1952)),L1952-M1952,"")</f>
        <v/>
      </c>
    </row>
    <row r="1953">
      <c r="N1953">
        <f>IF(AND(ISNUMBER(L1953),ISNUMBER(M1953)),L1953-M1953,"")</f>
        <v/>
      </c>
    </row>
    <row r="1954">
      <c r="N1954">
        <f>IF(AND(ISNUMBER(L1954),ISNUMBER(M1954)),L1954-M1954,"")</f>
        <v/>
      </c>
    </row>
    <row r="1955">
      <c r="N1955">
        <f>IF(AND(ISNUMBER(L1955),ISNUMBER(M1955)),L1955-M1955,"")</f>
        <v/>
      </c>
    </row>
    <row r="1956">
      <c r="N1956">
        <f>IF(AND(ISNUMBER(L1956),ISNUMBER(M1956)),L1956-M1956,"")</f>
        <v/>
      </c>
    </row>
    <row r="1957">
      <c r="N1957">
        <f>IF(AND(ISNUMBER(L1957),ISNUMBER(M1957)),L1957-M1957,"")</f>
        <v/>
      </c>
    </row>
    <row r="1958">
      <c r="N1958">
        <f>IF(AND(ISNUMBER(L1958),ISNUMBER(M1958)),L1958-M1958,"")</f>
        <v/>
      </c>
    </row>
    <row r="1959">
      <c r="N1959">
        <f>IF(AND(ISNUMBER(L1959),ISNUMBER(M1959)),L1959-M1959,"")</f>
        <v/>
      </c>
    </row>
    <row r="1960">
      <c r="N1960">
        <f>IF(AND(ISNUMBER(L1960),ISNUMBER(M1960)),L1960-M1960,"")</f>
        <v/>
      </c>
    </row>
    <row r="1961">
      <c r="N1961">
        <f>IF(AND(ISNUMBER(L1961),ISNUMBER(M1961)),L1961-M1961,"")</f>
        <v/>
      </c>
    </row>
    <row r="1962">
      <c r="N1962">
        <f>IF(AND(ISNUMBER(L1962),ISNUMBER(M1962)),L1962-M1962,"")</f>
        <v/>
      </c>
    </row>
    <row r="1963">
      <c r="N1963">
        <f>IF(AND(ISNUMBER(L1963),ISNUMBER(M1963)),L1963-M1963,"")</f>
        <v/>
      </c>
    </row>
    <row r="1964">
      <c r="N1964">
        <f>IF(AND(ISNUMBER(L1964),ISNUMBER(M1964)),L1964-M1964,"")</f>
        <v/>
      </c>
    </row>
    <row r="1965">
      <c r="N1965">
        <f>IF(AND(ISNUMBER(L1965),ISNUMBER(M1965)),L1965-M1965,"")</f>
        <v/>
      </c>
    </row>
    <row r="1966">
      <c r="N1966">
        <f>IF(AND(ISNUMBER(L1966),ISNUMBER(M1966)),L1966-M1966,"")</f>
        <v/>
      </c>
    </row>
    <row r="1967">
      <c r="N1967">
        <f>IF(AND(ISNUMBER(L1967),ISNUMBER(M1967)),L1967-M1967,"")</f>
        <v/>
      </c>
    </row>
    <row r="1968">
      <c r="N1968">
        <f>IF(AND(ISNUMBER(L1968),ISNUMBER(M1968)),L1968-M1968,"")</f>
        <v/>
      </c>
    </row>
    <row r="1969">
      <c r="N1969">
        <f>IF(AND(ISNUMBER(L1969),ISNUMBER(M1969)),L1969-M1969,"")</f>
        <v/>
      </c>
    </row>
    <row r="1970">
      <c r="N1970">
        <f>IF(AND(ISNUMBER(L1970),ISNUMBER(M1970)),L1970-M1970,"")</f>
        <v/>
      </c>
    </row>
    <row r="1971">
      <c r="N1971">
        <f>IF(AND(ISNUMBER(L1971),ISNUMBER(M1971)),L1971-M1971,"")</f>
        <v/>
      </c>
    </row>
    <row r="1972">
      <c r="N1972">
        <f>IF(AND(ISNUMBER(L1972),ISNUMBER(M1972)),L1972-M1972,"")</f>
        <v/>
      </c>
    </row>
    <row r="1973">
      <c r="N1973">
        <f>IF(AND(ISNUMBER(L1973),ISNUMBER(M1973)),L1973-M1973,"")</f>
        <v/>
      </c>
    </row>
    <row r="1974">
      <c r="N1974">
        <f>IF(AND(ISNUMBER(L1974),ISNUMBER(M1974)),L1974-M1974,"")</f>
        <v/>
      </c>
    </row>
    <row r="1975">
      <c r="N1975">
        <f>IF(AND(ISNUMBER(L1975),ISNUMBER(M1975)),L1975-M1975,"")</f>
        <v/>
      </c>
    </row>
    <row r="1976">
      <c r="N1976">
        <f>IF(AND(ISNUMBER(L1976),ISNUMBER(M1976)),L1976-M1976,"")</f>
        <v/>
      </c>
    </row>
    <row r="1977">
      <c r="N1977">
        <f>IF(AND(ISNUMBER(L1977),ISNUMBER(M1977)),L1977-M1977,"")</f>
        <v/>
      </c>
    </row>
    <row r="1978">
      <c r="N1978">
        <f>IF(AND(ISNUMBER(L1978),ISNUMBER(M1978)),L1978-M1978,"")</f>
        <v/>
      </c>
    </row>
    <row r="1979">
      <c r="N1979">
        <f>IF(AND(ISNUMBER(L1979),ISNUMBER(M1979)),L1979-M1979,"")</f>
        <v/>
      </c>
    </row>
    <row r="1980">
      <c r="N1980">
        <f>IF(AND(ISNUMBER(L1980),ISNUMBER(M1980)),L1980-M1980,"")</f>
        <v/>
      </c>
    </row>
    <row r="1981">
      <c r="N1981">
        <f>IF(AND(ISNUMBER(L1981),ISNUMBER(M1981)),L1981-M1981,"")</f>
        <v/>
      </c>
    </row>
    <row r="1982">
      <c r="N1982">
        <f>IF(AND(ISNUMBER(L1982),ISNUMBER(M1982)),L1982-M1982,"")</f>
        <v/>
      </c>
    </row>
    <row r="1983">
      <c r="N1983">
        <f>IF(AND(ISNUMBER(L1983),ISNUMBER(M1983)),L1983-M1983,"")</f>
        <v/>
      </c>
    </row>
    <row r="1984">
      <c r="N1984">
        <f>IF(AND(ISNUMBER(L1984),ISNUMBER(M1984)),L1984-M1984,"")</f>
        <v/>
      </c>
    </row>
    <row r="1985">
      <c r="N1985">
        <f>IF(AND(ISNUMBER(L1985),ISNUMBER(M1985)),L1985-M1985,"")</f>
        <v/>
      </c>
    </row>
    <row r="1986">
      <c r="N1986">
        <f>IF(AND(ISNUMBER(L1986),ISNUMBER(M1986)),L1986-M1986,"")</f>
        <v/>
      </c>
    </row>
    <row r="1987">
      <c r="N1987">
        <f>IF(AND(ISNUMBER(L1987),ISNUMBER(M1987)),L1987-M1987,"")</f>
        <v/>
      </c>
    </row>
    <row r="1988">
      <c r="N1988">
        <f>IF(AND(ISNUMBER(L1988),ISNUMBER(M1988)),L1988-M1988,"")</f>
        <v/>
      </c>
    </row>
    <row r="1989">
      <c r="N1989">
        <f>IF(AND(ISNUMBER(L1989),ISNUMBER(M1989)),L1989-M1989,"")</f>
        <v/>
      </c>
    </row>
    <row r="1990">
      <c r="N1990">
        <f>IF(AND(ISNUMBER(L1990),ISNUMBER(M1990)),L1990-M1990,"")</f>
        <v/>
      </c>
    </row>
    <row r="1991">
      <c r="N1991">
        <f>IF(AND(ISNUMBER(L1991),ISNUMBER(M1991)),L1991-M1991,"")</f>
        <v/>
      </c>
    </row>
    <row r="1992">
      <c r="N1992">
        <f>IF(AND(ISNUMBER(L1992),ISNUMBER(M1992)),L1992-M1992,"")</f>
        <v/>
      </c>
    </row>
    <row r="1993">
      <c r="N1993">
        <f>IF(AND(ISNUMBER(L1993),ISNUMBER(M1993)),L1993-M1993,"")</f>
        <v/>
      </c>
    </row>
    <row r="1994">
      <c r="N1994">
        <f>IF(AND(ISNUMBER(L1994),ISNUMBER(M1994)),L1994-M1994,"")</f>
        <v/>
      </c>
    </row>
    <row r="1995">
      <c r="N1995">
        <f>IF(AND(ISNUMBER(L1995),ISNUMBER(M1995)),L1995-M1995,"")</f>
        <v/>
      </c>
    </row>
    <row r="1996">
      <c r="N1996">
        <f>IF(AND(ISNUMBER(L1996),ISNUMBER(M1996)),L1996-M1996,"")</f>
        <v/>
      </c>
    </row>
    <row r="1997">
      <c r="N1997">
        <f>IF(AND(ISNUMBER(L1997),ISNUMBER(M1997)),L1997-M1997,"")</f>
        <v/>
      </c>
    </row>
    <row r="1998">
      <c r="N1998">
        <f>IF(AND(ISNUMBER(L1998),ISNUMBER(M1998)),L1998-M1998,"")</f>
        <v/>
      </c>
    </row>
    <row r="1999">
      <c r="N1999">
        <f>IF(AND(ISNUMBER(L1999),ISNUMBER(M1999)),L1999-M1999,"")</f>
        <v/>
      </c>
    </row>
    <row r="2000">
      <c r="N2000">
        <f>IF(AND(ISNUMBER(L2000),ISNUMBER(M2000)),L2000-M2000,"")</f>
        <v/>
      </c>
    </row>
    <row r="2001">
      <c r="N2001">
        <f>IF(AND(ISNUMBER(L2001),ISNUMBER(M2001)),L2001-M2001,"")</f>
        <v/>
      </c>
    </row>
    <row r="2002">
      <c r="N2002">
        <f>IF(AND(ISNUMBER(L2002),ISNUMBER(M2002)),L2002-M2002,"")</f>
        <v/>
      </c>
    </row>
    <row r="2003">
      <c r="N2003">
        <f>IF(AND(ISNUMBER(L2003),ISNUMBER(M2003)),L2003-M2003,"")</f>
        <v/>
      </c>
    </row>
    <row r="2004">
      <c r="N2004">
        <f>IF(AND(ISNUMBER(L2004),ISNUMBER(M2004)),L2004-M2004,"")</f>
        <v/>
      </c>
    </row>
    <row r="2005">
      <c r="N2005">
        <f>IF(AND(ISNUMBER(L2005),ISNUMBER(M2005)),L2005-M2005,"")</f>
        <v/>
      </c>
    </row>
    <row r="2006">
      <c r="N2006">
        <f>IF(AND(ISNUMBER(L2006),ISNUMBER(M2006)),L2006-M2006,"")</f>
        <v/>
      </c>
    </row>
    <row r="2007">
      <c r="N2007">
        <f>IF(AND(ISNUMBER(L2007),ISNUMBER(M2007)),L2007-M2007,"")</f>
        <v/>
      </c>
    </row>
    <row r="2008">
      <c r="N2008">
        <f>IF(AND(ISNUMBER(L2008),ISNUMBER(M2008)),L2008-M2008,"")</f>
        <v/>
      </c>
    </row>
    <row r="2009">
      <c r="N2009">
        <f>IF(AND(ISNUMBER(L2009),ISNUMBER(M2009)),L2009-M2009,"")</f>
        <v/>
      </c>
    </row>
    <row r="2010">
      <c r="N2010">
        <f>IF(AND(ISNUMBER(L2010),ISNUMBER(M2010)),L2010-M2010,"")</f>
        <v/>
      </c>
    </row>
    <row r="2011">
      <c r="N2011">
        <f>IF(AND(ISNUMBER(L2011),ISNUMBER(M2011)),L2011-M2011,"")</f>
        <v/>
      </c>
    </row>
    <row r="2012">
      <c r="N2012">
        <f>IF(AND(ISNUMBER(L2012),ISNUMBER(M2012)),L2012-M2012,"")</f>
        <v/>
      </c>
    </row>
    <row r="2013">
      <c r="N2013">
        <f>IF(AND(ISNUMBER(L2013),ISNUMBER(M2013)),L2013-M2013,"")</f>
        <v/>
      </c>
    </row>
    <row r="2014">
      <c r="N2014">
        <f>IF(AND(ISNUMBER(L2014),ISNUMBER(M2014)),L2014-M2014,"")</f>
        <v/>
      </c>
    </row>
    <row r="2015">
      <c r="N2015">
        <f>IF(AND(ISNUMBER(L2015),ISNUMBER(M2015)),L2015-M2015,"")</f>
        <v/>
      </c>
    </row>
    <row r="2016">
      <c r="N2016">
        <f>IF(AND(ISNUMBER(L2016),ISNUMBER(M2016)),L2016-M2016,"")</f>
        <v/>
      </c>
    </row>
    <row r="2017">
      <c r="N2017">
        <f>IF(AND(ISNUMBER(L2017),ISNUMBER(M2017)),L2017-M2017,"")</f>
        <v/>
      </c>
    </row>
    <row r="2018">
      <c r="N2018">
        <f>IF(AND(ISNUMBER(L2018),ISNUMBER(M2018)),L2018-M2018,"")</f>
        <v/>
      </c>
    </row>
    <row r="2019">
      <c r="N2019">
        <f>IF(AND(ISNUMBER(L2019),ISNUMBER(M2019)),L2019-M2019,"")</f>
        <v/>
      </c>
    </row>
    <row r="2020">
      <c r="N2020">
        <f>IF(AND(ISNUMBER(L2020),ISNUMBER(M2020)),L2020-M2020,"")</f>
        <v/>
      </c>
    </row>
    <row r="2021">
      <c r="N2021">
        <f>IF(AND(ISNUMBER(L2021),ISNUMBER(M2021)),L2021-M2021,"")</f>
        <v/>
      </c>
    </row>
    <row r="2022">
      <c r="N2022">
        <f>IF(AND(ISNUMBER(L2022),ISNUMBER(M2022)),L2022-M2022,"")</f>
        <v/>
      </c>
    </row>
    <row r="2023">
      <c r="N2023">
        <f>IF(AND(ISNUMBER(L2023),ISNUMBER(M2023)),L2023-M2023,"")</f>
        <v/>
      </c>
    </row>
    <row r="2024">
      <c r="N2024">
        <f>IF(AND(ISNUMBER(L2024),ISNUMBER(M2024)),L2024-M2024,"")</f>
        <v/>
      </c>
    </row>
    <row r="2025">
      <c r="N2025">
        <f>IF(AND(ISNUMBER(L2025),ISNUMBER(M2025)),L2025-M2025,"")</f>
        <v/>
      </c>
    </row>
    <row r="2026">
      <c r="N2026">
        <f>IF(AND(ISNUMBER(L2026),ISNUMBER(M2026)),L2026-M2026,"")</f>
        <v/>
      </c>
    </row>
    <row r="2027">
      <c r="N2027">
        <f>IF(AND(ISNUMBER(L2027),ISNUMBER(M2027)),L2027-M2027,"")</f>
        <v/>
      </c>
    </row>
    <row r="2028">
      <c r="N2028">
        <f>IF(AND(ISNUMBER(L2028),ISNUMBER(M2028)),L2028-M2028,"")</f>
        <v/>
      </c>
    </row>
    <row r="2029">
      <c r="N2029">
        <f>IF(AND(ISNUMBER(L2029),ISNUMBER(M2029)),L2029-M2029,"")</f>
        <v/>
      </c>
    </row>
    <row r="2030">
      <c r="N2030">
        <f>IF(AND(ISNUMBER(L2030),ISNUMBER(M2030)),L2030-M2030,"")</f>
        <v/>
      </c>
    </row>
    <row r="2031">
      <c r="N2031">
        <f>IF(AND(ISNUMBER(L2031),ISNUMBER(M2031)),L2031-M2031,"")</f>
        <v/>
      </c>
    </row>
    <row r="2032">
      <c r="N2032">
        <f>IF(AND(ISNUMBER(L2032),ISNUMBER(M2032)),L2032-M2032,"")</f>
        <v/>
      </c>
    </row>
    <row r="2033">
      <c r="N2033">
        <f>IF(AND(ISNUMBER(L2033),ISNUMBER(M2033)),L2033-M2033,"")</f>
        <v/>
      </c>
    </row>
    <row r="2034">
      <c r="N2034">
        <f>IF(AND(ISNUMBER(L2034),ISNUMBER(M2034)),L2034-M2034,"")</f>
        <v/>
      </c>
    </row>
    <row r="2035">
      <c r="N2035">
        <f>IF(AND(ISNUMBER(L2035),ISNUMBER(M2035)),L2035-M2035,"")</f>
        <v/>
      </c>
    </row>
    <row r="2036">
      <c r="N2036">
        <f>IF(AND(ISNUMBER(L2036),ISNUMBER(M2036)),L2036-M2036,"")</f>
        <v/>
      </c>
    </row>
    <row r="2037">
      <c r="N2037">
        <f>IF(AND(ISNUMBER(L2037),ISNUMBER(M2037)),L2037-M2037,"")</f>
        <v/>
      </c>
    </row>
    <row r="2038">
      <c r="N2038">
        <f>IF(AND(ISNUMBER(L2038),ISNUMBER(M2038)),L2038-M2038,"")</f>
        <v/>
      </c>
    </row>
    <row r="2039">
      <c r="N2039">
        <f>IF(AND(ISNUMBER(L2039),ISNUMBER(M2039)),L2039-M2039,"")</f>
        <v/>
      </c>
    </row>
    <row r="2040">
      <c r="N2040">
        <f>IF(AND(ISNUMBER(L2040),ISNUMBER(M2040)),L2040-M2040,"")</f>
        <v/>
      </c>
    </row>
    <row r="2041">
      <c r="N2041">
        <f>IF(AND(ISNUMBER(L2041),ISNUMBER(M2041)),L2041-M2041,"")</f>
        <v/>
      </c>
    </row>
    <row r="2042">
      <c r="N2042">
        <f>IF(AND(ISNUMBER(L2042),ISNUMBER(M2042)),L2042-M2042,"")</f>
        <v/>
      </c>
    </row>
    <row r="2043">
      <c r="N2043">
        <f>IF(AND(ISNUMBER(L2043),ISNUMBER(M2043)),L2043-M2043,"")</f>
        <v/>
      </c>
    </row>
    <row r="2044">
      <c r="N2044">
        <f>IF(AND(ISNUMBER(L2044),ISNUMBER(M2044)),L2044-M2044,"")</f>
        <v/>
      </c>
    </row>
    <row r="2045">
      <c r="N2045">
        <f>IF(AND(ISNUMBER(L2045),ISNUMBER(M2045)),L2045-M2045,"")</f>
        <v/>
      </c>
    </row>
    <row r="2046">
      <c r="N2046">
        <f>IF(AND(ISNUMBER(L2046),ISNUMBER(M2046)),L2046-M2046,"")</f>
        <v/>
      </c>
    </row>
    <row r="2047">
      <c r="N2047">
        <f>IF(AND(ISNUMBER(L2047),ISNUMBER(M2047)),L2047-M2047,"")</f>
        <v/>
      </c>
    </row>
    <row r="2048">
      <c r="N2048">
        <f>IF(AND(ISNUMBER(L2048),ISNUMBER(M2048)),L2048-M2048,"")</f>
        <v/>
      </c>
    </row>
    <row r="2049">
      <c r="N2049">
        <f>IF(AND(ISNUMBER(L2049),ISNUMBER(M2049)),L2049-M2049,"")</f>
        <v/>
      </c>
    </row>
    <row r="2050">
      <c r="N2050">
        <f>IF(AND(ISNUMBER(L2050),ISNUMBER(M2050)),L2050-M2050,"")</f>
        <v/>
      </c>
    </row>
    <row r="2051">
      <c r="N2051">
        <f>IF(AND(ISNUMBER(L2051),ISNUMBER(M2051)),L2051-M2051,"")</f>
        <v/>
      </c>
    </row>
    <row r="2052">
      <c r="N2052">
        <f>IF(AND(ISNUMBER(L2052),ISNUMBER(M2052)),L2052-M2052,"")</f>
        <v/>
      </c>
    </row>
    <row r="2053">
      <c r="N2053">
        <f>IF(AND(ISNUMBER(L2053),ISNUMBER(M2053)),L2053-M2053,"")</f>
        <v/>
      </c>
    </row>
    <row r="2054">
      <c r="N2054">
        <f>IF(AND(ISNUMBER(L2054),ISNUMBER(M2054)),L2054-M2054,"")</f>
        <v/>
      </c>
    </row>
    <row r="2055">
      <c r="N2055">
        <f>IF(AND(ISNUMBER(L2055),ISNUMBER(M2055)),L2055-M2055,"")</f>
        <v/>
      </c>
    </row>
    <row r="2056">
      <c r="N2056">
        <f>IF(AND(ISNUMBER(L2056),ISNUMBER(M2056)),L2056-M2056,"")</f>
        <v/>
      </c>
    </row>
    <row r="2057">
      <c r="N2057">
        <f>IF(AND(ISNUMBER(L2057),ISNUMBER(M2057)),L2057-M2057,"")</f>
        <v/>
      </c>
    </row>
    <row r="2058">
      <c r="N2058">
        <f>IF(AND(ISNUMBER(L2058),ISNUMBER(M2058)),L2058-M2058,"")</f>
        <v/>
      </c>
    </row>
    <row r="2059">
      <c r="N2059">
        <f>IF(AND(ISNUMBER(L2059),ISNUMBER(M2059)),L2059-M2059,"")</f>
        <v/>
      </c>
    </row>
    <row r="2060">
      <c r="N2060">
        <f>IF(AND(ISNUMBER(L2060),ISNUMBER(M2060)),L2060-M2060,"")</f>
        <v/>
      </c>
    </row>
    <row r="2061">
      <c r="N2061">
        <f>IF(AND(ISNUMBER(L2061),ISNUMBER(M2061)),L2061-M2061,"")</f>
        <v/>
      </c>
    </row>
    <row r="2062">
      <c r="N2062">
        <f>IF(AND(ISNUMBER(L2062),ISNUMBER(M2062)),L2062-M2062,"")</f>
        <v/>
      </c>
    </row>
    <row r="2063">
      <c r="N2063">
        <f>IF(AND(ISNUMBER(L2063),ISNUMBER(M2063)),L2063-M2063,"")</f>
        <v/>
      </c>
    </row>
    <row r="2064">
      <c r="N2064">
        <f>IF(AND(ISNUMBER(L2064),ISNUMBER(M2064)),L2064-M2064,"")</f>
        <v/>
      </c>
    </row>
    <row r="2065">
      <c r="N2065">
        <f>IF(AND(ISNUMBER(L2065),ISNUMBER(M2065)),L2065-M2065,"")</f>
        <v/>
      </c>
    </row>
    <row r="2066">
      <c r="N2066">
        <f>IF(AND(ISNUMBER(L2066),ISNUMBER(M2066)),L2066-M2066,"")</f>
        <v/>
      </c>
    </row>
    <row r="2067">
      <c r="N2067">
        <f>IF(AND(ISNUMBER(L2067),ISNUMBER(M2067)),L2067-M2067,"")</f>
        <v/>
      </c>
    </row>
    <row r="2068">
      <c r="N2068">
        <f>IF(AND(ISNUMBER(L2068),ISNUMBER(M2068)),L2068-M2068,"")</f>
        <v/>
      </c>
    </row>
    <row r="2069">
      <c r="N2069">
        <f>IF(AND(ISNUMBER(L2069),ISNUMBER(M2069)),L2069-M2069,"")</f>
        <v/>
      </c>
    </row>
    <row r="2070">
      <c r="N2070">
        <f>IF(AND(ISNUMBER(L2070),ISNUMBER(M2070)),L2070-M2070,"")</f>
        <v/>
      </c>
    </row>
    <row r="2071">
      <c r="N2071">
        <f>IF(AND(ISNUMBER(L2071),ISNUMBER(M2071)),L2071-M2071,"")</f>
        <v/>
      </c>
    </row>
    <row r="2072">
      <c r="N2072">
        <f>IF(AND(ISNUMBER(L2072),ISNUMBER(M2072)),L2072-M2072,"")</f>
        <v/>
      </c>
    </row>
    <row r="2073">
      <c r="N2073">
        <f>IF(AND(ISNUMBER(L2073),ISNUMBER(M2073)),L2073-M2073,"")</f>
        <v/>
      </c>
    </row>
    <row r="2074">
      <c r="N2074">
        <f>IF(AND(ISNUMBER(L2074),ISNUMBER(M2074)),L2074-M2074,"")</f>
        <v/>
      </c>
    </row>
    <row r="2075">
      <c r="N2075">
        <f>IF(AND(ISNUMBER(L2075),ISNUMBER(M2075)),L2075-M2075,"")</f>
        <v/>
      </c>
    </row>
    <row r="2076">
      <c r="N2076">
        <f>IF(AND(ISNUMBER(L2076),ISNUMBER(M2076)),L2076-M2076,"")</f>
        <v/>
      </c>
    </row>
    <row r="2077">
      <c r="N2077">
        <f>IF(AND(ISNUMBER(L2077),ISNUMBER(M2077)),L2077-M2077,"")</f>
        <v/>
      </c>
    </row>
    <row r="2078">
      <c r="N2078">
        <f>IF(AND(ISNUMBER(L2078),ISNUMBER(M2078)),L2078-M2078,"")</f>
        <v/>
      </c>
    </row>
    <row r="2079">
      <c r="N2079">
        <f>IF(AND(ISNUMBER(L2079),ISNUMBER(M2079)),L2079-M2079,"")</f>
        <v/>
      </c>
    </row>
    <row r="2080">
      <c r="N2080">
        <f>IF(AND(ISNUMBER(L2080),ISNUMBER(M2080)),L2080-M2080,"")</f>
        <v/>
      </c>
    </row>
    <row r="2081">
      <c r="N2081">
        <f>IF(AND(ISNUMBER(L2081),ISNUMBER(M2081)),L2081-M2081,"")</f>
        <v/>
      </c>
    </row>
    <row r="2082">
      <c r="N2082">
        <f>IF(AND(ISNUMBER(L2082),ISNUMBER(M2082)),L2082-M2082,"")</f>
        <v/>
      </c>
    </row>
    <row r="2083">
      <c r="N2083">
        <f>IF(AND(ISNUMBER(L2083),ISNUMBER(M2083)),L2083-M2083,"")</f>
        <v/>
      </c>
    </row>
    <row r="2084">
      <c r="N2084">
        <f>IF(AND(ISNUMBER(L2084),ISNUMBER(M2084)),L2084-M2084,"")</f>
        <v/>
      </c>
    </row>
    <row r="2085">
      <c r="N2085">
        <f>IF(AND(ISNUMBER(L2085),ISNUMBER(M2085)),L2085-M2085,"")</f>
        <v/>
      </c>
    </row>
    <row r="2086">
      <c r="N2086">
        <f>IF(AND(ISNUMBER(L2086),ISNUMBER(M2086)),L2086-M2086,"")</f>
        <v/>
      </c>
    </row>
    <row r="2087">
      <c r="N2087">
        <f>IF(AND(ISNUMBER(L2087),ISNUMBER(M2087)),L2087-M2087,"")</f>
        <v/>
      </c>
    </row>
    <row r="2088">
      <c r="N2088">
        <f>IF(AND(ISNUMBER(L2088),ISNUMBER(M2088)),L2088-M2088,"")</f>
        <v/>
      </c>
    </row>
    <row r="2089">
      <c r="N2089">
        <f>IF(AND(ISNUMBER(L2089),ISNUMBER(M2089)),L2089-M2089,"")</f>
        <v/>
      </c>
    </row>
    <row r="2090">
      <c r="N2090">
        <f>IF(AND(ISNUMBER(L2090),ISNUMBER(M2090)),L2090-M2090,"")</f>
        <v/>
      </c>
    </row>
    <row r="2091">
      <c r="N2091">
        <f>IF(AND(ISNUMBER(L2091),ISNUMBER(M2091)),L2091-M2091,"")</f>
        <v/>
      </c>
    </row>
    <row r="2092">
      <c r="N2092">
        <f>IF(AND(ISNUMBER(L2092),ISNUMBER(M2092)),L2092-M2092,"")</f>
        <v/>
      </c>
    </row>
    <row r="2093">
      <c r="N2093">
        <f>IF(AND(ISNUMBER(L2093),ISNUMBER(M2093)),L2093-M2093,"")</f>
        <v/>
      </c>
    </row>
    <row r="2094">
      <c r="N2094">
        <f>IF(AND(ISNUMBER(L2094),ISNUMBER(M2094)),L2094-M2094,"")</f>
        <v/>
      </c>
    </row>
    <row r="2095">
      <c r="N2095">
        <f>IF(AND(ISNUMBER(L2095),ISNUMBER(M2095)),L2095-M2095,"")</f>
        <v/>
      </c>
    </row>
    <row r="2096">
      <c r="N2096">
        <f>IF(AND(ISNUMBER(L2096),ISNUMBER(M2096)),L2096-M2096,"")</f>
        <v/>
      </c>
    </row>
    <row r="2097">
      <c r="N2097">
        <f>IF(AND(ISNUMBER(L2097),ISNUMBER(M2097)),L2097-M2097,"")</f>
        <v/>
      </c>
    </row>
    <row r="2098">
      <c r="N2098">
        <f>IF(AND(ISNUMBER(L2098),ISNUMBER(M2098)),L2098-M2098,"")</f>
        <v/>
      </c>
    </row>
    <row r="2099">
      <c r="N2099">
        <f>IF(AND(ISNUMBER(L2099),ISNUMBER(M2099)),L2099-M2099,"")</f>
        <v/>
      </c>
    </row>
    <row r="2100">
      <c r="N2100">
        <f>IF(AND(ISNUMBER(L2100),ISNUMBER(M2100)),L2100-M2100,"")</f>
        <v/>
      </c>
    </row>
    <row r="2101">
      <c r="N2101">
        <f>IF(AND(ISNUMBER(L2101),ISNUMBER(M2101)),L2101-M2101,"")</f>
        <v/>
      </c>
    </row>
    <row r="2102">
      <c r="N2102">
        <f>IF(AND(ISNUMBER(L2102),ISNUMBER(M2102)),L2102-M2102,"")</f>
        <v/>
      </c>
    </row>
    <row r="2103">
      <c r="N2103">
        <f>IF(AND(ISNUMBER(L2103),ISNUMBER(M2103)),L2103-M2103,"")</f>
        <v/>
      </c>
    </row>
    <row r="2104">
      <c r="N2104">
        <f>IF(AND(ISNUMBER(L2104),ISNUMBER(M2104)),L2104-M2104,"")</f>
        <v/>
      </c>
    </row>
    <row r="2105">
      <c r="N2105">
        <f>IF(AND(ISNUMBER(L2105),ISNUMBER(M2105)),L2105-M2105,"")</f>
        <v/>
      </c>
    </row>
    <row r="2106">
      <c r="N2106">
        <f>IF(AND(ISNUMBER(L2106),ISNUMBER(M2106)),L2106-M2106,"")</f>
        <v/>
      </c>
    </row>
    <row r="2107">
      <c r="N2107">
        <f>IF(AND(ISNUMBER(L2107),ISNUMBER(M2107)),L2107-M2107,"")</f>
        <v/>
      </c>
    </row>
    <row r="2108">
      <c r="N2108">
        <f>IF(AND(ISNUMBER(L2108),ISNUMBER(M2108)),L2108-M2108,"")</f>
        <v/>
      </c>
    </row>
    <row r="2109">
      <c r="N2109">
        <f>IF(AND(ISNUMBER(L2109),ISNUMBER(M2109)),L2109-M2109,"")</f>
        <v/>
      </c>
    </row>
    <row r="2110">
      <c r="N2110">
        <f>IF(AND(ISNUMBER(L2110),ISNUMBER(M2110)),L2110-M2110,"")</f>
        <v/>
      </c>
    </row>
    <row r="2111">
      <c r="N2111">
        <f>IF(AND(ISNUMBER(L2111),ISNUMBER(M2111)),L2111-M2111,"")</f>
        <v/>
      </c>
    </row>
    <row r="2112">
      <c r="N2112">
        <f>IF(AND(ISNUMBER(L2112),ISNUMBER(M2112)),L2112-M2112,"")</f>
        <v/>
      </c>
    </row>
    <row r="2113">
      <c r="N2113">
        <f>IF(AND(ISNUMBER(L2113),ISNUMBER(M2113)),L2113-M2113,"")</f>
        <v/>
      </c>
    </row>
    <row r="2114">
      <c r="N2114">
        <f>IF(AND(ISNUMBER(L2114),ISNUMBER(M2114)),L2114-M2114,"")</f>
        <v/>
      </c>
    </row>
    <row r="2115">
      <c r="N2115">
        <f>IF(AND(ISNUMBER(L2115),ISNUMBER(M2115)),L2115-M2115,"")</f>
        <v/>
      </c>
    </row>
    <row r="2116">
      <c r="N2116">
        <f>IF(AND(ISNUMBER(L2116),ISNUMBER(M2116)),L2116-M2116,"")</f>
        <v/>
      </c>
    </row>
    <row r="2117">
      <c r="N2117">
        <f>IF(AND(ISNUMBER(L2117),ISNUMBER(M2117)),L2117-M2117,"")</f>
        <v/>
      </c>
    </row>
    <row r="2118">
      <c r="N2118">
        <f>IF(AND(ISNUMBER(L2118),ISNUMBER(M2118)),L2118-M2118,"")</f>
        <v/>
      </c>
    </row>
    <row r="2119">
      <c r="N2119">
        <f>IF(AND(ISNUMBER(L2119),ISNUMBER(M2119)),L2119-M2119,"")</f>
        <v/>
      </c>
    </row>
    <row r="2120">
      <c r="N2120">
        <f>IF(AND(ISNUMBER(L2120),ISNUMBER(M2120)),L2120-M2120,"")</f>
        <v/>
      </c>
    </row>
    <row r="2121">
      <c r="N2121">
        <f>IF(AND(ISNUMBER(L2121),ISNUMBER(M2121)),L2121-M2121,"")</f>
        <v/>
      </c>
    </row>
    <row r="2122">
      <c r="N2122">
        <f>IF(AND(ISNUMBER(L2122),ISNUMBER(M2122)),L2122-M2122,"")</f>
        <v/>
      </c>
    </row>
    <row r="2123">
      <c r="N2123">
        <f>IF(AND(ISNUMBER(L2123),ISNUMBER(M2123)),L2123-M2123,"")</f>
        <v/>
      </c>
    </row>
    <row r="2124">
      <c r="N2124">
        <f>IF(AND(ISNUMBER(L2124),ISNUMBER(M2124)),L2124-M2124,"")</f>
        <v/>
      </c>
    </row>
    <row r="2125">
      <c r="N2125">
        <f>IF(AND(ISNUMBER(L2125),ISNUMBER(M2125)),L2125-M2125,"")</f>
        <v/>
      </c>
    </row>
    <row r="2126">
      <c r="N2126">
        <f>IF(AND(ISNUMBER(L2126),ISNUMBER(M2126)),L2126-M2126,"")</f>
        <v/>
      </c>
    </row>
    <row r="2127">
      <c r="N2127">
        <f>IF(AND(ISNUMBER(L2127),ISNUMBER(M2127)),L2127-M2127,"")</f>
        <v/>
      </c>
    </row>
    <row r="2128">
      <c r="N2128">
        <f>IF(AND(ISNUMBER(L2128),ISNUMBER(M2128)),L2128-M2128,"")</f>
        <v/>
      </c>
    </row>
    <row r="2129">
      <c r="N2129">
        <f>IF(AND(ISNUMBER(L2129),ISNUMBER(M2129)),L2129-M2129,"")</f>
        <v/>
      </c>
    </row>
    <row r="2130">
      <c r="N2130">
        <f>IF(AND(ISNUMBER(L2130),ISNUMBER(M2130)),L2130-M2130,"")</f>
        <v/>
      </c>
    </row>
    <row r="2131">
      <c r="N2131">
        <f>IF(AND(ISNUMBER(L2131),ISNUMBER(M2131)),L2131-M2131,"")</f>
        <v/>
      </c>
    </row>
    <row r="2132">
      <c r="N2132">
        <f>IF(AND(ISNUMBER(L2132),ISNUMBER(M2132)),L2132-M2132,"")</f>
        <v/>
      </c>
    </row>
    <row r="2133">
      <c r="N2133">
        <f>IF(AND(ISNUMBER(L2133),ISNUMBER(M2133)),L2133-M2133,"")</f>
        <v/>
      </c>
    </row>
    <row r="2134">
      <c r="N2134">
        <f>IF(AND(ISNUMBER(L2134),ISNUMBER(M2134)),L2134-M2134,"")</f>
        <v/>
      </c>
    </row>
    <row r="2135">
      <c r="N2135">
        <f>IF(AND(ISNUMBER(L2135),ISNUMBER(M2135)),L2135-M2135,"")</f>
        <v/>
      </c>
    </row>
    <row r="2136">
      <c r="N2136">
        <f>IF(AND(ISNUMBER(L2136),ISNUMBER(M2136)),L2136-M2136,"")</f>
        <v/>
      </c>
    </row>
    <row r="2137">
      <c r="N2137">
        <f>IF(AND(ISNUMBER(L2137),ISNUMBER(M2137)),L2137-M2137,"")</f>
        <v/>
      </c>
    </row>
    <row r="2138">
      <c r="N2138">
        <f>IF(AND(ISNUMBER(L2138),ISNUMBER(M2138)),L2138-M2138,"")</f>
        <v/>
      </c>
    </row>
    <row r="2139">
      <c r="N2139">
        <f>IF(AND(ISNUMBER(L2139),ISNUMBER(M2139)),L2139-M2139,"")</f>
        <v/>
      </c>
    </row>
    <row r="2140">
      <c r="N2140">
        <f>IF(AND(ISNUMBER(L2140),ISNUMBER(M2140)),L2140-M2140,"")</f>
        <v/>
      </c>
    </row>
    <row r="2141">
      <c r="N2141">
        <f>IF(AND(ISNUMBER(L2141),ISNUMBER(M2141)),L2141-M2141,"")</f>
        <v/>
      </c>
    </row>
    <row r="2142">
      <c r="N2142">
        <f>IF(AND(ISNUMBER(L2142),ISNUMBER(M2142)),L2142-M2142,"")</f>
        <v/>
      </c>
    </row>
    <row r="2143">
      <c r="N2143">
        <f>IF(AND(ISNUMBER(L2143),ISNUMBER(M2143)),L2143-M2143,"")</f>
        <v/>
      </c>
    </row>
    <row r="2144">
      <c r="N2144">
        <f>IF(AND(ISNUMBER(L2144),ISNUMBER(M2144)),L2144-M2144,"")</f>
        <v/>
      </c>
    </row>
    <row r="2145">
      <c r="N2145">
        <f>IF(AND(ISNUMBER(L2145),ISNUMBER(M2145)),L2145-M2145,"")</f>
        <v/>
      </c>
    </row>
    <row r="2146">
      <c r="N2146">
        <f>IF(AND(ISNUMBER(L2146),ISNUMBER(M2146)),L2146-M2146,"")</f>
        <v/>
      </c>
    </row>
    <row r="2147">
      <c r="N2147">
        <f>IF(AND(ISNUMBER(L2147),ISNUMBER(M2147)),L2147-M2147,"")</f>
        <v/>
      </c>
    </row>
    <row r="2148">
      <c r="N2148">
        <f>IF(AND(ISNUMBER(L2148),ISNUMBER(M2148)),L2148-M2148,"")</f>
        <v/>
      </c>
    </row>
    <row r="2149">
      <c r="N2149">
        <f>IF(AND(ISNUMBER(L2149),ISNUMBER(M2149)),L2149-M2149,"")</f>
        <v/>
      </c>
    </row>
    <row r="2150">
      <c r="N2150">
        <f>IF(AND(ISNUMBER(L2150),ISNUMBER(M2150)),L2150-M2150,"")</f>
        <v/>
      </c>
    </row>
    <row r="2151">
      <c r="N2151">
        <f>IF(AND(ISNUMBER(L2151),ISNUMBER(M2151)),L2151-M2151,"")</f>
        <v/>
      </c>
    </row>
    <row r="2152">
      <c r="N2152">
        <f>IF(AND(ISNUMBER(L2152),ISNUMBER(M2152)),L2152-M2152,"")</f>
        <v/>
      </c>
    </row>
    <row r="2153">
      <c r="N2153">
        <f>IF(AND(ISNUMBER(L2153),ISNUMBER(M2153)),L2153-M2153,"")</f>
        <v/>
      </c>
    </row>
    <row r="2154">
      <c r="N2154">
        <f>IF(AND(ISNUMBER(L2154),ISNUMBER(M2154)),L2154-M2154,"")</f>
        <v/>
      </c>
    </row>
    <row r="2155">
      <c r="N2155">
        <f>IF(AND(ISNUMBER(L2155),ISNUMBER(M2155)),L2155-M2155,"")</f>
        <v/>
      </c>
    </row>
    <row r="2156">
      <c r="N2156">
        <f>IF(AND(ISNUMBER(L2156),ISNUMBER(M2156)),L2156-M2156,"")</f>
        <v/>
      </c>
    </row>
    <row r="2157">
      <c r="N2157">
        <f>IF(AND(ISNUMBER(L2157),ISNUMBER(M2157)),L2157-M2157,"")</f>
        <v/>
      </c>
    </row>
    <row r="2158">
      <c r="N2158">
        <f>IF(AND(ISNUMBER(L2158),ISNUMBER(M2158)),L2158-M2158,"")</f>
        <v/>
      </c>
    </row>
    <row r="2159">
      <c r="N2159">
        <f>IF(AND(ISNUMBER(L2159),ISNUMBER(M2159)),L2159-M2159,"")</f>
        <v/>
      </c>
    </row>
    <row r="2160">
      <c r="N2160">
        <f>IF(AND(ISNUMBER(L2160),ISNUMBER(M2160)),L2160-M2160,"")</f>
        <v/>
      </c>
    </row>
    <row r="2161">
      <c r="N2161">
        <f>IF(AND(ISNUMBER(L2161),ISNUMBER(M2161)),L2161-M2161,"")</f>
        <v/>
      </c>
    </row>
    <row r="2162">
      <c r="N2162">
        <f>IF(AND(ISNUMBER(L2162),ISNUMBER(M2162)),L2162-M2162,"")</f>
        <v/>
      </c>
    </row>
    <row r="2163">
      <c r="N2163">
        <f>IF(AND(ISNUMBER(L2163),ISNUMBER(M2163)),L2163-M2163,"")</f>
        <v/>
      </c>
    </row>
    <row r="2164">
      <c r="N2164">
        <f>IF(AND(ISNUMBER(L2164),ISNUMBER(M2164)),L2164-M2164,"")</f>
        <v/>
      </c>
    </row>
    <row r="2165">
      <c r="N2165">
        <f>IF(AND(ISNUMBER(L2165),ISNUMBER(M2165)),L2165-M2165,"")</f>
        <v/>
      </c>
    </row>
    <row r="2166">
      <c r="N2166">
        <f>IF(AND(ISNUMBER(L2166),ISNUMBER(M2166)),L2166-M2166,"")</f>
        <v/>
      </c>
    </row>
    <row r="2167">
      <c r="N2167">
        <f>IF(AND(ISNUMBER(L2167),ISNUMBER(M2167)),L2167-M2167,"")</f>
        <v/>
      </c>
    </row>
    <row r="2168">
      <c r="N2168">
        <f>IF(AND(ISNUMBER(L2168),ISNUMBER(M2168)),L2168-M2168,"")</f>
        <v/>
      </c>
    </row>
    <row r="2169">
      <c r="N2169">
        <f>IF(AND(ISNUMBER(L2169),ISNUMBER(M2169)),L2169-M2169,"")</f>
        <v/>
      </c>
    </row>
    <row r="2170">
      <c r="N2170">
        <f>IF(AND(ISNUMBER(L2170),ISNUMBER(M2170)),L2170-M2170,"")</f>
        <v/>
      </c>
    </row>
    <row r="2171">
      <c r="N2171">
        <f>IF(AND(ISNUMBER(L2171),ISNUMBER(M2171)),L2171-M2171,"")</f>
        <v/>
      </c>
    </row>
    <row r="2172">
      <c r="N2172">
        <f>IF(AND(ISNUMBER(L2172),ISNUMBER(M2172)),L2172-M2172,"")</f>
        <v/>
      </c>
    </row>
    <row r="2173">
      <c r="N2173">
        <f>IF(AND(ISNUMBER(L2173),ISNUMBER(M2173)),L2173-M2173,"")</f>
        <v/>
      </c>
    </row>
    <row r="2174">
      <c r="N2174">
        <f>IF(AND(ISNUMBER(L2174),ISNUMBER(M2174)),L2174-M2174,"")</f>
        <v/>
      </c>
    </row>
    <row r="2175">
      <c r="N2175">
        <f>IF(AND(ISNUMBER(L2175),ISNUMBER(M2175)),L2175-M2175,"")</f>
        <v/>
      </c>
    </row>
    <row r="2176">
      <c r="N2176">
        <f>IF(AND(ISNUMBER(L2176),ISNUMBER(M2176)),L2176-M2176,"")</f>
        <v/>
      </c>
    </row>
    <row r="2177">
      <c r="N2177">
        <f>IF(AND(ISNUMBER(L2177),ISNUMBER(M2177)),L2177-M2177,"")</f>
        <v/>
      </c>
    </row>
    <row r="2178">
      <c r="N2178">
        <f>IF(AND(ISNUMBER(L2178),ISNUMBER(M2178)),L2178-M2178,"")</f>
        <v/>
      </c>
    </row>
    <row r="2179">
      <c r="N2179">
        <f>IF(AND(ISNUMBER(L2179),ISNUMBER(M2179)),L2179-M2179,"")</f>
        <v/>
      </c>
    </row>
    <row r="2180">
      <c r="N2180">
        <f>IF(AND(ISNUMBER(L2180),ISNUMBER(M2180)),L2180-M2180,"")</f>
        <v/>
      </c>
    </row>
    <row r="2181">
      <c r="N2181">
        <f>IF(AND(ISNUMBER(L2181),ISNUMBER(M2181)),L2181-M2181,"")</f>
        <v/>
      </c>
    </row>
    <row r="2182">
      <c r="N2182">
        <f>IF(AND(ISNUMBER(L2182),ISNUMBER(M2182)),L2182-M2182,"")</f>
        <v/>
      </c>
    </row>
    <row r="2183">
      <c r="N2183">
        <f>IF(AND(ISNUMBER(L2183),ISNUMBER(M2183)),L2183-M2183,"")</f>
        <v/>
      </c>
    </row>
    <row r="2184">
      <c r="N2184">
        <f>IF(AND(ISNUMBER(L2184),ISNUMBER(M2184)),L2184-M2184,"")</f>
        <v/>
      </c>
    </row>
    <row r="2185">
      <c r="N2185">
        <f>IF(AND(ISNUMBER(L2185),ISNUMBER(M2185)),L2185-M2185,"")</f>
        <v/>
      </c>
    </row>
    <row r="2186">
      <c r="N2186">
        <f>IF(AND(ISNUMBER(L2186),ISNUMBER(M2186)),L2186-M2186,"")</f>
        <v/>
      </c>
    </row>
    <row r="2187">
      <c r="N2187">
        <f>IF(AND(ISNUMBER(L2187),ISNUMBER(M2187)),L2187-M2187,"")</f>
        <v/>
      </c>
    </row>
    <row r="2188">
      <c r="N2188">
        <f>IF(AND(ISNUMBER(L2188),ISNUMBER(M2188)),L2188-M2188,"")</f>
        <v/>
      </c>
    </row>
    <row r="2189">
      <c r="N2189">
        <f>IF(AND(ISNUMBER(L2189),ISNUMBER(M2189)),L2189-M2189,"")</f>
        <v/>
      </c>
    </row>
    <row r="2190">
      <c r="N2190">
        <f>IF(AND(ISNUMBER(L2190),ISNUMBER(M2190)),L2190-M2190,"")</f>
        <v/>
      </c>
    </row>
    <row r="2191">
      <c r="N2191">
        <f>IF(AND(ISNUMBER(L2191),ISNUMBER(M2191)),L2191-M2191,"")</f>
        <v/>
      </c>
    </row>
    <row r="2192">
      <c r="N2192">
        <f>IF(AND(ISNUMBER(L2192),ISNUMBER(M2192)),L2192-M2192,"")</f>
        <v/>
      </c>
    </row>
    <row r="2193">
      <c r="N2193">
        <f>IF(AND(ISNUMBER(L2193),ISNUMBER(M2193)),L2193-M2193,"")</f>
        <v/>
      </c>
    </row>
    <row r="2194">
      <c r="N2194">
        <f>IF(AND(ISNUMBER(L2194),ISNUMBER(M2194)),L2194-M2194,"")</f>
        <v/>
      </c>
    </row>
    <row r="2195">
      <c r="N2195">
        <f>IF(AND(ISNUMBER(L2195),ISNUMBER(M2195)),L2195-M2195,"")</f>
        <v/>
      </c>
    </row>
    <row r="2196">
      <c r="N2196">
        <f>IF(AND(ISNUMBER(L2196),ISNUMBER(M2196)),L2196-M2196,"")</f>
        <v/>
      </c>
    </row>
    <row r="2197">
      <c r="N2197">
        <f>IF(AND(ISNUMBER(L2197),ISNUMBER(M2197)),L2197-M2197,"")</f>
        <v/>
      </c>
    </row>
    <row r="2198">
      <c r="N2198">
        <f>IF(AND(ISNUMBER(L2198),ISNUMBER(M2198)),L2198-M2198,"")</f>
        <v/>
      </c>
    </row>
    <row r="2199">
      <c r="N2199">
        <f>IF(AND(ISNUMBER(L2199),ISNUMBER(M2199)),L2199-M2199,"")</f>
        <v/>
      </c>
    </row>
    <row r="2200">
      <c r="N2200">
        <f>IF(AND(ISNUMBER(L2200),ISNUMBER(M2200)),L2200-M2200,"")</f>
        <v/>
      </c>
    </row>
    <row r="2201">
      <c r="N2201">
        <f>IF(AND(ISNUMBER(L2201),ISNUMBER(M2201)),L2201-M2201,"")</f>
        <v/>
      </c>
    </row>
    <row r="2202">
      <c r="N2202">
        <f>IF(AND(ISNUMBER(L2202),ISNUMBER(M2202)),L2202-M2202,"")</f>
        <v/>
      </c>
    </row>
    <row r="2203">
      <c r="N2203">
        <f>IF(AND(ISNUMBER(L2203),ISNUMBER(M2203)),L2203-M2203,"")</f>
        <v/>
      </c>
    </row>
    <row r="2204">
      <c r="N2204">
        <f>IF(AND(ISNUMBER(L2204),ISNUMBER(M2204)),L2204-M2204,"")</f>
        <v/>
      </c>
    </row>
    <row r="2205">
      <c r="N2205">
        <f>IF(AND(ISNUMBER(L2205),ISNUMBER(M2205)),L2205-M2205,"")</f>
        <v/>
      </c>
    </row>
    <row r="2206">
      <c r="N2206">
        <f>IF(AND(ISNUMBER(L2206),ISNUMBER(M2206)),L2206-M2206,"")</f>
        <v/>
      </c>
    </row>
    <row r="2207">
      <c r="N2207">
        <f>IF(AND(ISNUMBER(L2207),ISNUMBER(M2207)),L2207-M2207,"")</f>
        <v/>
      </c>
    </row>
    <row r="2208">
      <c r="N2208">
        <f>IF(AND(ISNUMBER(L2208),ISNUMBER(M2208)),L2208-M2208,"")</f>
        <v/>
      </c>
    </row>
    <row r="2209">
      <c r="N2209">
        <f>IF(AND(ISNUMBER(L2209),ISNUMBER(M2209)),L2209-M2209,"")</f>
        <v/>
      </c>
    </row>
    <row r="2210">
      <c r="N2210">
        <f>IF(AND(ISNUMBER(L2210),ISNUMBER(M2210)),L2210-M2210,"")</f>
        <v/>
      </c>
    </row>
    <row r="2211">
      <c r="N2211">
        <f>IF(AND(ISNUMBER(L2211),ISNUMBER(M2211)),L2211-M2211,"")</f>
        <v/>
      </c>
    </row>
    <row r="2212">
      <c r="N2212">
        <f>IF(AND(ISNUMBER(L2212),ISNUMBER(M2212)),L2212-M2212,"")</f>
        <v/>
      </c>
    </row>
    <row r="2213">
      <c r="N2213">
        <f>IF(AND(ISNUMBER(L2213),ISNUMBER(M2213)),L2213-M2213,"")</f>
        <v/>
      </c>
    </row>
    <row r="2214">
      <c r="N2214">
        <f>IF(AND(ISNUMBER(L2214),ISNUMBER(M2214)),L2214-M2214,"")</f>
        <v/>
      </c>
    </row>
    <row r="2215">
      <c r="N2215">
        <f>IF(AND(ISNUMBER(L2215),ISNUMBER(M2215)),L2215-M2215,"")</f>
        <v/>
      </c>
    </row>
    <row r="2216">
      <c r="N2216">
        <f>IF(AND(ISNUMBER(L2216),ISNUMBER(M2216)),L2216-M2216,"")</f>
        <v/>
      </c>
    </row>
    <row r="2217">
      <c r="N2217">
        <f>IF(AND(ISNUMBER(L2217),ISNUMBER(M2217)),L2217-M2217,"")</f>
        <v/>
      </c>
    </row>
    <row r="2218">
      <c r="N2218">
        <f>IF(AND(ISNUMBER(L2218),ISNUMBER(M2218)),L2218-M2218,"")</f>
        <v/>
      </c>
    </row>
    <row r="2219">
      <c r="N2219">
        <f>IF(AND(ISNUMBER(L2219),ISNUMBER(M2219)),L2219-M2219,"")</f>
        <v/>
      </c>
    </row>
    <row r="2220">
      <c r="N2220">
        <f>IF(AND(ISNUMBER(L2220),ISNUMBER(M2220)),L2220-M2220,"")</f>
        <v/>
      </c>
    </row>
    <row r="2221">
      <c r="N2221">
        <f>IF(AND(ISNUMBER(L2221),ISNUMBER(M2221)),L2221-M2221,"")</f>
        <v/>
      </c>
    </row>
    <row r="2222">
      <c r="N2222">
        <f>IF(AND(ISNUMBER(L2222),ISNUMBER(M2222)),L2222-M2222,"")</f>
        <v/>
      </c>
    </row>
    <row r="2223">
      <c r="N2223">
        <f>IF(AND(ISNUMBER(L2223),ISNUMBER(M2223)),L2223-M2223,"")</f>
        <v/>
      </c>
    </row>
    <row r="2224">
      <c r="N2224">
        <f>IF(AND(ISNUMBER(L2224),ISNUMBER(M2224)),L2224-M2224,"")</f>
        <v/>
      </c>
    </row>
    <row r="2225">
      <c r="N2225">
        <f>IF(AND(ISNUMBER(L2225),ISNUMBER(M2225)),L2225-M2225,"")</f>
        <v/>
      </c>
    </row>
    <row r="2226">
      <c r="N2226">
        <f>IF(AND(ISNUMBER(L2226),ISNUMBER(M2226)),L2226-M2226,"")</f>
        <v/>
      </c>
    </row>
    <row r="2227">
      <c r="N2227">
        <f>IF(AND(ISNUMBER(L2227),ISNUMBER(M2227)),L2227-M2227,"")</f>
        <v/>
      </c>
    </row>
    <row r="2228">
      <c r="N2228">
        <f>IF(AND(ISNUMBER(L2228),ISNUMBER(M2228)),L2228-M2228,"")</f>
        <v/>
      </c>
    </row>
    <row r="2229">
      <c r="N2229">
        <f>IF(AND(ISNUMBER(L2229),ISNUMBER(M2229)),L2229-M2229,"")</f>
        <v/>
      </c>
    </row>
    <row r="2230">
      <c r="N2230">
        <f>IF(AND(ISNUMBER(L2230),ISNUMBER(M2230)),L2230-M2230,"")</f>
        <v/>
      </c>
    </row>
    <row r="2231">
      <c r="N2231">
        <f>IF(AND(ISNUMBER(L2231),ISNUMBER(M2231)),L2231-M2231,"")</f>
        <v/>
      </c>
    </row>
    <row r="2232">
      <c r="N2232">
        <f>IF(AND(ISNUMBER(L2232),ISNUMBER(M2232)),L2232-M2232,"")</f>
        <v/>
      </c>
    </row>
    <row r="2233">
      <c r="N2233">
        <f>IF(AND(ISNUMBER(L2233),ISNUMBER(M2233)),L2233-M2233,"")</f>
        <v/>
      </c>
    </row>
    <row r="2234">
      <c r="N2234">
        <f>IF(AND(ISNUMBER(L2234),ISNUMBER(M2234)),L2234-M2234,"")</f>
        <v/>
      </c>
    </row>
    <row r="2235">
      <c r="N2235">
        <f>IF(AND(ISNUMBER(L2235),ISNUMBER(M2235)),L2235-M2235,"")</f>
        <v/>
      </c>
    </row>
    <row r="2236">
      <c r="N2236">
        <f>IF(AND(ISNUMBER(L2236),ISNUMBER(M2236)),L2236-M2236,"")</f>
        <v/>
      </c>
    </row>
    <row r="2237">
      <c r="N2237">
        <f>IF(AND(ISNUMBER(L2237),ISNUMBER(M2237)),L2237-M2237,"")</f>
        <v/>
      </c>
    </row>
    <row r="2238">
      <c r="N2238">
        <f>IF(AND(ISNUMBER(L2238),ISNUMBER(M2238)),L2238-M2238,"")</f>
        <v/>
      </c>
    </row>
    <row r="2239">
      <c r="N2239">
        <f>IF(AND(ISNUMBER(L2239),ISNUMBER(M2239)),L2239-M2239,"")</f>
        <v/>
      </c>
    </row>
    <row r="2240">
      <c r="N2240">
        <f>IF(AND(ISNUMBER(L2240),ISNUMBER(M2240)),L2240-M2240,"")</f>
        <v/>
      </c>
    </row>
    <row r="2241">
      <c r="N2241">
        <f>IF(AND(ISNUMBER(L2241),ISNUMBER(M2241)),L2241-M2241,"")</f>
        <v/>
      </c>
    </row>
    <row r="2242">
      <c r="N2242">
        <f>IF(AND(ISNUMBER(L2242),ISNUMBER(M2242)),L2242-M2242,"")</f>
        <v/>
      </c>
    </row>
    <row r="2243">
      <c r="N2243">
        <f>IF(AND(ISNUMBER(L2243),ISNUMBER(M2243)),L2243-M2243,"")</f>
        <v/>
      </c>
    </row>
    <row r="2244">
      <c r="N2244">
        <f>IF(AND(ISNUMBER(L2244),ISNUMBER(M2244)),L2244-M2244,"")</f>
        <v/>
      </c>
    </row>
    <row r="2245">
      <c r="N2245">
        <f>IF(AND(ISNUMBER(L2245),ISNUMBER(M2245)),L2245-M2245,"")</f>
        <v/>
      </c>
    </row>
    <row r="2246">
      <c r="N2246">
        <f>IF(AND(ISNUMBER(L2246),ISNUMBER(M2246)),L2246-M2246,"")</f>
        <v/>
      </c>
    </row>
    <row r="2247">
      <c r="N2247">
        <f>IF(AND(ISNUMBER(L2247),ISNUMBER(M2247)),L2247-M2247,"")</f>
        <v/>
      </c>
    </row>
    <row r="2248">
      <c r="N2248">
        <f>IF(AND(ISNUMBER(L2248),ISNUMBER(M2248)),L2248-M2248,"")</f>
        <v/>
      </c>
    </row>
    <row r="2249">
      <c r="N2249">
        <f>IF(AND(ISNUMBER(L2249),ISNUMBER(M2249)),L2249-M2249,"")</f>
        <v/>
      </c>
    </row>
    <row r="2250">
      <c r="N2250">
        <f>IF(AND(ISNUMBER(L2250),ISNUMBER(M2250)),L2250-M2250,"")</f>
        <v/>
      </c>
    </row>
    <row r="2251">
      <c r="N2251">
        <f>IF(AND(ISNUMBER(L2251),ISNUMBER(M2251)),L2251-M2251,"")</f>
        <v/>
      </c>
    </row>
    <row r="2252">
      <c r="N2252">
        <f>IF(AND(ISNUMBER(L2252),ISNUMBER(M2252)),L2252-M2252,"")</f>
        <v/>
      </c>
    </row>
    <row r="2253">
      <c r="N2253">
        <f>IF(AND(ISNUMBER(L2253),ISNUMBER(M2253)),L2253-M2253,"")</f>
        <v/>
      </c>
    </row>
    <row r="2254">
      <c r="N2254">
        <f>IF(AND(ISNUMBER(L2254),ISNUMBER(M2254)),L2254-M2254,"")</f>
        <v/>
      </c>
    </row>
    <row r="2255">
      <c r="N2255">
        <f>IF(AND(ISNUMBER(L2255),ISNUMBER(M2255)),L2255-M2255,"")</f>
        <v/>
      </c>
    </row>
    <row r="2256">
      <c r="N2256">
        <f>IF(AND(ISNUMBER(L2256),ISNUMBER(M2256)),L2256-M2256,"")</f>
        <v/>
      </c>
    </row>
    <row r="2257">
      <c r="N2257">
        <f>IF(AND(ISNUMBER(L2257),ISNUMBER(M2257)),L2257-M2257,"")</f>
        <v/>
      </c>
    </row>
    <row r="2258">
      <c r="N2258">
        <f>IF(AND(ISNUMBER(L2258),ISNUMBER(M2258)),L2258-M2258,"")</f>
        <v/>
      </c>
    </row>
    <row r="2259">
      <c r="N2259">
        <f>IF(AND(ISNUMBER(L2259),ISNUMBER(M2259)),L2259-M2259,"")</f>
        <v/>
      </c>
    </row>
    <row r="2260">
      <c r="N2260">
        <f>IF(AND(ISNUMBER(L2260),ISNUMBER(M2260)),L2260-M2260,"")</f>
        <v/>
      </c>
    </row>
    <row r="2261">
      <c r="N2261">
        <f>IF(AND(ISNUMBER(L2261),ISNUMBER(M2261)),L2261-M2261,"")</f>
        <v/>
      </c>
    </row>
    <row r="2262">
      <c r="N2262">
        <f>IF(AND(ISNUMBER(L2262),ISNUMBER(M2262)),L2262-M2262,"")</f>
        <v/>
      </c>
    </row>
    <row r="2263">
      <c r="N2263">
        <f>IF(AND(ISNUMBER(L2263),ISNUMBER(M2263)),L2263-M2263,"")</f>
        <v/>
      </c>
    </row>
    <row r="2264">
      <c r="N2264">
        <f>IF(AND(ISNUMBER(L2264),ISNUMBER(M2264)),L2264-M2264,"")</f>
        <v/>
      </c>
    </row>
    <row r="2265">
      <c r="N2265">
        <f>IF(AND(ISNUMBER(L2265),ISNUMBER(M2265)),L2265-M2265,"")</f>
        <v/>
      </c>
    </row>
    <row r="2266">
      <c r="N2266">
        <f>IF(AND(ISNUMBER(L2266),ISNUMBER(M2266)),L2266-M2266,"")</f>
        <v/>
      </c>
    </row>
    <row r="2267">
      <c r="N2267">
        <f>IF(AND(ISNUMBER(L2267),ISNUMBER(M2267)),L2267-M2267,"")</f>
        <v/>
      </c>
    </row>
    <row r="2268">
      <c r="N2268">
        <f>IF(AND(ISNUMBER(L2268),ISNUMBER(M2268)),L2268-M2268,"")</f>
        <v/>
      </c>
    </row>
    <row r="2269">
      <c r="N2269">
        <f>IF(AND(ISNUMBER(L2269),ISNUMBER(M2269)),L2269-M2269,"")</f>
        <v/>
      </c>
    </row>
    <row r="2270">
      <c r="N2270">
        <f>IF(AND(ISNUMBER(L2270),ISNUMBER(M2270)),L2270-M2270,"")</f>
        <v/>
      </c>
    </row>
    <row r="2271">
      <c r="N2271">
        <f>IF(AND(ISNUMBER(L2271),ISNUMBER(M2271)),L2271-M2271,"")</f>
        <v/>
      </c>
    </row>
    <row r="2272">
      <c r="N2272">
        <f>IF(AND(ISNUMBER(L2272),ISNUMBER(M2272)),L2272-M2272,"")</f>
        <v/>
      </c>
    </row>
    <row r="2273">
      <c r="N2273">
        <f>IF(AND(ISNUMBER(L2273),ISNUMBER(M2273)),L2273-M2273,"")</f>
        <v/>
      </c>
    </row>
    <row r="2274">
      <c r="N2274">
        <f>IF(AND(ISNUMBER(L2274),ISNUMBER(M2274)),L2274-M2274,"")</f>
        <v/>
      </c>
    </row>
    <row r="2275">
      <c r="N2275">
        <f>IF(AND(ISNUMBER(L2275),ISNUMBER(M2275)),L2275-M2275,"")</f>
        <v/>
      </c>
    </row>
    <row r="2276">
      <c r="N2276">
        <f>IF(AND(ISNUMBER(L2276),ISNUMBER(M2276)),L2276-M2276,"")</f>
        <v/>
      </c>
    </row>
    <row r="2277">
      <c r="N2277">
        <f>IF(AND(ISNUMBER(L2277),ISNUMBER(M2277)),L2277-M2277,"")</f>
        <v/>
      </c>
    </row>
    <row r="2278">
      <c r="N2278">
        <f>IF(AND(ISNUMBER(L2278),ISNUMBER(M2278)),L2278-M2278,"")</f>
        <v/>
      </c>
    </row>
    <row r="2279">
      <c r="N2279">
        <f>IF(AND(ISNUMBER(L2279),ISNUMBER(M2279)),L2279-M2279,"")</f>
        <v/>
      </c>
    </row>
    <row r="2280">
      <c r="N2280">
        <f>IF(AND(ISNUMBER(L2280),ISNUMBER(M2280)),L2280-M2280,"")</f>
        <v/>
      </c>
    </row>
    <row r="2281">
      <c r="N2281">
        <f>IF(AND(ISNUMBER(L2281),ISNUMBER(M2281)),L2281-M2281,"")</f>
        <v/>
      </c>
    </row>
    <row r="2282">
      <c r="N2282">
        <f>IF(AND(ISNUMBER(L2282),ISNUMBER(M2282)),L2282-M2282,"")</f>
        <v/>
      </c>
    </row>
    <row r="2283">
      <c r="N2283">
        <f>IF(AND(ISNUMBER(L2283),ISNUMBER(M2283)),L2283-M2283,"")</f>
        <v/>
      </c>
    </row>
    <row r="2284">
      <c r="N2284">
        <f>IF(AND(ISNUMBER(L2284),ISNUMBER(M2284)),L2284-M2284,"")</f>
        <v/>
      </c>
    </row>
    <row r="2285">
      <c r="N2285">
        <f>IF(AND(ISNUMBER(L2285),ISNUMBER(M2285)),L2285-M2285,"")</f>
        <v/>
      </c>
    </row>
    <row r="2286">
      <c r="N2286">
        <f>IF(AND(ISNUMBER(L2286),ISNUMBER(M2286)),L2286-M2286,"")</f>
        <v/>
      </c>
    </row>
    <row r="2287">
      <c r="N2287">
        <f>IF(AND(ISNUMBER(L2287),ISNUMBER(M2287)),L2287-M2287,"")</f>
        <v/>
      </c>
    </row>
    <row r="2288">
      <c r="N2288">
        <f>IF(AND(ISNUMBER(L2288),ISNUMBER(M2288)),L2288-M2288,"")</f>
        <v/>
      </c>
    </row>
    <row r="2289">
      <c r="N2289">
        <f>IF(AND(ISNUMBER(L2289),ISNUMBER(M2289)),L2289-M2289,"")</f>
        <v/>
      </c>
    </row>
    <row r="2290">
      <c r="N2290">
        <f>IF(AND(ISNUMBER(L2290),ISNUMBER(M2290)),L2290-M2290,"")</f>
        <v/>
      </c>
    </row>
    <row r="2291">
      <c r="N2291">
        <f>IF(AND(ISNUMBER(L2291),ISNUMBER(M2291)),L2291-M2291,"")</f>
        <v/>
      </c>
    </row>
    <row r="2292">
      <c r="N2292">
        <f>IF(AND(ISNUMBER(L2292),ISNUMBER(M2292)),L2292-M2292,"")</f>
        <v/>
      </c>
    </row>
    <row r="2293">
      <c r="N2293">
        <f>IF(AND(ISNUMBER(L2293),ISNUMBER(M2293)),L2293-M2293,"")</f>
        <v/>
      </c>
    </row>
    <row r="2294">
      <c r="N2294">
        <f>IF(AND(ISNUMBER(L2294),ISNUMBER(M2294)),L2294-M2294,"")</f>
        <v/>
      </c>
    </row>
    <row r="2295">
      <c r="N2295">
        <f>IF(AND(ISNUMBER(L2295),ISNUMBER(M2295)),L2295-M2295,"")</f>
        <v/>
      </c>
    </row>
    <row r="2296">
      <c r="N2296">
        <f>IF(AND(ISNUMBER(L2296),ISNUMBER(M2296)),L2296-M2296,"")</f>
        <v/>
      </c>
    </row>
    <row r="2297">
      <c r="N2297">
        <f>IF(AND(ISNUMBER(L2297),ISNUMBER(M2297)),L2297-M2297,"")</f>
        <v/>
      </c>
    </row>
    <row r="2298">
      <c r="N2298">
        <f>IF(AND(ISNUMBER(L2298),ISNUMBER(M2298)),L2298-M2298,"")</f>
        <v/>
      </c>
    </row>
    <row r="2299">
      <c r="N2299">
        <f>IF(AND(ISNUMBER(L2299),ISNUMBER(M2299)),L2299-M2299,"")</f>
        <v/>
      </c>
    </row>
    <row r="2300">
      <c r="N2300">
        <f>IF(AND(ISNUMBER(L2300),ISNUMBER(M2300)),L2300-M2300,"")</f>
        <v/>
      </c>
    </row>
    <row r="2301">
      <c r="N2301">
        <f>IF(AND(ISNUMBER(L2301),ISNUMBER(M2301)),L2301-M2301,"")</f>
        <v/>
      </c>
    </row>
    <row r="2302">
      <c r="N2302">
        <f>IF(AND(ISNUMBER(L2302),ISNUMBER(M2302)),L2302-M2302,"")</f>
        <v/>
      </c>
    </row>
    <row r="2303">
      <c r="N2303">
        <f>IF(AND(ISNUMBER(L2303),ISNUMBER(M2303)),L2303-M2303,"")</f>
        <v/>
      </c>
    </row>
    <row r="2304">
      <c r="N2304">
        <f>IF(AND(ISNUMBER(L2304),ISNUMBER(M2304)),L2304-M2304,"")</f>
        <v/>
      </c>
    </row>
    <row r="2305">
      <c r="N2305">
        <f>IF(AND(ISNUMBER(L2305),ISNUMBER(M2305)),L2305-M2305,"")</f>
        <v/>
      </c>
    </row>
    <row r="2306">
      <c r="N2306">
        <f>IF(AND(ISNUMBER(L2306),ISNUMBER(M2306)),L2306-M2306,"")</f>
        <v/>
      </c>
    </row>
    <row r="2307">
      <c r="N2307">
        <f>IF(AND(ISNUMBER(L2307),ISNUMBER(M2307)),L2307-M2307,"")</f>
        <v/>
      </c>
    </row>
    <row r="2308">
      <c r="N2308">
        <f>IF(AND(ISNUMBER(L2308),ISNUMBER(M2308)),L2308-M2308,"")</f>
        <v/>
      </c>
    </row>
    <row r="2309">
      <c r="N2309">
        <f>IF(AND(ISNUMBER(L2309),ISNUMBER(M2309)),L2309-M2309,"")</f>
        <v/>
      </c>
    </row>
    <row r="2310">
      <c r="N2310">
        <f>IF(AND(ISNUMBER(L2310),ISNUMBER(M2310)),L2310-M2310,"")</f>
        <v/>
      </c>
    </row>
    <row r="2311">
      <c r="N2311">
        <f>IF(AND(ISNUMBER(L2311),ISNUMBER(M2311)),L2311-M2311,"")</f>
        <v/>
      </c>
    </row>
    <row r="2312">
      <c r="N2312">
        <f>IF(AND(ISNUMBER(L2312),ISNUMBER(M2312)),L2312-M2312,"")</f>
        <v/>
      </c>
    </row>
    <row r="2313">
      <c r="N2313">
        <f>IF(AND(ISNUMBER(L2313),ISNUMBER(M2313)),L2313-M2313,"")</f>
        <v/>
      </c>
    </row>
    <row r="2314">
      <c r="N2314">
        <f>IF(AND(ISNUMBER(L2314),ISNUMBER(M2314)),L2314-M2314,"")</f>
        <v/>
      </c>
    </row>
    <row r="2315">
      <c r="N2315">
        <f>IF(AND(ISNUMBER(L2315),ISNUMBER(M2315)),L2315-M2315,"")</f>
        <v/>
      </c>
    </row>
    <row r="2316">
      <c r="N2316">
        <f>IF(AND(ISNUMBER(L2316),ISNUMBER(M2316)),L2316-M2316,"")</f>
        <v/>
      </c>
    </row>
    <row r="2317">
      <c r="N2317">
        <f>IF(AND(ISNUMBER(L2317),ISNUMBER(M2317)),L2317-M2317,"")</f>
        <v/>
      </c>
    </row>
    <row r="2318">
      <c r="N2318">
        <f>IF(AND(ISNUMBER(L2318),ISNUMBER(M2318)),L2318-M2318,"")</f>
        <v/>
      </c>
    </row>
    <row r="2319">
      <c r="N2319">
        <f>IF(AND(ISNUMBER(L2319),ISNUMBER(M2319)),L2319-M2319,"")</f>
        <v/>
      </c>
    </row>
    <row r="2320">
      <c r="N2320">
        <f>IF(AND(ISNUMBER(L2320),ISNUMBER(M2320)),L2320-M2320,"")</f>
        <v/>
      </c>
    </row>
    <row r="2321">
      <c r="N2321">
        <f>IF(AND(ISNUMBER(L2321),ISNUMBER(M2321)),L2321-M2321,"")</f>
        <v/>
      </c>
    </row>
    <row r="2322">
      <c r="N2322">
        <f>IF(AND(ISNUMBER(L2322),ISNUMBER(M2322)),L2322-M2322,"")</f>
        <v/>
      </c>
    </row>
    <row r="2323">
      <c r="N2323">
        <f>IF(AND(ISNUMBER(L2323),ISNUMBER(M2323)),L2323-M2323,"")</f>
        <v/>
      </c>
    </row>
    <row r="2324">
      <c r="N2324">
        <f>IF(AND(ISNUMBER(L2324),ISNUMBER(M2324)),L2324-M2324,"")</f>
        <v/>
      </c>
    </row>
    <row r="2325">
      <c r="N2325">
        <f>IF(AND(ISNUMBER(L2325),ISNUMBER(M2325)),L2325-M2325,"")</f>
        <v/>
      </c>
    </row>
    <row r="2326">
      <c r="N2326">
        <f>IF(AND(ISNUMBER(L2326),ISNUMBER(M2326)),L2326-M2326,"")</f>
        <v/>
      </c>
    </row>
    <row r="2327">
      <c r="N2327">
        <f>IF(AND(ISNUMBER(L2327),ISNUMBER(M2327)),L2327-M2327,"")</f>
        <v/>
      </c>
    </row>
    <row r="2328">
      <c r="N2328">
        <f>IF(AND(ISNUMBER(L2328),ISNUMBER(M2328)),L2328-M2328,"")</f>
        <v/>
      </c>
    </row>
    <row r="2329">
      <c r="N2329">
        <f>IF(AND(ISNUMBER(L2329),ISNUMBER(M2329)),L2329-M2329,"")</f>
        <v/>
      </c>
    </row>
    <row r="2330">
      <c r="N2330">
        <f>IF(AND(ISNUMBER(L2330),ISNUMBER(M2330)),L2330-M2330,"")</f>
        <v/>
      </c>
    </row>
    <row r="2331">
      <c r="N2331">
        <f>IF(AND(ISNUMBER(L2331),ISNUMBER(M2331)),L2331-M2331,"")</f>
        <v/>
      </c>
    </row>
    <row r="2332">
      <c r="N2332">
        <f>IF(AND(ISNUMBER(L2332),ISNUMBER(M2332)),L2332-M2332,"")</f>
        <v/>
      </c>
    </row>
    <row r="2333">
      <c r="N2333">
        <f>IF(AND(ISNUMBER(L2333),ISNUMBER(M2333)),L2333-M2333,"")</f>
        <v/>
      </c>
    </row>
    <row r="2334">
      <c r="N2334">
        <f>IF(AND(ISNUMBER(L2334),ISNUMBER(M2334)),L2334-M2334,"")</f>
        <v/>
      </c>
    </row>
    <row r="2335">
      <c r="N2335">
        <f>IF(AND(ISNUMBER(L2335),ISNUMBER(M2335)),L2335-M2335,"")</f>
        <v/>
      </c>
    </row>
    <row r="2336">
      <c r="N2336">
        <f>IF(AND(ISNUMBER(L2336),ISNUMBER(M2336)),L2336-M2336,"")</f>
        <v/>
      </c>
    </row>
    <row r="2337">
      <c r="N2337">
        <f>IF(AND(ISNUMBER(L2337),ISNUMBER(M2337)),L2337-M2337,"")</f>
        <v/>
      </c>
    </row>
    <row r="2338">
      <c r="N2338">
        <f>IF(AND(ISNUMBER(L2338),ISNUMBER(M2338)),L2338-M2338,"")</f>
        <v/>
      </c>
    </row>
    <row r="2339">
      <c r="N2339">
        <f>IF(AND(ISNUMBER(L2339),ISNUMBER(M2339)),L2339-M2339,"")</f>
        <v/>
      </c>
    </row>
    <row r="2340">
      <c r="N2340">
        <f>IF(AND(ISNUMBER(L2340),ISNUMBER(M2340)),L2340-M2340,"")</f>
        <v/>
      </c>
    </row>
    <row r="2341">
      <c r="N2341">
        <f>IF(AND(ISNUMBER(L2341),ISNUMBER(M2341)),L2341-M2341,"")</f>
        <v/>
      </c>
    </row>
    <row r="2342">
      <c r="N2342">
        <f>IF(AND(ISNUMBER(L2342),ISNUMBER(M2342)),L2342-M2342,"")</f>
        <v/>
      </c>
    </row>
    <row r="2343">
      <c r="N2343">
        <f>IF(AND(ISNUMBER(L2343),ISNUMBER(M2343)),L2343-M2343,"")</f>
        <v/>
      </c>
    </row>
    <row r="2344">
      <c r="N2344">
        <f>IF(AND(ISNUMBER(L2344),ISNUMBER(M2344)),L2344-M2344,"")</f>
        <v/>
      </c>
    </row>
    <row r="2345">
      <c r="N2345">
        <f>IF(AND(ISNUMBER(L2345),ISNUMBER(M2345)),L2345-M2345,"")</f>
        <v/>
      </c>
    </row>
    <row r="2346">
      <c r="N2346">
        <f>IF(AND(ISNUMBER(L2346),ISNUMBER(M2346)),L2346-M2346,"")</f>
        <v/>
      </c>
    </row>
    <row r="2347">
      <c r="N2347">
        <f>IF(AND(ISNUMBER(L2347),ISNUMBER(M2347)),L2347-M2347,"")</f>
        <v/>
      </c>
    </row>
    <row r="2348">
      <c r="N2348">
        <f>IF(AND(ISNUMBER(L2348),ISNUMBER(M2348)),L2348-M2348,"")</f>
        <v/>
      </c>
    </row>
    <row r="2349">
      <c r="N2349">
        <f>IF(AND(ISNUMBER(L2349),ISNUMBER(M2349)),L2349-M2349,"")</f>
        <v/>
      </c>
    </row>
    <row r="2350">
      <c r="N2350">
        <f>IF(AND(ISNUMBER(L2350),ISNUMBER(M2350)),L2350-M2350,"")</f>
        <v/>
      </c>
    </row>
    <row r="2351">
      <c r="N2351">
        <f>IF(AND(ISNUMBER(L2351),ISNUMBER(M2351)),L2351-M2351,"")</f>
        <v/>
      </c>
    </row>
    <row r="2352">
      <c r="N2352">
        <f>IF(AND(ISNUMBER(L2352),ISNUMBER(M2352)),L2352-M2352,"")</f>
        <v/>
      </c>
    </row>
    <row r="2353">
      <c r="N2353">
        <f>IF(AND(ISNUMBER(L2353),ISNUMBER(M2353)),L2353-M2353,"")</f>
        <v/>
      </c>
    </row>
    <row r="2354">
      <c r="N2354">
        <f>IF(AND(ISNUMBER(L2354),ISNUMBER(M2354)),L2354-M2354,"")</f>
        <v/>
      </c>
    </row>
    <row r="2355">
      <c r="N2355">
        <f>IF(AND(ISNUMBER(L2355),ISNUMBER(M2355)),L2355-M2355,"")</f>
        <v/>
      </c>
    </row>
    <row r="2356">
      <c r="N2356">
        <f>IF(AND(ISNUMBER(L2356),ISNUMBER(M2356)),L2356-M2356,"")</f>
        <v/>
      </c>
    </row>
    <row r="2357">
      <c r="N2357">
        <f>IF(AND(ISNUMBER(L2357),ISNUMBER(M2357)),L2357-M2357,"")</f>
        <v/>
      </c>
    </row>
    <row r="2358">
      <c r="N2358">
        <f>IF(AND(ISNUMBER(L2358),ISNUMBER(M2358)),L2358-M2358,"")</f>
        <v/>
      </c>
    </row>
    <row r="2359">
      <c r="N2359">
        <f>IF(AND(ISNUMBER(L2359),ISNUMBER(M2359)),L2359-M2359,"")</f>
        <v/>
      </c>
    </row>
    <row r="2360">
      <c r="N2360">
        <f>IF(AND(ISNUMBER(L2360),ISNUMBER(M2360)),L2360-M2360,"")</f>
        <v/>
      </c>
    </row>
    <row r="2361">
      <c r="N2361">
        <f>IF(AND(ISNUMBER(L2361),ISNUMBER(M2361)),L2361-M2361,"")</f>
        <v/>
      </c>
    </row>
    <row r="2362">
      <c r="N2362">
        <f>IF(AND(ISNUMBER(L2362),ISNUMBER(M2362)),L2362-M2362,"")</f>
        <v/>
      </c>
    </row>
    <row r="2363">
      <c r="N2363">
        <f>IF(AND(ISNUMBER(L2363),ISNUMBER(M2363)),L2363-M2363,"")</f>
        <v/>
      </c>
    </row>
    <row r="2364">
      <c r="N2364">
        <f>IF(AND(ISNUMBER(L2364),ISNUMBER(M2364)),L2364-M2364,"")</f>
        <v/>
      </c>
    </row>
    <row r="2365">
      <c r="N2365">
        <f>IF(AND(ISNUMBER(L2365),ISNUMBER(M2365)),L2365-M2365,"")</f>
        <v/>
      </c>
    </row>
    <row r="2366">
      <c r="N2366">
        <f>IF(AND(ISNUMBER(L2366),ISNUMBER(M2366)),L2366-M2366,"")</f>
        <v/>
      </c>
    </row>
    <row r="2367">
      <c r="N2367">
        <f>IF(AND(ISNUMBER(L2367),ISNUMBER(M2367)),L2367-M2367,"")</f>
        <v/>
      </c>
    </row>
    <row r="2368">
      <c r="N2368">
        <f>IF(AND(ISNUMBER(L2368),ISNUMBER(M2368)),L2368-M2368,"")</f>
        <v/>
      </c>
    </row>
    <row r="2369">
      <c r="N2369">
        <f>IF(AND(ISNUMBER(L2369),ISNUMBER(M2369)),L2369-M2369,"")</f>
        <v/>
      </c>
    </row>
    <row r="2370">
      <c r="N2370">
        <f>IF(AND(ISNUMBER(L2370),ISNUMBER(M2370)),L2370-M2370,"")</f>
        <v/>
      </c>
    </row>
    <row r="2371">
      <c r="N2371">
        <f>IF(AND(ISNUMBER(L2371),ISNUMBER(M2371)),L2371-M2371,"")</f>
        <v/>
      </c>
    </row>
    <row r="2372">
      <c r="N2372">
        <f>IF(AND(ISNUMBER(L2372),ISNUMBER(M2372)),L2372-M2372,"")</f>
        <v/>
      </c>
    </row>
    <row r="2373">
      <c r="N2373">
        <f>IF(AND(ISNUMBER(L2373),ISNUMBER(M2373)),L2373-M2373,"")</f>
        <v/>
      </c>
    </row>
    <row r="2374">
      <c r="N2374">
        <f>IF(AND(ISNUMBER(L2374),ISNUMBER(M2374)),L2374-M2374,"")</f>
        <v/>
      </c>
    </row>
    <row r="2375">
      <c r="N2375">
        <f>IF(AND(ISNUMBER(L2375),ISNUMBER(M2375)),L2375-M2375,"")</f>
        <v/>
      </c>
    </row>
    <row r="2376">
      <c r="N2376">
        <f>IF(AND(ISNUMBER(L2376),ISNUMBER(M2376)),L2376-M2376,"")</f>
        <v/>
      </c>
    </row>
    <row r="2377">
      <c r="N2377">
        <f>IF(AND(ISNUMBER(L2377),ISNUMBER(M2377)),L2377-M2377,"")</f>
        <v/>
      </c>
    </row>
    <row r="2378">
      <c r="N2378">
        <f>IF(AND(ISNUMBER(L2378),ISNUMBER(M2378)),L2378-M2378,"")</f>
        <v/>
      </c>
    </row>
    <row r="2379">
      <c r="N2379">
        <f>IF(AND(ISNUMBER(L2379),ISNUMBER(M2379)),L2379-M2379,"")</f>
        <v/>
      </c>
    </row>
    <row r="2380">
      <c r="N2380">
        <f>IF(AND(ISNUMBER(L2380),ISNUMBER(M2380)),L2380-M2380,"")</f>
        <v/>
      </c>
    </row>
    <row r="2381">
      <c r="N2381">
        <f>IF(AND(ISNUMBER(L2381),ISNUMBER(M2381)),L2381-M2381,"")</f>
        <v/>
      </c>
    </row>
    <row r="2382">
      <c r="N2382">
        <f>IF(AND(ISNUMBER(L2382),ISNUMBER(M2382)),L2382-M2382,"")</f>
        <v/>
      </c>
    </row>
    <row r="2383">
      <c r="N2383">
        <f>IF(AND(ISNUMBER(L2383),ISNUMBER(M2383)),L2383-M2383,"")</f>
        <v/>
      </c>
    </row>
    <row r="2384">
      <c r="N2384">
        <f>IF(AND(ISNUMBER(L2384),ISNUMBER(M2384)),L2384-M2384,"")</f>
        <v/>
      </c>
    </row>
    <row r="2385">
      <c r="N2385">
        <f>IF(AND(ISNUMBER(L2385),ISNUMBER(M2385)),L2385-M2385,"")</f>
        <v/>
      </c>
    </row>
    <row r="2386">
      <c r="N2386">
        <f>IF(AND(ISNUMBER(L2386),ISNUMBER(M2386)),L2386-M2386,"")</f>
        <v/>
      </c>
    </row>
    <row r="2387">
      <c r="N2387">
        <f>IF(AND(ISNUMBER(L2387),ISNUMBER(M2387)),L2387-M2387,"")</f>
        <v/>
      </c>
    </row>
    <row r="2388">
      <c r="N2388">
        <f>IF(AND(ISNUMBER(L2388),ISNUMBER(M2388)),L2388-M2388,"")</f>
        <v/>
      </c>
    </row>
    <row r="2389">
      <c r="N2389">
        <f>IF(AND(ISNUMBER(L2389),ISNUMBER(M2389)),L2389-M2389,"")</f>
        <v/>
      </c>
    </row>
    <row r="2390">
      <c r="N2390">
        <f>IF(AND(ISNUMBER(L2390),ISNUMBER(M2390)),L2390-M2390,"")</f>
        <v/>
      </c>
    </row>
    <row r="2391">
      <c r="N2391">
        <f>IF(AND(ISNUMBER(L2391),ISNUMBER(M2391)),L2391-M2391,"")</f>
        <v/>
      </c>
    </row>
    <row r="2392">
      <c r="N2392">
        <f>IF(AND(ISNUMBER(L2392),ISNUMBER(M2392)),L2392-M2392,"")</f>
        <v/>
      </c>
    </row>
    <row r="2393">
      <c r="N2393">
        <f>IF(AND(ISNUMBER(L2393),ISNUMBER(M2393)),L2393-M2393,"")</f>
        <v/>
      </c>
    </row>
    <row r="2394">
      <c r="N2394">
        <f>IF(AND(ISNUMBER(L2394),ISNUMBER(M2394)),L2394-M2394,"")</f>
        <v/>
      </c>
    </row>
    <row r="2395">
      <c r="N2395">
        <f>IF(AND(ISNUMBER(L2395),ISNUMBER(M2395)),L2395-M2395,"")</f>
        <v/>
      </c>
    </row>
    <row r="2396">
      <c r="N2396">
        <f>IF(AND(ISNUMBER(L2396),ISNUMBER(M2396)),L2396-M2396,"")</f>
        <v/>
      </c>
    </row>
    <row r="2397">
      <c r="N2397">
        <f>IF(AND(ISNUMBER(L2397),ISNUMBER(M2397)),L2397-M2397,"")</f>
        <v/>
      </c>
    </row>
    <row r="2398">
      <c r="N2398">
        <f>IF(AND(ISNUMBER(L2398),ISNUMBER(M2398)),L2398-M2398,"")</f>
        <v/>
      </c>
    </row>
    <row r="2399">
      <c r="N2399">
        <f>IF(AND(ISNUMBER(L2399),ISNUMBER(M2399)),L2399-M2399,"")</f>
        <v/>
      </c>
    </row>
    <row r="2400">
      <c r="N2400">
        <f>IF(AND(ISNUMBER(L2400),ISNUMBER(M2400)),L2400-M2400,"")</f>
        <v/>
      </c>
    </row>
    <row r="2401">
      <c r="N2401">
        <f>IF(AND(ISNUMBER(L2401),ISNUMBER(M2401)),L2401-M2401,"")</f>
        <v/>
      </c>
    </row>
    <row r="2402">
      <c r="N2402">
        <f>IF(AND(ISNUMBER(L2402),ISNUMBER(M2402)),L2402-M2402,"")</f>
        <v/>
      </c>
    </row>
    <row r="2403">
      <c r="N2403">
        <f>IF(AND(ISNUMBER(L2403),ISNUMBER(M2403)),L2403-M2403,"")</f>
        <v/>
      </c>
    </row>
    <row r="2404">
      <c r="N2404">
        <f>IF(AND(ISNUMBER(L2404),ISNUMBER(M2404)),L2404-M2404,"")</f>
        <v/>
      </c>
    </row>
    <row r="2405">
      <c r="N2405">
        <f>IF(AND(ISNUMBER(L2405),ISNUMBER(M2405)),L2405-M2405,"")</f>
        <v/>
      </c>
    </row>
    <row r="2406">
      <c r="N2406">
        <f>IF(AND(ISNUMBER(L2406),ISNUMBER(M2406)),L2406-M2406,"")</f>
        <v/>
      </c>
    </row>
    <row r="2407">
      <c r="N2407">
        <f>IF(AND(ISNUMBER(L2407),ISNUMBER(M2407)),L2407-M2407,"")</f>
        <v/>
      </c>
    </row>
    <row r="2408">
      <c r="N2408">
        <f>IF(AND(ISNUMBER(L2408),ISNUMBER(M2408)),L2408-M2408,"")</f>
        <v/>
      </c>
    </row>
    <row r="2409">
      <c r="N2409">
        <f>IF(AND(ISNUMBER(L2409),ISNUMBER(M2409)),L2409-M2409,"")</f>
        <v/>
      </c>
    </row>
    <row r="2410">
      <c r="N2410">
        <f>IF(AND(ISNUMBER(L2410),ISNUMBER(M2410)),L2410-M2410,"")</f>
        <v/>
      </c>
    </row>
    <row r="2411">
      <c r="N2411">
        <f>IF(AND(ISNUMBER(L2411),ISNUMBER(M2411)),L2411-M2411,"")</f>
        <v/>
      </c>
    </row>
    <row r="2412">
      <c r="N2412">
        <f>IF(AND(ISNUMBER(L2412),ISNUMBER(M2412)),L2412-M2412,"")</f>
        <v/>
      </c>
    </row>
    <row r="2413">
      <c r="N2413">
        <f>IF(AND(ISNUMBER(L2413),ISNUMBER(M2413)),L2413-M2413,"")</f>
        <v/>
      </c>
    </row>
    <row r="2414">
      <c r="N2414">
        <f>IF(AND(ISNUMBER(L2414),ISNUMBER(M2414)),L2414-M2414,"")</f>
        <v/>
      </c>
    </row>
    <row r="2415">
      <c r="N2415">
        <f>IF(AND(ISNUMBER(L2415),ISNUMBER(M2415)),L2415-M2415,"")</f>
        <v/>
      </c>
    </row>
    <row r="2416">
      <c r="N2416">
        <f>IF(AND(ISNUMBER(L2416),ISNUMBER(M2416)),L2416-M2416,"")</f>
        <v/>
      </c>
    </row>
    <row r="2417">
      <c r="N2417">
        <f>IF(AND(ISNUMBER(L2417),ISNUMBER(M2417)),L2417-M2417,"")</f>
        <v/>
      </c>
    </row>
    <row r="2418">
      <c r="N2418">
        <f>IF(AND(ISNUMBER(L2418),ISNUMBER(M2418)),L2418-M2418,"")</f>
        <v/>
      </c>
    </row>
    <row r="2419">
      <c r="N2419">
        <f>IF(AND(ISNUMBER(L2419),ISNUMBER(M2419)),L2419-M2419,"")</f>
        <v/>
      </c>
    </row>
    <row r="2420">
      <c r="N2420">
        <f>IF(AND(ISNUMBER(L2420),ISNUMBER(M2420)),L2420-M2420,"")</f>
        <v/>
      </c>
    </row>
    <row r="2421">
      <c r="N2421">
        <f>IF(AND(ISNUMBER(L2421),ISNUMBER(M2421)),L2421-M2421,"")</f>
        <v/>
      </c>
    </row>
    <row r="2422">
      <c r="N2422">
        <f>IF(AND(ISNUMBER(L2422),ISNUMBER(M2422)),L2422-M2422,"")</f>
        <v/>
      </c>
    </row>
    <row r="2423">
      <c r="N2423">
        <f>IF(AND(ISNUMBER(L2423),ISNUMBER(M2423)),L2423-M2423,"")</f>
        <v/>
      </c>
    </row>
    <row r="2424">
      <c r="N2424">
        <f>IF(AND(ISNUMBER(L2424),ISNUMBER(M2424)),L2424-M2424,"")</f>
        <v/>
      </c>
    </row>
    <row r="2425">
      <c r="N2425">
        <f>IF(AND(ISNUMBER(L2425),ISNUMBER(M2425)),L2425-M2425,"")</f>
        <v/>
      </c>
    </row>
    <row r="2426">
      <c r="N2426">
        <f>IF(AND(ISNUMBER(L2426),ISNUMBER(M2426)),L2426-M2426,"")</f>
        <v/>
      </c>
    </row>
    <row r="2427">
      <c r="N2427">
        <f>IF(AND(ISNUMBER(L2427),ISNUMBER(M2427)),L2427-M2427,"")</f>
        <v/>
      </c>
    </row>
    <row r="2428">
      <c r="N2428">
        <f>IF(AND(ISNUMBER(L2428),ISNUMBER(M2428)),L2428-M2428,"")</f>
        <v/>
      </c>
    </row>
    <row r="2429">
      <c r="N2429">
        <f>IF(AND(ISNUMBER(L2429),ISNUMBER(M2429)),L2429-M2429,"")</f>
        <v/>
      </c>
    </row>
    <row r="2430">
      <c r="N2430">
        <f>IF(AND(ISNUMBER(L2430),ISNUMBER(M2430)),L2430-M2430,"")</f>
        <v/>
      </c>
    </row>
    <row r="2431">
      <c r="N2431">
        <f>IF(AND(ISNUMBER(L2431),ISNUMBER(M2431)),L2431-M2431,"")</f>
        <v/>
      </c>
    </row>
    <row r="2432">
      <c r="N2432">
        <f>IF(AND(ISNUMBER(L2432),ISNUMBER(M2432)),L2432-M2432,"")</f>
        <v/>
      </c>
    </row>
    <row r="2433">
      <c r="N2433">
        <f>IF(AND(ISNUMBER(L2433),ISNUMBER(M2433)),L2433-M2433,"")</f>
        <v/>
      </c>
    </row>
    <row r="2434">
      <c r="N2434">
        <f>IF(AND(ISNUMBER(L2434),ISNUMBER(M2434)),L2434-M2434,"")</f>
        <v/>
      </c>
    </row>
    <row r="2435">
      <c r="N2435">
        <f>IF(AND(ISNUMBER(L2435),ISNUMBER(M2435)),L2435-M2435,"")</f>
        <v/>
      </c>
    </row>
    <row r="2436">
      <c r="N2436">
        <f>IF(AND(ISNUMBER(L2436),ISNUMBER(M2436)),L2436-M2436,"")</f>
        <v/>
      </c>
    </row>
    <row r="2437">
      <c r="N2437">
        <f>IF(AND(ISNUMBER(L2437),ISNUMBER(M2437)),L2437-M2437,"")</f>
        <v/>
      </c>
    </row>
    <row r="2438">
      <c r="N2438">
        <f>IF(AND(ISNUMBER(L2438),ISNUMBER(M2438)),L2438-M2438,"")</f>
        <v/>
      </c>
    </row>
    <row r="2439">
      <c r="N2439">
        <f>IF(AND(ISNUMBER(L2439),ISNUMBER(M2439)),L2439-M2439,"")</f>
        <v/>
      </c>
    </row>
    <row r="2440">
      <c r="N2440">
        <f>IF(AND(ISNUMBER(L2440),ISNUMBER(M2440)),L2440-M2440,"")</f>
        <v/>
      </c>
    </row>
    <row r="2441">
      <c r="N2441">
        <f>IF(AND(ISNUMBER(L2441),ISNUMBER(M2441)),L2441-M2441,"")</f>
        <v/>
      </c>
    </row>
    <row r="2442">
      <c r="N2442">
        <f>IF(AND(ISNUMBER(L2442),ISNUMBER(M2442)),L2442-M2442,"")</f>
        <v/>
      </c>
    </row>
    <row r="2443">
      <c r="N2443">
        <f>IF(AND(ISNUMBER(L2443),ISNUMBER(M2443)),L2443-M2443,"")</f>
        <v/>
      </c>
    </row>
    <row r="2444">
      <c r="N2444">
        <f>IF(AND(ISNUMBER(L2444),ISNUMBER(M2444)),L2444-M2444,"")</f>
        <v/>
      </c>
    </row>
    <row r="2445">
      <c r="N2445">
        <f>IF(AND(ISNUMBER(L2445),ISNUMBER(M2445)),L2445-M2445,"")</f>
        <v/>
      </c>
    </row>
    <row r="2446">
      <c r="N2446">
        <f>IF(AND(ISNUMBER(L2446),ISNUMBER(M2446)),L2446-M2446,"")</f>
        <v/>
      </c>
    </row>
    <row r="2447">
      <c r="N2447">
        <f>IF(AND(ISNUMBER(L2447),ISNUMBER(M2447)),L2447-M2447,"")</f>
        <v/>
      </c>
    </row>
    <row r="2448">
      <c r="N2448">
        <f>IF(AND(ISNUMBER(L2448),ISNUMBER(M2448)),L2448-M2448,"")</f>
        <v/>
      </c>
    </row>
    <row r="2449">
      <c r="N2449">
        <f>IF(AND(ISNUMBER(L2449),ISNUMBER(M2449)),L2449-M2449,"")</f>
        <v/>
      </c>
    </row>
    <row r="2450">
      <c r="N2450">
        <f>IF(AND(ISNUMBER(L2450),ISNUMBER(M2450)),L2450-M2450,"")</f>
        <v/>
      </c>
    </row>
    <row r="2451">
      <c r="N2451">
        <f>IF(AND(ISNUMBER(L2451),ISNUMBER(M2451)),L2451-M2451,"")</f>
        <v/>
      </c>
    </row>
    <row r="2452">
      <c r="N2452">
        <f>IF(AND(ISNUMBER(L2452),ISNUMBER(M2452)),L2452-M2452,"")</f>
        <v/>
      </c>
    </row>
    <row r="2453">
      <c r="N2453">
        <f>IF(AND(ISNUMBER(L2453),ISNUMBER(M2453)),L2453-M2453,"")</f>
        <v/>
      </c>
    </row>
    <row r="2454">
      <c r="N2454">
        <f>IF(AND(ISNUMBER(L2454),ISNUMBER(M2454)),L2454-M2454,"")</f>
        <v/>
      </c>
    </row>
    <row r="2455">
      <c r="N2455">
        <f>IF(AND(ISNUMBER(L2455),ISNUMBER(M2455)),L2455-M2455,"")</f>
        <v/>
      </c>
    </row>
    <row r="2456">
      <c r="N2456">
        <f>IF(AND(ISNUMBER(L2456),ISNUMBER(M2456)),L2456-M2456,"")</f>
        <v/>
      </c>
    </row>
    <row r="2457">
      <c r="N2457">
        <f>IF(AND(ISNUMBER(L2457),ISNUMBER(M2457)),L2457-M2457,"")</f>
        <v/>
      </c>
    </row>
    <row r="2458">
      <c r="N2458">
        <f>IF(AND(ISNUMBER(L2458),ISNUMBER(M2458)),L2458-M2458,"")</f>
        <v/>
      </c>
    </row>
    <row r="2459">
      <c r="N2459">
        <f>IF(AND(ISNUMBER(L2459),ISNUMBER(M2459)),L2459-M2459,"")</f>
        <v/>
      </c>
    </row>
    <row r="2460">
      <c r="N2460">
        <f>IF(AND(ISNUMBER(L2460),ISNUMBER(M2460)),L2460-M2460,"")</f>
        <v/>
      </c>
    </row>
    <row r="2461">
      <c r="N2461">
        <f>IF(AND(ISNUMBER(L2461),ISNUMBER(M2461)),L2461-M2461,"")</f>
        <v/>
      </c>
    </row>
    <row r="2462">
      <c r="N2462">
        <f>IF(AND(ISNUMBER(L2462),ISNUMBER(M2462)),L2462-M2462,"")</f>
        <v/>
      </c>
    </row>
    <row r="2463">
      <c r="N2463">
        <f>IF(AND(ISNUMBER(L2463),ISNUMBER(M2463)),L2463-M2463,"")</f>
        <v/>
      </c>
    </row>
    <row r="2464">
      <c r="N2464">
        <f>IF(AND(ISNUMBER(L2464),ISNUMBER(M2464)),L2464-M2464,"")</f>
        <v/>
      </c>
    </row>
    <row r="2465">
      <c r="N2465">
        <f>IF(AND(ISNUMBER(L2465),ISNUMBER(M2465)),L2465-M2465,"")</f>
        <v/>
      </c>
    </row>
    <row r="2466">
      <c r="N2466">
        <f>IF(AND(ISNUMBER(L2466),ISNUMBER(M2466)),L2466-M2466,"")</f>
        <v/>
      </c>
    </row>
    <row r="2467">
      <c r="N2467">
        <f>IF(AND(ISNUMBER(L2467),ISNUMBER(M2467)),L2467-M2467,"")</f>
        <v/>
      </c>
    </row>
    <row r="2468">
      <c r="N2468">
        <f>IF(AND(ISNUMBER(L2468),ISNUMBER(M2468)),L2468-M2468,"")</f>
        <v/>
      </c>
    </row>
    <row r="2469">
      <c r="N2469">
        <f>IF(AND(ISNUMBER(L2469),ISNUMBER(M2469)),L2469-M2469,"")</f>
        <v/>
      </c>
    </row>
    <row r="2470">
      <c r="N2470">
        <f>IF(AND(ISNUMBER(L2470),ISNUMBER(M2470)),L2470-M2470,"")</f>
        <v/>
      </c>
    </row>
    <row r="2471">
      <c r="N2471">
        <f>IF(AND(ISNUMBER(L2471),ISNUMBER(M2471)),L2471-M2471,"")</f>
        <v/>
      </c>
    </row>
    <row r="2472">
      <c r="N2472">
        <f>IF(AND(ISNUMBER(L2472),ISNUMBER(M2472)),L2472-M2472,"")</f>
        <v/>
      </c>
    </row>
    <row r="2473">
      <c r="N2473">
        <f>IF(AND(ISNUMBER(L2473),ISNUMBER(M2473)),L2473-M2473,"")</f>
        <v/>
      </c>
    </row>
    <row r="2474">
      <c r="N2474">
        <f>IF(AND(ISNUMBER(L2474),ISNUMBER(M2474)),L2474-M2474,"")</f>
        <v/>
      </c>
    </row>
    <row r="2475">
      <c r="N2475">
        <f>IF(AND(ISNUMBER(L2475),ISNUMBER(M2475)),L2475-M2475,"")</f>
        <v/>
      </c>
    </row>
    <row r="2476">
      <c r="N2476">
        <f>IF(AND(ISNUMBER(L2476),ISNUMBER(M2476)),L2476-M2476,"")</f>
        <v/>
      </c>
    </row>
    <row r="2477">
      <c r="N2477">
        <f>IF(AND(ISNUMBER(L2477),ISNUMBER(M2477)),L2477-M2477,"")</f>
        <v/>
      </c>
    </row>
    <row r="2478">
      <c r="N2478">
        <f>IF(AND(ISNUMBER(L2478),ISNUMBER(M2478)),L2478-M2478,"")</f>
        <v/>
      </c>
    </row>
    <row r="2479">
      <c r="N2479">
        <f>IF(AND(ISNUMBER(L2479),ISNUMBER(M2479)),L2479-M2479,"")</f>
        <v/>
      </c>
    </row>
    <row r="2480">
      <c r="N2480">
        <f>IF(AND(ISNUMBER(L2480),ISNUMBER(M2480)),L2480-M2480,"")</f>
        <v/>
      </c>
    </row>
    <row r="2481">
      <c r="N2481">
        <f>IF(AND(ISNUMBER(L2481),ISNUMBER(M2481)),L2481-M2481,"")</f>
        <v/>
      </c>
    </row>
    <row r="2482">
      <c r="N2482">
        <f>IF(AND(ISNUMBER(L2482),ISNUMBER(M2482)),L2482-M2482,"")</f>
        <v/>
      </c>
    </row>
    <row r="2483">
      <c r="N2483">
        <f>IF(AND(ISNUMBER(L2483),ISNUMBER(M2483)),L2483-M2483,"")</f>
        <v/>
      </c>
    </row>
    <row r="2484">
      <c r="N2484">
        <f>IF(AND(ISNUMBER(L2484),ISNUMBER(M2484)),L2484-M2484,"")</f>
        <v/>
      </c>
    </row>
    <row r="2485">
      <c r="N2485">
        <f>IF(AND(ISNUMBER(L2485),ISNUMBER(M2485)),L2485-M2485,"")</f>
        <v/>
      </c>
    </row>
    <row r="2486">
      <c r="N2486">
        <f>IF(AND(ISNUMBER(L2486),ISNUMBER(M2486)),L2486-M2486,"")</f>
        <v/>
      </c>
    </row>
    <row r="2487">
      <c r="N2487">
        <f>IF(AND(ISNUMBER(L2487),ISNUMBER(M2487)),L2487-M2487,"")</f>
        <v/>
      </c>
    </row>
    <row r="2488">
      <c r="N2488">
        <f>IF(AND(ISNUMBER(L2488),ISNUMBER(M2488)),L2488-M2488,"")</f>
        <v/>
      </c>
    </row>
    <row r="2489">
      <c r="N2489">
        <f>IF(AND(ISNUMBER(L2489),ISNUMBER(M2489)),L2489-M2489,"")</f>
        <v/>
      </c>
    </row>
    <row r="2490">
      <c r="N2490">
        <f>IF(AND(ISNUMBER(L2490),ISNUMBER(M2490)),L2490-M2490,"")</f>
        <v/>
      </c>
    </row>
    <row r="2491">
      <c r="N2491">
        <f>IF(AND(ISNUMBER(L2491),ISNUMBER(M2491)),L2491-M2491,"")</f>
        <v/>
      </c>
    </row>
    <row r="2492">
      <c r="N2492">
        <f>IF(AND(ISNUMBER(L2492),ISNUMBER(M2492)),L2492-M2492,"")</f>
        <v/>
      </c>
    </row>
    <row r="2493">
      <c r="N2493">
        <f>IF(AND(ISNUMBER(L2493),ISNUMBER(M2493)),L2493-M2493,"")</f>
        <v/>
      </c>
    </row>
    <row r="2494">
      <c r="N2494">
        <f>IF(AND(ISNUMBER(L2494),ISNUMBER(M2494)),L2494-M2494,"")</f>
        <v/>
      </c>
    </row>
    <row r="2495">
      <c r="N2495">
        <f>IF(AND(ISNUMBER(L2495),ISNUMBER(M2495)),L2495-M2495,"")</f>
        <v/>
      </c>
    </row>
    <row r="2496">
      <c r="N2496">
        <f>IF(AND(ISNUMBER(L2496),ISNUMBER(M2496)),L2496-M2496,"")</f>
        <v/>
      </c>
    </row>
    <row r="2497">
      <c r="N2497">
        <f>IF(AND(ISNUMBER(L2497),ISNUMBER(M2497)),L2497-M2497,"")</f>
        <v/>
      </c>
    </row>
    <row r="2498">
      <c r="N2498">
        <f>IF(AND(ISNUMBER(L2498),ISNUMBER(M2498)),L2498-M2498,"")</f>
        <v/>
      </c>
    </row>
    <row r="2499">
      <c r="N2499">
        <f>IF(AND(ISNUMBER(L2499),ISNUMBER(M2499)),L2499-M2499,"")</f>
        <v/>
      </c>
    </row>
    <row r="2500">
      <c r="N2500">
        <f>IF(AND(ISNUMBER(L2500),ISNUMBER(M2500)),L2500-M2500,"")</f>
        <v/>
      </c>
    </row>
    <row r="2501">
      <c r="N2501">
        <f>IF(AND(ISNUMBER(L2501),ISNUMBER(M2501)),L2501-M2501,"")</f>
        <v/>
      </c>
    </row>
    <row r="2502">
      <c r="N2502">
        <f>IF(AND(ISNUMBER(L2502),ISNUMBER(M2502)),L2502-M2502,"")</f>
        <v/>
      </c>
    </row>
    <row r="2503">
      <c r="N2503">
        <f>IF(AND(ISNUMBER(L2503),ISNUMBER(M2503)),L2503-M2503,"")</f>
        <v/>
      </c>
    </row>
    <row r="2504">
      <c r="N2504">
        <f>IF(AND(ISNUMBER(L2504),ISNUMBER(M2504)),L2504-M2504,"")</f>
        <v/>
      </c>
    </row>
    <row r="2505">
      <c r="N2505">
        <f>IF(AND(ISNUMBER(L2505),ISNUMBER(M2505)),L2505-M2505,"")</f>
        <v/>
      </c>
    </row>
    <row r="2506">
      <c r="N2506">
        <f>IF(AND(ISNUMBER(L2506),ISNUMBER(M2506)),L2506-M2506,"")</f>
        <v/>
      </c>
    </row>
    <row r="2507">
      <c r="N2507">
        <f>IF(AND(ISNUMBER(L2507),ISNUMBER(M2507)),L2507-M2507,"")</f>
        <v/>
      </c>
    </row>
    <row r="2508">
      <c r="N2508">
        <f>IF(AND(ISNUMBER(L2508),ISNUMBER(M2508)),L2508-M2508,"")</f>
        <v/>
      </c>
    </row>
    <row r="2509">
      <c r="N2509">
        <f>IF(AND(ISNUMBER(L2509),ISNUMBER(M2509)),L2509-M2509,"")</f>
        <v/>
      </c>
    </row>
    <row r="2510">
      <c r="N2510">
        <f>IF(AND(ISNUMBER(L2510),ISNUMBER(M2510)),L2510-M2510,"")</f>
        <v/>
      </c>
    </row>
    <row r="2511">
      <c r="N2511">
        <f>IF(AND(ISNUMBER(L2511),ISNUMBER(M2511)),L2511-M2511,"")</f>
        <v/>
      </c>
    </row>
    <row r="2512">
      <c r="N2512">
        <f>IF(AND(ISNUMBER(L2512),ISNUMBER(M2512)),L2512-M2512,"")</f>
        <v/>
      </c>
    </row>
    <row r="2513">
      <c r="N2513">
        <f>IF(AND(ISNUMBER(L2513),ISNUMBER(M2513)),L2513-M2513,"")</f>
        <v/>
      </c>
    </row>
    <row r="2514">
      <c r="N2514">
        <f>IF(AND(ISNUMBER(L2514),ISNUMBER(M2514)),L2514-M2514,"")</f>
        <v/>
      </c>
    </row>
    <row r="2515">
      <c r="N2515">
        <f>IF(AND(ISNUMBER(L2515),ISNUMBER(M2515)),L2515-M2515,"")</f>
        <v/>
      </c>
    </row>
    <row r="2516">
      <c r="N2516">
        <f>IF(AND(ISNUMBER(L2516),ISNUMBER(M2516)),L2516-M2516,"")</f>
        <v/>
      </c>
    </row>
    <row r="2517">
      <c r="N2517">
        <f>IF(AND(ISNUMBER(L2517),ISNUMBER(M2517)),L2517-M2517,"")</f>
        <v/>
      </c>
    </row>
    <row r="2518">
      <c r="N2518">
        <f>IF(AND(ISNUMBER(L2518),ISNUMBER(M2518)),L2518-M2518,"")</f>
        <v/>
      </c>
    </row>
    <row r="2519">
      <c r="N2519">
        <f>IF(AND(ISNUMBER(L2519),ISNUMBER(M2519)),L2519-M2519,"")</f>
        <v/>
      </c>
    </row>
    <row r="2520">
      <c r="N2520">
        <f>IF(AND(ISNUMBER(L2520),ISNUMBER(M2520)),L2520-M2520,"")</f>
        <v/>
      </c>
    </row>
    <row r="2521">
      <c r="N2521">
        <f>IF(AND(ISNUMBER(L2521),ISNUMBER(M2521)),L2521-M2521,"")</f>
        <v/>
      </c>
    </row>
    <row r="2522">
      <c r="N2522">
        <f>IF(AND(ISNUMBER(L2522),ISNUMBER(M2522)),L2522-M2522,"")</f>
        <v/>
      </c>
    </row>
    <row r="2523">
      <c r="N2523">
        <f>IF(AND(ISNUMBER(L2523),ISNUMBER(M2523)),L2523-M2523,"")</f>
        <v/>
      </c>
    </row>
    <row r="2524">
      <c r="N2524">
        <f>IF(AND(ISNUMBER(L2524),ISNUMBER(M2524)),L2524-M2524,"")</f>
        <v/>
      </c>
    </row>
    <row r="2525">
      <c r="N2525">
        <f>IF(AND(ISNUMBER(L2525),ISNUMBER(M2525)),L2525-M2525,"")</f>
        <v/>
      </c>
    </row>
    <row r="2526">
      <c r="N2526">
        <f>IF(AND(ISNUMBER(L2526),ISNUMBER(M2526)),L2526-M2526,"")</f>
        <v/>
      </c>
    </row>
    <row r="2527">
      <c r="N2527">
        <f>IF(AND(ISNUMBER(L2527),ISNUMBER(M2527)),L2527-M2527,"")</f>
        <v/>
      </c>
    </row>
    <row r="2528">
      <c r="N2528">
        <f>IF(AND(ISNUMBER(L2528),ISNUMBER(M2528)),L2528-M2528,"")</f>
        <v/>
      </c>
    </row>
    <row r="2529">
      <c r="N2529">
        <f>IF(AND(ISNUMBER(L2529),ISNUMBER(M2529)),L2529-M2529,"")</f>
        <v/>
      </c>
    </row>
    <row r="2530">
      <c r="N2530">
        <f>IF(AND(ISNUMBER(L2530),ISNUMBER(M2530)),L2530-M2530,"")</f>
        <v/>
      </c>
    </row>
    <row r="2531">
      <c r="N2531">
        <f>IF(AND(ISNUMBER(L2531),ISNUMBER(M2531)),L2531-M2531,"")</f>
        <v/>
      </c>
    </row>
    <row r="2532">
      <c r="N2532">
        <f>IF(AND(ISNUMBER(L2532),ISNUMBER(M2532)),L2532-M2532,"")</f>
        <v/>
      </c>
    </row>
    <row r="2533">
      <c r="N2533">
        <f>IF(AND(ISNUMBER(L2533),ISNUMBER(M2533)),L2533-M2533,"")</f>
        <v/>
      </c>
    </row>
    <row r="2534">
      <c r="N2534">
        <f>IF(AND(ISNUMBER(L2534),ISNUMBER(M2534)),L2534-M2534,"")</f>
        <v/>
      </c>
    </row>
    <row r="2535">
      <c r="N2535">
        <f>IF(AND(ISNUMBER(L2535),ISNUMBER(M2535)),L2535-M2535,"")</f>
        <v/>
      </c>
    </row>
    <row r="2536">
      <c r="N2536">
        <f>IF(AND(ISNUMBER(L2536),ISNUMBER(M2536)),L2536-M2536,"")</f>
        <v/>
      </c>
    </row>
    <row r="2537">
      <c r="N2537">
        <f>IF(AND(ISNUMBER(L2537),ISNUMBER(M2537)),L2537-M2537,"")</f>
        <v/>
      </c>
    </row>
    <row r="2538">
      <c r="N2538">
        <f>IF(AND(ISNUMBER(L2538),ISNUMBER(M2538)),L2538-M2538,"")</f>
        <v/>
      </c>
    </row>
    <row r="2539">
      <c r="N2539">
        <f>IF(AND(ISNUMBER(L2539),ISNUMBER(M2539)),L2539-M2539,"")</f>
        <v/>
      </c>
    </row>
    <row r="2540">
      <c r="N2540">
        <f>IF(AND(ISNUMBER(L2540),ISNUMBER(M2540)),L2540-M2540,"")</f>
        <v/>
      </c>
    </row>
    <row r="2541">
      <c r="N2541">
        <f>IF(AND(ISNUMBER(L2541),ISNUMBER(M2541)),L2541-M2541,"")</f>
        <v/>
      </c>
    </row>
    <row r="2542">
      <c r="N2542">
        <f>IF(AND(ISNUMBER(L2542),ISNUMBER(M2542)),L2542-M2542,"")</f>
        <v/>
      </c>
    </row>
    <row r="2543">
      <c r="N2543">
        <f>IF(AND(ISNUMBER(L2543),ISNUMBER(M2543)),L2543-M2543,"")</f>
        <v/>
      </c>
    </row>
    <row r="2544">
      <c r="N2544">
        <f>IF(AND(ISNUMBER(L2544),ISNUMBER(M2544)),L2544-M2544,"")</f>
        <v/>
      </c>
    </row>
    <row r="2545">
      <c r="N2545">
        <f>IF(AND(ISNUMBER(L2545),ISNUMBER(M2545)),L2545-M2545,"")</f>
        <v/>
      </c>
    </row>
    <row r="2546">
      <c r="N2546">
        <f>IF(AND(ISNUMBER(L2546),ISNUMBER(M2546)),L2546-M2546,"")</f>
        <v/>
      </c>
    </row>
    <row r="2547">
      <c r="N2547">
        <f>IF(AND(ISNUMBER(L2547),ISNUMBER(M2547)),L2547-M2547,"")</f>
        <v/>
      </c>
    </row>
    <row r="2548">
      <c r="N2548">
        <f>IF(AND(ISNUMBER(L2548),ISNUMBER(M2548)),L2548-M2548,"")</f>
        <v/>
      </c>
    </row>
    <row r="2549">
      <c r="N2549">
        <f>IF(AND(ISNUMBER(L2549),ISNUMBER(M2549)),L2549-M2549,"")</f>
        <v/>
      </c>
    </row>
    <row r="2550">
      <c r="N2550">
        <f>IF(AND(ISNUMBER(L2550),ISNUMBER(M2550)),L2550-M2550,"")</f>
        <v/>
      </c>
    </row>
    <row r="2551">
      <c r="N2551">
        <f>IF(AND(ISNUMBER(L2551),ISNUMBER(M2551)),L2551-M2551,"")</f>
        <v/>
      </c>
    </row>
    <row r="2552">
      <c r="N2552">
        <f>IF(AND(ISNUMBER(L2552),ISNUMBER(M2552)),L2552-M2552,"")</f>
        <v/>
      </c>
    </row>
    <row r="2553">
      <c r="N2553">
        <f>IF(AND(ISNUMBER(L2553),ISNUMBER(M2553)),L2553-M2553,"")</f>
        <v/>
      </c>
    </row>
    <row r="2554">
      <c r="N2554">
        <f>IF(AND(ISNUMBER(L2554),ISNUMBER(M2554)),L2554-M2554,"")</f>
        <v/>
      </c>
    </row>
    <row r="2555">
      <c r="N2555">
        <f>IF(AND(ISNUMBER(L2555),ISNUMBER(M2555)),L2555-M2555,"")</f>
        <v/>
      </c>
    </row>
    <row r="2556">
      <c r="N2556">
        <f>IF(AND(ISNUMBER(L2556),ISNUMBER(M2556)),L2556-M2556,"")</f>
        <v/>
      </c>
    </row>
    <row r="2557">
      <c r="N2557">
        <f>IF(AND(ISNUMBER(L2557),ISNUMBER(M2557)),L2557-M2557,"")</f>
        <v/>
      </c>
    </row>
    <row r="2558">
      <c r="N2558">
        <f>IF(AND(ISNUMBER(L2558),ISNUMBER(M2558)),L2558-M2558,"")</f>
        <v/>
      </c>
    </row>
    <row r="2559">
      <c r="N2559">
        <f>IF(AND(ISNUMBER(L2559),ISNUMBER(M2559)),L2559-M2559,"")</f>
        <v/>
      </c>
    </row>
    <row r="2560">
      <c r="N2560">
        <f>IF(AND(ISNUMBER(L2560),ISNUMBER(M2560)),L2560-M2560,"")</f>
        <v/>
      </c>
    </row>
    <row r="2561">
      <c r="N2561">
        <f>IF(AND(ISNUMBER(L2561),ISNUMBER(M2561)),L2561-M2561,"")</f>
        <v/>
      </c>
    </row>
    <row r="2562">
      <c r="N2562">
        <f>IF(AND(ISNUMBER(L2562),ISNUMBER(M2562)),L2562-M2562,"")</f>
        <v/>
      </c>
    </row>
    <row r="2563">
      <c r="N2563">
        <f>IF(AND(ISNUMBER(L2563),ISNUMBER(M2563)),L2563-M2563,"")</f>
        <v/>
      </c>
    </row>
    <row r="2564">
      <c r="N2564">
        <f>IF(AND(ISNUMBER(L2564),ISNUMBER(M2564)),L2564-M2564,"")</f>
        <v/>
      </c>
    </row>
    <row r="2565">
      <c r="N2565">
        <f>IF(AND(ISNUMBER(L2565),ISNUMBER(M2565)),L2565-M2565,"")</f>
        <v/>
      </c>
    </row>
    <row r="2566">
      <c r="N2566">
        <f>IF(AND(ISNUMBER(L2566),ISNUMBER(M2566)),L2566-M2566,"")</f>
        <v/>
      </c>
    </row>
    <row r="2567">
      <c r="N2567">
        <f>IF(AND(ISNUMBER(L2567),ISNUMBER(M2567)),L2567-M2567,"")</f>
        <v/>
      </c>
    </row>
    <row r="2568">
      <c r="N2568">
        <f>IF(AND(ISNUMBER(L2568),ISNUMBER(M2568)),L2568-M2568,"")</f>
        <v/>
      </c>
    </row>
    <row r="2569">
      <c r="N2569">
        <f>IF(AND(ISNUMBER(L2569),ISNUMBER(M2569)),L2569-M2569,"")</f>
        <v/>
      </c>
    </row>
    <row r="2570">
      <c r="N2570">
        <f>IF(AND(ISNUMBER(L2570),ISNUMBER(M2570)),L2570-M2570,"")</f>
        <v/>
      </c>
    </row>
    <row r="2571">
      <c r="N2571">
        <f>IF(AND(ISNUMBER(L2571),ISNUMBER(M2571)),L2571-M2571,"")</f>
        <v/>
      </c>
    </row>
    <row r="2572">
      <c r="N2572">
        <f>IF(AND(ISNUMBER(L2572),ISNUMBER(M2572)),L2572-M2572,"")</f>
        <v/>
      </c>
    </row>
    <row r="2573">
      <c r="N2573">
        <f>IF(AND(ISNUMBER(L2573),ISNUMBER(M2573)),L2573-M2573,"")</f>
        <v/>
      </c>
    </row>
    <row r="2574">
      <c r="N2574">
        <f>IF(AND(ISNUMBER(L2574),ISNUMBER(M2574)),L2574-M2574,"")</f>
        <v/>
      </c>
    </row>
    <row r="2575">
      <c r="N2575">
        <f>IF(AND(ISNUMBER(L2575),ISNUMBER(M2575)),L2575-M2575,"")</f>
        <v/>
      </c>
    </row>
    <row r="2576">
      <c r="N2576">
        <f>IF(AND(ISNUMBER(L2576),ISNUMBER(M2576)),L2576-M2576,"")</f>
        <v/>
      </c>
    </row>
    <row r="2577">
      <c r="N2577">
        <f>IF(AND(ISNUMBER(L2577),ISNUMBER(M2577)),L2577-M2577,"")</f>
        <v/>
      </c>
    </row>
    <row r="2578">
      <c r="N2578">
        <f>IF(AND(ISNUMBER(L2578),ISNUMBER(M2578)),L2578-M2578,"")</f>
        <v/>
      </c>
    </row>
    <row r="2579">
      <c r="N2579">
        <f>IF(AND(ISNUMBER(L2579),ISNUMBER(M2579)),L2579-M2579,"")</f>
        <v/>
      </c>
    </row>
    <row r="2580">
      <c r="N2580">
        <f>IF(AND(ISNUMBER(L2580),ISNUMBER(M2580)),L2580-M2580,"")</f>
        <v/>
      </c>
    </row>
    <row r="2581">
      <c r="N2581">
        <f>IF(AND(ISNUMBER(L2581),ISNUMBER(M2581)),L2581-M2581,"")</f>
        <v/>
      </c>
    </row>
    <row r="2582">
      <c r="N2582">
        <f>IF(AND(ISNUMBER(L2582),ISNUMBER(M2582)),L2582-M2582,"")</f>
        <v/>
      </c>
    </row>
    <row r="2583">
      <c r="N2583">
        <f>IF(AND(ISNUMBER(L2583),ISNUMBER(M2583)),L2583-M2583,"")</f>
        <v/>
      </c>
    </row>
    <row r="2584">
      <c r="N2584">
        <f>IF(AND(ISNUMBER(L2584),ISNUMBER(M2584)),L2584-M2584,"")</f>
        <v/>
      </c>
    </row>
    <row r="2585">
      <c r="N2585">
        <f>IF(AND(ISNUMBER(L2585),ISNUMBER(M2585)),L2585-M2585,"")</f>
        <v/>
      </c>
    </row>
    <row r="2586">
      <c r="N2586">
        <f>IF(AND(ISNUMBER(L2586),ISNUMBER(M2586)),L2586-M2586,"")</f>
        <v/>
      </c>
    </row>
    <row r="2587">
      <c r="N2587">
        <f>IF(AND(ISNUMBER(L2587),ISNUMBER(M2587)),L2587-M2587,"")</f>
        <v/>
      </c>
    </row>
    <row r="2588">
      <c r="N2588">
        <f>IF(AND(ISNUMBER(L2588),ISNUMBER(M2588)),L2588-M2588,"")</f>
        <v/>
      </c>
    </row>
    <row r="2589">
      <c r="N2589">
        <f>IF(AND(ISNUMBER(L2589),ISNUMBER(M2589)),L2589-M2589,"")</f>
        <v/>
      </c>
    </row>
    <row r="2590">
      <c r="N2590">
        <f>IF(AND(ISNUMBER(L2590),ISNUMBER(M2590)),L2590-M2590,"")</f>
        <v/>
      </c>
    </row>
    <row r="2591">
      <c r="N2591">
        <f>IF(AND(ISNUMBER(L2591),ISNUMBER(M2591)),L2591-M2591,"")</f>
        <v/>
      </c>
    </row>
    <row r="2592">
      <c r="N2592">
        <f>IF(AND(ISNUMBER(L2592),ISNUMBER(M2592)),L2592-M2592,"")</f>
        <v/>
      </c>
    </row>
    <row r="2593">
      <c r="N2593">
        <f>IF(AND(ISNUMBER(L2593),ISNUMBER(M2593)),L2593-M2593,"")</f>
        <v/>
      </c>
    </row>
    <row r="2594">
      <c r="N2594">
        <f>IF(AND(ISNUMBER(L2594),ISNUMBER(M2594)),L2594-M2594,"")</f>
        <v/>
      </c>
    </row>
    <row r="2595">
      <c r="N2595">
        <f>IF(AND(ISNUMBER(L2595),ISNUMBER(M2595)),L2595-M2595,"")</f>
        <v/>
      </c>
    </row>
    <row r="2596">
      <c r="N2596">
        <f>IF(AND(ISNUMBER(L2596),ISNUMBER(M2596)),L2596-M2596,"")</f>
        <v/>
      </c>
    </row>
    <row r="2597">
      <c r="N2597">
        <f>IF(AND(ISNUMBER(L2597),ISNUMBER(M2597)),L2597-M2597,"")</f>
        <v/>
      </c>
    </row>
    <row r="2598">
      <c r="N2598">
        <f>IF(AND(ISNUMBER(L2598),ISNUMBER(M2598)),L2598-M2598,"")</f>
        <v/>
      </c>
    </row>
    <row r="2599">
      <c r="N2599">
        <f>IF(AND(ISNUMBER(L2599),ISNUMBER(M2599)),L2599-M2599,"")</f>
        <v/>
      </c>
    </row>
    <row r="2600">
      <c r="N2600">
        <f>IF(AND(ISNUMBER(L2600),ISNUMBER(M2600)),L2600-M2600,"")</f>
        <v/>
      </c>
    </row>
    <row r="2601">
      <c r="N2601">
        <f>IF(AND(ISNUMBER(L2601),ISNUMBER(M2601)),L2601-M2601,"")</f>
        <v/>
      </c>
    </row>
    <row r="2602">
      <c r="N2602">
        <f>IF(AND(ISNUMBER(L2602),ISNUMBER(M2602)),L2602-M2602,"")</f>
        <v/>
      </c>
    </row>
    <row r="2603">
      <c r="N2603">
        <f>IF(AND(ISNUMBER(L2603),ISNUMBER(M2603)),L2603-M2603,"")</f>
        <v/>
      </c>
    </row>
    <row r="2604">
      <c r="N2604">
        <f>IF(AND(ISNUMBER(L2604),ISNUMBER(M2604)),L2604-M2604,"")</f>
        <v/>
      </c>
    </row>
    <row r="2605">
      <c r="N2605">
        <f>IF(AND(ISNUMBER(L2605),ISNUMBER(M2605)),L2605-M2605,"")</f>
        <v/>
      </c>
    </row>
    <row r="2606">
      <c r="N2606">
        <f>IF(AND(ISNUMBER(L2606),ISNUMBER(M2606)),L2606-M2606,"")</f>
        <v/>
      </c>
    </row>
    <row r="2607">
      <c r="N2607">
        <f>IF(AND(ISNUMBER(L2607),ISNUMBER(M2607)),L2607-M2607,"")</f>
        <v/>
      </c>
    </row>
    <row r="2608">
      <c r="N2608">
        <f>IF(AND(ISNUMBER(L2608),ISNUMBER(M2608)),L2608-M2608,"")</f>
        <v/>
      </c>
    </row>
    <row r="2609">
      <c r="N2609">
        <f>IF(AND(ISNUMBER(L2609),ISNUMBER(M2609)),L2609-M2609,"")</f>
        <v/>
      </c>
    </row>
    <row r="2610">
      <c r="N2610">
        <f>IF(AND(ISNUMBER(L2610),ISNUMBER(M2610)),L2610-M2610,"")</f>
        <v/>
      </c>
    </row>
    <row r="2611">
      <c r="N2611">
        <f>IF(AND(ISNUMBER(L2611),ISNUMBER(M2611)),L2611-M2611,"")</f>
        <v/>
      </c>
    </row>
    <row r="2612">
      <c r="N2612">
        <f>IF(AND(ISNUMBER(L2612),ISNUMBER(M2612)),L2612-M2612,"")</f>
        <v/>
      </c>
    </row>
    <row r="2613">
      <c r="N2613">
        <f>IF(AND(ISNUMBER(L2613),ISNUMBER(M2613)),L2613-M2613,"")</f>
        <v/>
      </c>
    </row>
    <row r="2614">
      <c r="N2614">
        <f>IF(AND(ISNUMBER(L2614),ISNUMBER(M2614)),L2614-M2614,"")</f>
        <v/>
      </c>
    </row>
    <row r="2615">
      <c r="N2615">
        <f>IF(AND(ISNUMBER(L2615),ISNUMBER(M2615)),L2615-M2615,"")</f>
        <v/>
      </c>
    </row>
    <row r="2616">
      <c r="N2616">
        <f>IF(AND(ISNUMBER(L2616),ISNUMBER(M2616)),L2616-M2616,"")</f>
        <v/>
      </c>
    </row>
    <row r="2617">
      <c r="N2617">
        <f>IF(AND(ISNUMBER(L2617),ISNUMBER(M2617)),L2617-M2617,"")</f>
        <v/>
      </c>
    </row>
    <row r="2618">
      <c r="N2618">
        <f>IF(AND(ISNUMBER(L2618),ISNUMBER(M2618)),L2618-M2618,"")</f>
        <v/>
      </c>
    </row>
    <row r="2619">
      <c r="N2619">
        <f>IF(AND(ISNUMBER(L2619),ISNUMBER(M2619)),L2619-M2619,"")</f>
        <v/>
      </c>
    </row>
    <row r="2620">
      <c r="N2620">
        <f>IF(AND(ISNUMBER(L2620),ISNUMBER(M2620)),L2620-M2620,"")</f>
        <v/>
      </c>
    </row>
    <row r="2621">
      <c r="N2621">
        <f>IF(AND(ISNUMBER(L2621),ISNUMBER(M2621)),L2621-M2621,"")</f>
        <v/>
      </c>
    </row>
    <row r="2622">
      <c r="N2622">
        <f>IF(AND(ISNUMBER(L2622),ISNUMBER(M2622)),L2622-M2622,"")</f>
        <v/>
      </c>
    </row>
    <row r="2623">
      <c r="N2623">
        <f>IF(AND(ISNUMBER(L2623),ISNUMBER(M2623)),L2623-M2623,"")</f>
        <v/>
      </c>
    </row>
    <row r="2624">
      <c r="N2624">
        <f>IF(AND(ISNUMBER(L2624),ISNUMBER(M2624)),L2624-M2624,"")</f>
        <v/>
      </c>
    </row>
    <row r="2625">
      <c r="N2625">
        <f>IF(AND(ISNUMBER(L2625),ISNUMBER(M2625)),L2625-M2625,"")</f>
        <v/>
      </c>
    </row>
    <row r="2626">
      <c r="N2626">
        <f>IF(AND(ISNUMBER(L2626),ISNUMBER(M2626)),L2626-M2626,"")</f>
        <v/>
      </c>
    </row>
    <row r="2627">
      <c r="N2627">
        <f>IF(AND(ISNUMBER(L2627),ISNUMBER(M2627)),L2627-M2627,"")</f>
        <v/>
      </c>
    </row>
    <row r="2628">
      <c r="N2628">
        <f>IF(AND(ISNUMBER(L2628),ISNUMBER(M2628)),L2628-M2628,"")</f>
        <v/>
      </c>
    </row>
    <row r="2629">
      <c r="N2629">
        <f>IF(AND(ISNUMBER(L2629),ISNUMBER(M2629)),L2629-M2629,"")</f>
        <v/>
      </c>
    </row>
    <row r="2630">
      <c r="N2630">
        <f>IF(AND(ISNUMBER(L2630),ISNUMBER(M2630)),L2630-M2630,"")</f>
        <v/>
      </c>
    </row>
    <row r="2631">
      <c r="N2631">
        <f>IF(AND(ISNUMBER(L2631),ISNUMBER(M2631)),L2631-M2631,"")</f>
        <v/>
      </c>
    </row>
    <row r="2632">
      <c r="N2632">
        <f>IF(AND(ISNUMBER(L2632),ISNUMBER(M2632)),L2632-M2632,"")</f>
        <v/>
      </c>
    </row>
    <row r="2633">
      <c r="N2633">
        <f>IF(AND(ISNUMBER(L2633),ISNUMBER(M2633)),L2633-M2633,"")</f>
        <v/>
      </c>
    </row>
    <row r="2634">
      <c r="N2634">
        <f>IF(AND(ISNUMBER(L2634),ISNUMBER(M2634)),L2634-M2634,"")</f>
        <v/>
      </c>
    </row>
    <row r="2635">
      <c r="N2635">
        <f>IF(AND(ISNUMBER(L2635),ISNUMBER(M2635)),L2635-M2635,"")</f>
        <v/>
      </c>
    </row>
    <row r="2636">
      <c r="N2636">
        <f>IF(AND(ISNUMBER(L2636),ISNUMBER(M2636)),L2636-M2636,"")</f>
        <v/>
      </c>
    </row>
    <row r="2637">
      <c r="N2637">
        <f>IF(AND(ISNUMBER(L2637),ISNUMBER(M2637)),L2637-M2637,"")</f>
        <v/>
      </c>
    </row>
    <row r="2638">
      <c r="N2638">
        <f>IF(AND(ISNUMBER(L2638),ISNUMBER(M2638)),L2638-M2638,"")</f>
        <v/>
      </c>
    </row>
    <row r="2639">
      <c r="N2639">
        <f>IF(AND(ISNUMBER(L2639),ISNUMBER(M2639)),L2639-M2639,"")</f>
        <v/>
      </c>
    </row>
    <row r="2640">
      <c r="N2640">
        <f>IF(AND(ISNUMBER(L2640),ISNUMBER(M2640)),L2640-M2640,"")</f>
        <v/>
      </c>
    </row>
    <row r="2641">
      <c r="N2641">
        <f>IF(AND(ISNUMBER(L2641),ISNUMBER(M2641)),L2641-M2641,"")</f>
        <v/>
      </c>
    </row>
    <row r="2642">
      <c r="N2642">
        <f>IF(AND(ISNUMBER(L2642),ISNUMBER(M2642)),L2642-M2642,"")</f>
        <v/>
      </c>
    </row>
    <row r="2643">
      <c r="N2643">
        <f>IF(AND(ISNUMBER(L2643),ISNUMBER(M2643)),L2643-M2643,"")</f>
        <v/>
      </c>
    </row>
    <row r="2644">
      <c r="N2644">
        <f>IF(AND(ISNUMBER(L2644),ISNUMBER(M2644)),L2644-M2644,"")</f>
        <v/>
      </c>
    </row>
    <row r="2645">
      <c r="N2645">
        <f>IF(AND(ISNUMBER(L2645),ISNUMBER(M2645)),L2645-M2645,"")</f>
        <v/>
      </c>
    </row>
    <row r="2646">
      <c r="N2646">
        <f>IF(AND(ISNUMBER(L2646),ISNUMBER(M2646)),L2646-M2646,"")</f>
        <v/>
      </c>
    </row>
    <row r="2647">
      <c r="N2647">
        <f>IF(AND(ISNUMBER(L2647),ISNUMBER(M2647)),L2647-M2647,"")</f>
        <v/>
      </c>
    </row>
    <row r="2648">
      <c r="N2648">
        <f>IF(AND(ISNUMBER(L2648),ISNUMBER(M2648)),L2648-M2648,"")</f>
        <v/>
      </c>
    </row>
    <row r="2649">
      <c r="N2649">
        <f>IF(AND(ISNUMBER(L2649),ISNUMBER(M2649)),L2649-M2649,"")</f>
        <v/>
      </c>
    </row>
    <row r="2650">
      <c r="N2650">
        <f>IF(AND(ISNUMBER(L2650),ISNUMBER(M2650)),L2650-M2650,"")</f>
        <v/>
      </c>
    </row>
    <row r="2651">
      <c r="N2651">
        <f>IF(AND(ISNUMBER(L2651),ISNUMBER(M2651)),L2651-M2651,"")</f>
        <v/>
      </c>
    </row>
    <row r="2652">
      <c r="N2652">
        <f>IF(AND(ISNUMBER(L2652),ISNUMBER(M2652)),L2652-M2652,"")</f>
        <v/>
      </c>
    </row>
    <row r="2653">
      <c r="N2653">
        <f>IF(AND(ISNUMBER(L2653),ISNUMBER(M2653)),L2653-M2653,"")</f>
        <v/>
      </c>
    </row>
    <row r="2654">
      <c r="N2654">
        <f>IF(AND(ISNUMBER(L2654),ISNUMBER(M2654)),L2654-M2654,"")</f>
        <v/>
      </c>
    </row>
    <row r="2655">
      <c r="N2655">
        <f>IF(AND(ISNUMBER(L2655),ISNUMBER(M2655)),L2655-M2655,"")</f>
        <v/>
      </c>
    </row>
    <row r="2656">
      <c r="N2656">
        <f>IF(AND(ISNUMBER(L2656),ISNUMBER(M2656)),L2656-M2656,"")</f>
        <v/>
      </c>
    </row>
    <row r="2657">
      <c r="N2657">
        <f>IF(AND(ISNUMBER(L2657),ISNUMBER(M2657)),L2657-M2657,"")</f>
        <v/>
      </c>
    </row>
    <row r="2658">
      <c r="N2658">
        <f>IF(AND(ISNUMBER(L2658),ISNUMBER(M2658)),L2658-M2658,"")</f>
        <v/>
      </c>
    </row>
    <row r="2659">
      <c r="N2659">
        <f>IF(AND(ISNUMBER(L2659),ISNUMBER(M2659)),L2659-M2659,"")</f>
        <v/>
      </c>
    </row>
    <row r="2660">
      <c r="N2660">
        <f>IF(AND(ISNUMBER(L2660),ISNUMBER(M2660)),L2660-M2660,"")</f>
        <v/>
      </c>
    </row>
    <row r="2661">
      <c r="N2661">
        <f>IF(AND(ISNUMBER(L2661),ISNUMBER(M2661)),L2661-M2661,"")</f>
        <v/>
      </c>
    </row>
    <row r="2662">
      <c r="N2662">
        <f>IF(AND(ISNUMBER(L2662),ISNUMBER(M2662)),L2662-M2662,"")</f>
        <v/>
      </c>
    </row>
    <row r="2663">
      <c r="N2663">
        <f>IF(AND(ISNUMBER(L2663),ISNUMBER(M2663)),L2663-M2663,"")</f>
        <v/>
      </c>
    </row>
    <row r="2664">
      <c r="N2664">
        <f>IF(AND(ISNUMBER(L2664),ISNUMBER(M2664)),L2664-M2664,"")</f>
        <v/>
      </c>
    </row>
    <row r="2665">
      <c r="N2665">
        <f>IF(AND(ISNUMBER(L2665),ISNUMBER(M2665)),L2665-M2665,"")</f>
        <v/>
      </c>
    </row>
    <row r="2666">
      <c r="N2666">
        <f>IF(AND(ISNUMBER(L2666),ISNUMBER(M2666)),L2666-M2666,"")</f>
        <v/>
      </c>
    </row>
    <row r="2667">
      <c r="N2667">
        <f>IF(AND(ISNUMBER(L2667),ISNUMBER(M2667)),L2667-M2667,"")</f>
        <v/>
      </c>
    </row>
    <row r="2668">
      <c r="N2668">
        <f>IF(AND(ISNUMBER(L2668),ISNUMBER(M2668)),L2668-M2668,"")</f>
        <v/>
      </c>
    </row>
    <row r="2669">
      <c r="N2669">
        <f>IF(AND(ISNUMBER(L2669),ISNUMBER(M2669)),L2669-M2669,"")</f>
        <v/>
      </c>
    </row>
    <row r="2670">
      <c r="N2670">
        <f>IF(AND(ISNUMBER(L2670),ISNUMBER(M2670)),L2670-M2670,"")</f>
        <v/>
      </c>
    </row>
    <row r="2671">
      <c r="N2671">
        <f>IF(AND(ISNUMBER(L2671),ISNUMBER(M2671)),L2671-M2671,"")</f>
        <v/>
      </c>
    </row>
    <row r="2672">
      <c r="N2672">
        <f>IF(AND(ISNUMBER(L2672),ISNUMBER(M2672)),L2672-M2672,"")</f>
        <v/>
      </c>
    </row>
    <row r="2673">
      <c r="N2673">
        <f>IF(AND(ISNUMBER(L2673),ISNUMBER(M2673)),L2673-M2673,"")</f>
        <v/>
      </c>
    </row>
    <row r="2674">
      <c r="N2674">
        <f>IF(AND(ISNUMBER(L2674),ISNUMBER(M2674)),L2674-M2674,"")</f>
        <v/>
      </c>
    </row>
    <row r="2675">
      <c r="N2675">
        <f>IF(AND(ISNUMBER(L2675),ISNUMBER(M2675)),L2675-M2675,"")</f>
        <v/>
      </c>
    </row>
    <row r="2676">
      <c r="N2676">
        <f>IF(AND(ISNUMBER(L2676),ISNUMBER(M2676)),L2676-M2676,"")</f>
        <v/>
      </c>
    </row>
    <row r="2677">
      <c r="N2677">
        <f>IF(AND(ISNUMBER(L2677),ISNUMBER(M2677)),L2677-M2677,"")</f>
        <v/>
      </c>
    </row>
    <row r="2678">
      <c r="N2678">
        <f>IF(AND(ISNUMBER(L2678),ISNUMBER(M2678)),L2678-M2678,"")</f>
        <v/>
      </c>
    </row>
    <row r="2679">
      <c r="N2679">
        <f>IF(AND(ISNUMBER(L2679),ISNUMBER(M2679)),L2679-M2679,"")</f>
        <v/>
      </c>
    </row>
    <row r="2680">
      <c r="N2680">
        <f>IF(AND(ISNUMBER(L2680),ISNUMBER(M2680)),L2680-M2680,"")</f>
        <v/>
      </c>
    </row>
    <row r="2681">
      <c r="N2681">
        <f>IF(AND(ISNUMBER(L2681),ISNUMBER(M2681)),L2681-M2681,"")</f>
        <v/>
      </c>
    </row>
    <row r="2682">
      <c r="N2682">
        <f>IF(AND(ISNUMBER(L2682),ISNUMBER(M2682)),L2682-M2682,"")</f>
        <v/>
      </c>
    </row>
    <row r="2683">
      <c r="N2683">
        <f>IF(AND(ISNUMBER(L2683),ISNUMBER(M2683)),L2683-M2683,"")</f>
        <v/>
      </c>
    </row>
    <row r="2684">
      <c r="N2684">
        <f>IF(AND(ISNUMBER(L2684),ISNUMBER(M2684)),L2684-M2684,"")</f>
        <v/>
      </c>
    </row>
    <row r="2685">
      <c r="N2685">
        <f>IF(AND(ISNUMBER(L2685),ISNUMBER(M2685)),L2685-M2685,"")</f>
        <v/>
      </c>
    </row>
    <row r="2686">
      <c r="N2686">
        <f>IF(AND(ISNUMBER(L2686),ISNUMBER(M2686)),L2686-M2686,"")</f>
        <v/>
      </c>
    </row>
    <row r="2687">
      <c r="N2687">
        <f>IF(AND(ISNUMBER(L2687),ISNUMBER(M2687)),L2687-M2687,"")</f>
        <v/>
      </c>
    </row>
    <row r="2688">
      <c r="N2688">
        <f>IF(AND(ISNUMBER(L2688),ISNUMBER(M2688)),L2688-M2688,"")</f>
        <v/>
      </c>
    </row>
    <row r="2689">
      <c r="N2689">
        <f>IF(AND(ISNUMBER(L2689),ISNUMBER(M2689)),L2689-M2689,"")</f>
        <v/>
      </c>
    </row>
    <row r="2690">
      <c r="N2690">
        <f>IF(AND(ISNUMBER(L2690),ISNUMBER(M2690)),L2690-M2690,"")</f>
        <v/>
      </c>
    </row>
    <row r="2691">
      <c r="N2691">
        <f>IF(AND(ISNUMBER(L2691),ISNUMBER(M2691)),L2691-M2691,"")</f>
        <v/>
      </c>
    </row>
    <row r="2692">
      <c r="N2692">
        <f>IF(AND(ISNUMBER(L2692),ISNUMBER(M2692)),L2692-M2692,"")</f>
        <v/>
      </c>
    </row>
    <row r="2693">
      <c r="N2693">
        <f>IF(AND(ISNUMBER(L2693),ISNUMBER(M2693)),L2693-M2693,"")</f>
        <v/>
      </c>
    </row>
    <row r="2694">
      <c r="N2694">
        <f>IF(AND(ISNUMBER(L2694),ISNUMBER(M2694)),L2694-M2694,"")</f>
        <v/>
      </c>
    </row>
    <row r="2695">
      <c r="N2695">
        <f>IF(AND(ISNUMBER(L2695),ISNUMBER(M2695)),L2695-M2695,"")</f>
        <v/>
      </c>
    </row>
    <row r="2696">
      <c r="N2696">
        <f>IF(AND(ISNUMBER(L2696),ISNUMBER(M2696)),L2696-M2696,"")</f>
        <v/>
      </c>
    </row>
    <row r="2697">
      <c r="N2697">
        <f>IF(AND(ISNUMBER(L2697),ISNUMBER(M2697)),L2697-M2697,"")</f>
        <v/>
      </c>
    </row>
    <row r="2698">
      <c r="N2698">
        <f>IF(AND(ISNUMBER(L2698),ISNUMBER(M2698)),L2698-M2698,"")</f>
        <v/>
      </c>
    </row>
    <row r="2699">
      <c r="N2699">
        <f>IF(AND(ISNUMBER(L2699),ISNUMBER(M2699)),L2699-M2699,"")</f>
        <v/>
      </c>
    </row>
    <row r="2700">
      <c r="N2700">
        <f>IF(AND(ISNUMBER(L2700),ISNUMBER(M2700)),L2700-M2700,"")</f>
        <v/>
      </c>
    </row>
    <row r="2701">
      <c r="N2701">
        <f>IF(AND(ISNUMBER(L2701),ISNUMBER(M2701)),L2701-M2701,"")</f>
        <v/>
      </c>
    </row>
    <row r="2702">
      <c r="N2702">
        <f>IF(AND(ISNUMBER(L2702),ISNUMBER(M2702)),L2702-M2702,"")</f>
        <v/>
      </c>
    </row>
    <row r="2703">
      <c r="N2703">
        <f>IF(AND(ISNUMBER(L2703),ISNUMBER(M2703)),L2703-M2703,"")</f>
        <v/>
      </c>
    </row>
    <row r="2704">
      <c r="N2704">
        <f>IF(AND(ISNUMBER(L2704),ISNUMBER(M2704)),L2704-M2704,"")</f>
        <v/>
      </c>
    </row>
    <row r="2705">
      <c r="N2705">
        <f>IF(AND(ISNUMBER(L2705),ISNUMBER(M2705)),L2705-M2705,"")</f>
        <v/>
      </c>
    </row>
    <row r="2706">
      <c r="N2706">
        <f>IF(AND(ISNUMBER(L2706),ISNUMBER(M2706)),L2706-M2706,"")</f>
        <v/>
      </c>
    </row>
    <row r="2707">
      <c r="N2707">
        <f>IF(AND(ISNUMBER(L2707),ISNUMBER(M2707)),L2707-M2707,"")</f>
        <v/>
      </c>
    </row>
    <row r="2708">
      <c r="N2708">
        <f>IF(AND(ISNUMBER(L2708),ISNUMBER(M2708)),L2708-M2708,"")</f>
        <v/>
      </c>
    </row>
    <row r="2709">
      <c r="N2709">
        <f>IF(AND(ISNUMBER(L2709),ISNUMBER(M2709)),L2709-M2709,"")</f>
        <v/>
      </c>
    </row>
    <row r="2710">
      <c r="N2710">
        <f>IF(AND(ISNUMBER(L2710),ISNUMBER(M2710)),L2710-M2710,"")</f>
        <v/>
      </c>
    </row>
    <row r="2711">
      <c r="N2711">
        <f>IF(AND(ISNUMBER(L2711),ISNUMBER(M2711)),L2711-M2711,"")</f>
        <v/>
      </c>
    </row>
    <row r="2712">
      <c r="N2712">
        <f>IF(AND(ISNUMBER(L2712),ISNUMBER(M2712)),L2712-M2712,"")</f>
        <v/>
      </c>
    </row>
    <row r="2713">
      <c r="N2713">
        <f>IF(AND(ISNUMBER(L2713),ISNUMBER(M2713)),L2713-M2713,"")</f>
        <v/>
      </c>
    </row>
    <row r="2714">
      <c r="N2714">
        <f>IF(AND(ISNUMBER(L2714),ISNUMBER(M2714)),L2714-M2714,"")</f>
        <v/>
      </c>
    </row>
    <row r="2715">
      <c r="N2715">
        <f>IF(AND(ISNUMBER(L2715),ISNUMBER(M2715)),L2715-M2715,"")</f>
        <v/>
      </c>
    </row>
    <row r="2716">
      <c r="N2716">
        <f>IF(AND(ISNUMBER(L2716),ISNUMBER(M2716)),L2716-M2716,"")</f>
        <v/>
      </c>
    </row>
    <row r="2717">
      <c r="N2717">
        <f>IF(AND(ISNUMBER(L2717),ISNUMBER(M2717)),L2717-M2717,"")</f>
        <v/>
      </c>
    </row>
    <row r="2718">
      <c r="N2718">
        <f>IF(AND(ISNUMBER(L2718),ISNUMBER(M2718)),L2718-M2718,"")</f>
        <v/>
      </c>
    </row>
    <row r="2719">
      <c r="N2719">
        <f>IF(AND(ISNUMBER(L2719),ISNUMBER(M2719)),L2719-M2719,"")</f>
        <v/>
      </c>
    </row>
    <row r="2720">
      <c r="N2720">
        <f>IF(AND(ISNUMBER(L2720),ISNUMBER(M2720)),L2720-M2720,"")</f>
        <v/>
      </c>
    </row>
    <row r="2721">
      <c r="N2721">
        <f>IF(AND(ISNUMBER(L2721),ISNUMBER(M2721)),L2721-M2721,"")</f>
        <v/>
      </c>
    </row>
    <row r="2722">
      <c r="N2722">
        <f>IF(AND(ISNUMBER(L2722),ISNUMBER(M2722)),L2722-M2722,"")</f>
        <v/>
      </c>
    </row>
    <row r="2723">
      <c r="N2723">
        <f>IF(AND(ISNUMBER(L2723),ISNUMBER(M2723)),L2723-M2723,"")</f>
        <v/>
      </c>
    </row>
    <row r="2724">
      <c r="N2724">
        <f>IF(AND(ISNUMBER(L2724),ISNUMBER(M2724)),L2724-M2724,"")</f>
        <v/>
      </c>
    </row>
    <row r="2725">
      <c r="N2725">
        <f>IF(AND(ISNUMBER(L2725),ISNUMBER(M2725)),L2725-M2725,"")</f>
        <v/>
      </c>
    </row>
    <row r="2726">
      <c r="N2726">
        <f>IF(AND(ISNUMBER(L2726),ISNUMBER(M2726)),L2726-M2726,"")</f>
        <v/>
      </c>
    </row>
    <row r="2727">
      <c r="N2727">
        <f>IF(AND(ISNUMBER(L2727),ISNUMBER(M2727)),L2727-M2727,"")</f>
        <v/>
      </c>
    </row>
    <row r="2728">
      <c r="N2728">
        <f>IF(AND(ISNUMBER(L2728),ISNUMBER(M2728)),L2728-M2728,"")</f>
        <v/>
      </c>
    </row>
    <row r="2729">
      <c r="N2729">
        <f>IF(AND(ISNUMBER(L2729),ISNUMBER(M2729)),L2729-M2729,"")</f>
        <v/>
      </c>
    </row>
    <row r="2730">
      <c r="N2730">
        <f>IF(AND(ISNUMBER(L2730),ISNUMBER(M2730)),L2730-M2730,"")</f>
        <v/>
      </c>
    </row>
    <row r="2731">
      <c r="N2731">
        <f>IF(AND(ISNUMBER(L2731),ISNUMBER(M2731)),L2731-M2731,"")</f>
        <v/>
      </c>
    </row>
    <row r="2732">
      <c r="N2732">
        <f>IF(AND(ISNUMBER(L2732),ISNUMBER(M2732)),L2732-M2732,"")</f>
        <v/>
      </c>
    </row>
    <row r="2733">
      <c r="N2733">
        <f>IF(AND(ISNUMBER(L2733),ISNUMBER(M2733)),L2733-M2733,"")</f>
        <v/>
      </c>
    </row>
    <row r="2734">
      <c r="N2734">
        <f>IF(AND(ISNUMBER(L2734),ISNUMBER(M2734)),L2734-M2734,"")</f>
        <v/>
      </c>
    </row>
    <row r="2735">
      <c r="N2735">
        <f>IF(AND(ISNUMBER(L2735),ISNUMBER(M2735)),L2735-M2735,"")</f>
        <v/>
      </c>
    </row>
    <row r="2736">
      <c r="N2736">
        <f>IF(AND(ISNUMBER(L2736),ISNUMBER(M2736)),L2736-M2736,"")</f>
        <v/>
      </c>
    </row>
    <row r="2737">
      <c r="N2737">
        <f>IF(AND(ISNUMBER(L2737),ISNUMBER(M2737)),L2737-M2737,"")</f>
        <v/>
      </c>
    </row>
    <row r="2738">
      <c r="N2738">
        <f>IF(AND(ISNUMBER(L2738),ISNUMBER(M2738)),L2738-M2738,"")</f>
        <v/>
      </c>
    </row>
    <row r="2739">
      <c r="N2739">
        <f>IF(AND(ISNUMBER(L2739),ISNUMBER(M2739)),L2739-M2739,"")</f>
        <v/>
      </c>
    </row>
    <row r="2740">
      <c r="N2740">
        <f>IF(AND(ISNUMBER(L2740),ISNUMBER(M2740)),L2740-M2740,"")</f>
        <v/>
      </c>
    </row>
    <row r="2741">
      <c r="N2741">
        <f>IF(AND(ISNUMBER(L2741),ISNUMBER(M2741)),L2741-M2741,"")</f>
        <v/>
      </c>
    </row>
    <row r="2742">
      <c r="N2742">
        <f>IF(AND(ISNUMBER(L2742),ISNUMBER(M2742)),L2742-M2742,"")</f>
        <v/>
      </c>
    </row>
    <row r="2743">
      <c r="N2743">
        <f>IF(AND(ISNUMBER(L2743),ISNUMBER(M2743)),L2743-M2743,"")</f>
        <v/>
      </c>
    </row>
    <row r="2744">
      <c r="N2744">
        <f>IF(AND(ISNUMBER(L2744),ISNUMBER(M2744)),L2744-M2744,"")</f>
        <v/>
      </c>
    </row>
    <row r="2745">
      <c r="N2745">
        <f>IF(AND(ISNUMBER(L2745),ISNUMBER(M2745)),L2745-M2745,"")</f>
        <v/>
      </c>
    </row>
    <row r="2746">
      <c r="N2746">
        <f>IF(AND(ISNUMBER(L2746),ISNUMBER(M2746)),L2746-M2746,"")</f>
        <v/>
      </c>
    </row>
    <row r="2747">
      <c r="N2747">
        <f>IF(AND(ISNUMBER(L2747),ISNUMBER(M2747)),L2747-M2747,"")</f>
        <v/>
      </c>
    </row>
    <row r="2748">
      <c r="N2748">
        <f>IF(AND(ISNUMBER(L2748),ISNUMBER(M2748)),L2748-M2748,"")</f>
        <v/>
      </c>
    </row>
    <row r="2749">
      <c r="N2749">
        <f>IF(AND(ISNUMBER(L2749),ISNUMBER(M2749)),L2749-M2749,"")</f>
        <v/>
      </c>
    </row>
    <row r="2750">
      <c r="N2750">
        <f>IF(AND(ISNUMBER(L2750),ISNUMBER(M2750)),L2750-M2750,"")</f>
        <v/>
      </c>
    </row>
    <row r="2751">
      <c r="N2751">
        <f>IF(AND(ISNUMBER(L2751),ISNUMBER(M2751)),L2751-M2751,"")</f>
        <v/>
      </c>
    </row>
    <row r="2752">
      <c r="N2752">
        <f>IF(AND(ISNUMBER(L2752),ISNUMBER(M2752)),L2752-M2752,"")</f>
        <v/>
      </c>
    </row>
    <row r="2753">
      <c r="N2753">
        <f>IF(AND(ISNUMBER(L2753),ISNUMBER(M2753)),L2753-M2753,"")</f>
        <v/>
      </c>
    </row>
    <row r="2754">
      <c r="N2754">
        <f>IF(AND(ISNUMBER(L2754),ISNUMBER(M2754)),L2754-M2754,"")</f>
        <v/>
      </c>
    </row>
    <row r="2755">
      <c r="N2755">
        <f>IF(AND(ISNUMBER(L2755),ISNUMBER(M2755)),L2755-M2755,"")</f>
        <v/>
      </c>
    </row>
    <row r="2756">
      <c r="N2756">
        <f>IF(AND(ISNUMBER(L2756),ISNUMBER(M2756)),L2756-M2756,"")</f>
        <v/>
      </c>
    </row>
    <row r="2757">
      <c r="N2757">
        <f>IF(AND(ISNUMBER(L2757),ISNUMBER(M2757)),L2757-M2757,"")</f>
        <v/>
      </c>
    </row>
    <row r="2758">
      <c r="N2758">
        <f>IF(AND(ISNUMBER(L2758),ISNUMBER(M2758)),L2758-M2758,"")</f>
        <v/>
      </c>
    </row>
    <row r="2759">
      <c r="N2759">
        <f>IF(AND(ISNUMBER(L2759),ISNUMBER(M2759)),L2759-M2759,"")</f>
        <v/>
      </c>
    </row>
    <row r="2760">
      <c r="N2760">
        <f>IF(AND(ISNUMBER(L2760),ISNUMBER(M2760)),L2760-M2760,"")</f>
        <v/>
      </c>
    </row>
    <row r="2761">
      <c r="N2761">
        <f>IF(AND(ISNUMBER(L2761),ISNUMBER(M2761)),L2761-M2761,"")</f>
        <v/>
      </c>
    </row>
    <row r="2762">
      <c r="N2762">
        <f>IF(AND(ISNUMBER(L2762),ISNUMBER(M2762)),L2762-M2762,"")</f>
        <v/>
      </c>
    </row>
    <row r="2763">
      <c r="N2763">
        <f>IF(AND(ISNUMBER(L2763),ISNUMBER(M2763)),L2763-M2763,"")</f>
        <v/>
      </c>
    </row>
    <row r="2764">
      <c r="N2764">
        <f>IF(AND(ISNUMBER(L2764),ISNUMBER(M2764)),L2764-M2764,"")</f>
        <v/>
      </c>
    </row>
    <row r="2765">
      <c r="N2765">
        <f>IF(AND(ISNUMBER(L2765),ISNUMBER(M2765)),L2765-M2765,"")</f>
        <v/>
      </c>
    </row>
    <row r="2766">
      <c r="N2766">
        <f>IF(AND(ISNUMBER(L2766),ISNUMBER(M2766)),L2766-M2766,"")</f>
        <v/>
      </c>
    </row>
    <row r="2767">
      <c r="N2767">
        <f>IF(AND(ISNUMBER(L2767),ISNUMBER(M2767)),L2767-M2767,"")</f>
        <v/>
      </c>
    </row>
    <row r="2768">
      <c r="N2768">
        <f>IF(AND(ISNUMBER(L2768),ISNUMBER(M2768)),L2768-M2768,"")</f>
        <v/>
      </c>
    </row>
    <row r="2769">
      <c r="N2769">
        <f>IF(AND(ISNUMBER(L2769),ISNUMBER(M2769)),L2769-M2769,"")</f>
        <v/>
      </c>
    </row>
    <row r="2770">
      <c r="N2770">
        <f>IF(AND(ISNUMBER(L2770),ISNUMBER(M2770)),L2770-M2770,"")</f>
        <v/>
      </c>
    </row>
    <row r="2771">
      <c r="N2771">
        <f>IF(AND(ISNUMBER(L2771),ISNUMBER(M2771)),L2771-M2771,"")</f>
        <v/>
      </c>
    </row>
    <row r="2772">
      <c r="N2772">
        <f>IF(AND(ISNUMBER(L2772),ISNUMBER(M2772)),L2772-M2772,"")</f>
        <v/>
      </c>
    </row>
    <row r="2773">
      <c r="N2773">
        <f>IF(AND(ISNUMBER(L2773),ISNUMBER(M2773)),L2773-M2773,"")</f>
        <v/>
      </c>
    </row>
    <row r="2774">
      <c r="N2774">
        <f>IF(AND(ISNUMBER(L2774),ISNUMBER(M2774)),L2774-M2774,"")</f>
        <v/>
      </c>
    </row>
    <row r="2775">
      <c r="N2775">
        <f>IF(AND(ISNUMBER(L2775),ISNUMBER(M2775)),L2775-M2775,"")</f>
        <v/>
      </c>
    </row>
    <row r="2776">
      <c r="N2776">
        <f>IF(AND(ISNUMBER(L2776),ISNUMBER(M2776)),L2776-M2776,"")</f>
        <v/>
      </c>
    </row>
    <row r="2777">
      <c r="N2777">
        <f>IF(AND(ISNUMBER(L2777),ISNUMBER(M2777)),L2777-M2777,"")</f>
        <v/>
      </c>
    </row>
    <row r="2778">
      <c r="N2778">
        <f>IF(AND(ISNUMBER(L2778),ISNUMBER(M2778)),L2778-M2778,"")</f>
        <v/>
      </c>
    </row>
    <row r="2779">
      <c r="N2779">
        <f>IF(AND(ISNUMBER(L2779),ISNUMBER(M2779)),L2779-M2779,"")</f>
        <v/>
      </c>
    </row>
    <row r="2780">
      <c r="N2780">
        <f>IF(AND(ISNUMBER(L2780),ISNUMBER(M2780)),L2780-M2780,"")</f>
        <v/>
      </c>
    </row>
    <row r="2781">
      <c r="N2781">
        <f>IF(AND(ISNUMBER(L2781),ISNUMBER(M2781)),L2781-M2781,"")</f>
        <v/>
      </c>
    </row>
    <row r="2782">
      <c r="N2782">
        <f>IF(AND(ISNUMBER(L2782),ISNUMBER(M2782)),L2782-M2782,"")</f>
        <v/>
      </c>
    </row>
    <row r="2783">
      <c r="N2783">
        <f>IF(AND(ISNUMBER(L2783),ISNUMBER(M2783)),L2783-M2783,"")</f>
        <v/>
      </c>
    </row>
    <row r="2784">
      <c r="N2784">
        <f>IF(AND(ISNUMBER(L2784),ISNUMBER(M2784)),L2784-M2784,"")</f>
        <v/>
      </c>
    </row>
    <row r="2785">
      <c r="N2785">
        <f>IF(AND(ISNUMBER(L2785),ISNUMBER(M2785)),L2785-M2785,"")</f>
        <v/>
      </c>
    </row>
    <row r="2786">
      <c r="N2786">
        <f>IF(AND(ISNUMBER(L2786),ISNUMBER(M2786)),L2786-M2786,"")</f>
        <v/>
      </c>
    </row>
    <row r="2787">
      <c r="N2787">
        <f>IF(AND(ISNUMBER(L2787),ISNUMBER(M2787)),L2787-M2787,"")</f>
        <v/>
      </c>
    </row>
    <row r="2788">
      <c r="N2788">
        <f>IF(AND(ISNUMBER(L2788),ISNUMBER(M2788)),L2788-M2788,"")</f>
        <v/>
      </c>
    </row>
    <row r="2789">
      <c r="N2789">
        <f>IF(AND(ISNUMBER(L2789),ISNUMBER(M2789)),L2789-M2789,"")</f>
        <v/>
      </c>
    </row>
    <row r="2790">
      <c r="N2790">
        <f>IF(AND(ISNUMBER(L2790),ISNUMBER(M2790)),L2790-M2790,"")</f>
        <v/>
      </c>
    </row>
    <row r="2791">
      <c r="N2791">
        <f>IF(AND(ISNUMBER(L2791),ISNUMBER(M2791)),L2791-M2791,"")</f>
        <v/>
      </c>
    </row>
    <row r="2792">
      <c r="N2792">
        <f>IF(AND(ISNUMBER(L2792),ISNUMBER(M2792)),L2792-M2792,"")</f>
        <v/>
      </c>
    </row>
    <row r="2793">
      <c r="N2793">
        <f>IF(AND(ISNUMBER(L2793),ISNUMBER(M2793)),L2793-M2793,"")</f>
        <v/>
      </c>
    </row>
    <row r="2794">
      <c r="N2794">
        <f>IF(AND(ISNUMBER(L2794),ISNUMBER(M2794)),L2794-M2794,"")</f>
        <v/>
      </c>
    </row>
    <row r="2795">
      <c r="N2795">
        <f>IF(AND(ISNUMBER(L2795),ISNUMBER(M2795)),L2795-M2795,"")</f>
        <v/>
      </c>
    </row>
    <row r="2796">
      <c r="N2796">
        <f>IF(AND(ISNUMBER(L2796),ISNUMBER(M2796)),L2796-M2796,"")</f>
        <v/>
      </c>
    </row>
    <row r="2797">
      <c r="N2797">
        <f>IF(AND(ISNUMBER(L2797),ISNUMBER(M2797)),L2797-M2797,"")</f>
        <v/>
      </c>
    </row>
    <row r="2798">
      <c r="N2798">
        <f>IF(AND(ISNUMBER(L2798),ISNUMBER(M2798)),L2798-M2798,"")</f>
        <v/>
      </c>
    </row>
    <row r="2799">
      <c r="N2799">
        <f>IF(AND(ISNUMBER(L2799),ISNUMBER(M2799)),L2799-M2799,"")</f>
        <v/>
      </c>
    </row>
    <row r="2800">
      <c r="N2800">
        <f>IF(AND(ISNUMBER(L2800),ISNUMBER(M2800)),L2800-M2800,"")</f>
        <v/>
      </c>
    </row>
    <row r="2801">
      <c r="N2801">
        <f>IF(AND(ISNUMBER(L2801),ISNUMBER(M2801)),L2801-M2801,"")</f>
        <v/>
      </c>
    </row>
    <row r="2802">
      <c r="N2802">
        <f>IF(AND(ISNUMBER(L2802),ISNUMBER(M2802)),L2802-M2802,"")</f>
        <v/>
      </c>
    </row>
    <row r="2803">
      <c r="N2803">
        <f>IF(AND(ISNUMBER(L2803),ISNUMBER(M2803)),L2803-M2803,"")</f>
        <v/>
      </c>
    </row>
    <row r="2804">
      <c r="N2804">
        <f>IF(AND(ISNUMBER(L2804),ISNUMBER(M2804)),L2804-M2804,"")</f>
        <v/>
      </c>
    </row>
    <row r="2805">
      <c r="N2805">
        <f>IF(AND(ISNUMBER(L2805),ISNUMBER(M2805)),L2805-M2805,"")</f>
        <v/>
      </c>
    </row>
    <row r="2806">
      <c r="N2806">
        <f>IF(AND(ISNUMBER(L2806),ISNUMBER(M2806)),L2806-M2806,"")</f>
        <v/>
      </c>
    </row>
    <row r="2807">
      <c r="N2807">
        <f>IF(AND(ISNUMBER(L2807),ISNUMBER(M2807)),L2807-M2807,"")</f>
        <v/>
      </c>
    </row>
    <row r="2808">
      <c r="N2808">
        <f>IF(AND(ISNUMBER(L2808),ISNUMBER(M2808)),L2808-M2808,"")</f>
        <v/>
      </c>
    </row>
    <row r="2809">
      <c r="N2809">
        <f>IF(AND(ISNUMBER(L2809),ISNUMBER(M2809)),L2809-M2809,"")</f>
        <v/>
      </c>
    </row>
    <row r="2810">
      <c r="N2810">
        <f>IF(AND(ISNUMBER(L2810),ISNUMBER(M2810)),L2810-M2810,"")</f>
        <v/>
      </c>
    </row>
    <row r="2811">
      <c r="N2811">
        <f>IF(AND(ISNUMBER(L2811),ISNUMBER(M2811)),L2811-M2811,"")</f>
        <v/>
      </c>
    </row>
    <row r="2812">
      <c r="N2812">
        <f>IF(AND(ISNUMBER(L2812),ISNUMBER(M2812)),L2812-M2812,"")</f>
        <v/>
      </c>
    </row>
    <row r="2813">
      <c r="N2813">
        <f>IF(AND(ISNUMBER(L2813),ISNUMBER(M2813)),L2813-M2813,"")</f>
        <v/>
      </c>
    </row>
    <row r="2814">
      <c r="N2814">
        <f>IF(AND(ISNUMBER(L2814),ISNUMBER(M2814)),L2814-M2814,"")</f>
        <v/>
      </c>
    </row>
    <row r="2815">
      <c r="N2815">
        <f>IF(AND(ISNUMBER(L2815),ISNUMBER(M2815)),L2815-M2815,"")</f>
        <v/>
      </c>
    </row>
    <row r="2816">
      <c r="N2816">
        <f>IF(AND(ISNUMBER(L2816),ISNUMBER(M2816)),L2816-M2816,"")</f>
        <v/>
      </c>
    </row>
    <row r="2817">
      <c r="N2817">
        <f>IF(AND(ISNUMBER(L2817),ISNUMBER(M2817)),L2817-M2817,"")</f>
        <v/>
      </c>
    </row>
    <row r="2818">
      <c r="N2818">
        <f>IF(AND(ISNUMBER(L2818),ISNUMBER(M2818)),L2818-M2818,"")</f>
        <v/>
      </c>
    </row>
    <row r="2819">
      <c r="N2819">
        <f>IF(AND(ISNUMBER(L2819),ISNUMBER(M2819)),L2819-M2819,"")</f>
        <v/>
      </c>
    </row>
    <row r="2820">
      <c r="N2820">
        <f>IF(AND(ISNUMBER(L2820),ISNUMBER(M2820)),L2820-M2820,"")</f>
        <v/>
      </c>
    </row>
    <row r="2821">
      <c r="N2821">
        <f>IF(AND(ISNUMBER(L2821),ISNUMBER(M2821)),L2821-M2821,"")</f>
        <v/>
      </c>
    </row>
    <row r="2822">
      <c r="N2822">
        <f>IF(AND(ISNUMBER(L2822),ISNUMBER(M2822)),L2822-M2822,"")</f>
        <v/>
      </c>
    </row>
    <row r="2823">
      <c r="N2823">
        <f>IF(AND(ISNUMBER(L2823),ISNUMBER(M2823)),L2823-M2823,"")</f>
        <v/>
      </c>
    </row>
    <row r="2824">
      <c r="N2824">
        <f>IF(AND(ISNUMBER(L2824),ISNUMBER(M2824)),L2824-M2824,"")</f>
        <v/>
      </c>
    </row>
    <row r="2825">
      <c r="N2825">
        <f>IF(AND(ISNUMBER(L2825),ISNUMBER(M2825)),L2825-M2825,"")</f>
        <v/>
      </c>
    </row>
    <row r="2826">
      <c r="N2826">
        <f>IF(AND(ISNUMBER(L2826),ISNUMBER(M2826)),L2826-M2826,"")</f>
        <v/>
      </c>
    </row>
    <row r="2827">
      <c r="N2827">
        <f>IF(AND(ISNUMBER(L2827),ISNUMBER(M2827)),L2827-M2827,"")</f>
        <v/>
      </c>
    </row>
    <row r="2828">
      <c r="N2828">
        <f>IF(AND(ISNUMBER(L2828),ISNUMBER(M2828)),L2828-M2828,"")</f>
        <v/>
      </c>
    </row>
    <row r="2829">
      <c r="N2829">
        <f>IF(AND(ISNUMBER(L2829),ISNUMBER(M2829)),L2829-M2829,"")</f>
        <v/>
      </c>
    </row>
    <row r="2830">
      <c r="N2830">
        <f>IF(AND(ISNUMBER(L2830),ISNUMBER(M2830)),L2830-M2830,"")</f>
        <v/>
      </c>
    </row>
    <row r="2831">
      <c r="N2831">
        <f>IF(AND(ISNUMBER(L2831),ISNUMBER(M2831)),L2831-M2831,"")</f>
        <v/>
      </c>
    </row>
    <row r="2832">
      <c r="N2832">
        <f>IF(AND(ISNUMBER(L2832),ISNUMBER(M2832)),L2832-M2832,"")</f>
        <v/>
      </c>
    </row>
    <row r="2833">
      <c r="N2833">
        <f>IF(AND(ISNUMBER(L2833),ISNUMBER(M2833)),L2833-M2833,"")</f>
        <v/>
      </c>
    </row>
    <row r="2834">
      <c r="N2834">
        <f>IF(AND(ISNUMBER(L2834),ISNUMBER(M2834)),L2834-M2834,"")</f>
        <v/>
      </c>
    </row>
    <row r="2835">
      <c r="N2835">
        <f>IF(AND(ISNUMBER(L2835),ISNUMBER(M2835)),L2835-M2835,"")</f>
        <v/>
      </c>
    </row>
    <row r="2836">
      <c r="N2836">
        <f>IF(AND(ISNUMBER(L2836),ISNUMBER(M2836)),L2836-M2836,"")</f>
        <v/>
      </c>
    </row>
    <row r="2837">
      <c r="N2837">
        <f>IF(AND(ISNUMBER(L2837),ISNUMBER(M2837)),L2837-M2837,"")</f>
        <v/>
      </c>
    </row>
    <row r="2838">
      <c r="N2838">
        <f>IF(AND(ISNUMBER(L2838),ISNUMBER(M2838)),L2838-M2838,"")</f>
        <v/>
      </c>
    </row>
    <row r="2839">
      <c r="N2839">
        <f>IF(AND(ISNUMBER(L2839),ISNUMBER(M2839)),L2839-M2839,"")</f>
        <v/>
      </c>
    </row>
    <row r="2840">
      <c r="N2840">
        <f>IF(AND(ISNUMBER(L2840),ISNUMBER(M2840)),L2840-M2840,"")</f>
        <v/>
      </c>
    </row>
    <row r="2841">
      <c r="N2841">
        <f>IF(AND(ISNUMBER(L2841),ISNUMBER(M2841)),L2841-M2841,"")</f>
        <v/>
      </c>
    </row>
    <row r="2842">
      <c r="N2842">
        <f>IF(AND(ISNUMBER(L2842),ISNUMBER(M2842)),L2842-M2842,"")</f>
        <v/>
      </c>
    </row>
    <row r="2843">
      <c r="N2843">
        <f>IF(AND(ISNUMBER(L2843),ISNUMBER(M2843)),L2843-M2843,"")</f>
        <v/>
      </c>
    </row>
    <row r="2844">
      <c r="N2844">
        <f>IF(AND(ISNUMBER(L2844),ISNUMBER(M2844)),L2844-M2844,"")</f>
        <v/>
      </c>
    </row>
    <row r="2845">
      <c r="N2845">
        <f>IF(AND(ISNUMBER(L2845),ISNUMBER(M2845)),L2845-M2845,"")</f>
        <v/>
      </c>
    </row>
    <row r="2846">
      <c r="N2846">
        <f>IF(AND(ISNUMBER(L2846),ISNUMBER(M2846)),L2846-M2846,"")</f>
        <v/>
      </c>
    </row>
    <row r="2847">
      <c r="N2847">
        <f>IF(AND(ISNUMBER(L2847),ISNUMBER(M2847)),L2847-M2847,"")</f>
        <v/>
      </c>
    </row>
    <row r="2848">
      <c r="N2848">
        <f>IF(AND(ISNUMBER(L2848),ISNUMBER(M2848)),L2848-M2848,"")</f>
        <v/>
      </c>
    </row>
    <row r="2849">
      <c r="N2849">
        <f>IF(AND(ISNUMBER(L2849),ISNUMBER(M2849)),L2849-M2849,"")</f>
        <v/>
      </c>
    </row>
    <row r="2850">
      <c r="N2850">
        <f>IF(AND(ISNUMBER(L2850),ISNUMBER(M2850)),L2850-M2850,"")</f>
        <v/>
      </c>
    </row>
    <row r="2851">
      <c r="N2851">
        <f>IF(AND(ISNUMBER(L2851),ISNUMBER(M2851)),L2851-M2851,"")</f>
        <v/>
      </c>
    </row>
    <row r="2852">
      <c r="N2852">
        <f>IF(AND(ISNUMBER(L2852),ISNUMBER(M2852)),L2852-M2852,"")</f>
        <v/>
      </c>
    </row>
    <row r="2853">
      <c r="N2853">
        <f>IF(AND(ISNUMBER(L2853),ISNUMBER(M2853)),L2853-M2853,"")</f>
        <v/>
      </c>
    </row>
    <row r="2854">
      <c r="N2854">
        <f>IF(AND(ISNUMBER(L2854),ISNUMBER(M2854)),L2854-M2854,"")</f>
        <v/>
      </c>
    </row>
    <row r="2855">
      <c r="N2855">
        <f>IF(AND(ISNUMBER(L2855),ISNUMBER(M2855)),L2855-M2855,"")</f>
        <v/>
      </c>
    </row>
    <row r="2856">
      <c r="N2856">
        <f>IF(AND(ISNUMBER(L2856),ISNUMBER(M2856)),L2856-M2856,"")</f>
        <v/>
      </c>
    </row>
    <row r="2857">
      <c r="N2857">
        <f>IF(AND(ISNUMBER(L2857),ISNUMBER(M2857)),L2857-M2857,"")</f>
        <v/>
      </c>
    </row>
    <row r="2858">
      <c r="N2858">
        <f>IF(AND(ISNUMBER(L2858),ISNUMBER(M2858)),L2858-M2858,"")</f>
        <v/>
      </c>
    </row>
    <row r="2859">
      <c r="N2859">
        <f>IF(AND(ISNUMBER(L2859),ISNUMBER(M2859)),L2859-M2859,"")</f>
        <v/>
      </c>
    </row>
    <row r="2860">
      <c r="N2860">
        <f>IF(AND(ISNUMBER(L2860),ISNUMBER(M2860)),L2860-M2860,"")</f>
        <v/>
      </c>
    </row>
    <row r="2861">
      <c r="N2861">
        <f>IF(AND(ISNUMBER(L2861),ISNUMBER(M2861)),L2861-M2861,"")</f>
        <v/>
      </c>
    </row>
    <row r="2862">
      <c r="N2862">
        <f>IF(AND(ISNUMBER(L2862),ISNUMBER(M2862)),L2862-M2862,"")</f>
        <v/>
      </c>
    </row>
    <row r="2863">
      <c r="N2863">
        <f>IF(AND(ISNUMBER(L2863),ISNUMBER(M2863)),L2863-M2863,"")</f>
        <v/>
      </c>
    </row>
    <row r="2864">
      <c r="N2864">
        <f>IF(AND(ISNUMBER(L2864),ISNUMBER(M2864)),L2864-M2864,"")</f>
        <v/>
      </c>
    </row>
    <row r="2865">
      <c r="N2865">
        <f>IF(AND(ISNUMBER(L2865),ISNUMBER(M2865)),L2865-M2865,"")</f>
        <v/>
      </c>
    </row>
    <row r="2866">
      <c r="N2866">
        <f>IF(AND(ISNUMBER(L2866),ISNUMBER(M2866)),L2866-M2866,"")</f>
        <v/>
      </c>
    </row>
    <row r="2867">
      <c r="N2867">
        <f>IF(AND(ISNUMBER(L2867),ISNUMBER(M2867)),L2867-M2867,"")</f>
        <v/>
      </c>
    </row>
    <row r="2868">
      <c r="N2868">
        <f>IF(AND(ISNUMBER(L2868),ISNUMBER(M2868)),L2868-M2868,"")</f>
        <v/>
      </c>
    </row>
    <row r="2869">
      <c r="N2869">
        <f>IF(AND(ISNUMBER(L2869),ISNUMBER(M2869)),L2869-M2869,"")</f>
        <v/>
      </c>
    </row>
    <row r="2870">
      <c r="N2870">
        <f>IF(AND(ISNUMBER(L2870),ISNUMBER(M2870)),L2870-M2870,"")</f>
        <v/>
      </c>
    </row>
    <row r="2871">
      <c r="N2871">
        <f>IF(AND(ISNUMBER(L2871),ISNUMBER(M2871)),L2871-M2871,"")</f>
        <v/>
      </c>
    </row>
    <row r="2872">
      <c r="N2872">
        <f>IF(AND(ISNUMBER(L2872),ISNUMBER(M2872)),L2872-M2872,"")</f>
        <v/>
      </c>
    </row>
    <row r="2873">
      <c r="N2873">
        <f>IF(AND(ISNUMBER(L2873),ISNUMBER(M2873)),L2873-M2873,"")</f>
        <v/>
      </c>
    </row>
    <row r="2874">
      <c r="N2874">
        <f>IF(AND(ISNUMBER(L2874),ISNUMBER(M2874)),L2874-M2874,"")</f>
        <v/>
      </c>
    </row>
    <row r="2875">
      <c r="N2875">
        <f>IF(AND(ISNUMBER(L2875),ISNUMBER(M2875)),L2875-M2875,"")</f>
        <v/>
      </c>
    </row>
    <row r="2876">
      <c r="N2876">
        <f>IF(AND(ISNUMBER(L2876),ISNUMBER(M2876)),L2876-M2876,"")</f>
        <v/>
      </c>
    </row>
    <row r="2877">
      <c r="N2877">
        <f>IF(AND(ISNUMBER(L2877),ISNUMBER(M2877)),L2877-M2877,"")</f>
        <v/>
      </c>
    </row>
    <row r="2878">
      <c r="N2878">
        <f>IF(AND(ISNUMBER(L2878),ISNUMBER(M2878)),L2878-M2878,"")</f>
        <v/>
      </c>
    </row>
    <row r="2879">
      <c r="N2879">
        <f>IF(AND(ISNUMBER(L2879),ISNUMBER(M2879)),L2879-M2879,"")</f>
        <v/>
      </c>
    </row>
    <row r="2880">
      <c r="N2880">
        <f>IF(AND(ISNUMBER(L2880),ISNUMBER(M2880)),L2880-M2880,"")</f>
        <v/>
      </c>
    </row>
    <row r="2881">
      <c r="N2881">
        <f>IF(AND(ISNUMBER(L2881),ISNUMBER(M2881)),L2881-M2881,"")</f>
        <v/>
      </c>
    </row>
    <row r="2882">
      <c r="N2882">
        <f>IF(AND(ISNUMBER(L2882),ISNUMBER(M2882)),L2882-M2882,"")</f>
        <v/>
      </c>
    </row>
    <row r="2883">
      <c r="N2883">
        <f>IF(AND(ISNUMBER(L2883),ISNUMBER(M2883)),L2883-M2883,"")</f>
        <v/>
      </c>
    </row>
    <row r="2884">
      <c r="N2884">
        <f>IF(AND(ISNUMBER(L2884),ISNUMBER(M2884)),L2884-M2884,"")</f>
        <v/>
      </c>
    </row>
    <row r="2885">
      <c r="N2885">
        <f>IF(AND(ISNUMBER(L2885),ISNUMBER(M2885)),L2885-M2885,"")</f>
        <v/>
      </c>
    </row>
    <row r="2886">
      <c r="N2886">
        <f>IF(AND(ISNUMBER(L2886),ISNUMBER(M2886)),L2886-M2886,"")</f>
        <v/>
      </c>
    </row>
    <row r="2887">
      <c r="N2887">
        <f>IF(AND(ISNUMBER(L2887),ISNUMBER(M2887)),L2887-M2887,"")</f>
        <v/>
      </c>
    </row>
    <row r="2888">
      <c r="N2888">
        <f>IF(AND(ISNUMBER(L2888),ISNUMBER(M2888)),L2888-M2888,"")</f>
        <v/>
      </c>
    </row>
    <row r="2889">
      <c r="N2889">
        <f>IF(AND(ISNUMBER(L2889),ISNUMBER(M2889)),L2889-M2889,"")</f>
        <v/>
      </c>
    </row>
    <row r="2890">
      <c r="N2890">
        <f>IF(AND(ISNUMBER(L2890),ISNUMBER(M2890)),L2890-M2890,"")</f>
        <v/>
      </c>
    </row>
    <row r="2891">
      <c r="N2891">
        <f>IF(AND(ISNUMBER(L2891),ISNUMBER(M2891)),L2891-M2891,"")</f>
        <v/>
      </c>
    </row>
    <row r="2892">
      <c r="N2892">
        <f>IF(AND(ISNUMBER(L2892),ISNUMBER(M2892)),L2892-M2892,"")</f>
        <v/>
      </c>
    </row>
    <row r="2893">
      <c r="N2893">
        <f>IF(AND(ISNUMBER(L2893),ISNUMBER(M2893)),L2893-M2893,"")</f>
        <v/>
      </c>
    </row>
    <row r="2894">
      <c r="N2894">
        <f>IF(AND(ISNUMBER(L2894),ISNUMBER(M2894)),L2894-M2894,"")</f>
        <v/>
      </c>
    </row>
    <row r="2895">
      <c r="N2895">
        <f>IF(AND(ISNUMBER(L2895),ISNUMBER(M2895)),L2895-M2895,"")</f>
        <v/>
      </c>
    </row>
    <row r="2896">
      <c r="N2896">
        <f>IF(AND(ISNUMBER(L2896),ISNUMBER(M2896)),L2896-M2896,"")</f>
        <v/>
      </c>
    </row>
    <row r="2897">
      <c r="N2897">
        <f>IF(AND(ISNUMBER(L2897),ISNUMBER(M2897)),L2897-M2897,"")</f>
        <v/>
      </c>
    </row>
    <row r="2898">
      <c r="N2898">
        <f>IF(AND(ISNUMBER(L2898),ISNUMBER(M2898)),L2898-M2898,"")</f>
        <v/>
      </c>
    </row>
    <row r="2899">
      <c r="N2899">
        <f>IF(AND(ISNUMBER(L2899),ISNUMBER(M2899)),L2899-M2899,"")</f>
        <v/>
      </c>
    </row>
    <row r="2900">
      <c r="N2900">
        <f>IF(AND(ISNUMBER(L2900),ISNUMBER(M2900)),L2900-M2900,"")</f>
        <v/>
      </c>
    </row>
    <row r="2901">
      <c r="N2901">
        <f>IF(AND(ISNUMBER(L2901),ISNUMBER(M2901)),L2901-M2901,"")</f>
        <v/>
      </c>
    </row>
    <row r="2902">
      <c r="N2902">
        <f>IF(AND(ISNUMBER(L2902),ISNUMBER(M2902)),L2902-M2902,"")</f>
        <v/>
      </c>
    </row>
    <row r="2903">
      <c r="N2903">
        <f>IF(AND(ISNUMBER(L2903),ISNUMBER(M2903)),L2903-M2903,"")</f>
        <v/>
      </c>
    </row>
    <row r="2904">
      <c r="N2904">
        <f>IF(AND(ISNUMBER(L2904),ISNUMBER(M2904)),L2904-M2904,"")</f>
        <v/>
      </c>
    </row>
    <row r="2905">
      <c r="N2905">
        <f>IF(AND(ISNUMBER(L2905),ISNUMBER(M2905)),L2905-M2905,"")</f>
        <v/>
      </c>
    </row>
    <row r="2906">
      <c r="N2906">
        <f>IF(AND(ISNUMBER(L2906),ISNUMBER(M2906)),L2906-M2906,"")</f>
        <v/>
      </c>
    </row>
    <row r="2907">
      <c r="N2907">
        <f>IF(AND(ISNUMBER(L2907),ISNUMBER(M2907)),L2907-M2907,"")</f>
        <v/>
      </c>
    </row>
    <row r="2908">
      <c r="N2908">
        <f>IF(AND(ISNUMBER(L2908),ISNUMBER(M2908)),L2908-M2908,"")</f>
        <v/>
      </c>
    </row>
    <row r="2909">
      <c r="N2909">
        <f>IF(AND(ISNUMBER(L2909),ISNUMBER(M2909)),L2909-M2909,"")</f>
        <v/>
      </c>
    </row>
    <row r="2910">
      <c r="N2910">
        <f>IF(AND(ISNUMBER(L2910),ISNUMBER(M2910)),L2910-M2910,"")</f>
        <v/>
      </c>
    </row>
    <row r="2911">
      <c r="N2911">
        <f>IF(AND(ISNUMBER(L2911),ISNUMBER(M2911)),L2911-M2911,"")</f>
        <v/>
      </c>
    </row>
    <row r="2912">
      <c r="N2912">
        <f>IF(AND(ISNUMBER(L2912),ISNUMBER(M2912)),L2912-M2912,"")</f>
        <v/>
      </c>
    </row>
    <row r="2913">
      <c r="N2913">
        <f>IF(AND(ISNUMBER(L2913),ISNUMBER(M2913)),L2913-M2913,"")</f>
        <v/>
      </c>
    </row>
    <row r="2914">
      <c r="N2914">
        <f>IF(AND(ISNUMBER(L2914),ISNUMBER(M2914)),L2914-M2914,"")</f>
        <v/>
      </c>
    </row>
    <row r="2915">
      <c r="N2915">
        <f>IF(AND(ISNUMBER(L2915),ISNUMBER(M2915)),L2915-M2915,"")</f>
        <v/>
      </c>
    </row>
    <row r="2916">
      <c r="N2916">
        <f>IF(AND(ISNUMBER(L2916),ISNUMBER(M2916)),L2916-M2916,"")</f>
        <v/>
      </c>
    </row>
    <row r="2917">
      <c r="N2917">
        <f>IF(AND(ISNUMBER(L2917),ISNUMBER(M2917)),L2917-M2917,"")</f>
        <v/>
      </c>
    </row>
    <row r="2918">
      <c r="N2918">
        <f>IF(AND(ISNUMBER(L2918),ISNUMBER(M2918)),L2918-M2918,"")</f>
        <v/>
      </c>
    </row>
    <row r="2919">
      <c r="N2919">
        <f>IF(AND(ISNUMBER(L2919),ISNUMBER(M2919)),L2919-M2919,"")</f>
        <v/>
      </c>
    </row>
    <row r="2920">
      <c r="N2920">
        <f>IF(AND(ISNUMBER(L2920),ISNUMBER(M2920)),L2920-M2920,"")</f>
        <v/>
      </c>
    </row>
    <row r="2921">
      <c r="N2921">
        <f>IF(AND(ISNUMBER(L2921),ISNUMBER(M2921)),L2921-M2921,"")</f>
        <v/>
      </c>
    </row>
    <row r="2922">
      <c r="N2922">
        <f>IF(AND(ISNUMBER(L2922),ISNUMBER(M2922)),L2922-M2922,"")</f>
        <v/>
      </c>
    </row>
    <row r="2923">
      <c r="N2923">
        <f>IF(AND(ISNUMBER(L2923),ISNUMBER(M2923)),L2923-M2923,"")</f>
        <v/>
      </c>
    </row>
    <row r="2924">
      <c r="N2924">
        <f>IF(AND(ISNUMBER(L2924),ISNUMBER(M2924)),L2924-M2924,"")</f>
        <v/>
      </c>
    </row>
    <row r="2925">
      <c r="N2925">
        <f>IF(AND(ISNUMBER(L2925),ISNUMBER(M2925)),L2925-M2925,"")</f>
        <v/>
      </c>
    </row>
    <row r="2926">
      <c r="N2926">
        <f>IF(AND(ISNUMBER(L2926),ISNUMBER(M2926)),L2926-M2926,"")</f>
        <v/>
      </c>
    </row>
    <row r="2927">
      <c r="N2927">
        <f>IF(AND(ISNUMBER(L2927),ISNUMBER(M2927)),L2927-M2927,"")</f>
        <v/>
      </c>
    </row>
    <row r="2928">
      <c r="N2928">
        <f>IF(AND(ISNUMBER(L2928),ISNUMBER(M2928)),L2928-M2928,"")</f>
        <v/>
      </c>
    </row>
    <row r="2929">
      <c r="N2929">
        <f>IF(AND(ISNUMBER(L2929),ISNUMBER(M2929)),L2929-M2929,"")</f>
        <v/>
      </c>
    </row>
    <row r="2930">
      <c r="N2930">
        <f>IF(AND(ISNUMBER(L2930),ISNUMBER(M2930)),L2930-M2930,"")</f>
        <v/>
      </c>
    </row>
    <row r="2931">
      <c r="N2931">
        <f>IF(AND(ISNUMBER(L2931),ISNUMBER(M2931)),L2931-M2931,"")</f>
        <v/>
      </c>
    </row>
    <row r="2932">
      <c r="N2932">
        <f>IF(AND(ISNUMBER(L2932),ISNUMBER(M2932)),L2932-M2932,"")</f>
        <v/>
      </c>
    </row>
    <row r="2933">
      <c r="N2933">
        <f>IF(AND(ISNUMBER(L2933),ISNUMBER(M2933)),L2933-M2933,"")</f>
        <v/>
      </c>
    </row>
    <row r="2934">
      <c r="N2934">
        <f>IF(AND(ISNUMBER(L2934),ISNUMBER(M2934)),L2934-M2934,"")</f>
        <v/>
      </c>
    </row>
    <row r="2935">
      <c r="N2935">
        <f>IF(AND(ISNUMBER(L2935),ISNUMBER(M2935)),L2935-M2935,"")</f>
        <v/>
      </c>
    </row>
    <row r="2936">
      <c r="N2936">
        <f>IF(AND(ISNUMBER(L2936),ISNUMBER(M2936)),L2936-M2936,"")</f>
        <v/>
      </c>
    </row>
    <row r="2937">
      <c r="N2937">
        <f>IF(AND(ISNUMBER(L2937),ISNUMBER(M2937)),L2937-M2937,"")</f>
        <v/>
      </c>
    </row>
    <row r="2938">
      <c r="N2938">
        <f>IF(AND(ISNUMBER(L2938),ISNUMBER(M2938)),L2938-M2938,"")</f>
        <v/>
      </c>
    </row>
    <row r="2939">
      <c r="N2939">
        <f>IF(AND(ISNUMBER(L2939),ISNUMBER(M2939)),L2939-M2939,"")</f>
        <v/>
      </c>
    </row>
    <row r="2940">
      <c r="N2940">
        <f>IF(AND(ISNUMBER(L2940),ISNUMBER(M2940)),L2940-M2940,"")</f>
        <v/>
      </c>
    </row>
    <row r="2941">
      <c r="N2941">
        <f>IF(AND(ISNUMBER(L2941),ISNUMBER(M2941)),L2941-M2941,"")</f>
        <v/>
      </c>
    </row>
    <row r="2942">
      <c r="N2942">
        <f>IF(AND(ISNUMBER(L2942),ISNUMBER(M2942)),L2942-M2942,"")</f>
        <v/>
      </c>
    </row>
    <row r="2943">
      <c r="N2943">
        <f>IF(AND(ISNUMBER(L2943),ISNUMBER(M2943)),L2943-M2943,"")</f>
        <v/>
      </c>
    </row>
    <row r="2944">
      <c r="N2944">
        <f>IF(AND(ISNUMBER(L2944),ISNUMBER(M2944)),L2944-M2944,"")</f>
        <v/>
      </c>
    </row>
    <row r="2945">
      <c r="N2945">
        <f>IF(AND(ISNUMBER(L2945),ISNUMBER(M2945)),L2945-M2945,"")</f>
        <v/>
      </c>
    </row>
    <row r="2946">
      <c r="N2946">
        <f>IF(AND(ISNUMBER(L2946),ISNUMBER(M2946)),L2946-M2946,"")</f>
        <v/>
      </c>
    </row>
    <row r="2947">
      <c r="N2947">
        <f>IF(AND(ISNUMBER(L2947),ISNUMBER(M2947)),L2947-M2947,"")</f>
        <v/>
      </c>
    </row>
    <row r="2948">
      <c r="N2948">
        <f>IF(AND(ISNUMBER(L2948),ISNUMBER(M2948)),L2948-M2948,"")</f>
        <v/>
      </c>
    </row>
    <row r="2949">
      <c r="N2949">
        <f>IF(AND(ISNUMBER(L2949),ISNUMBER(M2949)),L2949-M2949,"")</f>
        <v/>
      </c>
    </row>
    <row r="2950">
      <c r="N2950">
        <f>IF(AND(ISNUMBER(L2950),ISNUMBER(M2950)),L2950-M2950,"")</f>
        <v/>
      </c>
    </row>
    <row r="2951">
      <c r="N2951">
        <f>IF(AND(ISNUMBER(L2951),ISNUMBER(M2951)),L2951-M2951,"")</f>
        <v/>
      </c>
    </row>
    <row r="2952">
      <c r="N2952">
        <f>IF(AND(ISNUMBER(L2952),ISNUMBER(M2952)),L2952-M2952,"")</f>
        <v/>
      </c>
    </row>
    <row r="2953">
      <c r="N2953">
        <f>IF(AND(ISNUMBER(L2953),ISNUMBER(M2953)),L2953-M2953,"")</f>
        <v/>
      </c>
    </row>
    <row r="2954">
      <c r="N2954">
        <f>IF(AND(ISNUMBER(L2954),ISNUMBER(M2954)),L2954-M2954,"")</f>
        <v/>
      </c>
    </row>
    <row r="2955">
      <c r="N2955">
        <f>IF(AND(ISNUMBER(L2955),ISNUMBER(M2955)),L2955-M2955,"")</f>
        <v/>
      </c>
    </row>
    <row r="2956">
      <c r="N2956">
        <f>IF(AND(ISNUMBER(L2956),ISNUMBER(M2956)),L2956-M2956,"")</f>
        <v/>
      </c>
    </row>
    <row r="2957">
      <c r="N2957">
        <f>IF(AND(ISNUMBER(L2957),ISNUMBER(M2957)),L2957-M2957,"")</f>
        <v/>
      </c>
    </row>
    <row r="2958">
      <c r="N2958">
        <f>IF(AND(ISNUMBER(L2958),ISNUMBER(M2958)),L2958-M2958,"")</f>
        <v/>
      </c>
    </row>
    <row r="2959">
      <c r="N2959">
        <f>IF(AND(ISNUMBER(L2959),ISNUMBER(M2959)),L2959-M2959,"")</f>
        <v/>
      </c>
    </row>
    <row r="2960">
      <c r="N2960">
        <f>IF(AND(ISNUMBER(L2960),ISNUMBER(M2960)),L2960-M2960,"")</f>
        <v/>
      </c>
    </row>
    <row r="2961">
      <c r="N2961">
        <f>IF(AND(ISNUMBER(L2961),ISNUMBER(M2961)),L2961-M2961,"")</f>
        <v/>
      </c>
    </row>
    <row r="2962">
      <c r="N2962">
        <f>IF(AND(ISNUMBER(L2962),ISNUMBER(M2962)),L2962-M2962,"")</f>
        <v/>
      </c>
    </row>
    <row r="2963">
      <c r="N2963">
        <f>IF(AND(ISNUMBER(L2963),ISNUMBER(M2963)),L2963-M2963,"")</f>
        <v/>
      </c>
    </row>
    <row r="2964">
      <c r="N2964">
        <f>IF(AND(ISNUMBER(L2964),ISNUMBER(M2964)),L2964-M2964,"")</f>
        <v/>
      </c>
    </row>
    <row r="2965">
      <c r="N2965">
        <f>IF(AND(ISNUMBER(L2965),ISNUMBER(M2965)),L2965-M2965,"")</f>
        <v/>
      </c>
    </row>
    <row r="2966">
      <c r="N2966">
        <f>IF(AND(ISNUMBER(L2966),ISNUMBER(M2966)),L2966-M2966,"")</f>
        <v/>
      </c>
    </row>
    <row r="2967">
      <c r="N2967">
        <f>IF(AND(ISNUMBER(L2967),ISNUMBER(M2967)),L2967-M2967,"")</f>
        <v/>
      </c>
    </row>
    <row r="2968">
      <c r="N2968">
        <f>IF(AND(ISNUMBER(L2968),ISNUMBER(M2968)),L2968-M2968,"")</f>
        <v/>
      </c>
    </row>
    <row r="2969">
      <c r="N2969">
        <f>IF(AND(ISNUMBER(L2969),ISNUMBER(M2969)),L2969-M2969,"")</f>
        <v/>
      </c>
    </row>
    <row r="2970">
      <c r="N2970">
        <f>IF(AND(ISNUMBER(L2970),ISNUMBER(M2970)),L2970-M2970,"")</f>
        <v/>
      </c>
    </row>
    <row r="2971">
      <c r="N2971">
        <f>IF(AND(ISNUMBER(L2971),ISNUMBER(M2971)),L2971-M2971,"")</f>
        <v/>
      </c>
    </row>
    <row r="2972">
      <c r="N2972">
        <f>IF(AND(ISNUMBER(L2972),ISNUMBER(M2972)),L2972-M2972,"")</f>
        <v/>
      </c>
    </row>
    <row r="2973">
      <c r="N2973">
        <f>IF(AND(ISNUMBER(L2973),ISNUMBER(M2973)),L2973-M2973,"")</f>
        <v/>
      </c>
    </row>
    <row r="2974">
      <c r="N2974">
        <f>IF(AND(ISNUMBER(L2974),ISNUMBER(M2974)),L2974-M2974,"")</f>
        <v/>
      </c>
    </row>
    <row r="2975">
      <c r="N2975">
        <f>IF(AND(ISNUMBER(L2975),ISNUMBER(M2975)),L2975-M2975,"")</f>
        <v/>
      </c>
    </row>
    <row r="2976">
      <c r="N2976">
        <f>IF(AND(ISNUMBER(L2976),ISNUMBER(M2976)),L2976-M2976,"")</f>
        <v/>
      </c>
    </row>
    <row r="2977">
      <c r="N2977">
        <f>IF(AND(ISNUMBER(L2977),ISNUMBER(M2977)),L2977-M2977,"")</f>
        <v/>
      </c>
    </row>
    <row r="2978">
      <c r="N2978">
        <f>IF(AND(ISNUMBER(L2978),ISNUMBER(M2978)),L2978-M2978,"")</f>
        <v/>
      </c>
    </row>
    <row r="2979">
      <c r="N2979">
        <f>IF(AND(ISNUMBER(L2979),ISNUMBER(M2979)),L2979-M2979,"")</f>
        <v/>
      </c>
    </row>
    <row r="2980">
      <c r="N2980">
        <f>IF(AND(ISNUMBER(L2980),ISNUMBER(M2980)),L2980-M2980,"")</f>
        <v/>
      </c>
    </row>
    <row r="2981">
      <c r="N2981">
        <f>IF(AND(ISNUMBER(L2981),ISNUMBER(M2981)),L2981-M2981,"")</f>
        <v/>
      </c>
    </row>
    <row r="2982">
      <c r="N2982">
        <f>IF(AND(ISNUMBER(L2982),ISNUMBER(M2982)),L2982-M2982,"")</f>
        <v/>
      </c>
    </row>
    <row r="2983">
      <c r="N2983">
        <f>IF(AND(ISNUMBER(L2983),ISNUMBER(M2983)),L2983-M2983,"")</f>
        <v/>
      </c>
    </row>
    <row r="2984">
      <c r="N2984">
        <f>IF(AND(ISNUMBER(L2984),ISNUMBER(M2984)),L2984-M2984,"")</f>
        <v/>
      </c>
    </row>
    <row r="2985">
      <c r="N2985">
        <f>IF(AND(ISNUMBER(L2985),ISNUMBER(M2985)),L2985-M2985,"")</f>
        <v/>
      </c>
    </row>
    <row r="2986">
      <c r="N2986">
        <f>IF(AND(ISNUMBER(L2986),ISNUMBER(M2986)),L2986-M2986,"")</f>
        <v/>
      </c>
    </row>
    <row r="2987">
      <c r="N2987">
        <f>IF(AND(ISNUMBER(L2987),ISNUMBER(M2987)),L2987-M2987,"")</f>
        <v/>
      </c>
    </row>
    <row r="2988">
      <c r="N2988">
        <f>IF(AND(ISNUMBER(L2988),ISNUMBER(M2988)),L2988-M2988,"")</f>
        <v/>
      </c>
    </row>
    <row r="2989">
      <c r="N2989">
        <f>IF(AND(ISNUMBER(L2989),ISNUMBER(M2989)),L2989-M2989,"")</f>
        <v/>
      </c>
    </row>
    <row r="2990">
      <c r="N2990">
        <f>IF(AND(ISNUMBER(L2990),ISNUMBER(M2990)),L2990-M2990,"")</f>
        <v/>
      </c>
    </row>
    <row r="2991">
      <c r="N2991">
        <f>IF(AND(ISNUMBER(L2991),ISNUMBER(M2991)),L2991-M2991,"")</f>
        <v/>
      </c>
    </row>
    <row r="2992">
      <c r="N2992">
        <f>IF(AND(ISNUMBER(L2992),ISNUMBER(M2992)),L2992-M2992,"")</f>
        <v/>
      </c>
    </row>
    <row r="2993">
      <c r="N2993">
        <f>IF(AND(ISNUMBER(L2993),ISNUMBER(M2993)),L2993-M2993,"")</f>
        <v/>
      </c>
    </row>
    <row r="2994">
      <c r="N2994">
        <f>IF(AND(ISNUMBER(L2994),ISNUMBER(M2994)),L2994-M2994,"")</f>
        <v/>
      </c>
    </row>
    <row r="2995">
      <c r="N2995">
        <f>IF(AND(ISNUMBER(L2995),ISNUMBER(M2995)),L2995-M2995,"")</f>
        <v/>
      </c>
    </row>
    <row r="2996">
      <c r="N2996">
        <f>IF(AND(ISNUMBER(L2996),ISNUMBER(M2996)),L2996-M2996,"")</f>
        <v/>
      </c>
    </row>
    <row r="2997">
      <c r="N2997">
        <f>IF(AND(ISNUMBER(L2997),ISNUMBER(M2997)),L2997-M2997,"")</f>
        <v/>
      </c>
    </row>
    <row r="2998">
      <c r="N2998">
        <f>IF(AND(ISNUMBER(L2998),ISNUMBER(M2998)),L2998-M2998,"")</f>
        <v/>
      </c>
    </row>
    <row r="2999">
      <c r="N2999">
        <f>IF(AND(ISNUMBER(L2999),ISNUMBER(M2999)),L2999-M2999,"")</f>
        <v/>
      </c>
    </row>
    <row r="3000">
      <c r="N3000">
        <f>IF(AND(ISNUMBER(L3000),ISNUMBER(M3000)),L3000-M3000,"")</f>
        <v/>
      </c>
    </row>
    <row r="3001">
      <c r="N3001">
        <f>IF(AND(ISNUMBER(L3001),ISNUMBER(M3001)),L3001-M3001,"")</f>
        <v/>
      </c>
    </row>
    <row r="3002">
      <c r="N3002">
        <f>IF(AND(ISNUMBER(L3002),ISNUMBER(M3002)),L3002-M3002,"")</f>
        <v/>
      </c>
    </row>
    <row r="3003">
      <c r="N3003">
        <f>IF(AND(ISNUMBER(L3003),ISNUMBER(M3003)),L3003-M3003,"")</f>
        <v/>
      </c>
    </row>
    <row r="3004">
      <c r="N3004">
        <f>IF(AND(ISNUMBER(L3004),ISNUMBER(M3004)),L3004-M3004,"")</f>
        <v/>
      </c>
    </row>
    <row r="3005">
      <c r="N3005">
        <f>IF(AND(ISNUMBER(L3005),ISNUMBER(M3005)),L3005-M3005,"")</f>
        <v/>
      </c>
    </row>
    <row r="3006">
      <c r="N3006">
        <f>IF(AND(ISNUMBER(L3006),ISNUMBER(M3006)),L3006-M3006,"")</f>
        <v/>
      </c>
    </row>
    <row r="3007">
      <c r="N3007">
        <f>IF(AND(ISNUMBER(L3007),ISNUMBER(M3007)),L3007-M3007,"")</f>
        <v/>
      </c>
    </row>
    <row r="3008">
      <c r="N3008">
        <f>IF(AND(ISNUMBER(L3008),ISNUMBER(M3008)),L3008-M3008,"")</f>
        <v/>
      </c>
    </row>
    <row r="3009">
      <c r="N3009">
        <f>IF(AND(ISNUMBER(L3009),ISNUMBER(M3009)),L3009-M3009,"")</f>
        <v/>
      </c>
    </row>
    <row r="3010">
      <c r="N3010">
        <f>IF(AND(ISNUMBER(L3010),ISNUMBER(M3010)),L3010-M3010,"")</f>
        <v/>
      </c>
    </row>
    <row r="3011">
      <c r="N3011">
        <f>IF(AND(ISNUMBER(L3011),ISNUMBER(M3011)),L3011-M3011,"")</f>
        <v/>
      </c>
    </row>
    <row r="3012">
      <c r="N3012">
        <f>IF(AND(ISNUMBER(L3012),ISNUMBER(M3012)),L3012-M3012,"")</f>
        <v/>
      </c>
    </row>
    <row r="3013">
      <c r="N3013">
        <f>IF(AND(ISNUMBER(L3013),ISNUMBER(M3013)),L3013-M3013,"")</f>
        <v/>
      </c>
    </row>
    <row r="3014">
      <c r="N3014">
        <f>IF(AND(ISNUMBER(L3014),ISNUMBER(M3014)),L3014-M3014,"")</f>
        <v/>
      </c>
    </row>
    <row r="3015">
      <c r="N3015">
        <f>IF(AND(ISNUMBER(L3015),ISNUMBER(M3015)),L3015-M3015,"")</f>
        <v/>
      </c>
    </row>
    <row r="3016">
      <c r="N3016">
        <f>IF(AND(ISNUMBER(L3016),ISNUMBER(M3016)),L3016-M3016,"")</f>
        <v/>
      </c>
    </row>
    <row r="3017">
      <c r="N3017">
        <f>IF(AND(ISNUMBER(L3017),ISNUMBER(M3017)),L3017-M3017,"")</f>
        <v/>
      </c>
    </row>
    <row r="3018">
      <c r="N3018">
        <f>IF(AND(ISNUMBER(L3018),ISNUMBER(M3018)),L3018-M3018,"")</f>
        <v/>
      </c>
    </row>
    <row r="3019">
      <c r="N3019">
        <f>IF(AND(ISNUMBER(L3019),ISNUMBER(M3019)),L3019-M3019,"")</f>
        <v/>
      </c>
    </row>
    <row r="3020">
      <c r="N3020">
        <f>IF(AND(ISNUMBER(L3020),ISNUMBER(M3020)),L3020-M3020,"")</f>
        <v/>
      </c>
    </row>
    <row r="3021">
      <c r="N3021">
        <f>IF(AND(ISNUMBER(L3021),ISNUMBER(M3021)),L3021-M3021,"")</f>
        <v/>
      </c>
    </row>
    <row r="3022">
      <c r="N3022">
        <f>IF(AND(ISNUMBER(L3022),ISNUMBER(M3022)),L3022-M3022,"")</f>
        <v/>
      </c>
    </row>
    <row r="3023">
      <c r="N3023">
        <f>IF(AND(ISNUMBER(L3023),ISNUMBER(M3023)),L3023-M3023,"")</f>
        <v/>
      </c>
    </row>
    <row r="3024">
      <c r="N3024">
        <f>IF(AND(ISNUMBER(L3024),ISNUMBER(M3024)),L3024-M3024,"")</f>
        <v/>
      </c>
    </row>
    <row r="3025">
      <c r="N3025">
        <f>IF(AND(ISNUMBER(L3025),ISNUMBER(M3025)),L3025-M3025,"")</f>
        <v/>
      </c>
    </row>
    <row r="3026">
      <c r="N3026">
        <f>IF(AND(ISNUMBER(L3026),ISNUMBER(M3026)),L3026-M3026,"")</f>
        <v/>
      </c>
    </row>
    <row r="3027">
      <c r="N3027">
        <f>IF(AND(ISNUMBER(L3027),ISNUMBER(M3027)),L3027-M3027,"")</f>
        <v/>
      </c>
    </row>
    <row r="3028">
      <c r="N3028">
        <f>IF(AND(ISNUMBER(L3028),ISNUMBER(M3028)),L3028-M3028,"")</f>
        <v/>
      </c>
    </row>
    <row r="3029">
      <c r="N3029">
        <f>IF(AND(ISNUMBER(L3029),ISNUMBER(M3029)),L3029-M3029,"")</f>
        <v/>
      </c>
    </row>
    <row r="3030">
      <c r="N3030">
        <f>IF(AND(ISNUMBER(L3030),ISNUMBER(M3030)),L3030-M3030,"")</f>
        <v/>
      </c>
    </row>
    <row r="3031">
      <c r="N3031">
        <f>IF(AND(ISNUMBER(L3031),ISNUMBER(M3031)),L3031-M3031,"")</f>
        <v/>
      </c>
    </row>
    <row r="3032">
      <c r="N3032">
        <f>IF(AND(ISNUMBER(L3032),ISNUMBER(M3032)),L3032-M3032,"")</f>
        <v/>
      </c>
    </row>
    <row r="3033">
      <c r="N3033">
        <f>IF(AND(ISNUMBER(L3033),ISNUMBER(M3033)),L3033-M3033,"")</f>
        <v/>
      </c>
    </row>
    <row r="3034">
      <c r="N3034">
        <f>IF(AND(ISNUMBER(L3034),ISNUMBER(M3034)),L3034-M3034,"")</f>
        <v/>
      </c>
    </row>
    <row r="3035">
      <c r="N3035">
        <f>IF(AND(ISNUMBER(L3035),ISNUMBER(M3035)),L3035-M3035,"")</f>
        <v/>
      </c>
    </row>
    <row r="3036">
      <c r="N3036">
        <f>IF(AND(ISNUMBER(L3036),ISNUMBER(M3036)),L3036-M3036,"")</f>
        <v/>
      </c>
    </row>
    <row r="3037">
      <c r="N3037">
        <f>IF(AND(ISNUMBER(L3037),ISNUMBER(M3037)),L3037-M3037,"")</f>
        <v/>
      </c>
    </row>
    <row r="3038">
      <c r="N3038">
        <f>IF(AND(ISNUMBER(L3038),ISNUMBER(M3038)),L3038-M3038,"")</f>
        <v/>
      </c>
    </row>
    <row r="3039">
      <c r="N3039">
        <f>IF(AND(ISNUMBER(L3039),ISNUMBER(M3039)),L3039-M3039,"")</f>
        <v/>
      </c>
    </row>
    <row r="3040">
      <c r="N3040">
        <f>IF(AND(ISNUMBER(L3040),ISNUMBER(M3040)),L3040-M3040,"")</f>
        <v/>
      </c>
    </row>
    <row r="3041">
      <c r="N3041">
        <f>IF(AND(ISNUMBER(L3041),ISNUMBER(M3041)),L3041-M3041,"")</f>
        <v/>
      </c>
    </row>
    <row r="3042">
      <c r="N3042">
        <f>IF(AND(ISNUMBER(L3042),ISNUMBER(M3042)),L3042-M3042,"")</f>
        <v/>
      </c>
    </row>
    <row r="3043">
      <c r="N3043">
        <f>IF(AND(ISNUMBER(L3043),ISNUMBER(M3043)),L3043-M3043,"")</f>
        <v/>
      </c>
    </row>
    <row r="3044">
      <c r="N3044">
        <f>IF(AND(ISNUMBER(L3044),ISNUMBER(M3044)),L3044-M3044,"")</f>
        <v/>
      </c>
    </row>
    <row r="3045">
      <c r="N3045">
        <f>IF(AND(ISNUMBER(L3045),ISNUMBER(M3045)),L3045-M3045,"")</f>
        <v/>
      </c>
    </row>
    <row r="3046">
      <c r="N3046">
        <f>IF(AND(ISNUMBER(L3046),ISNUMBER(M3046)),L3046-M3046,"")</f>
        <v/>
      </c>
    </row>
    <row r="3047">
      <c r="N3047">
        <f>IF(AND(ISNUMBER(L3047),ISNUMBER(M3047)),L3047-M3047,"")</f>
        <v/>
      </c>
    </row>
    <row r="3048">
      <c r="N3048">
        <f>IF(AND(ISNUMBER(L3048),ISNUMBER(M3048)),L3048-M3048,"")</f>
        <v/>
      </c>
    </row>
    <row r="3049">
      <c r="N3049">
        <f>IF(AND(ISNUMBER(L3049),ISNUMBER(M3049)),L3049-M3049,"")</f>
        <v/>
      </c>
    </row>
    <row r="3050">
      <c r="N3050">
        <f>IF(AND(ISNUMBER(L3050),ISNUMBER(M3050)),L3050-M3050,"")</f>
        <v/>
      </c>
    </row>
    <row r="3051">
      <c r="N3051">
        <f>IF(AND(ISNUMBER(L3051),ISNUMBER(M3051)),L3051-M3051,"")</f>
        <v/>
      </c>
    </row>
    <row r="3052">
      <c r="N3052">
        <f>IF(AND(ISNUMBER(L3052),ISNUMBER(M3052)),L3052-M3052,"")</f>
        <v/>
      </c>
    </row>
    <row r="3053">
      <c r="N3053">
        <f>IF(AND(ISNUMBER(L3053),ISNUMBER(M3053)),L3053-M3053,"")</f>
        <v/>
      </c>
    </row>
    <row r="3054">
      <c r="N3054">
        <f>IF(AND(ISNUMBER(L3054),ISNUMBER(M3054)),L3054-M3054,"")</f>
        <v/>
      </c>
    </row>
    <row r="3055">
      <c r="N3055">
        <f>IF(AND(ISNUMBER(L3055),ISNUMBER(M3055)),L3055-M3055,"")</f>
        <v/>
      </c>
    </row>
    <row r="3056">
      <c r="N3056">
        <f>IF(AND(ISNUMBER(L3056),ISNUMBER(M3056)),L3056-M3056,"")</f>
        <v/>
      </c>
    </row>
    <row r="3057">
      <c r="N3057">
        <f>IF(AND(ISNUMBER(L3057),ISNUMBER(M3057)),L3057-M3057,"")</f>
        <v/>
      </c>
    </row>
    <row r="3058">
      <c r="N3058">
        <f>IF(AND(ISNUMBER(L3058),ISNUMBER(M3058)),L3058-M3058,"")</f>
        <v/>
      </c>
    </row>
    <row r="3059">
      <c r="N3059">
        <f>IF(AND(ISNUMBER(L3059),ISNUMBER(M3059)),L3059-M3059,"")</f>
        <v/>
      </c>
    </row>
    <row r="3060">
      <c r="N3060">
        <f>IF(AND(ISNUMBER(L3060),ISNUMBER(M3060)),L3060-M3060,"")</f>
        <v/>
      </c>
    </row>
    <row r="3061">
      <c r="N3061">
        <f>IF(AND(ISNUMBER(L3061),ISNUMBER(M3061)),L3061-M3061,"")</f>
        <v/>
      </c>
    </row>
    <row r="3062">
      <c r="N3062">
        <f>IF(AND(ISNUMBER(L3062),ISNUMBER(M3062)),L3062-M3062,"")</f>
        <v/>
      </c>
    </row>
    <row r="3063">
      <c r="N3063">
        <f>IF(AND(ISNUMBER(L3063),ISNUMBER(M3063)),L3063-M3063,"")</f>
        <v/>
      </c>
    </row>
    <row r="3064">
      <c r="N3064">
        <f>IF(AND(ISNUMBER(L3064),ISNUMBER(M3064)),L3064-M3064,"")</f>
        <v/>
      </c>
    </row>
    <row r="3065">
      <c r="N3065">
        <f>IF(AND(ISNUMBER(L3065),ISNUMBER(M3065)),L3065-M3065,"")</f>
        <v/>
      </c>
    </row>
    <row r="3066">
      <c r="N3066">
        <f>IF(AND(ISNUMBER(L3066),ISNUMBER(M3066)),L3066-M3066,"")</f>
        <v/>
      </c>
    </row>
    <row r="3067">
      <c r="N3067">
        <f>IF(AND(ISNUMBER(L3067),ISNUMBER(M3067)),L3067-M3067,"")</f>
        <v/>
      </c>
    </row>
    <row r="3068">
      <c r="N3068">
        <f>IF(AND(ISNUMBER(L3068),ISNUMBER(M3068)),L3068-M3068,"")</f>
        <v/>
      </c>
    </row>
    <row r="3069">
      <c r="N3069">
        <f>IF(AND(ISNUMBER(L3069),ISNUMBER(M3069)),L3069-M3069,"")</f>
        <v/>
      </c>
    </row>
    <row r="3070">
      <c r="N3070">
        <f>IF(AND(ISNUMBER(L3070),ISNUMBER(M3070)),L3070-M3070,"")</f>
        <v/>
      </c>
    </row>
    <row r="3071">
      <c r="N3071">
        <f>IF(AND(ISNUMBER(L3071),ISNUMBER(M3071)),L3071-M3071,"")</f>
        <v/>
      </c>
    </row>
    <row r="3072">
      <c r="N3072">
        <f>IF(AND(ISNUMBER(L3072),ISNUMBER(M3072)),L3072-M3072,"")</f>
        <v/>
      </c>
    </row>
    <row r="3073">
      <c r="N3073">
        <f>IF(AND(ISNUMBER(L3073),ISNUMBER(M3073)),L3073-M3073,"")</f>
        <v/>
      </c>
    </row>
    <row r="3074">
      <c r="N3074">
        <f>IF(AND(ISNUMBER(L3074),ISNUMBER(M3074)),L3074-M3074,"")</f>
        <v/>
      </c>
    </row>
    <row r="3075">
      <c r="N3075">
        <f>IF(AND(ISNUMBER(L3075),ISNUMBER(M3075)),L3075-M3075,"")</f>
        <v/>
      </c>
    </row>
    <row r="3076">
      <c r="N3076">
        <f>IF(AND(ISNUMBER(L3076),ISNUMBER(M3076)),L3076-M3076,"")</f>
        <v/>
      </c>
    </row>
    <row r="3077">
      <c r="N3077">
        <f>IF(AND(ISNUMBER(L3077),ISNUMBER(M3077)),L3077-M3077,"")</f>
        <v/>
      </c>
    </row>
    <row r="3078">
      <c r="N3078">
        <f>IF(AND(ISNUMBER(L3078),ISNUMBER(M3078)),L3078-M3078,"")</f>
        <v/>
      </c>
    </row>
    <row r="3079">
      <c r="N3079">
        <f>IF(AND(ISNUMBER(L3079),ISNUMBER(M3079)),L3079-M3079,"")</f>
        <v/>
      </c>
    </row>
    <row r="3080">
      <c r="N3080">
        <f>IF(AND(ISNUMBER(L3080),ISNUMBER(M3080)),L3080-M3080,"")</f>
        <v/>
      </c>
    </row>
    <row r="3081">
      <c r="N3081">
        <f>IF(AND(ISNUMBER(L3081),ISNUMBER(M3081)),L3081-M3081,"")</f>
        <v/>
      </c>
    </row>
    <row r="3082">
      <c r="N3082">
        <f>IF(AND(ISNUMBER(L3082),ISNUMBER(M3082)),L3082-M3082,"")</f>
        <v/>
      </c>
    </row>
    <row r="3083">
      <c r="N3083">
        <f>IF(AND(ISNUMBER(L3083),ISNUMBER(M3083)),L3083-M3083,"")</f>
        <v/>
      </c>
    </row>
    <row r="3084">
      <c r="N3084">
        <f>IF(AND(ISNUMBER(L3084),ISNUMBER(M3084)),L3084-M3084,"")</f>
        <v/>
      </c>
    </row>
    <row r="3085">
      <c r="N3085">
        <f>IF(AND(ISNUMBER(L3085),ISNUMBER(M3085)),L3085-M3085,"")</f>
        <v/>
      </c>
    </row>
    <row r="3086">
      <c r="N3086">
        <f>IF(AND(ISNUMBER(L3086),ISNUMBER(M3086)),L3086-M3086,"")</f>
        <v/>
      </c>
    </row>
    <row r="3087">
      <c r="N3087">
        <f>IF(AND(ISNUMBER(L3087),ISNUMBER(M3087)),L3087-M3087,"")</f>
        <v/>
      </c>
    </row>
    <row r="3088">
      <c r="N3088">
        <f>IF(AND(ISNUMBER(L3088),ISNUMBER(M3088)),L3088-M3088,"")</f>
        <v/>
      </c>
    </row>
    <row r="3089">
      <c r="N3089">
        <f>IF(AND(ISNUMBER(L3089),ISNUMBER(M3089)),L3089-M3089,"")</f>
        <v/>
      </c>
    </row>
    <row r="3090">
      <c r="N3090">
        <f>IF(AND(ISNUMBER(L3090),ISNUMBER(M3090)),L3090-M3090,"")</f>
        <v/>
      </c>
    </row>
    <row r="3091">
      <c r="N3091">
        <f>IF(AND(ISNUMBER(L3091),ISNUMBER(M3091)),L3091-M3091,"")</f>
        <v/>
      </c>
    </row>
    <row r="3092">
      <c r="N3092">
        <f>IF(AND(ISNUMBER(L3092),ISNUMBER(M3092)),L3092-M3092,"")</f>
        <v/>
      </c>
    </row>
    <row r="3093">
      <c r="N3093">
        <f>IF(AND(ISNUMBER(L3093),ISNUMBER(M3093)),L3093-M3093,"")</f>
        <v/>
      </c>
    </row>
    <row r="3094">
      <c r="N3094">
        <f>IF(AND(ISNUMBER(L3094),ISNUMBER(M3094)),L3094-M3094,"")</f>
        <v/>
      </c>
    </row>
    <row r="3095">
      <c r="N3095">
        <f>IF(AND(ISNUMBER(L3095),ISNUMBER(M3095)),L3095-M3095,"")</f>
        <v/>
      </c>
    </row>
    <row r="3096">
      <c r="N3096">
        <f>IF(AND(ISNUMBER(L3096),ISNUMBER(M3096)),L3096-M3096,"")</f>
        <v/>
      </c>
    </row>
    <row r="3097">
      <c r="N3097">
        <f>IF(AND(ISNUMBER(L3097),ISNUMBER(M3097)),L3097-M3097,"")</f>
        <v/>
      </c>
    </row>
    <row r="3098">
      <c r="N3098">
        <f>IF(AND(ISNUMBER(L3098),ISNUMBER(M3098)),L3098-M3098,"")</f>
        <v/>
      </c>
    </row>
    <row r="3099">
      <c r="N3099">
        <f>IF(AND(ISNUMBER(L3099),ISNUMBER(M3099)),L3099-M3099,"")</f>
        <v/>
      </c>
    </row>
    <row r="3100">
      <c r="N3100">
        <f>IF(AND(ISNUMBER(L3100),ISNUMBER(M3100)),L3100-M3100,"")</f>
        <v/>
      </c>
    </row>
    <row r="3101">
      <c r="N3101">
        <f>IF(AND(ISNUMBER(L3101),ISNUMBER(M3101)),L3101-M3101,"")</f>
        <v/>
      </c>
    </row>
    <row r="3102">
      <c r="N3102">
        <f>IF(AND(ISNUMBER(L3102),ISNUMBER(M3102)),L3102-M3102,"")</f>
        <v/>
      </c>
    </row>
    <row r="3103">
      <c r="N3103">
        <f>IF(AND(ISNUMBER(L3103),ISNUMBER(M3103)),L3103-M3103,"")</f>
        <v/>
      </c>
    </row>
    <row r="3104">
      <c r="N3104">
        <f>IF(AND(ISNUMBER(L3104),ISNUMBER(M3104)),L3104-M3104,"")</f>
        <v/>
      </c>
    </row>
    <row r="3105">
      <c r="N3105">
        <f>IF(AND(ISNUMBER(L3105),ISNUMBER(M3105)),L3105-M3105,"")</f>
        <v/>
      </c>
    </row>
    <row r="3106">
      <c r="N3106">
        <f>IF(AND(ISNUMBER(L3106),ISNUMBER(M3106)),L3106-M3106,"")</f>
        <v/>
      </c>
    </row>
    <row r="3107">
      <c r="N3107">
        <f>IF(AND(ISNUMBER(L3107),ISNUMBER(M3107)),L3107-M3107,"")</f>
        <v/>
      </c>
    </row>
    <row r="3108">
      <c r="N3108">
        <f>IF(AND(ISNUMBER(L3108),ISNUMBER(M3108)),L3108-M3108,"")</f>
        <v/>
      </c>
    </row>
    <row r="3109">
      <c r="N3109">
        <f>IF(AND(ISNUMBER(L3109),ISNUMBER(M3109)),L3109-M3109,"")</f>
        <v/>
      </c>
    </row>
    <row r="3110">
      <c r="N3110">
        <f>IF(AND(ISNUMBER(L3110),ISNUMBER(M3110)),L3110-M3110,"")</f>
        <v/>
      </c>
    </row>
    <row r="3111">
      <c r="N3111">
        <f>IF(AND(ISNUMBER(L3111),ISNUMBER(M3111)),L3111-M3111,"")</f>
        <v/>
      </c>
    </row>
    <row r="3112">
      <c r="N3112">
        <f>IF(AND(ISNUMBER(L3112),ISNUMBER(M3112)),L3112-M3112,"")</f>
        <v/>
      </c>
    </row>
    <row r="3113">
      <c r="N3113">
        <f>IF(AND(ISNUMBER(L3113),ISNUMBER(M3113)),L3113-M3113,"")</f>
        <v/>
      </c>
    </row>
    <row r="3114">
      <c r="N3114">
        <f>IF(AND(ISNUMBER(L3114),ISNUMBER(M3114)),L3114-M3114,"")</f>
        <v/>
      </c>
    </row>
    <row r="3115">
      <c r="N3115">
        <f>IF(AND(ISNUMBER(L3115),ISNUMBER(M3115)),L3115-M3115,"")</f>
        <v/>
      </c>
    </row>
    <row r="3116">
      <c r="N3116">
        <f>IF(AND(ISNUMBER(L3116),ISNUMBER(M3116)),L3116-M3116,"")</f>
        <v/>
      </c>
    </row>
    <row r="3117">
      <c r="N3117">
        <f>IF(AND(ISNUMBER(L3117),ISNUMBER(M3117)),L3117-M3117,"")</f>
        <v/>
      </c>
    </row>
    <row r="3118">
      <c r="N3118">
        <f>IF(AND(ISNUMBER(L3118),ISNUMBER(M3118)),L3118-M3118,"")</f>
        <v/>
      </c>
    </row>
    <row r="3119">
      <c r="N3119">
        <f>IF(AND(ISNUMBER(L3119),ISNUMBER(M3119)),L3119-M3119,"")</f>
        <v/>
      </c>
    </row>
    <row r="3120">
      <c r="N3120">
        <f>IF(AND(ISNUMBER(L3120),ISNUMBER(M3120)),L3120-M3120,"")</f>
        <v/>
      </c>
    </row>
    <row r="3121">
      <c r="N3121">
        <f>IF(AND(ISNUMBER(L3121),ISNUMBER(M3121)),L3121-M3121,"")</f>
        <v/>
      </c>
    </row>
    <row r="3122">
      <c r="N3122">
        <f>IF(AND(ISNUMBER(L3122),ISNUMBER(M3122)),L3122-M3122,"")</f>
        <v/>
      </c>
    </row>
    <row r="3123">
      <c r="N3123">
        <f>IF(AND(ISNUMBER(L3123),ISNUMBER(M3123)),L3123-M3123,"")</f>
        <v/>
      </c>
    </row>
    <row r="3124">
      <c r="N3124">
        <f>IF(AND(ISNUMBER(L3124),ISNUMBER(M3124)),L3124-M3124,"")</f>
        <v/>
      </c>
    </row>
    <row r="3125">
      <c r="N3125">
        <f>IF(AND(ISNUMBER(L3125),ISNUMBER(M3125)),L3125-M3125,"")</f>
        <v/>
      </c>
    </row>
    <row r="3126">
      <c r="N3126">
        <f>IF(AND(ISNUMBER(L3126),ISNUMBER(M3126)),L3126-M3126,"")</f>
        <v/>
      </c>
    </row>
    <row r="3127">
      <c r="N3127">
        <f>IF(AND(ISNUMBER(L3127),ISNUMBER(M3127)),L3127-M3127,"")</f>
        <v/>
      </c>
    </row>
    <row r="3128">
      <c r="N3128">
        <f>IF(AND(ISNUMBER(L3128),ISNUMBER(M3128)),L3128-M3128,"")</f>
        <v/>
      </c>
    </row>
    <row r="3129">
      <c r="N3129">
        <f>IF(AND(ISNUMBER(L3129),ISNUMBER(M3129)),L3129-M3129,"")</f>
        <v/>
      </c>
    </row>
    <row r="3130">
      <c r="N3130">
        <f>IF(AND(ISNUMBER(L3130),ISNUMBER(M3130)),L3130-M3130,"")</f>
        <v/>
      </c>
    </row>
    <row r="3131">
      <c r="N3131">
        <f>IF(AND(ISNUMBER(L3131),ISNUMBER(M3131)),L3131-M3131,"")</f>
        <v/>
      </c>
    </row>
    <row r="3132">
      <c r="N3132">
        <f>IF(AND(ISNUMBER(L3132),ISNUMBER(M3132)),L3132-M3132,"")</f>
        <v/>
      </c>
    </row>
    <row r="3133">
      <c r="N3133">
        <f>IF(AND(ISNUMBER(L3133),ISNUMBER(M3133)),L3133-M3133,"")</f>
        <v/>
      </c>
    </row>
    <row r="3134">
      <c r="N3134">
        <f>IF(AND(ISNUMBER(L3134),ISNUMBER(M3134)),L3134-M3134,"")</f>
        <v/>
      </c>
    </row>
    <row r="3135">
      <c r="N3135">
        <f>IF(AND(ISNUMBER(L3135),ISNUMBER(M3135)),L3135-M3135,"")</f>
        <v/>
      </c>
    </row>
    <row r="3136">
      <c r="N3136">
        <f>IF(AND(ISNUMBER(L3136),ISNUMBER(M3136)),L3136-M3136,"")</f>
        <v/>
      </c>
    </row>
    <row r="3137">
      <c r="N3137">
        <f>IF(AND(ISNUMBER(L3137),ISNUMBER(M3137)),L3137-M3137,"")</f>
        <v/>
      </c>
    </row>
    <row r="3138">
      <c r="N3138">
        <f>IF(AND(ISNUMBER(L3138),ISNUMBER(M3138)),L3138-M3138,"")</f>
        <v/>
      </c>
    </row>
    <row r="3139">
      <c r="N3139">
        <f>IF(AND(ISNUMBER(L3139),ISNUMBER(M3139)),L3139-M3139,"")</f>
        <v/>
      </c>
    </row>
    <row r="3140">
      <c r="N3140">
        <f>IF(AND(ISNUMBER(L3140),ISNUMBER(M3140)),L3140-M3140,"")</f>
        <v/>
      </c>
    </row>
    <row r="3141">
      <c r="N3141">
        <f>IF(AND(ISNUMBER(L3141),ISNUMBER(M3141)),L3141-M3141,"")</f>
        <v/>
      </c>
    </row>
    <row r="3142">
      <c r="N3142">
        <f>IF(AND(ISNUMBER(L3142),ISNUMBER(M3142)),L3142-M3142,"")</f>
        <v/>
      </c>
    </row>
    <row r="3143">
      <c r="N3143">
        <f>IF(AND(ISNUMBER(L3143),ISNUMBER(M3143)),L3143-M3143,"")</f>
        <v/>
      </c>
    </row>
    <row r="3144">
      <c r="N3144">
        <f>IF(AND(ISNUMBER(L3144),ISNUMBER(M3144)),L3144-M3144,"")</f>
        <v/>
      </c>
    </row>
    <row r="3145">
      <c r="N3145">
        <f>IF(AND(ISNUMBER(L3145),ISNUMBER(M3145)),L3145-M3145,"")</f>
        <v/>
      </c>
    </row>
    <row r="3146">
      <c r="N3146">
        <f>IF(AND(ISNUMBER(L3146),ISNUMBER(M3146)),L3146-M3146,"")</f>
        <v/>
      </c>
    </row>
    <row r="3147">
      <c r="N3147">
        <f>IF(AND(ISNUMBER(L3147),ISNUMBER(M3147)),L3147-M3147,"")</f>
        <v/>
      </c>
    </row>
    <row r="3148">
      <c r="N3148">
        <f>IF(AND(ISNUMBER(L3148),ISNUMBER(M3148)),L3148-M3148,"")</f>
        <v/>
      </c>
    </row>
    <row r="3149">
      <c r="N3149">
        <f>IF(AND(ISNUMBER(L3149),ISNUMBER(M3149)),L3149-M3149,"")</f>
        <v/>
      </c>
    </row>
    <row r="3150">
      <c r="N3150">
        <f>IF(AND(ISNUMBER(L3150),ISNUMBER(M3150)),L3150-M3150,"")</f>
        <v/>
      </c>
    </row>
    <row r="3151">
      <c r="N3151">
        <f>IF(AND(ISNUMBER(L3151),ISNUMBER(M3151)),L3151-M3151,"")</f>
        <v/>
      </c>
    </row>
    <row r="3152">
      <c r="N3152">
        <f>IF(AND(ISNUMBER(L3152),ISNUMBER(M3152)),L3152-M3152,"")</f>
        <v/>
      </c>
    </row>
    <row r="3153">
      <c r="N3153">
        <f>IF(AND(ISNUMBER(L3153),ISNUMBER(M3153)),L3153-M3153,"")</f>
        <v/>
      </c>
    </row>
    <row r="3154">
      <c r="N3154">
        <f>IF(AND(ISNUMBER(L3154),ISNUMBER(M3154)),L3154-M3154,"")</f>
        <v/>
      </c>
    </row>
    <row r="3155">
      <c r="N3155">
        <f>IF(AND(ISNUMBER(L3155),ISNUMBER(M3155)),L3155-M3155,"")</f>
        <v/>
      </c>
    </row>
    <row r="3156">
      <c r="N3156">
        <f>IF(AND(ISNUMBER(L3156),ISNUMBER(M3156)),L3156-M3156,"")</f>
        <v/>
      </c>
    </row>
    <row r="3157">
      <c r="N3157">
        <f>IF(AND(ISNUMBER(L3157),ISNUMBER(M3157)),L3157-M3157,"")</f>
        <v/>
      </c>
    </row>
    <row r="3158">
      <c r="N3158">
        <f>IF(AND(ISNUMBER(L3158),ISNUMBER(M3158)),L3158-M3158,"")</f>
        <v/>
      </c>
    </row>
    <row r="3159">
      <c r="N3159">
        <f>IF(AND(ISNUMBER(L3159),ISNUMBER(M3159)),L3159-M3159,"")</f>
        <v/>
      </c>
    </row>
    <row r="3160">
      <c r="N3160">
        <f>IF(AND(ISNUMBER(L3160),ISNUMBER(M3160)),L3160-M3160,"")</f>
        <v/>
      </c>
    </row>
    <row r="3161">
      <c r="N3161">
        <f>IF(AND(ISNUMBER(L3161),ISNUMBER(M3161)),L3161-M3161,"")</f>
        <v/>
      </c>
    </row>
    <row r="3162">
      <c r="N3162">
        <f>IF(AND(ISNUMBER(L3162),ISNUMBER(M3162)),L3162-M3162,"")</f>
        <v/>
      </c>
    </row>
    <row r="3163">
      <c r="N3163">
        <f>IF(AND(ISNUMBER(L3163),ISNUMBER(M3163)),L3163-M3163,"")</f>
        <v/>
      </c>
    </row>
    <row r="3164">
      <c r="N3164">
        <f>IF(AND(ISNUMBER(L3164),ISNUMBER(M3164)),L3164-M3164,"")</f>
        <v/>
      </c>
    </row>
    <row r="3165">
      <c r="N3165">
        <f>IF(AND(ISNUMBER(L3165),ISNUMBER(M3165)),L3165-M3165,"")</f>
        <v/>
      </c>
    </row>
    <row r="3166">
      <c r="N3166">
        <f>IF(AND(ISNUMBER(L3166),ISNUMBER(M3166)),L3166-M3166,"")</f>
        <v/>
      </c>
    </row>
    <row r="3167">
      <c r="N3167">
        <f>IF(AND(ISNUMBER(L3167),ISNUMBER(M3167)),L3167-M3167,"")</f>
        <v/>
      </c>
    </row>
    <row r="3168">
      <c r="N3168">
        <f>IF(AND(ISNUMBER(L3168),ISNUMBER(M3168)),L3168-M3168,"")</f>
        <v/>
      </c>
    </row>
    <row r="3169">
      <c r="N3169">
        <f>IF(AND(ISNUMBER(L3169),ISNUMBER(M3169)),L3169-M3169,"")</f>
        <v/>
      </c>
    </row>
    <row r="3170">
      <c r="N3170">
        <f>IF(AND(ISNUMBER(L3170),ISNUMBER(M3170)),L3170-M3170,"")</f>
        <v/>
      </c>
    </row>
    <row r="3171">
      <c r="N3171">
        <f>IF(AND(ISNUMBER(L3171),ISNUMBER(M3171)),L3171-M3171,"")</f>
        <v/>
      </c>
    </row>
    <row r="3172">
      <c r="N3172">
        <f>IF(AND(ISNUMBER(L3172),ISNUMBER(M3172)),L3172-M3172,"")</f>
        <v/>
      </c>
    </row>
    <row r="3173">
      <c r="N3173">
        <f>IF(AND(ISNUMBER(L3173),ISNUMBER(M3173)),L3173-M3173,"")</f>
        <v/>
      </c>
    </row>
    <row r="3174">
      <c r="N3174">
        <f>IF(AND(ISNUMBER(L3174),ISNUMBER(M3174)),L3174-M3174,"")</f>
        <v/>
      </c>
    </row>
    <row r="3175">
      <c r="N3175">
        <f>IF(AND(ISNUMBER(L3175),ISNUMBER(M3175)),L3175-M3175,"")</f>
        <v/>
      </c>
    </row>
    <row r="3176">
      <c r="N3176">
        <f>IF(AND(ISNUMBER(L3176),ISNUMBER(M3176)),L3176-M3176,"")</f>
        <v/>
      </c>
    </row>
    <row r="3177">
      <c r="N3177">
        <f>IF(AND(ISNUMBER(L3177),ISNUMBER(M3177)),L3177-M3177,"")</f>
        <v/>
      </c>
    </row>
    <row r="3178">
      <c r="N3178">
        <f>IF(AND(ISNUMBER(L3178),ISNUMBER(M3178)),L3178-M3178,"")</f>
        <v/>
      </c>
    </row>
    <row r="3179">
      <c r="N3179">
        <f>IF(AND(ISNUMBER(L3179),ISNUMBER(M3179)),L3179-M3179,"")</f>
        <v/>
      </c>
    </row>
    <row r="3180">
      <c r="N3180">
        <f>IF(AND(ISNUMBER(L3180),ISNUMBER(M3180)),L3180-M3180,"")</f>
        <v/>
      </c>
    </row>
    <row r="3181">
      <c r="N3181">
        <f>IF(AND(ISNUMBER(L3181),ISNUMBER(M3181)),L3181-M3181,"")</f>
        <v/>
      </c>
    </row>
    <row r="3182">
      <c r="N3182">
        <f>IF(AND(ISNUMBER(L3182),ISNUMBER(M3182)),L3182-M3182,"")</f>
        <v/>
      </c>
    </row>
    <row r="3183">
      <c r="N3183">
        <f>IF(AND(ISNUMBER(L3183),ISNUMBER(M3183)),L3183-M3183,"")</f>
        <v/>
      </c>
    </row>
    <row r="3184">
      <c r="N3184">
        <f>IF(AND(ISNUMBER(L3184),ISNUMBER(M3184)),L3184-M3184,"")</f>
        <v/>
      </c>
    </row>
    <row r="3185">
      <c r="N3185">
        <f>IF(AND(ISNUMBER(L3185),ISNUMBER(M3185)),L3185-M3185,"")</f>
        <v/>
      </c>
    </row>
    <row r="3186">
      <c r="N3186">
        <f>IF(AND(ISNUMBER(L3186),ISNUMBER(M3186)),L3186-M3186,"")</f>
        <v/>
      </c>
    </row>
    <row r="3187">
      <c r="N3187">
        <f>IF(AND(ISNUMBER(L3187),ISNUMBER(M3187)),L3187-M3187,"")</f>
        <v/>
      </c>
    </row>
    <row r="3188">
      <c r="N3188">
        <f>IF(AND(ISNUMBER(L3188),ISNUMBER(M3188)),L3188-M3188,"")</f>
        <v/>
      </c>
    </row>
    <row r="3189">
      <c r="N3189">
        <f>IF(AND(ISNUMBER(L3189),ISNUMBER(M3189)),L3189-M3189,"")</f>
        <v/>
      </c>
    </row>
    <row r="3190">
      <c r="N3190">
        <f>IF(AND(ISNUMBER(L3190),ISNUMBER(M3190)),L3190-M3190,"")</f>
        <v/>
      </c>
    </row>
    <row r="3191">
      <c r="N3191">
        <f>IF(AND(ISNUMBER(L3191),ISNUMBER(M3191)),L3191-M3191,"")</f>
        <v/>
      </c>
    </row>
    <row r="3192">
      <c r="N3192">
        <f>IF(AND(ISNUMBER(L3192),ISNUMBER(M3192)),L3192-M3192,"")</f>
        <v/>
      </c>
    </row>
    <row r="3193">
      <c r="N3193">
        <f>IF(AND(ISNUMBER(L3193),ISNUMBER(M3193)),L3193-M3193,"")</f>
        <v/>
      </c>
    </row>
    <row r="3194">
      <c r="N3194">
        <f>IF(AND(ISNUMBER(L3194),ISNUMBER(M3194)),L3194-M3194,"")</f>
        <v/>
      </c>
    </row>
    <row r="3195">
      <c r="N3195">
        <f>IF(AND(ISNUMBER(L3195),ISNUMBER(M3195)),L3195-M3195,"")</f>
        <v/>
      </c>
    </row>
    <row r="3196">
      <c r="N3196">
        <f>IF(AND(ISNUMBER(L3196),ISNUMBER(M3196)),L3196-M3196,"")</f>
        <v/>
      </c>
    </row>
    <row r="3197">
      <c r="N3197">
        <f>IF(AND(ISNUMBER(L3197),ISNUMBER(M3197)),L3197-M3197,"")</f>
        <v/>
      </c>
    </row>
    <row r="3198">
      <c r="N3198">
        <f>IF(AND(ISNUMBER(L3198),ISNUMBER(M3198)),L3198-M3198,"")</f>
        <v/>
      </c>
    </row>
    <row r="3199">
      <c r="N3199">
        <f>IF(AND(ISNUMBER(L3199),ISNUMBER(M3199)),L3199-M3199,"")</f>
        <v/>
      </c>
    </row>
    <row r="3200">
      <c r="N3200">
        <f>IF(AND(ISNUMBER(L3200),ISNUMBER(M3200)),L3200-M3200,"")</f>
        <v/>
      </c>
    </row>
    <row r="3201">
      <c r="N3201">
        <f>IF(AND(ISNUMBER(L3201),ISNUMBER(M3201)),L3201-M3201,"")</f>
        <v/>
      </c>
    </row>
    <row r="3202">
      <c r="N3202">
        <f>IF(AND(ISNUMBER(L3202),ISNUMBER(M3202)),L3202-M3202,"")</f>
        <v/>
      </c>
    </row>
    <row r="3203">
      <c r="N3203">
        <f>IF(AND(ISNUMBER(L3203),ISNUMBER(M3203)),L3203-M3203,"")</f>
        <v/>
      </c>
    </row>
    <row r="3204">
      <c r="N3204">
        <f>IF(AND(ISNUMBER(L3204),ISNUMBER(M3204)),L3204-M3204,"")</f>
        <v/>
      </c>
    </row>
    <row r="3205">
      <c r="N3205">
        <f>IF(AND(ISNUMBER(L3205),ISNUMBER(M3205)),L3205-M3205,"")</f>
        <v/>
      </c>
    </row>
    <row r="3206">
      <c r="N3206">
        <f>IF(AND(ISNUMBER(L3206),ISNUMBER(M3206)),L3206-M3206,"")</f>
        <v/>
      </c>
    </row>
    <row r="3207">
      <c r="N3207">
        <f>IF(AND(ISNUMBER(L3207),ISNUMBER(M3207)),L3207-M3207,"")</f>
        <v/>
      </c>
    </row>
    <row r="3208">
      <c r="N3208">
        <f>IF(AND(ISNUMBER(L3208),ISNUMBER(M3208)),L3208-M3208,"")</f>
        <v/>
      </c>
    </row>
    <row r="3209">
      <c r="N3209">
        <f>IF(AND(ISNUMBER(L3209),ISNUMBER(M3209)),L3209-M3209,"")</f>
        <v/>
      </c>
    </row>
    <row r="3210">
      <c r="N3210">
        <f>IF(AND(ISNUMBER(L3210),ISNUMBER(M3210)),L3210-M3210,"")</f>
        <v/>
      </c>
    </row>
    <row r="3211">
      <c r="N3211">
        <f>IF(AND(ISNUMBER(L3211),ISNUMBER(M3211)),L3211-M3211,"")</f>
        <v/>
      </c>
    </row>
    <row r="3212">
      <c r="N3212">
        <f>IF(AND(ISNUMBER(L3212),ISNUMBER(M3212)),L3212-M3212,"")</f>
        <v/>
      </c>
    </row>
    <row r="3213">
      <c r="N3213">
        <f>IF(AND(ISNUMBER(L3213),ISNUMBER(M3213)),L3213-M3213,"")</f>
        <v/>
      </c>
    </row>
    <row r="3214">
      <c r="N3214">
        <f>IF(AND(ISNUMBER(L3214),ISNUMBER(M3214)),L3214-M3214,"")</f>
        <v/>
      </c>
    </row>
    <row r="3215">
      <c r="N3215">
        <f>IF(AND(ISNUMBER(L3215),ISNUMBER(M3215)),L3215-M3215,"")</f>
        <v/>
      </c>
    </row>
    <row r="3216">
      <c r="N3216">
        <f>IF(AND(ISNUMBER(L3216),ISNUMBER(M3216)),L3216-M3216,"")</f>
        <v/>
      </c>
    </row>
    <row r="3217">
      <c r="N3217">
        <f>IF(AND(ISNUMBER(L3217),ISNUMBER(M3217)),L3217-M3217,"")</f>
        <v/>
      </c>
    </row>
    <row r="3218">
      <c r="N3218">
        <f>IF(AND(ISNUMBER(L3218),ISNUMBER(M3218)),L3218-M3218,"")</f>
        <v/>
      </c>
    </row>
    <row r="3219">
      <c r="N3219">
        <f>IF(AND(ISNUMBER(L3219),ISNUMBER(M3219)),L3219-M3219,"")</f>
        <v/>
      </c>
    </row>
    <row r="3220">
      <c r="N3220">
        <f>IF(AND(ISNUMBER(L3220),ISNUMBER(M3220)),L3220-M3220,"")</f>
        <v/>
      </c>
    </row>
    <row r="3221">
      <c r="N3221">
        <f>IF(AND(ISNUMBER(L3221),ISNUMBER(M3221)),L3221-M3221,"")</f>
        <v/>
      </c>
    </row>
    <row r="3222">
      <c r="N3222">
        <f>IF(AND(ISNUMBER(L3222),ISNUMBER(M3222)),L3222-M3222,"")</f>
        <v/>
      </c>
    </row>
    <row r="3223">
      <c r="N3223">
        <f>IF(AND(ISNUMBER(L3223),ISNUMBER(M3223)),L3223-M3223,"")</f>
        <v/>
      </c>
    </row>
    <row r="3224">
      <c r="N3224">
        <f>IF(AND(ISNUMBER(L3224),ISNUMBER(M3224)),L3224-M3224,"")</f>
        <v/>
      </c>
    </row>
    <row r="3225">
      <c r="N3225">
        <f>IF(AND(ISNUMBER(L3225),ISNUMBER(M3225)),L3225-M3225,"")</f>
        <v/>
      </c>
    </row>
    <row r="3226">
      <c r="N3226">
        <f>IF(AND(ISNUMBER(L3226),ISNUMBER(M3226)),L3226-M3226,"")</f>
        <v/>
      </c>
    </row>
    <row r="3227">
      <c r="N3227">
        <f>IF(AND(ISNUMBER(L3227),ISNUMBER(M3227)),L3227-M3227,"")</f>
        <v/>
      </c>
    </row>
    <row r="3228">
      <c r="N3228">
        <f>IF(AND(ISNUMBER(L3228),ISNUMBER(M3228)),L3228-M3228,"")</f>
        <v/>
      </c>
    </row>
    <row r="3229">
      <c r="N3229">
        <f>IF(AND(ISNUMBER(L3229),ISNUMBER(M3229)),L3229-M3229,"")</f>
        <v/>
      </c>
    </row>
    <row r="3230">
      <c r="N3230">
        <f>IF(AND(ISNUMBER(L3230),ISNUMBER(M3230)),L3230-M3230,"")</f>
        <v/>
      </c>
    </row>
    <row r="3231">
      <c r="N3231">
        <f>IF(AND(ISNUMBER(L3231),ISNUMBER(M3231)),L3231-M3231,"")</f>
        <v/>
      </c>
    </row>
    <row r="3232">
      <c r="N3232">
        <f>IF(AND(ISNUMBER(L3232),ISNUMBER(M3232)),L3232-M3232,"")</f>
        <v/>
      </c>
    </row>
    <row r="3233">
      <c r="N3233">
        <f>IF(AND(ISNUMBER(L3233),ISNUMBER(M3233)),L3233-M3233,"")</f>
        <v/>
      </c>
    </row>
    <row r="3234">
      <c r="N3234">
        <f>IF(AND(ISNUMBER(L3234),ISNUMBER(M3234)),L3234-M3234,"")</f>
        <v/>
      </c>
    </row>
    <row r="3235">
      <c r="N3235">
        <f>IF(AND(ISNUMBER(L3235),ISNUMBER(M3235)),L3235-M3235,"")</f>
        <v/>
      </c>
    </row>
    <row r="3236">
      <c r="N3236">
        <f>IF(AND(ISNUMBER(L3236),ISNUMBER(M3236)),L3236-M3236,"")</f>
        <v/>
      </c>
    </row>
    <row r="3237">
      <c r="N3237">
        <f>IF(AND(ISNUMBER(L3237),ISNUMBER(M3237)),L3237-M3237,"")</f>
        <v/>
      </c>
    </row>
    <row r="3238">
      <c r="N3238">
        <f>IF(AND(ISNUMBER(L3238),ISNUMBER(M3238)),L3238-M3238,"")</f>
        <v/>
      </c>
    </row>
    <row r="3239">
      <c r="N3239">
        <f>IF(AND(ISNUMBER(L3239),ISNUMBER(M3239)),L3239-M3239,"")</f>
        <v/>
      </c>
    </row>
    <row r="3240">
      <c r="N3240">
        <f>IF(AND(ISNUMBER(L3240),ISNUMBER(M3240)),L3240-M3240,"")</f>
        <v/>
      </c>
    </row>
    <row r="3241">
      <c r="N3241">
        <f>IF(AND(ISNUMBER(L3241),ISNUMBER(M3241)),L3241-M3241,"")</f>
        <v/>
      </c>
    </row>
    <row r="3242">
      <c r="N3242">
        <f>IF(AND(ISNUMBER(L3242),ISNUMBER(M3242)),L3242-M3242,"")</f>
        <v/>
      </c>
    </row>
    <row r="3243">
      <c r="N3243">
        <f>IF(AND(ISNUMBER(L3243),ISNUMBER(M3243)),L3243-M3243,"")</f>
        <v/>
      </c>
    </row>
    <row r="3244">
      <c r="N3244">
        <f>IF(AND(ISNUMBER(L3244),ISNUMBER(M3244)),L3244-M3244,"")</f>
        <v/>
      </c>
    </row>
    <row r="3245">
      <c r="N3245">
        <f>IF(AND(ISNUMBER(L3245),ISNUMBER(M3245)),L3245-M3245,"")</f>
        <v/>
      </c>
    </row>
    <row r="3246">
      <c r="N3246">
        <f>IF(AND(ISNUMBER(L3246),ISNUMBER(M3246)),L3246-M3246,"")</f>
        <v/>
      </c>
    </row>
    <row r="3247">
      <c r="N3247">
        <f>IF(AND(ISNUMBER(L3247),ISNUMBER(M3247)),L3247-M3247,"")</f>
        <v/>
      </c>
    </row>
    <row r="3248">
      <c r="N3248">
        <f>IF(AND(ISNUMBER(L3248),ISNUMBER(M3248)),L3248-M3248,"")</f>
        <v/>
      </c>
    </row>
    <row r="3249">
      <c r="N3249">
        <f>IF(AND(ISNUMBER(L3249),ISNUMBER(M3249)),L3249-M3249,"")</f>
        <v/>
      </c>
    </row>
    <row r="3250">
      <c r="N3250">
        <f>IF(AND(ISNUMBER(L3250),ISNUMBER(M3250)),L3250-M3250,"")</f>
        <v/>
      </c>
    </row>
    <row r="3251">
      <c r="N3251">
        <f>IF(AND(ISNUMBER(L3251),ISNUMBER(M3251)),L3251-M3251,"")</f>
        <v/>
      </c>
    </row>
    <row r="3252">
      <c r="N3252">
        <f>IF(AND(ISNUMBER(L3252),ISNUMBER(M3252)),L3252-M3252,"")</f>
        <v/>
      </c>
    </row>
    <row r="3253">
      <c r="N3253">
        <f>IF(AND(ISNUMBER(L3253),ISNUMBER(M3253)),L3253-M3253,"")</f>
        <v/>
      </c>
    </row>
    <row r="3254">
      <c r="N3254">
        <f>IF(AND(ISNUMBER(L3254),ISNUMBER(M3254)),L3254-M3254,"")</f>
        <v/>
      </c>
    </row>
    <row r="3255">
      <c r="N3255">
        <f>IF(AND(ISNUMBER(L3255),ISNUMBER(M3255)),L3255-M3255,"")</f>
        <v/>
      </c>
    </row>
    <row r="3256">
      <c r="N3256">
        <f>IF(AND(ISNUMBER(L3256),ISNUMBER(M3256)),L3256-M3256,"")</f>
        <v/>
      </c>
    </row>
    <row r="3257">
      <c r="N3257">
        <f>IF(AND(ISNUMBER(L3257),ISNUMBER(M3257)),L3257-M3257,"")</f>
        <v/>
      </c>
    </row>
    <row r="3258">
      <c r="N3258">
        <f>IF(AND(ISNUMBER(L3258),ISNUMBER(M3258)),L3258-M3258,"")</f>
        <v/>
      </c>
    </row>
    <row r="3259">
      <c r="N3259">
        <f>IF(AND(ISNUMBER(L3259),ISNUMBER(M3259)),L3259-M3259,"")</f>
        <v/>
      </c>
    </row>
    <row r="3260">
      <c r="N3260">
        <f>IF(AND(ISNUMBER(L3260),ISNUMBER(M3260)),L3260-M3260,"")</f>
        <v/>
      </c>
    </row>
    <row r="3261">
      <c r="N3261">
        <f>IF(AND(ISNUMBER(L3261),ISNUMBER(M3261)),L3261-M3261,"")</f>
        <v/>
      </c>
    </row>
    <row r="3262">
      <c r="N3262">
        <f>IF(AND(ISNUMBER(L3262),ISNUMBER(M3262)),L3262-M3262,"")</f>
        <v/>
      </c>
    </row>
    <row r="3263">
      <c r="N3263">
        <f>IF(AND(ISNUMBER(L3263),ISNUMBER(M3263)),L3263-M3263,"")</f>
        <v/>
      </c>
    </row>
    <row r="3264">
      <c r="N3264">
        <f>IF(AND(ISNUMBER(L3264),ISNUMBER(M3264)),L3264-M3264,"")</f>
        <v/>
      </c>
    </row>
    <row r="3265">
      <c r="N3265">
        <f>IF(AND(ISNUMBER(L3265),ISNUMBER(M3265)),L3265-M3265,"")</f>
        <v/>
      </c>
    </row>
    <row r="3266">
      <c r="N3266">
        <f>IF(AND(ISNUMBER(L3266),ISNUMBER(M3266)),L3266-M3266,"")</f>
        <v/>
      </c>
    </row>
    <row r="3267">
      <c r="N3267">
        <f>IF(AND(ISNUMBER(L3267),ISNUMBER(M3267)),L3267-M3267,"")</f>
        <v/>
      </c>
    </row>
    <row r="3268">
      <c r="N3268">
        <f>IF(AND(ISNUMBER(L3268),ISNUMBER(M3268)),L3268-M3268,"")</f>
        <v/>
      </c>
    </row>
    <row r="3269">
      <c r="N3269">
        <f>IF(AND(ISNUMBER(L3269),ISNUMBER(M3269)),L3269-M3269,"")</f>
        <v/>
      </c>
    </row>
    <row r="3270">
      <c r="N3270">
        <f>IF(AND(ISNUMBER(L3270),ISNUMBER(M3270)),L3270-M3270,"")</f>
        <v/>
      </c>
    </row>
    <row r="3271">
      <c r="N3271">
        <f>IF(AND(ISNUMBER(L3271),ISNUMBER(M3271)),L3271-M3271,"")</f>
        <v/>
      </c>
    </row>
    <row r="3272">
      <c r="N3272">
        <f>IF(AND(ISNUMBER(L3272),ISNUMBER(M3272)),L3272-M3272,"")</f>
        <v/>
      </c>
    </row>
    <row r="3273">
      <c r="N3273">
        <f>IF(AND(ISNUMBER(L3273),ISNUMBER(M3273)),L3273-M3273,"")</f>
        <v/>
      </c>
    </row>
    <row r="3274">
      <c r="N3274">
        <f>IF(AND(ISNUMBER(L3274),ISNUMBER(M3274)),L3274-M3274,"")</f>
        <v/>
      </c>
    </row>
    <row r="3275">
      <c r="N3275">
        <f>IF(AND(ISNUMBER(L3275),ISNUMBER(M3275)),L3275-M3275,"")</f>
        <v/>
      </c>
    </row>
    <row r="3276">
      <c r="N3276">
        <f>IF(AND(ISNUMBER(L3276),ISNUMBER(M3276)),L3276-M3276,"")</f>
        <v/>
      </c>
    </row>
    <row r="3277">
      <c r="N3277">
        <f>IF(AND(ISNUMBER(L3277),ISNUMBER(M3277)),L3277-M3277,"")</f>
        <v/>
      </c>
    </row>
    <row r="3278">
      <c r="N3278">
        <f>IF(AND(ISNUMBER(L3278),ISNUMBER(M3278)),L3278-M3278,"")</f>
        <v/>
      </c>
    </row>
    <row r="3279">
      <c r="N3279">
        <f>IF(AND(ISNUMBER(L3279),ISNUMBER(M3279)),L3279-M3279,"")</f>
        <v/>
      </c>
    </row>
    <row r="3280">
      <c r="N3280">
        <f>IF(AND(ISNUMBER(L3280),ISNUMBER(M3280)),L3280-M3280,"")</f>
        <v/>
      </c>
    </row>
    <row r="3281">
      <c r="N3281">
        <f>IF(AND(ISNUMBER(L3281),ISNUMBER(M3281)),L3281-M3281,"")</f>
        <v/>
      </c>
    </row>
    <row r="3282">
      <c r="N3282">
        <f>IF(AND(ISNUMBER(L3282),ISNUMBER(M3282)),L3282-M3282,"")</f>
        <v/>
      </c>
    </row>
    <row r="3283">
      <c r="N3283">
        <f>IF(AND(ISNUMBER(L3283),ISNUMBER(M3283)),L3283-M3283,"")</f>
        <v/>
      </c>
    </row>
    <row r="3284">
      <c r="N3284">
        <f>IF(AND(ISNUMBER(L3284),ISNUMBER(M3284)),L3284-M3284,"")</f>
        <v/>
      </c>
    </row>
    <row r="3285">
      <c r="N3285">
        <f>IF(AND(ISNUMBER(L3285),ISNUMBER(M3285)),L3285-M3285,"")</f>
        <v/>
      </c>
    </row>
    <row r="3286">
      <c r="N3286">
        <f>IF(AND(ISNUMBER(L3286),ISNUMBER(M3286)),L3286-M3286,"")</f>
        <v/>
      </c>
    </row>
    <row r="3287">
      <c r="N3287">
        <f>IF(AND(ISNUMBER(L3287),ISNUMBER(M3287)),L3287-M3287,"")</f>
        <v/>
      </c>
    </row>
    <row r="3288">
      <c r="N3288">
        <f>IF(AND(ISNUMBER(L3288),ISNUMBER(M3288)),L3288-M3288,"")</f>
        <v/>
      </c>
    </row>
    <row r="3289">
      <c r="N3289">
        <f>IF(AND(ISNUMBER(L3289),ISNUMBER(M3289)),L3289-M3289,"")</f>
        <v/>
      </c>
    </row>
    <row r="3290">
      <c r="N3290">
        <f>IF(AND(ISNUMBER(L3290),ISNUMBER(M3290)),L3290-M3290,"")</f>
        <v/>
      </c>
    </row>
    <row r="3291">
      <c r="N3291">
        <f>IF(AND(ISNUMBER(L3291),ISNUMBER(M3291)),L3291-M3291,"")</f>
        <v/>
      </c>
    </row>
    <row r="3292">
      <c r="N3292">
        <f>IF(AND(ISNUMBER(L3292),ISNUMBER(M3292)),L3292-M3292,"")</f>
        <v/>
      </c>
    </row>
    <row r="3293">
      <c r="N3293">
        <f>IF(AND(ISNUMBER(L3293),ISNUMBER(M3293)),L3293-M3293,"")</f>
        <v/>
      </c>
    </row>
    <row r="3294">
      <c r="N3294">
        <f>IF(AND(ISNUMBER(L3294),ISNUMBER(M3294)),L3294-M3294,"")</f>
        <v/>
      </c>
    </row>
    <row r="3295">
      <c r="N3295">
        <f>IF(AND(ISNUMBER(L3295),ISNUMBER(M3295)),L3295-M3295,"")</f>
        <v/>
      </c>
    </row>
    <row r="3296">
      <c r="N3296">
        <f>IF(AND(ISNUMBER(L3296),ISNUMBER(M3296)),L3296-M3296,"")</f>
        <v/>
      </c>
    </row>
    <row r="3297">
      <c r="N3297">
        <f>IF(AND(ISNUMBER(L3297),ISNUMBER(M3297)),L3297-M3297,"")</f>
        <v/>
      </c>
    </row>
    <row r="3298">
      <c r="N3298">
        <f>IF(AND(ISNUMBER(L3298),ISNUMBER(M3298)),L3298-M3298,"")</f>
        <v/>
      </c>
    </row>
    <row r="3299">
      <c r="N3299">
        <f>IF(AND(ISNUMBER(L3299),ISNUMBER(M3299)),L3299-M3299,"")</f>
        <v/>
      </c>
    </row>
    <row r="3300">
      <c r="N3300">
        <f>IF(AND(ISNUMBER(L3300),ISNUMBER(M3300)),L3300-M3300,"")</f>
        <v/>
      </c>
    </row>
    <row r="3301">
      <c r="N3301">
        <f>IF(AND(ISNUMBER(L3301),ISNUMBER(M3301)),L3301-M3301,"")</f>
        <v/>
      </c>
    </row>
    <row r="3302">
      <c r="N3302">
        <f>IF(AND(ISNUMBER(L3302),ISNUMBER(M3302)),L3302-M3302,"")</f>
        <v/>
      </c>
    </row>
    <row r="3303">
      <c r="N3303">
        <f>IF(AND(ISNUMBER(L3303),ISNUMBER(M3303)),L3303-M3303,"")</f>
        <v/>
      </c>
    </row>
    <row r="3304">
      <c r="N3304">
        <f>IF(AND(ISNUMBER(L3304),ISNUMBER(M3304)),L3304-M3304,"")</f>
        <v/>
      </c>
    </row>
    <row r="3305">
      <c r="N3305">
        <f>IF(AND(ISNUMBER(L3305),ISNUMBER(M3305)),L3305-M3305,"")</f>
        <v/>
      </c>
    </row>
    <row r="3306">
      <c r="N3306">
        <f>IF(AND(ISNUMBER(L3306),ISNUMBER(M3306)),L3306-M3306,"")</f>
        <v/>
      </c>
    </row>
    <row r="3307">
      <c r="N3307">
        <f>IF(AND(ISNUMBER(L3307),ISNUMBER(M3307)),L3307-M3307,"")</f>
        <v/>
      </c>
    </row>
    <row r="3308">
      <c r="N3308">
        <f>IF(AND(ISNUMBER(L3308),ISNUMBER(M3308)),L3308-M3308,"")</f>
        <v/>
      </c>
    </row>
    <row r="3309">
      <c r="N3309">
        <f>IF(AND(ISNUMBER(L3309),ISNUMBER(M3309)),L3309-M3309,"")</f>
        <v/>
      </c>
    </row>
    <row r="3310">
      <c r="N3310">
        <f>IF(AND(ISNUMBER(L3310),ISNUMBER(M3310)),L3310-M3310,"")</f>
        <v/>
      </c>
    </row>
    <row r="3311">
      <c r="N3311">
        <f>IF(AND(ISNUMBER(L3311),ISNUMBER(M3311)),L3311-M3311,"")</f>
        <v/>
      </c>
    </row>
    <row r="3312">
      <c r="N3312">
        <f>IF(AND(ISNUMBER(L3312),ISNUMBER(M3312)),L3312-M3312,"")</f>
        <v/>
      </c>
    </row>
    <row r="3313">
      <c r="N3313">
        <f>IF(AND(ISNUMBER(L3313),ISNUMBER(M3313)),L3313-M3313,"")</f>
        <v/>
      </c>
    </row>
    <row r="3314">
      <c r="N3314">
        <f>IF(AND(ISNUMBER(L3314),ISNUMBER(M3314)),L3314-M3314,"")</f>
        <v/>
      </c>
    </row>
    <row r="3315">
      <c r="N3315">
        <f>IF(AND(ISNUMBER(L3315),ISNUMBER(M3315)),L3315-M3315,"")</f>
        <v/>
      </c>
    </row>
    <row r="3316">
      <c r="N3316">
        <f>IF(AND(ISNUMBER(L3316),ISNUMBER(M3316)),L3316-M3316,"")</f>
        <v/>
      </c>
    </row>
    <row r="3317">
      <c r="N3317">
        <f>IF(AND(ISNUMBER(L3317),ISNUMBER(M3317)),L3317-M3317,"")</f>
        <v/>
      </c>
    </row>
    <row r="3318">
      <c r="N3318">
        <f>IF(AND(ISNUMBER(L3318),ISNUMBER(M3318)),L3318-M3318,"")</f>
        <v/>
      </c>
    </row>
    <row r="3319">
      <c r="N3319">
        <f>IF(AND(ISNUMBER(L3319),ISNUMBER(M3319)),L3319-M3319,"")</f>
        <v/>
      </c>
    </row>
    <row r="3320">
      <c r="N3320">
        <f>IF(AND(ISNUMBER(L3320),ISNUMBER(M3320)),L3320-M3320,"")</f>
        <v/>
      </c>
    </row>
    <row r="3321">
      <c r="N3321">
        <f>IF(AND(ISNUMBER(L3321),ISNUMBER(M3321)),L3321-M3321,"")</f>
        <v/>
      </c>
    </row>
    <row r="3322">
      <c r="N3322">
        <f>IF(AND(ISNUMBER(L3322),ISNUMBER(M3322)),L3322-M3322,"")</f>
        <v/>
      </c>
    </row>
    <row r="3323">
      <c r="N3323">
        <f>IF(AND(ISNUMBER(L3323),ISNUMBER(M3323)),L3323-M3323,"")</f>
        <v/>
      </c>
    </row>
    <row r="3324">
      <c r="N3324">
        <f>IF(AND(ISNUMBER(L3324),ISNUMBER(M3324)),L3324-M3324,"")</f>
        <v/>
      </c>
    </row>
    <row r="3325">
      <c r="N3325">
        <f>IF(AND(ISNUMBER(L3325),ISNUMBER(M3325)),L3325-M3325,"")</f>
        <v/>
      </c>
    </row>
    <row r="3326">
      <c r="N3326">
        <f>IF(AND(ISNUMBER(L3326),ISNUMBER(M3326)),L3326-M3326,"")</f>
        <v/>
      </c>
    </row>
    <row r="3327">
      <c r="N3327">
        <f>IF(AND(ISNUMBER(L3327),ISNUMBER(M3327)),L3327-M3327,"")</f>
        <v/>
      </c>
    </row>
    <row r="3328">
      <c r="N3328">
        <f>IF(AND(ISNUMBER(L3328),ISNUMBER(M3328)),L3328-M3328,"")</f>
        <v/>
      </c>
    </row>
    <row r="3329">
      <c r="N3329">
        <f>IF(AND(ISNUMBER(L3329),ISNUMBER(M3329)),L3329-M3329,"")</f>
        <v/>
      </c>
    </row>
    <row r="3330">
      <c r="N3330">
        <f>IF(AND(ISNUMBER(L3330),ISNUMBER(M3330)),L3330-M3330,"")</f>
        <v/>
      </c>
    </row>
    <row r="3331">
      <c r="N3331">
        <f>IF(AND(ISNUMBER(L3331),ISNUMBER(M3331)),L3331-M3331,"")</f>
        <v/>
      </c>
    </row>
    <row r="3332">
      <c r="N3332">
        <f>IF(AND(ISNUMBER(L3332),ISNUMBER(M3332)),L3332-M3332,"")</f>
        <v/>
      </c>
    </row>
    <row r="3333">
      <c r="N3333">
        <f>IF(AND(ISNUMBER(L3333),ISNUMBER(M3333)),L3333-M3333,"")</f>
        <v/>
      </c>
    </row>
    <row r="3334">
      <c r="N3334">
        <f>IF(AND(ISNUMBER(L3334),ISNUMBER(M3334)),L3334-M3334,"")</f>
        <v/>
      </c>
    </row>
    <row r="3335">
      <c r="N3335">
        <f>IF(AND(ISNUMBER(L3335),ISNUMBER(M3335)),L3335-M3335,"")</f>
        <v/>
      </c>
    </row>
    <row r="3336">
      <c r="N3336">
        <f>IF(AND(ISNUMBER(L3336),ISNUMBER(M3336)),L3336-M3336,"")</f>
        <v/>
      </c>
    </row>
    <row r="3337">
      <c r="N3337">
        <f>IF(AND(ISNUMBER(L3337),ISNUMBER(M3337)),L3337-M3337,"")</f>
        <v/>
      </c>
    </row>
    <row r="3338">
      <c r="N3338">
        <f>IF(AND(ISNUMBER(L3338),ISNUMBER(M3338)),L3338-M3338,"")</f>
        <v/>
      </c>
    </row>
    <row r="3339">
      <c r="N3339">
        <f>IF(AND(ISNUMBER(L3339),ISNUMBER(M3339)),L3339-M3339,"")</f>
        <v/>
      </c>
    </row>
    <row r="3340">
      <c r="N3340">
        <f>IF(AND(ISNUMBER(L3340),ISNUMBER(M3340)),L3340-M3340,"")</f>
        <v/>
      </c>
    </row>
    <row r="3341">
      <c r="N3341">
        <f>IF(AND(ISNUMBER(L3341),ISNUMBER(M3341)),L3341-M3341,"")</f>
        <v/>
      </c>
    </row>
    <row r="3342">
      <c r="N3342">
        <f>IF(AND(ISNUMBER(L3342),ISNUMBER(M3342)),L3342-M3342,"")</f>
        <v/>
      </c>
    </row>
    <row r="3343">
      <c r="N3343">
        <f>IF(AND(ISNUMBER(L3343),ISNUMBER(M3343)),L3343-M3343,"")</f>
        <v/>
      </c>
    </row>
    <row r="3344">
      <c r="N3344">
        <f>IF(AND(ISNUMBER(L3344),ISNUMBER(M3344)),L3344-M3344,"")</f>
        <v/>
      </c>
    </row>
    <row r="3345">
      <c r="N3345">
        <f>IF(AND(ISNUMBER(L3345),ISNUMBER(M3345)),L3345-M3345,"")</f>
        <v/>
      </c>
    </row>
    <row r="3346">
      <c r="N3346">
        <f>IF(AND(ISNUMBER(L3346),ISNUMBER(M3346)),L3346-M3346,"")</f>
        <v/>
      </c>
    </row>
    <row r="3347">
      <c r="N3347">
        <f>IF(AND(ISNUMBER(L3347),ISNUMBER(M3347)),L3347-M3347,"")</f>
        <v/>
      </c>
    </row>
    <row r="3348">
      <c r="N3348">
        <f>IF(AND(ISNUMBER(L3348),ISNUMBER(M3348)),L3348-M3348,"")</f>
        <v/>
      </c>
    </row>
    <row r="3349">
      <c r="N3349">
        <f>IF(AND(ISNUMBER(L3349),ISNUMBER(M3349)),L3349-M3349,"")</f>
        <v/>
      </c>
    </row>
    <row r="3350">
      <c r="N3350">
        <f>IF(AND(ISNUMBER(L3350),ISNUMBER(M3350)),L3350-M3350,"")</f>
        <v/>
      </c>
    </row>
    <row r="3351">
      <c r="N3351">
        <f>IF(AND(ISNUMBER(L3351),ISNUMBER(M3351)),L3351-M3351,"")</f>
        <v/>
      </c>
    </row>
    <row r="3352">
      <c r="N3352">
        <f>IF(AND(ISNUMBER(L3352),ISNUMBER(M3352)),L3352-M3352,"")</f>
        <v/>
      </c>
    </row>
    <row r="3353">
      <c r="N3353">
        <f>IF(AND(ISNUMBER(L3353),ISNUMBER(M3353)),L3353-M3353,"")</f>
        <v/>
      </c>
    </row>
    <row r="3354">
      <c r="N3354">
        <f>IF(AND(ISNUMBER(L3354),ISNUMBER(M3354)),L3354-M3354,"")</f>
        <v/>
      </c>
    </row>
    <row r="3355">
      <c r="N3355">
        <f>IF(AND(ISNUMBER(L3355),ISNUMBER(M3355)),L3355-M3355,"")</f>
        <v/>
      </c>
    </row>
    <row r="3356">
      <c r="N3356">
        <f>IF(AND(ISNUMBER(L3356),ISNUMBER(M3356)),L3356-M3356,"")</f>
        <v/>
      </c>
    </row>
    <row r="3357">
      <c r="N3357">
        <f>IF(AND(ISNUMBER(L3357),ISNUMBER(M3357)),L3357-M3357,"")</f>
        <v/>
      </c>
    </row>
    <row r="3358">
      <c r="N3358">
        <f>IF(AND(ISNUMBER(L3358),ISNUMBER(M3358)),L3358-M3358,"")</f>
        <v/>
      </c>
    </row>
    <row r="3359">
      <c r="N3359">
        <f>IF(AND(ISNUMBER(L3359),ISNUMBER(M3359)),L3359-M3359,"")</f>
        <v/>
      </c>
    </row>
    <row r="3360">
      <c r="N3360">
        <f>IF(AND(ISNUMBER(L3360),ISNUMBER(M3360)),L3360-M3360,"")</f>
        <v/>
      </c>
    </row>
    <row r="3361">
      <c r="N3361">
        <f>IF(AND(ISNUMBER(L3361),ISNUMBER(M3361)),L3361-M3361,"")</f>
        <v/>
      </c>
    </row>
    <row r="3362">
      <c r="N3362">
        <f>IF(AND(ISNUMBER(L3362),ISNUMBER(M3362)),L3362-M3362,"")</f>
        <v/>
      </c>
    </row>
    <row r="3363">
      <c r="N3363">
        <f>IF(AND(ISNUMBER(L3363),ISNUMBER(M3363)),L3363-M3363,"")</f>
        <v/>
      </c>
    </row>
    <row r="3364">
      <c r="N3364">
        <f>IF(AND(ISNUMBER(L3364),ISNUMBER(M3364)),L3364-M3364,"")</f>
        <v/>
      </c>
    </row>
    <row r="3365">
      <c r="N3365">
        <f>IF(AND(ISNUMBER(L3365),ISNUMBER(M3365)),L3365-M3365,"")</f>
        <v/>
      </c>
    </row>
    <row r="3366">
      <c r="N3366">
        <f>IF(AND(ISNUMBER(L3366),ISNUMBER(M3366)),L3366-M3366,"")</f>
        <v/>
      </c>
    </row>
    <row r="3367">
      <c r="N3367">
        <f>IF(AND(ISNUMBER(L3367),ISNUMBER(M3367)),L3367-M3367,"")</f>
        <v/>
      </c>
    </row>
    <row r="3368">
      <c r="N3368">
        <f>IF(AND(ISNUMBER(L3368),ISNUMBER(M3368)),L3368-M3368,"")</f>
        <v/>
      </c>
    </row>
    <row r="3369">
      <c r="N3369">
        <f>IF(AND(ISNUMBER(L3369),ISNUMBER(M3369)),L3369-M3369,"")</f>
        <v/>
      </c>
    </row>
    <row r="3370">
      <c r="N3370">
        <f>IF(AND(ISNUMBER(L3370),ISNUMBER(M3370)),L3370-M3370,"")</f>
        <v/>
      </c>
    </row>
    <row r="3371">
      <c r="N3371">
        <f>IF(AND(ISNUMBER(L3371),ISNUMBER(M3371)),L3371-M3371,"")</f>
        <v/>
      </c>
    </row>
    <row r="3372">
      <c r="N3372">
        <f>IF(AND(ISNUMBER(L3372),ISNUMBER(M3372)),L3372-M3372,"")</f>
        <v/>
      </c>
    </row>
    <row r="3373">
      <c r="N3373">
        <f>IF(AND(ISNUMBER(L3373),ISNUMBER(M3373)),L3373-M3373,"")</f>
        <v/>
      </c>
    </row>
    <row r="3374">
      <c r="N3374">
        <f>IF(AND(ISNUMBER(L3374),ISNUMBER(M3374)),L3374-M3374,"")</f>
        <v/>
      </c>
    </row>
    <row r="3375">
      <c r="N3375">
        <f>IF(AND(ISNUMBER(L3375),ISNUMBER(M3375)),L3375-M3375,"")</f>
        <v/>
      </c>
    </row>
    <row r="3376">
      <c r="N3376">
        <f>IF(AND(ISNUMBER(L3376),ISNUMBER(M3376)),L3376-M3376,"")</f>
        <v/>
      </c>
    </row>
    <row r="3377">
      <c r="N3377">
        <f>IF(AND(ISNUMBER(L3377),ISNUMBER(M3377)),L3377-M3377,"")</f>
        <v/>
      </c>
    </row>
    <row r="3378">
      <c r="N3378">
        <f>IF(AND(ISNUMBER(L3378),ISNUMBER(M3378)),L3378-M3378,"")</f>
        <v/>
      </c>
    </row>
    <row r="3379">
      <c r="N3379">
        <f>IF(AND(ISNUMBER(L3379),ISNUMBER(M3379)),L3379-M3379,"")</f>
        <v/>
      </c>
    </row>
    <row r="3380">
      <c r="N3380">
        <f>IF(AND(ISNUMBER(L3380),ISNUMBER(M3380)),L3380-M3380,"")</f>
        <v/>
      </c>
    </row>
    <row r="3381">
      <c r="N3381">
        <f>IF(AND(ISNUMBER(L3381),ISNUMBER(M3381)),L3381-M3381,"")</f>
        <v/>
      </c>
    </row>
    <row r="3382">
      <c r="N3382">
        <f>IF(AND(ISNUMBER(L3382),ISNUMBER(M3382)),L3382-M3382,"")</f>
        <v/>
      </c>
    </row>
    <row r="3383">
      <c r="N3383">
        <f>IF(AND(ISNUMBER(L3383),ISNUMBER(M3383)),L3383-M3383,"")</f>
        <v/>
      </c>
    </row>
    <row r="3384">
      <c r="N3384">
        <f>IF(AND(ISNUMBER(L3384),ISNUMBER(M3384)),L3384-M3384,"")</f>
        <v/>
      </c>
    </row>
    <row r="3385">
      <c r="N3385">
        <f>IF(AND(ISNUMBER(L3385),ISNUMBER(M3385)),L3385-M3385,"")</f>
        <v/>
      </c>
    </row>
    <row r="3386">
      <c r="N3386">
        <f>IF(AND(ISNUMBER(L3386),ISNUMBER(M3386)),L3386-M3386,"")</f>
        <v/>
      </c>
    </row>
    <row r="3387">
      <c r="N3387">
        <f>IF(AND(ISNUMBER(L3387),ISNUMBER(M3387)),L3387-M3387,"")</f>
        <v/>
      </c>
    </row>
    <row r="3388">
      <c r="N3388">
        <f>IF(AND(ISNUMBER(L3388),ISNUMBER(M3388)),L3388-M3388,"")</f>
        <v/>
      </c>
    </row>
    <row r="3389">
      <c r="N3389">
        <f>IF(AND(ISNUMBER(L3389),ISNUMBER(M3389)),L3389-M3389,"")</f>
        <v/>
      </c>
    </row>
    <row r="3390">
      <c r="N3390">
        <f>IF(AND(ISNUMBER(L3390),ISNUMBER(M3390)),L3390-M3390,"")</f>
        <v/>
      </c>
    </row>
    <row r="3391">
      <c r="N3391">
        <f>IF(AND(ISNUMBER(L3391),ISNUMBER(M3391)),L3391-M3391,"")</f>
        <v/>
      </c>
    </row>
    <row r="3392">
      <c r="N3392">
        <f>IF(AND(ISNUMBER(L3392),ISNUMBER(M3392)),L3392-M3392,"")</f>
        <v/>
      </c>
    </row>
    <row r="3393">
      <c r="N3393">
        <f>IF(AND(ISNUMBER(L3393),ISNUMBER(M3393)),L3393-M3393,"")</f>
        <v/>
      </c>
    </row>
    <row r="3394">
      <c r="N3394">
        <f>IF(AND(ISNUMBER(L3394),ISNUMBER(M3394)),L3394-M3394,"")</f>
        <v/>
      </c>
    </row>
    <row r="3395">
      <c r="N3395">
        <f>IF(AND(ISNUMBER(L3395),ISNUMBER(M3395)),L3395-M3395,"")</f>
        <v/>
      </c>
    </row>
    <row r="3396">
      <c r="N3396">
        <f>IF(AND(ISNUMBER(L3396),ISNUMBER(M3396)),L3396-M3396,"")</f>
        <v/>
      </c>
    </row>
    <row r="3397">
      <c r="N3397">
        <f>IF(AND(ISNUMBER(L3397),ISNUMBER(M3397)),L3397-M3397,"")</f>
        <v/>
      </c>
    </row>
    <row r="3398">
      <c r="N3398">
        <f>IF(AND(ISNUMBER(L3398),ISNUMBER(M3398)),L3398-M3398,"")</f>
        <v/>
      </c>
    </row>
    <row r="3399">
      <c r="N3399">
        <f>IF(AND(ISNUMBER(L3399),ISNUMBER(M3399)),L3399-M3399,"")</f>
        <v/>
      </c>
    </row>
    <row r="3400">
      <c r="N3400">
        <f>IF(AND(ISNUMBER(L3400),ISNUMBER(M3400)),L3400-M3400,"")</f>
        <v/>
      </c>
    </row>
    <row r="3401">
      <c r="N3401">
        <f>IF(AND(ISNUMBER(L3401),ISNUMBER(M3401)),L3401-M3401,"")</f>
        <v/>
      </c>
    </row>
    <row r="3402">
      <c r="N3402">
        <f>IF(AND(ISNUMBER(L3402),ISNUMBER(M3402)),L3402-M3402,"")</f>
        <v/>
      </c>
    </row>
    <row r="3403">
      <c r="N3403">
        <f>IF(AND(ISNUMBER(L3403),ISNUMBER(M3403)),L3403-M3403,"")</f>
        <v/>
      </c>
    </row>
    <row r="3404">
      <c r="N3404">
        <f>IF(AND(ISNUMBER(L3404),ISNUMBER(M3404)),L3404-M3404,"")</f>
        <v/>
      </c>
    </row>
    <row r="3405">
      <c r="N3405">
        <f>IF(AND(ISNUMBER(L3405),ISNUMBER(M3405)),L3405-M3405,"")</f>
        <v/>
      </c>
    </row>
    <row r="3406">
      <c r="N3406">
        <f>IF(AND(ISNUMBER(L3406),ISNUMBER(M3406)),L3406-M3406,"")</f>
        <v/>
      </c>
    </row>
    <row r="3407">
      <c r="N3407">
        <f>IF(AND(ISNUMBER(L3407),ISNUMBER(M3407)),L3407-M3407,"")</f>
        <v/>
      </c>
    </row>
    <row r="3408">
      <c r="N3408">
        <f>IF(AND(ISNUMBER(L3408),ISNUMBER(M3408)),L3408-M3408,"")</f>
        <v/>
      </c>
    </row>
    <row r="3409">
      <c r="N3409">
        <f>IF(AND(ISNUMBER(L3409),ISNUMBER(M3409)),L3409-M3409,"")</f>
        <v/>
      </c>
    </row>
    <row r="3410">
      <c r="N3410">
        <f>IF(AND(ISNUMBER(L3410),ISNUMBER(M3410)),L3410-M3410,"")</f>
        <v/>
      </c>
    </row>
    <row r="3411">
      <c r="N3411">
        <f>IF(AND(ISNUMBER(L3411),ISNUMBER(M3411)),L3411-M3411,"")</f>
        <v/>
      </c>
    </row>
    <row r="3412">
      <c r="N3412">
        <f>IF(AND(ISNUMBER(L3412),ISNUMBER(M3412)),L3412-M3412,"")</f>
        <v/>
      </c>
    </row>
    <row r="3413">
      <c r="N3413">
        <f>IF(AND(ISNUMBER(L3413),ISNUMBER(M3413)),L3413-M3413,"")</f>
        <v/>
      </c>
    </row>
    <row r="3414">
      <c r="N3414">
        <f>IF(AND(ISNUMBER(L3414),ISNUMBER(M3414)),L3414-M3414,"")</f>
        <v/>
      </c>
    </row>
    <row r="3415">
      <c r="N3415">
        <f>IF(AND(ISNUMBER(L3415),ISNUMBER(M3415)),L3415-M3415,"")</f>
        <v/>
      </c>
    </row>
    <row r="3416">
      <c r="N3416">
        <f>IF(AND(ISNUMBER(L3416),ISNUMBER(M3416)),L3416-M3416,"")</f>
        <v/>
      </c>
    </row>
    <row r="3417">
      <c r="N3417">
        <f>IF(AND(ISNUMBER(L3417),ISNUMBER(M3417)),L3417-M3417,"")</f>
        <v/>
      </c>
    </row>
    <row r="3418">
      <c r="N3418">
        <f>IF(AND(ISNUMBER(L3418),ISNUMBER(M3418)),L3418-M3418,"")</f>
        <v/>
      </c>
    </row>
    <row r="3419">
      <c r="N3419">
        <f>IF(AND(ISNUMBER(L3419),ISNUMBER(M3419)),L3419-M3419,"")</f>
        <v/>
      </c>
    </row>
    <row r="3420">
      <c r="N3420">
        <f>IF(AND(ISNUMBER(L3420),ISNUMBER(M3420)),L3420-M3420,"")</f>
        <v/>
      </c>
    </row>
    <row r="3421">
      <c r="N3421">
        <f>IF(AND(ISNUMBER(L3421),ISNUMBER(M3421)),L3421-M3421,"")</f>
        <v/>
      </c>
    </row>
    <row r="3422">
      <c r="N3422">
        <f>IF(AND(ISNUMBER(L3422),ISNUMBER(M3422)),L3422-M3422,"")</f>
        <v/>
      </c>
    </row>
    <row r="3423">
      <c r="N3423">
        <f>IF(AND(ISNUMBER(L3423),ISNUMBER(M3423)),L3423-M3423,"")</f>
        <v/>
      </c>
    </row>
    <row r="3424">
      <c r="N3424">
        <f>IF(AND(ISNUMBER(L3424),ISNUMBER(M3424)),L3424-M3424,"")</f>
        <v/>
      </c>
    </row>
    <row r="3425">
      <c r="N3425">
        <f>IF(AND(ISNUMBER(L3425),ISNUMBER(M3425)),L3425-M3425,"")</f>
        <v/>
      </c>
    </row>
    <row r="3426">
      <c r="N3426">
        <f>IF(AND(ISNUMBER(L3426),ISNUMBER(M3426)),L3426-M3426,"")</f>
        <v/>
      </c>
    </row>
    <row r="3427">
      <c r="N3427">
        <f>IF(AND(ISNUMBER(L3427),ISNUMBER(M3427)),L3427-M3427,"")</f>
        <v/>
      </c>
    </row>
    <row r="3428">
      <c r="N3428">
        <f>IF(AND(ISNUMBER(L3428),ISNUMBER(M3428)),L3428-M3428,"")</f>
        <v/>
      </c>
    </row>
    <row r="3429">
      <c r="N3429">
        <f>IF(AND(ISNUMBER(L3429),ISNUMBER(M3429)),L3429-M3429,"")</f>
        <v/>
      </c>
    </row>
    <row r="3430">
      <c r="N3430">
        <f>IF(AND(ISNUMBER(L3430),ISNUMBER(M3430)),L3430-M3430,"")</f>
        <v/>
      </c>
    </row>
    <row r="3431">
      <c r="N3431">
        <f>IF(AND(ISNUMBER(L3431),ISNUMBER(M3431)),L3431-M3431,"")</f>
        <v/>
      </c>
    </row>
    <row r="3432">
      <c r="N3432">
        <f>IF(AND(ISNUMBER(L3432),ISNUMBER(M3432)),L3432-M3432,"")</f>
        <v/>
      </c>
    </row>
    <row r="3433">
      <c r="N3433">
        <f>IF(AND(ISNUMBER(L3433),ISNUMBER(M3433)),L3433-M3433,"")</f>
        <v/>
      </c>
    </row>
    <row r="3434">
      <c r="N3434">
        <f>IF(AND(ISNUMBER(L3434),ISNUMBER(M3434)),L3434-M3434,"")</f>
        <v/>
      </c>
    </row>
    <row r="3435">
      <c r="N3435">
        <f>IF(AND(ISNUMBER(L3435),ISNUMBER(M3435)),L3435-M3435,"")</f>
        <v/>
      </c>
    </row>
    <row r="3436">
      <c r="N3436">
        <f>IF(AND(ISNUMBER(L3436),ISNUMBER(M3436)),L3436-M3436,"")</f>
        <v/>
      </c>
    </row>
    <row r="3437">
      <c r="N3437">
        <f>IF(AND(ISNUMBER(L3437),ISNUMBER(M3437)),L3437-M3437,"")</f>
        <v/>
      </c>
    </row>
    <row r="3438">
      <c r="N3438">
        <f>IF(AND(ISNUMBER(L3438),ISNUMBER(M3438)),L3438-M3438,"")</f>
        <v/>
      </c>
    </row>
    <row r="3439">
      <c r="N3439">
        <f>IF(AND(ISNUMBER(L3439),ISNUMBER(M3439)),L3439-M3439,"")</f>
        <v/>
      </c>
    </row>
    <row r="3440">
      <c r="N3440">
        <f>IF(AND(ISNUMBER(L3440),ISNUMBER(M3440)),L3440-M3440,"")</f>
        <v/>
      </c>
    </row>
    <row r="3441">
      <c r="N3441">
        <f>IF(AND(ISNUMBER(L3441),ISNUMBER(M3441)),L3441-M3441,"")</f>
        <v/>
      </c>
    </row>
    <row r="3442">
      <c r="N3442">
        <f>IF(AND(ISNUMBER(L3442),ISNUMBER(M3442)),L3442-M3442,"")</f>
        <v/>
      </c>
    </row>
    <row r="3443">
      <c r="N3443">
        <f>IF(AND(ISNUMBER(L3443),ISNUMBER(M3443)),L3443-M3443,"")</f>
        <v/>
      </c>
    </row>
    <row r="3444">
      <c r="N3444">
        <f>IF(AND(ISNUMBER(L3444),ISNUMBER(M3444)),L3444-M3444,"")</f>
        <v/>
      </c>
    </row>
    <row r="3445">
      <c r="N3445">
        <f>IF(AND(ISNUMBER(L3445),ISNUMBER(M3445)),L3445-M3445,"")</f>
        <v/>
      </c>
    </row>
    <row r="3446">
      <c r="N3446">
        <f>IF(AND(ISNUMBER(L3446),ISNUMBER(M3446)),L3446-M3446,"")</f>
        <v/>
      </c>
    </row>
    <row r="3447">
      <c r="N3447">
        <f>IF(AND(ISNUMBER(L3447),ISNUMBER(M3447)),L3447-M3447,"")</f>
        <v/>
      </c>
    </row>
    <row r="3448">
      <c r="N3448">
        <f>IF(AND(ISNUMBER(L3448),ISNUMBER(M3448)),L3448-M3448,"")</f>
        <v/>
      </c>
    </row>
    <row r="3449">
      <c r="N3449">
        <f>IF(AND(ISNUMBER(L3449),ISNUMBER(M3449)),L3449-M3449,"")</f>
        <v/>
      </c>
    </row>
    <row r="3450">
      <c r="N3450">
        <f>IF(AND(ISNUMBER(L3450),ISNUMBER(M3450)),L3450-M3450,"")</f>
        <v/>
      </c>
    </row>
    <row r="3451">
      <c r="N3451">
        <f>IF(AND(ISNUMBER(L3451),ISNUMBER(M3451)),L3451-M3451,"")</f>
        <v/>
      </c>
    </row>
    <row r="3452">
      <c r="N3452">
        <f>IF(AND(ISNUMBER(L3452),ISNUMBER(M3452)),L3452-M3452,"")</f>
        <v/>
      </c>
    </row>
    <row r="3453">
      <c r="N3453">
        <f>IF(AND(ISNUMBER(L3453),ISNUMBER(M3453)),L3453-M3453,"")</f>
        <v/>
      </c>
    </row>
    <row r="3454">
      <c r="N3454">
        <f>IF(AND(ISNUMBER(L3454),ISNUMBER(M3454)),L3454-M3454,"")</f>
        <v/>
      </c>
    </row>
    <row r="3455">
      <c r="N3455">
        <f>IF(AND(ISNUMBER(L3455),ISNUMBER(M3455)),L3455-M3455,"")</f>
        <v/>
      </c>
    </row>
    <row r="3456">
      <c r="N3456">
        <f>IF(AND(ISNUMBER(L3456),ISNUMBER(M3456)),L3456-M3456,"")</f>
        <v/>
      </c>
    </row>
    <row r="3457">
      <c r="N3457">
        <f>IF(AND(ISNUMBER(L3457),ISNUMBER(M3457)),L3457-M3457,"")</f>
        <v/>
      </c>
    </row>
    <row r="3458">
      <c r="N3458">
        <f>IF(AND(ISNUMBER(L3458),ISNUMBER(M3458)),L3458-M3458,"")</f>
        <v/>
      </c>
    </row>
    <row r="3459">
      <c r="N3459">
        <f>IF(AND(ISNUMBER(L3459),ISNUMBER(M3459)),L3459-M3459,"")</f>
        <v/>
      </c>
    </row>
    <row r="3460">
      <c r="N3460">
        <f>IF(AND(ISNUMBER(L3460),ISNUMBER(M3460)),L3460-M3460,"")</f>
        <v/>
      </c>
    </row>
    <row r="3461">
      <c r="N3461">
        <f>IF(AND(ISNUMBER(L3461),ISNUMBER(M3461)),L3461-M3461,"")</f>
        <v/>
      </c>
    </row>
    <row r="3462">
      <c r="N3462">
        <f>IF(AND(ISNUMBER(L3462),ISNUMBER(M3462)),L3462-M3462,"")</f>
        <v/>
      </c>
    </row>
    <row r="3463">
      <c r="N3463">
        <f>IF(AND(ISNUMBER(L3463),ISNUMBER(M3463)),L3463-M3463,"")</f>
        <v/>
      </c>
    </row>
    <row r="3464">
      <c r="N3464">
        <f>IF(AND(ISNUMBER(L3464),ISNUMBER(M3464)),L3464-M3464,"")</f>
        <v/>
      </c>
    </row>
    <row r="3465">
      <c r="N3465">
        <f>IF(AND(ISNUMBER(L3465),ISNUMBER(M3465)),L3465-M3465,"")</f>
        <v/>
      </c>
    </row>
    <row r="3466">
      <c r="N3466">
        <f>IF(AND(ISNUMBER(L3466),ISNUMBER(M3466)),L3466-M3466,"")</f>
        <v/>
      </c>
    </row>
    <row r="3467">
      <c r="N3467">
        <f>IF(AND(ISNUMBER(L3467),ISNUMBER(M3467)),L3467-M3467,"")</f>
        <v/>
      </c>
    </row>
    <row r="3468">
      <c r="N3468">
        <f>IF(AND(ISNUMBER(L3468),ISNUMBER(M3468)),L3468-M3468,"")</f>
        <v/>
      </c>
    </row>
    <row r="3469">
      <c r="N3469">
        <f>IF(AND(ISNUMBER(L3469),ISNUMBER(M3469)),L3469-M3469,"")</f>
        <v/>
      </c>
    </row>
    <row r="3470">
      <c r="N3470">
        <f>IF(AND(ISNUMBER(L3470),ISNUMBER(M3470)),L3470-M3470,"")</f>
        <v/>
      </c>
    </row>
    <row r="3471">
      <c r="N3471">
        <f>IF(AND(ISNUMBER(L3471),ISNUMBER(M3471)),L3471-M3471,"")</f>
        <v/>
      </c>
    </row>
    <row r="3472">
      <c r="N3472">
        <f>IF(AND(ISNUMBER(L3472),ISNUMBER(M3472)),L3472-M3472,"")</f>
        <v/>
      </c>
    </row>
    <row r="3473">
      <c r="N3473">
        <f>IF(AND(ISNUMBER(L3473),ISNUMBER(M3473)),L3473-M3473,"")</f>
        <v/>
      </c>
    </row>
    <row r="3474">
      <c r="N3474">
        <f>IF(AND(ISNUMBER(L3474),ISNUMBER(M3474)),L3474-M3474,"")</f>
        <v/>
      </c>
    </row>
    <row r="3475">
      <c r="N3475">
        <f>IF(AND(ISNUMBER(L3475),ISNUMBER(M3475)),L3475-M3475,"")</f>
        <v/>
      </c>
    </row>
    <row r="3476">
      <c r="N3476">
        <f>IF(AND(ISNUMBER(L3476),ISNUMBER(M3476)),L3476-M3476,"")</f>
        <v/>
      </c>
    </row>
    <row r="3477">
      <c r="N3477">
        <f>IF(AND(ISNUMBER(L3477),ISNUMBER(M3477)),L3477-M3477,"")</f>
        <v/>
      </c>
    </row>
    <row r="3478">
      <c r="N3478">
        <f>IF(AND(ISNUMBER(L3478),ISNUMBER(M3478)),L3478-M3478,"")</f>
        <v/>
      </c>
    </row>
    <row r="3479">
      <c r="N3479">
        <f>IF(AND(ISNUMBER(L3479),ISNUMBER(M3479)),L3479-M3479,"")</f>
        <v/>
      </c>
    </row>
    <row r="3480">
      <c r="N3480">
        <f>IF(AND(ISNUMBER(L3480),ISNUMBER(M3480)),L3480-M3480,"")</f>
        <v/>
      </c>
    </row>
    <row r="3481">
      <c r="N3481">
        <f>IF(AND(ISNUMBER(L3481),ISNUMBER(M3481)),L3481-M3481,"")</f>
        <v/>
      </c>
    </row>
    <row r="3482">
      <c r="N3482">
        <f>IF(AND(ISNUMBER(L3482),ISNUMBER(M3482)),L3482-M3482,"")</f>
        <v/>
      </c>
    </row>
    <row r="3483">
      <c r="N3483">
        <f>IF(AND(ISNUMBER(L3483),ISNUMBER(M3483)),L3483-M3483,"")</f>
        <v/>
      </c>
    </row>
    <row r="3484">
      <c r="N3484">
        <f>IF(AND(ISNUMBER(L3484),ISNUMBER(M3484)),L3484-M3484,"")</f>
        <v/>
      </c>
    </row>
    <row r="3485">
      <c r="N3485">
        <f>IF(AND(ISNUMBER(L3485),ISNUMBER(M3485)),L3485-M3485,"")</f>
        <v/>
      </c>
    </row>
    <row r="3486">
      <c r="N3486">
        <f>IF(AND(ISNUMBER(L3486),ISNUMBER(M3486)),L3486-M3486,"")</f>
        <v/>
      </c>
    </row>
    <row r="3487">
      <c r="N3487">
        <f>IF(AND(ISNUMBER(L3487),ISNUMBER(M3487)),L3487-M3487,"")</f>
        <v/>
      </c>
    </row>
    <row r="3488">
      <c r="N3488">
        <f>IF(AND(ISNUMBER(L3488),ISNUMBER(M3488)),L3488-M3488,"")</f>
        <v/>
      </c>
    </row>
    <row r="3489">
      <c r="N3489">
        <f>IF(AND(ISNUMBER(L3489),ISNUMBER(M3489)),L3489-M3489,"")</f>
        <v/>
      </c>
    </row>
    <row r="3490">
      <c r="N3490">
        <f>IF(AND(ISNUMBER(L3490),ISNUMBER(M3490)),L3490-M3490,"")</f>
        <v/>
      </c>
    </row>
    <row r="3491">
      <c r="N3491">
        <f>IF(AND(ISNUMBER(L3491),ISNUMBER(M3491)),L3491-M3491,"")</f>
        <v/>
      </c>
    </row>
    <row r="3492">
      <c r="N3492">
        <f>IF(AND(ISNUMBER(L3492),ISNUMBER(M3492)),L3492-M3492,"")</f>
        <v/>
      </c>
    </row>
    <row r="3493">
      <c r="N3493">
        <f>IF(AND(ISNUMBER(L3493),ISNUMBER(M3493)),L3493-M3493,"")</f>
        <v/>
      </c>
    </row>
    <row r="3494">
      <c r="N3494">
        <f>IF(AND(ISNUMBER(L3494),ISNUMBER(M3494)),L3494-M3494,"")</f>
        <v/>
      </c>
    </row>
    <row r="3495">
      <c r="N3495">
        <f>IF(AND(ISNUMBER(L3495),ISNUMBER(M3495)),L3495-M3495,"")</f>
        <v/>
      </c>
    </row>
    <row r="3496">
      <c r="N3496">
        <f>IF(AND(ISNUMBER(L3496),ISNUMBER(M3496)),L3496-M3496,"")</f>
        <v/>
      </c>
    </row>
    <row r="3497">
      <c r="N3497">
        <f>IF(AND(ISNUMBER(L3497),ISNUMBER(M3497)),L3497-M3497,"")</f>
        <v/>
      </c>
    </row>
    <row r="3498">
      <c r="N3498">
        <f>IF(AND(ISNUMBER(L3498),ISNUMBER(M3498)),L3498-M3498,"")</f>
        <v/>
      </c>
    </row>
    <row r="3499">
      <c r="N3499">
        <f>IF(AND(ISNUMBER(L3499),ISNUMBER(M3499)),L3499-M3499,"")</f>
        <v/>
      </c>
    </row>
    <row r="3500">
      <c r="N3500">
        <f>IF(AND(ISNUMBER(L3500),ISNUMBER(M3500)),L3500-M3500,"")</f>
        <v/>
      </c>
    </row>
    <row r="3501">
      <c r="N3501">
        <f>IF(AND(ISNUMBER(L3501),ISNUMBER(M3501)),L3501-M3501,"")</f>
        <v/>
      </c>
    </row>
    <row r="3502">
      <c r="N3502">
        <f>IF(AND(ISNUMBER(L3502),ISNUMBER(M3502)),L3502-M3502,"")</f>
        <v/>
      </c>
    </row>
    <row r="3503">
      <c r="N3503">
        <f>IF(AND(ISNUMBER(L3503),ISNUMBER(M3503)),L3503-M3503,"")</f>
        <v/>
      </c>
    </row>
    <row r="3504">
      <c r="N3504">
        <f>IF(AND(ISNUMBER(L3504),ISNUMBER(M3504)),L3504-M3504,"")</f>
        <v/>
      </c>
    </row>
    <row r="3505">
      <c r="N3505">
        <f>IF(AND(ISNUMBER(L3505),ISNUMBER(M3505)),L3505-M3505,"")</f>
        <v/>
      </c>
    </row>
    <row r="3506">
      <c r="N3506">
        <f>IF(AND(ISNUMBER(L3506),ISNUMBER(M3506)),L3506-M3506,"")</f>
        <v/>
      </c>
    </row>
    <row r="3507">
      <c r="N3507">
        <f>IF(AND(ISNUMBER(L3507),ISNUMBER(M3507)),L3507-M3507,"")</f>
        <v/>
      </c>
    </row>
    <row r="3508">
      <c r="N3508">
        <f>IF(AND(ISNUMBER(L3508),ISNUMBER(M3508)),L3508-M3508,"")</f>
        <v/>
      </c>
    </row>
    <row r="3509">
      <c r="N3509">
        <f>IF(AND(ISNUMBER(L3509),ISNUMBER(M3509)),L3509-M3509,"")</f>
        <v/>
      </c>
    </row>
    <row r="3510">
      <c r="N3510">
        <f>IF(AND(ISNUMBER(L3510),ISNUMBER(M3510)),L3510-M3510,"")</f>
        <v/>
      </c>
    </row>
    <row r="3511">
      <c r="N3511">
        <f>IF(AND(ISNUMBER(L3511),ISNUMBER(M3511)),L3511-M3511,"")</f>
        <v/>
      </c>
    </row>
    <row r="3512">
      <c r="N3512">
        <f>IF(AND(ISNUMBER(L3512),ISNUMBER(M3512)),L3512-M3512,"")</f>
        <v/>
      </c>
    </row>
    <row r="3513">
      <c r="N3513">
        <f>IF(AND(ISNUMBER(L3513),ISNUMBER(M3513)),L3513-M3513,"")</f>
        <v/>
      </c>
    </row>
    <row r="3514">
      <c r="N3514">
        <f>IF(AND(ISNUMBER(L3514),ISNUMBER(M3514)),L3514-M3514,"")</f>
        <v/>
      </c>
    </row>
    <row r="3515">
      <c r="N3515">
        <f>IF(AND(ISNUMBER(L3515),ISNUMBER(M3515)),L3515-M3515,"")</f>
        <v/>
      </c>
    </row>
    <row r="3516">
      <c r="N3516">
        <f>IF(AND(ISNUMBER(L3516),ISNUMBER(M3516)),L3516-M3516,"")</f>
        <v/>
      </c>
    </row>
    <row r="3517">
      <c r="N3517">
        <f>IF(AND(ISNUMBER(L3517),ISNUMBER(M3517)),L3517-M3517,"")</f>
        <v/>
      </c>
    </row>
    <row r="3518">
      <c r="N3518">
        <f>IF(AND(ISNUMBER(L3518),ISNUMBER(M3518)),L3518-M3518,"")</f>
        <v/>
      </c>
    </row>
    <row r="3519">
      <c r="N3519">
        <f>IF(AND(ISNUMBER(L3519),ISNUMBER(M3519)),L3519-M3519,"")</f>
        <v/>
      </c>
    </row>
    <row r="3520">
      <c r="N3520">
        <f>IF(AND(ISNUMBER(L3520),ISNUMBER(M3520)),L3520-M3520,"")</f>
        <v/>
      </c>
    </row>
    <row r="3521">
      <c r="N3521">
        <f>IF(AND(ISNUMBER(L3521),ISNUMBER(M3521)),L3521-M3521,"")</f>
        <v/>
      </c>
    </row>
    <row r="3522">
      <c r="N3522">
        <f>IF(AND(ISNUMBER(L3522),ISNUMBER(M3522)),L3522-M3522,"")</f>
        <v/>
      </c>
    </row>
    <row r="3523">
      <c r="N3523">
        <f>IF(AND(ISNUMBER(L3523),ISNUMBER(M3523)),L3523-M3523,"")</f>
        <v/>
      </c>
    </row>
    <row r="3524">
      <c r="N3524">
        <f>IF(AND(ISNUMBER(L3524),ISNUMBER(M3524)),L3524-M3524,"")</f>
        <v/>
      </c>
    </row>
    <row r="3525">
      <c r="N3525">
        <f>IF(AND(ISNUMBER(L3525),ISNUMBER(M3525)),L3525-M3525,"")</f>
        <v/>
      </c>
    </row>
    <row r="3526">
      <c r="N3526">
        <f>IF(AND(ISNUMBER(L3526),ISNUMBER(M3526)),L3526-M3526,"")</f>
        <v/>
      </c>
    </row>
    <row r="3527">
      <c r="N3527">
        <f>IF(AND(ISNUMBER(L3527),ISNUMBER(M3527)),L3527-M3527,"")</f>
        <v/>
      </c>
    </row>
    <row r="3528">
      <c r="N3528">
        <f>IF(AND(ISNUMBER(L3528),ISNUMBER(M3528)),L3528-M3528,"")</f>
        <v/>
      </c>
    </row>
    <row r="3529">
      <c r="N3529">
        <f>IF(AND(ISNUMBER(L3529),ISNUMBER(M3529)),L3529-M3529,"")</f>
        <v/>
      </c>
    </row>
    <row r="3530">
      <c r="N3530">
        <f>IF(AND(ISNUMBER(L3530),ISNUMBER(M3530)),L3530-M3530,"")</f>
        <v/>
      </c>
    </row>
    <row r="3531">
      <c r="N3531">
        <f>IF(AND(ISNUMBER(L3531),ISNUMBER(M3531)),L3531-M3531,"")</f>
        <v/>
      </c>
    </row>
    <row r="3532">
      <c r="N3532">
        <f>IF(AND(ISNUMBER(L3532),ISNUMBER(M3532)),L3532-M3532,"")</f>
        <v/>
      </c>
    </row>
    <row r="3533">
      <c r="N3533">
        <f>IF(AND(ISNUMBER(L3533),ISNUMBER(M3533)),L3533-M3533,"")</f>
        <v/>
      </c>
    </row>
    <row r="3534">
      <c r="N3534">
        <f>IF(AND(ISNUMBER(L3534),ISNUMBER(M3534)),L3534-M3534,"")</f>
        <v/>
      </c>
    </row>
    <row r="3535">
      <c r="N3535">
        <f>IF(AND(ISNUMBER(L3535),ISNUMBER(M3535)),L3535-M3535,"")</f>
        <v/>
      </c>
    </row>
    <row r="3536">
      <c r="N3536">
        <f>IF(AND(ISNUMBER(L3536),ISNUMBER(M3536)),L3536-M3536,"")</f>
        <v/>
      </c>
    </row>
    <row r="3537">
      <c r="N3537">
        <f>IF(AND(ISNUMBER(L3537),ISNUMBER(M3537)),L3537-M3537,"")</f>
        <v/>
      </c>
    </row>
    <row r="3538">
      <c r="N3538">
        <f>IF(AND(ISNUMBER(L3538),ISNUMBER(M3538)),L3538-M3538,"")</f>
        <v/>
      </c>
    </row>
    <row r="3539">
      <c r="N3539">
        <f>IF(AND(ISNUMBER(L3539),ISNUMBER(M3539)),L3539-M3539,"")</f>
        <v/>
      </c>
    </row>
    <row r="3540">
      <c r="N3540">
        <f>IF(AND(ISNUMBER(L3540),ISNUMBER(M3540)),L3540-M3540,"")</f>
        <v/>
      </c>
    </row>
    <row r="3541">
      <c r="N3541">
        <f>IF(AND(ISNUMBER(L3541),ISNUMBER(M3541)),L3541-M3541,"")</f>
        <v/>
      </c>
    </row>
    <row r="3542">
      <c r="N3542">
        <f>IF(AND(ISNUMBER(L3542),ISNUMBER(M3542)),L3542-M3542,"")</f>
        <v/>
      </c>
    </row>
    <row r="3543">
      <c r="N3543">
        <f>IF(AND(ISNUMBER(L3543),ISNUMBER(M3543)),L3543-M3543,"")</f>
        <v/>
      </c>
    </row>
    <row r="3544">
      <c r="N3544">
        <f>IF(AND(ISNUMBER(L3544),ISNUMBER(M3544)),L3544-M3544,"")</f>
        <v/>
      </c>
    </row>
    <row r="3545">
      <c r="N3545">
        <f>IF(AND(ISNUMBER(L3545),ISNUMBER(M3545)),L3545-M3545,"")</f>
        <v/>
      </c>
    </row>
    <row r="3546">
      <c r="N3546">
        <f>IF(AND(ISNUMBER(L3546),ISNUMBER(M3546)),L3546-M3546,"")</f>
        <v/>
      </c>
    </row>
    <row r="3547">
      <c r="N3547">
        <f>IF(AND(ISNUMBER(L3547),ISNUMBER(M3547)),L3547-M3547,"")</f>
        <v/>
      </c>
    </row>
    <row r="3548">
      <c r="N3548">
        <f>IF(AND(ISNUMBER(L3548),ISNUMBER(M3548)),L3548-M3548,"")</f>
        <v/>
      </c>
    </row>
    <row r="3549">
      <c r="N3549">
        <f>IF(AND(ISNUMBER(L3549),ISNUMBER(M3549)),L3549-M3549,"")</f>
        <v/>
      </c>
    </row>
    <row r="3550">
      <c r="N3550">
        <f>IF(AND(ISNUMBER(L3550),ISNUMBER(M3550)),L3550-M3550,"")</f>
        <v/>
      </c>
    </row>
    <row r="3551">
      <c r="N3551">
        <f>IF(AND(ISNUMBER(L3551),ISNUMBER(M3551)),L3551-M3551,"")</f>
        <v/>
      </c>
    </row>
    <row r="3552">
      <c r="N3552">
        <f>IF(AND(ISNUMBER(L3552),ISNUMBER(M3552)),L3552-M3552,"")</f>
        <v/>
      </c>
    </row>
    <row r="3553">
      <c r="N3553">
        <f>IF(AND(ISNUMBER(L3553),ISNUMBER(M3553)),L3553-M3553,"")</f>
        <v/>
      </c>
    </row>
    <row r="3554">
      <c r="N3554">
        <f>IF(AND(ISNUMBER(L3554),ISNUMBER(M3554)),L3554-M3554,"")</f>
        <v/>
      </c>
    </row>
    <row r="3555">
      <c r="N3555">
        <f>IF(AND(ISNUMBER(L3555),ISNUMBER(M3555)),L3555-M3555,"")</f>
        <v/>
      </c>
    </row>
    <row r="3556">
      <c r="N3556">
        <f>IF(AND(ISNUMBER(L3556),ISNUMBER(M3556)),L3556-M3556,"")</f>
        <v/>
      </c>
    </row>
    <row r="3557">
      <c r="N3557">
        <f>IF(AND(ISNUMBER(L3557),ISNUMBER(M3557)),L3557-M3557,"")</f>
        <v/>
      </c>
    </row>
    <row r="3558">
      <c r="N3558">
        <f>IF(AND(ISNUMBER(L3558),ISNUMBER(M3558)),L3558-M3558,"")</f>
        <v/>
      </c>
    </row>
    <row r="3559">
      <c r="N3559">
        <f>IF(AND(ISNUMBER(L3559),ISNUMBER(M3559)),L3559-M3559,"")</f>
        <v/>
      </c>
    </row>
    <row r="3560">
      <c r="N3560">
        <f>IF(AND(ISNUMBER(L3560),ISNUMBER(M3560)),L3560-M3560,"")</f>
        <v/>
      </c>
    </row>
    <row r="3561">
      <c r="N3561">
        <f>IF(AND(ISNUMBER(L3561),ISNUMBER(M3561)),L3561-M3561,"")</f>
        <v/>
      </c>
    </row>
    <row r="3562">
      <c r="N3562">
        <f>IF(AND(ISNUMBER(L3562),ISNUMBER(M3562)),L3562-M3562,"")</f>
        <v/>
      </c>
    </row>
    <row r="3563">
      <c r="N3563">
        <f>IF(AND(ISNUMBER(L3563),ISNUMBER(M3563)),L3563-M3563,"")</f>
        <v/>
      </c>
    </row>
    <row r="3564">
      <c r="N3564">
        <f>IF(AND(ISNUMBER(L3564),ISNUMBER(M3564)),L3564-M3564,"")</f>
        <v/>
      </c>
    </row>
    <row r="3565">
      <c r="N3565">
        <f>IF(AND(ISNUMBER(L3565),ISNUMBER(M3565)),L3565-M3565,"")</f>
        <v/>
      </c>
    </row>
    <row r="3566">
      <c r="N3566">
        <f>IF(AND(ISNUMBER(L3566),ISNUMBER(M3566)),L3566-M3566,"")</f>
        <v/>
      </c>
    </row>
    <row r="3567">
      <c r="N3567">
        <f>IF(AND(ISNUMBER(L3567),ISNUMBER(M3567)),L3567-M3567,"")</f>
        <v/>
      </c>
    </row>
    <row r="3568">
      <c r="N3568">
        <f>IF(AND(ISNUMBER(L3568),ISNUMBER(M3568)),L3568-M3568,"")</f>
        <v/>
      </c>
    </row>
    <row r="3569">
      <c r="N3569">
        <f>IF(AND(ISNUMBER(L3569),ISNUMBER(M3569)),L3569-M3569,"")</f>
        <v/>
      </c>
    </row>
    <row r="3570">
      <c r="N3570">
        <f>IF(AND(ISNUMBER(L3570),ISNUMBER(M3570)),L3570-M3570,"")</f>
        <v/>
      </c>
    </row>
    <row r="3571">
      <c r="N3571">
        <f>IF(AND(ISNUMBER(L3571),ISNUMBER(M3571)),L3571-M3571,"")</f>
        <v/>
      </c>
    </row>
    <row r="3572">
      <c r="N3572">
        <f>IF(AND(ISNUMBER(L3572),ISNUMBER(M3572)),L3572-M3572,"")</f>
        <v/>
      </c>
    </row>
    <row r="3573">
      <c r="N3573">
        <f>IF(AND(ISNUMBER(L3573),ISNUMBER(M3573)),L3573-M3573,"")</f>
        <v/>
      </c>
    </row>
    <row r="3574">
      <c r="N3574">
        <f>IF(AND(ISNUMBER(L3574),ISNUMBER(M3574)),L3574-M3574,"")</f>
        <v/>
      </c>
    </row>
    <row r="3575">
      <c r="N3575">
        <f>IF(AND(ISNUMBER(L3575),ISNUMBER(M3575)),L3575-M3575,"")</f>
        <v/>
      </c>
    </row>
    <row r="3576">
      <c r="N3576">
        <f>IF(AND(ISNUMBER(L3576),ISNUMBER(M3576)),L3576-M3576,"")</f>
        <v/>
      </c>
    </row>
    <row r="3577">
      <c r="N3577">
        <f>IF(AND(ISNUMBER(L3577),ISNUMBER(M3577)),L3577-M3577,"")</f>
        <v/>
      </c>
    </row>
    <row r="3578">
      <c r="N3578">
        <f>IF(AND(ISNUMBER(L3578),ISNUMBER(M3578)),L3578-M3578,"")</f>
        <v/>
      </c>
    </row>
    <row r="3579">
      <c r="N3579">
        <f>IF(AND(ISNUMBER(L3579),ISNUMBER(M3579)),L3579-M3579,"")</f>
        <v/>
      </c>
    </row>
    <row r="3580">
      <c r="N3580">
        <f>IF(AND(ISNUMBER(L3580),ISNUMBER(M3580)),L3580-M3580,"")</f>
        <v/>
      </c>
    </row>
    <row r="3581">
      <c r="N3581">
        <f>IF(AND(ISNUMBER(L3581),ISNUMBER(M3581)),L3581-M3581,"")</f>
        <v/>
      </c>
    </row>
    <row r="3582">
      <c r="N3582">
        <f>IF(AND(ISNUMBER(L3582),ISNUMBER(M3582)),L3582-M3582,"")</f>
        <v/>
      </c>
    </row>
    <row r="3583">
      <c r="N3583">
        <f>IF(AND(ISNUMBER(L3583),ISNUMBER(M3583)),L3583-M3583,"")</f>
        <v/>
      </c>
    </row>
    <row r="3584">
      <c r="N3584">
        <f>IF(AND(ISNUMBER(L3584),ISNUMBER(M3584)),L3584-M3584,"")</f>
        <v/>
      </c>
    </row>
    <row r="3585">
      <c r="N3585">
        <f>IF(AND(ISNUMBER(L3585),ISNUMBER(M3585)),L3585-M3585,"")</f>
        <v/>
      </c>
    </row>
    <row r="3586">
      <c r="N3586">
        <f>IF(AND(ISNUMBER(L3586),ISNUMBER(M3586)),L3586-M3586,"")</f>
        <v/>
      </c>
    </row>
    <row r="3587">
      <c r="N3587">
        <f>IF(AND(ISNUMBER(L3587),ISNUMBER(M3587)),L3587-M3587,"")</f>
        <v/>
      </c>
    </row>
    <row r="3588">
      <c r="N3588">
        <f>IF(AND(ISNUMBER(L3588),ISNUMBER(M3588)),L3588-M3588,"")</f>
        <v/>
      </c>
    </row>
    <row r="3589">
      <c r="N3589">
        <f>IF(AND(ISNUMBER(L3589),ISNUMBER(M3589)),L3589-M3589,"")</f>
        <v/>
      </c>
    </row>
    <row r="3590">
      <c r="N3590">
        <f>IF(AND(ISNUMBER(L3590),ISNUMBER(M3590)),L3590-M3590,"")</f>
        <v/>
      </c>
    </row>
    <row r="3591">
      <c r="N3591">
        <f>IF(AND(ISNUMBER(L3591),ISNUMBER(M3591)),L3591-M3591,"")</f>
        <v/>
      </c>
    </row>
    <row r="3592">
      <c r="N3592">
        <f>IF(AND(ISNUMBER(L3592),ISNUMBER(M3592)),L3592-M3592,"")</f>
        <v/>
      </c>
    </row>
    <row r="3593">
      <c r="N3593">
        <f>IF(AND(ISNUMBER(L3593),ISNUMBER(M3593)),L3593-M3593,"")</f>
        <v/>
      </c>
    </row>
    <row r="3594">
      <c r="N3594">
        <f>IF(AND(ISNUMBER(L3594),ISNUMBER(M3594)),L3594-M3594,"")</f>
        <v/>
      </c>
    </row>
    <row r="3595">
      <c r="N3595">
        <f>IF(AND(ISNUMBER(L3595),ISNUMBER(M3595)),L3595-M3595,"")</f>
        <v/>
      </c>
    </row>
    <row r="3596">
      <c r="N3596">
        <f>IF(AND(ISNUMBER(L3596),ISNUMBER(M3596)),L3596-M3596,"")</f>
        <v/>
      </c>
    </row>
    <row r="3597">
      <c r="N3597">
        <f>IF(AND(ISNUMBER(L3597),ISNUMBER(M3597)),L3597-M3597,"")</f>
        <v/>
      </c>
    </row>
    <row r="3598">
      <c r="N3598">
        <f>IF(AND(ISNUMBER(L3598),ISNUMBER(M3598)),L3598-M3598,"")</f>
        <v/>
      </c>
    </row>
    <row r="3599">
      <c r="N3599">
        <f>IF(AND(ISNUMBER(L3599),ISNUMBER(M3599)),L3599-M3599,"")</f>
        <v/>
      </c>
    </row>
    <row r="3600">
      <c r="N3600">
        <f>IF(AND(ISNUMBER(L3600),ISNUMBER(M3600)),L3600-M3600,"")</f>
        <v/>
      </c>
    </row>
    <row r="3601">
      <c r="N3601">
        <f>IF(AND(ISNUMBER(L3601),ISNUMBER(M3601)),L3601-M3601,"")</f>
        <v/>
      </c>
    </row>
    <row r="3602">
      <c r="N3602">
        <f>IF(AND(ISNUMBER(L3602),ISNUMBER(M3602)),L3602-M3602,"")</f>
        <v/>
      </c>
    </row>
    <row r="3603">
      <c r="N3603">
        <f>IF(AND(ISNUMBER(L3603),ISNUMBER(M3603)),L3603-M3603,"")</f>
        <v/>
      </c>
    </row>
    <row r="3604">
      <c r="N3604">
        <f>IF(AND(ISNUMBER(L3604),ISNUMBER(M3604)),L3604-M3604,"")</f>
        <v/>
      </c>
    </row>
    <row r="3605">
      <c r="N3605">
        <f>IF(AND(ISNUMBER(L3605),ISNUMBER(M3605)),L3605-M3605,"")</f>
        <v/>
      </c>
    </row>
    <row r="3606">
      <c r="N3606">
        <f>IF(AND(ISNUMBER(L3606),ISNUMBER(M3606)),L3606-M3606,"")</f>
        <v/>
      </c>
    </row>
    <row r="3607">
      <c r="N3607">
        <f>IF(AND(ISNUMBER(L3607),ISNUMBER(M3607)),L3607-M3607,"")</f>
        <v/>
      </c>
    </row>
    <row r="3608">
      <c r="N3608">
        <f>IF(AND(ISNUMBER(L3608),ISNUMBER(M3608)),L3608-M3608,"")</f>
        <v/>
      </c>
    </row>
    <row r="3609">
      <c r="N3609">
        <f>IF(AND(ISNUMBER(L3609),ISNUMBER(M3609)),L3609-M3609,"")</f>
        <v/>
      </c>
    </row>
    <row r="3610">
      <c r="N3610">
        <f>IF(AND(ISNUMBER(L3610),ISNUMBER(M3610)),L3610-M3610,"")</f>
        <v/>
      </c>
    </row>
    <row r="3611">
      <c r="N3611">
        <f>IF(AND(ISNUMBER(L3611),ISNUMBER(M3611)),L3611-M3611,"")</f>
        <v/>
      </c>
    </row>
    <row r="3612">
      <c r="N3612">
        <f>IF(AND(ISNUMBER(L3612),ISNUMBER(M3612)),L3612-M3612,"")</f>
        <v/>
      </c>
    </row>
    <row r="3613">
      <c r="N3613">
        <f>IF(AND(ISNUMBER(L3613),ISNUMBER(M3613)),L3613-M3613,"")</f>
        <v/>
      </c>
    </row>
    <row r="3614">
      <c r="N3614">
        <f>IF(AND(ISNUMBER(L3614),ISNUMBER(M3614)),L3614-M3614,"")</f>
        <v/>
      </c>
    </row>
    <row r="3615">
      <c r="N3615">
        <f>IF(AND(ISNUMBER(L3615),ISNUMBER(M3615)),L3615-M3615,"")</f>
        <v/>
      </c>
    </row>
    <row r="3616">
      <c r="N3616">
        <f>IF(AND(ISNUMBER(L3616),ISNUMBER(M3616)),L3616-M3616,"")</f>
        <v/>
      </c>
    </row>
    <row r="3617">
      <c r="N3617">
        <f>IF(AND(ISNUMBER(L3617),ISNUMBER(M3617)),L3617-M3617,"")</f>
        <v/>
      </c>
    </row>
    <row r="3618">
      <c r="N3618">
        <f>IF(AND(ISNUMBER(L3618),ISNUMBER(M3618)),L3618-M3618,"")</f>
        <v/>
      </c>
    </row>
    <row r="3619">
      <c r="N3619">
        <f>IF(AND(ISNUMBER(L3619),ISNUMBER(M3619)),L3619-M3619,"")</f>
        <v/>
      </c>
    </row>
    <row r="3620">
      <c r="N3620">
        <f>IF(AND(ISNUMBER(L3620),ISNUMBER(M3620)),L3620-M3620,"")</f>
        <v/>
      </c>
    </row>
    <row r="3621">
      <c r="N3621">
        <f>IF(AND(ISNUMBER(L3621),ISNUMBER(M3621)),L3621-M3621,"")</f>
        <v/>
      </c>
    </row>
    <row r="3622">
      <c r="N3622">
        <f>IF(AND(ISNUMBER(L3622),ISNUMBER(M3622)),L3622-M3622,"")</f>
        <v/>
      </c>
    </row>
    <row r="3623">
      <c r="N3623">
        <f>IF(AND(ISNUMBER(L3623),ISNUMBER(M3623)),L3623-M3623,"")</f>
        <v/>
      </c>
    </row>
    <row r="3624">
      <c r="N3624">
        <f>IF(AND(ISNUMBER(L3624),ISNUMBER(M3624)),L3624-M3624,"")</f>
        <v/>
      </c>
    </row>
    <row r="3625">
      <c r="N3625">
        <f>IF(AND(ISNUMBER(L3625),ISNUMBER(M3625)),L3625-M3625,"")</f>
        <v/>
      </c>
    </row>
    <row r="3626">
      <c r="N3626">
        <f>IF(AND(ISNUMBER(L3626),ISNUMBER(M3626)),L3626-M3626,"")</f>
        <v/>
      </c>
    </row>
    <row r="3627">
      <c r="N3627">
        <f>IF(AND(ISNUMBER(L3627),ISNUMBER(M3627)),L3627-M3627,"")</f>
        <v/>
      </c>
    </row>
    <row r="3628">
      <c r="N3628">
        <f>IF(AND(ISNUMBER(L3628),ISNUMBER(M3628)),L3628-M3628,"")</f>
        <v/>
      </c>
    </row>
    <row r="3629">
      <c r="N3629">
        <f>IF(AND(ISNUMBER(L3629),ISNUMBER(M3629)),L3629-M3629,"")</f>
        <v/>
      </c>
    </row>
    <row r="3630">
      <c r="N3630">
        <f>IF(AND(ISNUMBER(L3630),ISNUMBER(M3630)),L3630-M3630,"")</f>
        <v/>
      </c>
    </row>
    <row r="3631">
      <c r="N3631">
        <f>IF(AND(ISNUMBER(L3631),ISNUMBER(M3631)),L3631-M3631,"")</f>
        <v/>
      </c>
    </row>
    <row r="3632">
      <c r="N3632">
        <f>IF(AND(ISNUMBER(L3632),ISNUMBER(M3632)),L3632-M3632,"")</f>
        <v/>
      </c>
    </row>
    <row r="3633">
      <c r="N3633">
        <f>IF(AND(ISNUMBER(L3633),ISNUMBER(M3633)),L3633-M3633,"")</f>
        <v/>
      </c>
    </row>
    <row r="3634">
      <c r="N3634">
        <f>IF(AND(ISNUMBER(L3634),ISNUMBER(M3634)),L3634-M3634,"")</f>
        <v/>
      </c>
    </row>
    <row r="3635">
      <c r="N3635">
        <f>IF(AND(ISNUMBER(L3635),ISNUMBER(M3635)),L3635-M3635,"")</f>
        <v/>
      </c>
    </row>
    <row r="3636">
      <c r="N3636">
        <f>IF(AND(ISNUMBER(L3636),ISNUMBER(M3636)),L3636-M3636,"")</f>
        <v/>
      </c>
    </row>
    <row r="3637">
      <c r="N3637">
        <f>IF(AND(ISNUMBER(L3637),ISNUMBER(M3637)),L3637-M3637,"")</f>
        <v/>
      </c>
    </row>
    <row r="3638">
      <c r="N3638">
        <f>IF(AND(ISNUMBER(L3638),ISNUMBER(M3638)),L3638-M3638,"")</f>
        <v/>
      </c>
    </row>
    <row r="3639">
      <c r="N3639">
        <f>IF(AND(ISNUMBER(L3639),ISNUMBER(M3639)),L3639-M3639,"")</f>
        <v/>
      </c>
    </row>
    <row r="3640">
      <c r="N3640">
        <f>IF(AND(ISNUMBER(L3640),ISNUMBER(M3640)),L3640-M3640,"")</f>
        <v/>
      </c>
    </row>
    <row r="3641">
      <c r="N3641">
        <f>IF(AND(ISNUMBER(L3641),ISNUMBER(M3641)),L3641-M3641,"")</f>
        <v/>
      </c>
    </row>
    <row r="3642">
      <c r="N3642">
        <f>IF(AND(ISNUMBER(L3642),ISNUMBER(M3642)),L3642-M3642,"")</f>
        <v/>
      </c>
    </row>
    <row r="3643">
      <c r="N3643">
        <f>IF(AND(ISNUMBER(L3643),ISNUMBER(M3643)),L3643-M3643,"")</f>
        <v/>
      </c>
    </row>
    <row r="3644">
      <c r="N3644">
        <f>IF(AND(ISNUMBER(L3644),ISNUMBER(M3644)),L3644-M3644,"")</f>
        <v/>
      </c>
    </row>
    <row r="3645">
      <c r="N3645">
        <f>IF(AND(ISNUMBER(L3645),ISNUMBER(M3645)),L3645-M3645,"")</f>
        <v/>
      </c>
    </row>
    <row r="3646">
      <c r="N3646">
        <f>IF(AND(ISNUMBER(L3646),ISNUMBER(M3646)),L3646-M3646,"")</f>
        <v/>
      </c>
    </row>
    <row r="3647">
      <c r="N3647">
        <f>IF(AND(ISNUMBER(L3647),ISNUMBER(M3647)),L3647-M3647,"")</f>
        <v/>
      </c>
    </row>
    <row r="3648">
      <c r="N3648">
        <f>IF(AND(ISNUMBER(L3648),ISNUMBER(M3648)),L3648-M3648,"")</f>
        <v/>
      </c>
    </row>
    <row r="3649">
      <c r="N3649">
        <f>IF(AND(ISNUMBER(L3649),ISNUMBER(M3649)),L3649-M3649,"")</f>
        <v/>
      </c>
    </row>
    <row r="3650">
      <c r="N3650">
        <f>IF(AND(ISNUMBER(L3650),ISNUMBER(M3650)),L3650-M3650,"")</f>
        <v/>
      </c>
    </row>
    <row r="3651">
      <c r="N3651">
        <f>IF(AND(ISNUMBER(L3651),ISNUMBER(M3651)),L3651-M3651,"")</f>
        <v/>
      </c>
    </row>
    <row r="3652">
      <c r="N3652">
        <f>IF(AND(ISNUMBER(L3652),ISNUMBER(M3652)),L3652-M3652,"")</f>
        <v/>
      </c>
    </row>
    <row r="3653">
      <c r="N3653">
        <f>IF(AND(ISNUMBER(L3653),ISNUMBER(M3653)),L3653-M3653,"")</f>
        <v/>
      </c>
    </row>
    <row r="3654">
      <c r="N3654">
        <f>IF(AND(ISNUMBER(L3654),ISNUMBER(M3654)),L3654-M3654,"")</f>
        <v/>
      </c>
    </row>
    <row r="3655">
      <c r="N3655">
        <f>IF(AND(ISNUMBER(L3655),ISNUMBER(M3655)),L3655-M3655,"")</f>
        <v/>
      </c>
    </row>
    <row r="3656">
      <c r="N3656">
        <f>IF(AND(ISNUMBER(L3656),ISNUMBER(M3656)),L3656-M3656,"")</f>
        <v/>
      </c>
    </row>
    <row r="3657">
      <c r="N3657">
        <f>IF(AND(ISNUMBER(L3657),ISNUMBER(M3657)),L3657-M3657,"")</f>
        <v/>
      </c>
    </row>
    <row r="3658">
      <c r="N3658">
        <f>IF(AND(ISNUMBER(L3658),ISNUMBER(M3658)),L3658-M3658,"")</f>
        <v/>
      </c>
    </row>
    <row r="3659">
      <c r="N3659">
        <f>IF(AND(ISNUMBER(L3659),ISNUMBER(M3659)),L3659-M3659,"")</f>
        <v/>
      </c>
    </row>
    <row r="3660">
      <c r="N3660">
        <f>IF(AND(ISNUMBER(L3660),ISNUMBER(M3660)),L3660-M3660,"")</f>
        <v/>
      </c>
    </row>
    <row r="3661">
      <c r="N3661">
        <f>IF(AND(ISNUMBER(L3661),ISNUMBER(M3661)),L3661-M3661,"")</f>
        <v/>
      </c>
    </row>
    <row r="3662">
      <c r="N3662">
        <f>IF(AND(ISNUMBER(L3662),ISNUMBER(M3662)),L3662-M3662,"")</f>
        <v/>
      </c>
    </row>
    <row r="3663">
      <c r="N3663">
        <f>IF(AND(ISNUMBER(L3663),ISNUMBER(M3663)),L3663-M3663,"")</f>
        <v/>
      </c>
    </row>
    <row r="3664">
      <c r="N3664">
        <f>IF(AND(ISNUMBER(L3664),ISNUMBER(M3664)),L3664-M3664,"")</f>
        <v/>
      </c>
    </row>
    <row r="3665">
      <c r="N3665">
        <f>IF(AND(ISNUMBER(L3665),ISNUMBER(M3665)),L3665-M3665,"")</f>
        <v/>
      </c>
    </row>
    <row r="3666">
      <c r="N3666">
        <f>IF(AND(ISNUMBER(L3666),ISNUMBER(M3666)),L3666-M3666,"")</f>
        <v/>
      </c>
    </row>
    <row r="3667">
      <c r="N3667">
        <f>IF(AND(ISNUMBER(L3667),ISNUMBER(M3667)),L3667-M3667,"")</f>
        <v/>
      </c>
    </row>
    <row r="3668">
      <c r="N3668">
        <f>IF(AND(ISNUMBER(L3668),ISNUMBER(M3668)),L3668-M3668,"")</f>
        <v/>
      </c>
    </row>
    <row r="3669">
      <c r="N3669">
        <f>IF(AND(ISNUMBER(L3669),ISNUMBER(M3669)),L3669-M3669,"")</f>
        <v/>
      </c>
    </row>
    <row r="3670">
      <c r="N3670">
        <f>IF(AND(ISNUMBER(L3670),ISNUMBER(M3670)),L3670-M3670,"")</f>
        <v/>
      </c>
    </row>
    <row r="3671">
      <c r="N3671">
        <f>IF(AND(ISNUMBER(L3671),ISNUMBER(M3671)),L3671-M3671,"")</f>
        <v/>
      </c>
    </row>
    <row r="3672">
      <c r="N3672">
        <f>IF(AND(ISNUMBER(L3672),ISNUMBER(M3672)),L3672-M3672,"")</f>
        <v/>
      </c>
    </row>
    <row r="3673">
      <c r="N3673">
        <f>IF(AND(ISNUMBER(L3673),ISNUMBER(M3673)),L3673-M3673,"")</f>
        <v/>
      </c>
    </row>
    <row r="3674">
      <c r="N3674">
        <f>IF(AND(ISNUMBER(L3674),ISNUMBER(M3674)),L3674-M3674,"")</f>
        <v/>
      </c>
    </row>
    <row r="3675">
      <c r="N3675">
        <f>IF(AND(ISNUMBER(L3675),ISNUMBER(M3675)),L3675-M3675,"")</f>
        <v/>
      </c>
    </row>
    <row r="3676">
      <c r="N3676">
        <f>IF(AND(ISNUMBER(L3676),ISNUMBER(M3676)),L3676-M3676,"")</f>
        <v/>
      </c>
    </row>
    <row r="3677">
      <c r="N3677">
        <f>IF(AND(ISNUMBER(L3677),ISNUMBER(M3677)),L3677-M3677,"")</f>
        <v/>
      </c>
    </row>
    <row r="3678">
      <c r="N3678">
        <f>IF(AND(ISNUMBER(L3678),ISNUMBER(M3678)),L3678-M3678,"")</f>
        <v/>
      </c>
    </row>
    <row r="3679">
      <c r="N3679">
        <f>IF(AND(ISNUMBER(L3679),ISNUMBER(M3679)),L3679-M3679,"")</f>
        <v/>
      </c>
    </row>
    <row r="3680">
      <c r="N3680">
        <f>IF(AND(ISNUMBER(L3680),ISNUMBER(M3680)),L3680-M3680,"")</f>
        <v/>
      </c>
    </row>
    <row r="3681">
      <c r="N3681">
        <f>IF(AND(ISNUMBER(L3681),ISNUMBER(M3681)),L3681-M3681,"")</f>
        <v/>
      </c>
    </row>
    <row r="3682">
      <c r="N3682">
        <f>IF(AND(ISNUMBER(L3682),ISNUMBER(M3682)),L3682-M3682,"")</f>
        <v/>
      </c>
    </row>
    <row r="3683">
      <c r="N3683">
        <f>IF(AND(ISNUMBER(L3683),ISNUMBER(M3683)),L3683-M3683,"")</f>
        <v/>
      </c>
    </row>
    <row r="3684">
      <c r="N3684">
        <f>IF(AND(ISNUMBER(L3684),ISNUMBER(M3684)),L3684-M3684,"")</f>
        <v/>
      </c>
    </row>
    <row r="3685">
      <c r="N3685">
        <f>IF(AND(ISNUMBER(L3685),ISNUMBER(M3685)),L3685-M3685,"")</f>
        <v/>
      </c>
    </row>
    <row r="3686">
      <c r="N3686">
        <f>IF(AND(ISNUMBER(L3686),ISNUMBER(M3686)),L3686-M3686,"")</f>
        <v/>
      </c>
    </row>
    <row r="3687">
      <c r="N3687">
        <f>IF(AND(ISNUMBER(L3687),ISNUMBER(M3687)),L3687-M3687,"")</f>
        <v/>
      </c>
    </row>
    <row r="3688">
      <c r="N3688">
        <f>IF(AND(ISNUMBER(L3688),ISNUMBER(M3688)),L3688-M3688,"")</f>
        <v/>
      </c>
    </row>
    <row r="3689">
      <c r="N3689">
        <f>IF(AND(ISNUMBER(L3689),ISNUMBER(M3689)),L3689-M3689,"")</f>
        <v/>
      </c>
    </row>
    <row r="3690">
      <c r="N3690">
        <f>IF(AND(ISNUMBER(L3690),ISNUMBER(M3690)),L3690-M3690,"")</f>
        <v/>
      </c>
    </row>
    <row r="3691">
      <c r="N3691">
        <f>IF(AND(ISNUMBER(L3691),ISNUMBER(M3691)),L3691-M3691,"")</f>
        <v/>
      </c>
    </row>
    <row r="3692">
      <c r="N3692">
        <f>IF(AND(ISNUMBER(L3692),ISNUMBER(M3692)),L3692-M3692,"")</f>
        <v/>
      </c>
    </row>
    <row r="3693">
      <c r="N3693">
        <f>IF(AND(ISNUMBER(L3693),ISNUMBER(M3693)),L3693-M3693,"")</f>
        <v/>
      </c>
    </row>
    <row r="3694">
      <c r="N3694">
        <f>IF(AND(ISNUMBER(L3694),ISNUMBER(M3694)),L3694-M3694,"")</f>
        <v/>
      </c>
    </row>
    <row r="3695">
      <c r="N3695">
        <f>IF(AND(ISNUMBER(L3695),ISNUMBER(M3695)),L3695-M3695,"")</f>
        <v/>
      </c>
    </row>
    <row r="3696">
      <c r="N3696">
        <f>IF(AND(ISNUMBER(L3696),ISNUMBER(M3696)),L3696-M3696,"")</f>
        <v/>
      </c>
    </row>
    <row r="3697">
      <c r="N3697">
        <f>IF(AND(ISNUMBER(L3697),ISNUMBER(M3697)),L3697-M3697,"")</f>
        <v/>
      </c>
    </row>
    <row r="3698">
      <c r="N3698">
        <f>IF(AND(ISNUMBER(L3698),ISNUMBER(M3698)),L3698-M3698,"")</f>
        <v/>
      </c>
    </row>
    <row r="3699">
      <c r="N3699">
        <f>IF(AND(ISNUMBER(L3699),ISNUMBER(M3699)),L3699-M3699,"")</f>
        <v/>
      </c>
    </row>
    <row r="3700">
      <c r="N3700">
        <f>IF(AND(ISNUMBER(L3700),ISNUMBER(M3700)),L3700-M3700,"")</f>
        <v/>
      </c>
    </row>
    <row r="3701">
      <c r="N3701">
        <f>IF(AND(ISNUMBER(L3701),ISNUMBER(M3701)),L3701-M3701,"")</f>
        <v/>
      </c>
    </row>
    <row r="3702">
      <c r="N3702">
        <f>IF(AND(ISNUMBER(L3702),ISNUMBER(M3702)),L3702-M3702,"")</f>
        <v/>
      </c>
    </row>
    <row r="3703">
      <c r="N3703">
        <f>IF(AND(ISNUMBER(L3703),ISNUMBER(M3703)),L3703-M3703,"")</f>
        <v/>
      </c>
    </row>
    <row r="3704">
      <c r="N3704">
        <f>IF(AND(ISNUMBER(L3704),ISNUMBER(M3704)),L3704-M3704,"")</f>
        <v/>
      </c>
    </row>
    <row r="3705">
      <c r="N3705">
        <f>IF(AND(ISNUMBER(L3705),ISNUMBER(M3705)),L3705-M3705,"")</f>
        <v/>
      </c>
    </row>
    <row r="3706">
      <c r="N3706">
        <f>IF(AND(ISNUMBER(L3706),ISNUMBER(M3706)),L3706-M3706,"")</f>
        <v/>
      </c>
    </row>
    <row r="3707">
      <c r="N3707">
        <f>IF(AND(ISNUMBER(L3707),ISNUMBER(M3707)),L3707-M3707,"")</f>
        <v/>
      </c>
    </row>
    <row r="3708">
      <c r="N3708">
        <f>IF(AND(ISNUMBER(L3708),ISNUMBER(M3708)),L3708-M3708,"")</f>
        <v/>
      </c>
    </row>
    <row r="3709">
      <c r="N3709">
        <f>IF(AND(ISNUMBER(L3709),ISNUMBER(M3709)),L3709-M3709,"")</f>
        <v/>
      </c>
    </row>
    <row r="3710">
      <c r="N3710">
        <f>IF(AND(ISNUMBER(L3710),ISNUMBER(M3710)),L3710-M3710,"")</f>
        <v/>
      </c>
    </row>
    <row r="3711">
      <c r="N3711">
        <f>IF(AND(ISNUMBER(L3711),ISNUMBER(M3711)),L3711-M3711,"")</f>
        <v/>
      </c>
    </row>
    <row r="3712">
      <c r="N3712">
        <f>IF(AND(ISNUMBER(L3712),ISNUMBER(M3712)),L3712-M3712,"")</f>
        <v/>
      </c>
    </row>
    <row r="3713">
      <c r="N3713">
        <f>IF(AND(ISNUMBER(L3713),ISNUMBER(M3713)),L3713-M3713,"")</f>
        <v/>
      </c>
    </row>
    <row r="3714">
      <c r="N3714">
        <f>IF(AND(ISNUMBER(L3714),ISNUMBER(M3714)),L3714-M3714,"")</f>
        <v/>
      </c>
    </row>
    <row r="3715">
      <c r="N3715">
        <f>IF(AND(ISNUMBER(L3715),ISNUMBER(M3715)),L3715-M3715,"")</f>
        <v/>
      </c>
    </row>
    <row r="3716">
      <c r="N3716">
        <f>IF(AND(ISNUMBER(L3716),ISNUMBER(M3716)),L3716-M3716,"")</f>
        <v/>
      </c>
    </row>
    <row r="3717">
      <c r="N3717">
        <f>IF(AND(ISNUMBER(L3717),ISNUMBER(M3717)),L3717-M3717,"")</f>
        <v/>
      </c>
    </row>
    <row r="3718">
      <c r="N3718">
        <f>IF(AND(ISNUMBER(L3718),ISNUMBER(M3718)),L3718-M3718,"")</f>
        <v/>
      </c>
    </row>
    <row r="3719">
      <c r="N3719">
        <f>IF(AND(ISNUMBER(L3719),ISNUMBER(M3719)),L3719-M3719,"")</f>
        <v/>
      </c>
    </row>
    <row r="3720">
      <c r="N3720">
        <f>IF(AND(ISNUMBER(L3720),ISNUMBER(M3720)),L3720-M3720,"")</f>
        <v/>
      </c>
    </row>
    <row r="3721">
      <c r="N3721">
        <f>IF(AND(ISNUMBER(L3721),ISNUMBER(M3721)),L3721-M3721,"")</f>
        <v/>
      </c>
    </row>
    <row r="3722">
      <c r="N3722">
        <f>IF(AND(ISNUMBER(L3722),ISNUMBER(M3722)),L3722-M3722,"")</f>
        <v/>
      </c>
    </row>
    <row r="3723">
      <c r="N3723">
        <f>IF(AND(ISNUMBER(L3723),ISNUMBER(M3723)),L3723-M3723,"")</f>
        <v/>
      </c>
    </row>
    <row r="3724">
      <c r="N3724">
        <f>IF(AND(ISNUMBER(L3724),ISNUMBER(M3724)),L3724-M3724,"")</f>
        <v/>
      </c>
    </row>
    <row r="3725">
      <c r="N3725">
        <f>IF(AND(ISNUMBER(L3725),ISNUMBER(M3725)),L3725-M3725,"")</f>
        <v/>
      </c>
    </row>
    <row r="3726">
      <c r="N3726">
        <f>IF(AND(ISNUMBER(L3726),ISNUMBER(M3726)),L3726-M3726,"")</f>
        <v/>
      </c>
    </row>
    <row r="3727">
      <c r="N3727">
        <f>IF(AND(ISNUMBER(L3727),ISNUMBER(M3727)),L3727-M3727,"")</f>
        <v/>
      </c>
    </row>
    <row r="3728">
      <c r="N3728">
        <f>IF(AND(ISNUMBER(L3728),ISNUMBER(M3728)),L3728-M3728,"")</f>
        <v/>
      </c>
    </row>
    <row r="3729">
      <c r="N3729">
        <f>IF(AND(ISNUMBER(L3729),ISNUMBER(M3729)),L3729-M3729,"")</f>
        <v/>
      </c>
    </row>
    <row r="3730">
      <c r="N3730">
        <f>IF(AND(ISNUMBER(L3730),ISNUMBER(M3730)),L3730-M3730,"")</f>
        <v/>
      </c>
    </row>
    <row r="3731">
      <c r="N3731">
        <f>IF(AND(ISNUMBER(L3731),ISNUMBER(M3731)),L3731-M3731,"")</f>
        <v/>
      </c>
    </row>
    <row r="3732">
      <c r="N3732">
        <f>IF(AND(ISNUMBER(L3732),ISNUMBER(M3732)),L3732-M3732,"")</f>
        <v/>
      </c>
    </row>
    <row r="3733">
      <c r="N3733">
        <f>IF(AND(ISNUMBER(L3733),ISNUMBER(M3733)),L3733-M3733,"")</f>
        <v/>
      </c>
    </row>
    <row r="3734">
      <c r="N3734">
        <f>IF(AND(ISNUMBER(L3734),ISNUMBER(M3734)),L3734-M3734,"")</f>
        <v/>
      </c>
    </row>
    <row r="3735">
      <c r="N3735">
        <f>IF(AND(ISNUMBER(L3735),ISNUMBER(M3735)),L3735-M3735,"")</f>
        <v/>
      </c>
    </row>
    <row r="3736">
      <c r="N3736">
        <f>IF(AND(ISNUMBER(L3736),ISNUMBER(M3736)),L3736-M3736,"")</f>
        <v/>
      </c>
    </row>
    <row r="3737">
      <c r="N3737">
        <f>IF(AND(ISNUMBER(L3737),ISNUMBER(M3737)),L3737-M3737,"")</f>
        <v/>
      </c>
    </row>
    <row r="3738">
      <c r="N3738">
        <f>IF(AND(ISNUMBER(L3738),ISNUMBER(M3738)),L3738-M3738,"")</f>
        <v/>
      </c>
    </row>
    <row r="3739">
      <c r="N3739">
        <f>IF(AND(ISNUMBER(L3739),ISNUMBER(M3739)),L3739-M3739,"")</f>
        <v/>
      </c>
    </row>
    <row r="3740">
      <c r="N3740">
        <f>IF(AND(ISNUMBER(L3740),ISNUMBER(M3740)),L3740-M3740,"")</f>
        <v/>
      </c>
    </row>
    <row r="3741">
      <c r="N3741">
        <f>IF(AND(ISNUMBER(L3741),ISNUMBER(M3741)),L3741-M3741,"")</f>
        <v/>
      </c>
    </row>
    <row r="3742">
      <c r="N3742">
        <f>IF(AND(ISNUMBER(L3742),ISNUMBER(M3742)),L3742-M3742,"")</f>
        <v/>
      </c>
    </row>
    <row r="3743">
      <c r="N3743">
        <f>IF(AND(ISNUMBER(L3743),ISNUMBER(M3743)),L3743-M3743,"")</f>
        <v/>
      </c>
    </row>
    <row r="3744">
      <c r="N3744">
        <f>IF(AND(ISNUMBER(L3744),ISNUMBER(M3744)),L3744-M3744,"")</f>
        <v/>
      </c>
    </row>
    <row r="3745">
      <c r="N3745">
        <f>IF(AND(ISNUMBER(L3745),ISNUMBER(M3745)),L3745-M3745,"")</f>
        <v/>
      </c>
    </row>
    <row r="3746">
      <c r="N3746">
        <f>IF(AND(ISNUMBER(L3746),ISNUMBER(M3746)),L3746-M3746,"")</f>
        <v/>
      </c>
    </row>
    <row r="3747">
      <c r="N3747">
        <f>IF(AND(ISNUMBER(L3747),ISNUMBER(M3747)),L3747-M3747,"")</f>
        <v/>
      </c>
    </row>
    <row r="3748">
      <c r="N3748">
        <f>IF(AND(ISNUMBER(L3748),ISNUMBER(M3748)),L3748-M3748,"")</f>
        <v/>
      </c>
    </row>
    <row r="3749">
      <c r="N3749">
        <f>IF(AND(ISNUMBER(L3749),ISNUMBER(M3749)),L3749-M3749,"")</f>
        <v/>
      </c>
    </row>
    <row r="3750">
      <c r="N3750">
        <f>IF(AND(ISNUMBER(L3750),ISNUMBER(M3750)),L3750-M3750,"")</f>
        <v/>
      </c>
    </row>
    <row r="3751">
      <c r="N3751">
        <f>IF(AND(ISNUMBER(L3751),ISNUMBER(M3751)),L3751-M3751,"")</f>
        <v/>
      </c>
    </row>
    <row r="3752">
      <c r="N3752">
        <f>IF(AND(ISNUMBER(L3752),ISNUMBER(M3752)),L3752-M3752,"")</f>
        <v/>
      </c>
    </row>
    <row r="3753">
      <c r="N3753">
        <f>IF(AND(ISNUMBER(L3753),ISNUMBER(M3753)),L3753-M3753,"")</f>
        <v/>
      </c>
    </row>
    <row r="3754">
      <c r="N3754">
        <f>IF(AND(ISNUMBER(L3754),ISNUMBER(M3754)),L3754-M3754,"")</f>
        <v/>
      </c>
    </row>
    <row r="3755">
      <c r="N3755">
        <f>IF(AND(ISNUMBER(L3755),ISNUMBER(M3755)),L3755-M3755,"")</f>
        <v/>
      </c>
    </row>
    <row r="3756">
      <c r="N3756">
        <f>IF(AND(ISNUMBER(L3756),ISNUMBER(M3756)),L3756-M3756,"")</f>
        <v/>
      </c>
    </row>
    <row r="3757">
      <c r="N3757">
        <f>IF(AND(ISNUMBER(L3757),ISNUMBER(M3757)),L3757-M3757,"")</f>
        <v/>
      </c>
    </row>
    <row r="3758">
      <c r="N3758">
        <f>IF(AND(ISNUMBER(L3758),ISNUMBER(M3758)),L3758-M3758,"")</f>
        <v/>
      </c>
    </row>
    <row r="3759">
      <c r="N3759">
        <f>IF(AND(ISNUMBER(L3759),ISNUMBER(M3759)),L3759-M3759,"")</f>
        <v/>
      </c>
    </row>
    <row r="3760">
      <c r="N3760">
        <f>IF(AND(ISNUMBER(L3760),ISNUMBER(M3760)),L3760-M3760,"")</f>
        <v/>
      </c>
    </row>
    <row r="3761">
      <c r="N3761">
        <f>IF(AND(ISNUMBER(L3761),ISNUMBER(M3761)),L3761-M3761,"")</f>
        <v/>
      </c>
    </row>
    <row r="3762">
      <c r="N3762">
        <f>IF(AND(ISNUMBER(L3762),ISNUMBER(M3762)),L3762-M3762,"")</f>
        <v/>
      </c>
    </row>
    <row r="3763">
      <c r="N3763">
        <f>IF(AND(ISNUMBER(L3763),ISNUMBER(M3763)),L3763-M3763,"")</f>
        <v/>
      </c>
    </row>
    <row r="3764">
      <c r="N3764">
        <f>IF(AND(ISNUMBER(L3764),ISNUMBER(M3764)),L3764-M3764,"")</f>
        <v/>
      </c>
    </row>
    <row r="3765">
      <c r="N3765">
        <f>IF(AND(ISNUMBER(L3765),ISNUMBER(M3765)),L3765-M3765,"")</f>
        <v/>
      </c>
    </row>
    <row r="3766">
      <c r="N3766">
        <f>IF(AND(ISNUMBER(L3766),ISNUMBER(M3766)),L3766-M3766,"")</f>
        <v/>
      </c>
    </row>
    <row r="3767">
      <c r="N3767">
        <f>IF(AND(ISNUMBER(L3767),ISNUMBER(M3767)),L3767-M3767,"")</f>
        <v/>
      </c>
    </row>
    <row r="3768">
      <c r="N3768">
        <f>IF(AND(ISNUMBER(L3768),ISNUMBER(M3768)),L3768-M3768,"")</f>
        <v/>
      </c>
    </row>
    <row r="3769">
      <c r="N3769">
        <f>IF(AND(ISNUMBER(L3769),ISNUMBER(M3769)),L3769-M3769,"")</f>
        <v/>
      </c>
    </row>
    <row r="3770">
      <c r="N3770">
        <f>IF(AND(ISNUMBER(L3770),ISNUMBER(M3770)),L3770-M3770,"")</f>
        <v/>
      </c>
    </row>
    <row r="3771">
      <c r="N3771">
        <f>IF(AND(ISNUMBER(L3771),ISNUMBER(M3771)),L3771-M3771,"")</f>
        <v/>
      </c>
    </row>
    <row r="3772">
      <c r="N3772">
        <f>IF(AND(ISNUMBER(L3772),ISNUMBER(M3772)),L3772-M3772,"")</f>
        <v/>
      </c>
    </row>
    <row r="3773">
      <c r="N3773">
        <f>IF(AND(ISNUMBER(L3773),ISNUMBER(M3773)),L3773-M3773,"")</f>
        <v/>
      </c>
    </row>
    <row r="3774">
      <c r="N3774">
        <f>IF(AND(ISNUMBER(L3774),ISNUMBER(M3774)),L3774-M3774,"")</f>
        <v/>
      </c>
    </row>
    <row r="3775">
      <c r="N3775">
        <f>IF(AND(ISNUMBER(L3775),ISNUMBER(M3775)),L3775-M3775,"")</f>
        <v/>
      </c>
    </row>
    <row r="3776">
      <c r="N3776">
        <f>IF(AND(ISNUMBER(L3776),ISNUMBER(M3776)),L3776-M3776,"")</f>
        <v/>
      </c>
    </row>
    <row r="3777">
      <c r="N3777">
        <f>IF(AND(ISNUMBER(L3777),ISNUMBER(M3777)),L3777-M3777,"")</f>
        <v/>
      </c>
    </row>
    <row r="3778">
      <c r="N3778">
        <f>IF(AND(ISNUMBER(L3778),ISNUMBER(M3778)),L3778-M3778,"")</f>
        <v/>
      </c>
    </row>
    <row r="3779">
      <c r="N3779">
        <f>IF(AND(ISNUMBER(L3779),ISNUMBER(M3779)),L3779-M3779,"")</f>
        <v/>
      </c>
    </row>
    <row r="3780">
      <c r="N3780">
        <f>IF(AND(ISNUMBER(L3780),ISNUMBER(M3780)),L3780-M3780,"")</f>
        <v/>
      </c>
    </row>
    <row r="3781">
      <c r="N3781">
        <f>IF(AND(ISNUMBER(L3781),ISNUMBER(M3781)),L3781-M3781,"")</f>
        <v/>
      </c>
    </row>
    <row r="3782">
      <c r="N3782">
        <f>IF(AND(ISNUMBER(L3782),ISNUMBER(M3782)),L3782-M3782,"")</f>
        <v/>
      </c>
    </row>
    <row r="3783">
      <c r="N3783">
        <f>IF(AND(ISNUMBER(L3783),ISNUMBER(M3783)),L3783-M3783,"")</f>
        <v/>
      </c>
    </row>
    <row r="3784">
      <c r="N3784">
        <f>IF(AND(ISNUMBER(L3784),ISNUMBER(M3784)),L3784-M3784,"")</f>
        <v/>
      </c>
    </row>
    <row r="3785">
      <c r="N3785">
        <f>IF(AND(ISNUMBER(L3785),ISNUMBER(M3785)),L3785-M3785,"")</f>
        <v/>
      </c>
    </row>
    <row r="3786">
      <c r="N3786">
        <f>IF(AND(ISNUMBER(L3786),ISNUMBER(M3786)),L3786-M3786,"")</f>
        <v/>
      </c>
    </row>
    <row r="3787">
      <c r="N3787">
        <f>IF(AND(ISNUMBER(L3787),ISNUMBER(M3787)),L3787-M3787,"")</f>
        <v/>
      </c>
    </row>
    <row r="3788">
      <c r="N3788">
        <f>IF(AND(ISNUMBER(L3788),ISNUMBER(M3788)),L3788-M3788,"")</f>
        <v/>
      </c>
    </row>
    <row r="3789">
      <c r="N3789">
        <f>IF(AND(ISNUMBER(L3789),ISNUMBER(M3789)),L3789-M3789,"")</f>
        <v/>
      </c>
    </row>
    <row r="3790">
      <c r="N3790">
        <f>IF(AND(ISNUMBER(L3790),ISNUMBER(M3790)),L3790-M3790,"")</f>
        <v/>
      </c>
    </row>
    <row r="3791">
      <c r="N3791">
        <f>IF(AND(ISNUMBER(L3791),ISNUMBER(M3791)),L3791-M3791,"")</f>
        <v/>
      </c>
    </row>
    <row r="3792">
      <c r="N3792">
        <f>IF(AND(ISNUMBER(L3792),ISNUMBER(M3792)),L3792-M3792,"")</f>
        <v/>
      </c>
    </row>
    <row r="3793">
      <c r="N3793">
        <f>IF(AND(ISNUMBER(L3793),ISNUMBER(M3793)),L3793-M3793,"")</f>
        <v/>
      </c>
    </row>
    <row r="3794">
      <c r="N3794">
        <f>IF(AND(ISNUMBER(L3794),ISNUMBER(M3794)),L3794-M3794,"")</f>
        <v/>
      </c>
    </row>
    <row r="3795">
      <c r="N3795">
        <f>IF(AND(ISNUMBER(L3795),ISNUMBER(M3795)),L3795-M3795,"")</f>
        <v/>
      </c>
    </row>
    <row r="3796">
      <c r="N3796">
        <f>IF(AND(ISNUMBER(L3796),ISNUMBER(M3796)),L3796-M3796,"")</f>
        <v/>
      </c>
    </row>
    <row r="3797">
      <c r="N3797">
        <f>IF(AND(ISNUMBER(L3797),ISNUMBER(M3797)),L3797-M3797,"")</f>
        <v/>
      </c>
    </row>
    <row r="3798">
      <c r="N3798">
        <f>IF(AND(ISNUMBER(L3798),ISNUMBER(M3798)),L3798-M3798,"")</f>
        <v/>
      </c>
    </row>
    <row r="3799">
      <c r="N3799">
        <f>IF(AND(ISNUMBER(L3799),ISNUMBER(M3799)),L3799-M3799,"")</f>
        <v/>
      </c>
    </row>
    <row r="3800">
      <c r="N3800">
        <f>IF(AND(ISNUMBER(L3800),ISNUMBER(M3800)),L3800-M3800,"")</f>
        <v/>
      </c>
    </row>
    <row r="3801">
      <c r="N3801">
        <f>IF(AND(ISNUMBER(L3801),ISNUMBER(M3801)),L3801-M3801,"")</f>
        <v/>
      </c>
    </row>
    <row r="3802">
      <c r="N3802">
        <f>IF(AND(ISNUMBER(L3802),ISNUMBER(M3802)),L3802-M3802,"")</f>
        <v/>
      </c>
    </row>
    <row r="3803">
      <c r="N3803">
        <f>IF(AND(ISNUMBER(L3803),ISNUMBER(M3803)),L3803-M3803,"")</f>
        <v/>
      </c>
    </row>
    <row r="3804">
      <c r="N3804">
        <f>IF(AND(ISNUMBER(L3804),ISNUMBER(M3804)),L3804-M3804,"")</f>
        <v/>
      </c>
    </row>
    <row r="3805">
      <c r="N3805">
        <f>IF(AND(ISNUMBER(L3805),ISNUMBER(M3805)),L3805-M3805,"")</f>
        <v/>
      </c>
    </row>
    <row r="3806">
      <c r="N3806">
        <f>IF(AND(ISNUMBER(L3806),ISNUMBER(M3806)),L3806-M3806,"")</f>
        <v/>
      </c>
    </row>
    <row r="3807">
      <c r="N3807">
        <f>IF(AND(ISNUMBER(L3807),ISNUMBER(M3807)),L3807-M3807,"")</f>
        <v/>
      </c>
    </row>
    <row r="3808">
      <c r="N3808">
        <f>IF(AND(ISNUMBER(L3808),ISNUMBER(M3808)),L3808-M3808,"")</f>
        <v/>
      </c>
    </row>
    <row r="3809">
      <c r="N3809">
        <f>IF(AND(ISNUMBER(L3809),ISNUMBER(M3809)),L3809-M3809,"")</f>
        <v/>
      </c>
    </row>
    <row r="3810">
      <c r="N3810">
        <f>IF(AND(ISNUMBER(L3810),ISNUMBER(M3810)),L3810-M3810,"")</f>
        <v/>
      </c>
    </row>
    <row r="3811">
      <c r="N3811">
        <f>IF(AND(ISNUMBER(L3811),ISNUMBER(M3811)),L3811-M3811,"")</f>
        <v/>
      </c>
    </row>
    <row r="3812">
      <c r="N3812">
        <f>IF(AND(ISNUMBER(L3812),ISNUMBER(M3812)),L3812-M3812,"")</f>
        <v/>
      </c>
    </row>
    <row r="3813">
      <c r="N3813">
        <f>IF(AND(ISNUMBER(L3813),ISNUMBER(M3813)),L3813-M3813,"")</f>
        <v/>
      </c>
    </row>
    <row r="3814">
      <c r="N3814">
        <f>IF(AND(ISNUMBER(L3814),ISNUMBER(M3814)),L3814-M3814,"")</f>
        <v/>
      </c>
    </row>
    <row r="3815">
      <c r="N3815">
        <f>IF(AND(ISNUMBER(L3815),ISNUMBER(M3815)),L3815-M3815,"")</f>
        <v/>
      </c>
    </row>
    <row r="3816">
      <c r="N3816">
        <f>IF(AND(ISNUMBER(L3816),ISNUMBER(M3816)),L3816-M3816,"")</f>
        <v/>
      </c>
    </row>
    <row r="3817">
      <c r="N3817">
        <f>IF(AND(ISNUMBER(L3817),ISNUMBER(M3817)),L3817-M3817,"")</f>
        <v/>
      </c>
    </row>
    <row r="3818">
      <c r="N3818">
        <f>IF(AND(ISNUMBER(L3818),ISNUMBER(M3818)),L3818-M3818,"")</f>
        <v/>
      </c>
    </row>
    <row r="3819">
      <c r="N3819">
        <f>IF(AND(ISNUMBER(L3819),ISNUMBER(M3819)),L3819-M3819,"")</f>
        <v/>
      </c>
    </row>
    <row r="3820">
      <c r="N3820">
        <f>IF(AND(ISNUMBER(L3820),ISNUMBER(M3820)),L3820-M3820,"")</f>
        <v/>
      </c>
    </row>
    <row r="3821">
      <c r="N3821">
        <f>IF(AND(ISNUMBER(L3821),ISNUMBER(M3821)),L3821-M3821,"")</f>
        <v/>
      </c>
    </row>
    <row r="3822">
      <c r="N3822">
        <f>IF(AND(ISNUMBER(L3822),ISNUMBER(M3822)),L3822-M3822,"")</f>
        <v/>
      </c>
    </row>
    <row r="3823">
      <c r="N3823">
        <f>IF(AND(ISNUMBER(L3823),ISNUMBER(M3823)),L3823-M3823,"")</f>
        <v/>
      </c>
    </row>
    <row r="3824">
      <c r="N3824">
        <f>IF(AND(ISNUMBER(L3824),ISNUMBER(M3824)),L3824-M3824,"")</f>
        <v/>
      </c>
    </row>
    <row r="3825">
      <c r="N3825">
        <f>IF(AND(ISNUMBER(L3825),ISNUMBER(M3825)),L3825-M3825,"")</f>
        <v/>
      </c>
    </row>
    <row r="3826">
      <c r="N3826">
        <f>IF(AND(ISNUMBER(L3826),ISNUMBER(M3826)),L3826-M3826,"")</f>
        <v/>
      </c>
    </row>
    <row r="3827">
      <c r="N3827">
        <f>IF(AND(ISNUMBER(L3827),ISNUMBER(M3827)),L3827-M3827,"")</f>
        <v/>
      </c>
    </row>
    <row r="3828">
      <c r="N3828">
        <f>IF(AND(ISNUMBER(L3828),ISNUMBER(M3828)),L3828-M3828,"")</f>
        <v/>
      </c>
    </row>
    <row r="3829">
      <c r="N3829">
        <f>IF(AND(ISNUMBER(L3829),ISNUMBER(M3829)),L3829-M3829,"")</f>
        <v/>
      </c>
    </row>
    <row r="3830">
      <c r="N3830">
        <f>IF(AND(ISNUMBER(L3830),ISNUMBER(M3830)),L3830-M3830,"")</f>
        <v/>
      </c>
    </row>
    <row r="3831">
      <c r="N3831">
        <f>IF(AND(ISNUMBER(L3831),ISNUMBER(M3831)),L3831-M3831,"")</f>
        <v/>
      </c>
    </row>
    <row r="3832">
      <c r="N3832">
        <f>IF(AND(ISNUMBER(L3832),ISNUMBER(M3832)),L3832-M3832,"")</f>
        <v/>
      </c>
    </row>
    <row r="3833">
      <c r="N3833">
        <f>IF(AND(ISNUMBER(L3833),ISNUMBER(M3833)),L3833-M3833,"")</f>
        <v/>
      </c>
    </row>
    <row r="3834">
      <c r="N3834">
        <f>IF(AND(ISNUMBER(L3834),ISNUMBER(M3834)),L3834-M3834,"")</f>
        <v/>
      </c>
    </row>
    <row r="3835">
      <c r="N3835">
        <f>IF(AND(ISNUMBER(L3835),ISNUMBER(M3835)),L3835-M3835,"")</f>
        <v/>
      </c>
    </row>
    <row r="3836">
      <c r="N3836">
        <f>IF(AND(ISNUMBER(L3836),ISNUMBER(M3836)),L3836-M3836,"")</f>
        <v/>
      </c>
    </row>
    <row r="3837">
      <c r="N3837">
        <f>IF(AND(ISNUMBER(L3837),ISNUMBER(M3837)),L3837-M3837,"")</f>
        <v/>
      </c>
    </row>
    <row r="3838">
      <c r="N3838">
        <f>IF(AND(ISNUMBER(L3838),ISNUMBER(M3838)),L3838-M3838,"")</f>
        <v/>
      </c>
    </row>
    <row r="3839">
      <c r="N3839">
        <f>IF(AND(ISNUMBER(L3839),ISNUMBER(M3839)),L3839-M3839,"")</f>
        <v/>
      </c>
    </row>
    <row r="3840">
      <c r="N3840">
        <f>IF(AND(ISNUMBER(L3840),ISNUMBER(M3840)),L3840-M3840,"")</f>
        <v/>
      </c>
    </row>
    <row r="3841">
      <c r="N3841">
        <f>IF(AND(ISNUMBER(L3841),ISNUMBER(M3841)),L3841-M3841,"")</f>
        <v/>
      </c>
    </row>
    <row r="3842">
      <c r="N3842">
        <f>IF(AND(ISNUMBER(L3842),ISNUMBER(M3842)),L3842-M3842,"")</f>
        <v/>
      </c>
    </row>
    <row r="3843">
      <c r="N3843">
        <f>IF(AND(ISNUMBER(L3843),ISNUMBER(M3843)),L3843-M3843,"")</f>
        <v/>
      </c>
    </row>
    <row r="3844">
      <c r="N3844">
        <f>IF(AND(ISNUMBER(L3844),ISNUMBER(M3844)),L3844-M3844,"")</f>
        <v/>
      </c>
    </row>
    <row r="3845">
      <c r="N3845">
        <f>IF(AND(ISNUMBER(L3845),ISNUMBER(M3845)),L3845-M3845,"")</f>
        <v/>
      </c>
    </row>
    <row r="3846">
      <c r="N3846">
        <f>IF(AND(ISNUMBER(L3846),ISNUMBER(M3846)),L3846-M3846,"")</f>
        <v/>
      </c>
    </row>
    <row r="3847">
      <c r="N3847">
        <f>IF(AND(ISNUMBER(L3847),ISNUMBER(M3847)),L3847-M3847,"")</f>
        <v/>
      </c>
    </row>
    <row r="3848">
      <c r="N3848">
        <f>IF(AND(ISNUMBER(L3848),ISNUMBER(M3848)),L3848-M3848,"")</f>
        <v/>
      </c>
    </row>
    <row r="3849">
      <c r="N3849">
        <f>IF(AND(ISNUMBER(L3849),ISNUMBER(M3849)),L3849-M3849,"")</f>
        <v/>
      </c>
    </row>
    <row r="3850">
      <c r="N3850">
        <f>IF(AND(ISNUMBER(L3850),ISNUMBER(M3850)),L3850-M3850,"")</f>
        <v/>
      </c>
    </row>
    <row r="3851">
      <c r="N3851">
        <f>IF(AND(ISNUMBER(L3851),ISNUMBER(M3851)),L3851-M3851,"")</f>
        <v/>
      </c>
    </row>
    <row r="3852">
      <c r="N3852">
        <f>IF(AND(ISNUMBER(L3852),ISNUMBER(M3852)),L3852-M3852,"")</f>
        <v/>
      </c>
    </row>
    <row r="3853">
      <c r="N3853">
        <f>IF(AND(ISNUMBER(L3853),ISNUMBER(M3853)),L3853-M3853,"")</f>
        <v/>
      </c>
    </row>
    <row r="3854">
      <c r="N3854">
        <f>IF(AND(ISNUMBER(L3854),ISNUMBER(M3854)),L3854-M3854,"")</f>
        <v/>
      </c>
    </row>
    <row r="3855">
      <c r="N3855">
        <f>IF(AND(ISNUMBER(L3855),ISNUMBER(M3855)),L3855-M3855,"")</f>
        <v/>
      </c>
    </row>
    <row r="3856">
      <c r="N3856">
        <f>IF(AND(ISNUMBER(L3856),ISNUMBER(M3856)),L3856-M3856,"")</f>
        <v/>
      </c>
    </row>
    <row r="3857">
      <c r="N3857">
        <f>IF(AND(ISNUMBER(L3857),ISNUMBER(M3857)),L3857-M3857,"")</f>
        <v/>
      </c>
    </row>
    <row r="3858">
      <c r="N3858">
        <f>IF(AND(ISNUMBER(L3858),ISNUMBER(M3858)),L3858-M3858,"")</f>
        <v/>
      </c>
    </row>
    <row r="3859">
      <c r="N3859">
        <f>IF(AND(ISNUMBER(L3859),ISNUMBER(M3859)),L3859-M3859,"")</f>
        <v/>
      </c>
    </row>
    <row r="3860">
      <c r="N3860">
        <f>IF(AND(ISNUMBER(L3860),ISNUMBER(M3860)),L3860-M3860,"")</f>
        <v/>
      </c>
    </row>
    <row r="3861">
      <c r="N3861">
        <f>IF(AND(ISNUMBER(L3861),ISNUMBER(M3861)),L3861-M3861,"")</f>
        <v/>
      </c>
    </row>
    <row r="3862">
      <c r="N3862">
        <f>IF(AND(ISNUMBER(L3862),ISNUMBER(M3862)),L3862-M3862,"")</f>
        <v/>
      </c>
    </row>
    <row r="3863">
      <c r="N3863">
        <f>IF(AND(ISNUMBER(L3863),ISNUMBER(M3863)),L3863-M3863,"")</f>
        <v/>
      </c>
    </row>
    <row r="3864">
      <c r="N3864">
        <f>IF(AND(ISNUMBER(L3864),ISNUMBER(M3864)),L3864-M3864,"")</f>
        <v/>
      </c>
    </row>
    <row r="3865">
      <c r="N3865">
        <f>IF(AND(ISNUMBER(L3865),ISNUMBER(M3865)),L3865-M3865,"")</f>
        <v/>
      </c>
    </row>
    <row r="3866">
      <c r="N3866">
        <f>IF(AND(ISNUMBER(L3866),ISNUMBER(M3866)),L3866-M3866,"")</f>
        <v/>
      </c>
    </row>
    <row r="3867">
      <c r="N3867">
        <f>IF(AND(ISNUMBER(L3867),ISNUMBER(M3867)),L3867-M3867,"")</f>
        <v/>
      </c>
    </row>
    <row r="3868">
      <c r="N3868">
        <f>IF(AND(ISNUMBER(L3868),ISNUMBER(M3868)),L3868-M3868,"")</f>
        <v/>
      </c>
    </row>
    <row r="3869">
      <c r="N3869">
        <f>IF(AND(ISNUMBER(L3869),ISNUMBER(M3869)),L3869-M3869,"")</f>
        <v/>
      </c>
    </row>
    <row r="3870">
      <c r="N3870">
        <f>IF(AND(ISNUMBER(L3870),ISNUMBER(M3870)),L3870-M3870,"")</f>
        <v/>
      </c>
    </row>
    <row r="3871">
      <c r="N3871">
        <f>IF(AND(ISNUMBER(L3871),ISNUMBER(M3871)),L3871-M3871,"")</f>
        <v/>
      </c>
    </row>
    <row r="3872">
      <c r="N3872">
        <f>IF(AND(ISNUMBER(L3872),ISNUMBER(M3872)),L3872-M3872,"")</f>
        <v/>
      </c>
    </row>
    <row r="3873">
      <c r="N3873">
        <f>IF(AND(ISNUMBER(L3873),ISNUMBER(M3873)),L3873-M3873,"")</f>
        <v/>
      </c>
    </row>
    <row r="3874">
      <c r="N3874">
        <f>IF(AND(ISNUMBER(L3874),ISNUMBER(M3874)),L3874-M3874,"")</f>
        <v/>
      </c>
    </row>
    <row r="3875">
      <c r="N3875">
        <f>IF(AND(ISNUMBER(L3875),ISNUMBER(M3875)),L3875-M3875,"")</f>
        <v/>
      </c>
    </row>
    <row r="3876">
      <c r="N3876">
        <f>IF(AND(ISNUMBER(L3876),ISNUMBER(M3876)),L3876-M3876,"")</f>
        <v/>
      </c>
    </row>
    <row r="3877">
      <c r="N3877">
        <f>IF(AND(ISNUMBER(L3877),ISNUMBER(M3877)),L3877-M3877,"")</f>
        <v/>
      </c>
    </row>
    <row r="3878">
      <c r="N3878">
        <f>IF(AND(ISNUMBER(L3878),ISNUMBER(M3878)),L3878-M3878,"")</f>
        <v/>
      </c>
    </row>
    <row r="3879">
      <c r="N3879">
        <f>IF(AND(ISNUMBER(L3879),ISNUMBER(M3879)),L3879-M3879,"")</f>
        <v/>
      </c>
    </row>
    <row r="3880">
      <c r="N3880">
        <f>IF(AND(ISNUMBER(L3880),ISNUMBER(M3880)),L3880-M3880,"")</f>
        <v/>
      </c>
    </row>
    <row r="3881">
      <c r="N3881">
        <f>IF(AND(ISNUMBER(L3881),ISNUMBER(M3881)),L3881-M3881,"")</f>
        <v/>
      </c>
    </row>
    <row r="3882">
      <c r="N3882">
        <f>IF(AND(ISNUMBER(L3882),ISNUMBER(M3882)),L3882-M3882,"")</f>
        <v/>
      </c>
    </row>
    <row r="3883">
      <c r="N3883">
        <f>IF(AND(ISNUMBER(L3883),ISNUMBER(M3883)),L3883-M3883,"")</f>
        <v/>
      </c>
    </row>
    <row r="3884">
      <c r="N3884">
        <f>IF(AND(ISNUMBER(L3884),ISNUMBER(M3884)),L3884-M3884,"")</f>
        <v/>
      </c>
    </row>
    <row r="3885">
      <c r="N3885">
        <f>IF(AND(ISNUMBER(L3885),ISNUMBER(M3885)),L3885-M3885,"")</f>
        <v/>
      </c>
    </row>
    <row r="3886">
      <c r="N3886">
        <f>IF(AND(ISNUMBER(L3886),ISNUMBER(M3886)),L3886-M3886,"")</f>
        <v/>
      </c>
    </row>
    <row r="3887">
      <c r="N3887">
        <f>IF(AND(ISNUMBER(L3887),ISNUMBER(M3887)),L3887-M3887,"")</f>
        <v/>
      </c>
    </row>
    <row r="3888">
      <c r="N3888">
        <f>IF(AND(ISNUMBER(L3888),ISNUMBER(M3888)),L3888-M3888,"")</f>
        <v/>
      </c>
    </row>
    <row r="3889">
      <c r="N3889">
        <f>IF(AND(ISNUMBER(L3889),ISNUMBER(M3889)),L3889-M3889,"")</f>
        <v/>
      </c>
    </row>
    <row r="3890">
      <c r="N3890">
        <f>IF(AND(ISNUMBER(L3890),ISNUMBER(M3890)),L3890-M3890,"")</f>
        <v/>
      </c>
    </row>
    <row r="3891">
      <c r="N3891">
        <f>IF(AND(ISNUMBER(L3891),ISNUMBER(M3891)),L3891-M3891,"")</f>
        <v/>
      </c>
    </row>
    <row r="3892">
      <c r="N3892">
        <f>IF(AND(ISNUMBER(L3892),ISNUMBER(M3892)),L3892-M3892,"")</f>
        <v/>
      </c>
    </row>
    <row r="3893">
      <c r="N3893">
        <f>IF(AND(ISNUMBER(L3893),ISNUMBER(M3893)),L3893-M3893,"")</f>
        <v/>
      </c>
    </row>
    <row r="3894">
      <c r="N3894">
        <f>IF(AND(ISNUMBER(L3894),ISNUMBER(M3894)),L3894-M3894,"")</f>
        <v/>
      </c>
    </row>
    <row r="3895">
      <c r="N3895">
        <f>IF(AND(ISNUMBER(L3895),ISNUMBER(M3895)),L3895-M3895,"")</f>
        <v/>
      </c>
    </row>
    <row r="3896">
      <c r="N3896">
        <f>IF(AND(ISNUMBER(L3896),ISNUMBER(M3896)),L3896-M3896,"")</f>
        <v/>
      </c>
    </row>
    <row r="3897">
      <c r="N3897">
        <f>IF(AND(ISNUMBER(L3897),ISNUMBER(M3897)),L3897-M3897,"")</f>
        <v/>
      </c>
    </row>
    <row r="3898">
      <c r="N3898">
        <f>IF(AND(ISNUMBER(L3898),ISNUMBER(M3898)),L3898-M3898,"")</f>
        <v/>
      </c>
    </row>
    <row r="3899">
      <c r="N3899">
        <f>IF(AND(ISNUMBER(L3899),ISNUMBER(M3899)),L3899-M3899,"")</f>
        <v/>
      </c>
    </row>
    <row r="3900">
      <c r="N3900">
        <f>IF(AND(ISNUMBER(L3900),ISNUMBER(M3900)),L3900-M3900,"")</f>
        <v/>
      </c>
    </row>
    <row r="3901">
      <c r="N3901">
        <f>IF(AND(ISNUMBER(L3901),ISNUMBER(M3901)),L3901-M3901,"")</f>
        <v/>
      </c>
    </row>
    <row r="3902">
      <c r="N3902">
        <f>IF(AND(ISNUMBER(L3902),ISNUMBER(M3902)),L3902-M3902,"")</f>
        <v/>
      </c>
    </row>
    <row r="3903">
      <c r="N3903">
        <f>IF(AND(ISNUMBER(L3903),ISNUMBER(M3903)),L3903-M3903,"")</f>
        <v/>
      </c>
    </row>
    <row r="3904">
      <c r="N3904">
        <f>IF(AND(ISNUMBER(L3904),ISNUMBER(M3904)),L3904-M3904,"")</f>
        <v/>
      </c>
    </row>
    <row r="3905">
      <c r="N3905">
        <f>IF(AND(ISNUMBER(L3905),ISNUMBER(M3905)),L3905-M3905,"")</f>
        <v/>
      </c>
    </row>
    <row r="3906">
      <c r="N3906">
        <f>IF(AND(ISNUMBER(L3906),ISNUMBER(M3906)),L3906-M3906,"")</f>
        <v/>
      </c>
    </row>
    <row r="3907">
      <c r="N3907">
        <f>IF(AND(ISNUMBER(L3907),ISNUMBER(M3907)),L3907-M3907,"")</f>
        <v/>
      </c>
    </row>
    <row r="3908">
      <c r="N3908">
        <f>IF(AND(ISNUMBER(L3908),ISNUMBER(M3908)),L3908-M3908,"")</f>
        <v/>
      </c>
    </row>
    <row r="3909">
      <c r="N3909">
        <f>IF(AND(ISNUMBER(L3909),ISNUMBER(M3909)),L3909-M3909,"")</f>
        <v/>
      </c>
    </row>
    <row r="3910">
      <c r="N3910">
        <f>IF(AND(ISNUMBER(L3910),ISNUMBER(M3910)),L3910-M3910,"")</f>
        <v/>
      </c>
    </row>
    <row r="3911">
      <c r="N3911">
        <f>IF(AND(ISNUMBER(L3911),ISNUMBER(M3911)),L3911-M3911,"")</f>
        <v/>
      </c>
    </row>
    <row r="3912">
      <c r="N3912">
        <f>IF(AND(ISNUMBER(L3912),ISNUMBER(M3912)),L3912-M3912,"")</f>
        <v/>
      </c>
    </row>
    <row r="3913">
      <c r="N3913">
        <f>IF(AND(ISNUMBER(L3913),ISNUMBER(M3913)),L3913-M3913,"")</f>
        <v/>
      </c>
    </row>
    <row r="3914">
      <c r="N3914">
        <f>IF(AND(ISNUMBER(L3914),ISNUMBER(M3914)),L3914-M3914,"")</f>
        <v/>
      </c>
    </row>
    <row r="3915">
      <c r="N3915">
        <f>IF(AND(ISNUMBER(L3915),ISNUMBER(M3915)),L3915-M3915,"")</f>
        <v/>
      </c>
    </row>
    <row r="3916">
      <c r="N3916">
        <f>IF(AND(ISNUMBER(L3916),ISNUMBER(M3916)),L3916-M3916,"")</f>
        <v/>
      </c>
    </row>
    <row r="3917">
      <c r="N3917">
        <f>IF(AND(ISNUMBER(L3917),ISNUMBER(M3917)),L3917-M3917,"")</f>
        <v/>
      </c>
    </row>
    <row r="3918">
      <c r="N3918">
        <f>IF(AND(ISNUMBER(L3918),ISNUMBER(M3918)),L3918-M3918,"")</f>
        <v/>
      </c>
    </row>
    <row r="3919">
      <c r="N3919">
        <f>IF(AND(ISNUMBER(L3919),ISNUMBER(M3919)),L3919-M3919,"")</f>
        <v/>
      </c>
    </row>
    <row r="3920">
      <c r="N3920">
        <f>IF(AND(ISNUMBER(L3920),ISNUMBER(M3920)),L3920-M3920,"")</f>
        <v/>
      </c>
    </row>
    <row r="3921">
      <c r="N3921">
        <f>IF(AND(ISNUMBER(L3921),ISNUMBER(M3921)),L3921-M3921,"")</f>
        <v/>
      </c>
    </row>
    <row r="3922">
      <c r="N3922">
        <f>IF(AND(ISNUMBER(L3922),ISNUMBER(M3922)),L3922-M3922,"")</f>
        <v/>
      </c>
    </row>
    <row r="3923">
      <c r="N3923">
        <f>IF(AND(ISNUMBER(L3923),ISNUMBER(M3923)),L3923-M3923,"")</f>
        <v/>
      </c>
    </row>
    <row r="3924">
      <c r="N3924">
        <f>IF(AND(ISNUMBER(L3924),ISNUMBER(M3924)),L3924-M3924,"")</f>
        <v/>
      </c>
    </row>
    <row r="3925">
      <c r="N3925">
        <f>IF(AND(ISNUMBER(L3925),ISNUMBER(M3925)),L3925-M3925,"")</f>
        <v/>
      </c>
    </row>
    <row r="3926">
      <c r="N3926">
        <f>IF(AND(ISNUMBER(L3926),ISNUMBER(M3926)),L3926-M3926,"")</f>
        <v/>
      </c>
    </row>
    <row r="3927">
      <c r="N3927">
        <f>IF(AND(ISNUMBER(L3927),ISNUMBER(M3927)),L3927-M3927,"")</f>
        <v/>
      </c>
    </row>
    <row r="3928">
      <c r="N3928">
        <f>IF(AND(ISNUMBER(L3928),ISNUMBER(M3928)),L3928-M3928,"")</f>
        <v/>
      </c>
    </row>
    <row r="3929">
      <c r="N3929">
        <f>IF(AND(ISNUMBER(L3929),ISNUMBER(M3929)),L3929-M3929,"")</f>
        <v/>
      </c>
    </row>
    <row r="3930">
      <c r="N3930">
        <f>IF(AND(ISNUMBER(L3930),ISNUMBER(M3930)),L3930-M3930,"")</f>
        <v/>
      </c>
    </row>
    <row r="3931">
      <c r="N3931">
        <f>IF(AND(ISNUMBER(L3931),ISNUMBER(M3931)),L3931-M3931,"")</f>
        <v/>
      </c>
    </row>
    <row r="3932">
      <c r="N3932">
        <f>IF(AND(ISNUMBER(L3932),ISNUMBER(M3932)),L3932-M3932,"")</f>
        <v/>
      </c>
    </row>
    <row r="3933">
      <c r="N3933">
        <f>IF(AND(ISNUMBER(L3933),ISNUMBER(M3933)),L3933-M3933,"")</f>
        <v/>
      </c>
    </row>
    <row r="3934">
      <c r="N3934">
        <f>IF(AND(ISNUMBER(L3934),ISNUMBER(M3934)),L3934-M3934,"")</f>
        <v/>
      </c>
    </row>
    <row r="3935">
      <c r="N3935">
        <f>IF(AND(ISNUMBER(L3935),ISNUMBER(M3935)),L3935-M3935,"")</f>
        <v/>
      </c>
    </row>
    <row r="3936">
      <c r="N3936">
        <f>IF(AND(ISNUMBER(L3936),ISNUMBER(M3936)),L3936-M3936,"")</f>
        <v/>
      </c>
    </row>
    <row r="3937">
      <c r="N3937">
        <f>IF(AND(ISNUMBER(L3937),ISNUMBER(M3937)),L3937-M3937,"")</f>
        <v/>
      </c>
    </row>
    <row r="3938">
      <c r="N3938">
        <f>IF(AND(ISNUMBER(L3938),ISNUMBER(M3938)),L3938-M3938,"")</f>
        <v/>
      </c>
    </row>
    <row r="3939">
      <c r="N3939">
        <f>IF(AND(ISNUMBER(L3939),ISNUMBER(M3939)),L3939-M3939,"")</f>
        <v/>
      </c>
    </row>
    <row r="3940">
      <c r="N3940">
        <f>IF(AND(ISNUMBER(L3940),ISNUMBER(M3940)),L3940-M3940,"")</f>
        <v/>
      </c>
    </row>
    <row r="3941">
      <c r="N3941">
        <f>IF(AND(ISNUMBER(L3941),ISNUMBER(M3941)),L3941-M3941,"")</f>
        <v/>
      </c>
    </row>
    <row r="3942">
      <c r="N3942">
        <f>IF(AND(ISNUMBER(L3942),ISNUMBER(M3942)),L3942-M3942,"")</f>
        <v/>
      </c>
    </row>
    <row r="3943">
      <c r="N3943">
        <f>IF(AND(ISNUMBER(L3943),ISNUMBER(M3943)),L3943-M3943,"")</f>
        <v/>
      </c>
    </row>
    <row r="3944">
      <c r="N3944">
        <f>IF(AND(ISNUMBER(L3944),ISNUMBER(M3944)),L3944-M3944,"")</f>
        <v/>
      </c>
    </row>
    <row r="3945">
      <c r="N3945">
        <f>IF(AND(ISNUMBER(L3945),ISNUMBER(M3945)),L3945-M3945,"")</f>
        <v/>
      </c>
    </row>
    <row r="3946">
      <c r="N3946">
        <f>IF(AND(ISNUMBER(L3946),ISNUMBER(M3946)),L3946-M3946,"")</f>
        <v/>
      </c>
    </row>
    <row r="3947">
      <c r="N3947">
        <f>IF(AND(ISNUMBER(L3947),ISNUMBER(M3947)),L3947-M3947,"")</f>
        <v/>
      </c>
    </row>
    <row r="3948">
      <c r="N3948">
        <f>IF(AND(ISNUMBER(L3948),ISNUMBER(M3948)),L3948-M3948,"")</f>
        <v/>
      </c>
    </row>
    <row r="3949">
      <c r="N3949">
        <f>IF(AND(ISNUMBER(L3949),ISNUMBER(M3949)),L3949-M3949,"")</f>
        <v/>
      </c>
    </row>
    <row r="3950">
      <c r="N3950">
        <f>IF(AND(ISNUMBER(L3950),ISNUMBER(M3950)),L3950-M3950,"")</f>
        <v/>
      </c>
    </row>
    <row r="3951">
      <c r="N3951">
        <f>IF(AND(ISNUMBER(L3951),ISNUMBER(M3951)),L3951-M3951,"")</f>
        <v/>
      </c>
    </row>
    <row r="3952">
      <c r="N3952">
        <f>IF(AND(ISNUMBER(L3952),ISNUMBER(M3952)),L3952-M3952,"")</f>
        <v/>
      </c>
    </row>
    <row r="3953">
      <c r="N3953">
        <f>IF(AND(ISNUMBER(L3953),ISNUMBER(M3953)),L3953-M3953,"")</f>
        <v/>
      </c>
    </row>
    <row r="3954">
      <c r="N3954">
        <f>IF(AND(ISNUMBER(L3954),ISNUMBER(M3954)),L3954-M3954,"")</f>
        <v/>
      </c>
    </row>
    <row r="3955">
      <c r="N3955">
        <f>IF(AND(ISNUMBER(L3955),ISNUMBER(M3955)),L3955-M3955,"")</f>
        <v/>
      </c>
    </row>
    <row r="3956">
      <c r="N3956">
        <f>IF(AND(ISNUMBER(L3956),ISNUMBER(M3956)),L3956-M3956,"")</f>
        <v/>
      </c>
    </row>
    <row r="3957">
      <c r="N3957">
        <f>IF(AND(ISNUMBER(L3957),ISNUMBER(M3957)),L3957-M3957,"")</f>
        <v/>
      </c>
    </row>
    <row r="3958">
      <c r="N3958">
        <f>IF(AND(ISNUMBER(L3958),ISNUMBER(M3958)),L3958-M3958,"")</f>
        <v/>
      </c>
    </row>
    <row r="3959">
      <c r="N3959">
        <f>IF(AND(ISNUMBER(L3959),ISNUMBER(M3959)),L3959-M3959,"")</f>
        <v/>
      </c>
    </row>
    <row r="3960">
      <c r="N3960">
        <f>IF(AND(ISNUMBER(L3960),ISNUMBER(M3960)),L3960-M3960,"")</f>
        <v/>
      </c>
    </row>
    <row r="3961">
      <c r="N3961">
        <f>IF(AND(ISNUMBER(L3961),ISNUMBER(M3961)),L3961-M3961,"")</f>
        <v/>
      </c>
    </row>
    <row r="3962">
      <c r="N3962">
        <f>IF(AND(ISNUMBER(L3962),ISNUMBER(M3962)),L3962-M3962,"")</f>
        <v/>
      </c>
    </row>
    <row r="3963">
      <c r="N3963">
        <f>IF(AND(ISNUMBER(L3963),ISNUMBER(M3963)),L3963-M3963,"")</f>
        <v/>
      </c>
    </row>
    <row r="3964">
      <c r="N3964">
        <f>IF(AND(ISNUMBER(L3964),ISNUMBER(M3964)),L3964-M3964,"")</f>
        <v/>
      </c>
    </row>
    <row r="3965">
      <c r="N3965">
        <f>IF(AND(ISNUMBER(L3965),ISNUMBER(M3965)),L3965-M3965,"")</f>
        <v/>
      </c>
    </row>
    <row r="3966">
      <c r="N3966">
        <f>IF(AND(ISNUMBER(L3966),ISNUMBER(M3966)),L3966-M3966,"")</f>
        <v/>
      </c>
    </row>
    <row r="3967">
      <c r="N3967">
        <f>IF(AND(ISNUMBER(L3967),ISNUMBER(M3967)),L3967-M3967,"")</f>
        <v/>
      </c>
    </row>
    <row r="3968">
      <c r="N3968">
        <f>IF(AND(ISNUMBER(L3968),ISNUMBER(M3968)),L3968-M3968,"")</f>
        <v/>
      </c>
    </row>
    <row r="3969">
      <c r="N3969">
        <f>IF(AND(ISNUMBER(L3969),ISNUMBER(M3969)),L3969-M3969,"")</f>
        <v/>
      </c>
    </row>
    <row r="3970">
      <c r="N3970">
        <f>IF(AND(ISNUMBER(L3970),ISNUMBER(M3970)),L3970-M3970,"")</f>
        <v/>
      </c>
    </row>
    <row r="3971">
      <c r="N3971">
        <f>IF(AND(ISNUMBER(L3971),ISNUMBER(M3971)),L3971-M3971,"")</f>
        <v/>
      </c>
    </row>
    <row r="3972">
      <c r="N3972">
        <f>IF(AND(ISNUMBER(L3972),ISNUMBER(M3972)),L3972-M3972,"")</f>
        <v/>
      </c>
    </row>
    <row r="3973">
      <c r="N3973">
        <f>IF(AND(ISNUMBER(L3973),ISNUMBER(M3973)),L3973-M3973,"")</f>
        <v/>
      </c>
    </row>
    <row r="3974">
      <c r="N3974">
        <f>IF(AND(ISNUMBER(L3974),ISNUMBER(M3974)),L3974-M3974,"")</f>
        <v/>
      </c>
    </row>
    <row r="3975">
      <c r="N3975">
        <f>IF(AND(ISNUMBER(L3975),ISNUMBER(M3975)),L3975-M3975,"")</f>
        <v/>
      </c>
    </row>
    <row r="3976">
      <c r="N3976">
        <f>IF(AND(ISNUMBER(L3976),ISNUMBER(M3976)),L3976-M3976,"")</f>
        <v/>
      </c>
    </row>
    <row r="3977">
      <c r="N3977">
        <f>IF(AND(ISNUMBER(L3977),ISNUMBER(M3977)),L3977-M3977,"")</f>
        <v/>
      </c>
    </row>
    <row r="3978">
      <c r="N3978">
        <f>IF(AND(ISNUMBER(L3978),ISNUMBER(M3978)),L3978-M3978,"")</f>
        <v/>
      </c>
    </row>
    <row r="3979">
      <c r="N3979">
        <f>IF(AND(ISNUMBER(L3979),ISNUMBER(M3979)),L3979-M3979,"")</f>
        <v/>
      </c>
    </row>
    <row r="3980">
      <c r="N3980">
        <f>IF(AND(ISNUMBER(L3980),ISNUMBER(M3980)),L3980-M3980,"")</f>
        <v/>
      </c>
    </row>
    <row r="3981">
      <c r="N3981">
        <f>IF(AND(ISNUMBER(L3981),ISNUMBER(M3981)),L3981-M3981,"")</f>
        <v/>
      </c>
    </row>
    <row r="3982">
      <c r="N3982">
        <f>IF(AND(ISNUMBER(L3982),ISNUMBER(M3982)),L3982-M3982,"")</f>
        <v/>
      </c>
    </row>
    <row r="3983">
      <c r="N3983">
        <f>IF(AND(ISNUMBER(L3983),ISNUMBER(M3983)),L3983-M3983,"")</f>
        <v/>
      </c>
    </row>
    <row r="3984">
      <c r="N3984">
        <f>IF(AND(ISNUMBER(L3984),ISNUMBER(M3984)),L3984-M3984,"")</f>
        <v/>
      </c>
    </row>
    <row r="3985">
      <c r="N3985">
        <f>IF(AND(ISNUMBER(L3985),ISNUMBER(M3985)),L3985-M3985,"")</f>
        <v/>
      </c>
    </row>
    <row r="3986">
      <c r="N3986">
        <f>IF(AND(ISNUMBER(L3986),ISNUMBER(M3986)),L3986-M3986,"")</f>
        <v/>
      </c>
    </row>
    <row r="3987">
      <c r="N3987">
        <f>IF(AND(ISNUMBER(L3987),ISNUMBER(M3987)),L3987-M3987,"")</f>
        <v/>
      </c>
    </row>
    <row r="3988">
      <c r="N3988">
        <f>IF(AND(ISNUMBER(L3988),ISNUMBER(M3988)),L3988-M3988,"")</f>
        <v/>
      </c>
    </row>
    <row r="3989">
      <c r="N3989">
        <f>IF(AND(ISNUMBER(L3989),ISNUMBER(M3989)),L3989-M3989,"")</f>
        <v/>
      </c>
    </row>
    <row r="3990">
      <c r="N3990">
        <f>IF(AND(ISNUMBER(L3990),ISNUMBER(M3990)),L3990-M3990,"")</f>
        <v/>
      </c>
    </row>
    <row r="3991">
      <c r="N3991">
        <f>IF(AND(ISNUMBER(L3991),ISNUMBER(M3991)),L3991-M3991,"")</f>
        <v/>
      </c>
    </row>
    <row r="3992">
      <c r="N3992">
        <f>IF(AND(ISNUMBER(L3992),ISNUMBER(M3992)),L3992-M3992,"")</f>
        <v/>
      </c>
    </row>
    <row r="3993">
      <c r="N3993">
        <f>IF(AND(ISNUMBER(L3993),ISNUMBER(M3993)),L3993-M3993,"")</f>
        <v/>
      </c>
    </row>
    <row r="3994">
      <c r="N3994">
        <f>IF(AND(ISNUMBER(L3994),ISNUMBER(M3994)),L3994-M3994,"")</f>
        <v/>
      </c>
    </row>
    <row r="3995">
      <c r="N3995">
        <f>IF(AND(ISNUMBER(L3995),ISNUMBER(M3995)),L3995-M3995,"")</f>
        <v/>
      </c>
    </row>
    <row r="3996">
      <c r="N3996">
        <f>IF(AND(ISNUMBER(L3996),ISNUMBER(M3996)),L3996-M3996,"")</f>
        <v/>
      </c>
    </row>
    <row r="3997">
      <c r="N3997">
        <f>IF(AND(ISNUMBER(L3997),ISNUMBER(M3997)),L3997-M3997,"")</f>
        <v/>
      </c>
    </row>
    <row r="3998">
      <c r="N3998">
        <f>IF(AND(ISNUMBER(L3998),ISNUMBER(M3998)),L3998-M3998,"")</f>
        <v/>
      </c>
    </row>
    <row r="3999">
      <c r="N3999">
        <f>IF(AND(ISNUMBER(L3999),ISNUMBER(M3999)),L3999-M3999,"")</f>
        <v/>
      </c>
    </row>
    <row r="4000">
      <c r="N4000">
        <f>IF(AND(ISNUMBER(L4000),ISNUMBER(M4000)),L4000-M4000,"")</f>
        <v/>
      </c>
    </row>
    <row r="4001">
      <c r="N4001">
        <f>IF(AND(ISNUMBER(L4001),ISNUMBER(M4001)),L4001-M4001,"")</f>
        <v/>
      </c>
    </row>
    <row r="4002">
      <c r="N4002">
        <f>IF(AND(ISNUMBER(L4002),ISNUMBER(M4002)),L4002-M4002,"")</f>
        <v/>
      </c>
    </row>
    <row r="4003">
      <c r="N4003">
        <f>IF(AND(ISNUMBER(L4003),ISNUMBER(M4003)),L4003-M4003,"")</f>
        <v/>
      </c>
    </row>
    <row r="4004">
      <c r="N4004">
        <f>IF(AND(ISNUMBER(L4004),ISNUMBER(M4004)),L4004-M4004,"")</f>
        <v/>
      </c>
    </row>
    <row r="4005">
      <c r="N4005">
        <f>IF(AND(ISNUMBER(L4005),ISNUMBER(M4005)),L4005-M4005,"")</f>
        <v/>
      </c>
    </row>
    <row r="4006">
      <c r="N4006">
        <f>IF(AND(ISNUMBER(L4006),ISNUMBER(M4006)),L4006-M4006,"")</f>
        <v/>
      </c>
    </row>
    <row r="4007">
      <c r="N4007">
        <f>IF(AND(ISNUMBER(L4007),ISNUMBER(M4007)),L4007-M4007,"")</f>
        <v/>
      </c>
    </row>
    <row r="4008">
      <c r="N4008">
        <f>IF(AND(ISNUMBER(L4008),ISNUMBER(M4008)),L4008-M4008,"")</f>
        <v/>
      </c>
    </row>
    <row r="4009">
      <c r="N4009">
        <f>IF(AND(ISNUMBER(L4009),ISNUMBER(M4009)),L4009-M4009,"")</f>
        <v/>
      </c>
    </row>
    <row r="4010">
      <c r="N4010">
        <f>IF(AND(ISNUMBER(L4010),ISNUMBER(M4010)),L4010-M4010,"")</f>
        <v/>
      </c>
    </row>
    <row r="4011">
      <c r="N4011">
        <f>IF(AND(ISNUMBER(L4011),ISNUMBER(M4011)),L4011-M4011,"")</f>
        <v/>
      </c>
    </row>
    <row r="4012">
      <c r="N4012">
        <f>IF(AND(ISNUMBER(L4012),ISNUMBER(M4012)),L4012-M4012,"")</f>
        <v/>
      </c>
    </row>
    <row r="4013">
      <c r="N4013">
        <f>IF(AND(ISNUMBER(L4013),ISNUMBER(M4013)),L4013-M4013,"")</f>
        <v/>
      </c>
    </row>
    <row r="4014">
      <c r="N4014">
        <f>IF(AND(ISNUMBER(L4014),ISNUMBER(M4014)),L4014-M4014,"")</f>
        <v/>
      </c>
    </row>
    <row r="4015">
      <c r="N4015">
        <f>IF(AND(ISNUMBER(L4015),ISNUMBER(M4015)),L4015-M4015,"")</f>
        <v/>
      </c>
    </row>
    <row r="4016">
      <c r="N4016">
        <f>IF(AND(ISNUMBER(L4016),ISNUMBER(M4016)),L4016-M4016,"")</f>
        <v/>
      </c>
    </row>
    <row r="4017">
      <c r="N4017">
        <f>IF(AND(ISNUMBER(L4017),ISNUMBER(M4017)),L4017-M4017,"")</f>
        <v/>
      </c>
    </row>
    <row r="4018">
      <c r="N4018">
        <f>IF(AND(ISNUMBER(L4018),ISNUMBER(M4018)),L4018-M4018,"")</f>
        <v/>
      </c>
    </row>
    <row r="4019">
      <c r="N4019">
        <f>IF(AND(ISNUMBER(L4019),ISNUMBER(M4019)),L4019-M4019,"")</f>
        <v/>
      </c>
    </row>
    <row r="4020">
      <c r="N4020">
        <f>IF(AND(ISNUMBER(L4020),ISNUMBER(M4020)),L4020-M4020,"")</f>
        <v/>
      </c>
    </row>
    <row r="4021">
      <c r="N4021">
        <f>IF(AND(ISNUMBER(L4021),ISNUMBER(M4021)),L4021-M4021,"")</f>
        <v/>
      </c>
    </row>
    <row r="4022">
      <c r="N4022">
        <f>IF(AND(ISNUMBER(L4022),ISNUMBER(M4022)),L4022-M4022,"")</f>
        <v/>
      </c>
    </row>
    <row r="4023">
      <c r="N4023">
        <f>IF(AND(ISNUMBER(L4023),ISNUMBER(M4023)),L4023-M4023,"")</f>
        <v/>
      </c>
    </row>
    <row r="4024">
      <c r="N4024">
        <f>IF(AND(ISNUMBER(L4024),ISNUMBER(M4024)),L4024-M4024,"")</f>
        <v/>
      </c>
    </row>
    <row r="4025">
      <c r="N4025">
        <f>IF(AND(ISNUMBER(L4025),ISNUMBER(M4025)),L4025-M4025,"")</f>
        <v/>
      </c>
    </row>
    <row r="4026">
      <c r="N4026">
        <f>IF(AND(ISNUMBER(L4026),ISNUMBER(M4026)),L4026-M4026,"")</f>
        <v/>
      </c>
    </row>
    <row r="4027">
      <c r="N4027">
        <f>IF(AND(ISNUMBER(L4027),ISNUMBER(M4027)),L4027-M4027,"")</f>
        <v/>
      </c>
    </row>
    <row r="4028">
      <c r="N4028">
        <f>IF(AND(ISNUMBER(L4028),ISNUMBER(M4028)),L4028-M4028,"")</f>
        <v/>
      </c>
    </row>
    <row r="4029">
      <c r="N4029">
        <f>IF(AND(ISNUMBER(L4029),ISNUMBER(M4029)),L4029-M4029,"")</f>
        <v/>
      </c>
    </row>
    <row r="4030">
      <c r="N4030">
        <f>IF(AND(ISNUMBER(L4030),ISNUMBER(M4030)),L4030-M4030,"")</f>
        <v/>
      </c>
    </row>
    <row r="4031">
      <c r="N4031">
        <f>IF(AND(ISNUMBER(L4031),ISNUMBER(M4031)),L4031-M4031,"")</f>
        <v/>
      </c>
    </row>
    <row r="4032">
      <c r="N4032">
        <f>IF(AND(ISNUMBER(L4032),ISNUMBER(M4032)),L4032-M4032,"")</f>
        <v/>
      </c>
    </row>
    <row r="4033">
      <c r="N4033">
        <f>IF(AND(ISNUMBER(L4033),ISNUMBER(M4033)),L4033-M4033,"")</f>
        <v/>
      </c>
    </row>
    <row r="4034">
      <c r="N4034">
        <f>IF(AND(ISNUMBER(L4034),ISNUMBER(M4034)),L4034-M4034,"")</f>
        <v/>
      </c>
    </row>
    <row r="4035">
      <c r="N4035">
        <f>IF(AND(ISNUMBER(L4035),ISNUMBER(M4035)),L4035-M4035,"")</f>
        <v/>
      </c>
    </row>
    <row r="4036">
      <c r="N4036">
        <f>IF(AND(ISNUMBER(L4036),ISNUMBER(M4036)),L4036-M4036,"")</f>
        <v/>
      </c>
    </row>
    <row r="4037">
      <c r="N4037">
        <f>IF(AND(ISNUMBER(L4037),ISNUMBER(M4037)),L4037-M4037,"")</f>
        <v/>
      </c>
    </row>
    <row r="4038">
      <c r="N4038">
        <f>IF(AND(ISNUMBER(L4038),ISNUMBER(M4038)),L4038-M4038,"")</f>
        <v/>
      </c>
    </row>
    <row r="4039">
      <c r="N4039">
        <f>IF(AND(ISNUMBER(L4039),ISNUMBER(M4039)),L4039-M4039,"")</f>
        <v/>
      </c>
    </row>
    <row r="4040">
      <c r="N4040">
        <f>IF(AND(ISNUMBER(L4040),ISNUMBER(M4040)),L4040-M4040,"")</f>
        <v/>
      </c>
    </row>
    <row r="4041">
      <c r="N4041">
        <f>IF(AND(ISNUMBER(L4041),ISNUMBER(M4041)),L4041-M4041,"")</f>
        <v/>
      </c>
    </row>
    <row r="4042">
      <c r="N4042">
        <f>IF(AND(ISNUMBER(L4042),ISNUMBER(M4042)),L4042-M4042,"")</f>
        <v/>
      </c>
    </row>
    <row r="4043">
      <c r="N4043">
        <f>IF(AND(ISNUMBER(L4043),ISNUMBER(M4043)),L4043-M4043,"")</f>
        <v/>
      </c>
    </row>
    <row r="4044">
      <c r="N4044">
        <f>IF(AND(ISNUMBER(L4044),ISNUMBER(M4044)),L4044-M4044,"")</f>
        <v/>
      </c>
    </row>
    <row r="4045">
      <c r="N4045">
        <f>IF(AND(ISNUMBER(L4045),ISNUMBER(M4045)),L4045-M4045,"")</f>
        <v/>
      </c>
    </row>
    <row r="4046">
      <c r="N4046">
        <f>IF(AND(ISNUMBER(L4046),ISNUMBER(M4046)),L4046-M4046,"")</f>
        <v/>
      </c>
    </row>
    <row r="4047">
      <c r="N4047">
        <f>IF(AND(ISNUMBER(L4047),ISNUMBER(M4047)),L4047-M4047,"")</f>
        <v/>
      </c>
    </row>
    <row r="4048">
      <c r="N4048">
        <f>IF(AND(ISNUMBER(L4048),ISNUMBER(M4048)),L4048-M4048,"")</f>
        <v/>
      </c>
    </row>
    <row r="4049">
      <c r="N4049">
        <f>IF(AND(ISNUMBER(L4049),ISNUMBER(M4049)),L4049-M4049,"")</f>
        <v/>
      </c>
    </row>
    <row r="4050">
      <c r="N4050">
        <f>IF(AND(ISNUMBER(L4050),ISNUMBER(M4050)),L4050-M4050,"")</f>
        <v/>
      </c>
    </row>
    <row r="4051">
      <c r="N4051">
        <f>IF(AND(ISNUMBER(L4051),ISNUMBER(M4051)),L4051-M4051,"")</f>
        <v/>
      </c>
    </row>
    <row r="4052">
      <c r="N4052">
        <f>IF(AND(ISNUMBER(L4052),ISNUMBER(M4052)),L4052-M4052,"")</f>
        <v/>
      </c>
    </row>
    <row r="4053">
      <c r="N4053">
        <f>IF(AND(ISNUMBER(L4053),ISNUMBER(M4053)),L4053-M4053,"")</f>
        <v/>
      </c>
    </row>
    <row r="4054">
      <c r="N4054">
        <f>IF(AND(ISNUMBER(L4054),ISNUMBER(M4054)),L4054-M4054,"")</f>
        <v/>
      </c>
    </row>
    <row r="4055">
      <c r="N4055">
        <f>IF(AND(ISNUMBER(L4055),ISNUMBER(M4055)),L4055-M4055,"")</f>
        <v/>
      </c>
    </row>
    <row r="4056">
      <c r="N4056">
        <f>IF(AND(ISNUMBER(L4056),ISNUMBER(M4056)),L4056-M4056,"")</f>
        <v/>
      </c>
    </row>
    <row r="4057">
      <c r="N4057">
        <f>IF(AND(ISNUMBER(L4057),ISNUMBER(M4057)),L4057-M4057,"")</f>
        <v/>
      </c>
    </row>
    <row r="4058">
      <c r="N4058">
        <f>IF(AND(ISNUMBER(L4058),ISNUMBER(M4058)),L4058-M4058,"")</f>
        <v/>
      </c>
    </row>
    <row r="4059">
      <c r="N4059">
        <f>IF(AND(ISNUMBER(L4059),ISNUMBER(M4059)),L4059-M4059,"")</f>
        <v/>
      </c>
    </row>
    <row r="4060">
      <c r="N4060">
        <f>IF(AND(ISNUMBER(L4060),ISNUMBER(M4060)),L4060-M4060,"")</f>
        <v/>
      </c>
    </row>
    <row r="4061">
      <c r="N4061">
        <f>IF(AND(ISNUMBER(L4061),ISNUMBER(M4061)),L4061-M4061,"")</f>
        <v/>
      </c>
    </row>
    <row r="4062">
      <c r="N4062">
        <f>IF(AND(ISNUMBER(L4062),ISNUMBER(M4062)),L4062-M4062,"")</f>
        <v/>
      </c>
    </row>
    <row r="4063">
      <c r="N4063">
        <f>IF(AND(ISNUMBER(L4063),ISNUMBER(M4063)),L4063-M4063,"")</f>
        <v/>
      </c>
    </row>
    <row r="4064">
      <c r="N4064">
        <f>IF(AND(ISNUMBER(L4064),ISNUMBER(M4064)),L4064-M4064,"")</f>
        <v/>
      </c>
    </row>
    <row r="4065">
      <c r="N4065">
        <f>IF(AND(ISNUMBER(L4065),ISNUMBER(M4065)),L4065-M4065,"")</f>
        <v/>
      </c>
    </row>
    <row r="4066">
      <c r="N4066">
        <f>IF(AND(ISNUMBER(L4066),ISNUMBER(M4066)),L4066-M4066,"")</f>
        <v/>
      </c>
    </row>
    <row r="4067">
      <c r="N4067">
        <f>IF(AND(ISNUMBER(L4067),ISNUMBER(M4067)),L4067-M4067,"")</f>
        <v/>
      </c>
    </row>
    <row r="4068">
      <c r="N4068">
        <f>IF(AND(ISNUMBER(L4068),ISNUMBER(M4068)),L4068-M4068,"")</f>
        <v/>
      </c>
    </row>
    <row r="4069">
      <c r="N4069">
        <f>IF(AND(ISNUMBER(L4069),ISNUMBER(M4069)),L4069-M4069,"")</f>
        <v/>
      </c>
    </row>
    <row r="4070">
      <c r="N4070">
        <f>IF(AND(ISNUMBER(L4070),ISNUMBER(M4070)),L4070-M4070,"")</f>
        <v/>
      </c>
    </row>
    <row r="4071">
      <c r="N4071">
        <f>IF(AND(ISNUMBER(L4071),ISNUMBER(M4071)),L4071-M4071,"")</f>
        <v/>
      </c>
    </row>
    <row r="4072">
      <c r="N4072">
        <f>IF(AND(ISNUMBER(L4072),ISNUMBER(M4072)),L4072-M4072,"")</f>
        <v/>
      </c>
    </row>
    <row r="4073">
      <c r="N4073">
        <f>IF(AND(ISNUMBER(L4073),ISNUMBER(M4073)),L4073-M4073,"")</f>
        <v/>
      </c>
    </row>
    <row r="4074">
      <c r="N4074">
        <f>IF(AND(ISNUMBER(L4074),ISNUMBER(M4074)),L4074-M4074,"")</f>
        <v/>
      </c>
    </row>
    <row r="4075">
      <c r="N4075">
        <f>IF(AND(ISNUMBER(L4075),ISNUMBER(M4075)),L4075-M4075,"")</f>
        <v/>
      </c>
    </row>
    <row r="4076">
      <c r="N4076">
        <f>IF(AND(ISNUMBER(L4076),ISNUMBER(M4076)),L4076-M4076,"")</f>
        <v/>
      </c>
    </row>
    <row r="4077">
      <c r="N4077">
        <f>IF(AND(ISNUMBER(L4077),ISNUMBER(M4077)),L4077-M4077,"")</f>
        <v/>
      </c>
    </row>
    <row r="4078">
      <c r="N4078">
        <f>IF(AND(ISNUMBER(L4078),ISNUMBER(M4078)),L4078-M4078,"")</f>
        <v/>
      </c>
    </row>
    <row r="4079">
      <c r="N4079">
        <f>IF(AND(ISNUMBER(L4079),ISNUMBER(M4079)),L4079-M4079,"")</f>
        <v/>
      </c>
    </row>
    <row r="4080">
      <c r="N4080">
        <f>IF(AND(ISNUMBER(L4080),ISNUMBER(M4080)),L4080-M4080,"")</f>
        <v/>
      </c>
    </row>
    <row r="4081">
      <c r="N4081">
        <f>IF(AND(ISNUMBER(L4081),ISNUMBER(M4081)),L4081-M4081,"")</f>
        <v/>
      </c>
    </row>
    <row r="4082">
      <c r="N4082">
        <f>IF(AND(ISNUMBER(L4082),ISNUMBER(M4082)),L4082-M4082,"")</f>
        <v/>
      </c>
    </row>
    <row r="4083">
      <c r="N4083">
        <f>IF(AND(ISNUMBER(L4083),ISNUMBER(M4083)),L4083-M4083,"")</f>
        <v/>
      </c>
    </row>
    <row r="4084">
      <c r="N4084">
        <f>IF(AND(ISNUMBER(L4084),ISNUMBER(M4084)),L4084-M4084,"")</f>
        <v/>
      </c>
    </row>
    <row r="4085">
      <c r="N4085">
        <f>IF(AND(ISNUMBER(L4085),ISNUMBER(M4085)),L4085-M4085,"")</f>
        <v/>
      </c>
    </row>
    <row r="4086">
      <c r="N4086">
        <f>IF(AND(ISNUMBER(L4086),ISNUMBER(M4086)),L4086-M4086,"")</f>
        <v/>
      </c>
    </row>
    <row r="4087">
      <c r="N4087">
        <f>IF(AND(ISNUMBER(L4087),ISNUMBER(M4087)),L4087-M4087,"")</f>
        <v/>
      </c>
    </row>
    <row r="4088">
      <c r="N4088">
        <f>IF(AND(ISNUMBER(L4088),ISNUMBER(M4088)),L4088-M4088,"")</f>
        <v/>
      </c>
    </row>
    <row r="4089">
      <c r="N4089">
        <f>IF(AND(ISNUMBER(L4089),ISNUMBER(M4089)),L4089-M4089,"")</f>
        <v/>
      </c>
    </row>
    <row r="4090">
      <c r="N4090">
        <f>IF(AND(ISNUMBER(L4090),ISNUMBER(M4090)),L4090-M4090,"")</f>
        <v/>
      </c>
    </row>
    <row r="4091">
      <c r="N4091">
        <f>IF(AND(ISNUMBER(L4091),ISNUMBER(M4091)),L4091-M4091,"")</f>
        <v/>
      </c>
    </row>
    <row r="4092">
      <c r="N4092">
        <f>IF(AND(ISNUMBER(L4092),ISNUMBER(M4092)),L4092-M4092,"")</f>
        <v/>
      </c>
    </row>
    <row r="4093">
      <c r="N4093">
        <f>IF(AND(ISNUMBER(L4093),ISNUMBER(M4093)),L4093-M4093,"")</f>
        <v/>
      </c>
    </row>
    <row r="4094">
      <c r="N4094">
        <f>IF(AND(ISNUMBER(L4094),ISNUMBER(M4094)),L4094-M4094,"")</f>
        <v/>
      </c>
    </row>
    <row r="4095">
      <c r="N4095">
        <f>IF(AND(ISNUMBER(L4095),ISNUMBER(M4095)),L4095-M4095,"")</f>
        <v/>
      </c>
    </row>
    <row r="4096">
      <c r="N4096">
        <f>IF(AND(ISNUMBER(L4096),ISNUMBER(M4096)),L4096-M4096,"")</f>
        <v/>
      </c>
    </row>
    <row r="4097">
      <c r="N4097">
        <f>IF(AND(ISNUMBER(L4097),ISNUMBER(M4097)),L4097-M4097,"")</f>
        <v/>
      </c>
    </row>
    <row r="4098">
      <c r="N4098">
        <f>IF(AND(ISNUMBER(L4098),ISNUMBER(M4098)),L4098-M4098,"")</f>
        <v/>
      </c>
    </row>
    <row r="4099">
      <c r="N4099">
        <f>IF(AND(ISNUMBER(L4099),ISNUMBER(M4099)),L4099-M4099,"")</f>
        <v/>
      </c>
    </row>
    <row r="4100">
      <c r="N4100">
        <f>IF(AND(ISNUMBER(L4100),ISNUMBER(M4100)),L4100-M4100,"")</f>
        <v/>
      </c>
    </row>
    <row r="4101">
      <c r="N4101">
        <f>IF(AND(ISNUMBER(L4101),ISNUMBER(M4101)),L4101-M4101,"")</f>
        <v/>
      </c>
    </row>
    <row r="4102">
      <c r="N4102">
        <f>IF(AND(ISNUMBER(L4102),ISNUMBER(M4102)),L4102-M4102,"")</f>
        <v/>
      </c>
    </row>
    <row r="4103">
      <c r="N4103">
        <f>IF(AND(ISNUMBER(L4103),ISNUMBER(M4103)),L4103-M4103,"")</f>
        <v/>
      </c>
    </row>
    <row r="4104">
      <c r="N4104">
        <f>IF(AND(ISNUMBER(L4104),ISNUMBER(M4104)),L4104-M4104,"")</f>
        <v/>
      </c>
    </row>
    <row r="4105">
      <c r="N4105">
        <f>IF(AND(ISNUMBER(L4105),ISNUMBER(M4105)),L4105-M4105,"")</f>
        <v/>
      </c>
    </row>
    <row r="4106">
      <c r="N4106">
        <f>IF(AND(ISNUMBER(L4106),ISNUMBER(M4106)),L4106-M4106,"")</f>
        <v/>
      </c>
    </row>
    <row r="4107">
      <c r="N4107">
        <f>IF(AND(ISNUMBER(L4107),ISNUMBER(M4107)),L4107-M4107,"")</f>
        <v/>
      </c>
    </row>
    <row r="4108">
      <c r="N4108">
        <f>IF(AND(ISNUMBER(L4108),ISNUMBER(M4108)),L4108-M4108,"")</f>
        <v/>
      </c>
    </row>
    <row r="4109">
      <c r="N4109">
        <f>IF(AND(ISNUMBER(L4109),ISNUMBER(M4109)),L4109-M4109,"")</f>
        <v/>
      </c>
    </row>
    <row r="4110">
      <c r="N4110">
        <f>IF(AND(ISNUMBER(L4110),ISNUMBER(M4110)),L4110-M4110,"")</f>
        <v/>
      </c>
    </row>
    <row r="4111">
      <c r="N4111">
        <f>IF(AND(ISNUMBER(L4111),ISNUMBER(M4111)),L4111-M4111,"")</f>
        <v/>
      </c>
    </row>
    <row r="4112">
      <c r="N4112">
        <f>IF(AND(ISNUMBER(L4112),ISNUMBER(M4112)),L4112-M4112,"")</f>
        <v/>
      </c>
    </row>
    <row r="4113">
      <c r="N4113">
        <f>IF(AND(ISNUMBER(L4113),ISNUMBER(M4113)),L4113-M4113,"")</f>
        <v/>
      </c>
    </row>
    <row r="4114">
      <c r="N4114">
        <f>IF(AND(ISNUMBER(L4114),ISNUMBER(M4114)),L4114-M4114,"")</f>
        <v/>
      </c>
    </row>
    <row r="4115">
      <c r="N4115">
        <f>IF(AND(ISNUMBER(L4115),ISNUMBER(M4115)),L4115-M4115,"")</f>
        <v/>
      </c>
    </row>
    <row r="4116">
      <c r="N4116">
        <f>IF(AND(ISNUMBER(L4116),ISNUMBER(M4116)),L4116-M4116,"")</f>
        <v/>
      </c>
    </row>
    <row r="4117">
      <c r="N4117">
        <f>IF(AND(ISNUMBER(L4117),ISNUMBER(M4117)),L4117-M4117,"")</f>
        <v/>
      </c>
    </row>
    <row r="4118">
      <c r="N4118">
        <f>IF(AND(ISNUMBER(L4118),ISNUMBER(M4118)),L4118-M4118,"")</f>
        <v/>
      </c>
    </row>
    <row r="4119">
      <c r="N4119">
        <f>IF(AND(ISNUMBER(L4119),ISNUMBER(M4119)),L4119-M4119,"")</f>
        <v/>
      </c>
    </row>
    <row r="4120">
      <c r="N4120">
        <f>IF(AND(ISNUMBER(L4120),ISNUMBER(M4120)),L4120-M4120,"")</f>
        <v/>
      </c>
    </row>
    <row r="4121">
      <c r="N4121">
        <f>IF(AND(ISNUMBER(L4121),ISNUMBER(M4121)),L4121-M4121,"")</f>
        <v/>
      </c>
    </row>
    <row r="4122">
      <c r="N4122">
        <f>IF(AND(ISNUMBER(L4122),ISNUMBER(M4122)),L4122-M4122,"")</f>
        <v/>
      </c>
    </row>
    <row r="4123">
      <c r="N4123">
        <f>IF(AND(ISNUMBER(L4123),ISNUMBER(M4123)),L4123-M4123,"")</f>
        <v/>
      </c>
    </row>
    <row r="4124">
      <c r="N4124">
        <f>IF(AND(ISNUMBER(L4124),ISNUMBER(M4124)),L4124-M4124,"")</f>
        <v/>
      </c>
    </row>
    <row r="4125">
      <c r="N4125">
        <f>IF(AND(ISNUMBER(L4125),ISNUMBER(M4125)),L4125-M4125,"")</f>
        <v/>
      </c>
    </row>
    <row r="4126">
      <c r="N4126">
        <f>IF(AND(ISNUMBER(L4126),ISNUMBER(M4126)),L4126-M4126,"")</f>
        <v/>
      </c>
    </row>
    <row r="4127">
      <c r="N4127">
        <f>IF(AND(ISNUMBER(L4127),ISNUMBER(M4127)),L4127-M4127,"")</f>
        <v/>
      </c>
    </row>
    <row r="4128">
      <c r="N4128">
        <f>IF(AND(ISNUMBER(L4128),ISNUMBER(M4128)),L4128-M4128,"")</f>
        <v/>
      </c>
    </row>
    <row r="4129">
      <c r="N4129">
        <f>IF(AND(ISNUMBER(L4129),ISNUMBER(M4129)),L4129-M4129,"")</f>
        <v/>
      </c>
    </row>
    <row r="4130">
      <c r="N4130">
        <f>IF(AND(ISNUMBER(L4130),ISNUMBER(M4130)),L4130-M4130,"")</f>
        <v/>
      </c>
    </row>
    <row r="4131">
      <c r="N4131">
        <f>IF(AND(ISNUMBER(L4131),ISNUMBER(M4131)),L4131-M4131,"")</f>
        <v/>
      </c>
    </row>
    <row r="4132">
      <c r="N4132">
        <f>IF(AND(ISNUMBER(L4132),ISNUMBER(M4132)),L4132-M4132,"")</f>
        <v/>
      </c>
    </row>
    <row r="4133">
      <c r="N4133">
        <f>IF(AND(ISNUMBER(L4133),ISNUMBER(M4133)),L4133-M4133,"")</f>
        <v/>
      </c>
    </row>
    <row r="4134">
      <c r="N4134">
        <f>IF(AND(ISNUMBER(L4134),ISNUMBER(M4134)),L4134-M4134,"")</f>
        <v/>
      </c>
    </row>
    <row r="4135">
      <c r="N4135">
        <f>IF(AND(ISNUMBER(L4135),ISNUMBER(M4135)),L4135-M4135,"")</f>
        <v/>
      </c>
    </row>
    <row r="4136">
      <c r="N4136">
        <f>IF(AND(ISNUMBER(L4136),ISNUMBER(M4136)),L4136-M4136,"")</f>
        <v/>
      </c>
    </row>
    <row r="4137">
      <c r="N4137">
        <f>IF(AND(ISNUMBER(L4137),ISNUMBER(M4137)),L4137-M4137,"")</f>
        <v/>
      </c>
    </row>
    <row r="4138">
      <c r="N4138">
        <f>IF(AND(ISNUMBER(L4138),ISNUMBER(M4138)),L4138-M4138,"")</f>
        <v/>
      </c>
    </row>
    <row r="4139">
      <c r="N4139">
        <f>IF(AND(ISNUMBER(L4139),ISNUMBER(M4139)),L4139-M4139,"")</f>
        <v/>
      </c>
    </row>
    <row r="4140">
      <c r="N4140">
        <f>IF(AND(ISNUMBER(L4140),ISNUMBER(M4140)),L4140-M4140,"")</f>
        <v/>
      </c>
    </row>
    <row r="4141">
      <c r="N4141">
        <f>IF(AND(ISNUMBER(L4141),ISNUMBER(M4141)),L4141-M4141,"")</f>
        <v/>
      </c>
    </row>
    <row r="4142">
      <c r="N4142">
        <f>IF(AND(ISNUMBER(L4142),ISNUMBER(M4142)),L4142-M4142,"")</f>
        <v/>
      </c>
    </row>
    <row r="4143">
      <c r="N4143">
        <f>IF(AND(ISNUMBER(L4143),ISNUMBER(M4143)),L4143-M4143,"")</f>
        <v/>
      </c>
    </row>
    <row r="4144">
      <c r="N4144">
        <f>IF(AND(ISNUMBER(L4144),ISNUMBER(M4144)),L4144-M4144,"")</f>
        <v/>
      </c>
    </row>
    <row r="4145">
      <c r="N4145">
        <f>IF(AND(ISNUMBER(L4145),ISNUMBER(M4145)),L4145-M4145,"")</f>
        <v/>
      </c>
    </row>
    <row r="4146">
      <c r="N4146">
        <f>IF(AND(ISNUMBER(L4146),ISNUMBER(M4146)),L4146-M4146,"")</f>
        <v/>
      </c>
    </row>
    <row r="4147">
      <c r="N4147">
        <f>IF(AND(ISNUMBER(L4147),ISNUMBER(M4147)),L4147-M4147,"")</f>
        <v/>
      </c>
    </row>
    <row r="4148">
      <c r="N4148">
        <f>IF(AND(ISNUMBER(L4148),ISNUMBER(M4148)),L4148-M4148,"")</f>
        <v/>
      </c>
    </row>
    <row r="4149">
      <c r="N4149">
        <f>IF(AND(ISNUMBER(L4149),ISNUMBER(M4149)),L4149-M4149,"")</f>
        <v/>
      </c>
    </row>
    <row r="4150">
      <c r="N4150">
        <f>IF(AND(ISNUMBER(L4150),ISNUMBER(M4150)),L4150-M4150,"")</f>
        <v/>
      </c>
    </row>
    <row r="4151">
      <c r="N4151">
        <f>IF(AND(ISNUMBER(L4151),ISNUMBER(M4151)),L4151-M4151,"")</f>
        <v/>
      </c>
    </row>
    <row r="4152">
      <c r="N4152">
        <f>IF(AND(ISNUMBER(L4152),ISNUMBER(M4152)),L4152-M4152,"")</f>
        <v/>
      </c>
    </row>
    <row r="4153">
      <c r="N4153">
        <f>IF(AND(ISNUMBER(L4153),ISNUMBER(M4153)),L4153-M4153,"")</f>
        <v/>
      </c>
    </row>
    <row r="4154">
      <c r="N4154">
        <f>IF(AND(ISNUMBER(L4154),ISNUMBER(M4154)),L4154-M4154,"")</f>
        <v/>
      </c>
    </row>
    <row r="4155">
      <c r="N4155">
        <f>IF(AND(ISNUMBER(L4155),ISNUMBER(M4155)),L4155-M4155,"")</f>
        <v/>
      </c>
    </row>
    <row r="4156">
      <c r="N4156">
        <f>IF(AND(ISNUMBER(L4156),ISNUMBER(M4156)),L4156-M4156,"")</f>
        <v/>
      </c>
    </row>
    <row r="4157">
      <c r="N4157">
        <f>IF(AND(ISNUMBER(L4157),ISNUMBER(M4157)),L4157-M4157,"")</f>
        <v/>
      </c>
    </row>
    <row r="4158">
      <c r="N4158">
        <f>IF(AND(ISNUMBER(L4158),ISNUMBER(M4158)),L4158-M4158,"")</f>
        <v/>
      </c>
    </row>
    <row r="4159">
      <c r="N4159">
        <f>IF(AND(ISNUMBER(L4159),ISNUMBER(M4159)),L4159-M4159,"")</f>
        <v/>
      </c>
    </row>
    <row r="4160">
      <c r="N4160">
        <f>IF(AND(ISNUMBER(L4160),ISNUMBER(M4160)),L4160-M4160,"")</f>
        <v/>
      </c>
    </row>
    <row r="4161">
      <c r="N4161">
        <f>IF(AND(ISNUMBER(L4161),ISNUMBER(M4161)),L4161-M4161,"")</f>
        <v/>
      </c>
    </row>
    <row r="4162">
      <c r="N4162">
        <f>IF(AND(ISNUMBER(L4162),ISNUMBER(M4162)),L4162-M4162,"")</f>
        <v/>
      </c>
    </row>
    <row r="4163">
      <c r="N4163">
        <f>IF(AND(ISNUMBER(L4163),ISNUMBER(M4163)),L4163-M4163,"")</f>
        <v/>
      </c>
    </row>
    <row r="4164">
      <c r="N4164">
        <f>IF(AND(ISNUMBER(L4164),ISNUMBER(M4164)),L4164-M4164,"")</f>
        <v/>
      </c>
    </row>
    <row r="4165">
      <c r="N4165">
        <f>IF(AND(ISNUMBER(L4165),ISNUMBER(M4165)),L4165-M4165,"")</f>
        <v/>
      </c>
    </row>
    <row r="4166">
      <c r="N4166">
        <f>IF(AND(ISNUMBER(L4166),ISNUMBER(M4166)),L4166-M4166,"")</f>
        <v/>
      </c>
    </row>
    <row r="4167">
      <c r="N4167">
        <f>IF(AND(ISNUMBER(L4167),ISNUMBER(M4167)),L4167-M4167,"")</f>
        <v/>
      </c>
    </row>
    <row r="4168">
      <c r="N4168">
        <f>IF(AND(ISNUMBER(L4168),ISNUMBER(M4168)),L4168-M4168,"")</f>
        <v/>
      </c>
    </row>
    <row r="4169">
      <c r="N4169">
        <f>IF(AND(ISNUMBER(L4169),ISNUMBER(M4169)),L4169-M4169,"")</f>
        <v/>
      </c>
    </row>
    <row r="4170">
      <c r="N4170">
        <f>IF(AND(ISNUMBER(L4170),ISNUMBER(M4170)),L4170-M4170,"")</f>
        <v/>
      </c>
    </row>
    <row r="4171">
      <c r="N4171">
        <f>IF(AND(ISNUMBER(L4171),ISNUMBER(M4171)),L4171-M4171,"")</f>
        <v/>
      </c>
    </row>
    <row r="4172">
      <c r="N4172">
        <f>IF(AND(ISNUMBER(L4172),ISNUMBER(M4172)),L4172-M4172,"")</f>
        <v/>
      </c>
    </row>
    <row r="4173">
      <c r="N4173">
        <f>IF(AND(ISNUMBER(L4173),ISNUMBER(M4173)),L4173-M4173,"")</f>
        <v/>
      </c>
    </row>
    <row r="4174">
      <c r="N4174">
        <f>IF(AND(ISNUMBER(L4174),ISNUMBER(M4174)),L4174-M4174,"")</f>
        <v/>
      </c>
    </row>
    <row r="4175">
      <c r="N4175">
        <f>IF(AND(ISNUMBER(L4175),ISNUMBER(M4175)),L4175-M4175,"")</f>
        <v/>
      </c>
    </row>
    <row r="4176">
      <c r="N4176">
        <f>IF(AND(ISNUMBER(L4176),ISNUMBER(M4176)),L4176-M4176,"")</f>
        <v/>
      </c>
    </row>
    <row r="4177">
      <c r="N4177">
        <f>IF(AND(ISNUMBER(L4177),ISNUMBER(M4177)),L4177-M4177,"")</f>
        <v/>
      </c>
    </row>
    <row r="4178">
      <c r="N4178">
        <f>IF(AND(ISNUMBER(L4178),ISNUMBER(M4178)),L4178-M4178,"")</f>
        <v/>
      </c>
    </row>
    <row r="4179">
      <c r="N4179">
        <f>IF(AND(ISNUMBER(L4179),ISNUMBER(M4179)),L4179-M4179,"")</f>
        <v/>
      </c>
    </row>
    <row r="4180">
      <c r="N4180">
        <f>IF(AND(ISNUMBER(L4180),ISNUMBER(M4180)),L4180-M4180,"")</f>
        <v/>
      </c>
    </row>
    <row r="4181">
      <c r="N4181">
        <f>IF(AND(ISNUMBER(L4181),ISNUMBER(M4181)),L4181-M4181,"")</f>
        <v/>
      </c>
    </row>
    <row r="4182">
      <c r="N4182">
        <f>IF(AND(ISNUMBER(L4182),ISNUMBER(M4182)),L4182-M4182,"")</f>
        <v/>
      </c>
    </row>
    <row r="4183">
      <c r="N4183">
        <f>IF(AND(ISNUMBER(L4183),ISNUMBER(M4183)),L4183-M4183,"")</f>
        <v/>
      </c>
    </row>
    <row r="4184">
      <c r="N4184">
        <f>IF(AND(ISNUMBER(L4184),ISNUMBER(M4184)),L4184-M4184,"")</f>
        <v/>
      </c>
    </row>
    <row r="4185">
      <c r="N4185">
        <f>IF(AND(ISNUMBER(L4185),ISNUMBER(M4185)),L4185-M4185,"")</f>
        <v/>
      </c>
    </row>
    <row r="4186">
      <c r="N4186">
        <f>IF(AND(ISNUMBER(L4186),ISNUMBER(M4186)),L4186-M4186,"")</f>
        <v/>
      </c>
    </row>
    <row r="4187">
      <c r="N4187">
        <f>IF(AND(ISNUMBER(L4187),ISNUMBER(M4187)),L4187-M4187,"")</f>
        <v/>
      </c>
    </row>
    <row r="4188">
      <c r="N4188">
        <f>IF(AND(ISNUMBER(L4188),ISNUMBER(M4188)),L4188-M4188,"")</f>
        <v/>
      </c>
    </row>
    <row r="4189">
      <c r="N4189">
        <f>IF(AND(ISNUMBER(L4189),ISNUMBER(M4189)),L4189-M4189,"")</f>
        <v/>
      </c>
    </row>
    <row r="4190">
      <c r="N4190">
        <f>IF(AND(ISNUMBER(L4190),ISNUMBER(M4190)),L4190-M4190,"")</f>
        <v/>
      </c>
    </row>
    <row r="4191">
      <c r="N4191">
        <f>IF(AND(ISNUMBER(L4191),ISNUMBER(M4191)),L4191-M4191,"")</f>
        <v/>
      </c>
    </row>
    <row r="4192">
      <c r="N4192">
        <f>IF(AND(ISNUMBER(L4192),ISNUMBER(M4192)),L4192-M4192,"")</f>
        <v/>
      </c>
    </row>
    <row r="4193">
      <c r="N4193">
        <f>IF(AND(ISNUMBER(L4193),ISNUMBER(M4193)),L4193-M4193,"")</f>
        <v/>
      </c>
    </row>
    <row r="4194">
      <c r="N4194">
        <f>IF(AND(ISNUMBER(L4194),ISNUMBER(M4194)),L4194-M4194,"")</f>
        <v/>
      </c>
    </row>
    <row r="4195">
      <c r="N4195">
        <f>IF(AND(ISNUMBER(L4195),ISNUMBER(M4195)),L4195-M4195,"")</f>
        <v/>
      </c>
    </row>
    <row r="4196">
      <c r="N4196">
        <f>IF(AND(ISNUMBER(L4196),ISNUMBER(M4196)),L4196-M4196,"")</f>
        <v/>
      </c>
    </row>
    <row r="4197">
      <c r="N4197">
        <f>IF(AND(ISNUMBER(L4197),ISNUMBER(M4197)),L4197-M4197,"")</f>
        <v/>
      </c>
    </row>
    <row r="4198">
      <c r="N4198">
        <f>IF(AND(ISNUMBER(L4198),ISNUMBER(M4198)),L4198-M4198,"")</f>
        <v/>
      </c>
    </row>
    <row r="4199">
      <c r="N4199">
        <f>IF(AND(ISNUMBER(L4199),ISNUMBER(M4199)),L4199-M4199,"")</f>
        <v/>
      </c>
    </row>
    <row r="4200">
      <c r="N4200">
        <f>IF(AND(ISNUMBER(L4200),ISNUMBER(M4200)),L4200-M4200,"")</f>
        <v/>
      </c>
    </row>
    <row r="4201">
      <c r="N4201">
        <f>IF(AND(ISNUMBER(L4201),ISNUMBER(M4201)),L4201-M4201,"")</f>
        <v/>
      </c>
    </row>
    <row r="4202">
      <c r="N4202">
        <f>IF(AND(ISNUMBER(L4202),ISNUMBER(M4202)),L4202-M4202,"")</f>
        <v/>
      </c>
    </row>
    <row r="4203">
      <c r="N4203">
        <f>IF(AND(ISNUMBER(L4203),ISNUMBER(M4203)),L4203-M4203,"")</f>
        <v/>
      </c>
    </row>
    <row r="4204">
      <c r="N4204">
        <f>IF(AND(ISNUMBER(L4204),ISNUMBER(M4204)),L4204-M4204,"")</f>
        <v/>
      </c>
    </row>
    <row r="4205">
      <c r="N4205">
        <f>IF(AND(ISNUMBER(L4205),ISNUMBER(M4205)),L4205-M4205,"")</f>
        <v/>
      </c>
    </row>
    <row r="4206">
      <c r="N4206">
        <f>IF(AND(ISNUMBER(L4206),ISNUMBER(M4206)),L4206-M4206,"")</f>
        <v/>
      </c>
    </row>
    <row r="4207">
      <c r="N4207">
        <f>IF(AND(ISNUMBER(L4207),ISNUMBER(M4207)),L4207-M4207,"")</f>
        <v/>
      </c>
    </row>
    <row r="4208">
      <c r="N4208">
        <f>IF(AND(ISNUMBER(L4208),ISNUMBER(M4208)),L4208-M4208,"")</f>
        <v/>
      </c>
    </row>
    <row r="4209">
      <c r="N4209">
        <f>IF(AND(ISNUMBER(L4209),ISNUMBER(M4209)),L4209-M4209,"")</f>
        <v/>
      </c>
    </row>
    <row r="4210">
      <c r="N4210">
        <f>IF(AND(ISNUMBER(L4210),ISNUMBER(M4210)),L4210-M4210,"")</f>
        <v/>
      </c>
    </row>
    <row r="4211">
      <c r="N4211">
        <f>IF(AND(ISNUMBER(L4211),ISNUMBER(M4211)),L4211-M4211,"")</f>
        <v/>
      </c>
    </row>
    <row r="4212">
      <c r="N4212">
        <f>IF(AND(ISNUMBER(L4212),ISNUMBER(M4212)),L4212-M4212,"")</f>
        <v/>
      </c>
    </row>
    <row r="4213">
      <c r="N4213">
        <f>IF(AND(ISNUMBER(L4213),ISNUMBER(M4213)),L4213-M4213,"")</f>
        <v/>
      </c>
    </row>
    <row r="4214">
      <c r="N4214">
        <f>IF(AND(ISNUMBER(L4214),ISNUMBER(M4214)),L4214-M4214,"")</f>
        <v/>
      </c>
    </row>
    <row r="4215">
      <c r="N4215">
        <f>IF(AND(ISNUMBER(L4215),ISNUMBER(M4215)),L4215-M4215,"")</f>
        <v/>
      </c>
    </row>
    <row r="4216">
      <c r="N4216">
        <f>IF(AND(ISNUMBER(L4216),ISNUMBER(M4216)),L4216-M4216,"")</f>
        <v/>
      </c>
    </row>
    <row r="4217">
      <c r="N4217">
        <f>IF(AND(ISNUMBER(L4217),ISNUMBER(M4217)),L4217-M4217,"")</f>
        <v/>
      </c>
    </row>
    <row r="4218">
      <c r="N4218">
        <f>IF(AND(ISNUMBER(L4218),ISNUMBER(M4218)),L4218-M4218,"")</f>
        <v/>
      </c>
    </row>
    <row r="4219">
      <c r="N4219">
        <f>IF(AND(ISNUMBER(L4219),ISNUMBER(M4219)),L4219-M4219,"")</f>
        <v/>
      </c>
    </row>
    <row r="4220">
      <c r="N4220">
        <f>IF(AND(ISNUMBER(L4220),ISNUMBER(M4220)),L4220-M4220,"")</f>
        <v/>
      </c>
    </row>
    <row r="4221">
      <c r="N4221">
        <f>IF(AND(ISNUMBER(L4221),ISNUMBER(M4221)),L4221-M4221,"")</f>
        <v/>
      </c>
    </row>
    <row r="4222">
      <c r="N4222">
        <f>IF(AND(ISNUMBER(L4222),ISNUMBER(M4222)),L4222-M4222,"")</f>
        <v/>
      </c>
    </row>
    <row r="4223">
      <c r="N4223">
        <f>IF(AND(ISNUMBER(L4223),ISNUMBER(M4223)),L4223-M4223,"")</f>
        <v/>
      </c>
    </row>
    <row r="4224">
      <c r="N4224">
        <f>IF(AND(ISNUMBER(L4224),ISNUMBER(M4224)),L4224-M4224,"")</f>
        <v/>
      </c>
    </row>
    <row r="4225">
      <c r="N4225">
        <f>IF(AND(ISNUMBER(L4225),ISNUMBER(M4225)),L4225-M4225,"")</f>
        <v/>
      </c>
    </row>
    <row r="4226">
      <c r="N4226">
        <f>IF(AND(ISNUMBER(L4226),ISNUMBER(M4226)),L4226-M4226,"")</f>
        <v/>
      </c>
    </row>
    <row r="4227">
      <c r="N4227">
        <f>IF(AND(ISNUMBER(L4227),ISNUMBER(M4227)),L4227-M4227,"")</f>
        <v/>
      </c>
    </row>
    <row r="4228">
      <c r="N4228">
        <f>IF(AND(ISNUMBER(L4228),ISNUMBER(M4228)),L4228-M4228,"")</f>
        <v/>
      </c>
    </row>
    <row r="4229">
      <c r="N4229">
        <f>IF(AND(ISNUMBER(L4229),ISNUMBER(M4229)),L4229-M4229,"")</f>
        <v/>
      </c>
    </row>
    <row r="4230">
      <c r="N4230">
        <f>IF(AND(ISNUMBER(L4230),ISNUMBER(M4230)),L4230-M4230,"")</f>
        <v/>
      </c>
    </row>
    <row r="4231">
      <c r="N4231">
        <f>IF(AND(ISNUMBER(L4231),ISNUMBER(M4231)),L4231-M4231,"")</f>
        <v/>
      </c>
    </row>
    <row r="4232">
      <c r="N4232">
        <f>IF(AND(ISNUMBER(L4232),ISNUMBER(M4232)),L4232-M4232,"")</f>
        <v/>
      </c>
    </row>
    <row r="4233">
      <c r="N4233">
        <f>IF(AND(ISNUMBER(L4233),ISNUMBER(M4233)),L4233-M4233,"")</f>
        <v/>
      </c>
    </row>
    <row r="4234">
      <c r="N4234">
        <f>IF(AND(ISNUMBER(L4234),ISNUMBER(M4234)),L4234-M4234,"")</f>
        <v/>
      </c>
    </row>
    <row r="4235">
      <c r="N4235">
        <f>IF(AND(ISNUMBER(L4235),ISNUMBER(M4235)),L4235-M4235,"")</f>
        <v/>
      </c>
    </row>
    <row r="4236">
      <c r="N4236">
        <f>IF(AND(ISNUMBER(L4236),ISNUMBER(M4236)),L4236-M4236,"")</f>
        <v/>
      </c>
    </row>
    <row r="4237">
      <c r="N4237">
        <f>IF(AND(ISNUMBER(L4237),ISNUMBER(M4237)),L4237-M4237,"")</f>
        <v/>
      </c>
    </row>
    <row r="4238">
      <c r="N4238">
        <f>IF(AND(ISNUMBER(L4238),ISNUMBER(M4238)),L4238-M4238,"")</f>
        <v/>
      </c>
    </row>
    <row r="4239">
      <c r="N4239">
        <f>IF(AND(ISNUMBER(L4239),ISNUMBER(M4239)),L4239-M4239,"")</f>
        <v/>
      </c>
    </row>
    <row r="4240">
      <c r="N4240">
        <f>IF(AND(ISNUMBER(L4240),ISNUMBER(M4240)),L4240-M4240,"")</f>
        <v/>
      </c>
    </row>
    <row r="4241">
      <c r="N4241">
        <f>IF(AND(ISNUMBER(L4241),ISNUMBER(M4241)),L4241-M4241,"")</f>
        <v/>
      </c>
    </row>
    <row r="4242">
      <c r="N4242">
        <f>IF(AND(ISNUMBER(L4242),ISNUMBER(M4242)),L4242-M4242,"")</f>
        <v/>
      </c>
    </row>
    <row r="4243">
      <c r="N4243">
        <f>IF(AND(ISNUMBER(L4243),ISNUMBER(M4243)),L4243-M4243,"")</f>
        <v/>
      </c>
    </row>
    <row r="4244">
      <c r="N4244">
        <f>IF(AND(ISNUMBER(L4244),ISNUMBER(M4244)),L4244-M4244,"")</f>
        <v/>
      </c>
    </row>
    <row r="4245">
      <c r="N4245">
        <f>IF(AND(ISNUMBER(L4245),ISNUMBER(M4245)),L4245-M4245,"")</f>
        <v/>
      </c>
    </row>
    <row r="4246">
      <c r="N4246">
        <f>IF(AND(ISNUMBER(L4246),ISNUMBER(M4246)),L4246-M4246,"")</f>
        <v/>
      </c>
    </row>
    <row r="4247">
      <c r="N4247">
        <f>IF(AND(ISNUMBER(L4247),ISNUMBER(M4247)),L4247-M4247,"")</f>
        <v/>
      </c>
    </row>
    <row r="4248">
      <c r="N4248">
        <f>IF(AND(ISNUMBER(L4248),ISNUMBER(M4248)),L4248-M4248,"")</f>
        <v/>
      </c>
    </row>
    <row r="4249">
      <c r="N4249">
        <f>IF(AND(ISNUMBER(L4249),ISNUMBER(M4249)),L4249-M4249,"")</f>
        <v/>
      </c>
    </row>
    <row r="4250">
      <c r="N4250">
        <f>IF(AND(ISNUMBER(L4250),ISNUMBER(M4250)),L4250-M4250,"")</f>
        <v/>
      </c>
    </row>
    <row r="4251">
      <c r="N4251">
        <f>IF(AND(ISNUMBER(L4251),ISNUMBER(M4251)),L4251-M4251,"")</f>
        <v/>
      </c>
    </row>
    <row r="4252">
      <c r="N4252">
        <f>IF(AND(ISNUMBER(L4252),ISNUMBER(M4252)),L4252-M4252,"")</f>
        <v/>
      </c>
    </row>
    <row r="4253">
      <c r="N4253">
        <f>IF(AND(ISNUMBER(L4253),ISNUMBER(M4253)),L4253-M4253,"")</f>
        <v/>
      </c>
    </row>
    <row r="4254">
      <c r="N4254">
        <f>IF(AND(ISNUMBER(L4254),ISNUMBER(M4254)),L4254-M4254,"")</f>
        <v/>
      </c>
    </row>
    <row r="4255">
      <c r="N4255">
        <f>IF(AND(ISNUMBER(L4255),ISNUMBER(M4255)),L4255-M4255,"")</f>
        <v/>
      </c>
    </row>
    <row r="4256">
      <c r="N4256">
        <f>IF(AND(ISNUMBER(L4256),ISNUMBER(M4256)),L4256-M4256,"")</f>
        <v/>
      </c>
    </row>
    <row r="4257">
      <c r="N4257">
        <f>IF(AND(ISNUMBER(L4257),ISNUMBER(M4257)),L4257-M4257,"")</f>
        <v/>
      </c>
    </row>
    <row r="4258">
      <c r="N4258">
        <f>IF(AND(ISNUMBER(L4258),ISNUMBER(M4258)),L4258-M4258,"")</f>
        <v/>
      </c>
    </row>
    <row r="4259">
      <c r="N4259">
        <f>IF(AND(ISNUMBER(L4259),ISNUMBER(M4259)),L4259-M4259,"")</f>
        <v/>
      </c>
    </row>
    <row r="4260">
      <c r="N4260">
        <f>IF(AND(ISNUMBER(L4260),ISNUMBER(M4260)),L4260-M4260,"")</f>
        <v/>
      </c>
    </row>
    <row r="4261">
      <c r="N4261">
        <f>IF(AND(ISNUMBER(L4261),ISNUMBER(M4261)),L4261-M4261,"")</f>
        <v/>
      </c>
    </row>
    <row r="4262">
      <c r="N4262">
        <f>IF(AND(ISNUMBER(L4262),ISNUMBER(M4262)),L4262-M4262,"")</f>
        <v/>
      </c>
    </row>
    <row r="4263">
      <c r="N4263">
        <f>IF(AND(ISNUMBER(L4263),ISNUMBER(M4263)),L4263-M4263,"")</f>
        <v/>
      </c>
    </row>
    <row r="4264">
      <c r="N4264">
        <f>IF(AND(ISNUMBER(L4264),ISNUMBER(M4264)),L4264-M4264,"")</f>
        <v/>
      </c>
    </row>
    <row r="4265">
      <c r="N4265">
        <f>IF(AND(ISNUMBER(L4265),ISNUMBER(M4265)),L4265-M4265,"")</f>
        <v/>
      </c>
    </row>
    <row r="4266">
      <c r="N4266">
        <f>IF(AND(ISNUMBER(L4266),ISNUMBER(M4266)),L4266-M4266,"")</f>
        <v/>
      </c>
    </row>
    <row r="4267">
      <c r="N4267">
        <f>IF(AND(ISNUMBER(L4267),ISNUMBER(M4267)),L4267-M4267,"")</f>
        <v/>
      </c>
    </row>
    <row r="4268">
      <c r="N4268">
        <f>IF(AND(ISNUMBER(L4268),ISNUMBER(M4268)),L4268-M4268,"")</f>
        <v/>
      </c>
    </row>
    <row r="4269">
      <c r="N4269">
        <f>IF(AND(ISNUMBER(L4269),ISNUMBER(M4269)),L4269-M4269,"")</f>
        <v/>
      </c>
    </row>
    <row r="4270">
      <c r="N4270">
        <f>IF(AND(ISNUMBER(L4270),ISNUMBER(M4270)),L4270-M4270,"")</f>
        <v/>
      </c>
    </row>
    <row r="4271">
      <c r="N4271">
        <f>IF(AND(ISNUMBER(L4271),ISNUMBER(M4271)),L4271-M4271,"")</f>
        <v/>
      </c>
    </row>
    <row r="4272">
      <c r="N4272">
        <f>IF(AND(ISNUMBER(L4272),ISNUMBER(M4272)),L4272-M4272,"")</f>
        <v/>
      </c>
    </row>
    <row r="4273">
      <c r="N4273">
        <f>IF(AND(ISNUMBER(L4273),ISNUMBER(M4273)),L4273-M4273,"")</f>
        <v/>
      </c>
    </row>
    <row r="4274">
      <c r="N4274">
        <f>IF(AND(ISNUMBER(L4274),ISNUMBER(M4274)),L4274-M4274,"")</f>
        <v/>
      </c>
    </row>
    <row r="4275">
      <c r="N4275">
        <f>IF(AND(ISNUMBER(L4275),ISNUMBER(M4275)),L4275-M4275,"")</f>
        <v/>
      </c>
    </row>
    <row r="4276">
      <c r="N4276">
        <f>IF(AND(ISNUMBER(L4276),ISNUMBER(M4276)),L4276-M4276,"")</f>
        <v/>
      </c>
    </row>
    <row r="4277">
      <c r="N4277">
        <f>IF(AND(ISNUMBER(L4277),ISNUMBER(M4277)),L4277-M4277,"")</f>
        <v/>
      </c>
    </row>
    <row r="4278">
      <c r="N4278">
        <f>IF(AND(ISNUMBER(L4278),ISNUMBER(M4278)),L4278-M4278,"")</f>
        <v/>
      </c>
    </row>
    <row r="4279">
      <c r="N4279">
        <f>IF(AND(ISNUMBER(L4279),ISNUMBER(M4279)),L4279-M4279,"")</f>
        <v/>
      </c>
    </row>
    <row r="4280">
      <c r="N4280">
        <f>IF(AND(ISNUMBER(L4280),ISNUMBER(M4280)),L4280-M4280,"")</f>
        <v/>
      </c>
    </row>
    <row r="4281">
      <c r="N4281">
        <f>IF(AND(ISNUMBER(L4281),ISNUMBER(M4281)),L4281-M4281,"")</f>
        <v/>
      </c>
    </row>
    <row r="4282">
      <c r="N4282">
        <f>IF(AND(ISNUMBER(L4282),ISNUMBER(M4282)),L4282-M4282,"")</f>
        <v/>
      </c>
    </row>
    <row r="4283">
      <c r="N4283">
        <f>IF(AND(ISNUMBER(L4283),ISNUMBER(M4283)),L4283-M4283,"")</f>
        <v/>
      </c>
    </row>
    <row r="4284">
      <c r="N4284">
        <f>IF(AND(ISNUMBER(L4284),ISNUMBER(M4284)),L4284-M4284,"")</f>
        <v/>
      </c>
    </row>
    <row r="4285">
      <c r="N4285">
        <f>IF(AND(ISNUMBER(L4285),ISNUMBER(M4285)),L4285-M4285,"")</f>
        <v/>
      </c>
    </row>
    <row r="4286">
      <c r="N4286">
        <f>IF(AND(ISNUMBER(L4286),ISNUMBER(M4286)),L4286-M4286,"")</f>
        <v/>
      </c>
    </row>
    <row r="4287">
      <c r="N4287">
        <f>IF(AND(ISNUMBER(L4287),ISNUMBER(M4287)),L4287-M4287,"")</f>
        <v/>
      </c>
    </row>
    <row r="4288">
      <c r="N4288">
        <f>IF(AND(ISNUMBER(L4288),ISNUMBER(M4288)),L4288-M4288,"")</f>
        <v/>
      </c>
    </row>
    <row r="4289">
      <c r="N4289">
        <f>IF(AND(ISNUMBER(L4289),ISNUMBER(M4289)),L4289-M4289,"")</f>
        <v/>
      </c>
    </row>
    <row r="4290">
      <c r="N4290">
        <f>IF(AND(ISNUMBER(L4290),ISNUMBER(M4290)),L4290-M4290,"")</f>
        <v/>
      </c>
    </row>
    <row r="4291">
      <c r="N4291">
        <f>IF(AND(ISNUMBER(L4291),ISNUMBER(M4291)),L4291-M4291,"")</f>
        <v/>
      </c>
    </row>
    <row r="4292">
      <c r="N4292">
        <f>IF(AND(ISNUMBER(L4292),ISNUMBER(M4292)),L4292-M4292,"")</f>
        <v/>
      </c>
    </row>
    <row r="4293">
      <c r="N4293">
        <f>IF(AND(ISNUMBER(L4293),ISNUMBER(M4293)),L4293-M4293,"")</f>
        <v/>
      </c>
    </row>
    <row r="4294">
      <c r="N4294">
        <f>IF(AND(ISNUMBER(L4294),ISNUMBER(M4294)),L4294-M4294,"")</f>
        <v/>
      </c>
    </row>
    <row r="4295">
      <c r="N4295">
        <f>IF(AND(ISNUMBER(L4295),ISNUMBER(M4295)),L4295-M4295,"")</f>
        <v/>
      </c>
    </row>
    <row r="4296">
      <c r="N4296">
        <f>IF(AND(ISNUMBER(L4296),ISNUMBER(M4296)),L4296-M4296,"")</f>
        <v/>
      </c>
    </row>
    <row r="4297">
      <c r="N4297">
        <f>IF(AND(ISNUMBER(L4297),ISNUMBER(M4297)),L4297-M4297,"")</f>
        <v/>
      </c>
    </row>
    <row r="4298">
      <c r="N4298">
        <f>IF(AND(ISNUMBER(L4298),ISNUMBER(M4298)),L4298-M4298,"")</f>
        <v/>
      </c>
    </row>
    <row r="4299">
      <c r="N4299">
        <f>IF(AND(ISNUMBER(L4299),ISNUMBER(M4299)),L4299-M4299,"")</f>
        <v/>
      </c>
    </row>
    <row r="4300">
      <c r="N4300">
        <f>IF(AND(ISNUMBER(L4300),ISNUMBER(M4300)),L4300-M4300,"")</f>
        <v/>
      </c>
    </row>
    <row r="4301">
      <c r="N4301">
        <f>IF(AND(ISNUMBER(L4301),ISNUMBER(M4301)),L4301-M4301,"")</f>
        <v/>
      </c>
    </row>
    <row r="4302">
      <c r="N4302">
        <f>IF(AND(ISNUMBER(L4302),ISNUMBER(M4302)),L4302-M4302,"")</f>
        <v/>
      </c>
    </row>
    <row r="4303">
      <c r="N4303">
        <f>IF(AND(ISNUMBER(L4303),ISNUMBER(M4303)),L4303-M4303,"")</f>
        <v/>
      </c>
    </row>
    <row r="4304">
      <c r="N4304">
        <f>IF(AND(ISNUMBER(L4304),ISNUMBER(M4304)),L4304-M4304,"")</f>
        <v/>
      </c>
    </row>
    <row r="4305">
      <c r="N4305">
        <f>IF(AND(ISNUMBER(L4305),ISNUMBER(M4305)),L4305-M4305,"")</f>
        <v/>
      </c>
    </row>
    <row r="4306">
      <c r="N4306">
        <f>IF(AND(ISNUMBER(L4306),ISNUMBER(M4306)),L4306-M4306,"")</f>
        <v/>
      </c>
    </row>
    <row r="4307">
      <c r="N4307">
        <f>IF(AND(ISNUMBER(L4307),ISNUMBER(M4307)),L4307-M4307,"")</f>
        <v/>
      </c>
    </row>
    <row r="4308">
      <c r="N4308">
        <f>IF(AND(ISNUMBER(L4308),ISNUMBER(M4308)),L4308-M4308,"")</f>
        <v/>
      </c>
    </row>
    <row r="4309">
      <c r="N4309">
        <f>IF(AND(ISNUMBER(L4309),ISNUMBER(M4309)),L4309-M4309,"")</f>
        <v/>
      </c>
    </row>
    <row r="4310">
      <c r="N4310">
        <f>IF(AND(ISNUMBER(L4310),ISNUMBER(M4310)),L4310-M4310,"")</f>
        <v/>
      </c>
    </row>
    <row r="4311">
      <c r="N4311">
        <f>IF(AND(ISNUMBER(L4311),ISNUMBER(M4311)),L4311-M4311,"")</f>
        <v/>
      </c>
    </row>
    <row r="4312">
      <c r="N4312">
        <f>IF(AND(ISNUMBER(L4312),ISNUMBER(M4312)),L4312-M4312,"")</f>
        <v/>
      </c>
    </row>
    <row r="4313">
      <c r="N4313">
        <f>IF(AND(ISNUMBER(L4313),ISNUMBER(M4313)),L4313-M4313,"")</f>
        <v/>
      </c>
    </row>
    <row r="4314">
      <c r="N4314">
        <f>IF(AND(ISNUMBER(L4314),ISNUMBER(M4314)),L4314-M4314,"")</f>
        <v/>
      </c>
    </row>
    <row r="4315">
      <c r="N4315">
        <f>IF(AND(ISNUMBER(L4315),ISNUMBER(M4315)),L4315-M4315,"")</f>
        <v/>
      </c>
    </row>
    <row r="4316">
      <c r="N4316">
        <f>IF(AND(ISNUMBER(L4316),ISNUMBER(M4316)),L4316-M4316,"")</f>
        <v/>
      </c>
    </row>
    <row r="4317">
      <c r="N4317">
        <f>IF(AND(ISNUMBER(L4317),ISNUMBER(M4317)),L4317-M4317,"")</f>
        <v/>
      </c>
    </row>
    <row r="4318">
      <c r="N4318">
        <f>IF(AND(ISNUMBER(L4318),ISNUMBER(M4318)),L4318-M4318,"")</f>
        <v/>
      </c>
    </row>
    <row r="4319">
      <c r="N4319">
        <f>IF(AND(ISNUMBER(L4319),ISNUMBER(M4319)),L4319-M4319,"")</f>
        <v/>
      </c>
    </row>
    <row r="4320">
      <c r="N4320">
        <f>IF(AND(ISNUMBER(L4320),ISNUMBER(M4320)),L4320-M4320,"")</f>
        <v/>
      </c>
    </row>
    <row r="4321">
      <c r="N4321">
        <f>IF(AND(ISNUMBER(L4321),ISNUMBER(M4321)),L4321-M4321,"")</f>
        <v/>
      </c>
    </row>
    <row r="4322">
      <c r="N4322">
        <f>IF(AND(ISNUMBER(L4322),ISNUMBER(M4322)),L4322-M4322,"")</f>
        <v/>
      </c>
    </row>
    <row r="4323">
      <c r="N4323">
        <f>IF(AND(ISNUMBER(L4323),ISNUMBER(M4323)),L4323-M4323,"")</f>
        <v/>
      </c>
    </row>
    <row r="4324">
      <c r="N4324">
        <f>IF(AND(ISNUMBER(L4324),ISNUMBER(M4324)),L4324-M4324,"")</f>
        <v/>
      </c>
    </row>
    <row r="4325">
      <c r="N4325">
        <f>IF(AND(ISNUMBER(L4325),ISNUMBER(M4325)),L4325-M4325,"")</f>
        <v/>
      </c>
    </row>
    <row r="4326">
      <c r="N4326">
        <f>IF(AND(ISNUMBER(L4326),ISNUMBER(M4326)),L4326-M4326,"")</f>
        <v/>
      </c>
    </row>
    <row r="4327">
      <c r="N4327">
        <f>IF(AND(ISNUMBER(L4327),ISNUMBER(M4327)),L4327-M4327,"")</f>
        <v/>
      </c>
    </row>
    <row r="4328">
      <c r="N4328">
        <f>IF(AND(ISNUMBER(L4328),ISNUMBER(M4328)),L4328-M4328,"")</f>
        <v/>
      </c>
    </row>
    <row r="4329">
      <c r="N4329">
        <f>IF(AND(ISNUMBER(L4329),ISNUMBER(M4329)),L4329-M4329,"")</f>
        <v/>
      </c>
    </row>
    <row r="4330">
      <c r="N4330">
        <f>IF(AND(ISNUMBER(L4330),ISNUMBER(M4330)),L4330-M4330,"")</f>
        <v/>
      </c>
    </row>
    <row r="4331">
      <c r="N4331">
        <f>IF(AND(ISNUMBER(L4331),ISNUMBER(M4331)),L4331-M4331,"")</f>
        <v/>
      </c>
    </row>
    <row r="4332">
      <c r="N4332">
        <f>IF(AND(ISNUMBER(L4332),ISNUMBER(M4332)),L4332-M4332,"")</f>
        <v/>
      </c>
    </row>
    <row r="4333">
      <c r="N4333">
        <f>IF(AND(ISNUMBER(L4333),ISNUMBER(M4333)),L4333-M4333,"")</f>
        <v/>
      </c>
    </row>
    <row r="4334">
      <c r="N4334">
        <f>IF(AND(ISNUMBER(L4334),ISNUMBER(M4334)),L4334-M4334,"")</f>
        <v/>
      </c>
    </row>
    <row r="4335">
      <c r="N4335">
        <f>IF(AND(ISNUMBER(L4335),ISNUMBER(M4335)),L4335-M4335,"")</f>
        <v/>
      </c>
    </row>
    <row r="4336">
      <c r="N4336">
        <f>IF(AND(ISNUMBER(L4336),ISNUMBER(M4336)),L4336-M4336,"")</f>
        <v/>
      </c>
    </row>
    <row r="4337">
      <c r="N4337">
        <f>IF(AND(ISNUMBER(L4337),ISNUMBER(M4337)),L4337-M4337,"")</f>
        <v/>
      </c>
    </row>
    <row r="4338">
      <c r="N4338">
        <f>IF(AND(ISNUMBER(L4338),ISNUMBER(M4338)),L4338-M4338,"")</f>
        <v/>
      </c>
    </row>
    <row r="4339">
      <c r="N4339">
        <f>IF(AND(ISNUMBER(L4339),ISNUMBER(M4339)),L4339-M4339,"")</f>
        <v/>
      </c>
    </row>
    <row r="4340">
      <c r="N4340">
        <f>IF(AND(ISNUMBER(L4340),ISNUMBER(M4340)),L4340-M4340,"")</f>
        <v/>
      </c>
    </row>
    <row r="4341">
      <c r="N4341">
        <f>IF(AND(ISNUMBER(L4341),ISNUMBER(M4341)),L4341-M4341,"")</f>
        <v/>
      </c>
    </row>
    <row r="4342">
      <c r="N4342">
        <f>IF(AND(ISNUMBER(L4342),ISNUMBER(M4342)),L4342-M4342,"")</f>
        <v/>
      </c>
    </row>
    <row r="4343">
      <c r="N4343">
        <f>IF(AND(ISNUMBER(L4343),ISNUMBER(M4343)),L4343-M4343,"")</f>
        <v/>
      </c>
    </row>
    <row r="4344">
      <c r="N4344">
        <f>IF(AND(ISNUMBER(L4344),ISNUMBER(M4344)),L4344-M4344,"")</f>
        <v/>
      </c>
    </row>
    <row r="4345">
      <c r="N4345">
        <f>IF(AND(ISNUMBER(L4345),ISNUMBER(M4345)),L4345-M4345,"")</f>
        <v/>
      </c>
    </row>
    <row r="4346">
      <c r="N4346">
        <f>IF(AND(ISNUMBER(L4346),ISNUMBER(M4346)),L4346-M4346,"")</f>
        <v/>
      </c>
    </row>
    <row r="4347">
      <c r="N4347">
        <f>IF(AND(ISNUMBER(L4347),ISNUMBER(M4347)),L4347-M4347,"")</f>
        <v/>
      </c>
    </row>
    <row r="4348">
      <c r="N4348">
        <f>IF(AND(ISNUMBER(L4348),ISNUMBER(M4348)),L4348-M4348,"")</f>
        <v/>
      </c>
    </row>
    <row r="4349">
      <c r="N4349">
        <f>IF(AND(ISNUMBER(L4349),ISNUMBER(M4349)),L4349-M4349,"")</f>
        <v/>
      </c>
    </row>
    <row r="4350">
      <c r="N4350">
        <f>IF(AND(ISNUMBER(L4350),ISNUMBER(M4350)),L4350-M4350,"")</f>
        <v/>
      </c>
    </row>
    <row r="4351">
      <c r="N4351">
        <f>IF(AND(ISNUMBER(L4351),ISNUMBER(M4351)),L4351-M4351,"")</f>
        <v/>
      </c>
    </row>
    <row r="4352">
      <c r="N4352">
        <f>IF(AND(ISNUMBER(L4352),ISNUMBER(M4352)),L4352-M4352,"")</f>
        <v/>
      </c>
    </row>
    <row r="4353">
      <c r="N4353">
        <f>IF(AND(ISNUMBER(L4353),ISNUMBER(M4353)),L4353-M4353,"")</f>
        <v/>
      </c>
    </row>
    <row r="4354">
      <c r="N4354">
        <f>IF(AND(ISNUMBER(L4354),ISNUMBER(M4354)),L4354-M4354,"")</f>
        <v/>
      </c>
    </row>
    <row r="4355">
      <c r="N4355">
        <f>IF(AND(ISNUMBER(L4355),ISNUMBER(M4355)),L4355-M4355,"")</f>
        <v/>
      </c>
    </row>
    <row r="4356">
      <c r="N4356">
        <f>IF(AND(ISNUMBER(L4356),ISNUMBER(M4356)),L4356-M4356,"")</f>
        <v/>
      </c>
    </row>
    <row r="4357">
      <c r="N4357">
        <f>IF(AND(ISNUMBER(L4357),ISNUMBER(M4357)),L4357-M4357,"")</f>
        <v/>
      </c>
    </row>
    <row r="4358">
      <c r="N4358">
        <f>IF(AND(ISNUMBER(L4358),ISNUMBER(M4358)),L4358-M4358,"")</f>
        <v/>
      </c>
    </row>
    <row r="4359">
      <c r="N4359">
        <f>IF(AND(ISNUMBER(L4359),ISNUMBER(M4359)),L4359-M4359,"")</f>
        <v/>
      </c>
    </row>
    <row r="4360">
      <c r="N4360">
        <f>IF(AND(ISNUMBER(L4360),ISNUMBER(M4360)),L4360-M4360,"")</f>
        <v/>
      </c>
    </row>
    <row r="4361">
      <c r="N4361">
        <f>IF(AND(ISNUMBER(L4361),ISNUMBER(M4361)),L4361-M4361,"")</f>
        <v/>
      </c>
    </row>
    <row r="4362">
      <c r="N4362">
        <f>IF(AND(ISNUMBER(L4362),ISNUMBER(M4362)),L4362-M4362,"")</f>
        <v/>
      </c>
    </row>
    <row r="4363">
      <c r="N4363">
        <f>IF(AND(ISNUMBER(L4363),ISNUMBER(M4363)),L4363-M4363,"")</f>
        <v/>
      </c>
    </row>
    <row r="4364">
      <c r="N4364">
        <f>IF(AND(ISNUMBER(L4364),ISNUMBER(M4364)),L4364-M4364,"")</f>
        <v/>
      </c>
    </row>
    <row r="4365">
      <c r="N4365">
        <f>IF(AND(ISNUMBER(L4365),ISNUMBER(M4365)),L4365-M4365,"")</f>
        <v/>
      </c>
    </row>
    <row r="4366">
      <c r="N4366">
        <f>IF(AND(ISNUMBER(L4366),ISNUMBER(M4366)),L4366-M4366,"")</f>
        <v/>
      </c>
    </row>
    <row r="4367">
      <c r="N4367">
        <f>IF(AND(ISNUMBER(L4367),ISNUMBER(M4367)),L4367-M4367,"")</f>
        <v/>
      </c>
    </row>
    <row r="4368">
      <c r="N4368">
        <f>IF(AND(ISNUMBER(L4368),ISNUMBER(M4368)),L4368-M4368,"")</f>
        <v/>
      </c>
    </row>
    <row r="4369">
      <c r="N4369">
        <f>IF(AND(ISNUMBER(L4369),ISNUMBER(M4369)),L4369-M4369,"")</f>
        <v/>
      </c>
    </row>
    <row r="4370">
      <c r="N4370">
        <f>IF(AND(ISNUMBER(L4370),ISNUMBER(M4370)),L4370-M4370,"")</f>
        <v/>
      </c>
    </row>
    <row r="4371">
      <c r="N4371">
        <f>IF(AND(ISNUMBER(L4371),ISNUMBER(M4371)),L4371-M4371,"")</f>
        <v/>
      </c>
    </row>
    <row r="4372">
      <c r="N4372">
        <f>IF(AND(ISNUMBER(L4372),ISNUMBER(M4372)),L4372-M4372,"")</f>
        <v/>
      </c>
    </row>
    <row r="4373">
      <c r="N4373">
        <f>IF(AND(ISNUMBER(L4373),ISNUMBER(M4373)),L4373-M4373,"")</f>
        <v/>
      </c>
    </row>
    <row r="4374">
      <c r="N4374">
        <f>IF(AND(ISNUMBER(L4374),ISNUMBER(M4374)),L4374-M4374,"")</f>
        <v/>
      </c>
    </row>
    <row r="4375">
      <c r="N4375">
        <f>IF(AND(ISNUMBER(L4375),ISNUMBER(M4375)),L4375-M4375,"")</f>
        <v/>
      </c>
    </row>
    <row r="4376">
      <c r="N4376">
        <f>IF(AND(ISNUMBER(L4376),ISNUMBER(M4376)),L4376-M4376,"")</f>
        <v/>
      </c>
    </row>
    <row r="4377">
      <c r="N4377">
        <f>IF(AND(ISNUMBER(L4377),ISNUMBER(M4377)),L4377-M4377,"")</f>
        <v/>
      </c>
    </row>
    <row r="4378">
      <c r="N4378">
        <f>IF(AND(ISNUMBER(L4378),ISNUMBER(M4378)),L4378-M4378,"")</f>
        <v/>
      </c>
    </row>
    <row r="4379">
      <c r="N4379">
        <f>IF(AND(ISNUMBER(L4379),ISNUMBER(M4379)),L4379-M4379,"")</f>
        <v/>
      </c>
    </row>
    <row r="4380">
      <c r="N4380">
        <f>IF(AND(ISNUMBER(L4380),ISNUMBER(M4380)),L4380-M4380,"")</f>
        <v/>
      </c>
    </row>
    <row r="4381">
      <c r="N4381">
        <f>IF(AND(ISNUMBER(L4381),ISNUMBER(M4381)),L4381-M4381,"")</f>
        <v/>
      </c>
    </row>
    <row r="4382">
      <c r="N4382">
        <f>IF(AND(ISNUMBER(L4382),ISNUMBER(M4382)),L4382-M4382,"")</f>
        <v/>
      </c>
    </row>
    <row r="4383">
      <c r="N4383">
        <f>IF(AND(ISNUMBER(L4383),ISNUMBER(M4383)),L4383-M4383,"")</f>
        <v/>
      </c>
    </row>
    <row r="4384">
      <c r="N4384">
        <f>IF(AND(ISNUMBER(L4384),ISNUMBER(M4384)),L4384-M4384,"")</f>
        <v/>
      </c>
    </row>
    <row r="4385">
      <c r="N4385">
        <f>IF(AND(ISNUMBER(L4385),ISNUMBER(M4385)),L4385-M4385,"")</f>
        <v/>
      </c>
    </row>
    <row r="4386">
      <c r="N4386">
        <f>IF(AND(ISNUMBER(L4386),ISNUMBER(M4386)),L4386-M4386,"")</f>
        <v/>
      </c>
    </row>
    <row r="4387">
      <c r="N4387">
        <f>IF(AND(ISNUMBER(L4387),ISNUMBER(M4387)),L4387-M4387,"")</f>
        <v/>
      </c>
    </row>
    <row r="4388">
      <c r="N4388">
        <f>IF(AND(ISNUMBER(L4388),ISNUMBER(M4388)),L4388-M4388,"")</f>
        <v/>
      </c>
    </row>
    <row r="4389">
      <c r="N4389">
        <f>IF(AND(ISNUMBER(L4389),ISNUMBER(M4389)),L4389-M4389,"")</f>
        <v/>
      </c>
    </row>
    <row r="4390">
      <c r="N4390">
        <f>IF(AND(ISNUMBER(L4390),ISNUMBER(M4390)),L4390-M4390,"")</f>
        <v/>
      </c>
    </row>
    <row r="4391">
      <c r="N4391">
        <f>IF(AND(ISNUMBER(L4391),ISNUMBER(M4391)),L4391-M4391,"")</f>
        <v/>
      </c>
    </row>
    <row r="4392">
      <c r="N4392">
        <f>IF(AND(ISNUMBER(L4392),ISNUMBER(M4392)),L4392-M4392,"")</f>
        <v/>
      </c>
    </row>
    <row r="4393">
      <c r="N4393">
        <f>IF(AND(ISNUMBER(L4393),ISNUMBER(M4393)),L4393-M4393,"")</f>
        <v/>
      </c>
    </row>
    <row r="4394">
      <c r="N4394">
        <f>IF(AND(ISNUMBER(L4394),ISNUMBER(M4394)),L4394-M4394,"")</f>
        <v/>
      </c>
    </row>
    <row r="4395">
      <c r="N4395">
        <f>IF(AND(ISNUMBER(L4395),ISNUMBER(M4395)),L4395-M4395,"")</f>
        <v/>
      </c>
    </row>
    <row r="4396">
      <c r="N4396">
        <f>IF(AND(ISNUMBER(L4396),ISNUMBER(M4396)),L4396-M4396,"")</f>
        <v/>
      </c>
    </row>
    <row r="4397">
      <c r="N4397">
        <f>IF(AND(ISNUMBER(L4397),ISNUMBER(M4397)),L4397-M4397,"")</f>
        <v/>
      </c>
    </row>
    <row r="4398">
      <c r="N4398">
        <f>IF(AND(ISNUMBER(L4398),ISNUMBER(M4398)),L4398-M4398,"")</f>
        <v/>
      </c>
    </row>
    <row r="4399">
      <c r="N4399">
        <f>IF(AND(ISNUMBER(L4399),ISNUMBER(M4399)),L4399-M4399,"")</f>
        <v/>
      </c>
    </row>
    <row r="4400">
      <c r="N4400">
        <f>IF(AND(ISNUMBER(L4400),ISNUMBER(M4400)),L4400-M4400,"")</f>
        <v/>
      </c>
    </row>
    <row r="4401">
      <c r="N4401">
        <f>IF(AND(ISNUMBER(L4401),ISNUMBER(M4401)),L4401-M4401,"")</f>
        <v/>
      </c>
    </row>
    <row r="4402">
      <c r="N4402">
        <f>IF(AND(ISNUMBER(L4402),ISNUMBER(M4402)),L4402-M4402,"")</f>
        <v/>
      </c>
    </row>
    <row r="4403">
      <c r="N4403">
        <f>IF(AND(ISNUMBER(L4403),ISNUMBER(M4403)),L4403-M4403,"")</f>
        <v/>
      </c>
    </row>
    <row r="4404">
      <c r="N4404">
        <f>IF(AND(ISNUMBER(L4404),ISNUMBER(M4404)),L4404-M4404,"")</f>
        <v/>
      </c>
    </row>
    <row r="4405">
      <c r="N4405">
        <f>IF(AND(ISNUMBER(L4405),ISNUMBER(M4405)),L4405-M4405,"")</f>
        <v/>
      </c>
    </row>
    <row r="4406">
      <c r="N4406">
        <f>IF(AND(ISNUMBER(L4406),ISNUMBER(M4406)),L4406-M4406,"")</f>
        <v/>
      </c>
    </row>
    <row r="4407">
      <c r="N4407">
        <f>IF(AND(ISNUMBER(L4407),ISNUMBER(M4407)),L4407-M4407,"")</f>
        <v/>
      </c>
    </row>
    <row r="4408">
      <c r="N4408">
        <f>IF(AND(ISNUMBER(L4408),ISNUMBER(M4408)),L4408-M4408,"")</f>
        <v/>
      </c>
    </row>
    <row r="4409">
      <c r="N4409">
        <f>IF(AND(ISNUMBER(L4409),ISNUMBER(M4409)),L4409-M4409,"")</f>
        <v/>
      </c>
    </row>
    <row r="4410">
      <c r="N4410">
        <f>IF(AND(ISNUMBER(L4410),ISNUMBER(M4410)),L4410-M4410,"")</f>
        <v/>
      </c>
    </row>
    <row r="4411">
      <c r="N4411">
        <f>IF(AND(ISNUMBER(L4411),ISNUMBER(M4411)),L4411-M4411,"")</f>
        <v/>
      </c>
    </row>
    <row r="4412">
      <c r="N4412">
        <f>IF(AND(ISNUMBER(L4412),ISNUMBER(M4412)),L4412-M4412,"")</f>
        <v/>
      </c>
    </row>
    <row r="4413">
      <c r="N4413">
        <f>IF(AND(ISNUMBER(L4413),ISNUMBER(M4413)),L4413-M4413,"")</f>
        <v/>
      </c>
    </row>
    <row r="4414">
      <c r="N4414">
        <f>IF(AND(ISNUMBER(L4414),ISNUMBER(M4414)),L4414-M4414,"")</f>
        <v/>
      </c>
    </row>
    <row r="4415">
      <c r="N4415">
        <f>IF(AND(ISNUMBER(L4415),ISNUMBER(M4415)),L4415-M4415,"")</f>
        <v/>
      </c>
    </row>
    <row r="4416">
      <c r="N4416">
        <f>IF(AND(ISNUMBER(L4416),ISNUMBER(M4416)),L4416-M4416,"")</f>
        <v/>
      </c>
    </row>
    <row r="4417">
      <c r="N4417">
        <f>IF(AND(ISNUMBER(L4417),ISNUMBER(M4417)),L4417-M4417,"")</f>
        <v/>
      </c>
    </row>
    <row r="4418">
      <c r="N4418">
        <f>IF(AND(ISNUMBER(L4418),ISNUMBER(M4418)),L4418-M4418,"")</f>
        <v/>
      </c>
    </row>
    <row r="4419">
      <c r="N4419">
        <f>IF(AND(ISNUMBER(L4419),ISNUMBER(M4419)),L4419-M4419,"")</f>
        <v/>
      </c>
    </row>
    <row r="4420">
      <c r="N4420">
        <f>IF(AND(ISNUMBER(L4420),ISNUMBER(M4420)),L4420-M4420,"")</f>
        <v/>
      </c>
    </row>
    <row r="4421">
      <c r="N4421">
        <f>IF(AND(ISNUMBER(L4421),ISNUMBER(M4421)),L4421-M4421,"")</f>
        <v/>
      </c>
    </row>
    <row r="4422">
      <c r="N4422">
        <f>IF(AND(ISNUMBER(L4422),ISNUMBER(M4422)),L4422-M4422,"")</f>
        <v/>
      </c>
    </row>
    <row r="4423">
      <c r="N4423">
        <f>IF(AND(ISNUMBER(L4423),ISNUMBER(M4423)),L4423-M4423,"")</f>
        <v/>
      </c>
    </row>
    <row r="4424">
      <c r="N4424">
        <f>IF(AND(ISNUMBER(L4424),ISNUMBER(M4424)),L4424-M4424,"")</f>
        <v/>
      </c>
    </row>
    <row r="4425">
      <c r="N4425">
        <f>IF(AND(ISNUMBER(L4425),ISNUMBER(M4425)),L4425-M4425,"")</f>
        <v/>
      </c>
    </row>
    <row r="4426">
      <c r="N4426">
        <f>IF(AND(ISNUMBER(L4426),ISNUMBER(M4426)),L4426-M4426,"")</f>
        <v/>
      </c>
    </row>
    <row r="4427">
      <c r="N4427">
        <f>IF(AND(ISNUMBER(L4427),ISNUMBER(M4427)),L4427-M4427,"")</f>
        <v/>
      </c>
    </row>
    <row r="4428">
      <c r="N4428">
        <f>IF(AND(ISNUMBER(L4428),ISNUMBER(M4428)),L4428-M4428,"")</f>
        <v/>
      </c>
    </row>
    <row r="4429">
      <c r="N4429">
        <f>IF(AND(ISNUMBER(L4429),ISNUMBER(M4429)),L4429-M4429,"")</f>
        <v/>
      </c>
    </row>
    <row r="4430">
      <c r="N4430">
        <f>IF(AND(ISNUMBER(L4430),ISNUMBER(M4430)),L4430-M4430,"")</f>
        <v/>
      </c>
    </row>
    <row r="4431">
      <c r="N4431">
        <f>IF(AND(ISNUMBER(L4431),ISNUMBER(M4431)),L4431-M4431,"")</f>
        <v/>
      </c>
    </row>
    <row r="4432">
      <c r="N4432">
        <f>IF(AND(ISNUMBER(L4432),ISNUMBER(M4432)),L4432-M4432,"")</f>
        <v/>
      </c>
    </row>
    <row r="4433">
      <c r="N4433">
        <f>IF(AND(ISNUMBER(L4433),ISNUMBER(M4433)),L4433-M4433,"")</f>
        <v/>
      </c>
    </row>
    <row r="4434">
      <c r="N4434">
        <f>IF(AND(ISNUMBER(L4434),ISNUMBER(M4434)),L4434-M4434,"")</f>
        <v/>
      </c>
    </row>
    <row r="4435">
      <c r="N4435">
        <f>IF(AND(ISNUMBER(L4435),ISNUMBER(M4435)),L4435-M4435,"")</f>
        <v/>
      </c>
    </row>
    <row r="4436">
      <c r="N4436">
        <f>IF(AND(ISNUMBER(L4436),ISNUMBER(M4436)),L4436-M4436,"")</f>
        <v/>
      </c>
    </row>
    <row r="4437">
      <c r="N4437">
        <f>IF(AND(ISNUMBER(L4437),ISNUMBER(M4437)),L4437-M4437,"")</f>
        <v/>
      </c>
    </row>
    <row r="4438">
      <c r="N4438">
        <f>IF(AND(ISNUMBER(L4438),ISNUMBER(M4438)),L4438-M4438,"")</f>
        <v/>
      </c>
    </row>
    <row r="4439">
      <c r="N4439">
        <f>IF(AND(ISNUMBER(L4439),ISNUMBER(M4439)),L4439-M4439,"")</f>
        <v/>
      </c>
    </row>
    <row r="4440">
      <c r="N4440">
        <f>IF(AND(ISNUMBER(L4440),ISNUMBER(M4440)),L4440-M4440,"")</f>
        <v/>
      </c>
    </row>
    <row r="4441">
      <c r="N4441">
        <f>IF(AND(ISNUMBER(L4441),ISNUMBER(M4441)),L4441-M4441,"")</f>
        <v/>
      </c>
    </row>
    <row r="4442">
      <c r="N4442">
        <f>IF(AND(ISNUMBER(L4442),ISNUMBER(M4442)),L4442-M4442,"")</f>
        <v/>
      </c>
    </row>
    <row r="4443">
      <c r="N4443">
        <f>IF(AND(ISNUMBER(L4443),ISNUMBER(M4443)),L4443-M4443,"")</f>
        <v/>
      </c>
    </row>
    <row r="4444">
      <c r="N4444">
        <f>IF(AND(ISNUMBER(L4444),ISNUMBER(M4444)),L4444-M4444,"")</f>
        <v/>
      </c>
    </row>
    <row r="4445">
      <c r="N4445">
        <f>IF(AND(ISNUMBER(L4445),ISNUMBER(M4445)),L4445-M4445,"")</f>
        <v/>
      </c>
    </row>
    <row r="4446">
      <c r="N4446">
        <f>IF(AND(ISNUMBER(L4446),ISNUMBER(M4446)),L4446-M4446,"")</f>
        <v/>
      </c>
    </row>
    <row r="4447">
      <c r="N4447">
        <f>IF(AND(ISNUMBER(L4447),ISNUMBER(M4447)),L4447-M4447,"")</f>
        <v/>
      </c>
    </row>
    <row r="4448">
      <c r="N4448">
        <f>IF(AND(ISNUMBER(L4448),ISNUMBER(M4448)),L4448-M4448,"")</f>
        <v/>
      </c>
    </row>
    <row r="4449">
      <c r="N4449">
        <f>IF(AND(ISNUMBER(L4449),ISNUMBER(M4449)),L4449-M4449,"")</f>
        <v/>
      </c>
    </row>
    <row r="4450">
      <c r="N4450">
        <f>IF(AND(ISNUMBER(L4450),ISNUMBER(M4450)),L4450-M4450,"")</f>
        <v/>
      </c>
    </row>
    <row r="4451">
      <c r="N4451">
        <f>IF(AND(ISNUMBER(L4451),ISNUMBER(M4451)),L4451-M4451,"")</f>
        <v/>
      </c>
    </row>
    <row r="4452">
      <c r="N4452">
        <f>IF(AND(ISNUMBER(L4452),ISNUMBER(M4452)),L4452-M4452,"")</f>
        <v/>
      </c>
    </row>
    <row r="4453">
      <c r="N4453">
        <f>IF(AND(ISNUMBER(L4453),ISNUMBER(M4453)),L4453-M4453,"")</f>
        <v/>
      </c>
    </row>
    <row r="4454">
      <c r="N4454">
        <f>IF(AND(ISNUMBER(L4454),ISNUMBER(M4454)),L4454-M4454,"")</f>
        <v/>
      </c>
    </row>
    <row r="4455">
      <c r="N4455">
        <f>IF(AND(ISNUMBER(L4455),ISNUMBER(M4455)),L4455-M4455,"")</f>
        <v/>
      </c>
    </row>
    <row r="4456">
      <c r="N4456">
        <f>IF(AND(ISNUMBER(L4456),ISNUMBER(M4456)),L4456-M4456,"")</f>
        <v/>
      </c>
    </row>
    <row r="4457">
      <c r="N4457">
        <f>IF(AND(ISNUMBER(L4457),ISNUMBER(M4457)),L4457-M4457,"")</f>
        <v/>
      </c>
    </row>
    <row r="4458">
      <c r="N4458">
        <f>IF(AND(ISNUMBER(L4458),ISNUMBER(M4458)),L4458-M4458,"")</f>
        <v/>
      </c>
    </row>
    <row r="4459">
      <c r="N4459">
        <f>IF(AND(ISNUMBER(L4459),ISNUMBER(M4459)),L4459-M4459,"")</f>
        <v/>
      </c>
    </row>
    <row r="4460">
      <c r="N4460">
        <f>IF(AND(ISNUMBER(L4460),ISNUMBER(M4460)),L4460-M4460,"")</f>
        <v/>
      </c>
    </row>
    <row r="4461">
      <c r="N4461">
        <f>IF(AND(ISNUMBER(L4461),ISNUMBER(M4461)),L4461-M4461,"")</f>
        <v/>
      </c>
    </row>
    <row r="4462">
      <c r="N4462">
        <f>IF(AND(ISNUMBER(L4462),ISNUMBER(M4462)),L4462-M4462,"")</f>
        <v/>
      </c>
    </row>
    <row r="4463">
      <c r="N4463">
        <f>IF(AND(ISNUMBER(L4463),ISNUMBER(M4463)),L4463-M4463,"")</f>
        <v/>
      </c>
    </row>
    <row r="4464">
      <c r="N4464">
        <f>IF(AND(ISNUMBER(L4464),ISNUMBER(M4464)),L4464-M4464,"")</f>
        <v/>
      </c>
    </row>
    <row r="4465">
      <c r="N4465">
        <f>IF(AND(ISNUMBER(L4465),ISNUMBER(M4465)),L4465-M4465,"")</f>
        <v/>
      </c>
    </row>
    <row r="4466">
      <c r="N4466">
        <f>IF(AND(ISNUMBER(L4466),ISNUMBER(M4466)),L4466-M4466,"")</f>
        <v/>
      </c>
    </row>
    <row r="4467">
      <c r="N4467">
        <f>IF(AND(ISNUMBER(L4467),ISNUMBER(M4467)),L4467-M4467,"")</f>
        <v/>
      </c>
    </row>
    <row r="4468">
      <c r="N4468">
        <f>IF(AND(ISNUMBER(L4468),ISNUMBER(M4468)),L4468-M4468,"")</f>
        <v/>
      </c>
    </row>
    <row r="4469">
      <c r="N4469">
        <f>IF(AND(ISNUMBER(L4469),ISNUMBER(M4469)),L4469-M4469,"")</f>
        <v/>
      </c>
    </row>
    <row r="4470">
      <c r="N4470">
        <f>IF(AND(ISNUMBER(L4470),ISNUMBER(M4470)),L4470-M4470,"")</f>
        <v/>
      </c>
    </row>
    <row r="4471">
      <c r="N4471">
        <f>IF(AND(ISNUMBER(L4471),ISNUMBER(M4471)),L4471-M4471,"")</f>
        <v/>
      </c>
    </row>
    <row r="4472">
      <c r="N4472">
        <f>IF(AND(ISNUMBER(L4472),ISNUMBER(M4472)),L4472-M4472,"")</f>
        <v/>
      </c>
    </row>
    <row r="4473">
      <c r="N4473">
        <f>IF(AND(ISNUMBER(L4473),ISNUMBER(M4473)),L4473-M4473,"")</f>
        <v/>
      </c>
    </row>
    <row r="4474">
      <c r="N4474">
        <f>IF(AND(ISNUMBER(L4474),ISNUMBER(M4474)),L4474-M4474,"")</f>
        <v/>
      </c>
    </row>
    <row r="4475">
      <c r="N4475">
        <f>IF(AND(ISNUMBER(L4475),ISNUMBER(M4475)),L4475-M4475,"")</f>
        <v/>
      </c>
    </row>
    <row r="4476">
      <c r="N4476">
        <f>IF(AND(ISNUMBER(L4476),ISNUMBER(M4476)),L4476-M4476,"")</f>
        <v/>
      </c>
    </row>
    <row r="4477">
      <c r="N4477">
        <f>IF(AND(ISNUMBER(L4477),ISNUMBER(M4477)),L4477-M4477,"")</f>
        <v/>
      </c>
    </row>
    <row r="4478">
      <c r="N4478">
        <f>IF(AND(ISNUMBER(L4478),ISNUMBER(M4478)),L4478-M4478,"")</f>
        <v/>
      </c>
    </row>
    <row r="4479">
      <c r="N4479">
        <f>IF(AND(ISNUMBER(L4479),ISNUMBER(M4479)),L4479-M4479,"")</f>
        <v/>
      </c>
    </row>
    <row r="4480">
      <c r="N4480">
        <f>IF(AND(ISNUMBER(L4480),ISNUMBER(M4480)),L4480-M4480,"")</f>
        <v/>
      </c>
    </row>
    <row r="4481">
      <c r="N4481">
        <f>IF(AND(ISNUMBER(L4481),ISNUMBER(M4481)),L4481-M4481,"")</f>
        <v/>
      </c>
    </row>
    <row r="4482">
      <c r="N4482">
        <f>IF(AND(ISNUMBER(L4482),ISNUMBER(M4482)),L4482-M4482,"")</f>
        <v/>
      </c>
    </row>
    <row r="4483">
      <c r="N4483">
        <f>IF(AND(ISNUMBER(L4483),ISNUMBER(M4483)),L4483-M4483,"")</f>
        <v/>
      </c>
    </row>
    <row r="4484">
      <c r="N4484">
        <f>IF(AND(ISNUMBER(L4484),ISNUMBER(M4484)),L4484-M4484,"")</f>
        <v/>
      </c>
    </row>
    <row r="4485">
      <c r="N4485">
        <f>IF(AND(ISNUMBER(L4485),ISNUMBER(M4485)),L4485-M4485,"")</f>
        <v/>
      </c>
    </row>
    <row r="4486">
      <c r="N4486">
        <f>IF(AND(ISNUMBER(L4486),ISNUMBER(M4486)),L4486-M4486,"")</f>
        <v/>
      </c>
    </row>
    <row r="4487">
      <c r="N4487">
        <f>IF(AND(ISNUMBER(L4487),ISNUMBER(M4487)),L4487-M4487,"")</f>
        <v/>
      </c>
    </row>
    <row r="4488">
      <c r="N4488">
        <f>IF(AND(ISNUMBER(L4488),ISNUMBER(M4488)),L4488-M4488,"")</f>
        <v/>
      </c>
    </row>
    <row r="4489">
      <c r="N4489">
        <f>IF(AND(ISNUMBER(L4489),ISNUMBER(M4489)),L4489-M4489,"")</f>
        <v/>
      </c>
    </row>
    <row r="4490">
      <c r="N4490">
        <f>IF(AND(ISNUMBER(L4490),ISNUMBER(M4490)),L4490-M4490,"")</f>
        <v/>
      </c>
    </row>
    <row r="4491">
      <c r="N4491">
        <f>IF(AND(ISNUMBER(L4491),ISNUMBER(M4491)),L4491-M4491,"")</f>
        <v/>
      </c>
    </row>
    <row r="4492">
      <c r="N4492">
        <f>IF(AND(ISNUMBER(L4492),ISNUMBER(M4492)),L4492-M4492,"")</f>
        <v/>
      </c>
    </row>
    <row r="4493">
      <c r="N4493">
        <f>IF(AND(ISNUMBER(L4493),ISNUMBER(M4493)),L4493-M4493,"")</f>
        <v/>
      </c>
    </row>
    <row r="4494">
      <c r="N4494">
        <f>IF(AND(ISNUMBER(L4494),ISNUMBER(M4494)),L4494-M4494,"")</f>
        <v/>
      </c>
    </row>
    <row r="4495">
      <c r="N4495">
        <f>IF(AND(ISNUMBER(L4495),ISNUMBER(M4495)),L4495-M4495,"")</f>
        <v/>
      </c>
    </row>
    <row r="4496">
      <c r="N4496">
        <f>IF(AND(ISNUMBER(L4496),ISNUMBER(M4496)),L4496-M4496,"")</f>
        <v/>
      </c>
    </row>
    <row r="4497">
      <c r="N4497">
        <f>IF(AND(ISNUMBER(L4497),ISNUMBER(M4497)),L4497-M4497,"")</f>
        <v/>
      </c>
    </row>
    <row r="4498">
      <c r="N4498">
        <f>IF(AND(ISNUMBER(L4498),ISNUMBER(M4498)),L4498-M4498,"")</f>
        <v/>
      </c>
    </row>
    <row r="4499">
      <c r="N4499">
        <f>IF(AND(ISNUMBER(L4499),ISNUMBER(M4499)),L4499-M4499,"")</f>
        <v/>
      </c>
    </row>
    <row r="4500">
      <c r="N4500">
        <f>IF(AND(ISNUMBER(L4500),ISNUMBER(M4500)),L4500-M4500,"")</f>
        <v/>
      </c>
    </row>
    <row r="4501">
      <c r="N4501">
        <f>IF(AND(ISNUMBER(L4501),ISNUMBER(M4501)),L4501-M4501,"")</f>
        <v/>
      </c>
    </row>
    <row r="4502">
      <c r="N4502">
        <f>IF(AND(ISNUMBER(L4502),ISNUMBER(M4502)),L4502-M4502,"")</f>
        <v/>
      </c>
    </row>
    <row r="4503">
      <c r="N4503">
        <f>IF(AND(ISNUMBER(L4503),ISNUMBER(M4503)),L4503-M4503,"")</f>
        <v/>
      </c>
    </row>
    <row r="4504">
      <c r="N4504">
        <f>IF(AND(ISNUMBER(L4504),ISNUMBER(M4504)),L4504-M4504,"")</f>
        <v/>
      </c>
    </row>
    <row r="4505">
      <c r="N4505">
        <f>IF(AND(ISNUMBER(L4505),ISNUMBER(M4505)),L4505-M4505,"")</f>
        <v/>
      </c>
    </row>
    <row r="4506">
      <c r="N4506">
        <f>IF(AND(ISNUMBER(L4506),ISNUMBER(M4506)),L4506-M4506,"")</f>
        <v/>
      </c>
    </row>
    <row r="4507">
      <c r="N4507">
        <f>IF(AND(ISNUMBER(L4507),ISNUMBER(M4507)),L4507-M4507,"")</f>
        <v/>
      </c>
    </row>
    <row r="4508">
      <c r="N4508">
        <f>IF(AND(ISNUMBER(L4508),ISNUMBER(M4508)),L4508-M4508,"")</f>
        <v/>
      </c>
    </row>
    <row r="4509">
      <c r="N4509">
        <f>IF(AND(ISNUMBER(L4509),ISNUMBER(M4509)),L4509-M4509,"")</f>
        <v/>
      </c>
    </row>
    <row r="4510">
      <c r="N4510">
        <f>IF(AND(ISNUMBER(L4510),ISNUMBER(M4510)),L4510-M4510,"")</f>
        <v/>
      </c>
    </row>
    <row r="4511">
      <c r="N4511">
        <f>IF(AND(ISNUMBER(L4511),ISNUMBER(M4511)),L4511-M4511,"")</f>
        <v/>
      </c>
    </row>
    <row r="4512">
      <c r="N4512">
        <f>IF(AND(ISNUMBER(L4512),ISNUMBER(M4512)),L4512-M4512,"")</f>
        <v/>
      </c>
    </row>
    <row r="4513">
      <c r="N4513">
        <f>IF(AND(ISNUMBER(L4513),ISNUMBER(M4513)),L4513-M4513,"")</f>
        <v/>
      </c>
    </row>
    <row r="4514">
      <c r="N4514">
        <f>IF(AND(ISNUMBER(L4514),ISNUMBER(M4514)),L4514-M4514,"")</f>
        <v/>
      </c>
    </row>
    <row r="4515">
      <c r="N4515">
        <f>IF(AND(ISNUMBER(L4515),ISNUMBER(M4515)),L4515-M4515,"")</f>
        <v/>
      </c>
    </row>
    <row r="4516">
      <c r="N4516">
        <f>IF(AND(ISNUMBER(L4516),ISNUMBER(M4516)),L4516-M4516,"")</f>
        <v/>
      </c>
    </row>
    <row r="4517">
      <c r="N4517">
        <f>IF(AND(ISNUMBER(L4517),ISNUMBER(M4517)),L4517-M4517,"")</f>
        <v/>
      </c>
    </row>
    <row r="4518">
      <c r="N4518">
        <f>IF(AND(ISNUMBER(L4518),ISNUMBER(M4518)),L4518-M4518,"")</f>
        <v/>
      </c>
    </row>
    <row r="4519">
      <c r="N4519">
        <f>IF(AND(ISNUMBER(L4519),ISNUMBER(M4519)),L4519-M4519,"")</f>
        <v/>
      </c>
    </row>
    <row r="4520">
      <c r="N4520">
        <f>IF(AND(ISNUMBER(L4520),ISNUMBER(M4520)),L4520-M4520,"")</f>
        <v/>
      </c>
    </row>
    <row r="4521">
      <c r="N4521">
        <f>IF(AND(ISNUMBER(L4521),ISNUMBER(M4521)),L4521-M4521,"")</f>
        <v/>
      </c>
    </row>
    <row r="4522">
      <c r="N4522">
        <f>IF(AND(ISNUMBER(L4522),ISNUMBER(M4522)),L4522-M4522,"")</f>
        <v/>
      </c>
    </row>
    <row r="4523">
      <c r="N4523">
        <f>IF(AND(ISNUMBER(L4523),ISNUMBER(M4523)),L4523-M4523,"")</f>
        <v/>
      </c>
    </row>
    <row r="4524">
      <c r="N4524">
        <f>IF(AND(ISNUMBER(L4524),ISNUMBER(M4524)),L4524-M4524,"")</f>
        <v/>
      </c>
    </row>
    <row r="4525">
      <c r="N4525">
        <f>IF(AND(ISNUMBER(L4525),ISNUMBER(M4525)),L4525-M4525,"")</f>
        <v/>
      </c>
    </row>
    <row r="4526">
      <c r="N4526">
        <f>IF(AND(ISNUMBER(L4526),ISNUMBER(M4526)),L4526-M4526,"")</f>
        <v/>
      </c>
    </row>
    <row r="4527">
      <c r="N4527">
        <f>IF(AND(ISNUMBER(L4527),ISNUMBER(M4527)),L4527-M4527,"")</f>
        <v/>
      </c>
    </row>
    <row r="4528">
      <c r="N4528">
        <f>IF(AND(ISNUMBER(L4528),ISNUMBER(M4528)),L4528-M4528,"")</f>
        <v/>
      </c>
    </row>
    <row r="4529">
      <c r="N4529">
        <f>IF(AND(ISNUMBER(L4529),ISNUMBER(M4529)),L4529-M4529,"")</f>
        <v/>
      </c>
    </row>
    <row r="4530">
      <c r="N4530">
        <f>IF(AND(ISNUMBER(L4530),ISNUMBER(M4530)),L4530-M4530,"")</f>
        <v/>
      </c>
    </row>
    <row r="4531">
      <c r="N4531">
        <f>IF(AND(ISNUMBER(L4531),ISNUMBER(M4531)),L4531-M4531,"")</f>
        <v/>
      </c>
    </row>
    <row r="4532">
      <c r="N4532">
        <f>IF(AND(ISNUMBER(L4532),ISNUMBER(M4532)),L4532-M4532,"")</f>
        <v/>
      </c>
    </row>
    <row r="4533">
      <c r="N4533">
        <f>IF(AND(ISNUMBER(L4533),ISNUMBER(M4533)),L4533-M4533,"")</f>
        <v/>
      </c>
    </row>
    <row r="4534">
      <c r="N4534">
        <f>IF(AND(ISNUMBER(L4534),ISNUMBER(M4534)),L4534-M4534,"")</f>
        <v/>
      </c>
    </row>
    <row r="4535">
      <c r="N4535">
        <f>IF(AND(ISNUMBER(L4535),ISNUMBER(M4535)),L4535-M4535,"")</f>
        <v/>
      </c>
    </row>
    <row r="4536">
      <c r="N4536">
        <f>IF(AND(ISNUMBER(L4536),ISNUMBER(M4536)),L4536-M4536,"")</f>
        <v/>
      </c>
    </row>
    <row r="4537">
      <c r="N4537">
        <f>IF(AND(ISNUMBER(L4537),ISNUMBER(M4537)),L4537-M4537,"")</f>
        <v/>
      </c>
    </row>
    <row r="4538">
      <c r="N4538">
        <f>IF(AND(ISNUMBER(L4538),ISNUMBER(M4538)),L4538-M4538,"")</f>
        <v/>
      </c>
    </row>
    <row r="4539">
      <c r="N4539">
        <f>IF(AND(ISNUMBER(L4539),ISNUMBER(M4539)),L4539-M4539,"")</f>
        <v/>
      </c>
    </row>
    <row r="4540">
      <c r="N4540">
        <f>IF(AND(ISNUMBER(L4540),ISNUMBER(M4540)),L4540-M4540,"")</f>
        <v/>
      </c>
    </row>
    <row r="4541">
      <c r="N4541">
        <f>IF(AND(ISNUMBER(L4541),ISNUMBER(M4541)),L4541-M4541,"")</f>
        <v/>
      </c>
    </row>
    <row r="4542">
      <c r="N4542">
        <f>IF(AND(ISNUMBER(L4542),ISNUMBER(M4542)),L4542-M4542,"")</f>
        <v/>
      </c>
    </row>
    <row r="4543">
      <c r="N4543">
        <f>IF(AND(ISNUMBER(L4543),ISNUMBER(M4543)),L4543-M4543,"")</f>
        <v/>
      </c>
    </row>
    <row r="4544">
      <c r="N4544">
        <f>IF(AND(ISNUMBER(L4544),ISNUMBER(M4544)),L4544-M4544,"")</f>
        <v/>
      </c>
    </row>
    <row r="4545">
      <c r="N4545">
        <f>IF(AND(ISNUMBER(L4545),ISNUMBER(M4545)),L4545-M4545,"")</f>
        <v/>
      </c>
    </row>
    <row r="4546">
      <c r="N4546">
        <f>IF(AND(ISNUMBER(L4546),ISNUMBER(M4546)),L4546-M4546,"")</f>
        <v/>
      </c>
    </row>
    <row r="4547">
      <c r="N4547">
        <f>IF(AND(ISNUMBER(L4547),ISNUMBER(M4547)),L4547-M4547,"")</f>
        <v/>
      </c>
    </row>
    <row r="4548">
      <c r="N4548">
        <f>IF(AND(ISNUMBER(L4548),ISNUMBER(M4548)),L4548-M4548,"")</f>
        <v/>
      </c>
    </row>
    <row r="4549">
      <c r="N4549">
        <f>IF(AND(ISNUMBER(L4549),ISNUMBER(M4549)),L4549-M4549,"")</f>
        <v/>
      </c>
    </row>
    <row r="4550">
      <c r="N4550">
        <f>IF(AND(ISNUMBER(L4550),ISNUMBER(M4550)),L4550-M4550,"")</f>
        <v/>
      </c>
    </row>
    <row r="4551">
      <c r="N4551">
        <f>IF(AND(ISNUMBER(L4551),ISNUMBER(M4551)),L4551-M4551,"")</f>
        <v/>
      </c>
    </row>
    <row r="4552">
      <c r="N4552">
        <f>IF(AND(ISNUMBER(L4552),ISNUMBER(M4552)),L4552-M4552,"")</f>
        <v/>
      </c>
    </row>
    <row r="4553">
      <c r="N4553">
        <f>IF(AND(ISNUMBER(L4553),ISNUMBER(M4553)),L4553-M4553,"")</f>
        <v/>
      </c>
    </row>
    <row r="4554">
      <c r="N4554">
        <f>IF(AND(ISNUMBER(L4554),ISNUMBER(M4554)),L4554-M4554,"")</f>
        <v/>
      </c>
    </row>
    <row r="4555">
      <c r="N4555">
        <f>IF(AND(ISNUMBER(L4555),ISNUMBER(M4555)),L4555-M4555,"")</f>
        <v/>
      </c>
    </row>
    <row r="4556">
      <c r="N4556">
        <f>IF(AND(ISNUMBER(L4556),ISNUMBER(M4556)),L4556-M4556,"")</f>
        <v/>
      </c>
    </row>
    <row r="4557">
      <c r="N4557">
        <f>IF(AND(ISNUMBER(L4557),ISNUMBER(M4557)),L4557-M4557,"")</f>
        <v/>
      </c>
    </row>
    <row r="4558">
      <c r="N4558">
        <f>IF(AND(ISNUMBER(L4558),ISNUMBER(M4558)),L4558-M4558,"")</f>
        <v/>
      </c>
    </row>
    <row r="4559">
      <c r="N4559">
        <f>IF(AND(ISNUMBER(L4559),ISNUMBER(M4559)),L4559-M4559,"")</f>
        <v/>
      </c>
    </row>
    <row r="4560">
      <c r="N4560">
        <f>IF(AND(ISNUMBER(L4560),ISNUMBER(M4560)),L4560-M4560,"")</f>
        <v/>
      </c>
    </row>
    <row r="4561">
      <c r="N4561">
        <f>IF(AND(ISNUMBER(L4561),ISNUMBER(M4561)),L4561-M4561,"")</f>
        <v/>
      </c>
    </row>
    <row r="4562">
      <c r="N4562">
        <f>IF(AND(ISNUMBER(L4562),ISNUMBER(M4562)),L4562-M4562,"")</f>
        <v/>
      </c>
    </row>
    <row r="4563">
      <c r="N4563">
        <f>IF(AND(ISNUMBER(L4563),ISNUMBER(M4563)),L4563-M4563,"")</f>
        <v/>
      </c>
    </row>
    <row r="4564">
      <c r="N4564">
        <f>IF(AND(ISNUMBER(L4564),ISNUMBER(M4564)),L4564-M4564,"")</f>
        <v/>
      </c>
    </row>
    <row r="4565">
      <c r="N4565">
        <f>IF(AND(ISNUMBER(L4565),ISNUMBER(M4565)),L4565-M4565,"")</f>
        <v/>
      </c>
    </row>
    <row r="4566">
      <c r="N4566">
        <f>IF(AND(ISNUMBER(L4566),ISNUMBER(M4566)),L4566-M4566,"")</f>
        <v/>
      </c>
    </row>
    <row r="4567">
      <c r="N4567">
        <f>IF(AND(ISNUMBER(L4567),ISNUMBER(M4567)),L4567-M4567,"")</f>
        <v/>
      </c>
    </row>
    <row r="4568">
      <c r="N4568">
        <f>IF(AND(ISNUMBER(L4568),ISNUMBER(M4568)),L4568-M4568,"")</f>
        <v/>
      </c>
    </row>
    <row r="4569">
      <c r="N4569">
        <f>IF(AND(ISNUMBER(L4569),ISNUMBER(M4569)),L4569-M4569,"")</f>
        <v/>
      </c>
    </row>
    <row r="4570">
      <c r="N4570">
        <f>IF(AND(ISNUMBER(L4570),ISNUMBER(M4570)),L4570-M4570,"")</f>
        <v/>
      </c>
    </row>
    <row r="4571">
      <c r="N4571">
        <f>IF(AND(ISNUMBER(L4571),ISNUMBER(M4571)),L4571-M4571,"")</f>
        <v/>
      </c>
    </row>
    <row r="4572">
      <c r="N4572">
        <f>IF(AND(ISNUMBER(L4572),ISNUMBER(M4572)),L4572-M4572,"")</f>
        <v/>
      </c>
    </row>
    <row r="4573">
      <c r="N4573">
        <f>IF(AND(ISNUMBER(L4573),ISNUMBER(M4573)),L4573-M4573,"")</f>
        <v/>
      </c>
    </row>
    <row r="4574">
      <c r="N4574">
        <f>IF(AND(ISNUMBER(L4574),ISNUMBER(M4574)),L4574-M4574,"")</f>
        <v/>
      </c>
    </row>
    <row r="4575">
      <c r="N4575">
        <f>IF(AND(ISNUMBER(L4575),ISNUMBER(M4575)),L4575-M4575,"")</f>
        <v/>
      </c>
    </row>
    <row r="4576">
      <c r="N4576">
        <f>IF(AND(ISNUMBER(L4576),ISNUMBER(M4576)),L4576-M4576,"")</f>
        <v/>
      </c>
    </row>
    <row r="4577">
      <c r="N4577">
        <f>IF(AND(ISNUMBER(L4577),ISNUMBER(M4577)),L4577-M4577,"")</f>
        <v/>
      </c>
    </row>
    <row r="4578">
      <c r="N4578">
        <f>IF(AND(ISNUMBER(L4578),ISNUMBER(M4578)),L4578-M4578,"")</f>
        <v/>
      </c>
    </row>
    <row r="4579">
      <c r="N4579">
        <f>IF(AND(ISNUMBER(L4579),ISNUMBER(M4579)),L4579-M4579,"")</f>
        <v/>
      </c>
    </row>
    <row r="4580">
      <c r="N4580">
        <f>IF(AND(ISNUMBER(L4580),ISNUMBER(M4580)),L4580-M4580,"")</f>
        <v/>
      </c>
    </row>
    <row r="4581">
      <c r="N4581">
        <f>IF(AND(ISNUMBER(L4581),ISNUMBER(M4581)),L4581-M4581,"")</f>
        <v/>
      </c>
    </row>
    <row r="4582">
      <c r="N4582">
        <f>IF(AND(ISNUMBER(L4582),ISNUMBER(M4582)),L4582-M4582,"")</f>
        <v/>
      </c>
    </row>
    <row r="4583">
      <c r="N4583">
        <f>IF(AND(ISNUMBER(L4583),ISNUMBER(M4583)),L4583-M4583,"")</f>
        <v/>
      </c>
    </row>
    <row r="4584">
      <c r="N4584">
        <f>IF(AND(ISNUMBER(L4584),ISNUMBER(M4584)),L4584-M4584,"")</f>
        <v/>
      </c>
    </row>
    <row r="4585">
      <c r="N4585">
        <f>IF(AND(ISNUMBER(L4585),ISNUMBER(M4585)),L4585-M4585,"")</f>
        <v/>
      </c>
    </row>
    <row r="4586">
      <c r="N4586">
        <f>IF(AND(ISNUMBER(L4586),ISNUMBER(M4586)),L4586-M4586,"")</f>
        <v/>
      </c>
    </row>
    <row r="4587">
      <c r="N4587">
        <f>IF(AND(ISNUMBER(L4587),ISNUMBER(M4587)),L4587-M4587,"")</f>
        <v/>
      </c>
    </row>
    <row r="4588">
      <c r="N4588">
        <f>IF(AND(ISNUMBER(L4588),ISNUMBER(M4588)),L4588-M4588,"")</f>
        <v/>
      </c>
    </row>
    <row r="4589">
      <c r="N4589">
        <f>IF(AND(ISNUMBER(L4589),ISNUMBER(M4589)),L4589-M4589,"")</f>
        <v/>
      </c>
    </row>
    <row r="4590">
      <c r="N4590">
        <f>IF(AND(ISNUMBER(L4590),ISNUMBER(M4590)),L4590-M4590,"")</f>
        <v/>
      </c>
    </row>
    <row r="4591">
      <c r="N4591">
        <f>IF(AND(ISNUMBER(L4591),ISNUMBER(M4591)),L4591-M4591,"")</f>
        <v/>
      </c>
    </row>
    <row r="4592">
      <c r="N4592">
        <f>IF(AND(ISNUMBER(L4592),ISNUMBER(M4592)),L4592-M4592,"")</f>
        <v/>
      </c>
    </row>
    <row r="4593">
      <c r="N4593">
        <f>IF(AND(ISNUMBER(L4593),ISNUMBER(M4593)),L4593-M4593,"")</f>
        <v/>
      </c>
    </row>
    <row r="4594">
      <c r="N4594">
        <f>IF(AND(ISNUMBER(L4594),ISNUMBER(M4594)),L4594-M4594,"")</f>
        <v/>
      </c>
    </row>
    <row r="4595">
      <c r="N4595">
        <f>IF(AND(ISNUMBER(L4595),ISNUMBER(M4595)),L4595-M4595,"")</f>
        <v/>
      </c>
    </row>
    <row r="4596">
      <c r="N4596">
        <f>IF(AND(ISNUMBER(L4596),ISNUMBER(M4596)),L4596-M4596,"")</f>
        <v/>
      </c>
    </row>
    <row r="4597">
      <c r="N4597">
        <f>IF(AND(ISNUMBER(L4597),ISNUMBER(M4597)),L4597-M4597,"")</f>
        <v/>
      </c>
    </row>
    <row r="4598">
      <c r="N4598">
        <f>IF(AND(ISNUMBER(L4598),ISNUMBER(M4598)),L4598-M4598,"")</f>
        <v/>
      </c>
    </row>
    <row r="4599">
      <c r="N4599">
        <f>IF(AND(ISNUMBER(L4599),ISNUMBER(M4599)),L4599-M4599,"")</f>
        <v/>
      </c>
    </row>
    <row r="4600">
      <c r="N4600">
        <f>IF(AND(ISNUMBER(L4600),ISNUMBER(M4600)),L4600-M4600,"")</f>
        <v/>
      </c>
    </row>
    <row r="4601">
      <c r="N4601">
        <f>IF(AND(ISNUMBER(L4601),ISNUMBER(M4601)),L4601-M4601,"")</f>
        <v/>
      </c>
    </row>
    <row r="4602">
      <c r="N4602">
        <f>IF(AND(ISNUMBER(L4602),ISNUMBER(M4602)),L4602-M4602,"")</f>
        <v/>
      </c>
    </row>
    <row r="4603">
      <c r="N4603">
        <f>IF(AND(ISNUMBER(L4603),ISNUMBER(M4603)),L4603-M4603,"")</f>
        <v/>
      </c>
    </row>
    <row r="4604">
      <c r="N4604">
        <f>IF(AND(ISNUMBER(L4604),ISNUMBER(M4604)),L4604-M4604,"")</f>
        <v/>
      </c>
    </row>
    <row r="4605">
      <c r="N4605">
        <f>IF(AND(ISNUMBER(L4605),ISNUMBER(M4605)),L4605-M4605,"")</f>
        <v/>
      </c>
    </row>
    <row r="4606">
      <c r="N4606">
        <f>IF(AND(ISNUMBER(L4606),ISNUMBER(M4606)),L4606-M4606,"")</f>
        <v/>
      </c>
    </row>
    <row r="4607">
      <c r="N4607">
        <f>IF(AND(ISNUMBER(L4607),ISNUMBER(M4607)),L4607-M4607,"")</f>
        <v/>
      </c>
    </row>
    <row r="4608">
      <c r="N4608">
        <f>IF(AND(ISNUMBER(L4608),ISNUMBER(M4608)),L4608-M4608,"")</f>
        <v/>
      </c>
    </row>
    <row r="4609">
      <c r="N4609">
        <f>IF(AND(ISNUMBER(L4609),ISNUMBER(M4609)),L4609-M4609,"")</f>
        <v/>
      </c>
    </row>
    <row r="4610">
      <c r="N4610">
        <f>IF(AND(ISNUMBER(L4610),ISNUMBER(M4610)),L4610-M4610,"")</f>
        <v/>
      </c>
    </row>
    <row r="4611">
      <c r="N4611">
        <f>IF(AND(ISNUMBER(L4611),ISNUMBER(M4611)),L4611-M4611,"")</f>
        <v/>
      </c>
    </row>
    <row r="4612">
      <c r="N4612">
        <f>IF(AND(ISNUMBER(L4612),ISNUMBER(M4612)),L4612-M4612,"")</f>
        <v/>
      </c>
    </row>
    <row r="4613">
      <c r="N4613">
        <f>IF(AND(ISNUMBER(L4613),ISNUMBER(M4613)),L4613-M4613,"")</f>
        <v/>
      </c>
    </row>
    <row r="4614">
      <c r="N4614">
        <f>IF(AND(ISNUMBER(L4614),ISNUMBER(M4614)),L4614-M4614,"")</f>
        <v/>
      </c>
    </row>
    <row r="4615">
      <c r="N4615">
        <f>IF(AND(ISNUMBER(L4615),ISNUMBER(M4615)),L4615-M4615,"")</f>
        <v/>
      </c>
    </row>
    <row r="4616">
      <c r="N4616">
        <f>IF(AND(ISNUMBER(L4616),ISNUMBER(M4616)),L4616-M4616,"")</f>
        <v/>
      </c>
    </row>
    <row r="4617">
      <c r="N4617">
        <f>IF(AND(ISNUMBER(L4617),ISNUMBER(M4617)),L4617-M4617,"")</f>
        <v/>
      </c>
    </row>
    <row r="4618">
      <c r="N4618">
        <f>IF(AND(ISNUMBER(L4618),ISNUMBER(M4618)),L4618-M4618,"")</f>
        <v/>
      </c>
    </row>
    <row r="4619">
      <c r="N4619">
        <f>IF(AND(ISNUMBER(L4619),ISNUMBER(M4619)),L4619-M4619,"")</f>
        <v/>
      </c>
    </row>
    <row r="4620">
      <c r="N4620">
        <f>IF(AND(ISNUMBER(L4620),ISNUMBER(M4620)),L4620-M4620,"")</f>
        <v/>
      </c>
    </row>
    <row r="4621">
      <c r="N4621">
        <f>IF(AND(ISNUMBER(L4621),ISNUMBER(M4621)),L4621-M4621,"")</f>
        <v/>
      </c>
    </row>
    <row r="4622">
      <c r="N4622">
        <f>IF(AND(ISNUMBER(L4622),ISNUMBER(M4622)),L4622-M4622,"")</f>
        <v/>
      </c>
    </row>
    <row r="4623">
      <c r="N4623">
        <f>IF(AND(ISNUMBER(L4623),ISNUMBER(M4623)),L4623-M4623,"")</f>
        <v/>
      </c>
    </row>
    <row r="4624">
      <c r="N4624">
        <f>IF(AND(ISNUMBER(L4624),ISNUMBER(M4624)),L4624-M4624,"")</f>
        <v/>
      </c>
    </row>
    <row r="4625">
      <c r="N4625">
        <f>IF(AND(ISNUMBER(L4625),ISNUMBER(M4625)),L4625-M4625,"")</f>
        <v/>
      </c>
    </row>
    <row r="4626">
      <c r="N4626">
        <f>IF(AND(ISNUMBER(L4626),ISNUMBER(M4626)),L4626-M4626,"")</f>
        <v/>
      </c>
    </row>
    <row r="4627">
      <c r="N4627">
        <f>IF(AND(ISNUMBER(L4627),ISNUMBER(M4627)),L4627-M4627,"")</f>
        <v/>
      </c>
    </row>
    <row r="4628">
      <c r="N4628">
        <f>IF(AND(ISNUMBER(L4628),ISNUMBER(M4628)),L4628-M4628,"")</f>
        <v/>
      </c>
    </row>
    <row r="4629">
      <c r="N4629">
        <f>IF(AND(ISNUMBER(L4629),ISNUMBER(M4629)),L4629-M4629,"")</f>
        <v/>
      </c>
    </row>
    <row r="4630">
      <c r="N4630">
        <f>IF(AND(ISNUMBER(L4630),ISNUMBER(M4630)),L4630-M4630,"")</f>
        <v/>
      </c>
    </row>
    <row r="4631">
      <c r="N4631">
        <f>IF(AND(ISNUMBER(L4631),ISNUMBER(M4631)),L4631-M4631,"")</f>
        <v/>
      </c>
    </row>
    <row r="4632">
      <c r="N4632">
        <f>IF(AND(ISNUMBER(L4632),ISNUMBER(M4632)),L4632-M4632,"")</f>
        <v/>
      </c>
    </row>
    <row r="4633">
      <c r="N4633">
        <f>IF(AND(ISNUMBER(L4633),ISNUMBER(M4633)),L4633-M4633,"")</f>
        <v/>
      </c>
    </row>
    <row r="4634">
      <c r="N4634">
        <f>IF(AND(ISNUMBER(L4634),ISNUMBER(M4634)),L4634-M4634,"")</f>
        <v/>
      </c>
    </row>
    <row r="4635">
      <c r="N4635">
        <f>IF(AND(ISNUMBER(L4635),ISNUMBER(M4635)),L4635-M4635,"")</f>
        <v/>
      </c>
    </row>
    <row r="4636">
      <c r="N4636">
        <f>IF(AND(ISNUMBER(L4636),ISNUMBER(M4636)),L4636-M4636,"")</f>
        <v/>
      </c>
    </row>
    <row r="4637">
      <c r="N4637">
        <f>IF(AND(ISNUMBER(L4637),ISNUMBER(M4637)),L4637-M4637,"")</f>
        <v/>
      </c>
    </row>
    <row r="4638">
      <c r="N4638">
        <f>IF(AND(ISNUMBER(L4638),ISNUMBER(M4638)),L4638-M4638,"")</f>
        <v/>
      </c>
    </row>
    <row r="4639">
      <c r="N4639">
        <f>IF(AND(ISNUMBER(L4639),ISNUMBER(M4639)),L4639-M4639,"")</f>
        <v/>
      </c>
    </row>
    <row r="4640">
      <c r="N4640">
        <f>IF(AND(ISNUMBER(L4640),ISNUMBER(M4640)),L4640-M4640,"")</f>
        <v/>
      </c>
    </row>
    <row r="4641">
      <c r="N4641">
        <f>IF(AND(ISNUMBER(L4641),ISNUMBER(M4641)),L4641-M4641,"")</f>
        <v/>
      </c>
    </row>
    <row r="4642">
      <c r="N4642">
        <f>IF(AND(ISNUMBER(L4642),ISNUMBER(M4642)),L4642-M4642,"")</f>
        <v/>
      </c>
    </row>
    <row r="4643">
      <c r="N4643">
        <f>IF(AND(ISNUMBER(L4643),ISNUMBER(M4643)),L4643-M4643,"")</f>
        <v/>
      </c>
    </row>
    <row r="4644">
      <c r="N4644">
        <f>IF(AND(ISNUMBER(L4644),ISNUMBER(M4644)),L4644-M4644,"")</f>
        <v/>
      </c>
    </row>
    <row r="4645">
      <c r="N4645">
        <f>IF(AND(ISNUMBER(L4645),ISNUMBER(M4645)),L4645-M4645,"")</f>
        <v/>
      </c>
    </row>
    <row r="4646">
      <c r="N4646">
        <f>IF(AND(ISNUMBER(L4646),ISNUMBER(M4646)),L4646-M4646,"")</f>
        <v/>
      </c>
    </row>
    <row r="4647">
      <c r="N4647">
        <f>IF(AND(ISNUMBER(L4647),ISNUMBER(M4647)),L4647-M4647,"")</f>
        <v/>
      </c>
    </row>
    <row r="4648">
      <c r="N4648">
        <f>IF(AND(ISNUMBER(L4648),ISNUMBER(M4648)),L4648-M4648,"")</f>
        <v/>
      </c>
    </row>
    <row r="4649">
      <c r="N4649">
        <f>IF(AND(ISNUMBER(L4649),ISNUMBER(M4649)),L4649-M4649,"")</f>
        <v/>
      </c>
    </row>
    <row r="4650">
      <c r="N4650">
        <f>IF(AND(ISNUMBER(L4650),ISNUMBER(M4650)),L4650-M4650,"")</f>
        <v/>
      </c>
    </row>
    <row r="4651">
      <c r="N4651">
        <f>IF(AND(ISNUMBER(L4651),ISNUMBER(M4651)),L4651-M4651,"")</f>
        <v/>
      </c>
    </row>
    <row r="4652">
      <c r="N4652">
        <f>IF(AND(ISNUMBER(L4652),ISNUMBER(M4652)),L4652-M4652,"")</f>
        <v/>
      </c>
    </row>
    <row r="4653">
      <c r="N4653">
        <f>IF(AND(ISNUMBER(L4653),ISNUMBER(M4653)),L4653-M4653,"")</f>
        <v/>
      </c>
    </row>
    <row r="4654">
      <c r="N4654">
        <f>IF(AND(ISNUMBER(L4654),ISNUMBER(M4654)),L4654-M4654,"")</f>
        <v/>
      </c>
    </row>
    <row r="4655">
      <c r="N4655">
        <f>IF(AND(ISNUMBER(L4655),ISNUMBER(M4655)),L4655-M4655,"")</f>
        <v/>
      </c>
    </row>
    <row r="4656">
      <c r="N4656">
        <f>IF(AND(ISNUMBER(L4656),ISNUMBER(M4656)),L4656-M4656,"")</f>
        <v/>
      </c>
    </row>
    <row r="4657">
      <c r="N4657">
        <f>IF(AND(ISNUMBER(L4657),ISNUMBER(M4657)),L4657-M4657,"")</f>
        <v/>
      </c>
    </row>
    <row r="4658">
      <c r="N4658">
        <f>IF(AND(ISNUMBER(L4658),ISNUMBER(M4658)),L4658-M4658,"")</f>
        <v/>
      </c>
    </row>
    <row r="4659">
      <c r="N4659">
        <f>IF(AND(ISNUMBER(L4659),ISNUMBER(M4659)),L4659-M4659,"")</f>
        <v/>
      </c>
    </row>
    <row r="4660">
      <c r="N4660">
        <f>IF(AND(ISNUMBER(L4660),ISNUMBER(M4660)),L4660-M4660,"")</f>
        <v/>
      </c>
    </row>
    <row r="4661">
      <c r="N4661">
        <f>IF(AND(ISNUMBER(L4661),ISNUMBER(M4661)),L4661-M4661,"")</f>
        <v/>
      </c>
    </row>
    <row r="4662">
      <c r="N4662">
        <f>IF(AND(ISNUMBER(L4662),ISNUMBER(M4662)),L4662-M4662,"")</f>
        <v/>
      </c>
    </row>
    <row r="4663">
      <c r="N4663">
        <f>IF(AND(ISNUMBER(L4663),ISNUMBER(M4663)),L4663-M4663,"")</f>
        <v/>
      </c>
    </row>
    <row r="4664">
      <c r="N4664">
        <f>IF(AND(ISNUMBER(L4664),ISNUMBER(M4664)),L4664-M4664,"")</f>
        <v/>
      </c>
    </row>
    <row r="4665">
      <c r="N4665">
        <f>IF(AND(ISNUMBER(L4665),ISNUMBER(M4665)),L4665-M4665,"")</f>
        <v/>
      </c>
    </row>
    <row r="4666">
      <c r="N4666">
        <f>IF(AND(ISNUMBER(L4666),ISNUMBER(M4666)),L4666-M4666,"")</f>
        <v/>
      </c>
    </row>
    <row r="4667">
      <c r="N4667">
        <f>IF(AND(ISNUMBER(L4667),ISNUMBER(M4667)),L4667-M4667,"")</f>
        <v/>
      </c>
    </row>
    <row r="4668">
      <c r="N4668">
        <f>IF(AND(ISNUMBER(L4668),ISNUMBER(M4668)),L4668-M4668,"")</f>
        <v/>
      </c>
    </row>
    <row r="4669">
      <c r="N4669">
        <f>IF(AND(ISNUMBER(L4669),ISNUMBER(M4669)),L4669-M4669,"")</f>
        <v/>
      </c>
    </row>
    <row r="4670">
      <c r="N4670">
        <f>IF(AND(ISNUMBER(L4670),ISNUMBER(M4670)),L4670-M4670,"")</f>
        <v/>
      </c>
    </row>
    <row r="4671">
      <c r="N4671">
        <f>IF(AND(ISNUMBER(L4671),ISNUMBER(M4671)),L4671-M4671,"")</f>
        <v/>
      </c>
    </row>
    <row r="4672">
      <c r="N4672">
        <f>IF(AND(ISNUMBER(L4672),ISNUMBER(M4672)),L4672-M4672,"")</f>
        <v/>
      </c>
    </row>
    <row r="4673">
      <c r="N4673">
        <f>IF(AND(ISNUMBER(L4673),ISNUMBER(M4673)),L4673-M4673,"")</f>
        <v/>
      </c>
    </row>
    <row r="4674">
      <c r="N4674">
        <f>IF(AND(ISNUMBER(L4674),ISNUMBER(M4674)),L4674-M4674,"")</f>
        <v/>
      </c>
    </row>
    <row r="4675">
      <c r="N4675">
        <f>IF(AND(ISNUMBER(L4675),ISNUMBER(M4675)),L4675-M4675,"")</f>
        <v/>
      </c>
    </row>
    <row r="4676">
      <c r="N4676">
        <f>IF(AND(ISNUMBER(L4676),ISNUMBER(M4676)),L4676-M4676,"")</f>
        <v/>
      </c>
    </row>
    <row r="4677">
      <c r="N4677">
        <f>IF(AND(ISNUMBER(L4677),ISNUMBER(M4677)),L4677-M4677,"")</f>
        <v/>
      </c>
    </row>
    <row r="4678">
      <c r="N4678">
        <f>IF(AND(ISNUMBER(L4678),ISNUMBER(M4678)),L4678-M4678,"")</f>
        <v/>
      </c>
    </row>
    <row r="4679">
      <c r="N4679">
        <f>IF(AND(ISNUMBER(L4679),ISNUMBER(M4679)),L4679-M4679,"")</f>
        <v/>
      </c>
    </row>
    <row r="4680">
      <c r="N4680">
        <f>IF(AND(ISNUMBER(L4680),ISNUMBER(M4680)),L4680-M4680,"")</f>
        <v/>
      </c>
    </row>
    <row r="4681">
      <c r="N4681">
        <f>IF(AND(ISNUMBER(L4681),ISNUMBER(M4681)),L4681-M4681,"")</f>
        <v/>
      </c>
    </row>
    <row r="4682">
      <c r="N4682">
        <f>IF(AND(ISNUMBER(L4682),ISNUMBER(M4682)),L4682-M4682,"")</f>
        <v/>
      </c>
    </row>
    <row r="4683">
      <c r="N4683">
        <f>IF(AND(ISNUMBER(L4683),ISNUMBER(M4683)),L4683-M4683,"")</f>
        <v/>
      </c>
    </row>
    <row r="4684">
      <c r="N4684">
        <f>IF(AND(ISNUMBER(L4684),ISNUMBER(M4684)),L4684-M4684,"")</f>
        <v/>
      </c>
    </row>
    <row r="4685">
      <c r="N4685">
        <f>IF(AND(ISNUMBER(L4685),ISNUMBER(M4685)),L4685-M4685,"")</f>
        <v/>
      </c>
    </row>
    <row r="4686">
      <c r="N4686">
        <f>IF(AND(ISNUMBER(L4686),ISNUMBER(M4686)),L4686-M4686,"")</f>
        <v/>
      </c>
    </row>
    <row r="4687">
      <c r="N4687">
        <f>IF(AND(ISNUMBER(L4687),ISNUMBER(M4687)),L4687-M4687,"")</f>
        <v/>
      </c>
    </row>
    <row r="4688">
      <c r="N4688">
        <f>IF(AND(ISNUMBER(L4688),ISNUMBER(M4688)),L4688-M4688,"")</f>
        <v/>
      </c>
    </row>
    <row r="4689">
      <c r="N4689">
        <f>IF(AND(ISNUMBER(L4689),ISNUMBER(M4689)),L4689-M4689,"")</f>
        <v/>
      </c>
    </row>
    <row r="4690">
      <c r="N4690">
        <f>IF(AND(ISNUMBER(L4690),ISNUMBER(M4690)),L4690-M4690,"")</f>
        <v/>
      </c>
    </row>
    <row r="4691">
      <c r="N4691">
        <f>IF(AND(ISNUMBER(L4691),ISNUMBER(M4691)),L4691-M4691,"")</f>
        <v/>
      </c>
    </row>
    <row r="4692">
      <c r="N4692">
        <f>IF(AND(ISNUMBER(L4692),ISNUMBER(M4692)),L4692-M4692,"")</f>
        <v/>
      </c>
    </row>
    <row r="4693">
      <c r="N4693">
        <f>IF(AND(ISNUMBER(L4693),ISNUMBER(M4693)),L4693-M4693,"")</f>
        <v/>
      </c>
    </row>
    <row r="4694">
      <c r="N4694">
        <f>IF(AND(ISNUMBER(L4694),ISNUMBER(M4694)),L4694-M4694,"")</f>
        <v/>
      </c>
    </row>
    <row r="4695">
      <c r="N4695">
        <f>IF(AND(ISNUMBER(L4695),ISNUMBER(M4695)),L4695-M4695,"")</f>
        <v/>
      </c>
    </row>
    <row r="4696">
      <c r="N4696">
        <f>IF(AND(ISNUMBER(L4696),ISNUMBER(M4696)),L4696-M4696,"")</f>
        <v/>
      </c>
    </row>
    <row r="4697">
      <c r="N4697">
        <f>IF(AND(ISNUMBER(L4697),ISNUMBER(M4697)),L4697-M4697,"")</f>
        <v/>
      </c>
    </row>
    <row r="4698">
      <c r="N4698">
        <f>IF(AND(ISNUMBER(L4698),ISNUMBER(M4698)),L4698-M4698,"")</f>
        <v/>
      </c>
    </row>
    <row r="4699">
      <c r="N4699">
        <f>IF(AND(ISNUMBER(L4699),ISNUMBER(M4699)),L4699-M4699,"")</f>
        <v/>
      </c>
    </row>
    <row r="4700">
      <c r="N4700">
        <f>IF(AND(ISNUMBER(L4700),ISNUMBER(M4700)),L4700-M4700,"")</f>
        <v/>
      </c>
    </row>
    <row r="4701">
      <c r="N4701">
        <f>IF(AND(ISNUMBER(L4701),ISNUMBER(M4701)),L4701-M4701,"")</f>
        <v/>
      </c>
    </row>
    <row r="4702">
      <c r="N4702">
        <f>IF(AND(ISNUMBER(L4702),ISNUMBER(M4702)),L4702-M4702,"")</f>
        <v/>
      </c>
    </row>
    <row r="4703">
      <c r="N4703">
        <f>IF(AND(ISNUMBER(L4703),ISNUMBER(M4703)),L4703-M4703,"")</f>
        <v/>
      </c>
    </row>
    <row r="4704">
      <c r="N4704">
        <f>IF(AND(ISNUMBER(L4704),ISNUMBER(M4704)),L4704-M4704,"")</f>
        <v/>
      </c>
    </row>
    <row r="4705">
      <c r="N4705">
        <f>IF(AND(ISNUMBER(L4705),ISNUMBER(M4705)),L4705-M4705,"")</f>
        <v/>
      </c>
    </row>
    <row r="4706">
      <c r="N4706">
        <f>IF(AND(ISNUMBER(L4706),ISNUMBER(M4706)),L4706-M4706,"")</f>
        <v/>
      </c>
    </row>
    <row r="4707">
      <c r="N4707">
        <f>IF(AND(ISNUMBER(L4707),ISNUMBER(M4707)),L4707-M4707,"")</f>
        <v/>
      </c>
    </row>
    <row r="4708">
      <c r="N4708">
        <f>IF(AND(ISNUMBER(L4708),ISNUMBER(M4708)),L4708-M4708,"")</f>
        <v/>
      </c>
    </row>
    <row r="4709">
      <c r="N4709">
        <f>IF(AND(ISNUMBER(L4709),ISNUMBER(M4709)),L4709-M4709,"")</f>
        <v/>
      </c>
    </row>
    <row r="4710">
      <c r="N4710">
        <f>IF(AND(ISNUMBER(L4710),ISNUMBER(M4710)),L4710-M4710,"")</f>
        <v/>
      </c>
    </row>
    <row r="4711">
      <c r="N4711">
        <f>IF(AND(ISNUMBER(L4711),ISNUMBER(M4711)),L4711-M4711,"")</f>
        <v/>
      </c>
    </row>
    <row r="4712">
      <c r="N4712">
        <f>IF(AND(ISNUMBER(L4712),ISNUMBER(M4712)),L4712-M4712,"")</f>
        <v/>
      </c>
    </row>
    <row r="4713">
      <c r="N4713">
        <f>IF(AND(ISNUMBER(L4713),ISNUMBER(M4713)),L4713-M4713,"")</f>
        <v/>
      </c>
    </row>
    <row r="4714">
      <c r="N4714">
        <f>IF(AND(ISNUMBER(L4714),ISNUMBER(M4714)),L4714-M4714,"")</f>
        <v/>
      </c>
    </row>
    <row r="4715">
      <c r="N4715">
        <f>IF(AND(ISNUMBER(L4715),ISNUMBER(M4715)),L4715-M4715,"")</f>
        <v/>
      </c>
    </row>
    <row r="4716">
      <c r="N4716">
        <f>IF(AND(ISNUMBER(L4716),ISNUMBER(M4716)),L4716-M4716,"")</f>
        <v/>
      </c>
    </row>
    <row r="4717">
      <c r="N4717">
        <f>IF(AND(ISNUMBER(L4717),ISNUMBER(M4717)),L4717-M4717,"")</f>
        <v/>
      </c>
    </row>
    <row r="4718">
      <c r="N4718">
        <f>IF(AND(ISNUMBER(L4718),ISNUMBER(M4718)),L4718-M4718,"")</f>
        <v/>
      </c>
    </row>
    <row r="4719">
      <c r="N4719">
        <f>IF(AND(ISNUMBER(L4719),ISNUMBER(M4719)),L4719-M4719,"")</f>
        <v/>
      </c>
    </row>
    <row r="4720">
      <c r="N4720">
        <f>IF(AND(ISNUMBER(L4720),ISNUMBER(M4720)),L4720-M4720,"")</f>
        <v/>
      </c>
    </row>
    <row r="4721">
      <c r="N4721">
        <f>IF(AND(ISNUMBER(L4721),ISNUMBER(M4721)),L4721-M4721,"")</f>
        <v/>
      </c>
    </row>
    <row r="4722">
      <c r="N4722">
        <f>IF(AND(ISNUMBER(L4722),ISNUMBER(M4722)),L4722-M4722,"")</f>
        <v/>
      </c>
    </row>
    <row r="4723">
      <c r="N4723">
        <f>IF(AND(ISNUMBER(L4723),ISNUMBER(M4723)),L4723-M4723,"")</f>
        <v/>
      </c>
    </row>
    <row r="4724">
      <c r="N4724">
        <f>IF(AND(ISNUMBER(L4724),ISNUMBER(M4724)),L4724-M4724,"")</f>
        <v/>
      </c>
    </row>
    <row r="4725">
      <c r="N4725">
        <f>IF(AND(ISNUMBER(L4725),ISNUMBER(M4725)),L4725-M4725,"")</f>
        <v/>
      </c>
    </row>
    <row r="4726">
      <c r="N4726">
        <f>IF(AND(ISNUMBER(L4726),ISNUMBER(M4726)),L4726-M4726,"")</f>
        <v/>
      </c>
    </row>
    <row r="4727">
      <c r="N4727">
        <f>IF(AND(ISNUMBER(L4727),ISNUMBER(M4727)),L4727-M4727,"")</f>
        <v/>
      </c>
    </row>
    <row r="4728">
      <c r="N4728">
        <f>IF(AND(ISNUMBER(L4728),ISNUMBER(M4728)),L4728-M4728,"")</f>
        <v/>
      </c>
    </row>
    <row r="4729">
      <c r="N4729">
        <f>IF(AND(ISNUMBER(L4729),ISNUMBER(M4729)),L4729-M4729,"")</f>
        <v/>
      </c>
    </row>
    <row r="4730">
      <c r="N4730">
        <f>IF(AND(ISNUMBER(L4730),ISNUMBER(M4730)),L4730-M4730,"")</f>
        <v/>
      </c>
    </row>
    <row r="4731">
      <c r="N4731">
        <f>IF(AND(ISNUMBER(L4731),ISNUMBER(M4731)),L4731-M4731,"")</f>
        <v/>
      </c>
    </row>
    <row r="4732">
      <c r="N4732">
        <f>IF(AND(ISNUMBER(L4732),ISNUMBER(M4732)),L4732-M4732,"")</f>
        <v/>
      </c>
    </row>
    <row r="4733">
      <c r="N4733">
        <f>IF(AND(ISNUMBER(L4733),ISNUMBER(M4733)),L4733-M4733,"")</f>
        <v/>
      </c>
    </row>
    <row r="4734">
      <c r="N4734">
        <f>IF(AND(ISNUMBER(L4734),ISNUMBER(M4734)),L4734-M4734,"")</f>
        <v/>
      </c>
    </row>
    <row r="4735">
      <c r="N4735">
        <f>IF(AND(ISNUMBER(L4735),ISNUMBER(M4735)),L4735-M4735,"")</f>
        <v/>
      </c>
    </row>
    <row r="4736">
      <c r="N4736">
        <f>IF(AND(ISNUMBER(L4736),ISNUMBER(M4736)),L4736-M4736,"")</f>
        <v/>
      </c>
    </row>
    <row r="4737">
      <c r="N4737">
        <f>IF(AND(ISNUMBER(L4737),ISNUMBER(M4737)),L4737-M4737,"")</f>
        <v/>
      </c>
    </row>
    <row r="4738">
      <c r="N4738">
        <f>IF(AND(ISNUMBER(L4738),ISNUMBER(M4738)),L4738-M4738,"")</f>
        <v/>
      </c>
    </row>
    <row r="4739">
      <c r="N4739">
        <f>IF(AND(ISNUMBER(L4739),ISNUMBER(M4739)),L4739-M4739,"")</f>
        <v/>
      </c>
    </row>
    <row r="4740">
      <c r="N4740">
        <f>IF(AND(ISNUMBER(L4740),ISNUMBER(M4740)),L4740-M4740,"")</f>
        <v/>
      </c>
    </row>
    <row r="4741">
      <c r="N4741">
        <f>IF(AND(ISNUMBER(L4741),ISNUMBER(M4741)),L4741-M4741,"")</f>
        <v/>
      </c>
    </row>
    <row r="4742">
      <c r="N4742">
        <f>IF(AND(ISNUMBER(L4742),ISNUMBER(M4742)),L4742-M4742,"")</f>
        <v/>
      </c>
    </row>
    <row r="4743">
      <c r="N4743">
        <f>IF(AND(ISNUMBER(L4743),ISNUMBER(M4743)),L4743-M4743,"")</f>
        <v/>
      </c>
    </row>
    <row r="4744">
      <c r="N4744">
        <f>IF(AND(ISNUMBER(L4744),ISNUMBER(M4744)),L4744-M4744,"")</f>
        <v/>
      </c>
    </row>
    <row r="4745">
      <c r="N4745">
        <f>IF(AND(ISNUMBER(L4745),ISNUMBER(M4745)),L4745-M4745,"")</f>
        <v/>
      </c>
    </row>
    <row r="4746">
      <c r="N4746">
        <f>IF(AND(ISNUMBER(L4746),ISNUMBER(M4746)),L4746-M4746,"")</f>
        <v/>
      </c>
    </row>
    <row r="4747">
      <c r="N4747">
        <f>IF(AND(ISNUMBER(L4747),ISNUMBER(M4747)),L4747-M4747,"")</f>
        <v/>
      </c>
    </row>
    <row r="4748">
      <c r="N4748">
        <f>IF(AND(ISNUMBER(L4748),ISNUMBER(M4748)),L4748-M4748,"")</f>
        <v/>
      </c>
    </row>
    <row r="4749">
      <c r="N4749">
        <f>IF(AND(ISNUMBER(L4749),ISNUMBER(M4749)),L4749-M4749,"")</f>
        <v/>
      </c>
    </row>
    <row r="4750">
      <c r="N4750">
        <f>IF(AND(ISNUMBER(L4750),ISNUMBER(M4750)),L4750-M4750,"")</f>
        <v/>
      </c>
    </row>
    <row r="4751">
      <c r="N4751">
        <f>IF(AND(ISNUMBER(L4751),ISNUMBER(M4751)),L4751-M4751,"")</f>
        <v/>
      </c>
    </row>
    <row r="4752">
      <c r="N4752">
        <f>IF(AND(ISNUMBER(L4752),ISNUMBER(M4752)),L4752-M4752,"")</f>
        <v/>
      </c>
    </row>
    <row r="4753">
      <c r="N4753">
        <f>IF(AND(ISNUMBER(L4753),ISNUMBER(M4753)),L4753-M4753,"")</f>
        <v/>
      </c>
    </row>
    <row r="4754">
      <c r="N4754">
        <f>IF(AND(ISNUMBER(L4754),ISNUMBER(M4754)),L4754-M4754,"")</f>
        <v/>
      </c>
    </row>
    <row r="4755">
      <c r="N4755">
        <f>IF(AND(ISNUMBER(L4755),ISNUMBER(M4755)),L4755-M4755,"")</f>
        <v/>
      </c>
    </row>
    <row r="4756">
      <c r="N4756">
        <f>IF(AND(ISNUMBER(L4756),ISNUMBER(M4756)),L4756-M4756,"")</f>
        <v/>
      </c>
    </row>
    <row r="4757">
      <c r="N4757">
        <f>IF(AND(ISNUMBER(L4757),ISNUMBER(M4757)),L4757-M4757,"")</f>
        <v/>
      </c>
    </row>
    <row r="4758">
      <c r="N4758">
        <f>IF(AND(ISNUMBER(L4758),ISNUMBER(M4758)),L4758-M4758,"")</f>
        <v/>
      </c>
    </row>
    <row r="4759">
      <c r="N4759">
        <f>IF(AND(ISNUMBER(L4759),ISNUMBER(M4759)),L4759-M4759,"")</f>
        <v/>
      </c>
    </row>
    <row r="4760">
      <c r="N4760">
        <f>IF(AND(ISNUMBER(L4760),ISNUMBER(M4760)),L4760-M4760,"")</f>
        <v/>
      </c>
    </row>
    <row r="4761">
      <c r="N4761">
        <f>IF(AND(ISNUMBER(L4761),ISNUMBER(M4761)),L4761-M4761,"")</f>
        <v/>
      </c>
    </row>
    <row r="4762">
      <c r="N4762">
        <f>IF(AND(ISNUMBER(L4762),ISNUMBER(M4762)),L4762-M4762,"")</f>
        <v/>
      </c>
    </row>
    <row r="4763">
      <c r="N4763">
        <f>IF(AND(ISNUMBER(L4763),ISNUMBER(M4763)),L4763-M4763,"")</f>
        <v/>
      </c>
    </row>
    <row r="4764">
      <c r="N4764">
        <f>IF(AND(ISNUMBER(L4764),ISNUMBER(M4764)),L4764-M4764,"")</f>
        <v/>
      </c>
    </row>
    <row r="4765">
      <c r="N4765">
        <f>IF(AND(ISNUMBER(L4765),ISNUMBER(M4765)),L4765-M4765,"")</f>
        <v/>
      </c>
    </row>
    <row r="4766">
      <c r="N4766">
        <f>IF(AND(ISNUMBER(L4766),ISNUMBER(M4766)),L4766-M4766,"")</f>
        <v/>
      </c>
    </row>
    <row r="4767">
      <c r="N4767">
        <f>IF(AND(ISNUMBER(L4767),ISNUMBER(M4767)),L4767-M4767,"")</f>
        <v/>
      </c>
    </row>
    <row r="4768">
      <c r="N4768">
        <f>IF(AND(ISNUMBER(L4768),ISNUMBER(M4768)),L4768-M4768,"")</f>
        <v/>
      </c>
    </row>
    <row r="4769">
      <c r="N4769">
        <f>IF(AND(ISNUMBER(L4769),ISNUMBER(M4769)),L4769-M4769,"")</f>
        <v/>
      </c>
    </row>
    <row r="4770">
      <c r="N4770">
        <f>IF(AND(ISNUMBER(L4770),ISNUMBER(M4770)),L4770-M4770,"")</f>
        <v/>
      </c>
    </row>
    <row r="4771">
      <c r="N4771">
        <f>IF(AND(ISNUMBER(L4771),ISNUMBER(M4771)),L4771-M4771,"")</f>
        <v/>
      </c>
    </row>
    <row r="4772">
      <c r="N4772">
        <f>IF(AND(ISNUMBER(L4772),ISNUMBER(M4772)),L4772-M4772,"")</f>
        <v/>
      </c>
    </row>
    <row r="4773">
      <c r="N4773">
        <f>IF(AND(ISNUMBER(L4773),ISNUMBER(M4773)),L4773-M4773,"")</f>
        <v/>
      </c>
    </row>
    <row r="4774">
      <c r="N4774">
        <f>IF(AND(ISNUMBER(L4774),ISNUMBER(M4774)),L4774-M4774,"")</f>
        <v/>
      </c>
    </row>
    <row r="4775">
      <c r="N4775">
        <f>IF(AND(ISNUMBER(L4775),ISNUMBER(M4775)),L4775-M4775,"")</f>
        <v/>
      </c>
    </row>
    <row r="4776">
      <c r="N4776">
        <f>IF(AND(ISNUMBER(L4776),ISNUMBER(M4776)),L4776-M4776,"")</f>
        <v/>
      </c>
    </row>
    <row r="4777">
      <c r="N4777">
        <f>IF(AND(ISNUMBER(L4777),ISNUMBER(M4777)),L4777-M4777,"")</f>
        <v/>
      </c>
    </row>
    <row r="4778">
      <c r="N4778">
        <f>IF(AND(ISNUMBER(L4778),ISNUMBER(M4778)),L4778-M4778,"")</f>
        <v/>
      </c>
    </row>
    <row r="4779">
      <c r="N4779">
        <f>IF(AND(ISNUMBER(L4779),ISNUMBER(M4779)),L4779-M4779,"")</f>
        <v/>
      </c>
    </row>
    <row r="4780">
      <c r="N4780">
        <f>IF(AND(ISNUMBER(L4780),ISNUMBER(M4780)),L4780-M4780,"")</f>
        <v/>
      </c>
    </row>
    <row r="4781">
      <c r="N4781">
        <f>IF(AND(ISNUMBER(L4781),ISNUMBER(M4781)),L4781-M4781,"")</f>
        <v/>
      </c>
    </row>
    <row r="4782">
      <c r="N4782">
        <f>IF(AND(ISNUMBER(L4782),ISNUMBER(M4782)),L4782-M4782,"")</f>
        <v/>
      </c>
    </row>
    <row r="4783">
      <c r="N4783">
        <f>IF(AND(ISNUMBER(L4783),ISNUMBER(M4783)),L4783-M4783,"")</f>
        <v/>
      </c>
    </row>
    <row r="4784">
      <c r="N4784">
        <f>IF(AND(ISNUMBER(L4784),ISNUMBER(M4784)),L4784-M4784,"")</f>
        <v/>
      </c>
    </row>
    <row r="4785">
      <c r="N4785">
        <f>IF(AND(ISNUMBER(L4785),ISNUMBER(M4785)),L4785-M4785,"")</f>
        <v/>
      </c>
    </row>
    <row r="4786">
      <c r="N4786">
        <f>IF(AND(ISNUMBER(L4786),ISNUMBER(M4786)),L4786-M4786,"")</f>
        <v/>
      </c>
    </row>
    <row r="4787">
      <c r="N4787">
        <f>IF(AND(ISNUMBER(L4787),ISNUMBER(M4787)),L4787-M4787,"")</f>
        <v/>
      </c>
    </row>
    <row r="4788">
      <c r="N4788">
        <f>IF(AND(ISNUMBER(L4788),ISNUMBER(M4788)),L4788-M4788,"")</f>
        <v/>
      </c>
    </row>
    <row r="4789">
      <c r="N4789">
        <f>IF(AND(ISNUMBER(L4789),ISNUMBER(M4789)),L4789-M4789,"")</f>
        <v/>
      </c>
    </row>
    <row r="4790">
      <c r="N4790">
        <f>IF(AND(ISNUMBER(L4790),ISNUMBER(M4790)),L4790-M4790,"")</f>
        <v/>
      </c>
    </row>
    <row r="4791">
      <c r="N4791">
        <f>IF(AND(ISNUMBER(L4791),ISNUMBER(M4791)),L4791-M4791,"")</f>
        <v/>
      </c>
    </row>
    <row r="4792">
      <c r="N4792">
        <f>IF(AND(ISNUMBER(L4792),ISNUMBER(M4792)),L4792-M4792,"")</f>
        <v/>
      </c>
    </row>
    <row r="4793">
      <c r="N4793">
        <f>IF(AND(ISNUMBER(L4793),ISNUMBER(M4793)),L4793-M4793,"")</f>
        <v/>
      </c>
    </row>
    <row r="4794">
      <c r="N4794">
        <f>IF(AND(ISNUMBER(L4794),ISNUMBER(M4794)),L4794-M4794,"")</f>
        <v/>
      </c>
    </row>
    <row r="4795">
      <c r="N4795">
        <f>IF(AND(ISNUMBER(L4795),ISNUMBER(M4795)),L4795-M4795,"")</f>
        <v/>
      </c>
    </row>
    <row r="4796">
      <c r="N4796">
        <f>IF(AND(ISNUMBER(L4796),ISNUMBER(M4796)),L4796-M4796,"")</f>
        <v/>
      </c>
    </row>
    <row r="4797">
      <c r="N4797">
        <f>IF(AND(ISNUMBER(L4797),ISNUMBER(M4797)),L4797-M4797,"")</f>
        <v/>
      </c>
    </row>
    <row r="4798">
      <c r="N4798">
        <f>IF(AND(ISNUMBER(L4798),ISNUMBER(M4798)),L4798-M4798,"")</f>
        <v/>
      </c>
    </row>
    <row r="4799">
      <c r="N4799">
        <f>IF(AND(ISNUMBER(L4799),ISNUMBER(M4799)),L4799-M4799,"")</f>
        <v/>
      </c>
    </row>
    <row r="4800">
      <c r="N4800">
        <f>IF(AND(ISNUMBER(L4800),ISNUMBER(M4800)),L4800-M4800,"")</f>
        <v/>
      </c>
    </row>
    <row r="4801">
      <c r="N4801">
        <f>IF(AND(ISNUMBER(L4801),ISNUMBER(M4801)),L4801-M4801,"")</f>
        <v/>
      </c>
    </row>
    <row r="4802">
      <c r="N4802">
        <f>IF(AND(ISNUMBER(L4802),ISNUMBER(M4802)),L4802-M4802,"")</f>
        <v/>
      </c>
    </row>
    <row r="4803">
      <c r="N4803">
        <f>IF(AND(ISNUMBER(L4803),ISNUMBER(M4803)),L4803-M4803,"")</f>
        <v/>
      </c>
    </row>
    <row r="4804">
      <c r="N4804">
        <f>IF(AND(ISNUMBER(L4804),ISNUMBER(M4804)),L4804-M4804,"")</f>
        <v/>
      </c>
    </row>
    <row r="4805">
      <c r="N4805">
        <f>IF(AND(ISNUMBER(L4805),ISNUMBER(M4805)),L4805-M4805,"")</f>
        <v/>
      </c>
    </row>
    <row r="4806">
      <c r="N4806">
        <f>IF(AND(ISNUMBER(L4806),ISNUMBER(M4806)),L4806-M4806,"")</f>
        <v/>
      </c>
    </row>
    <row r="4807">
      <c r="N4807">
        <f>IF(AND(ISNUMBER(L4807),ISNUMBER(M4807)),L4807-M4807,"")</f>
        <v/>
      </c>
    </row>
    <row r="4808">
      <c r="N4808">
        <f>IF(AND(ISNUMBER(L4808),ISNUMBER(M4808)),L4808-M4808,"")</f>
        <v/>
      </c>
    </row>
    <row r="4809">
      <c r="N4809">
        <f>IF(AND(ISNUMBER(L4809),ISNUMBER(M4809)),L4809-M4809,"")</f>
        <v/>
      </c>
    </row>
    <row r="4810">
      <c r="N4810">
        <f>IF(AND(ISNUMBER(L4810),ISNUMBER(M4810)),L4810-M4810,"")</f>
        <v/>
      </c>
    </row>
    <row r="4811">
      <c r="N4811">
        <f>IF(AND(ISNUMBER(L4811),ISNUMBER(M4811)),L4811-M4811,"")</f>
        <v/>
      </c>
    </row>
    <row r="4812">
      <c r="N4812">
        <f>IF(AND(ISNUMBER(L4812),ISNUMBER(M4812)),L4812-M4812,"")</f>
        <v/>
      </c>
    </row>
    <row r="4813">
      <c r="N4813">
        <f>IF(AND(ISNUMBER(L4813),ISNUMBER(M4813)),L4813-M4813,"")</f>
        <v/>
      </c>
    </row>
    <row r="4814">
      <c r="N4814">
        <f>IF(AND(ISNUMBER(L4814),ISNUMBER(M4814)),L4814-M4814,"")</f>
        <v/>
      </c>
    </row>
    <row r="4815">
      <c r="N4815">
        <f>IF(AND(ISNUMBER(L4815),ISNUMBER(M4815)),L4815-M4815,"")</f>
        <v/>
      </c>
    </row>
    <row r="4816">
      <c r="N4816">
        <f>IF(AND(ISNUMBER(L4816),ISNUMBER(M4816)),L4816-M4816,"")</f>
        <v/>
      </c>
    </row>
    <row r="4817">
      <c r="N4817">
        <f>IF(AND(ISNUMBER(L4817),ISNUMBER(M4817)),L4817-M4817,"")</f>
        <v/>
      </c>
    </row>
    <row r="4818">
      <c r="N4818">
        <f>IF(AND(ISNUMBER(L4818),ISNUMBER(M4818)),L4818-M4818,"")</f>
        <v/>
      </c>
    </row>
    <row r="4819">
      <c r="N4819">
        <f>IF(AND(ISNUMBER(L4819),ISNUMBER(M4819)),L4819-M4819,"")</f>
        <v/>
      </c>
    </row>
    <row r="4820">
      <c r="N4820">
        <f>IF(AND(ISNUMBER(L4820),ISNUMBER(M4820)),L4820-M4820,"")</f>
        <v/>
      </c>
    </row>
    <row r="4821">
      <c r="N4821">
        <f>IF(AND(ISNUMBER(L4821),ISNUMBER(M4821)),L4821-M4821,"")</f>
        <v/>
      </c>
    </row>
    <row r="4822">
      <c r="N4822">
        <f>IF(AND(ISNUMBER(L4822),ISNUMBER(M4822)),L4822-M4822,"")</f>
        <v/>
      </c>
    </row>
    <row r="4823">
      <c r="N4823">
        <f>IF(AND(ISNUMBER(L4823),ISNUMBER(M4823)),L4823-M4823,"")</f>
        <v/>
      </c>
    </row>
    <row r="4824">
      <c r="N4824">
        <f>IF(AND(ISNUMBER(L4824),ISNUMBER(M4824)),L4824-M4824,"")</f>
        <v/>
      </c>
    </row>
    <row r="4825">
      <c r="N4825">
        <f>IF(AND(ISNUMBER(L4825),ISNUMBER(M4825)),L4825-M4825,"")</f>
        <v/>
      </c>
    </row>
    <row r="4826">
      <c r="N4826">
        <f>IF(AND(ISNUMBER(L4826),ISNUMBER(M4826)),L4826-M4826,"")</f>
        <v/>
      </c>
    </row>
    <row r="4827">
      <c r="N4827">
        <f>IF(AND(ISNUMBER(L4827),ISNUMBER(M4827)),L4827-M4827,"")</f>
        <v/>
      </c>
    </row>
    <row r="4828">
      <c r="N4828">
        <f>IF(AND(ISNUMBER(L4828),ISNUMBER(M4828)),L4828-M4828,"")</f>
        <v/>
      </c>
    </row>
    <row r="4829">
      <c r="N4829">
        <f>IF(AND(ISNUMBER(L4829),ISNUMBER(M4829)),L4829-M4829,"")</f>
        <v/>
      </c>
    </row>
    <row r="4830">
      <c r="N4830">
        <f>IF(AND(ISNUMBER(L4830),ISNUMBER(M4830)),L4830-M4830,"")</f>
        <v/>
      </c>
    </row>
    <row r="4831">
      <c r="N4831">
        <f>IF(AND(ISNUMBER(L4831),ISNUMBER(M4831)),L4831-M4831,"")</f>
        <v/>
      </c>
    </row>
    <row r="4832">
      <c r="N4832">
        <f>IF(AND(ISNUMBER(L4832),ISNUMBER(M4832)),L4832-M4832,"")</f>
        <v/>
      </c>
    </row>
    <row r="4833">
      <c r="N4833">
        <f>IF(AND(ISNUMBER(L4833),ISNUMBER(M4833)),L4833-M4833,"")</f>
        <v/>
      </c>
    </row>
    <row r="4834">
      <c r="N4834">
        <f>IF(AND(ISNUMBER(L4834),ISNUMBER(M4834)),L4834-M4834,"")</f>
        <v/>
      </c>
    </row>
    <row r="4835">
      <c r="N4835">
        <f>IF(AND(ISNUMBER(L4835),ISNUMBER(M4835)),L4835-M4835,"")</f>
        <v/>
      </c>
    </row>
    <row r="4836">
      <c r="N4836">
        <f>IF(AND(ISNUMBER(L4836),ISNUMBER(M4836)),L4836-M4836,"")</f>
        <v/>
      </c>
    </row>
    <row r="4837">
      <c r="N4837">
        <f>IF(AND(ISNUMBER(L4837),ISNUMBER(M4837)),L4837-M4837,"")</f>
        <v/>
      </c>
    </row>
    <row r="4838">
      <c r="N4838">
        <f>IF(AND(ISNUMBER(L4838),ISNUMBER(M4838)),L4838-M4838,"")</f>
        <v/>
      </c>
    </row>
    <row r="4839">
      <c r="N4839">
        <f>IF(AND(ISNUMBER(L4839),ISNUMBER(M4839)),L4839-M4839,"")</f>
        <v/>
      </c>
    </row>
    <row r="4840">
      <c r="N4840">
        <f>IF(AND(ISNUMBER(L4840),ISNUMBER(M4840)),L4840-M4840,"")</f>
        <v/>
      </c>
    </row>
    <row r="4841">
      <c r="N4841">
        <f>IF(AND(ISNUMBER(L4841),ISNUMBER(M4841)),L4841-M4841,"")</f>
        <v/>
      </c>
    </row>
    <row r="4842">
      <c r="N4842">
        <f>IF(AND(ISNUMBER(L4842),ISNUMBER(M4842)),L4842-M4842,"")</f>
        <v/>
      </c>
    </row>
    <row r="4843">
      <c r="N4843">
        <f>IF(AND(ISNUMBER(L4843),ISNUMBER(M4843)),L4843-M4843,"")</f>
        <v/>
      </c>
    </row>
    <row r="4844">
      <c r="N4844">
        <f>IF(AND(ISNUMBER(L4844),ISNUMBER(M4844)),L4844-M4844,"")</f>
        <v/>
      </c>
    </row>
    <row r="4845">
      <c r="N4845">
        <f>IF(AND(ISNUMBER(L4845),ISNUMBER(M4845)),L4845-M4845,"")</f>
        <v/>
      </c>
    </row>
    <row r="4846">
      <c r="N4846">
        <f>IF(AND(ISNUMBER(L4846),ISNUMBER(M4846)),L4846-M4846,"")</f>
        <v/>
      </c>
    </row>
    <row r="4847">
      <c r="N4847">
        <f>IF(AND(ISNUMBER(L4847),ISNUMBER(M4847)),L4847-M4847,"")</f>
        <v/>
      </c>
    </row>
    <row r="4848">
      <c r="N4848">
        <f>IF(AND(ISNUMBER(L4848),ISNUMBER(M4848)),L4848-M4848,"")</f>
        <v/>
      </c>
    </row>
    <row r="4849">
      <c r="N4849">
        <f>IF(AND(ISNUMBER(L4849),ISNUMBER(M4849)),L4849-M4849,"")</f>
        <v/>
      </c>
    </row>
    <row r="4850">
      <c r="N4850">
        <f>IF(AND(ISNUMBER(L4850),ISNUMBER(M4850)),L4850-M4850,"")</f>
        <v/>
      </c>
    </row>
    <row r="4851">
      <c r="N4851">
        <f>IF(AND(ISNUMBER(L4851),ISNUMBER(M4851)),L4851-M4851,"")</f>
        <v/>
      </c>
    </row>
    <row r="4852">
      <c r="N4852">
        <f>IF(AND(ISNUMBER(L4852),ISNUMBER(M4852)),L4852-M4852,"")</f>
        <v/>
      </c>
    </row>
    <row r="4853">
      <c r="N4853">
        <f>IF(AND(ISNUMBER(L4853),ISNUMBER(M4853)),L4853-M4853,"")</f>
        <v/>
      </c>
    </row>
    <row r="4854">
      <c r="N4854">
        <f>IF(AND(ISNUMBER(L4854),ISNUMBER(M4854)),L4854-M4854,"")</f>
        <v/>
      </c>
    </row>
    <row r="4855">
      <c r="N4855">
        <f>IF(AND(ISNUMBER(L4855),ISNUMBER(M4855)),L4855-M4855,"")</f>
        <v/>
      </c>
    </row>
    <row r="4856">
      <c r="N4856">
        <f>IF(AND(ISNUMBER(L4856),ISNUMBER(M4856)),L4856-M4856,"")</f>
        <v/>
      </c>
    </row>
    <row r="4857">
      <c r="N4857">
        <f>IF(AND(ISNUMBER(L4857),ISNUMBER(M4857)),L4857-M4857,"")</f>
        <v/>
      </c>
    </row>
    <row r="4858">
      <c r="N4858">
        <f>IF(AND(ISNUMBER(L4858),ISNUMBER(M4858)),L4858-M4858,"")</f>
        <v/>
      </c>
    </row>
    <row r="4859">
      <c r="N4859">
        <f>IF(AND(ISNUMBER(L4859),ISNUMBER(M4859)),L4859-M4859,"")</f>
        <v/>
      </c>
    </row>
    <row r="4860">
      <c r="N4860">
        <f>IF(AND(ISNUMBER(L4860),ISNUMBER(M4860)),L4860-M4860,"")</f>
        <v/>
      </c>
    </row>
    <row r="4861">
      <c r="N4861">
        <f>IF(AND(ISNUMBER(L4861),ISNUMBER(M4861)),L4861-M4861,"")</f>
        <v/>
      </c>
    </row>
    <row r="4862">
      <c r="N4862">
        <f>IF(AND(ISNUMBER(L4862),ISNUMBER(M4862)),L4862-M4862,"")</f>
        <v/>
      </c>
    </row>
    <row r="4863">
      <c r="N4863">
        <f>IF(AND(ISNUMBER(L4863),ISNUMBER(M4863)),L4863-M4863,"")</f>
        <v/>
      </c>
    </row>
    <row r="4864">
      <c r="N4864">
        <f>IF(AND(ISNUMBER(L4864),ISNUMBER(M4864)),L4864-M4864,"")</f>
        <v/>
      </c>
    </row>
    <row r="4865">
      <c r="N4865">
        <f>IF(AND(ISNUMBER(L4865),ISNUMBER(M4865)),L4865-M4865,"")</f>
        <v/>
      </c>
    </row>
    <row r="4866">
      <c r="N4866">
        <f>IF(AND(ISNUMBER(L4866),ISNUMBER(M4866)),L4866-M4866,"")</f>
        <v/>
      </c>
    </row>
    <row r="4867">
      <c r="N4867">
        <f>IF(AND(ISNUMBER(L4867),ISNUMBER(M4867)),L4867-M4867,"")</f>
        <v/>
      </c>
    </row>
    <row r="4868">
      <c r="N4868">
        <f>IF(AND(ISNUMBER(L4868),ISNUMBER(M4868)),L4868-M4868,"")</f>
        <v/>
      </c>
    </row>
    <row r="4869">
      <c r="N4869">
        <f>IF(AND(ISNUMBER(L4869),ISNUMBER(M4869)),L4869-M4869,"")</f>
        <v/>
      </c>
    </row>
    <row r="4870">
      <c r="N4870">
        <f>IF(AND(ISNUMBER(L4870),ISNUMBER(M4870)),L4870-M4870,"")</f>
        <v/>
      </c>
    </row>
    <row r="4871">
      <c r="N4871">
        <f>IF(AND(ISNUMBER(L4871),ISNUMBER(M4871)),L4871-M4871,"")</f>
        <v/>
      </c>
    </row>
    <row r="4872">
      <c r="N4872">
        <f>IF(AND(ISNUMBER(L4872),ISNUMBER(M4872)),L4872-M4872,"")</f>
        <v/>
      </c>
    </row>
    <row r="4873">
      <c r="N4873">
        <f>IF(AND(ISNUMBER(L4873),ISNUMBER(M4873)),L4873-M4873,"")</f>
        <v/>
      </c>
    </row>
    <row r="4874">
      <c r="N4874">
        <f>IF(AND(ISNUMBER(L4874),ISNUMBER(M4874)),L4874-M4874,"")</f>
        <v/>
      </c>
    </row>
    <row r="4875">
      <c r="N4875">
        <f>IF(AND(ISNUMBER(L4875),ISNUMBER(M4875)),L4875-M4875,"")</f>
        <v/>
      </c>
    </row>
    <row r="4876">
      <c r="N4876">
        <f>IF(AND(ISNUMBER(L4876),ISNUMBER(M4876)),L4876-M4876,"")</f>
        <v/>
      </c>
    </row>
    <row r="4877">
      <c r="N4877">
        <f>IF(AND(ISNUMBER(L4877),ISNUMBER(M4877)),L4877-M4877,"")</f>
        <v/>
      </c>
    </row>
    <row r="4878">
      <c r="N4878">
        <f>IF(AND(ISNUMBER(L4878),ISNUMBER(M4878)),L4878-M4878,"")</f>
        <v/>
      </c>
    </row>
    <row r="4879">
      <c r="N4879">
        <f>IF(AND(ISNUMBER(L4879),ISNUMBER(M4879)),L4879-M4879,"")</f>
        <v/>
      </c>
    </row>
    <row r="4880">
      <c r="N4880">
        <f>IF(AND(ISNUMBER(L4880),ISNUMBER(M4880)),L4880-M4880,"")</f>
        <v/>
      </c>
    </row>
    <row r="4881">
      <c r="N4881">
        <f>IF(AND(ISNUMBER(L4881),ISNUMBER(M4881)),L4881-M4881,"")</f>
        <v/>
      </c>
    </row>
    <row r="4882">
      <c r="N4882">
        <f>IF(AND(ISNUMBER(L4882),ISNUMBER(M4882)),L4882-M4882,"")</f>
        <v/>
      </c>
    </row>
    <row r="4883">
      <c r="N4883">
        <f>IF(AND(ISNUMBER(L4883),ISNUMBER(M4883)),L4883-M4883,"")</f>
        <v/>
      </c>
    </row>
    <row r="4884">
      <c r="N4884">
        <f>IF(AND(ISNUMBER(L4884),ISNUMBER(M4884)),L4884-M4884,"")</f>
        <v/>
      </c>
    </row>
    <row r="4885">
      <c r="N4885">
        <f>IF(AND(ISNUMBER(L4885),ISNUMBER(M4885)),L4885-M4885,"")</f>
        <v/>
      </c>
    </row>
    <row r="4886">
      <c r="N4886">
        <f>IF(AND(ISNUMBER(L4886),ISNUMBER(M4886)),L4886-M4886,"")</f>
        <v/>
      </c>
    </row>
    <row r="4887">
      <c r="N4887">
        <f>IF(AND(ISNUMBER(L4887),ISNUMBER(M4887)),L4887-M4887,"")</f>
        <v/>
      </c>
    </row>
    <row r="4888">
      <c r="N4888">
        <f>IF(AND(ISNUMBER(L4888),ISNUMBER(M4888)),L4888-M4888,"")</f>
        <v/>
      </c>
    </row>
    <row r="4889">
      <c r="N4889">
        <f>IF(AND(ISNUMBER(L4889),ISNUMBER(M4889)),L4889-M4889,"")</f>
        <v/>
      </c>
    </row>
    <row r="4890">
      <c r="N4890">
        <f>IF(AND(ISNUMBER(L4890),ISNUMBER(M4890)),L4890-M4890,"")</f>
        <v/>
      </c>
    </row>
    <row r="4891">
      <c r="N4891">
        <f>IF(AND(ISNUMBER(L4891),ISNUMBER(M4891)),L4891-M4891,"")</f>
        <v/>
      </c>
    </row>
    <row r="4892">
      <c r="N4892">
        <f>IF(AND(ISNUMBER(L4892),ISNUMBER(M4892)),L4892-M4892,"")</f>
        <v/>
      </c>
    </row>
    <row r="4893">
      <c r="N4893">
        <f>IF(AND(ISNUMBER(L4893),ISNUMBER(M4893)),L4893-M4893,"")</f>
        <v/>
      </c>
    </row>
    <row r="4894">
      <c r="N4894">
        <f>IF(AND(ISNUMBER(L4894),ISNUMBER(M4894)),L4894-M4894,"")</f>
        <v/>
      </c>
    </row>
    <row r="4895">
      <c r="N4895">
        <f>IF(AND(ISNUMBER(L4895),ISNUMBER(M4895)),L4895-M4895,"")</f>
        <v/>
      </c>
    </row>
    <row r="4896">
      <c r="N4896">
        <f>IF(AND(ISNUMBER(L4896),ISNUMBER(M4896)),L4896-M4896,"")</f>
        <v/>
      </c>
    </row>
    <row r="4897">
      <c r="N4897">
        <f>IF(AND(ISNUMBER(L4897),ISNUMBER(M4897)),L4897-M4897,"")</f>
        <v/>
      </c>
    </row>
    <row r="4898">
      <c r="N4898">
        <f>IF(AND(ISNUMBER(L4898),ISNUMBER(M4898)),L4898-M4898,"")</f>
        <v/>
      </c>
    </row>
    <row r="4899">
      <c r="N4899">
        <f>IF(AND(ISNUMBER(L4899),ISNUMBER(M4899)),L4899-M4899,"")</f>
        <v/>
      </c>
    </row>
    <row r="4900">
      <c r="N4900">
        <f>IF(AND(ISNUMBER(L4900),ISNUMBER(M4900)),L4900-M4900,"")</f>
        <v/>
      </c>
    </row>
    <row r="4901">
      <c r="N4901">
        <f>IF(AND(ISNUMBER(L4901),ISNUMBER(M4901)),L4901-M4901,"")</f>
        <v/>
      </c>
    </row>
    <row r="4902">
      <c r="N4902">
        <f>IF(AND(ISNUMBER(L4902),ISNUMBER(M4902)),L4902-M4902,"")</f>
        <v/>
      </c>
    </row>
    <row r="4903">
      <c r="N4903">
        <f>IF(AND(ISNUMBER(L4903),ISNUMBER(M4903)),L4903-M4903,"")</f>
        <v/>
      </c>
    </row>
    <row r="4904">
      <c r="N4904">
        <f>IF(AND(ISNUMBER(L4904),ISNUMBER(M4904)),L4904-M4904,"")</f>
        <v/>
      </c>
    </row>
    <row r="4905">
      <c r="N4905">
        <f>IF(AND(ISNUMBER(L4905),ISNUMBER(M4905)),L4905-M4905,"")</f>
        <v/>
      </c>
    </row>
    <row r="4906">
      <c r="N4906">
        <f>IF(AND(ISNUMBER(L4906),ISNUMBER(M4906)),L4906-M4906,"")</f>
        <v/>
      </c>
    </row>
    <row r="4907">
      <c r="N4907">
        <f>IF(AND(ISNUMBER(L4907),ISNUMBER(M4907)),L4907-M4907,"")</f>
        <v/>
      </c>
    </row>
    <row r="4908">
      <c r="N4908">
        <f>IF(AND(ISNUMBER(L4908),ISNUMBER(M4908)),L4908-M4908,"")</f>
        <v/>
      </c>
    </row>
    <row r="4909">
      <c r="N4909">
        <f>IF(AND(ISNUMBER(L4909),ISNUMBER(M4909)),L4909-M4909,"")</f>
        <v/>
      </c>
    </row>
    <row r="4910">
      <c r="N4910">
        <f>IF(AND(ISNUMBER(L4910),ISNUMBER(M4910)),L4910-M4910,"")</f>
        <v/>
      </c>
    </row>
    <row r="4911">
      <c r="N4911">
        <f>IF(AND(ISNUMBER(L4911),ISNUMBER(M4911)),L4911-M4911,"")</f>
        <v/>
      </c>
    </row>
    <row r="4912">
      <c r="N4912">
        <f>IF(AND(ISNUMBER(L4912),ISNUMBER(M4912)),L4912-M4912,"")</f>
        <v/>
      </c>
    </row>
    <row r="4913">
      <c r="N4913">
        <f>IF(AND(ISNUMBER(L4913),ISNUMBER(M4913)),L4913-M4913,"")</f>
        <v/>
      </c>
    </row>
    <row r="4914">
      <c r="N4914">
        <f>IF(AND(ISNUMBER(L4914),ISNUMBER(M4914)),L4914-M4914,"")</f>
        <v/>
      </c>
    </row>
    <row r="4915">
      <c r="N4915">
        <f>IF(AND(ISNUMBER(L4915),ISNUMBER(M4915)),L4915-M4915,"")</f>
        <v/>
      </c>
    </row>
    <row r="4916">
      <c r="N4916">
        <f>IF(AND(ISNUMBER(L4916),ISNUMBER(M4916)),L4916-M4916,"")</f>
        <v/>
      </c>
    </row>
    <row r="4917">
      <c r="N4917">
        <f>IF(AND(ISNUMBER(L4917),ISNUMBER(M4917)),L4917-M4917,"")</f>
        <v/>
      </c>
    </row>
    <row r="4918">
      <c r="N4918">
        <f>IF(AND(ISNUMBER(L4918),ISNUMBER(M4918)),L4918-M4918,"")</f>
        <v/>
      </c>
    </row>
    <row r="4919">
      <c r="N4919">
        <f>IF(AND(ISNUMBER(L4919),ISNUMBER(M4919)),L4919-M4919,"")</f>
        <v/>
      </c>
    </row>
    <row r="4920">
      <c r="N4920">
        <f>IF(AND(ISNUMBER(L4920),ISNUMBER(M4920)),L4920-M4920,"")</f>
        <v/>
      </c>
    </row>
    <row r="4921">
      <c r="N4921">
        <f>IF(AND(ISNUMBER(L4921),ISNUMBER(M4921)),L4921-M4921,"")</f>
        <v/>
      </c>
    </row>
    <row r="4922">
      <c r="N4922">
        <f>IF(AND(ISNUMBER(L4922),ISNUMBER(M4922)),L4922-M4922,"")</f>
        <v/>
      </c>
    </row>
    <row r="4923">
      <c r="N4923">
        <f>IF(AND(ISNUMBER(L4923),ISNUMBER(M4923)),L4923-M4923,"")</f>
        <v/>
      </c>
    </row>
    <row r="4924">
      <c r="N4924">
        <f>IF(AND(ISNUMBER(L4924),ISNUMBER(M4924)),L4924-M4924,"")</f>
        <v/>
      </c>
    </row>
    <row r="4925">
      <c r="N4925">
        <f>IF(AND(ISNUMBER(L4925),ISNUMBER(M4925)),L4925-M4925,"")</f>
        <v/>
      </c>
    </row>
    <row r="4926">
      <c r="N4926">
        <f>IF(AND(ISNUMBER(L4926),ISNUMBER(M4926)),L4926-M4926,"")</f>
        <v/>
      </c>
    </row>
    <row r="4927">
      <c r="N4927">
        <f>IF(AND(ISNUMBER(L4927),ISNUMBER(M4927)),L4927-M4927,"")</f>
        <v/>
      </c>
    </row>
    <row r="4928">
      <c r="N4928">
        <f>IF(AND(ISNUMBER(L4928),ISNUMBER(M4928)),L4928-M4928,"")</f>
        <v/>
      </c>
    </row>
    <row r="4929">
      <c r="N4929">
        <f>IF(AND(ISNUMBER(L4929),ISNUMBER(M4929)),L4929-M4929,"")</f>
        <v/>
      </c>
    </row>
    <row r="4930">
      <c r="N4930">
        <f>IF(AND(ISNUMBER(L4930),ISNUMBER(M4930)),L4930-M4930,"")</f>
        <v/>
      </c>
    </row>
    <row r="4931">
      <c r="N4931">
        <f>IF(AND(ISNUMBER(L4931),ISNUMBER(M4931)),L4931-M4931,"")</f>
        <v/>
      </c>
    </row>
    <row r="4932">
      <c r="N4932">
        <f>IF(AND(ISNUMBER(L4932),ISNUMBER(M4932)),L4932-M4932,"")</f>
        <v/>
      </c>
    </row>
    <row r="4933">
      <c r="N4933">
        <f>IF(AND(ISNUMBER(L4933),ISNUMBER(M4933)),L4933-M4933,"")</f>
        <v/>
      </c>
    </row>
    <row r="4934">
      <c r="N4934">
        <f>IF(AND(ISNUMBER(L4934),ISNUMBER(M4934)),L4934-M4934,"")</f>
        <v/>
      </c>
    </row>
    <row r="4935">
      <c r="N4935">
        <f>IF(AND(ISNUMBER(L4935),ISNUMBER(M4935)),L4935-M4935,"")</f>
        <v/>
      </c>
    </row>
    <row r="4936">
      <c r="N4936">
        <f>IF(AND(ISNUMBER(L4936),ISNUMBER(M4936)),L4936-M4936,"")</f>
        <v/>
      </c>
    </row>
    <row r="4937">
      <c r="N4937">
        <f>IF(AND(ISNUMBER(L4937),ISNUMBER(M4937)),L4937-M4937,"")</f>
        <v/>
      </c>
    </row>
    <row r="4938">
      <c r="N4938">
        <f>IF(AND(ISNUMBER(L4938),ISNUMBER(M4938)),L4938-M4938,"")</f>
        <v/>
      </c>
    </row>
    <row r="4939">
      <c r="N4939">
        <f>IF(AND(ISNUMBER(L4939),ISNUMBER(M4939)),L4939-M4939,"")</f>
        <v/>
      </c>
    </row>
    <row r="4940">
      <c r="N4940">
        <f>IF(AND(ISNUMBER(L4940),ISNUMBER(M4940)),L4940-M4940,"")</f>
        <v/>
      </c>
    </row>
    <row r="4941">
      <c r="N4941">
        <f>IF(AND(ISNUMBER(L4941),ISNUMBER(M4941)),L4941-M4941,"")</f>
        <v/>
      </c>
    </row>
    <row r="4942">
      <c r="N4942">
        <f>IF(AND(ISNUMBER(L4942),ISNUMBER(M4942)),L4942-M4942,"")</f>
        <v/>
      </c>
    </row>
    <row r="4943">
      <c r="N4943">
        <f>IF(AND(ISNUMBER(L4943),ISNUMBER(M4943)),L4943-M4943,"")</f>
        <v/>
      </c>
    </row>
    <row r="4944">
      <c r="N4944">
        <f>IF(AND(ISNUMBER(L4944),ISNUMBER(M4944)),L4944-M4944,"")</f>
        <v/>
      </c>
    </row>
    <row r="4945">
      <c r="N4945">
        <f>IF(AND(ISNUMBER(L4945),ISNUMBER(M4945)),L4945-M4945,"")</f>
        <v/>
      </c>
    </row>
    <row r="4946">
      <c r="N4946">
        <f>IF(AND(ISNUMBER(L4946),ISNUMBER(M4946)),L4946-M4946,"")</f>
        <v/>
      </c>
    </row>
    <row r="4947">
      <c r="N4947">
        <f>IF(AND(ISNUMBER(L4947),ISNUMBER(M4947)),L4947-M4947,"")</f>
        <v/>
      </c>
    </row>
    <row r="4948">
      <c r="N4948">
        <f>IF(AND(ISNUMBER(L4948),ISNUMBER(M4948)),L4948-M4948,"")</f>
        <v/>
      </c>
    </row>
    <row r="4949">
      <c r="N4949">
        <f>IF(AND(ISNUMBER(L4949),ISNUMBER(M4949)),L4949-M4949,"")</f>
        <v/>
      </c>
    </row>
    <row r="4950">
      <c r="N4950">
        <f>IF(AND(ISNUMBER(L4950),ISNUMBER(M4950)),L4950-M4950,"")</f>
        <v/>
      </c>
    </row>
    <row r="4951">
      <c r="N4951">
        <f>IF(AND(ISNUMBER(L4951),ISNUMBER(M4951)),L4951-M4951,"")</f>
        <v/>
      </c>
    </row>
    <row r="4952">
      <c r="N4952">
        <f>IF(AND(ISNUMBER(L4952),ISNUMBER(M4952)),L4952-M4952,"")</f>
        <v/>
      </c>
    </row>
    <row r="4953">
      <c r="N4953">
        <f>IF(AND(ISNUMBER(L4953),ISNUMBER(M4953)),L4953-M4953,"")</f>
        <v/>
      </c>
    </row>
    <row r="4954">
      <c r="N4954">
        <f>IF(AND(ISNUMBER(L4954),ISNUMBER(M4954)),L4954-M4954,"")</f>
        <v/>
      </c>
    </row>
    <row r="4955">
      <c r="N4955">
        <f>IF(AND(ISNUMBER(L4955),ISNUMBER(M4955)),L4955-M4955,"")</f>
        <v/>
      </c>
    </row>
    <row r="4956">
      <c r="N4956">
        <f>IF(AND(ISNUMBER(L4956),ISNUMBER(M4956)),L4956-M4956,"")</f>
        <v/>
      </c>
    </row>
    <row r="4957">
      <c r="N4957">
        <f>IF(AND(ISNUMBER(L4957),ISNUMBER(M4957)),L4957-M4957,"")</f>
        <v/>
      </c>
    </row>
    <row r="4958">
      <c r="N4958">
        <f>IF(AND(ISNUMBER(L4958),ISNUMBER(M4958)),L4958-M4958,"")</f>
        <v/>
      </c>
    </row>
    <row r="4959">
      <c r="N4959">
        <f>IF(AND(ISNUMBER(L4959),ISNUMBER(M4959)),L4959-M4959,"")</f>
        <v/>
      </c>
    </row>
    <row r="4960">
      <c r="N4960">
        <f>IF(AND(ISNUMBER(L4960),ISNUMBER(M4960)),L4960-M4960,"")</f>
        <v/>
      </c>
    </row>
    <row r="4961">
      <c r="N4961">
        <f>IF(AND(ISNUMBER(L4961),ISNUMBER(M4961)),L4961-M4961,"")</f>
        <v/>
      </c>
    </row>
    <row r="4962">
      <c r="N4962">
        <f>IF(AND(ISNUMBER(L4962),ISNUMBER(M4962)),L4962-M4962,"")</f>
        <v/>
      </c>
    </row>
    <row r="4963">
      <c r="N4963">
        <f>IF(AND(ISNUMBER(L4963),ISNUMBER(M4963)),L4963-M4963,"")</f>
        <v/>
      </c>
    </row>
    <row r="4964">
      <c r="N4964">
        <f>IF(AND(ISNUMBER(L4964),ISNUMBER(M4964)),L4964-M4964,"")</f>
        <v/>
      </c>
    </row>
    <row r="4965">
      <c r="N4965">
        <f>IF(AND(ISNUMBER(L4965),ISNUMBER(M4965)),L4965-M4965,"")</f>
        <v/>
      </c>
    </row>
    <row r="4966">
      <c r="N4966">
        <f>IF(AND(ISNUMBER(L4966),ISNUMBER(M4966)),L4966-M4966,"")</f>
        <v/>
      </c>
    </row>
    <row r="4967">
      <c r="N4967">
        <f>IF(AND(ISNUMBER(L4967),ISNUMBER(M4967)),L4967-M4967,"")</f>
        <v/>
      </c>
    </row>
    <row r="4968">
      <c r="N4968">
        <f>IF(AND(ISNUMBER(L4968),ISNUMBER(M4968)),L4968-M4968,"")</f>
        <v/>
      </c>
    </row>
    <row r="4969">
      <c r="N4969">
        <f>IF(AND(ISNUMBER(L4969),ISNUMBER(M4969)),L4969-M4969,"")</f>
        <v/>
      </c>
    </row>
    <row r="4970">
      <c r="N4970">
        <f>IF(AND(ISNUMBER(L4970),ISNUMBER(M4970)),L4970-M4970,"")</f>
        <v/>
      </c>
    </row>
    <row r="4971">
      <c r="N4971">
        <f>IF(AND(ISNUMBER(L4971),ISNUMBER(M4971)),L4971-M4971,"")</f>
        <v/>
      </c>
    </row>
    <row r="4972">
      <c r="N4972">
        <f>IF(AND(ISNUMBER(L4972),ISNUMBER(M4972)),L4972-M4972,"")</f>
        <v/>
      </c>
    </row>
    <row r="4973">
      <c r="N4973">
        <f>IF(AND(ISNUMBER(L4973),ISNUMBER(M4973)),L4973-M4973,"")</f>
        <v/>
      </c>
    </row>
    <row r="4974">
      <c r="N4974">
        <f>IF(AND(ISNUMBER(L4974),ISNUMBER(M4974)),L4974-M4974,"")</f>
        <v/>
      </c>
    </row>
    <row r="4975">
      <c r="N4975">
        <f>IF(AND(ISNUMBER(L4975),ISNUMBER(M4975)),L4975-M4975,"")</f>
        <v/>
      </c>
    </row>
    <row r="4976">
      <c r="N4976">
        <f>IF(AND(ISNUMBER(L4976),ISNUMBER(M4976)),L4976-M4976,"")</f>
        <v/>
      </c>
    </row>
    <row r="4977">
      <c r="N4977">
        <f>IF(AND(ISNUMBER(L4977),ISNUMBER(M4977)),L4977-M4977,"")</f>
        <v/>
      </c>
    </row>
    <row r="4978">
      <c r="N4978">
        <f>IF(AND(ISNUMBER(L4978),ISNUMBER(M4978)),L4978-M4978,"")</f>
        <v/>
      </c>
    </row>
    <row r="4979">
      <c r="N4979">
        <f>IF(AND(ISNUMBER(L4979),ISNUMBER(M4979)),L4979-M4979,"")</f>
        <v/>
      </c>
    </row>
    <row r="4980">
      <c r="N4980">
        <f>IF(AND(ISNUMBER(L4980),ISNUMBER(M4980)),L4980-M4980,"")</f>
        <v/>
      </c>
    </row>
    <row r="4981">
      <c r="N4981">
        <f>IF(AND(ISNUMBER(L4981),ISNUMBER(M4981)),L4981-M4981,"")</f>
        <v/>
      </c>
    </row>
    <row r="4982">
      <c r="N4982">
        <f>IF(AND(ISNUMBER(L4982),ISNUMBER(M4982)),L4982-M4982,"")</f>
        <v/>
      </c>
    </row>
    <row r="4983">
      <c r="N4983">
        <f>IF(AND(ISNUMBER(L4983),ISNUMBER(M4983)),L4983-M4983,"")</f>
        <v/>
      </c>
    </row>
    <row r="4984">
      <c r="N4984">
        <f>IF(AND(ISNUMBER(L4984),ISNUMBER(M4984)),L4984-M4984,"")</f>
        <v/>
      </c>
    </row>
    <row r="4985">
      <c r="N4985">
        <f>IF(AND(ISNUMBER(L4985),ISNUMBER(M4985)),L4985-M4985,"")</f>
        <v/>
      </c>
    </row>
    <row r="4986">
      <c r="N4986">
        <f>IF(AND(ISNUMBER(L4986),ISNUMBER(M4986)),L4986-M4986,"")</f>
        <v/>
      </c>
    </row>
    <row r="4987">
      <c r="N4987">
        <f>IF(AND(ISNUMBER(L4987),ISNUMBER(M4987)),L4987-M4987,"")</f>
        <v/>
      </c>
    </row>
    <row r="4988">
      <c r="N4988">
        <f>IF(AND(ISNUMBER(L4988),ISNUMBER(M4988)),L4988-M4988,"")</f>
        <v/>
      </c>
    </row>
    <row r="4989">
      <c r="N4989">
        <f>IF(AND(ISNUMBER(L4989),ISNUMBER(M4989)),L4989-M4989,"")</f>
        <v/>
      </c>
    </row>
    <row r="4990">
      <c r="N4990">
        <f>IF(AND(ISNUMBER(L4990),ISNUMBER(M4990)),L4990-M4990,"")</f>
        <v/>
      </c>
    </row>
    <row r="4991">
      <c r="N4991">
        <f>IF(AND(ISNUMBER(L4991),ISNUMBER(M4991)),L4991-M4991,"")</f>
        <v/>
      </c>
    </row>
    <row r="4992">
      <c r="N4992">
        <f>IF(AND(ISNUMBER(L4992),ISNUMBER(M4992)),L4992-M4992,"")</f>
        <v/>
      </c>
    </row>
    <row r="4993">
      <c r="N4993">
        <f>IF(AND(ISNUMBER(L4993),ISNUMBER(M4993)),L4993-M4993,"")</f>
        <v/>
      </c>
    </row>
    <row r="4994">
      <c r="N4994">
        <f>IF(AND(ISNUMBER(L4994),ISNUMBER(M4994)),L4994-M4994,"")</f>
        <v/>
      </c>
    </row>
    <row r="4995">
      <c r="N4995">
        <f>IF(AND(ISNUMBER(L4995),ISNUMBER(M4995)),L4995-M4995,"")</f>
        <v/>
      </c>
    </row>
    <row r="4996">
      <c r="N4996">
        <f>IF(AND(ISNUMBER(L4996),ISNUMBER(M4996)),L4996-M4996,"")</f>
        <v/>
      </c>
    </row>
    <row r="4997">
      <c r="N4997">
        <f>IF(AND(ISNUMBER(L4997),ISNUMBER(M4997)),L4997-M4997,"")</f>
        <v/>
      </c>
    </row>
    <row r="4998">
      <c r="N4998">
        <f>IF(AND(ISNUMBER(L4998),ISNUMBER(M4998)),L4998-M4998,"")</f>
        <v/>
      </c>
    </row>
    <row r="4999">
      <c r="N4999">
        <f>IF(AND(ISNUMBER(L4999),ISNUMBER(M4999)),L4999-M4999,"")</f>
        <v/>
      </c>
    </row>
    <row r="5000">
      <c r="N5000">
        <f>IF(AND(ISNUMBER(L5000),ISNUMBER(M5000)),L5000-M5000,"")</f>
        <v/>
      </c>
    </row>
    <row r="5001">
      <c r="N5001">
        <f>IF(AND(ISNUMBER(L5001),ISNUMBER(M5001)),L5001-M5001,"")</f>
        <v/>
      </c>
    </row>
    <row r="5002">
      <c r="N5002">
        <f>IF(AND(ISNUMBER(L5002),ISNUMBER(M5002)),L5002-M5002,"")</f>
        <v/>
      </c>
    </row>
    <row r="5003">
      <c r="N5003">
        <f>IF(AND(ISNUMBER(L5003),ISNUMBER(M5003)),L5003-M5003,"")</f>
        <v/>
      </c>
    </row>
    <row r="5004">
      <c r="N5004">
        <f>IF(AND(ISNUMBER(L5004),ISNUMBER(M5004)),L5004-M5004,"")</f>
        <v/>
      </c>
    </row>
    <row r="5005">
      <c r="N5005">
        <f>IF(AND(ISNUMBER(L5005),ISNUMBER(M5005)),L5005-M5005,"")</f>
        <v/>
      </c>
    </row>
    <row r="5006">
      <c r="N5006">
        <f>IF(AND(ISNUMBER(L5006),ISNUMBER(M5006)),L5006-M5006,"")</f>
        <v/>
      </c>
    </row>
    <row r="5007">
      <c r="N5007">
        <f>IF(AND(ISNUMBER(L5007),ISNUMBER(M5007)),L5007-M5007,"")</f>
        <v/>
      </c>
    </row>
    <row r="5008">
      <c r="N5008">
        <f>IF(AND(ISNUMBER(L5008),ISNUMBER(M5008)),L5008-M5008,"")</f>
        <v/>
      </c>
    </row>
    <row r="5009">
      <c r="N5009">
        <f>IF(AND(ISNUMBER(L5009),ISNUMBER(M5009)),L5009-M5009,"")</f>
        <v/>
      </c>
    </row>
    <row r="5010">
      <c r="N5010">
        <f>IF(AND(ISNUMBER(L5010),ISNUMBER(M5010)),L5010-M5010,"")</f>
        <v/>
      </c>
    </row>
    <row r="5011">
      <c r="N5011">
        <f>IF(AND(ISNUMBER(L5011),ISNUMBER(M5011)),L5011-M5011,"")</f>
        <v/>
      </c>
    </row>
    <row r="5012">
      <c r="N5012">
        <f>IF(AND(ISNUMBER(L5012),ISNUMBER(M5012)),L5012-M5012,"")</f>
        <v/>
      </c>
    </row>
    <row r="5013">
      <c r="N5013">
        <f>IF(AND(ISNUMBER(L5013),ISNUMBER(M5013)),L5013-M5013,"")</f>
        <v/>
      </c>
    </row>
    <row r="5014">
      <c r="N5014">
        <f>IF(AND(ISNUMBER(L5014),ISNUMBER(M5014)),L5014-M5014,"")</f>
        <v/>
      </c>
    </row>
    <row r="5015">
      <c r="N5015">
        <f>IF(AND(ISNUMBER(L5015),ISNUMBER(M5015)),L5015-M5015,"")</f>
        <v/>
      </c>
    </row>
    <row r="5016">
      <c r="N5016">
        <f>IF(AND(ISNUMBER(L5016),ISNUMBER(M5016)),L5016-M5016,"")</f>
        <v/>
      </c>
    </row>
    <row r="5017">
      <c r="N5017">
        <f>IF(AND(ISNUMBER(L5017),ISNUMBER(M5017)),L5017-M5017,"")</f>
        <v/>
      </c>
    </row>
    <row r="5018">
      <c r="N5018">
        <f>IF(AND(ISNUMBER(L5018),ISNUMBER(M5018)),L5018-M5018,"")</f>
        <v/>
      </c>
    </row>
    <row r="5019">
      <c r="N5019">
        <f>IF(AND(ISNUMBER(L5019),ISNUMBER(M5019)),L5019-M5019,"")</f>
        <v/>
      </c>
    </row>
    <row r="5020">
      <c r="N5020">
        <f>IF(AND(ISNUMBER(L5020),ISNUMBER(M5020)),L5020-M5020,"")</f>
        <v/>
      </c>
    </row>
    <row r="5021">
      <c r="N5021">
        <f>IF(AND(ISNUMBER(L5021),ISNUMBER(M5021)),L5021-M5021,"")</f>
        <v/>
      </c>
    </row>
    <row r="5022">
      <c r="N5022">
        <f>IF(AND(ISNUMBER(L5022),ISNUMBER(M5022)),L5022-M5022,"")</f>
        <v/>
      </c>
    </row>
    <row r="5023">
      <c r="N5023">
        <f>IF(AND(ISNUMBER(L5023),ISNUMBER(M5023)),L5023-M5023,"")</f>
        <v/>
      </c>
    </row>
    <row r="5024">
      <c r="N5024">
        <f>IF(AND(ISNUMBER(L5024),ISNUMBER(M5024)),L5024-M5024,"")</f>
        <v/>
      </c>
    </row>
    <row r="5025">
      <c r="N5025">
        <f>IF(AND(ISNUMBER(L5025),ISNUMBER(M5025)),L5025-M5025,"")</f>
        <v/>
      </c>
    </row>
    <row r="5026">
      <c r="N5026">
        <f>IF(AND(ISNUMBER(L5026),ISNUMBER(M5026)),L5026-M5026,"")</f>
        <v/>
      </c>
    </row>
    <row r="5027">
      <c r="N5027">
        <f>IF(AND(ISNUMBER(L5027),ISNUMBER(M5027)),L5027-M5027,"")</f>
        <v/>
      </c>
    </row>
    <row r="5028">
      <c r="N5028">
        <f>IF(AND(ISNUMBER(L5028),ISNUMBER(M5028)),L5028-M5028,"")</f>
        <v/>
      </c>
    </row>
    <row r="5029">
      <c r="N5029">
        <f>IF(AND(ISNUMBER(L5029),ISNUMBER(M5029)),L5029-M5029,"")</f>
        <v/>
      </c>
    </row>
    <row r="5030">
      <c r="N5030">
        <f>IF(AND(ISNUMBER(L5030),ISNUMBER(M5030)),L5030-M5030,"")</f>
        <v/>
      </c>
    </row>
    <row r="5031">
      <c r="N5031">
        <f>IF(AND(ISNUMBER(L5031),ISNUMBER(M5031)),L5031-M5031,"")</f>
        <v/>
      </c>
    </row>
    <row r="5032">
      <c r="N5032">
        <f>IF(AND(ISNUMBER(L5032),ISNUMBER(M5032)),L5032-M5032,"")</f>
        <v/>
      </c>
    </row>
    <row r="5033">
      <c r="N5033">
        <f>IF(AND(ISNUMBER(L5033),ISNUMBER(M5033)),L5033-M5033,"")</f>
        <v/>
      </c>
    </row>
    <row r="5034">
      <c r="N5034">
        <f>IF(AND(ISNUMBER(L5034),ISNUMBER(M5034)),L5034-M5034,"")</f>
        <v/>
      </c>
    </row>
    <row r="5035">
      <c r="N5035">
        <f>IF(AND(ISNUMBER(L5035),ISNUMBER(M5035)),L5035-M5035,"")</f>
        <v/>
      </c>
    </row>
    <row r="5036">
      <c r="N5036">
        <f>IF(AND(ISNUMBER(L5036),ISNUMBER(M5036)),L5036-M5036,"")</f>
        <v/>
      </c>
    </row>
    <row r="5037">
      <c r="N5037">
        <f>IF(AND(ISNUMBER(L5037),ISNUMBER(M5037)),L5037-M5037,"")</f>
        <v/>
      </c>
    </row>
    <row r="5038">
      <c r="N5038">
        <f>IF(AND(ISNUMBER(L5038),ISNUMBER(M5038)),L5038-M5038,"")</f>
        <v/>
      </c>
    </row>
    <row r="5039">
      <c r="N5039">
        <f>IF(AND(ISNUMBER(L5039),ISNUMBER(M5039)),L5039-M5039,"")</f>
        <v/>
      </c>
    </row>
    <row r="5040">
      <c r="N5040">
        <f>IF(AND(ISNUMBER(L5040),ISNUMBER(M5040)),L5040-M5040,"")</f>
        <v/>
      </c>
    </row>
    <row r="5041">
      <c r="N5041">
        <f>IF(AND(ISNUMBER(L5041),ISNUMBER(M5041)),L5041-M5041,"")</f>
        <v/>
      </c>
    </row>
    <row r="5042">
      <c r="N5042">
        <f>IF(AND(ISNUMBER(L5042),ISNUMBER(M5042)),L5042-M5042,"")</f>
        <v/>
      </c>
    </row>
    <row r="5043">
      <c r="N5043">
        <f>IF(AND(ISNUMBER(L5043),ISNUMBER(M5043)),L5043-M5043,"")</f>
        <v/>
      </c>
    </row>
    <row r="5044">
      <c r="N5044">
        <f>IF(AND(ISNUMBER(L5044),ISNUMBER(M5044)),L5044-M5044,"")</f>
        <v/>
      </c>
    </row>
    <row r="5045">
      <c r="N5045">
        <f>IF(AND(ISNUMBER(L5045),ISNUMBER(M5045)),L5045-M5045,"")</f>
        <v/>
      </c>
    </row>
    <row r="5046">
      <c r="N5046">
        <f>IF(AND(ISNUMBER(L5046),ISNUMBER(M5046)),L5046-M5046,"")</f>
        <v/>
      </c>
    </row>
    <row r="5047">
      <c r="N5047">
        <f>IF(AND(ISNUMBER(L5047),ISNUMBER(M5047)),L5047-M5047,"")</f>
        <v/>
      </c>
    </row>
    <row r="5048">
      <c r="N5048">
        <f>IF(AND(ISNUMBER(L5048),ISNUMBER(M5048)),L5048-M5048,"")</f>
        <v/>
      </c>
    </row>
    <row r="5049">
      <c r="N5049">
        <f>IF(AND(ISNUMBER(L5049),ISNUMBER(M5049)),L5049-M5049,"")</f>
        <v/>
      </c>
    </row>
    <row r="5050">
      <c r="N5050">
        <f>IF(AND(ISNUMBER(L5050),ISNUMBER(M5050)),L5050-M5050,"")</f>
        <v/>
      </c>
    </row>
    <row r="5051">
      <c r="N5051">
        <f>IF(AND(ISNUMBER(L5051),ISNUMBER(M5051)),L5051-M5051,"")</f>
        <v/>
      </c>
    </row>
    <row r="5052">
      <c r="N5052">
        <f>IF(AND(ISNUMBER(L5052),ISNUMBER(M5052)),L5052-M5052,"")</f>
        <v/>
      </c>
    </row>
    <row r="5053">
      <c r="N5053">
        <f>IF(AND(ISNUMBER(L5053),ISNUMBER(M5053)),L5053-M5053,"")</f>
        <v/>
      </c>
    </row>
    <row r="5054">
      <c r="N5054">
        <f>IF(AND(ISNUMBER(L5054),ISNUMBER(M5054)),L5054-M5054,"")</f>
        <v/>
      </c>
    </row>
    <row r="5055">
      <c r="N5055">
        <f>IF(AND(ISNUMBER(L5055),ISNUMBER(M5055)),L5055-M5055,"")</f>
        <v/>
      </c>
    </row>
    <row r="5056">
      <c r="N5056">
        <f>IF(AND(ISNUMBER(L5056),ISNUMBER(M5056)),L5056-M5056,"")</f>
        <v/>
      </c>
    </row>
    <row r="5057">
      <c r="N5057">
        <f>IF(AND(ISNUMBER(L5057),ISNUMBER(M5057)),L5057-M5057,"")</f>
        <v/>
      </c>
    </row>
    <row r="5058">
      <c r="N5058">
        <f>IF(AND(ISNUMBER(L5058),ISNUMBER(M5058)),L5058-M5058,"")</f>
        <v/>
      </c>
    </row>
    <row r="5059">
      <c r="N5059">
        <f>IF(AND(ISNUMBER(L5059),ISNUMBER(M5059)),L5059-M5059,"")</f>
        <v/>
      </c>
    </row>
    <row r="5060">
      <c r="N5060">
        <f>IF(AND(ISNUMBER(L5060),ISNUMBER(M5060)),L5060-M5060,"")</f>
        <v/>
      </c>
    </row>
    <row r="5061">
      <c r="N5061">
        <f>IF(AND(ISNUMBER(L5061),ISNUMBER(M5061)),L5061-M5061,"")</f>
        <v/>
      </c>
    </row>
    <row r="5062">
      <c r="N5062">
        <f>IF(AND(ISNUMBER(L5062),ISNUMBER(M5062)),L5062-M5062,"")</f>
        <v/>
      </c>
    </row>
    <row r="5063">
      <c r="N5063">
        <f>IF(AND(ISNUMBER(L5063),ISNUMBER(M5063)),L5063-M5063,"")</f>
        <v/>
      </c>
    </row>
    <row r="5064">
      <c r="N5064">
        <f>IF(AND(ISNUMBER(L5064),ISNUMBER(M5064)),L5064-M5064,"")</f>
        <v/>
      </c>
    </row>
    <row r="5065">
      <c r="N5065">
        <f>IF(AND(ISNUMBER(L5065),ISNUMBER(M5065)),L5065-M5065,"")</f>
        <v/>
      </c>
    </row>
    <row r="5066">
      <c r="N5066">
        <f>IF(AND(ISNUMBER(L5066),ISNUMBER(M5066)),L5066-M5066,"")</f>
        <v/>
      </c>
    </row>
    <row r="5067">
      <c r="N5067">
        <f>IF(AND(ISNUMBER(L5067),ISNUMBER(M5067)),L5067-M5067,"")</f>
        <v/>
      </c>
    </row>
    <row r="5068">
      <c r="N5068">
        <f>IF(AND(ISNUMBER(L5068),ISNUMBER(M5068)),L5068-M5068,"")</f>
        <v/>
      </c>
    </row>
    <row r="5069">
      <c r="N5069">
        <f>IF(AND(ISNUMBER(L5069),ISNUMBER(M5069)),L5069-M5069,"")</f>
        <v/>
      </c>
    </row>
    <row r="5070">
      <c r="N5070">
        <f>IF(AND(ISNUMBER(L5070),ISNUMBER(M5070)),L5070-M5070,"")</f>
        <v/>
      </c>
    </row>
    <row r="5071">
      <c r="N5071">
        <f>IF(AND(ISNUMBER(L5071),ISNUMBER(M5071)),L5071-M5071,"")</f>
        <v/>
      </c>
    </row>
    <row r="5072">
      <c r="N5072">
        <f>IF(AND(ISNUMBER(L5072),ISNUMBER(M5072)),L5072-M5072,"")</f>
        <v/>
      </c>
    </row>
    <row r="5073">
      <c r="N5073">
        <f>IF(AND(ISNUMBER(L5073),ISNUMBER(M5073)),L5073-M5073,"")</f>
        <v/>
      </c>
    </row>
    <row r="5074">
      <c r="N5074">
        <f>IF(AND(ISNUMBER(L5074),ISNUMBER(M5074)),L5074-M5074,"")</f>
        <v/>
      </c>
    </row>
    <row r="5075">
      <c r="N5075">
        <f>IF(AND(ISNUMBER(L5075),ISNUMBER(M5075)),L5075-M5075,"")</f>
        <v/>
      </c>
    </row>
    <row r="5076">
      <c r="N5076">
        <f>IF(AND(ISNUMBER(L5076),ISNUMBER(M5076)),L5076-M5076,"")</f>
        <v/>
      </c>
    </row>
    <row r="5077">
      <c r="N5077">
        <f>IF(AND(ISNUMBER(L5077),ISNUMBER(M5077)),L5077-M5077,"")</f>
        <v/>
      </c>
    </row>
    <row r="5078">
      <c r="N5078">
        <f>IF(AND(ISNUMBER(L5078),ISNUMBER(M5078)),L5078-M5078,"")</f>
        <v/>
      </c>
    </row>
    <row r="5079">
      <c r="N5079">
        <f>IF(AND(ISNUMBER(L5079),ISNUMBER(M5079)),L5079-M5079,"")</f>
        <v/>
      </c>
    </row>
    <row r="5080">
      <c r="N5080">
        <f>IF(AND(ISNUMBER(L5080),ISNUMBER(M5080)),L5080-M5080,"")</f>
        <v/>
      </c>
    </row>
    <row r="5081">
      <c r="N5081">
        <f>IF(AND(ISNUMBER(L5081),ISNUMBER(M5081)),L5081-M5081,"")</f>
        <v/>
      </c>
    </row>
    <row r="5082">
      <c r="N5082">
        <f>IF(AND(ISNUMBER(L5082),ISNUMBER(M5082)),L5082-M5082,"")</f>
        <v/>
      </c>
    </row>
    <row r="5083">
      <c r="N5083">
        <f>IF(AND(ISNUMBER(L5083),ISNUMBER(M5083)),L5083-M5083,"")</f>
        <v/>
      </c>
    </row>
    <row r="5084">
      <c r="N5084">
        <f>IF(AND(ISNUMBER(L5084),ISNUMBER(M5084)),L5084-M5084,"")</f>
        <v/>
      </c>
    </row>
    <row r="5085">
      <c r="N5085">
        <f>IF(AND(ISNUMBER(L5085),ISNUMBER(M5085)),L5085-M5085,"")</f>
        <v/>
      </c>
    </row>
    <row r="5086">
      <c r="N5086">
        <f>IF(AND(ISNUMBER(L5086),ISNUMBER(M5086)),L5086-M5086,"")</f>
        <v/>
      </c>
    </row>
    <row r="5087">
      <c r="N5087">
        <f>IF(AND(ISNUMBER(L5087),ISNUMBER(M5087)),L5087-M5087,"")</f>
        <v/>
      </c>
    </row>
    <row r="5088">
      <c r="N5088">
        <f>IF(AND(ISNUMBER(L5088),ISNUMBER(M5088)),L5088-M5088,"")</f>
        <v/>
      </c>
    </row>
    <row r="5089">
      <c r="N5089">
        <f>IF(AND(ISNUMBER(L5089),ISNUMBER(M5089)),L5089-M5089,"")</f>
        <v/>
      </c>
    </row>
    <row r="5090">
      <c r="N5090">
        <f>IF(AND(ISNUMBER(L5090),ISNUMBER(M5090)),L5090-M5090,"")</f>
        <v/>
      </c>
    </row>
    <row r="5091">
      <c r="N5091">
        <f>IF(AND(ISNUMBER(L5091),ISNUMBER(M5091)),L5091-M5091,"")</f>
        <v/>
      </c>
    </row>
    <row r="5092">
      <c r="N5092">
        <f>IF(AND(ISNUMBER(L5092),ISNUMBER(M5092)),L5092-M5092,"")</f>
        <v/>
      </c>
    </row>
    <row r="5093">
      <c r="N5093">
        <f>IF(AND(ISNUMBER(L5093),ISNUMBER(M5093)),L5093-M5093,"")</f>
        <v/>
      </c>
    </row>
    <row r="5094">
      <c r="N5094">
        <f>IF(AND(ISNUMBER(L5094),ISNUMBER(M5094)),L5094-M5094,"")</f>
        <v/>
      </c>
    </row>
    <row r="5095">
      <c r="N5095">
        <f>IF(AND(ISNUMBER(L5095),ISNUMBER(M5095)),L5095-M5095,"")</f>
        <v/>
      </c>
    </row>
    <row r="5096">
      <c r="N5096">
        <f>IF(AND(ISNUMBER(L5096),ISNUMBER(M5096)),L5096-M5096,"")</f>
        <v/>
      </c>
    </row>
    <row r="5097">
      <c r="N5097">
        <f>IF(AND(ISNUMBER(L5097),ISNUMBER(M5097)),L5097-M5097,"")</f>
        <v/>
      </c>
    </row>
    <row r="5098">
      <c r="N5098">
        <f>IF(AND(ISNUMBER(L5098),ISNUMBER(M5098)),L5098-M5098,"")</f>
        <v/>
      </c>
    </row>
    <row r="5099">
      <c r="N5099">
        <f>IF(AND(ISNUMBER(L5099),ISNUMBER(M5099)),L5099-M5099,"")</f>
        <v/>
      </c>
    </row>
    <row r="5100">
      <c r="N5100">
        <f>IF(AND(ISNUMBER(L5100),ISNUMBER(M5100)),L5100-M5100,"")</f>
        <v/>
      </c>
    </row>
    <row r="5101">
      <c r="N5101">
        <f>IF(AND(ISNUMBER(L5101),ISNUMBER(M5101)),L5101-M5101,"")</f>
        <v/>
      </c>
    </row>
    <row r="5102">
      <c r="N5102">
        <f>IF(AND(ISNUMBER(L5102),ISNUMBER(M5102)),L5102-M5102,"")</f>
        <v/>
      </c>
    </row>
    <row r="5103">
      <c r="N5103">
        <f>IF(AND(ISNUMBER(L5103),ISNUMBER(M5103)),L5103-M5103,"")</f>
        <v/>
      </c>
    </row>
    <row r="5104">
      <c r="N5104">
        <f>IF(AND(ISNUMBER(L5104),ISNUMBER(M5104)),L5104-M5104,"")</f>
        <v/>
      </c>
    </row>
    <row r="5105">
      <c r="N5105">
        <f>IF(AND(ISNUMBER(L5105),ISNUMBER(M5105)),L5105-M5105,"")</f>
        <v/>
      </c>
    </row>
    <row r="5106">
      <c r="N5106">
        <f>IF(AND(ISNUMBER(L5106),ISNUMBER(M5106)),L5106-M5106,"")</f>
        <v/>
      </c>
    </row>
    <row r="5107">
      <c r="N5107">
        <f>IF(AND(ISNUMBER(L5107),ISNUMBER(M5107)),L5107-M5107,"")</f>
        <v/>
      </c>
    </row>
    <row r="5108">
      <c r="N5108">
        <f>IF(AND(ISNUMBER(L5108),ISNUMBER(M5108)),L5108-M5108,"")</f>
        <v/>
      </c>
    </row>
    <row r="5109">
      <c r="N5109">
        <f>IF(AND(ISNUMBER(L5109),ISNUMBER(M5109)),L5109-M5109,"")</f>
        <v/>
      </c>
    </row>
    <row r="5110">
      <c r="N5110">
        <f>IF(AND(ISNUMBER(L5110),ISNUMBER(M5110)),L5110-M5110,"")</f>
        <v/>
      </c>
    </row>
    <row r="5111">
      <c r="N5111">
        <f>IF(AND(ISNUMBER(L5111),ISNUMBER(M5111)),L5111-M5111,"")</f>
        <v/>
      </c>
    </row>
    <row r="5112">
      <c r="N5112">
        <f>IF(AND(ISNUMBER(L5112),ISNUMBER(M5112)),L5112-M5112,"")</f>
        <v/>
      </c>
    </row>
    <row r="5113">
      <c r="N5113">
        <f>IF(AND(ISNUMBER(L5113),ISNUMBER(M5113)),L5113-M5113,"")</f>
        <v/>
      </c>
    </row>
    <row r="5114">
      <c r="N5114">
        <f>IF(AND(ISNUMBER(L5114),ISNUMBER(M5114)),L5114-M5114,"")</f>
        <v/>
      </c>
    </row>
    <row r="5115">
      <c r="N5115">
        <f>IF(AND(ISNUMBER(L5115),ISNUMBER(M5115)),L5115-M5115,"")</f>
        <v/>
      </c>
    </row>
    <row r="5116">
      <c r="N5116">
        <f>IF(AND(ISNUMBER(L5116),ISNUMBER(M5116)),L5116-M5116,"")</f>
        <v/>
      </c>
    </row>
    <row r="5117">
      <c r="N5117">
        <f>IF(AND(ISNUMBER(L5117),ISNUMBER(M5117)),L5117-M5117,"")</f>
        <v/>
      </c>
    </row>
    <row r="5118">
      <c r="N5118">
        <f>IF(AND(ISNUMBER(L5118),ISNUMBER(M5118)),L5118-M5118,"")</f>
        <v/>
      </c>
    </row>
    <row r="5119">
      <c r="N5119">
        <f>IF(AND(ISNUMBER(L5119),ISNUMBER(M5119)),L5119-M5119,"")</f>
        <v/>
      </c>
    </row>
    <row r="5120">
      <c r="N5120">
        <f>IF(AND(ISNUMBER(L5120),ISNUMBER(M5120)),L5120-M5120,"")</f>
        <v/>
      </c>
    </row>
    <row r="5121">
      <c r="N5121">
        <f>IF(AND(ISNUMBER(L5121),ISNUMBER(M5121)),L5121-M5121,"")</f>
        <v/>
      </c>
    </row>
    <row r="5122">
      <c r="N5122">
        <f>IF(AND(ISNUMBER(L5122),ISNUMBER(M5122)),L5122-M5122,"")</f>
        <v/>
      </c>
    </row>
    <row r="5123">
      <c r="N5123">
        <f>IF(AND(ISNUMBER(L5123),ISNUMBER(M5123)),L5123-M5123,"")</f>
        <v/>
      </c>
    </row>
    <row r="5124">
      <c r="N5124">
        <f>IF(AND(ISNUMBER(L5124),ISNUMBER(M5124)),L5124-M5124,"")</f>
        <v/>
      </c>
    </row>
    <row r="5125">
      <c r="N5125">
        <f>IF(AND(ISNUMBER(L5125),ISNUMBER(M5125)),L5125-M5125,"")</f>
        <v/>
      </c>
    </row>
    <row r="5126">
      <c r="N5126">
        <f>IF(AND(ISNUMBER(L5126),ISNUMBER(M5126)),L5126-M5126,"")</f>
        <v/>
      </c>
    </row>
    <row r="5127">
      <c r="N5127">
        <f>IF(AND(ISNUMBER(L5127),ISNUMBER(M5127)),L5127-M5127,"")</f>
        <v/>
      </c>
    </row>
    <row r="5128">
      <c r="N5128">
        <f>IF(AND(ISNUMBER(L5128),ISNUMBER(M5128)),L5128-M5128,"")</f>
        <v/>
      </c>
    </row>
    <row r="5129">
      <c r="N5129">
        <f>IF(AND(ISNUMBER(L5129),ISNUMBER(M5129)),L5129-M5129,"")</f>
        <v/>
      </c>
    </row>
    <row r="5130">
      <c r="N5130">
        <f>IF(AND(ISNUMBER(L5130),ISNUMBER(M5130)),L5130-M5130,"")</f>
        <v/>
      </c>
    </row>
    <row r="5131">
      <c r="N5131">
        <f>IF(AND(ISNUMBER(L5131),ISNUMBER(M5131)),L5131-M5131,"")</f>
        <v/>
      </c>
    </row>
    <row r="5132">
      <c r="N5132">
        <f>IF(AND(ISNUMBER(L5132),ISNUMBER(M5132)),L5132-M5132,"")</f>
        <v/>
      </c>
    </row>
    <row r="5133">
      <c r="N5133">
        <f>IF(AND(ISNUMBER(L5133),ISNUMBER(M5133)),L5133-M5133,"")</f>
        <v/>
      </c>
    </row>
    <row r="5134">
      <c r="N5134">
        <f>IF(AND(ISNUMBER(L5134),ISNUMBER(M5134)),L5134-M5134,"")</f>
        <v/>
      </c>
    </row>
    <row r="5135">
      <c r="N5135">
        <f>IF(AND(ISNUMBER(L5135),ISNUMBER(M5135)),L5135-M5135,"")</f>
        <v/>
      </c>
    </row>
    <row r="5136">
      <c r="N5136">
        <f>IF(AND(ISNUMBER(L5136),ISNUMBER(M5136)),L5136-M5136,"")</f>
        <v/>
      </c>
    </row>
    <row r="5137">
      <c r="N5137">
        <f>IF(AND(ISNUMBER(L5137),ISNUMBER(M5137)),L5137-M5137,"")</f>
        <v/>
      </c>
    </row>
    <row r="5138">
      <c r="N5138">
        <f>IF(AND(ISNUMBER(L5138),ISNUMBER(M5138)),L5138-M5138,"")</f>
        <v/>
      </c>
    </row>
    <row r="5139">
      <c r="N5139">
        <f>IF(AND(ISNUMBER(L5139),ISNUMBER(M5139)),L5139-M5139,"")</f>
        <v/>
      </c>
    </row>
    <row r="5140">
      <c r="N5140">
        <f>IF(AND(ISNUMBER(L5140),ISNUMBER(M5140)),L5140-M5140,"")</f>
        <v/>
      </c>
    </row>
    <row r="5141">
      <c r="N5141">
        <f>IF(AND(ISNUMBER(L5141),ISNUMBER(M5141)),L5141-M5141,"")</f>
        <v/>
      </c>
    </row>
    <row r="5142">
      <c r="N5142">
        <f>IF(AND(ISNUMBER(L5142),ISNUMBER(M5142)),L5142-M5142,"")</f>
        <v/>
      </c>
    </row>
    <row r="5143">
      <c r="N5143">
        <f>IF(AND(ISNUMBER(L5143),ISNUMBER(M5143)),L5143-M5143,"")</f>
        <v/>
      </c>
    </row>
    <row r="5144">
      <c r="N5144">
        <f>IF(AND(ISNUMBER(L5144),ISNUMBER(M5144)),L5144-M5144,"")</f>
        <v/>
      </c>
    </row>
    <row r="5145">
      <c r="N5145">
        <f>IF(AND(ISNUMBER(L5145),ISNUMBER(M5145)),L5145-M5145,"")</f>
        <v/>
      </c>
    </row>
    <row r="5146">
      <c r="N5146">
        <f>IF(AND(ISNUMBER(L5146),ISNUMBER(M5146)),L5146-M5146,"")</f>
        <v/>
      </c>
    </row>
    <row r="5147">
      <c r="N5147">
        <f>IF(AND(ISNUMBER(L5147),ISNUMBER(M5147)),L5147-M5147,"")</f>
        <v/>
      </c>
    </row>
    <row r="5148">
      <c r="N5148">
        <f>IF(AND(ISNUMBER(L5148),ISNUMBER(M5148)),L5148-M5148,"")</f>
        <v/>
      </c>
    </row>
    <row r="5149">
      <c r="N5149">
        <f>IF(AND(ISNUMBER(L5149),ISNUMBER(M5149)),L5149-M5149,"")</f>
        <v/>
      </c>
    </row>
    <row r="5150">
      <c r="N5150">
        <f>IF(AND(ISNUMBER(L5150),ISNUMBER(M5150)),L5150-M5150,"")</f>
        <v/>
      </c>
    </row>
    <row r="5151">
      <c r="N5151">
        <f>IF(AND(ISNUMBER(L5151),ISNUMBER(M5151)),L5151-M5151,"")</f>
        <v/>
      </c>
    </row>
    <row r="5152">
      <c r="N5152">
        <f>IF(AND(ISNUMBER(L5152),ISNUMBER(M5152)),L5152-M5152,"")</f>
        <v/>
      </c>
    </row>
    <row r="5153">
      <c r="N5153">
        <f>IF(AND(ISNUMBER(L5153),ISNUMBER(M5153)),L5153-M5153,"")</f>
        <v/>
      </c>
    </row>
    <row r="5154">
      <c r="N5154">
        <f>IF(AND(ISNUMBER(L5154),ISNUMBER(M5154)),L5154-M5154,"")</f>
        <v/>
      </c>
    </row>
    <row r="5155">
      <c r="N5155">
        <f>IF(AND(ISNUMBER(L5155),ISNUMBER(M5155)),L5155-M5155,"")</f>
        <v/>
      </c>
    </row>
    <row r="5156">
      <c r="N5156">
        <f>IF(AND(ISNUMBER(L5156),ISNUMBER(M5156)),L5156-M5156,"")</f>
        <v/>
      </c>
    </row>
    <row r="5157">
      <c r="N5157">
        <f>IF(AND(ISNUMBER(L5157),ISNUMBER(M5157)),L5157-M5157,"")</f>
        <v/>
      </c>
    </row>
    <row r="5158">
      <c r="N5158">
        <f>IF(AND(ISNUMBER(L5158),ISNUMBER(M5158)),L5158-M5158,"")</f>
        <v/>
      </c>
    </row>
    <row r="5159">
      <c r="N5159">
        <f>IF(AND(ISNUMBER(L5159),ISNUMBER(M5159)),L5159-M5159,"")</f>
        <v/>
      </c>
    </row>
    <row r="5160">
      <c r="N5160">
        <f>IF(AND(ISNUMBER(L5160),ISNUMBER(M5160)),L5160-M5160,"")</f>
        <v/>
      </c>
    </row>
    <row r="5161">
      <c r="N5161">
        <f>IF(AND(ISNUMBER(L5161),ISNUMBER(M5161)),L5161-M5161,"")</f>
        <v/>
      </c>
    </row>
    <row r="5162">
      <c r="N5162">
        <f>IF(AND(ISNUMBER(L5162),ISNUMBER(M5162)),L5162-M5162,"")</f>
        <v/>
      </c>
    </row>
    <row r="5163">
      <c r="N5163">
        <f>IF(AND(ISNUMBER(L5163),ISNUMBER(M5163)),L5163-M5163,"")</f>
        <v/>
      </c>
    </row>
    <row r="5164">
      <c r="N5164">
        <f>IF(AND(ISNUMBER(L5164),ISNUMBER(M5164)),L5164-M5164,"")</f>
        <v/>
      </c>
    </row>
    <row r="5165">
      <c r="N5165">
        <f>IF(AND(ISNUMBER(L5165),ISNUMBER(M5165)),L5165-M5165,"")</f>
        <v/>
      </c>
    </row>
    <row r="5166">
      <c r="N5166">
        <f>IF(AND(ISNUMBER(L5166),ISNUMBER(M5166)),L5166-M5166,"")</f>
        <v/>
      </c>
    </row>
    <row r="5167">
      <c r="N5167">
        <f>IF(AND(ISNUMBER(L5167),ISNUMBER(M5167)),L5167-M5167,"")</f>
        <v/>
      </c>
    </row>
    <row r="5168">
      <c r="N5168">
        <f>IF(AND(ISNUMBER(L5168),ISNUMBER(M5168)),L5168-M5168,"")</f>
        <v/>
      </c>
    </row>
    <row r="5169">
      <c r="N5169">
        <f>IF(AND(ISNUMBER(L5169),ISNUMBER(M5169)),L5169-M5169,"")</f>
        <v/>
      </c>
    </row>
    <row r="5170">
      <c r="N5170">
        <f>IF(AND(ISNUMBER(L5170),ISNUMBER(M5170)),L5170-M5170,"")</f>
        <v/>
      </c>
    </row>
    <row r="5171">
      <c r="N5171">
        <f>IF(AND(ISNUMBER(L5171),ISNUMBER(M5171)),L5171-M5171,"")</f>
        <v/>
      </c>
    </row>
    <row r="5172">
      <c r="N5172">
        <f>IF(AND(ISNUMBER(L5172),ISNUMBER(M5172)),L5172-M5172,"")</f>
        <v/>
      </c>
    </row>
    <row r="5173">
      <c r="N5173">
        <f>IF(AND(ISNUMBER(L5173),ISNUMBER(M5173)),L5173-M5173,"")</f>
        <v/>
      </c>
    </row>
    <row r="5174">
      <c r="N5174">
        <f>IF(AND(ISNUMBER(L5174),ISNUMBER(M5174)),L5174-M5174,"")</f>
        <v/>
      </c>
    </row>
    <row r="5175">
      <c r="N5175">
        <f>IF(AND(ISNUMBER(L5175),ISNUMBER(M5175)),L5175-M5175,"")</f>
        <v/>
      </c>
    </row>
    <row r="5176">
      <c r="N5176">
        <f>IF(AND(ISNUMBER(L5176),ISNUMBER(M5176)),L5176-M5176,"")</f>
        <v/>
      </c>
    </row>
    <row r="5177">
      <c r="N5177">
        <f>IF(AND(ISNUMBER(L5177),ISNUMBER(M5177)),L5177-M5177,"")</f>
        <v/>
      </c>
    </row>
    <row r="5178">
      <c r="N5178">
        <f>IF(AND(ISNUMBER(L5178),ISNUMBER(M5178)),L5178-M5178,"")</f>
        <v/>
      </c>
    </row>
    <row r="5179">
      <c r="N5179">
        <f>IF(AND(ISNUMBER(L5179),ISNUMBER(M5179)),L5179-M5179,"")</f>
        <v/>
      </c>
    </row>
    <row r="5180">
      <c r="N5180">
        <f>IF(AND(ISNUMBER(L5180),ISNUMBER(M5180)),L5180-M5180,"")</f>
        <v/>
      </c>
    </row>
    <row r="5181">
      <c r="N5181">
        <f>IF(AND(ISNUMBER(L5181),ISNUMBER(M5181)),L5181-M5181,"")</f>
        <v/>
      </c>
    </row>
    <row r="5182">
      <c r="N5182">
        <f>IF(AND(ISNUMBER(L5182),ISNUMBER(M5182)),L5182-M5182,"")</f>
        <v/>
      </c>
    </row>
    <row r="5183">
      <c r="N5183">
        <f>IF(AND(ISNUMBER(L5183),ISNUMBER(M5183)),L5183-M5183,"")</f>
        <v/>
      </c>
    </row>
    <row r="5184">
      <c r="N5184">
        <f>IF(AND(ISNUMBER(L5184),ISNUMBER(M5184)),L5184-M5184,"")</f>
        <v/>
      </c>
    </row>
    <row r="5185">
      <c r="N5185">
        <f>IF(AND(ISNUMBER(L5185),ISNUMBER(M5185)),L5185-M5185,"")</f>
        <v/>
      </c>
    </row>
    <row r="5186">
      <c r="N5186">
        <f>IF(AND(ISNUMBER(L5186),ISNUMBER(M5186)),L5186-M5186,"")</f>
        <v/>
      </c>
    </row>
    <row r="5187">
      <c r="N5187">
        <f>IF(AND(ISNUMBER(L5187),ISNUMBER(M5187)),L5187-M5187,"")</f>
        <v/>
      </c>
    </row>
    <row r="5188">
      <c r="N5188">
        <f>IF(AND(ISNUMBER(L5188),ISNUMBER(M5188)),L5188-M5188,"")</f>
        <v/>
      </c>
    </row>
    <row r="5189">
      <c r="N5189">
        <f>IF(AND(ISNUMBER(L5189),ISNUMBER(M5189)),L5189-M5189,"")</f>
        <v/>
      </c>
    </row>
    <row r="5190">
      <c r="N5190">
        <f>IF(AND(ISNUMBER(L5190),ISNUMBER(M5190)),L5190-M5190,"")</f>
        <v/>
      </c>
    </row>
    <row r="5191">
      <c r="N5191">
        <f>IF(AND(ISNUMBER(L5191),ISNUMBER(M5191)),L5191-M5191,"")</f>
        <v/>
      </c>
    </row>
    <row r="5192">
      <c r="N5192">
        <f>IF(AND(ISNUMBER(L5192),ISNUMBER(M5192)),L5192-M5192,"")</f>
        <v/>
      </c>
    </row>
    <row r="5193">
      <c r="N5193">
        <f>IF(AND(ISNUMBER(L5193),ISNUMBER(M5193)),L5193-M5193,"")</f>
        <v/>
      </c>
    </row>
    <row r="5194">
      <c r="N5194">
        <f>IF(AND(ISNUMBER(L5194),ISNUMBER(M5194)),L5194-M5194,"")</f>
        <v/>
      </c>
    </row>
    <row r="5195">
      <c r="N5195">
        <f>IF(AND(ISNUMBER(L5195),ISNUMBER(M5195)),L5195-M5195,"")</f>
        <v/>
      </c>
    </row>
    <row r="5196">
      <c r="N5196">
        <f>IF(AND(ISNUMBER(L5196),ISNUMBER(M5196)),L5196-M5196,"")</f>
        <v/>
      </c>
    </row>
    <row r="5197">
      <c r="N5197">
        <f>IF(AND(ISNUMBER(L5197),ISNUMBER(M5197)),L5197-M5197,"")</f>
        <v/>
      </c>
    </row>
    <row r="5198">
      <c r="N5198">
        <f>IF(AND(ISNUMBER(L5198),ISNUMBER(M5198)),L5198-M5198,"")</f>
        <v/>
      </c>
    </row>
    <row r="5199">
      <c r="N5199">
        <f>IF(AND(ISNUMBER(L5199),ISNUMBER(M5199)),L5199-M5199,"")</f>
        <v/>
      </c>
    </row>
    <row r="5200">
      <c r="N5200">
        <f>IF(AND(ISNUMBER(L5200),ISNUMBER(M5200)),L5200-M5200,"")</f>
        <v/>
      </c>
    </row>
    <row r="5201">
      <c r="N5201">
        <f>IF(AND(ISNUMBER(L5201),ISNUMBER(M5201)),L5201-M5201,"")</f>
        <v/>
      </c>
    </row>
    <row r="5202">
      <c r="N5202">
        <f>IF(AND(ISNUMBER(L5202),ISNUMBER(M5202)),L5202-M5202,"")</f>
        <v/>
      </c>
    </row>
    <row r="5203">
      <c r="N5203">
        <f>IF(AND(ISNUMBER(L5203),ISNUMBER(M5203)),L5203-M5203,"")</f>
        <v/>
      </c>
    </row>
    <row r="5204">
      <c r="N5204">
        <f>IF(AND(ISNUMBER(L5204),ISNUMBER(M5204)),L5204-M5204,"")</f>
        <v/>
      </c>
    </row>
    <row r="5205">
      <c r="N5205">
        <f>IF(AND(ISNUMBER(L5205),ISNUMBER(M5205)),L5205-M5205,"")</f>
        <v/>
      </c>
    </row>
    <row r="5206">
      <c r="N5206">
        <f>IF(AND(ISNUMBER(L5206),ISNUMBER(M5206)),L5206-M5206,"")</f>
        <v/>
      </c>
    </row>
    <row r="5207">
      <c r="N5207">
        <f>IF(AND(ISNUMBER(L5207),ISNUMBER(M5207)),L5207-M5207,"")</f>
        <v/>
      </c>
    </row>
    <row r="5208">
      <c r="N5208">
        <f>IF(AND(ISNUMBER(L5208),ISNUMBER(M5208)),L5208-M5208,"")</f>
        <v/>
      </c>
    </row>
    <row r="5209">
      <c r="N5209">
        <f>IF(AND(ISNUMBER(L5209),ISNUMBER(M5209)),L5209-M5209,"")</f>
        <v/>
      </c>
    </row>
    <row r="5210">
      <c r="N5210">
        <f>IF(AND(ISNUMBER(L5210),ISNUMBER(M5210)),L5210-M5210,"")</f>
        <v/>
      </c>
    </row>
    <row r="5211">
      <c r="N5211">
        <f>IF(AND(ISNUMBER(L5211),ISNUMBER(M5211)),L5211-M5211,"")</f>
        <v/>
      </c>
    </row>
    <row r="5212">
      <c r="N5212">
        <f>IF(AND(ISNUMBER(L5212),ISNUMBER(M5212)),L5212-M5212,"")</f>
        <v/>
      </c>
    </row>
    <row r="5213">
      <c r="N5213">
        <f>IF(AND(ISNUMBER(L5213),ISNUMBER(M5213)),L5213-M5213,"")</f>
        <v/>
      </c>
    </row>
    <row r="5214">
      <c r="N5214">
        <f>IF(AND(ISNUMBER(L5214),ISNUMBER(M5214)),L5214-M5214,"")</f>
        <v/>
      </c>
    </row>
    <row r="5215">
      <c r="N5215">
        <f>IF(AND(ISNUMBER(L5215),ISNUMBER(M5215)),L5215-M5215,"")</f>
        <v/>
      </c>
    </row>
    <row r="5216">
      <c r="N5216">
        <f>IF(AND(ISNUMBER(L5216),ISNUMBER(M5216)),L5216-M5216,"")</f>
        <v/>
      </c>
    </row>
    <row r="5217">
      <c r="N5217">
        <f>IF(AND(ISNUMBER(L5217),ISNUMBER(M5217)),L5217-M5217,"")</f>
        <v/>
      </c>
    </row>
    <row r="5218">
      <c r="N5218">
        <f>IF(AND(ISNUMBER(L5218),ISNUMBER(M5218)),L5218-M5218,"")</f>
        <v/>
      </c>
    </row>
    <row r="5219">
      <c r="N5219">
        <f>IF(AND(ISNUMBER(L5219),ISNUMBER(M5219)),L5219-M5219,"")</f>
        <v/>
      </c>
    </row>
    <row r="5220">
      <c r="N5220">
        <f>IF(AND(ISNUMBER(L5220),ISNUMBER(M5220)),L5220-M5220,"")</f>
        <v/>
      </c>
    </row>
    <row r="5221">
      <c r="N5221">
        <f>IF(AND(ISNUMBER(L5221),ISNUMBER(M5221)),L5221-M5221,"")</f>
        <v/>
      </c>
    </row>
    <row r="5222">
      <c r="N5222">
        <f>IF(AND(ISNUMBER(L5222),ISNUMBER(M5222)),L5222-M5222,"")</f>
        <v/>
      </c>
    </row>
    <row r="5223">
      <c r="N5223">
        <f>IF(AND(ISNUMBER(L5223),ISNUMBER(M5223)),L5223-M5223,"")</f>
        <v/>
      </c>
    </row>
    <row r="5224">
      <c r="N5224">
        <f>IF(AND(ISNUMBER(L5224),ISNUMBER(M5224)),L5224-M5224,"")</f>
        <v/>
      </c>
    </row>
    <row r="5225">
      <c r="N5225">
        <f>IF(AND(ISNUMBER(L5225),ISNUMBER(M5225)),L5225-M5225,"")</f>
        <v/>
      </c>
    </row>
    <row r="5226">
      <c r="N5226">
        <f>IF(AND(ISNUMBER(L5226),ISNUMBER(M5226)),L5226-M5226,"")</f>
        <v/>
      </c>
    </row>
    <row r="5227">
      <c r="N5227">
        <f>IF(AND(ISNUMBER(L5227),ISNUMBER(M5227)),L5227-M5227,"")</f>
        <v/>
      </c>
    </row>
    <row r="5228">
      <c r="N5228">
        <f>IF(AND(ISNUMBER(L5228),ISNUMBER(M5228)),L5228-M5228,"")</f>
        <v/>
      </c>
    </row>
    <row r="5229">
      <c r="N5229">
        <f>IF(AND(ISNUMBER(L5229),ISNUMBER(M5229)),L5229-M5229,"")</f>
        <v/>
      </c>
    </row>
    <row r="5230">
      <c r="N5230">
        <f>IF(AND(ISNUMBER(L5230),ISNUMBER(M5230)),L5230-M5230,"")</f>
        <v/>
      </c>
    </row>
    <row r="5231">
      <c r="N5231">
        <f>IF(AND(ISNUMBER(L5231),ISNUMBER(M5231)),L5231-M5231,"")</f>
        <v/>
      </c>
    </row>
    <row r="5232">
      <c r="N5232">
        <f>IF(AND(ISNUMBER(L5232),ISNUMBER(M5232)),L5232-M5232,"")</f>
        <v/>
      </c>
    </row>
    <row r="5233">
      <c r="N5233">
        <f>IF(AND(ISNUMBER(L5233),ISNUMBER(M5233)),L5233-M5233,"")</f>
        <v/>
      </c>
    </row>
    <row r="5234">
      <c r="N5234">
        <f>IF(AND(ISNUMBER(L5234),ISNUMBER(M5234)),L5234-M5234,"")</f>
        <v/>
      </c>
    </row>
    <row r="5235">
      <c r="N5235">
        <f>IF(AND(ISNUMBER(L5235),ISNUMBER(M5235)),L5235-M5235,"")</f>
        <v/>
      </c>
    </row>
    <row r="5236">
      <c r="N5236">
        <f>IF(AND(ISNUMBER(L5236),ISNUMBER(M5236)),L5236-M5236,"")</f>
        <v/>
      </c>
    </row>
    <row r="5237">
      <c r="N5237">
        <f>IF(AND(ISNUMBER(L5237),ISNUMBER(M5237)),L5237-M5237,"")</f>
        <v/>
      </c>
    </row>
    <row r="5238">
      <c r="N5238">
        <f>IF(AND(ISNUMBER(L5238),ISNUMBER(M5238)),L5238-M5238,"")</f>
        <v/>
      </c>
    </row>
    <row r="5239">
      <c r="N5239">
        <f>IF(AND(ISNUMBER(L5239),ISNUMBER(M5239)),L5239-M5239,"")</f>
        <v/>
      </c>
    </row>
    <row r="5240">
      <c r="N5240">
        <f>IF(AND(ISNUMBER(L5240),ISNUMBER(M5240)),L5240-M5240,"")</f>
        <v/>
      </c>
    </row>
    <row r="5241">
      <c r="N5241">
        <f>IF(AND(ISNUMBER(L5241),ISNUMBER(M5241)),L5241-M5241,"")</f>
        <v/>
      </c>
    </row>
    <row r="5242">
      <c r="N5242">
        <f>IF(AND(ISNUMBER(L5242),ISNUMBER(M5242)),L5242-M5242,"")</f>
        <v/>
      </c>
    </row>
    <row r="5243">
      <c r="N5243">
        <f>IF(AND(ISNUMBER(L5243),ISNUMBER(M5243)),L5243-M5243,"")</f>
        <v/>
      </c>
    </row>
    <row r="5244">
      <c r="N5244">
        <f>IF(AND(ISNUMBER(L5244),ISNUMBER(M5244)),L5244-M5244,"")</f>
        <v/>
      </c>
    </row>
    <row r="5245">
      <c r="N5245">
        <f>IF(AND(ISNUMBER(L5245),ISNUMBER(M5245)),L5245-M5245,"")</f>
        <v/>
      </c>
    </row>
    <row r="5246">
      <c r="N5246">
        <f>IF(AND(ISNUMBER(L5246),ISNUMBER(M5246)),L5246-M5246,"")</f>
        <v/>
      </c>
    </row>
    <row r="5247">
      <c r="N5247">
        <f>IF(AND(ISNUMBER(L5247),ISNUMBER(M5247)),L5247-M5247,"")</f>
        <v/>
      </c>
    </row>
    <row r="5248">
      <c r="N5248">
        <f>IF(AND(ISNUMBER(L5248),ISNUMBER(M5248)),L5248-M5248,"")</f>
        <v/>
      </c>
    </row>
    <row r="5249">
      <c r="N5249">
        <f>IF(AND(ISNUMBER(L5249),ISNUMBER(M5249)),L5249-M5249,"")</f>
        <v/>
      </c>
    </row>
    <row r="5250">
      <c r="N5250">
        <f>IF(AND(ISNUMBER(L5250),ISNUMBER(M5250)),L5250-M5250,"")</f>
        <v/>
      </c>
    </row>
    <row r="5251">
      <c r="N5251">
        <f>IF(AND(ISNUMBER(L5251),ISNUMBER(M5251)),L5251-M5251,"")</f>
        <v/>
      </c>
    </row>
    <row r="5252">
      <c r="N5252">
        <f>IF(AND(ISNUMBER(L5252),ISNUMBER(M5252)),L5252-M5252,"")</f>
        <v/>
      </c>
    </row>
    <row r="5253">
      <c r="N5253">
        <f>IF(AND(ISNUMBER(L5253),ISNUMBER(M5253)),L5253-M5253,"")</f>
        <v/>
      </c>
    </row>
    <row r="5254">
      <c r="N5254">
        <f>IF(AND(ISNUMBER(L5254),ISNUMBER(M5254)),L5254-M5254,"")</f>
        <v/>
      </c>
    </row>
    <row r="5255">
      <c r="N5255">
        <f>IF(AND(ISNUMBER(L5255),ISNUMBER(M5255)),L5255-M5255,"")</f>
        <v/>
      </c>
    </row>
    <row r="5256">
      <c r="N5256">
        <f>IF(AND(ISNUMBER(L5256),ISNUMBER(M5256)),L5256-M5256,"")</f>
        <v/>
      </c>
    </row>
    <row r="5257">
      <c r="N5257">
        <f>IF(AND(ISNUMBER(L5257),ISNUMBER(M5257)),L5257-M5257,"")</f>
        <v/>
      </c>
    </row>
    <row r="5258">
      <c r="N5258">
        <f>IF(AND(ISNUMBER(L5258),ISNUMBER(M5258)),L5258-M5258,"")</f>
        <v/>
      </c>
    </row>
    <row r="5259">
      <c r="N5259">
        <f>IF(AND(ISNUMBER(L5259),ISNUMBER(M5259)),L5259-M5259,"")</f>
        <v/>
      </c>
    </row>
    <row r="5260">
      <c r="N5260">
        <f>IF(AND(ISNUMBER(L5260),ISNUMBER(M5260)),L5260-M5260,"")</f>
        <v/>
      </c>
    </row>
    <row r="5261">
      <c r="N5261">
        <f>IF(AND(ISNUMBER(L5261),ISNUMBER(M5261)),L5261-M5261,"")</f>
        <v/>
      </c>
    </row>
    <row r="5262">
      <c r="N5262">
        <f>IF(AND(ISNUMBER(L5262),ISNUMBER(M5262)),L5262-M5262,"")</f>
        <v/>
      </c>
    </row>
    <row r="5263">
      <c r="N5263">
        <f>IF(AND(ISNUMBER(L5263),ISNUMBER(M5263)),L5263-M5263,"")</f>
        <v/>
      </c>
    </row>
    <row r="5264">
      <c r="N5264">
        <f>IF(AND(ISNUMBER(L5264),ISNUMBER(M5264)),L5264-M5264,"")</f>
        <v/>
      </c>
    </row>
    <row r="5265">
      <c r="N5265">
        <f>IF(AND(ISNUMBER(L5265),ISNUMBER(M5265)),L5265-M5265,"")</f>
        <v/>
      </c>
    </row>
    <row r="5266">
      <c r="N5266">
        <f>IF(AND(ISNUMBER(L5266),ISNUMBER(M5266)),L5266-M5266,"")</f>
        <v/>
      </c>
    </row>
    <row r="5267">
      <c r="N5267">
        <f>IF(AND(ISNUMBER(L5267),ISNUMBER(M5267)),L5267-M5267,"")</f>
        <v/>
      </c>
    </row>
    <row r="5268">
      <c r="N5268">
        <f>IF(AND(ISNUMBER(L5268),ISNUMBER(M5268)),L5268-M5268,"")</f>
        <v/>
      </c>
    </row>
    <row r="5269">
      <c r="N5269">
        <f>IF(AND(ISNUMBER(L5269),ISNUMBER(M5269)),L5269-M5269,"")</f>
        <v/>
      </c>
    </row>
    <row r="5270">
      <c r="N5270">
        <f>IF(AND(ISNUMBER(L5270),ISNUMBER(M5270)),L5270-M5270,"")</f>
        <v/>
      </c>
    </row>
    <row r="5271">
      <c r="N5271">
        <f>IF(AND(ISNUMBER(L5271),ISNUMBER(M5271)),L5271-M5271,"")</f>
        <v/>
      </c>
    </row>
    <row r="5272">
      <c r="N5272">
        <f>IF(AND(ISNUMBER(L5272),ISNUMBER(M5272)),L5272-M5272,"")</f>
        <v/>
      </c>
    </row>
    <row r="5273">
      <c r="N5273">
        <f>IF(AND(ISNUMBER(L5273),ISNUMBER(M5273)),L5273-M5273,"")</f>
        <v/>
      </c>
    </row>
    <row r="5274">
      <c r="N5274">
        <f>IF(AND(ISNUMBER(L5274),ISNUMBER(M5274)),L5274-M5274,"")</f>
        <v/>
      </c>
    </row>
    <row r="5275">
      <c r="N5275">
        <f>IF(AND(ISNUMBER(L5275),ISNUMBER(M5275)),L5275-M5275,"")</f>
        <v/>
      </c>
    </row>
    <row r="5276">
      <c r="N5276">
        <f>IF(AND(ISNUMBER(L5276),ISNUMBER(M5276)),L5276-M5276,"")</f>
        <v/>
      </c>
    </row>
    <row r="5277">
      <c r="N5277">
        <f>IF(AND(ISNUMBER(L5277),ISNUMBER(M5277)),L5277-M5277,"")</f>
        <v/>
      </c>
    </row>
    <row r="5278">
      <c r="N5278">
        <f>IF(AND(ISNUMBER(L5278),ISNUMBER(M5278)),L5278-M5278,"")</f>
        <v/>
      </c>
    </row>
    <row r="5279">
      <c r="N5279">
        <f>IF(AND(ISNUMBER(L5279),ISNUMBER(M5279)),L5279-M5279,"")</f>
        <v/>
      </c>
    </row>
    <row r="5280">
      <c r="N5280">
        <f>IF(AND(ISNUMBER(L5280),ISNUMBER(M5280)),L5280-M5280,"")</f>
        <v/>
      </c>
    </row>
    <row r="5281">
      <c r="N5281">
        <f>IF(AND(ISNUMBER(L5281),ISNUMBER(M5281)),L5281-M5281,"")</f>
        <v/>
      </c>
    </row>
    <row r="5282">
      <c r="N5282">
        <f>IF(AND(ISNUMBER(L5282),ISNUMBER(M5282)),L5282-M5282,"")</f>
        <v/>
      </c>
    </row>
    <row r="5283">
      <c r="N5283">
        <f>IF(AND(ISNUMBER(L5283),ISNUMBER(M5283)),L5283-M5283,"")</f>
        <v/>
      </c>
    </row>
    <row r="5284">
      <c r="N5284">
        <f>IF(AND(ISNUMBER(L5284),ISNUMBER(M5284)),L5284-M5284,"")</f>
        <v/>
      </c>
    </row>
    <row r="5285">
      <c r="N5285">
        <f>IF(AND(ISNUMBER(L5285),ISNUMBER(M5285)),L5285-M5285,"")</f>
        <v/>
      </c>
    </row>
    <row r="5286">
      <c r="N5286">
        <f>IF(AND(ISNUMBER(L5286),ISNUMBER(M5286)),L5286-M5286,"")</f>
        <v/>
      </c>
    </row>
    <row r="5287">
      <c r="N5287">
        <f>IF(AND(ISNUMBER(L5287),ISNUMBER(M5287)),L5287-M5287,"")</f>
        <v/>
      </c>
    </row>
    <row r="5288">
      <c r="N5288">
        <f>IF(AND(ISNUMBER(L5288),ISNUMBER(M5288)),L5288-M5288,"")</f>
        <v/>
      </c>
    </row>
    <row r="5289">
      <c r="N5289">
        <f>IF(AND(ISNUMBER(L5289),ISNUMBER(M5289)),L5289-M5289,"")</f>
        <v/>
      </c>
    </row>
    <row r="5290">
      <c r="N5290">
        <f>IF(AND(ISNUMBER(L5290),ISNUMBER(M5290)),L5290-M5290,"")</f>
        <v/>
      </c>
    </row>
    <row r="5291">
      <c r="N5291">
        <f>IF(AND(ISNUMBER(L5291),ISNUMBER(M5291)),L5291-M5291,"")</f>
        <v/>
      </c>
    </row>
    <row r="5292">
      <c r="N5292">
        <f>IF(AND(ISNUMBER(L5292),ISNUMBER(M5292)),L5292-M5292,"")</f>
        <v/>
      </c>
    </row>
    <row r="5293">
      <c r="N5293">
        <f>IF(AND(ISNUMBER(L5293),ISNUMBER(M5293)),L5293-M5293,"")</f>
        <v/>
      </c>
    </row>
    <row r="5294">
      <c r="N5294">
        <f>IF(AND(ISNUMBER(L5294),ISNUMBER(M5294)),L5294-M5294,"")</f>
        <v/>
      </c>
    </row>
    <row r="5295">
      <c r="N5295">
        <f>IF(AND(ISNUMBER(L5295),ISNUMBER(M5295)),L5295-M5295,"")</f>
        <v/>
      </c>
    </row>
    <row r="5296">
      <c r="N5296">
        <f>IF(AND(ISNUMBER(L5296),ISNUMBER(M5296)),L5296-M5296,"")</f>
        <v/>
      </c>
    </row>
    <row r="5297">
      <c r="N5297">
        <f>IF(AND(ISNUMBER(L5297),ISNUMBER(M5297)),L5297-M5297,"")</f>
        <v/>
      </c>
    </row>
    <row r="5298">
      <c r="N5298">
        <f>IF(AND(ISNUMBER(L5298),ISNUMBER(M5298)),L5298-M5298,"")</f>
        <v/>
      </c>
    </row>
    <row r="5299">
      <c r="N5299">
        <f>IF(AND(ISNUMBER(L5299),ISNUMBER(M5299)),L5299-M5299,"")</f>
        <v/>
      </c>
    </row>
    <row r="5300">
      <c r="N5300">
        <f>IF(AND(ISNUMBER(L5300),ISNUMBER(M5300)),L5300-M5300,"")</f>
        <v/>
      </c>
    </row>
    <row r="5301">
      <c r="N5301">
        <f>IF(AND(ISNUMBER(L5301),ISNUMBER(M5301)),L5301-M5301,"")</f>
        <v/>
      </c>
    </row>
    <row r="5302">
      <c r="N5302">
        <f>IF(AND(ISNUMBER(L5302),ISNUMBER(M5302)),L5302-M5302,"")</f>
        <v/>
      </c>
    </row>
    <row r="5303">
      <c r="N5303">
        <f>IF(AND(ISNUMBER(L5303),ISNUMBER(M5303)),L5303-M5303,"")</f>
        <v/>
      </c>
    </row>
    <row r="5304">
      <c r="N5304">
        <f>IF(AND(ISNUMBER(L5304),ISNUMBER(M5304)),L5304-M5304,"")</f>
        <v/>
      </c>
    </row>
    <row r="5305">
      <c r="N5305">
        <f>IF(AND(ISNUMBER(L5305),ISNUMBER(M5305)),L5305-M5305,"")</f>
        <v/>
      </c>
    </row>
    <row r="5306">
      <c r="N5306">
        <f>IF(AND(ISNUMBER(L5306),ISNUMBER(M5306)),L5306-M5306,"")</f>
        <v/>
      </c>
    </row>
    <row r="5307">
      <c r="N5307">
        <f>IF(AND(ISNUMBER(L5307),ISNUMBER(M5307)),L5307-M5307,"")</f>
        <v/>
      </c>
    </row>
    <row r="5308">
      <c r="N5308">
        <f>IF(AND(ISNUMBER(L5308),ISNUMBER(M5308)),L5308-M5308,"")</f>
        <v/>
      </c>
    </row>
    <row r="5309">
      <c r="N5309">
        <f>IF(AND(ISNUMBER(L5309),ISNUMBER(M5309)),L5309-M5309,"")</f>
        <v/>
      </c>
    </row>
    <row r="5310">
      <c r="N5310">
        <f>IF(AND(ISNUMBER(L5310),ISNUMBER(M5310)),L5310-M5310,"")</f>
        <v/>
      </c>
    </row>
    <row r="5311">
      <c r="N5311">
        <f>IF(AND(ISNUMBER(L5311),ISNUMBER(M5311)),L5311-M5311,"")</f>
        <v/>
      </c>
    </row>
    <row r="5312">
      <c r="N5312">
        <f>IF(AND(ISNUMBER(L5312),ISNUMBER(M5312)),L5312-M5312,"")</f>
        <v/>
      </c>
    </row>
    <row r="5313">
      <c r="N5313">
        <f>IF(AND(ISNUMBER(L5313),ISNUMBER(M5313)),L5313-M5313,"")</f>
        <v/>
      </c>
    </row>
    <row r="5314">
      <c r="N5314">
        <f>IF(AND(ISNUMBER(L5314),ISNUMBER(M5314)),L5314-M5314,"")</f>
        <v/>
      </c>
    </row>
    <row r="5315">
      <c r="N5315">
        <f>IF(AND(ISNUMBER(L5315),ISNUMBER(M5315)),L5315-M5315,"")</f>
        <v/>
      </c>
    </row>
    <row r="5316">
      <c r="N5316">
        <f>IF(AND(ISNUMBER(L5316),ISNUMBER(M5316)),L5316-M5316,"")</f>
        <v/>
      </c>
    </row>
    <row r="5317">
      <c r="N5317">
        <f>IF(AND(ISNUMBER(L5317),ISNUMBER(M5317)),L5317-M5317,"")</f>
        <v/>
      </c>
    </row>
    <row r="5318">
      <c r="N5318">
        <f>IF(AND(ISNUMBER(L5318),ISNUMBER(M5318)),L5318-M5318,"")</f>
        <v/>
      </c>
    </row>
    <row r="5319">
      <c r="N5319">
        <f>IF(AND(ISNUMBER(L5319),ISNUMBER(M5319)),L5319-M5319,"")</f>
        <v/>
      </c>
    </row>
    <row r="5320">
      <c r="N5320">
        <f>IF(AND(ISNUMBER(L5320),ISNUMBER(M5320)),L5320-M5320,"")</f>
        <v/>
      </c>
    </row>
    <row r="5321">
      <c r="N5321">
        <f>IF(AND(ISNUMBER(L5321),ISNUMBER(M5321)),L5321-M5321,"")</f>
        <v/>
      </c>
    </row>
    <row r="5322">
      <c r="N5322">
        <f>IF(AND(ISNUMBER(L5322),ISNUMBER(M5322)),L5322-M5322,"")</f>
        <v/>
      </c>
    </row>
    <row r="5323">
      <c r="N5323">
        <f>IF(AND(ISNUMBER(L5323),ISNUMBER(M5323)),L5323-M5323,"")</f>
        <v/>
      </c>
    </row>
    <row r="5324">
      <c r="N5324">
        <f>IF(AND(ISNUMBER(L5324),ISNUMBER(M5324)),L5324-M5324,"")</f>
        <v/>
      </c>
    </row>
    <row r="5325">
      <c r="N5325">
        <f>IF(AND(ISNUMBER(L5325),ISNUMBER(M5325)),L5325-M5325,"")</f>
        <v/>
      </c>
    </row>
    <row r="5326">
      <c r="N5326">
        <f>IF(AND(ISNUMBER(L5326),ISNUMBER(M5326)),L5326-M5326,"")</f>
        <v/>
      </c>
    </row>
    <row r="5327">
      <c r="N5327">
        <f>IF(AND(ISNUMBER(L5327),ISNUMBER(M5327)),L5327-M5327,"")</f>
        <v/>
      </c>
    </row>
    <row r="5328">
      <c r="N5328">
        <f>IF(AND(ISNUMBER(L5328),ISNUMBER(M5328)),L5328-M5328,"")</f>
        <v/>
      </c>
    </row>
    <row r="5329">
      <c r="N5329">
        <f>IF(AND(ISNUMBER(L5329),ISNUMBER(M5329)),L5329-M5329,"")</f>
        <v/>
      </c>
    </row>
    <row r="5330">
      <c r="N5330">
        <f>IF(AND(ISNUMBER(L5330),ISNUMBER(M5330)),L5330-M5330,"")</f>
        <v/>
      </c>
    </row>
    <row r="5331">
      <c r="N5331">
        <f>IF(AND(ISNUMBER(L5331),ISNUMBER(M5331)),L5331-M5331,"")</f>
        <v/>
      </c>
    </row>
    <row r="5332">
      <c r="N5332">
        <f>IF(AND(ISNUMBER(L5332),ISNUMBER(M5332)),L5332-M5332,"")</f>
        <v/>
      </c>
    </row>
    <row r="5333">
      <c r="N5333">
        <f>IF(AND(ISNUMBER(L5333),ISNUMBER(M5333)),L5333-M5333,"")</f>
        <v/>
      </c>
    </row>
    <row r="5334">
      <c r="N5334">
        <f>IF(AND(ISNUMBER(L5334),ISNUMBER(M5334)),L5334-M5334,"")</f>
        <v/>
      </c>
    </row>
    <row r="5335">
      <c r="N5335">
        <f>IF(AND(ISNUMBER(L5335),ISNUMBER(M5335)),L5335-M5335,"")</f>
        <v/>
      </c>
    </row>
    <row r="5336">
      <c r="N5336">
        <f>IF(AND(ISNUMBER(L5336),ISNUMBER(M5336)),L5336-M5336,"")</f>
        <v/>
      </c>
    </row>
    <row r="5337">
      <c r="N5337">
        <f>IF(AND(ISNUMBER(L5337),ISNUMBER(M5337)),L5337-M5337,"")</f>
        <v/>
      </c>
    </row>
    <row r="5338">
      <c r="N5338">
        <f>IF(AND(ISNUMBER(L5338),ISNUMBER(M5338)),L5338-M5338,"")</f>
        <v/>
      </c>
    </row>
    <row r="5339">
      <c r="N5339">
        <f>IF(AND(ISNUMBER(L5339),ISNUMBER(M5339)),L5339-M5339,"")</f>
        <v/>
      </c>
    </row>
    <row r="5340">
      <c r="N5340">
        <f>IF(AND(ISNUMBER(L5340),ISNUMBER(M5340)),L5340-M5340,"")</f>
        <v/>
      </c>
    </row>
    <row r="5341">
      <c r="N5341">
        <f>IF(AND(ISNUMBER(L5341),ISNUMBER(M5341)),L5341-M5341,"")</f>
        <v/>
      </c>
    </row>
    <row r="5342">
      <c r="N5342">
        <f>IF(AND(ISNUMBER(L5342),ISNUMBER(M5342)),L5342-M5342,"")</f>
        <v/>
      </c>
    </row>
    <row r="5343">
      <c r="N5343">
        <f>IF(AND(ISNUMBER(L5343),ISNUMBER(M5343)),L5343-M5343,"")</f>
        <v/>
      </c>
    </row>
    <row r="5344">
      <c r="N5344">
        <f>IF(AND(ISNUMBER(L5344),ISNUMBER(M5344)),L5344-M5344,"")</f>
        <v/>
      </c>
    </row>
    <row r="5345">
      <c r="N5345">
        <f>IF(AND(ISNUMBER(L5345),ISNUMBER(M5345)),L5345-M5345,"")</f>
        <v/>
      </c>
    </row>
    <row r="5346">
      <c r="N5346">
        <f>IF(AND(ISNUMBER(L5346),ISNUMBER(M5346)),L5346-M5346,"")</f>
        <v/>
      </c>
    </row>
    <row r="5347">
      <c r="N5347">
        <f>IF(AND(ISNUMBER(L5347),ISNUMBER(M5347)),L5347-M5347,"")</f>
        <v/>
      </c>
    </row>
    <row r="5348">
      <c r="N5348">
        <f>IF(AND(ISNUMBER(L5348),ISNUMBER(M5348)),L5348-M5348,"")</f>
        <v/>
      </c>
    </row>
    <row r="5349">
      <c r="N5349">
        <f>IF(AND(ISNUMBER(L5349),ISNUMBER(M5349)),L5349-M5349,"")</f>
        <v/>
      </c>
    </row>
    <row r="5350">
      <c r="N5350">
        <f>IF(AND(ISNUMBER(L5350),ISNUMBER(M5350)),L5350-M5350,"")</f>
        <v/>
      </c>
    </row>
    <row r="5351">
      <c r="N5351">
        <f>IF(AND(ISNUMBER(L5351),ISNUMBER(M5351)),L5351-M5351,"")</f>
        <v/>
      </c>
    </row>
    <row r="5352">
      <c r="N5352">
        <f>IF(AND(ISNUMBER(L5352),ISNUMBER(M5352)),L5352-M5352,"")</f>
        <v/>
      </c>
    </row>
    <row r="5353">
      <c r="N5353">
        <f>IF(AND(ISNUMBER(L5353),ISNUMBER(M5353)),L5353-M5353,"")</f>
        <v/>
      </c>
    </row>
    <row r="5354">
      <c r="N5354">
        <f>IF(AND(ISNUMBER(L5354),ISNUMBER(M5354)),L5354-M5354,"")</f>
        <v/>
      </c>
    </row>
    <row r="5355">
      <c r="N5355">
        <f>IF(AND(ISNUMBER(L5355),ISNUMBER(M5355)),L5355-M5355,"")</f>
        <v/>
      </c>
    </row>
    <row r="5356">
      <c r="N5356">
        <f>IF(AND(ISNUMBER(L5356),ISNUMBER(M5356)),L5356-M5356,"")</f>
        <v/>
      </c>
    </row>
    <row r="5357">
      <c r="N5357">
        <f>IF(AND(ISNUMBER(L5357),ISNUMBER(M5357)),L5357-M5357,"")</f>
        <v/>
      </c>
    </row>
    <row r="5358">
      <c r="N5358">
        <f>IF(AND(ISNUMBER(L5358),ISNUMBER(M5358)),L5358-M5358,"")</f>
        <v/>
      </c>
    </row>
    <row r="5359">
      <c r="N5359">
        <f>IF(AND(ISNUMBER(L5359),ISNUMBER(M5359)),L5359-M5359,"")</f>
        <v/>
      </c>
    </row>
    <row r="5360">
      <c r="N5360">
        <f>IF(AND(ISNUMBER(L5360),ISNUMBER(M5360)),L5360-M5360,"")</f>
        <v/>
      </c>
    </row>
    <row r="5361">
      <c r="N5361">
        <f>IF(AND(ISNUMBER(L5361),ISNUMBER(M5361)),L5361-M5361,"")</f>
        <v/>
      </c>
    </row>
    <row r="5362">
      <c r="N5362">
        <f>IF(AND(ISNUMBER(L5362),ISNUMBER(M5362)),L5362-M5362,"")</f>
        <v/>
      </c>
    </row>
    <row r="5363">
      <c r="N5363">
        <f>IF(AND(ISNUMBER(L5363),ISNUMBER(M5363)),L5363-M5363,"")</f>
        <v/>
      </c>
    </row>
    <row r="5364">
      <c r="N5364">
        <f>IF(AND(ISNUMBER(L5364),ISNUMBER(M5364)),L5364-M5364,"")</f>
        <v/>
      </c>
    </row>
    <row r="5365">
      <c r="N5365">
        <f>IF(AND(ISNUMBER(L5365),ISNUMBER(M5365)),L5365-M5365,"")</f>
        <v/>
      </c>
    </row>
    <row r="5366">
      <c r="N5366">
        <f>IF(AND(ISNUMBER(L5366),ISNUMBER(M5366)),L5366-M5366,"")</f>
        <v/>
      </c>
    </row>
    <row r="5367">
      <c r="N5367">
        <f>IF(AND(ISNUMBER(L5367),ISNUMBER(M5367)),L5367-M5367,"")</f>
        <v/>
      </c>
    </row>
    <row r="5368">
      <c r="N5368">
        <f>IF(AND(ISNUMBER(L5368),ISNUMBER(M5368)),L5368-M5368,"")</f>
        <v/>
      </c>
    </row>
    <row r="5369">
      <c r="N5369">
        <f>IF(AND(ISNUMBER(L5369),ISNUMBER(M5369)),L5369-M5369,"")</f>
        <v/>
      </c>
    </row>
    <row r="5370">
      <c r="N5370">
        <f>IF(AND(ISNUMBER(L5370),ISNUMBER(M5370)),L5370-M5370,"")</f>
        <v/>
      </c>
    </row>
    <row r="5371">
      <c r="N5371">
        <f>IF(AND(ISNUMBER(L5371),ISNUMBER(M5371)),L5371-M5371,"")</f>
        <v/>
      </c>
    </row>
    <row r="5372">
      <c r="N5372">
        <f>IF(AND(ISNUMBER(L5372),ISNUMBER(M5372)),L5372-M5372,"")</f>
        <v/>
      </c>
    </row>
    <row r="5373">
      <c r="N5373">
        <f>IF(AND(ISNUMBER(L5373),ISNUMBER(M5373)),L5373-M5373,"")</f>
        <v/>
      </c>
    </row>
    <row r="5374">
      <c r="N5374">
        <f>IF(AND(ISNUMBER(L5374),ISNUMBER(M5374)),L5374-M5374,"")</f>
        <v/>
      </c>
    </row>
    <row r="5375">
      <c r="N5375">
        <f>IF(AND(ISNUMBER(L5375),ISNUMBER(M5375)),L5375-M5375,"")</f>
        <v/>
      </c>
    </row>
    <row r="5376">
      <c r="N5376">
        <f>IF(AND(ISNUMBER(L5376),ISNUMBER(M5376)),L5376-M5376,"")</f>
        <v/>
      </c>
    </row>
    <row r="5377">
      <c r="N5377">
        <f>IF(AND(ISNUMBER(L5377),ISNUMBER(M5377)),L5377-M5377,"")</f>
        <v/>
      </c>
    </row>
    <row r="5378">
      <c r="N5378">
        <f>IF(AND(ISNUMBER(L5378),ISNUMBER(M5378)),L5378-M5378,"")</f>
        <v/>
      </c>
    </row>
    <row r="5379">
      <c r="N5379">
        <f>IF(AND(ISNUMBER(L5379),ISNUMBER(M5379)),L5379-M5379,"")</f>
        <v/>
      </c>
    </row>
    <row r="5380">
      <c r="N5380">
        <f>IF(AND(ISNUMBER(L5380),ISNUMBER(M5380)),L5380-M5380,"")</f>
        <v/>
      </c>
    </row>
    <row r="5381">
      <c r="N5381">
        <f>IF(AND(ISNUMBER(L5381),ISNUMBER(M5381)),L5381-M5381,"")</f>
        <v/>
      </c>
    </row>
    <row r="5382">
      <c r="N5382">
        <f>IF(AND(ISNUMBER(L5382),ISNUMBER(M5382)),L5382-M5382,"")</f>
        <v/>
      </c>
    </row>
    <row r="5383">
      <c r="N5383">
        <f>IF(AND(ISNUMBER(L5383),ISNUMBER(M5383)),L5383-M5383,"")</f>
        <v/>
      </c>
    </row>
    <row r="5384">
      <c r="N5384">
        <f>IF(AND(ISNUMBER(L5384),ISNUMBER(M5384)),L5384-M5384,"")</f>
        <v/>
      </c>
    </row>
    <row r="5385">
      <c r="N5385">
        <f>IF(AND(ISNUMBER(L5385),ISNUMBER(M5385)),L5385-M5385,"")</f>
        <v/>
      </c>
    </row>
    <row r="5386">
      <c r="N5386">
        <f>IF(AND(ISNUMBER(L5386),ISNUMBER(M5386)),L5386-M5386,"")</f>
        <v/>
      </c>
    </row>
    <row r="5387">
      <c r="N5387">
        <f>IF(AND(ISNUMBER(L5387),ISNUMBER(M5387)),L5387-M5387,"")</f>
        <v/>
      </c>
    </row>
    <row r="5388">
      <c r="N5388">
        <f>IF(AND(ISNUMBER(L5388),ISNUMBER(M5388)),L5388-M5388,"")</f>
        <v/>
      </c>
    </row>
    <row r="5389">
      <c r="N5389">
        <f>IF(AND(ISNUMBER(L5389),ISNUMBER(M5389)),L5389-M5389,"")</f>
        <v/>
      </c>
    </row>
    <row r="5390">
      <c r="N5390">
        <f>IF(AND(ISNUMBER(L5390),ISNUMBER(M5390)),L5390-M5390,"")</f>
        <v/>
      </c>
    </row>
    <row r="5391">
      <c r="N5391">
        <f>IF(AND(ISNUMBER(L5391),ISNUMBER(M5391)),L5391-M5391,"")</f>
        <v/>
      </c>
    </row>
    <row r="5392">
      <c r="N5392">
        <f>IF(AND(ISNUMBER(L5392),ISNUMBER(M5392)),L5392-M5392,"")</f>
        <v/>
      </c>
    </row>
    <row r="5393">
      <c r="N5393">
        <f>IF(AND(ISNUMBER(L5393),ISNUMBER(M5393)),L5393-M5393,"")</f>
        <v/>
      </c>
    </row>
    <row r="5394">
      <c r="N5394">
        <f>IF(AND(ISNUMBER(L5394),ISNUMBER(M5394)),L5394-M5394,"")</f>
        <v/>
      </c>
    </row>
    <row r="5395">
      <c r="N5395">
        <f>IF(AND(ISNUMBER(L5395),ISNUMBER(M5395)),L5395-M5395,"")</f>
        <v/>
      </c>
    </row>
    <row r="5396">
      <c r="N5396">
        <f>IF(AND(ISNUMBER(L5396),ISNUMBER(M5396)),L5396-M5396,"")</f>
        <v/>
      </c>
    </row>
    <row r="5397">
      <c r="N5397">
        <f>IF(AND(ISNUMBER(L5397),ISNUMBER(M5397)),L5397-M5397,"")</f>
        <v/>
      </c>
    </row>
    <row r="5398">
      <c r="N5398">
        <f>IF(AND(ISNUMBER(L5398),ISNUMBER(M5398)),L5398-M5398,"")</f>
        <v/>
      </c>
    </row>
    <row r="5399">
      <c r="N5399">
        <f>IF(AND(ISNUMBER(L5399),ISNUMBER(M5399)),L5399-M5399,"")</f>
        <v/>
      </c>
    </row>
    <row r="5400">
      <c r="N5400">
        <f>IF(AND(ISNUMBER(L5400),ISNUMBER(M5400)),L5400-M5400,"")</f>
        <v/>
      </c>
    </row>
    <row r="5401">
      <c r="N5401">
        <f>IF(AND(ISNUMBER(L5401),ISNUMBER(M5401)),L5401-M5401,"")</f>
        <v/>
      </c>
    </row>
    <row r="5402">
      <c r="N5402">
        <f>IF(AND(ISNUMBER(L5402),ISNUMBER(M5402)),L5402-M5402,"")</f>
        <v/>
      </c>
    </row>
    <row r="5403">
      <c r="N5403">
        <f>IF(AND(ISNUMBER(L5403),ISNUMBER(M5403)),L5403-M5403,"")</f>
        <v/>
      </c>
    </row>
    <row r="5404">
      <c r="N5404">
        <f>IF(AND(ISNUMBER(L5404),ISNUMBER(M5404)),L5404-M5404,"")</f>
        <v/>
      </c>
    </row>
    <row r="5405">
      <c r="N5405">
        <f>IF(AND(ISNUMBER(L5405),ISNUMBER(M5405)),L5405-M5405,"")</f>
        <v/>
      </c>
    </row>
    <row r="5406">
      <c r="N5406">
        <f>IF(AND(ISNUMBER(L5406),ISNUMBER(M5406)),L5406-M5406,"")</f>
        <v/>
      </c>
    </row>
    <row r="5407">
      <c r="N5407">
        <f>IF(AND(ISNUMBER(L5407),ISNUMBER(M5407)),L5407-M5407,"")</f>
        <v/>
      </c>
    </row>
    <row r="5408">
      <c r="N5408">
        <f>IF(AND(ISNUMBER(L5408),ISNUMBER(M5408)),L5408-M5408,"")</f>
        <v/>
      </c>
    </row>
    <row r="5409">
      <c r="N5409">
        <f>IF(AND(ISNUMBER(L5409),ISNUMBER(M5409)),L5409-M5409,"")</f>
        <v/>
      </c>
    </row>
    <row r="5410">
      <c r="N5410">
        <f>IF(AND(ISNUMBER(L5410),ISNUMBER(M5410)),L5410-M5410,"")</f>
        <v/>
      </c>
    </row>
    <row r="5411">
      <c r="N5411">
        <f>IF(AND(ISNUMBER(L5411),ISNUMBER(M5411)),L5411-M5411,"")</f>
        <v/>
      </c>
    </row>
    <row r="5412">
      <c r="N5412">
        <f>IF(AND(ISNUMBER(L5412),ISNUMBER(M5412)),L5412-M5412,"")</f>
        <v/>
      </c>
    </row>
    <row r="5413">
      <c r="N5413">
        <f>IF(AND(ISNUMBER(L5413),ISNUMBER(M5413)),L5413-M5413,"")</f>
        <v/>
      </c>
    </row>
    <row r="5414">
      <c r="N5414">
        <f>IF(AND(ISNUMBER(L5414),ISNUMBER(M5414)),L5414-M5414,"")</f>
        <v/>
      </c>
    </row>
    <row r="5415">
      <c r="N5415">
        <f>IF(AND(ISNUMBER(L5415),ISNUMBER(M5415)),L5415-M5415,"")</f>
        <v/>
      </c>
    </row>
    <row r="5416">
      <c r="N5416">
        <f>IF(AND(ISNUMBER(L5416),ISNUMBER(M5416)),L5416-M5416,"")</f>
        <v/>
      </c>
    </row>
    <row r="5417">
      <c r="N5417">
        <f>IF(AND(ISNUMBER(L5417),ISNUMBER(M5417)),L5417-M5417,"")</f>
        <v/>
      </c>
    </row>
    <row r="5418">
      <c r="N5418">
        <f>IF(AND(ISNUMBER(L5418),ISNUMBER(M5418)),L5418-M5418,"")</f>
        <v/>
      </c>
    </row>
    <row r="5419">
      <c r="N5419">
        <f>IF(AND(ISNUMBER(L5419),ISNUMBER(M5419)),L5419-M5419,"")</f>
        <v/>
      </c>
    </row>
    <row r="5420">
      <c r="N5420">
        <f>IF(AND(ISNUMBER(L5420),ISNUMBER(M5420)),L5420-M5420,"")</f>
        <v/>
      </c>
    </row>
    <row r="5421">
      <c r="N5421">
        <f>IF(AND(ISNUMBER(L5421),ISNUMBER(M5421)),L5421-M5421,"")</f>
        <v/>
      </c>
    </row>
    <row r="5422">
      <c r="N5422">
        <f>IF(AND(ISNUMBER(L5422),ISNUMBER(M5422)),L5422-M5422,"")</f>
        <v/>
      </c>
    </row>
    <row r="5423">
      <c r="N5423">
        <f>IF(AND(ISNUMBER(L5423),ISNUMBER(M5423)),L5423-M5423,"")</f>
        <v/>
      </c>
    </row>
    <row r="5424">
      <c r="N5424">
        <f>IF(AND(ISNUMBER(L5424),ISNUMBER(M5424)),L5424-M5424,"")</f>
        <v/>
      </c>
    </row>
    <row r="5425">
      <c r="N5425">
        <f>IF(AND(ISNUMBER(L5425),ISNUMBER(M5425)),L5425-M5425,"")</f>
        <v/>
      </c>
    </row>
    <row r="5426">
      <c r="N5426">
        <f>IF(AND(ISNUMBER(L5426),ISNUMBER(M5426)),L5426-M5426,"")</f>
        <v/>
      </c>
    </row>
    <row r="5427">
      <c r="N5427">
        <f>IF(AND(ISNUMBER(L5427),ISNUMBER(M5427)),L5427-M5427,"")</f>
        <v/>
      </c>
    </row>
    <row r="5428">
      <c r="N5428">
        <f>IF(AND(ISNUMBER(L5428),ISNUMBER(M5428)),L5428-M5428,"")</f>
        <v/>
      </c>
    </row>
    <row r="5429">
      <c r="N5429">
        <f>IF(AND(ISNUMBER(L5429),ISNUMBER(M5429)),L5429-M5429,"")</f>
        <v/>
      </c>
    </row>
    <row r="5430">
      <c r="N5430">
        <f>IF(AND(ISNUMBER(L5430),ISNUMBER(M5430)),L5430-M5430,"")</f>
        <v/>
      </c>
    </row>
    <row r="5431">
      <c r="N5431">
        <f>IF(AND(ISNUMBER(L5431),ISNUMBER(M5431)),L5431-M5431,"")</f>
        <v/>
      </c>
    </row>
    <row r="5432">
      <c r="N5432">
        <f>IF(AND(ISNUMBER(L5432),ISNUMBER(M5432)),L5432-M5432,"")</f>
        <v/>
      </c>
    </row>
    <row r="5433">
      <c r="N5433">
        <f>IF(AND(ISNUMBER(L5433),ISNUMBER(M5433)),L5433-M5433,"")</f>
        <v/>
      </c>
    </row>
    <row r="5434">
      <c r="N5434">
        <f>IF(AND(ISNUMBER(L5434),ISNUMBER(M5434)),L5434-M5434,"")</f>
        <v/>
      </c>
    </row>
    <row r="5435">
      <c r="N5435">
        <f>IF(AND(ISNUMBER(L5435),ISNUMBER(M5435)),L5435-M5435,"")</f>
        <v/>
      </c>
    </row>
    <row r="5436">
      <c r="N5436">
        <f>IF(AND(ISNUMBER(L5436),ISNUMBER(M5436)),L5436-M5436,"")</f>
        <v/>
      </c>
    </row>
    <row r="5437">
      <c r="N5437">
        <f>IF(AND(ISNUMBER(L5437),ISNUMBER(M5437)),L5437-M5437,"")</f>
        <v/>
      </c>
    </row>
    <row r="5438">
      <c r="N5438">
        <f>IF(AND(ISNUMBER(L5438),ISNUMBER(M5438)),L5438-M5438,"")</f>
        <v/>
      </c>
    </row>
    <row r="5439">
      <c r="N5439">
        <f>IF(AND(ISNUMBER(L5439),ISNUMBER(M5439)),L5439-M5439,"")</f>
        <v/>
      </c>
    </row>
    <row r="5440">
      <c r="N5440">
        <f>IF(AND(ISNUMBER(L5440),ISNUMBER(M5440)),L5440-M5440,"")</f>
        <v/>
      </c>
    </row>
    <row r="5441">
      <c r="N5441">
        <f>IF(AND(ISNUMBER(L5441),ISNUMBER(M5441)),L5441-M5441,"")</f>
        <v/>
      </c>
    </row>
    <row r="5442">
      <c r="N5442">
        <f>IF(AND(ISNUMBER(L5442),ISNUMBER(M5442)),L5442-M5442,"")</f>
        <v/>
      </c>
    </row>
    <row r="5443">
      <c r="N5443">
        <f>IF(AND(ISNUMBER(L5443),ISNUMBER(M5443)),L5443-M5443,"")</f>
        <v/>
      </c>
    </row>
    <row r="5444">
      <c r="N5444">
        <f>IF(AND(ISNUMBER(L5444),ISNUMBER(M5444)),L5444-M5444,"")</f>
        <v/>
      </c>
    </row>
    <row r="5445">
      <c r="N5445">
        <f>IF(AND(ISNUMBER(L5445),ISNUMBER(M5445)),L5445-M5445,"")</f>
        <v/>
      </c>
    </row>
    <row r="5446">
      <c r="N5446">
        <f>IF(AND(ISNUMBER(L5446),ISNUMBER(M5446)),L5446-M5446,"")</f>
        <v/>
      </c>
    </row>
    <row r="5447">
      <c r="N5447">
        <f>IF(AND(ISNUMBER(L5447),ISNUMBER(M5447)),L5447-M5447,"")</f>
        <v/>
      </c>
    </row>
    <row r="5448">
      <c r="N5448">
        <f>IF(AND(ISNUMBER(L5448),ISNUMBER(M5448)),L5448-M5448,"")</f>
        <v/>
      </c>
    </row>
    <row r="5449">
      <c r="N5449">
        <f>IF(AND(ISNUMBER(L5449),ISNUMBER(M5449)),L5449-M5449,"")</f>
        <v/>
      </c>
    </row>
    <row r="5450">
      <c r="N5450">
        <f>IF(AND(ISNUMBER(L5450),ISNUMBER(M5450)),L5450-M5450,"")</f>
        <v/>
      </c>
    </row>
    <row r="5451">
      <c r="N5451">
        <f>IF(AND(ISNUMBER(L5451),ISNUMBER(M5451)),L5451-M5451,"")</f>
        <v/>
      </c>
    </row>
    <row r="5452">
      <c r="N5452">
        <f>IF(AND(ISNUMBER(L5452),ISNUMBER(M5452)),L5452-M5452,"")</f>
        <v/>
      </c>
    </row>
    <row r="5453">
      <c r="N5453">
        <f>IF(AND(ISNUMBER(L5453),ISNUMBER(M5453)),L5453-M5453,"")</f>
        <v/>
      </c>
    </row>
    <row r="5454">
      <c r="N5454">
        <f>IF(AND(ISNUMBER(L5454),ISNUMBER(M5454)),L5454-M5454,"")</f>
        <v/>
      </c>
    </row>
    <row r="5455">
      <c r="N5455">
        <f>IF(AND(ISNUMBER(L5455),ISNUMBER(M5455)),L5455-M5455,"")</f>
        <v/>
      </c>
    </row>
    <row r="5456">
      <c r="N5456">
        <f>IF(AND(ISNUMBER(L5456),ISNUMBER(M5456)),L5456-M5456,"")</f>
        <v/>
      </c>
    </row>
    <row r="5457">
      <c r="N5457">
        <f>IF(AND(ISNUMBER(L5457),ISNUMBER(M5457)),L5457-M5457,"")</f>
        <v/>
      </c>
    </row>
    <row r="5458">
      <c r="N5458">
        <f>IF(AND(ISNUMBER(L5458),ISNUMBER(M5458)),L5458-M5458,"")</f>
        <v/>
      </c>
    </row>
    <row r="5459">
      <c r="N5459">
        <f>IF(AND(ISNUMBER(L5459),ISNUMBER(M5459)),L5459-M5459,"")</f>
        <v/>
      </c>
    </row>
    <row r="5460">
      <c r="N5460">
        <f>IF(AND(ISNUMBER(L5460),ISNUMBER(M5460)),L5460-M5460,"")</f>
        <v/>
      </c>
    </row>
    <row r="5461">
      <c r="N5461">
        <f>IF(AND(ISNUMBER(L5461),ISNUMBER(M5461)),L5461-M5461,"")</f>
        <v/>
      </c>
    </row>
    <row r="5462">
      <c r="N5462">
        <f>IF(AND(ISNUMBER(L5462),ISNUMBER(M5462)),L5462-M5462,"")</f>
        <v/>
      </c>
    </row>
    <row r="5463">
      <c r="N5463">
        <f>IF(AND(ISNUMBER(L5463),ISNUMBER(M5463)),L5463-M5463,"")</f>
        <v/>
      </c>
    </row>
    <row r="5464">
      <c r="N5464">
        <f>IF(AND(ISNUMBER(L5464),ISNUMBER(M5464)),L5464-M5464,"")</f>
        <v/>
      </c>
    </row>
    <row r="5465">
      <c r="N5465">
        <f>IF(AND(ISNUMBER(L5465),ISNUMBER(M5465)),L5465-M5465,"")</f>
        <v/>
      </c>
    </row>
    <row r="5466">
      <c r="N5466">
        <f>IF(AND(ISNUMBER(L5466),ISNUMBER(M5466)),L5466-M5466,"")</f>
        <v/>
      </c>
    </row>
    <row r="5467">
      <c r="N5467">
        <f>IF(AND(ISNUMBER(L5467),ISNUMBER(M5467)),L5467-M5467,"")</f>
        <v/>
      </c>
    </row>
    <row r="5468">
      <c r="N5468">
        <f>IF(AND(ISNUMBER(L5468),ISNUMBER(M5468)),L5468-M5468,"")</f>
        <v/>
      </c>
    </row>
    <row r="5469">
      <c r="N5469">
        <f>IF(AND(ISNUMBER(L5469),ISNUMBER(M5469)),L5469-M5469,"")</f>
        <v/>
      </c>
    </row>
    <row r="5470">
      <c r="N5470">
        <f>IF(AND(ISNUMBER(L5470),ISNUMBER(M5470)),L5470-M5470,"")</f>
        <v/>
      </c>
    </row>
    <row r="5471">
      <c r="N5471">
        <f>IF(AND(ISNUMBER(L5471),ISNUMBER(M5471)),L5471-M5471,"")</f>
        <v/>
      </c>
    </row>
    <row r="5472">
      <c r="N5472">
        <f>IF(AND(ISNUMBER(L5472),ISNUMBER(M5472)),L5472-M5472,"")</f>
        <v/>
      </c>
    </row>
    <row r="5473">
      <c r="N5473">
        <f>IF(AND(ISNUMBER(L5473),ISNUMBER(M5473)),L5473-M5473,"")</f>
        <v/>
      </c>
    </row>
    <row r="5474">
      <c r="N5474">
        <f>IF(AND(ISNUMBER(L5474),ISNUMBER(M5474)),L5474-M5474,"")</f>
        <v/>
      </c>
    </row>
    <row r="5475">
      <c r="N5475">
        <f>IF(AND(ISNUMBER(L5475),ISNUMBER(M5475)),L5475-M5475,"")</f>
        <v/>
      </c>
    </row>
    <row r="5476">
      <c r="N5476">
        <f>IF(AND(ISNUMBER(L5476),ISNUMBER(M5476)),L5476-M5476,"")</f>
        <v/>
      </c>
    </row>
    <row r="5477">
      <c r="N5477">
        <f>IF(AND(ISNUMBER(L5477),ISNUMBER(M5477)),L5477-M5477,"")</f>
        <v/>
      </c>
    </row>
    <row r="5478">
      <c r="N5478">
        <f>IF(AND(ISNUMBER(L5478),ISNUMBER(M5478)),L5478-M5478,"")</f>
        <v/>
      </c>
    </row>
    <row r="5479">
      <c r="N5479">
        <f>IF(AND(ISNUMBER(L5479),ISNUMBER(M5479)),L5479-M5479,"")</f>
        <v/>
      </c>
    </row>
    <row r="5480">
      <c r="N5480">
        <f>IF(AND(ISNUMBER(L5480),ISNUMBER(M5480)),L5480-M5480,"")</f>
        <v/>
      </c>
    </row>
    <row r="5481">
      <c r="N5481">
        <f>IF(AND(ISNUMBER(L5481),ISNUMBER(M5481)),L5481-M5481,"")</f>
        <v/>
      </c>
    </row>
    <row r="5482">
      <c r="N5482">
        <f>IF(AND(ISNUMBER(L5482),ISNUMBER(M5482)),L5482-M5482,"")</f>
        <v/>
      </c>
    </row>
    <row r="5483">
      <c r="N5483">
        <f>IF(AND(ISNUMBER(L5483),ISNUMBER(M5483)),L5483-M5483,"")</f>
        <v/>
      </c>
    </row>
    <row r="5484">
      <c r="N5484">
        <f>IF(AND(ISNUMBER(L5484),ISNUMBER(M5484)),L5484-M5484,"")</f>
        <v/>
      </c>
    </row>
    <row r="5485">
      <c r="N5485">
        <f>IF(AND(ISNUMBER(L5485),ISNUMBER(M5485)),L5485-M5485,"")</f>
        <v/>
      </c>
    </row>
    <row r="5486">
      <c r="N5486">
        <f>IF(AND(ISNUMBER(L5486),ISNUMBER(M5486)),L5486-M5486,"")</f>
        <v/>
      </c>
    </row>
    <row r="5487">
      <c r="N5487">
        <f>IF(AND(ISNUMBER(L5487),ISNUMBER(M5487)),L5487-M5487,"")</f>
        <v/>
      </c>
    </row>
    <row r="5488">
      <c r="N5488">
        <f>IF(AND(ISNUMBER(L5488),ISNUMBER(M5488)),L5488-M5488,"")</f>
        <v/>
      </c>
    </row>
    <row r="5489">
      <c r="N5489">
        <f>IF(AND(ISNUMBER(L5489),ISNUMBER(M5489)),L5489-M5489,"")</f>
        <v/>
      </c>
    </row>
    <row r="5490">
      <c r="N5490">
        <f>IF(AND(ISNUMBER(L5490),ISNUMBER(M5490)),L5490-M5490,"")</f>
        <v/>
      </c>
    </row>
    <row r="5491">
      <c r="N5491">
        <f>IF(AND(ISNUMBER(L5491),ISNUMBER(M5491)),L5491-M5491,"")</f>
        <v/>
      </c>
    </row>
    <row r="5492">
      <c r="N5492">
        <f>IF(AND(ISNUMBER(L5492),ISNUMBER(M5492)),L5492-M5492,"")</f>
        <v/>
      </c>
    </row>
    <row r="5493">
      <c r="N5493">
        <f>IF(AND(ISNUMBER(L5493),ISNUMBER(M5493)),L5493-M5493,"")</f>
        <v/>
      </c>
    </row>
    <row r="5494">
      <c r="N5494">
        <f>IF(AND(ISNUMBER(L5494),ISNUMBER(M5494)),L5494-M5494,"")</f>
        <v/>
      </c>
    </row>
    <row r="5495">
      <c r="N5495">
        <f>IF(AND(ISNUMBER(L5495),ISNUMBER(M5495)),L5495-M5495,"")</f>
        <v/>
      </c>
    </row>
    <row r="5496">
      <c r="N5496">
        <f>IF(AND(ISNUMBER(L5496),ISNUMBER(M5496)),L5496-M5496,"")</f>
        <v/>
      </c>
    </row>
    <row r="5497">
      <c r="N5497">
        <f>IF(AND(ISNUMBER(L5497),ISNUMBER(M5497)),L5497-M5497,"")</f>
        <v/>
      </c>
    </row>
    <row r="5498">
      <c r="N5498">
        <f>IF(AND(ISNUMBER(L5498),ISNUMBER(M5498)),L5498-M5498,"")</f>
        <v/>
      </c>
    </row>
    <row r="5499">
      <c r="N5499">
        <f>IF(AND(ISNUMBER(L5499),ISNUMBER(M5499)),L5499-M5499,"")</f>
        <v/>
      </c>
    </row>
    <row r="5500">
      <c r="N5500">
        <f>IF(AND(ISNUMBER(L5500),ISNUMBER(M5500)),L5500-M5500,"")</f>
        <v/>
      </c>
    </row>
    <row r="5501">
      <c r="N5501">
        <f>IF(AND(ISNUMBER(L5501),ISNUMBER(M5501)),L5501-M5501,"")</f>
        <v/>
      </c>
    </row>
    <row r="5502">
      <c r="N5502">
        <f>IF(AND(ISNUMBER(L5502),ISNUMBER(M5502)),L5502-M5502,"")</f>
        <v/>
      </c>
    </row>
    <row r="5503">
      <c r="N5503">
        <f>IF(AND(ISNUMBER(L5503),ISNUMBER(M5503)),L5503-M5503,"")</f>
        <v/>
      </c>
    </row>
    <row r="5504">
      <c r="N5504">
        <f>IF(AND(ISNUMBER(L5504),ISNUMBER(M5504)),L5504-M5504,"")</f>
        <v/>
      </c>
    </row>
    <row r="5505">
      <c r="N5505">
        <f>IF(AND(ISNUMBER(L5505),ISNUMBER(M5505)),L5505-M5505,"")</f>
        <v/>
      </c>
    </row>
    <row r="5506">
      <c r="N5506">
        <f>IF(AND(ISNUMBER(L5506),ISNUMBER(M5506)),L5506-M5506,"")</f>
        <v/>
      </c>
    </row>
    <row r="5507">
      <c r="N5507">
        <f>IF(AND(ISNUMBER(L5507),ISNUMBER(M5507)),L5507-M5507,"")</f>
        <v/>
      </c>
    </row>
    <row r="5508">
      <c r="N5508">
        <f>IF(AND(ISNUMBER(L5508),ISNUMBER(M5508)),L5508-M5508,"")</f>
        <v/>
      </c>
    </row>
    <row r="5509">
      <c r="N5509">
        <f>IF(AND(ISNUMBER(L5509),ISNUMBER(M5509)),L5509-M5509,"")</f>
        <v/>
      </c>
    </row>
    <row r="5510">
      <c r="N5510">
        <f>IF(AND(ISNUMBER(L5510),ISNUMBER(M5510)),L5510-M5510,"")</f>
        <v/>
      </c>
    </row>
    <row r="5511">
      <c r="N5511">
        <f>IF(AND(ISNUMBER(L5511),ISNUMBER(M5511)),L5511-M5511,"")</f>
        <v/>
      </c>
    </row>
    <row r="5512">
      <c r="N5512">
        <f>IF(AND(ISNUMBER(L5512),ISNUMBER(M5512)),L5512-M5512,"")</f>
        <v/>
      </c>
    </row>
    <row r="5513">
      <c r="N5513">
        <f>IF(AND(ISNUMBER(L5513),ISNUMBER(M5513)),L5513-M5513,"")</f>
        <v/>
      </c>
    </row>
    <row r="5514">
      <c r="N5514">
        <f>IF(AND(ISNUMBER(L5514),ISNUMBER(M5514)),L5514-M5514,"")</f>
        <v/>
      </c>
    </row>
    <row r="5515">
      <c r="N5515">
        <f>IF(AND(ISNUMBER(L5515),ISNUMBER(M5515)),L5515-M5515,"")</f>
        <v/>
      </c>
    </row>
    <row r="5516">
      <c r="N5516">
        <f>IF(AND(ISNUMBER(L5516),ISNUMBER(M5516)),L5516-M5516,"")</f>
        <v/>
      </c>
    </row>
    <row r="5517">
      <c r="N5517">
        <f>IF(AND(ISNUMBER(L5517),ISNUMBER(M5517)),L5517-M5517,"")</f>
        <v/>
      </c>
    </row>
    <row r="5518">
      <c r="N5518">
        <f>IF(AND(ISNUMBER(L5518),ISNUMBER(M5518)),L5518-M5518,"")</f>
        <v/>
      </c>
    </row>
    <row r="5519">
      <c r="N5519">
        <f>IF(AND(ISNUMBER(L5519),ISNUMBER(M5519)),L5519-M5519,"")</f>
        <v/>
      </c>
    </row>
    <row r="5520">
      <c r="N5520">
        <f>IF(AND(ISNUMBER(L5520),ISNUMBER(M5520)),L5520-M5520,"")</f>
        <v/>
      </c>
    </row>
    <row r="5521">
      <c r="N5521">
        <f>IF(AND(ISNUMBER(L5521),ISNUMBER(M5521)),L5521-M5521,"")</f>
        <v/>
      </c>
    </row>
    <row r="5522">
      <c r="N5522">
        <f>IF(AND(ISNUMBER(L5522),ISNUMBER(M5522)),L5522-M5522,"")</f>
        <v/>
      </c>
    </row>
    <row r="5523">
      <c r="N5523">
        <f>IF(AND(ISNUMBER(L5523),ISNUMBER(M5523)),L5523-M5523,"")</f>
        <v/>
      </c>
    </row>
    <row r="5524">
      <c r="N5524">
        <f>IF(AND(ISNUMBER(L5524),ISNUMBER(M5524)),L5524-M5524,"")</f>
        <v/>
      </c>
    </row>
    <row r="5525">
      <c r="N5525">
        <f>IF(AND(ISNUMBER(L5525),ISNUMBER(M5525)),L5525-M5525,"")</f>
        <v/>
      </c>
    </row>
    <row r="5526">
      <c r="N5526">
        <f>IF(AND(ISNUMBER(L5526),ISNUMBER(M5526)),L5526-M5526,"")</f>
        <v/>
      </c>
    </row>
    <row r="5527">
      <c r="N5527">
        <f>IF(AND(ISNUMBER(L5527),ISNUMBER(M5527)),L5527-M5527,"")</f>
        <v/>
      </c>
    </row>
    <row r="5528">
      <c r="N5528">
        <f>IF(AND(ISNUMBER(L5528),ISNUMBER(M5528)),L5528-M5528,"")</f>
        <v/>
      </c>
    </row>
    <row r="5529">
      <c r="N5529">
        <f>IF(AND(ISNUMBER(L5529),ISNUMBER(M5529)),L5529-M5529,"")</f>
        <v/>
      </c>
    </row>
    <row r="5530">
      <c r="N5530">
        <f>IF(AND(ISNUMBER(L5530),ISNUMBER(M5530)),L5530-M5530,"")</f>
        <v/>
      </c>
    </row>
    <row r="5531">
      <c r="N5531">
        <f>IF(AND(ISNUMBER(L5531),ISNUMBER(M5531)),L5531-M5531,"")</f>
        <v/>
      </c>
    </row>
    <row r="5532">
      <c r="N5532">
        <f>IF(AND(ISNUMBER(L5532),ISNUMBER(M5532)),L5532-M5532,"")</f>
        <v/>
      </c>
    </row>
    <row r="5533">
      <c r="N5533">
        <f>IF(AND(ISNUMBER(L5533),ISNUMBER(M5533)),L5533-M5533,"")</f>
        <v/>
      </c>
    </row>
    <row r="5534">
      <c r="N5534">
        <f>IF(AND(ISNUMBER(L5534),ISNUMBER(M5534)),L5534-M5534,"")</f>
        <v/>
      </c>
    </row>
    <row r="5535">
      <c r="N5535">
        <f>IF(AND(ISNUMBER(L5535),ISNUMBER(M5535)),L5535-M5535,"")</f>
        <v/>
      </c>
    </row>
    <row r="5536">
      <c r="N5536">
        <f>IF(AND(ISNUMBER(L5536),ISNUMBER(M5536)),L5536-M5536,"")</f>
        <v/>
      </c>
    </row>
    <row r="5537">
      <c r="N5537">
        <f>IF(AND(ISNUMBER(L5537),ISNUMBER(M5537)),L5537-M5537,"")</f>
        <v/>
      </c>
    </row>
    <row r="5538">
      <c r="N5538">
        <f>IF(AND(ISNUMBER(L5538),ISNUMBER(M5538)),L5538-M5538,"")</f>
        <v/>
      </c>
    </row>
    <row r="5539">
      <c r="N5539">
        <f>IF(AND(ISNUMBER(L5539),ISNUMBER(M5539)),L5539-M5539,"")</f>
        <v/>
      </c>
    </row>
    <row r="5540">
      <c r="N5540">
        <f>IF(AND(ISNUMBER(L5540),ISNUMBER(M5540)),L5540-M5540,"")</f>
        <v/>
      </c>
    </row>
    <row r="5541">
      <c r="N5541">
        <f>IF(AND(ISNUMBER(L5541),ISNUMBER(M5541)),L5541-M5541,"")</f>
        <v/>
      </c>
    </row>
    <row r="5542">
      <c r="N5542">
        <f>IF(AND(ISNUMBER(L5542),ISNUMBER(M5542)),L5542-M5542,"")</f>
        <v/>
      </c>
    </row>
    <row r="5543">
      <c r="N5543">
        <f>IF(AND(ISNUMBER(L5543),ISNUMBER(M5543)),L5543-M5543,"")</f>
        <v/>
      </c>
    </row>
    <row r="5544">
      <c r="N5544">
        <f>IF(AND(ISNUMBER(L5544),ISNUMBER(M5544)),L5544-M5544,"")</f>
        <v/>
      </c>
    </row>
    <row r="5545">
      <c r="N5545">
        <f>IF(AND(ISNUMBER(L5545),ISNUMBER(M5545)),L5545-M5545,"")</f>
        <v/>
      </c>
    </row>
    <row r="5546">
      <c r="N5546">
        <f>IF(AND(ISNUMBER(L5546),ISNUMBER(M5546)),L5546-M5546,"")</f>
        <v/>
      </c>
    </row>
    <row r="5547">
      <c r="N5547">
        <f>IF(AND(ISNUMBER(L5547),ISNUMBER(M5547)),L5547-M5547,"")</f>
        <v/>
      </c>
    </row>
    <row r="5548">
      <c r="N5548">
        <f>IF(AND(ISNUMBER(L5548),ISNUMBER(M5548)),L5548-M5548,"")</f>
        <v/>
      </c>
    </row>
    <row r="5549">
      <c r="N5549">
        <f>IF(AND(ISNUMBER(L5549),ISNUMBER(M5549)),L5549-M5549,"")</f>
        <v/>
      </c>
    </row>
    <row r="5550">
      <c r="N5550">
        <f>IF(AND(ISNUMBER(L5550),ISNUMBER(M5550)),L5550-M5550,"")</f>
        <v/>
      </c>
    </row>
    <row r="5551">
      <c r="N5551">
        <f>IF(AND(ISNUMBER(L5551),ISNUMBER(M5551)),L5551-M5551,"")</f>
        <v/>
      </c>
    </row>
    <row r="5552">
      <c r="N5552">
        <f>IF(AND(ISNUMBER(L5552),ISNUMBER(M5552)),L5552-M5552,"")</f>
        <v/>
      </c>
    </row>
    <row r="5553">
      <c r="N5553">
        <f>IF(AND(ISNUMBER(L5553),ISNUMBER(M5553)),L5553-M5553,"")</f>
        <v/>
      </c>
    </row>
    <row r="5554">
      <c r="N5554">
        <f>IF(AND(ISNUMBER(L5554),ISNUMBER(M5554)),L5554-M5554,"")</f>
        <v/>
      </c>
    </row>
    <row r="5555">
      <c r="N5555">
        <f>IF(AND(ISNUMBER(L5555),ISNUMBER(M5555)),L5555-M5555,"")</f>
        <v/>
      </c>
    </row>
    <row r="5556">
      <c r="N5556">
        <f>IF(AND(ISNUMBER(L5556),ISNUMBER(M5556)),L5556-M5556,"")</f>
        <v/>
      </c>
    </row>
    <row r="5557">
      <c r="N5557">
        <f>IF(AND(ISNUMBER(L5557),ISNUMBER(M5557)),L5557-M5557,"")</f>
        <v/>
      </c>
    </row>
    <row r="5558">
      <c r="N5558">
        <f>IF(AND(ISNUMBER(L5558),ISNUMBER(M5558)),L5558-M5558,"")</f>
        <v/>
      </c>
    </row>
    <row r="5559">
      <c r="N5559">
        <f>IF(AND(ISNUMBER(L5559),ISNUMBER(M5559)),L5559-M5559,"")</f>
        <v/>
      </c>
    </row>
    <row r="5560">
      <c r="N5560">
        <f>IF(AND(ISNUMBER(L5560),ISNUMBER(M5560)),L5560-M5560,"")</f>
        <v/>
      </c>
    </row>
    <row r="5561">
      <c r="N5561">
        <f>IF(AND(ISNUMBER(L5561),ISNUMBER(M5561)),L5561-M5561,"")</f>
        <v/>
      </c>
    </row>
    <row r="5562">
      <c r="N5562">
        <f>IF(AND(ISNUMBER(L5562),ISNUMBER(M5562)),L5562-M5562,"")</f>
        <v/>
      </c>
    </row>
    <row r="5563">
      <c r="N5563">
        <f>IF(AND(ISNUMBER(L5563),ISNUMBER(M5563)),L5563-M5563,"")</f>
        <v/>
      </c>
    </row>
    <row r="5564">
      <c r="N5564">
        <f>IF(AND(ISNUMBER(L5564),ISNUMBER(M5564)),L5564-M5564,"")</f>
        <v/>
      </c>
    </row>
    <row r="5565">
      <c r="N5565">
        <f>IF(AND(ISNUMBER(L5565),ISNUMBER(M5565)),L5565-M5565,"")</f>
        <v/>
      </c>
    </row>
    <row r="5566">
      <c r="N5566">
        <f>IF(AND(ISNUMBER(L5566),ISNUMBER(M5566)),L5566-M5566,"")</f>
        <v/>
      </c>
    </row>
    <row r="5567">
      <c r="N5567">
        <f>IF(AND(ISNUMBER(L5567),ISNUMBER(M5567)),L5567-M5567,"")</f>
        <v/>
      </c>
    </row>
    <row r="5568">
      <c r="N5568">
        <f>IF(AND(ISNUMBER(L5568),ISNUMBER(M5568)),L5568-M5568,"")</f>
        <v/>
      </c>
    </row>
    <row r="5569">
      <c r="N5569">
        <f>IF(AND(ISNUMBER(L5569),ISNUMBER(M5569)),L5569-M5569,"")</f>
        <v/>
      </c>
    </row>
    <row r="5570">
      <c r="N5570">
        <f>IF(AND(ISNUMBER(L5570),ISNUMBER(M5570)),L5570-M5570,"")</f>
        <v/>
      </c>
    </row>
    <row r="5571">
      <c r="N5571">
        <f>IF(AND(ISNUMBER(L5571),ISNUMBER(M5571)),L5571-M5571,"")</f>
        <v/>
      </c>
    </row>
    <row r="5572">
      <c r="N5572">
        <f>IF(AND(ISNUMBER(L5572),ISNUMBER(M5572)),L5572-M5572,"")</f>
        <v/>
      </c>
    </row>
    <row r="5573">
      <c r="N5573">
        <f>IF(AND(ISNUMBER(L5573),ISNUMBER(M5573)),L5573-M5573,"")</f>
        <v/>
      </c>
    </row>
    <row r="5574">
      <c r="N5574">
        <f>IF(AND(ISNUMBER(L5574),ISNUMBER(M5574)),L5574-M5574,"")</f>
        <v/>
      </c>
    </row>
    <row r="5575">
      <c r="N5575">
        <f>IF(AND(ISNUMBER(L5575),ISNUMBER(M5575)),L5575-M5575,"")</f>
        <v/>
      </c>
    </row>
    <row r="5576">
      <c r="N5576">
        <f>IF(AND(ISNUMBER(L5576),ISNUMBER(M5576)),L5576-M5576,"")</f>
        <v/>
      </c>
    </row>
    <row r="5577">
      <c r="N5577">
        <f>IF(AND(ISNUMBER(L5577),ISNUMBER(M5577)),L5577-M5577,"")</f>
        <v/>
      </c>
    </row>
    <row r="5578">
      <c r="N5578">
        <f>IF(AND(ISNUMBER(L5578),ISNUMBER(M5578)),L5578-M5578,"")</f>
        <v/>
      </c>
    </row>
    <row r="5579">
      <c r="N5579">
        <f>IF(AND(ISNUMBER(L5579),ISNUMBER(M5579)),L5579-M5579,"")</f>
        <v/>
      </c>
    </row>
    <row r="5580">
      <c r="N5580">
        <f>IF(AND(ISNUMBER(L5580),ISNUMBER(M5580)),L5580-M5580,"")</f>
        <v/>
      </c>
    </row>
    <row r="5581">
      <c r="N5581">
        <f>IF(AND(ISNUMBER(L5581),ISNUMBER(M5581)),L5581-M5581,"")</f>
        <v/>
      </c>
    </row>
    <row r="5582">
      <c r="N5582">
        <f>IF(AND(ISNUMBER(L5582),ISNUMBER(M5582)),L5582-M5582,"")</f>
        <v/>
      </c>
    </row>
    <row r="5583">
      <c r="N5583">
        <f>IF(AND(ISNUMBER(L5583),ISNUMBER(M5583)),L5583-M5583,"")</f>
        <v/>
      </c>
    </row>
    <row r="5584">
      <c r="N5584">
        <f>IF(AND(ISNUMBER(L5584),ISNUMBER(M5584)),L5584-M5584,"")</f>
        <v/>
      </c>
    </row>
    <row r="5585">
      <c r="N5585">
        <f>IF(AND(ISNUMBER(L5585),ISNUMBER(M5585)),L5585-M5585,"")</f>
        <v/>
      </c>
    </row>
    <row r="5586">
      <c r="N5586">
        <f>IF(AND(ISNUMBER(L5586),ISNUMBER(M5586)),L5586-M5586,"")</f>
        <v/>
      </c>
    </row>
    <row r="5587">
      <c r="N5587">
        <f>IF(AND(ISNUMBER(L5587),ISNUMBER(M5587)),L5587-M5587,"")</f>
        <v/>
      </c>
    </row>
    <row r="5588">
      <c r="N5588">
        <f>IF(AND(ISNUMBER(L5588),ISNUMBER(M5588)),L5588-M5588,"")</f>
        <v/>
      </c>
    </row>
    <row r="5589">
      <c r="N5589">
        <f>IF(AND(ISNUMBER(L5589),ISNUMBER(M5589)),L5589-M5589,"")</f>
        <v/>
      </c>
    </row>
    <row r="5590">
      <c r="N5590">
        <f>IF(AND(ISNUMBER(L5590),ISNUMBER(M5590)),L5590-M5590,"")</f>
        <v/>
      </c>
    </row>
    <row r="5591">
      <c r="N5591">
        <f>IF(AND(ISNUMBER(L5591),ISNUMBER(M5591)),L5591-M5591,"")</f>
        <v/>
      </c>
    </row>
    <row r="5592">
      <c r="N5592">
        <f>IF(AND(ISNUMBER(L5592),ISNUMBER(M5592)),L5592-M5592,"")</f>
        <v/>
      </c>
    </row>
    <row r="5593">
      <c r="N5593">
        <f>IF(AND(ISNUMBER(L5593),ISNUMBER(M5593)),L5593-M5593,"")</f>
        <v/>
      </c>
    </row>
    <row r="5594">
      <c r="N5594">
        <f>IF(AND(ISNUMBER(L5594),ISNUMBER(M5594)),L5594-M5594,"")</f>
        <v/>
      </c>
    </row>
    <row r="5595">
      <c r="N5595">
        <f>IF(AND(ISNUMBER(L5595),ISNUMBER(M5595)),L5595-M5595,"")</f>
        <v/>
      </c>
    </row>
    <row r="5596">
      <c r="N5596">
        <f>IF(AND(ISNUMBER(L5596),ISNUMBER(M5596)),L5596-M5596,"")</f>
        <v/>
      </c>
    </row>
    <row r="5597">
      <c r="N5597">
        <f>IF(AND(ISNUMBER(L5597),ISNUMBER(M5597)),L5597-M5597,"")</f>
        <v/>
      </c>
    </row>
    <row r="5598">
      <c r="N5598">
        <f>IF(AND(ISNUMBER(L5598),ISNUMBER(M5598)),L5598-M5598,"")</f>
        <v/>
      </c>
    </row>
    <row r="5599">
      <c r="N5599">
        <f>IF(AND(ISNUMBER(L5599),ISNUMBER(M5599)),L5599-M5599,"")</f>
        <v/>
      </c>
    </row>
    <row r="5600">
      <c r="N5600">
        <f>IF(AND(ISNUMBER(L5600),ISNUMBER(M5600)),L5600-M5600,"")</f>
        <v/>
      </c>
    </row>
    <row r="5601">
      <c r="N5601">
        <f>IF(AND(ISNUMBER(L5601),ISNUMBER(M5601)),L5601-M5601,"")</f>
        <v/>
      </c>
    </row>
    <row r="5602">
      <c r="N5602">
        <f>IF(AND(ISNUMBER(L5602),ISNUMBER(M5602)),L5602-M5602,"")</f>
        <v/>
      </c>
    </row>
    <row r="5603">
      <c r="N5603">
        <f>IF(AND(ISNUMBER(L5603),ISNUMBER(M5603)),L5603-M5603,"")</f>
        <v/>
      </c>
    </row>
    <row r="5604">
      <c r="N5604">
        <f>IF(AND(ISNUMBER(L5604),ISNUMBER(M5604)),L5604-M5604,"")</f>
        <v/>
      </c>
    </row>
    <row r="5605">
      <c r="N5605">
        <f>IF(AND(ISNUMBER(L5605),ISNUMBER(M5605)),L5605-M5605,"")</f>
        <v/>
      </c>
    </row>
    <row r="5606">
      <c r="N5606">
        <f>IF(AND(ISNUMBER(L5606),ISNUMBER(M5606)),L5606-M5606,"")</f>
        <v/>
      </c>
    </row>
    <row r="5607">
      <c r="N5607">
        <f>IF(AND(ISNUMBER(L5607),ISNUMBER(M5607)),L5607-M5607,"")</f>
        <v/>
      </c>
    </row>
    <row r="5608">
      <c r="N5608">
        <f>IF(AND(ISNUMBER(L5608),ISNUMBER(M5608)),L5608-M5608,"")</f>
        <v/>
      </c>
    </row>
    <row r="5609">
      <c r="N5609">
        <f>IF(AND(ISNUMBER(L5609),ISNUMBER(M5609)),L5609-M5609,"")</f>
        <v/>
      </c>
    </row>
    <row r="5610">
      <c r="N5610">
        <f>IF(AND(ISNUMBER(L5610),ISNUMBER(M5610)),L5610-M5610,"")</f>
        <v/>
      </c>
    </row>
    <row r="5611">
      <c r="N5611">
        <f>IF(AND(ISNUMBER(L5611),ISNUMBER(M5611)),L5611-M5611,"")</f>
        <v/>
      </c>
    </row>
    <row r="5612">
      <c r="N5612">
        <f>IF(AND(ISNUMBER(L5612),ISNUMBER(M5612)),L5612-M5612,"")</f>
        <v/>
      </c>
    </row>
    <row r="5613">
      <c r="N5613">
        <f>IF(AND(ISNUMBER(L5613),ISNUMBER(M5613)),L5613-M5613,"")</f>
        <v/>
      </c>
    </row>
    <row r="5614">
      <c r="N5614">
        <f>IF(AND(ISNUMBER(L5614),ISNUMBER(M5614)),L5614-M5614,"")</f>
        <v/>
      </c>
    </row>
    <row r="5615">
      <c r="N5615">
        <f>IF(AND(ISNUMBER(L5615),ISNUMBER(M5615)),L5615-M5615,"")</f>
        <v/>
      </c>
    </row>
    <row r="5616">
      <c r="N5616">
        <f>IF(AND(ISNUMBER(L5616),ISNUMBER(M5616)),L5616-M5616,"")</f>
        <v/>
      </c>
    </row>
    <row r="5617">
      <c r="N5617">
        <f>IF(AND(ISNUMBER(L5617),ISNUMBER(M5617)),L5617-M5617,"")</f>
        <v/>
      </c>
    </row>
    <row r="5618">
      <c r="N5618">
        <f>IF(AND(ISNUMBER(L5618),ISNUMBER(M5618)),L5618-M5618,"")</f>
        <v/>
      </c>
    </row>
    <row r="5619">
      <c r="N5619">
        <f>IF(AND(ISNUMBER(L5619),ISNUMBER(M5619)),L5619-M5619,"")</f>
        <v/>
      </c>
    </row>
    <row r="5620">
      <c r="N5620">
        <f>IF(AND(ISNUMBER(L5620),ISNUMBER(M5620)),L5620-M5620,"")</f>
        <v/>
      </c>
    </row>
    <row r="5621">
      <c r="N5621">
        <f>IF(AND(ISNUMBER(L5621),ISNUMBER(M5621)),L5621-M5621,"")</f>
        <v/>
      </c>
    </row>
    <row r="5622">
      <c r="N5622">
        <f>IF(AND(ISNUMBER(L5622),ISNUMBER(M5622)),L5622-M5622,"")</f>
        <v/>
      </c>
    </row>
    <row r="5623">
      <c r="N5623">
        <f>IF(AND(ISNUMBER(L5623),ISNUMBER(M5623)),L5623-M5623,"")</f>
        <v/>
      </c>
    </row>
    <row r="5624">
      <c r="N5624">
        <f>IF(AND(ISNUMBER(L5624),ISNUMBER(M5624)),L5624-M5624,"")</f>
        <v/>
      </c>
    </row>
    <row r="5625">
      <c r="N5625">
        <f>IF(AND(ISNUMBER(L5625),ISNUMBER(M5625)),L5625-M5625,"")</f>
        <v/>
      </c>
    </row>
    <row r="5626">
      <c r="N5626">
        <f>IF(AND(ISNUMBER(L5626),ISNUMBER(M5626)),L5626-M5626,"")</f>
        <v/>
      </c>
    </row>
    <row r="5627">
      <c r="N5627">
        <f>IF(AND(ISNUMBER(L5627),ISNUMBER(M5627)),L5627-M5627,"")</f>
        <v/>
      </c>
    </row>
    <row r="5628">
      <c r="N5628">
        <f>IF(AND(ISNUMBER(L5628),ISNUMBER(M5628)),L5628-M5628,"")</f>
        <v/>
      </c>
    </row>
    <row r="5629">
      <c r="N5629">
        <f>IF(AND(ISNUMBER(L5629),ISNUMBER(M5629)),L5629-M5629,"")</f>
        <v/>
      </c>
    </row>
    <row r="5630">
      <c r="N5630">
        <f>IF(AND(ISNUMBER(L5630),ISNUMBER(M5630)),L5630-M5630,"")</f>
        <v/>
      </c>
    </row>
    <row r="5631">
      <c r="N5631">
        <f>IF(AND(ISNUMBER(L5631),ISNUMBER(M5631)),L5631-M5631,"")</f>
        <v/>
      </c>
    </row>
    <row r="5632">
      <c r="N5632">
        <f>IF(AND(ISNUMBER(L5632),ISNUMBER(M5632)),L5632-M5632,"")</f>
        <v/>
      </c>
    </row>
    <row r="5633">
      <c r="N5633">
        <f>IF(AND(ISNUMBER(L5633),ISNUMBER(M5633)),L5633-M5633,"")</f>
        <v/>
      </c>
    </row>
    <row r="5634">
      <c r="N5634">
        <f>IF(AND(ISNUMBER(L5634),ISNUMBER(M5634)),L5634-M5634,"")</f>
        <v/>
      </c>
    </row>
    <row r="5635">
      <c r="N5635">
        <f>IF(AND(ISNUMBER(L5635),ISNUMBER(M5635)),L5635-M5635,"")</f>
        <v/>
      </c>
    </row>
    <row r="5636">
      <c r="N5636">
        <f>IF(AND(ISNUMBER(L5636),ISNUMBER(M5636)),L5636-M5636,"")</f>
        <v/>
      </c>
    </row>
    <row r="5637">
      <c r="N5637">
        <f>IF(AND(ISNUMBER(L5637),ISNUMBER(M5637)),L5637-M5637,"")</f>
        <v/>
      </c>
    </row>
    <row r="5638">
      <c r="N5638">
        <f>IF(AND(ISNUMBER(L5638),ISNUMBER(M5638)),L5638-M5638,"")</f>
        <v/>
      </c>
    </row>
    <row r="5639">
      <c r="N5639">
        <f>IF(AND(ISNUMBER(L5639),ISNUMBER(M5639)),L5639-M5639,"")</f>
        <v/>
      </c>
    </row>
    <row r="5640">
      <c r="N5640">
        <f>IF(AND(ISNUMBER(L5640),ISNUMBER(M5640)),L5640-M5640,"")</f>
        <v/>
      </c>
    </row>
    <row r="5641">
      <c r="N5641">
        <f>IF(AND(ISNUMBER(L5641),ISNUMBER(M5641)),L5641-M5641,"")</f>
        <v/>
      </c>
    </row>
    <row r="5642">
      <c r="N5642">
        <f>IF(AND(ISNUMBER(L5642),ISNUMBER(M5642)),L5642-M5642,"")</f>
        <v/>
      </c>
    </row>
    <row r="5643">
      <c r="N5643">
        <f>IF(AND(ISNUMBER(L5643),ISNUMBER(M5643)),L5643-M5643,"")</f>
        <v/>
      </c>
    </row>
    <row r="5644">
      <c r="N5644">
        <f>IF(AND(ISNUMBER(L5644),ISNUMBER(M5644)),L5644-M5644,"")</f>
        <v/>
      </c>
    </row>
    <row r="5645">
      <c r="N5645">
        <f>IF(AND(ISNUMBER(L5645),ISNUMBER(M5645)),L5645-M5645,"")</f>
        <v/>
      </c>
    </row>
    <row r="5646">
      <c r="N5646">
        <f>IF(AND(ISNUMBER(L5646),ISNUMBER(M5646)),L5646-M5646,"")</f>
        <v/>
      </c>
    </row>
    <row r="5647">
      <c r="N5647">
        <f>IF(AND(ISNUMBER(L5647),ISNUMBER(M5647)),L5647-M5647,"")</f>
        <v/>
      </c>
    </row>
    <row r="5648">
      <c r="N5648">
        <f>IF(AND(ISNUMBER(L5648),ISNUMBER(M5648)),L5648-M5648,"")</f>
        <v/>
      </c>
    </row>
    <row r="5649">
      <c r="N5649">
        <f>IF(AND(ISNUMBER(L5649),ISNUMBER(M5649)),L5649-M5649,"")</f>
        <v/>
      </c>
    </row>
    <row r="5650">
      <c r="N5650">
        <f>IF(AND(ISNUMBER(L5650),ISNUMBER(M5650)),L5650-M5650,"")</f>
        <v/>
      </c>
    </row>
    <row r="5651">
      <c r="N5651">
        <f>IF(AND(ISNUMBER(L5651),ISNUMBER(M5651)),L5651-M5651,"")</f>
        <v/>
      </c>
    </row>
    <row r="5652">
      <c r="N5652">
        <f>IF(AND(ISNUMBER(L5652),ISNUMBER(M5652)),L5652-M5652,"")</f>
        <v/>
      </c>
    </row>
    <row r="5653">
      <c r="N5653">
        <f>IF(AND(ISNUMBER(L5653),ISNUMBER(M5653)),L5653-M5653,"")</f>
        <v/>
      </c>
    </row>
    <row r="5654">
      <c r="N5654">
        <f>IF(AND(ISNUMBER(L5654),ISNUMBER(M5654)),L5654-M5654,"")</f>
        <v/>
      </c>
    </row>
    <row r="5655">
      <c r="N5655">
        <f>IF(AND(ISNUMBER(L5655),ISNUMBER(M5655)),L5655-M5655,"")</f>
        <v/>
      </c>
    </row>
    <row r="5656">
      <c r="N5656">
        <f>IF(AND(ISNUMBER(L5656),ISNUMBER(M5656)),L5656-M5656,"")</f>
        <v/>
      </c>
    </row>
    <row r="5657">
      <c r="N5657">
        <f>IF(AND(ISNUMBER(L5657),ISNUMBER(M5657)),L5657-M5657,"")</f>
        <v/>
      </c>
    </row>
    <row r="5658">
      <c r="N5658">
        <f>IF(AND(ISNUMBER(L5658),ISNUMBER(M5658)),L5658-M5658,"")</f>
        <v/>
      </c>
    </row>
    <row r="5659">
      <c r="N5659">
        <f>IF(AND(ISNUMBER(L5659),ISNUMBER(M5659)),L5659-M5659,"")</f>
        <v/>
      </c>
    </row>
    <row r="5660">
      <c r="N5660">
        <f>IF(AND(ISNUMBER(L5660),ISNUMBER(M5660)),L5660-M5660,"")</f>
        <v/>
      </c>
    </row>
    <row r="5661">
      <c r="N5661">
        <f>IF(AND(ISNUMBER(L5661),ISNUMBER(M5661)),L5661-M5661,"")</f>
        <v/>
      </c>
    </row>
    <row r="5662">
      <c r="N5662">
        <f>IF(AND(ISNUMBER(L5662),ISNUMBER(M5662)),L5662-M5662,"")</f>
        <v/>
      </c>
    </row>
    <row r="5663">
      <c r="N5663">
        <f>IF(AND(ISNUMBER(L5663),ISNUMBER(M5663)),L5663-M5663,"")</f>
        <v/>
      </c>
    </row>
    <row r="5664">
      <c r="N5664">
        <f>IF(AND(ISNUMBER(L5664),ISNUMBER(M5664)),L5664-M5664,"")</f>
        <v/>
      </c>
    </row>
    <row r="5665">
      <c r="N5665">
        <f>IF(AND(ISNUMBER(L5665),ISNUMBER(M5665)),L5665-M5665,"")</f>
        <v/>
      </c>
    </row>
    <row r="5666">
      <c r="N5666">
        <f>IF(AND(ISNUMBER(L5666),ISNUMBER(M5666)),L5666-M5666,"")</f>
        <v/>
      </c>
    </row>
    <row r="5667">
      <c r="N5667">
        <f>IF(AND(ISNUMBER(L5667),ISNUMBER(M5667)),L5667-M5667,"")</f>
        <v/>
      </c>
    </row>
    <row r="5668">
      <c r="N5668">
        <f>IF(AND(ISNUMBER(L5668),ISNUMBER(M5668)),L5668-M5668,"")</f>
        <v/>
      </c>
    </row>
    <row r="5669">
      <c r="N5669">
        <f>IF(AND(ISNUMBER(L5669),ISNUMBER(M5669)),L5669-M5669,"")</f>
        <v/>
      </c>
    </row>
    <row r="5670">
      <c r="N5670">
        <f>IF(AND(ISNUMBER(L5670),ISNUMBER(M5670)),L5670-M5670,"")</f>
        <v/>
      </c>
    </row>
    <row r="5671">
      <c r="N5671">
        <f>IF(AND(ISNUMBER(L5671),ISNUMBER(M5671)),L5671-M5671,"")</f>
        <v/>
      </c>
    </row>
    <row r="5672">
      <c r="N5672">
        <f>IF(AND(ISNUMBER(L5672),ISNUMBER(M5672)),L5672-M5672,"")</f>
        <v/>
      </c>
    </row>
    <row r="5673">
      <c r="N5673">
        <f>IF(AND(ISNUMBER(L5673),ISNUMBER(M5673)),L5673-M5673,"")</f>
        <v/>
      </c>
    </row>
    <row r="5674">
      <c r="N5674">
        <f>IF(AND(ISNUMBER(L5674),ISNUMBER(M5674)),L5674-M5674,"")</f>
        <v/>
      </c>
    </row>
    <row r="5675">
      <c r="N5675">
        <f>IF(AND(ISNUMBER(L5675),ISNUMBER(M5675)),L5675-M5675,"")</f>
        <v/>
      </c>
    </row>
    <row r="5676">
      <c r="N5676">
        <f>IF(AND(ISNUMBER(L5676),ISNUMBER(M5676)),L5676-M5676,"")</f>
        <v/>
      </c>
    </row>
    <row r="5677">
      <c r="N5677">
        <f>IF(AND(ISNUMBER(L5677),ISNUMBER(M5677)),L5677-M5677,"")</f>
        <v/>
      </c>
    </row>
    <row r="5678">
      <c r="N5678">
        <f>IF(AND(ISNUMBER(L5678),ISNUMBER(M5678)),L5678-M5678,"")</f>
        <v/>
      </c>
    </row>
    <row r="5679">
      <c r="N5679">
        <f>IF(AND(ISNUMBER(L5679),ISNUMBER(M5679)),L5679-M5679,"")</f>
        <v/>
      </c>
    </row>
    <row r="5680">
      <c r="N5680">
        <f>IF(AND(ISNUMBER(L5680),ISNUMBER(M5680)),L5680-M5680,"")</f>
        <v/>
      </c>
    </row>
    <row r="5681">
      <c r="N5681">
        <f>IF(AND(ISNUMBER(L5681),ISNUMBER(M5681)),L5681-M5681,"")</f>
        <v/>
      </c>
    </row>
    <row r="5682">
      <c r="N5682">
        <f>IF(AND(ISNUMBER(L5682),ISNUMBER(M5682)),L5682-M5682,"")</f>
        <v/>
      </c>
    </row>
    <row r="5683">
      <c r="N5683">
        <f>IF(AND(ISNUMBER(L5683),ISNUMBER(M5683)),L5683-M5683,"")</f>
        <v/>
      </c>
    </row>
    <row r="5684">
      <c r="N5684">
        <f>IF(AND(ISNUMBER(L5684),ISNUMBER(M5684)),L5684-M5684,"")</f>
        <v/>
      </c>
    </row>
    <row r="5685">
      <c r="N5685">
        <f>IF(AND(ISNUMBER(L5685),ISNUMBER(M5685)),L5685-M5685,"")</f>
        <v/>
      </c>
    </row>
    <row r="5686">
      <c r="N5686">
        <f>IF(AND(ISNUMBER(L5686),ISNUMBER(M5686)),L5686-M5686,"")</f>
        <v/>
      </c>
    </row>
    <row r="5687">
      <c r="N5687">
        <f>IF(AND(ISNUMBER(L5687),ISNUMBER(M5687)),L5687-M5687,"")</f>
        <v/>
      </c>
    </row>
    <row r="5688">
      <c r="N5688">
        <f>IF(AND(ISNUMBER(L5688),ISNUMBER(M5688)),L5688-M5688,"")</f>
        <v/>
      </c>
    </row>
    <row r="5689">
      <c r="N5689">
        <f>IF(AND(ISNUMBER(L5689),ISNUMBER(M5689)),L5689-M5689,"")</f>
        <v/>
      </c>
    </row>
    <row r="5690">
      <c r="N5690">
        <f>IF(AND(ISNUMBER(L5690),ISNUMBER(M5690)),L5690-M5690,"")</f>
        <v/>
      </c>
    </row>
    <row r="5691">
      <c r="N5691">
        <f>IF(AND(ISNUMBER(L5691),ISNUMBER(M5691)),L5691-M5691,"")</f>
        <v/>
      </c>
    </row>
    <row r="5692">
      <c r="N5692">
        <f>IF(AND(ISNUMBER(L5692),ISNUMBER(M5692)),L5692-M5692,"")</f>
        <v/>
      </c>
    </row>
    <row r="5693">
      <c r="N5693">
        <f>IF(AND(ISNUMBER(L5693),ISNUMBER(M5693)),L5693-M5693,"")</f>
        <v/>
      </c>
    </row>
    <row r="5694">
      <c r="N5694">
        <f>IF(AND(ISNUMBER(L5694),ISNUMBER(M5694)),L5694-M5694,"")</f>
        <v/>
      </c>
    </row>
    <row r="5695">
      <c r="N5695">
        <f>IF(AND(ISNUMBER(L5695),ISNUMBER(M5695)),L5695-M5695,"")</f>
        <v/>
      </c>
    </row>
    <row r="5696">
      <c r="N5696">
        <f>IF(AND(ISNUMBER(L5696),ISNUMBER(M5696)),L5696-M5696,"")</f>
        <v/>
      </c>
    </row>
    <row r="5697">
      <c r="N5697">
        <f>IF(AND(ISNUMBER(L5697),ISNUMBER(M5697)),L5697-M5697,"")</f>
        <v/>
      </c>
    </row>
    <row r="5698">
      <c r="N5698">
        <f>IF(AND(ISNUMBER(L5698),ISNUMBER(M5698)),L5698-M5698,"")</f>
        <v/>
      </c>
    </row>
    <row r="5699">
      <c r="N5699">
        <f>IF(AND(ISNUMBER(L5699),ISNUMBER(M5699)),L5699-M5699,"")</f>
        <v/>
      </c>
    </row>
    <row r="5700">
      <c r="N5700">
        <f>IF(AND(ISNUMBER(L5700),ISNUMBER(M5700)),L5700-M5700,"")</f>
        <v/>
      </c>
    </row>
    <row r="5701">
      <c r="N5701">
        <f>IF(AND(ISNUMBER(L5701),ISNUMBER(M5701)),L5701-M5701,"")</f>
        <v/>
      </c>
    </row>
    <row r="5702">
      <c r="N5702">
        <f>IF(AND(ISNUMBER(L5702),ISNUMBER(M5702)),L5702-M5702,"")</f>
        <v/>
      </c>
    </row>
    <row r="5703">
      <c r="N5703">
        <f>IF(AND(ISNUMBER(L5703),ISNUMBER(M5703)),L5703-M5703,"")</f>
        <v/>
      </c>
    </row>
    <row r="5704">
      <c r="N5704">
        <f>IF(AND(ISNUMBER(L5704),ISNUMBER(M5704)),L5704-M5704,"")</f>
        <v/>
      </c>
    </row>
    <row r="5705">
      <c r="N5705">
        <f>IF(AND(ISNUMBER(L5705),ISNUMBER(M5705)),L5705-M5705,"")</f>
        <v/>
      </c>
    </row>
    <row r="5706">
      <c r="N5706">
        <f>IF(AND(ISNUMBER(L5706),ISNUMBER(M5706)),L5706-M5706,"")</f>
        <v/>
      </c>
    </row>
    <row r="5707">
      <c r="N5707">
        <f>IF(AND(ISNUMBER(L5707),ISNUMBER(M5707)),L5707-M5707,"")</f>
        <v/>
      </c>
    </row>
    <row r="5708">
      <c r="N5708">
        <f>IF(AND(ISNUMBER(L5708),ISNUMBER(M5708)),L5708-M5708,"")</f>
        <v/>
      </c>
    </row>
    <row r="5709">
      <c r="N5709">
        <f>IF(AND(ISNUMBER(L5709),ISNUMBER(M5709)),L5709-M5709,"")</f>
        <v/>
      </c>
    </row>
    <row r="5710">
      <c r="N5710">
        <f>IF(AND(ISNUMBER(L5710),ISNUMBER(M5710)),L5710-M5710,"")</f>
        <v/>
      </c>
    </row>
    <row r="5711">
      <c r="N5711">
        <f>IF(AND(ISNUMBER(L5711),ISNUMBER(M5711)),L5711-M5711,"")</f>
        <v/>
      </c>
    </row>
    <row r="5712">
      <c r="N5712">
        <f>IF(AND(ISNUMBER(L5712),ISNUMBER(M5712)),L5712-M5712,"")</f>
        <v/>
      </c>
    </row>
    <row r="5713">
      <c r="N5713">
        <f>IF(AND(ISNUMBER(L5713),ISNUMBER(M5713)),L5713-M5713,"")</f>
        <v/>
      </c>
    </row>
    <row r="5714">
      <c r="N5714">
        <f>IF(AND(ISNUMBER(L5714),ISNUMBER(M5714)),L5714-M5714,"")</f>
        <v/>
      </c>
    </row>
    <row r="5715">
      <c r="N5715">
        <f>IF(AND(ISNUMBER(L5715),ISNUMBER(M5715)),L5715-M5715,"")</f>
        <v/>
      </c>
    </row>
    <row r="5716">
      <c r="N5716">
        <f>IF(AND(ISNUMBER(L5716),ISNUMBER(M5716)),L5716-M5716,"")</f>
        <v/>
      </c>
    </row>
    <row r="5717">
      <c r="N5717">
        <f>IF(AND(ISNUMBER(L5717),ISNUMBER(M5717)),L5717-M5717,"")</f>
        <v/>
      </c>
    </row>
    <row r="5718">
      <c r="N5718">
        <f>IF(AND(ISNUMBER(L5718),ISNUMBER(M5718)),L5718-M5718,"")</f>
        <v/>
      </c>
    </row>
    <row r="5719">
      <c r="N5719">
        <f>IF(AND(ISNUMBER(L5719),ISNUMBER(M5719)),L5719-M5719,"")</f>
        <v/>
      </c>
    </row>
    <row r="5720">
      <c r="N5720">
        <f>IF(AND(ISNUMBER(L5720),ISNUMBER(M5720)),L5720-M5720,"")</f>
        <v/>
      </c>
    </row>
    <row r="5721">
      <c r="N5721">
        <f>IF(AND(ISNUMBER(L5721),ISNUMBER(M5721)),L5721-M5721,"")</f>
        <v/>
      </c>
    </row>
    <row r="5722">
      <c r="N5722">
        <f>IF(AND(ISNUMBER(L5722),ISNUMBER(M5722)),L5722-M5722,"")</f>
        <v/>
      </c>
    </row>
    <row r="5723">
      <c r="N5723">
        <f>IF(AND(ISNUMBER(L5723),ISNUMBER(M5723)),L5723-M5723,"")</f>
        <v/>
      </c>
    </row>
    <row r="5724">
      <c r="N5724">
        <f>IF(AND(ISNUMBER(L5724),ISNUMBER(M5724)),L5724-M5724,"")</f>
        <v/>
      </c>
    </row>
    <row r="5725">
      <c r="N5725">
        <f>IF(AND(ISNUMBER(L5725),ISNUMBER(M5725)),L5725-M5725,"")</f>
        <v/>
      </c>
    </row>
    <row r="5726">
      <c r="N5726">
        <f>IF(AND(ISNUMBER(L5726),ISNUMBER(M5726)),L5726-M5726,"")</f>
        <v/>
      </c>
    </row>
    <row r="5727">
      <c r="N5727">
        <f>IF(AND(ISNUMBER(L5727),ISNUMBER(M5727)),L5727-M5727,"")</f>
        <v/>
      </c>
    </row>
    <row r="5728">
      <c r="N5728">
        <f>IF(AND(ISNUMBER(L5728),ISNUMBER(M5728)),L5728-M5728,"")</f>
        <v/>
      </c>
    </row>
    <row r="5729">
      <c r="N5729">
        <f>IF(AND(ISNUMBER(L5729),ISNUMBER(M5729)),L5729-M5729,"")</f>
        <v/>
      </c>
    </row>
    <row r="5730">
      <c r="N5730">
        <f>IF(AND(ISNUMBER(L5730),ISNUMBER(M5730)),L5730-M5730,"")</f>
        <v/>
      </c>
    </row>
    <row r="5731">
      <c r="N5731">
        <f>IF(AND(ISNUMBER(L5731),ISNUMBER(M5731)),L5731-M5731,"")</f>
        <v/>
      </c>
    </row>
    <row r="5732">
      <c r="N5732">
        <f>IF(AND(ISNUMBER(L5732),ISNUMBER(M5732)),L5732-M5732,"")</f>
        <v/>
      </c>
    </row>
    <row r="5733">
      <c r="N5733">
        <f>IF(AND(ISNUMBER(L5733),ISNUMBER(M5733)),L5733-M5733,"")</f>
        <v/>
      </c>
    </row>
    <row r="5734">
      <c r="N5734">
        <f>IF(AND(ISNUMBER(L5734),ISNUMBER(M5734)),L5734-M5734,"")</f>
        <v/>
      </c>
    </row>
    <row r="5735">
      <c r="N5735">
        <f>IF(AND(ISNUMBER(L5735),ISNUMBER(M5735)),L5735-M5735,"")</f>
        <v/>
      </c>
    </row>
    <row r="5736">
      <c r="N5736">
        <f>IF(AND(ISNUMBER(L5736),ISNUMBER(M5736)),L5736-M5736,"")</f>
        <v/>
      </c>
    </row>
    <row r="5737">
      <c r="N5737">
        <f>IF(AND(ISNUMBER(L5737),ISNUMBER(M5737)),L5737-M5737,"")</f>
        <v/>
      </c>
    </row>
    <row r="5738">
      <c r="N5738">
        <f>IF(AND(ISNUMBER(L5738),ISNUMBER(M5738)),L5738-M5738,"")</f>
        <v/>
      </c>
    </row>
    <row r="5739">
      <c r="N5739">
        <f>IF(AND(ISNUMBER(L5739),ISNUMBER(M5739)),L5739-M5739,"")</f>
        <v/>
      </c>
    </row>
    <row r="5740">
      <c r="N5740">
        <f>IF(AND(ISNUMBER(L5740),ISNUMBER(M5740)),L5740-M5740,"")</f>
        <v/>
      </c>
    </row>
    <row r="5741">
      <c r="N5741">
        <f>IF(AND(ISNUMBER(L5741),ISNUMBER(M5741)),L5741-M5741,"")</f>
        <v/>
      </c>
    </row>
    <row r="5742">
      <c r="N5742">
        <f>IF(AND(ISNUMBER(L5742),ISNUMBER(M5742)),L5742-M5742,"")</f>
        <v/>
      </c>
    </row>
    <row r="5743">
      <c r="N5743">
        <f>IF(AND(ISNUMBER(L5743),ISNUMBER(M5743)),L5743-M5743,"")</f>
        <v/>
      </c>
    </row>
    <row r="5744">
      <c r="N5744">
        <f>IF(AND(ISNUMBER(L5744),ISNUMBER(M5744)),L5744-M5744,"")</f>
        <v/>
      </c>
    </row>
    <row r="5745">
      <c r="N5745">
        <f>IF(AND(ISNUMBER(L5745),ISNUMBER(M5745)),L5745-M5745,"")</f>
        <v/>
      </c>
    </row>
    <row r="5746">
      <c r="N5746">
        <f>IF(AND(ISNUMBER(L5746),ISNUMBER(M5746)),L5746-M5746,"")</f>
        <v/>
      </c>
    </row>
    <row r="5747">
      <c r="N5747">
        <f>IF(AND(ISNUMBER(L5747),ISNUMBER(M5747)),L5747-M5747,"")</f>
        <v/>
      </c>
    </row>
    <row r="5748">
      <c r="N5748">
        <f>IF(AND(ISNUMBER(L5748),ISNUMBER(M5748)),L5748-M5748,"")</f>
        <v/>
      </c>
    </row>
    <row r="5749">
      <c r="N5749">
        <f>IF(AND(ISNUMBER(L5749),ISNUMBER(M5749)),L5749-M5749,"")</f>
        <v/>
      </c>
    </row>
    <row r="5750">
      <c r="N5750">
        <f>IF(AND(ISNUMBER(L5750),ISNUMBER(M5750)),L5750-M5750,"")</f>
        <v/>
      </c>
    </row>
    <row r="5751">
      <c r="N5751">
        <f>IF(AND(ISNUMBER(L5751),ISNUMBER(M5751)),L5751-M5751,"")</f>
        <v/>
      </c>
    </row>
    <row r="5752">
      <c r="N5752">
        <f>IF(AND(ISNUMBER(L5752),ISNUMBER(M5752)),L5752-M5752,"")</f>
        <v/>
      </c>
    </row>
    <row r="5753">
      <c r="N5753">
        <f>IF(AND(ISNUMBER(L5753),ISNUMBER(M5753)),L5753-M5753,"")</f>
        <v/>
      </c>
    </row>
    <row r="5754">
      <c r="N5754">
        <f>IF(AND(ISNUMBER(L5754),ISNUMBER(M5754)),L5754-M5754,"")</f>
        <v/>
      </c>
    </row>
    <row r="5755">
      <c r="N5755">
        <f>IF(AND(ISNUMBER(L5755),ISNUMBER(M5755)),L5755-M5755,"")</f>
        <v/>
      </c>
    </row>
    <row r="5756">
      <c r="N5756">
        <f>IF(AND(ISNUMBER(L5756),ISNUMBER(M5756)),L5756-M5756,"")</f>
        <v/>
      </c>
    </row>
    <row r="5757">
      <c r="N5757">
        <f>IF(AND(ISNUMBER(L5757),ISNUMBER(M5757)),L5757-M5757,"")</f>
        <v/>
      </c>
    </row>
    <row r="5758">
      <c r="N5758">
        <f>IF(AND(ISNUMBER(L5758),ISNUMBER(M5758)),L5758-M5758,"")</f>
        <v/>
      </c>
    </row>
    <row r="5759">
      <c r="N5759">
        <f>IF(AND(ISNUMBER(L5759),ISNUMBER(M5759)),L5759-M5759,"")</f>
        <v/>
      </c>
    </row>
    <row r="5760">
      <c r="N5760">
        <f>IF(AND(ISNUMBER(L5760),ISNUMBER(M5760)),L5760-M5760,"")</f>
        <v/>
      </c>
    </row>
    <row r="5761">
      <c r="N5761">
        <f>IF(AND(ISNUMBER(L5761),ISNUMBER(M5761)),L5761-M5761,"")</f>
        <v/>
      </c>
    </row>
    <row r="5762">
      <c r="N5762">
        <f>IF(AND(ISNUMBER(L5762),ISNUMBER(M5762)),L5762-M5762,"")</f>
        <v/>
      </c>
    </row>
    <row r="5763">
      <c r="N5763">
        <f>IF(AND(ISNUMBER(L5763),ISNUMBER(M5763)),L5763-M5763,"")</f>
        <v/>
      </c>
    </row>
    <row r="5764">
      <c r="N5764">
        <f>IF(AND(ISNUMBER(L5764),ISNUMBER(M5764)),L5764-M5764,"")</f>
        <v/>
      </c>
    </row>
    <row r="5765">
      <c r="N5765">
        <f>IF(AND(ISNUMBER(L5765),ISNUMBER(M5765)),L5765-M5765,"")</f>
        <v/>
      </c>
    </row>
    <row r="5766">
      <c r="N5766">
        <f>IF(AND(ISNUMBER(L5766),ISNUMBER(M5766)),L5766-M5766,"")</f>
        <v/>
      </c>
    </row>
    <row r="5767">
      <c r="N5767">
        <f>IF(AND(ISNUMBER(L5767),ISNUMBER(M5767)),L5767-M5767,"")</f>
        <v/>
      </c>
    </row>
    <row r="5768">
      <c r="N5768">
        <f>IF(AND(ISNUMBER(L5768),ISNUMBER(M5768)),L5768-M5768,"")</f>
        <v/>
      </c>
    </row>
    <row r="5769">
      <c r="N5769">
        <f>IF(AND(ISNUMBER(L5769),ISNUMBER(M5769)),L5769-M5769,"")</f>
        <v/>
      </c>
    </row>
    <row r="5770">
      <c r="N5770">
        <f>IF(AND(ISNUMBER(L5770),ISNUMBER(M5770)),L5770-M5770,"")</f>
        <v/>
      </c>
    </row>
    <row r="5771">
      <c r="N5771">
        <f>IF(AND(ISNUMBER(L5771),ISNUMBER(M5771)),L5771-M5771,"")</f>
        <v/>
      </c>
    </row>
    <row r="5772">
      <c r="N5772">
        <f>IF(AND(ISNUMBER(L5772),ISNUMBER(M5772)),L5772-M5772,"")</f>
        <v/>
      </c>
    </row>
    <row r="5773">
      <c r="N5773">
        <f>IF(AND(ISNUMBER(L5773),ISNUMBER(M5773)),L5773-M5773,"")</f>
        <v/>
      </c>
    </row>
    <row r="5774">
      <c r="N5774">
        <f>IF(AND(ISNUMBER(L5774),ISNUMBER(M5774)),L5774-M5774,"")</f>
        <v/>
      </c>
    </row>
    <row r="5775">
      <c r="N5775">
        <f>IF(AND(ISNUMBER(L5775),ISNUMBER(M5775)),L5775-M5775,"")</f>
        <v/>
      </c>
    </row>
    <row r="5776">
      <c r="N5776">
        <f>IF(AND(ISNUMBER(L5776),ISNUMBER(M5776)),L5776-M5776,"")</f>
        <v/>
      </c>
    </row>
    <row r="5777">
      <c r="N5777">
        <f>IF(AND(ISNUMBER(L5777),ISNUMBER(M5777)),L5777-M5777,"")</f>
        <v/>
      </c>
    </row>
    <row r="5778">
      <c r="N5778">
        <f>IF(AND(ISNUMBER(L5778),ISNUMBER(M5778)),L5778-M5778,"")</f>
        <v/>
      </c>
    </row>
    <row r="5779">
      <c r="N5779">
        <f>IF(AND(ISNUMBER(L5779),ISNUMBER(M5779)),L5779-M5779,"")</f>
        <v/>
      </c>
    </row>
    <row r="5780">
      <c r="N5780">
        <f>IF(AND(ISNUMBER(L5780),ISNUMBER(M5780)),L5780-M5780,"")</f>
        <v/>
      </c>
    </row>
    <row r="5781">
      <c r="N5781">
        <f>IF(AND(ISNUMBER(L5781),ISNUMBER(M5781)),L5781-M5781,"")</f>
        <v/>
      </c>
    </row>
    <row r="5782">
      <c r="N5782">
        <f>IF(AND(ISNUMBER(L5782),ISNUMBER(M5782)),L5782-M5782,"")</f>
        <v/>
      </c>
    </row>
    <row r="5783">
      <c r="N5783">
        <f>IF(AND(ISNUMBER(L5783),ISNUMBER(M5783)),L5783-M5783,"")</f>
        <v/>
      </c>
    </row>
    <row r="5784">
      <c r="N5784">
        <f>IF(AND(ISNUMBER(L5784),ISNUMBER(M5784)),L5784-M5784,"")</f>
        <v/>
      </c>
    </row>
    <row r="5785">
      <c r="N5785">
        <f>IF(AND(ISNUMBER(L5785),ISNUMBER(M5785)),L5785-M5785,"")</f>
        <v/>
      </c>
    </row>
    <row r="5786">
      <c r="N5786">
        <f>IF(AND(ISNUMBER(L5786),ISNUMBER(M5786)),L5786-M5786,"")</f>
        <v/>
      </c>
    </row>
    <row r="5787">
      <c r="N5787">
        <f>IF(AND(ISNUMBER(L5787),ISNUMBER(M5787)),L5787-M5787,"")</f>
        <v/>
      </c>
    </row>
    <row r="5788">
      <c r="N5788">
        <f>IF(AND(ISNUMBER(L5788),ISNUMBER(M5788)),L5788-M5788,"")</f>
        <v/>
      </c>
    </row>
    <row r="5789">
      <c r="N5789">
        <f>IF(AND(ISNUMBER(L5789),ISNUMBER(M5789)),L5789-M5789,"")</f>
        <v/>
      </c>
    </row>
    <row r="5790">
      <c r="N5790">
        <f>IF(AND(ISNUMBER(L5790),ISNUMBER(M5790)),L5790-M5790,"")</f>
        <v/>
      </c>
    </row>
    <row r="5791">
      <c r="N5791">
        <f>IF(AND(ISNUMBER(L5791),ISNUMBER(M5791)),L5791-M5791,"")</f>
        <v/>
      </c>
    </row>
    <row r="5792">
      <c r="N5792">
        <f>IF(AND(ISNUMBER(L5792),ISNUMBER(M5792)),L5792-M5792,"")</f>
        <v/>
      </c>
    </row>
    <row r="5793">
      <c r="N5793">
        <f>IF(AND(ISNUMBER(L5793),ISNUMBER(M5793)),L5793-M5793,"")</f>
        <v/>
      </c>
    </row>
    <row r="5794">
      <c r="N5794">
        <f>IF(AND(ISNUMBER(L5794),ISNUMBER(M5794)),L5794-M5794,"")</f>
        <v/>
      </c>
    </row>
    <row r="5795">
      <c r="N5795">
        <f>IF(AND(ISNUMBER(L5795),ISNUMBER(M5795)),L5795-M5795,"")</f>
        <v/>
      </c>
    </row>
    <row r="5796">
      <c r="N5796">
        <f>IF(AND(ISNUMBER(L5796),ISNUMBER(M5796)),L5796-M5796,"")</f>
        <v/>
      </c>
    </row>
    <row r="5797">
      <c r="N5797">
        <f>IF(AND(ISNUMBER(L5797),ISNUMBER(M5797)),L5797-M5797,"")</f>
        <v/>
      </c>
    </row>
    <row r="5798">
      <c r="N5798">
        <f>IF(AND(ISNUMBER(L5798),ISNUMBER(M5798)),L5798-M5798,"")</f>
        <v/>
      </c>
    </row>
    <row r="5799">
      <c r="N5799">
        <f>IF(AND(ISNUMBER(L5799),ISNUMBER(M5799)),L5799-M5799,"")</f>
        <v/>
      </c>
    </row>
    <row r="5800">
      <c r="N5800">
        <f>IF(AND(ISNUMBER(L5800),ISNUMBER(M5800)),L5800-M5800,"")</f>
        <v/>
      </c>
    </row>
    <row r="5801">
      <c r="N5801">
        <f>IF(AND(ISNUMBER(L5801),ISNUMBER(M5801)),L5801-M5801,"")</f>
        <v/>
      </c>
    </row>
    <row r="5802">
      <c r="N5802">
        <f>IF(AND(ISNUMBER(L5802),ISNUMBER(M5802)),L5802-M5802,"")</f>
        <v/>
      </c>
    </row>
    <row r="5803">
      <c r="N5803">
        <f>IF(AND(ISNUMBER(L5803),ISNUMBER(M5803)),L5803-M5803,"")</f>
        <v/>
      </c>
    </row>
    <row r="5804">
      <c r="N5804">
        <f>IF(AND(ISNUMBER(L5804),ISNUMBER(M5804)),L5804-M5804,"")</f>
        <v/>
      </c>
    </row>
    <row r="5805">
      <c r="N5805">
        <f>IF(AND(ISNUMBER(L5805),ISNUMBER(M5805)),L5805-M5805,"")</f>
        <v/>
      </c>
    </row>
    <row r="5806">
      <c r="N5806">
        <f>IF(AND(ISNUMBER(L5806),ISNUMBER(M5806)),L5806-M5806,"")</f>
        <v/>
      </c>
    </row>
    <row r="5807">
      <c r="N5807">
        <f>IF(AND(ISNUMBER(L5807),ISNUMBER(M5807)),L5807-M5807,"")</f>
        <v/>
      </c>
    </row>
    <row r="5808">
      <c r="N5808">
        <f>IF(AND(ISNUMBER(L5808),ISNUMBER(M5808)),L5808-M5808,"")</f>
        <v/>
      </c>
    </row>
    <row r="5809">
      <c r="N5809">
        <f>IF(AND(ISNUMBER(L5809),ISNUMBER(M5809)),L5809-M5809,"")</f>
        <v/>
      </c>
    </row>
    <row r="5810">
      <c r="N5810">
        <f>IF(AND(ISNUMBER(L5810),ISNUMBER(M5810)),L5810-M5810,"")</f>
        <v/>
      </c>
    </row>
    <row r="5811">
      <c r="N5811">
        <f>IF(AND(ISNUMBER(L5811),ISNUMBER(M5811)),L5811-M5811,"")</f>
        <v/>
      </c>
    </row>
    <row r="5812">
      <c r="N5812">
        <f>IF(AND(ISNUMBER(L5812),ISNUMBER(M5812)),L5812-M5812,"")</f>
        <v/>
      </c>
    </row>
    <row r="5813">
      <c r="N5813">
        <f>IF(AND(ISNUMBER(L5813),ISNUMBER(M5813)),L5813-M5813,"")</f>
        <v/>
      </c>
    </row>
    <row r="5814">
      <c r="N5814">
        <f>IF(AND(ISNUMBER(L5814),ISNUMBER(M5814)),L5814-M5814,"")</f>
        <v/>
      </c>
    </row>
    <row r="5815">
      <c r="N5815">
        <f>IF(AND(ISNUMBER(L5815),ISNUMBER(M5815)),L5815-M5815,"")</f>
        <v/>
      </c>
    </row>
    <row r="5816">
      <c r="N5816">
        <f>IF(AND(ISNUMBER(L5816),ISNUMBER(M5816)),L5816-M5816,"")</f>
        <v/>
      </c>
    </row>
    <row r="5817">
      <c r="N5817">
        <f>IF(AND(ISNUMBER(L5817),ISNUMBER(M5817)),L5817-M5817,"")</f>
        <v/>
      </c>
    </row>
    <row r="5818">
      <c r="N5818">
        <f>IF(AND(ISNUMBER(L5818),ISNUMBER(M5818)),L5818-M5818,"")</f>
        <v/>
      </c>
    </row>
    <row r="5819">
      <c r="N5819">
        <f>IF(AND(ISNUMBER(L5819),ISNUMBER(M5819)),L5819-M5819,"")</f>
        <v/>
      </c>
    </row>
    <row r="5820">
      <c r="N5820">
        <f>IF(AND(ISNUMBER(L5820),ISNUMBER(M5820)),L5820-M5820,"")</f>
        <v/>
      </c>
    </row>
    <row r="5821">
      <c r="N5821">
        <f>IF(AND(ISNUMBER(L5821),ISNUMBER(M5821)),L5821-M5821,"")</f>
        <v/>
      </c>
    </row>
    <row r="5822">
      <c r="N5822">
        <f>IF(AND(ISNUMBER(L5822),ISNUMBER(M5822)),L5822-M5822,"")</f>
        <v/>
      </c>
    </row>
    <row r="5823">
      <c r="N5823">
        <f>IF(AND(ISNUMBER(L5823),ISNUMBER(M5823)),L5823-M5823,"")</f>
        <v/>
      </c>
    </row>
    <row r="5824">
      <c r="N5824">
        <f>IF(AND(ISNUMBER(L5824),ISNUMBER(M5824)),L5824-M5824,"")</f>
        <v/>
      </c>
    </row>
    <row r="5825">
      <c r="N5825">
        <f>IF(AND(ISNUMBER(L5825),ISNUMBER(M5825)),L5825-M5825,"")</f>
        <v/>
      </c>
    </row>
    <row r="5826">
      <c r="N5826">
        <f>IF(AND(ISNUMBER(L5826),ISNUMBER(M5826)),L5826-M5826,"")</f>
        <v/>
      </c>
    </row>
    <row r="5827">
      <c r="N5827">
        <f>IF(AND(ISNUMBER(L5827),ISNUMBER(M5827)),L5827-M5827,"")</f>
        <v/>
      </c>
    </row>
    <row r="5828">
      <c r="N5828">
        <f>IF(AND(ISNUMBER(L5828),ISNUMBER(M5828)),L5828-M5828,"")</f>
        <v/>
      </c>
    </row>
    <row r="5829">
      <c r="N5829">
        <f>IF(AND(ISNUMBER(L5829),ISNUMBER(M5829)),L5829-M5829,"")</f>
        <v/>
      </c>
    </row>
    <row r="5830">
      <c r="N5830">
        <f>IF(AND(ISNUMBER(L5830),ISNUMBER(M5830)),L5830-M5830,"")</f>
        <v/>
      </c>
    </row>
    <row r="5831">
      <c r="N5831">
        <f>IF(AND(ISNUMBER(L5831),ISNUMBER(M5831)),L5831-M5831,"")</f>
        <v/>
      </c>
    </row>
    <row r="5832">
      <c r="N5832">
        <f>IF(AND(ISNUMBER(L5832),ISNUMBER(M5832)),L5832-M5832,"")</f>
        <v/>
      </c>
    </row>
    <row r="5833">
      <c r="N5833">
        <f>IF(AND(ISNUMBER(L5833),ISNUMBER(M5833)),L5833-M5833,"")</f>
        <v/>
      </c>
    </row>
    <row r="5834">
      <c r="N5834">
        <f>IF(AND(ISNUMBER(L5834),ISNUMBER(M5834)),L5834-M5834,"")</f>
        <v/>
      </c>
    </row>
    <row r="5835">
      <c r="N5835">
        <f>IF(AND(ISNUMBER(L5835),ISNUMBER(M5835)),L5835-M5835,"")</f>
        <v/>
      </c>
    </row>
    <row r="5836">
      <c r="N5836">
        <f>IF(AND(ISNUMBER(L5836),ISNUMBER(M5836)),L5836-M5836,"")</f>
        <v/>
      </c>
    </row>
    <row r="5837">
      <c r="N5837">
        <f>IF(AND(ISNUMBER(L5837),ISNUMBER(M5837)),L5837-M5837,"")</f>
        <v/>
      </c>
    </row>
    <row r="5838">
      <c r="N5838">
        <f>IF(AND(ISNUMBER(L5838),ISNUMBER(M5838)),L5838-M5838,"")</f>
        <v/>
      </c>
    </row>
    <row r="5839">
      <c r="N5839">
        <f>IF(AND(ISNUMBER(L5839),ISNUMBER(M5839)),L5839-M5839,"")</f>
        <v/>
      </c>
    </row>
    <row r="5840">
      <c r="N5840">
        <f>IF(AND(ISNUMBER(L5840),ISNUMBER(M5840)),L5840-M5840,"")</f>
        <v/>
      </c>
    </row>
    <row r="5841">
      <c r="N5841">
        <f>IF(AND(ISNUMBER(L5841),ISNUMBER(M5841)),L5841-M5841,"")</f>
        <v/>
      </c>
    </row>
    <row r="5842">
      <c r="N5842">
        <f>IF(AND(ISNUMBER(L5842),ISNUMBER(M5842)),L5842-M5842,"")</f>
        <v/>
      </c>
    </row>
    <row r="5843">
      <c r="N5843">
        <f>IF(AND(ISNUMBER(L5843),ISNUMBER(M5843)),L5843-M5843,"")</f>
        <v/>
      </c>
    </row>
    <row r="5844">
      <c r="N5844">
        <f>IF(AND(ISNUMBER(L5844),ISNUMBER(M5844)),L5844-M5844,"")</f>
        <v/>
      </c>
    </row>
    <row r="5845">
      <c r="N5845">
        <f>IF(AND(ISNUMBER(L5845),ISNUMBER(M5845)),L5845-M5845,"")</f>
        <v/>
      </c>
    </row>
    <row r="5846">
      <c r="N5846">
        <f>IF(AND(ISNUMBER(L5846),ISNUMBER(M5846)),L5846-M5846,"")</f>
        <v/>
      </c>
    </row>
    <row r="5847">
      <c r="N5847">
        <f>IF(AND(ISNUMBER(L5847),ISNUMBER(M5847)),L5847-M5847,"")</f>
        <v/>
      </c>
    </row>
    <row r="5848">
      <c r="N5848">
        <f>IF(AND(ISNUMBER(L5848),ISNUMBER(M5848)),L5848-M5848,"")</f>
        <v/>
      </c>
    </row>
    <row r="5849">
      <c r="N5849">
        <f>IF(AND(ISNUMBER(L5849),ISNUMBER(M5849)),L5849-M5849,"")</f>
        <v/>
      </c>
    </row>
    <row r="5850">
      <c r="N5850">
        <f>IF(AND(ISNUMBER(L5850),ISNUMBER(M5850)),L5850-M5850,"")</f>
        <v/>
      </c>
    </row>
    <row r="5851">
      <c r="N5851">
        <f>IF(AND(ISNUMBER(L5851),ISNUMBER(M5851)),L5851-M5851,"")</f>
        <v/>
      </c>
    </row>
    <row r="5852">
      <c r="N5852">
        <f>IF(AND(ISNUMBER(L5852),ISNUMBER(M5852)),L5852-M5852,"")</f>
        <v/>
      </c>
    </row>
    <row r="5853">
      <c r="N5853">
        <f>IF(AND(ISNUMBER(L5853),ISNUMBER(M5853)),L5853-M5853,"")</f>
        <v/>
      </c>
    </row>
    <row r="5854">
      <c r="N5854">
        <f>IF(AND(ISNUMBER(L5854),ISNUMBER(M5854)),L5854-M5854,"")</f>
        <v/>
      </c>
    </row>
    <row r="5855">
      <c r="N5855">
        <f>IF(AND(ISNUMBER(L5855),ISNUMBER(M5855)),L5855-M5855,"")</f>
        <v/>
      </c>
    </row>
    <row r="5856">
      <c r="N5856">
        <f>IF(AND(ISNUMBER(L5856),ISNUMBER(M5856)),L5856-M5856,"")</f>
        <v/>
      </c>
    </row>
    <row r="5857">
      <c r="N5857">
        <f>IF(AND(ISNUMBER(L5857),ISNUMBER(M5857)),L5857-M5857,"")</f>
        <v/>
      </c>
    </row>
    <row r="5858">
      <c r="N5858">
        <f>IF(AND(ISNUMBER(L5858),ISNUMBER(M5858)),L5858-M5858,"")</f>
        <v/>
      </c>
    </row>
    <row r="5859">
      <c r="N5859">
        <f>IF(AND(ISNUMBER(L5859),ISNUMBER(M5859)),L5859-M5859,"")</f>
        <v/>
      </c>
    </row>
    <row r="5860">
      <c r="N5860">
        <f>IF(AND(ISNUMBER(L5860),ISNUMBER(M5860)),L5860-M5860,"")</f>
        <v/>
      </c>
    </row>
    <row r="5861">
      <c r="N5861">
        <f>IF(AND(ISNUMBER(L5861),ISNUMBER(M5861)),L5861-M5861,"")</f>
        <v/>
      </c>
    </row>
    <row r="5862">
      <c r="N5862">
        <f>IF(AND(ISNUMBER(L5862),ISNUMBER(M5862)),L5862-M5862,"")</f>
        <v/>
      </c>
    </row>
    <row r="5863">
      <c r="N5863">
        <f>IF(AND(ISNUMBER(L5863),ISNUMBER(M5863)),L5863-M5863,"")</f>
        <v/>
      </c>
    </row>
    <row r="5864">
      <c r="N5864">
        <f>IF(AND(ISNUMBER(L5864),ISNUMBER(M5864)),L5864-M5864,"")</f>
        <v/>
      </c>
    </row>
    <row r="5865">
      <c r="N5865">
        <f>IF(AND(ISNUMBER(L5865),ISNUMBER(M5865)),L5865-M5865,"")</f>
        <v/>
      </c>
    </row>
    <row r="5866">
      <c r="N5866">
        <f>IF(AND(ISNUMBER(L5866),ISNUMBER(M5866)),L5866-M5866,"")</f>
        <v/>
      </c>
    </row>
    <row r="5867">
      <c r="N5867">
        <f>IF(AND(ISNUMBER(L5867),ISNUMBER(M5867)),L5867-M5867,"")</f>
        <v/>
      </c>
    </row>
    <row r="5868">
      <c r="N5868">
        <f>IF(AND(ISNUMBER(L5868),ISNUMBER(M5868)),L5868-M5868,"")</f>
        <v/>
      </c>
    </row>
    <row r="5869">
      <c r="N5869">
        <f>IF(AND(ISNUMBER(L5869),ISNUMBER(M5869)),L5869-M5869,"")</f>
        <v/>
      </c>
    </row>
    <row r="5870">
      <c r="N5870">
        <f>IF(AND(ISNUMBER(L5870),ISNUMBER(M5870)),L5870-M5870,"")</f>
        <v/>
      </c>
    </row>
    <row r="5871">
      <c r="N5871">
        <f>IF(AND(ISNUMBER(L5871),ISNUMBER(M5871)),L5871-M5871,"")</f>
        <v/>
      </c>
    </row>
    <row r="5872">
      <c r="N5872">
        <f>IF(AND(ISNUMBER(L5872),ISNUMBER(M5872)),L5872-M5872,"")</f>
        <v/>
      </c>
    </row>
    <row r="5873">
      <c r="N5873">
        <f>IF(AND(ISNUMBER(L5873),ISNUMBER(M5873)),L5873-M5873,"")</f>
        <v/>
      </c>
    </row>
    <row r="5874">
      <c r="N5874">
        <f>IF(AND(ISNUMBER(L5874),ISNUMBER(M5874)),L5874-M5874,"")</f>
        <v/>
      </c>
    </row>
    <row r="5875">
      <c r="N5875">
        <f>IF(AND(ISNUMBER(L5875),ISNUMBER(M5875)),L5875-M5875,"")</f>
        <v/>
      </c>
    </row>
    <row r="5876">
      <c r="N5876">
        <f>IF(AND(ISNUMBER(L5876),ISNUMBER(M5876)),L5876-M5876,"")</f>
        <v/>
      </c>
    </row>
    <row r="5877">
      <c r="N5877">
        <f>IF(AND(ISNUMBER(L5877),ISNUMBER(M5877)),L5877-M5877,"")</f>
        <v/>
      </c>
    </row>
    <row r="5878">
      <c r="N5878">
        <f>IF(AND(ISNUMBER(L5878),ISNUMBER(M5878)),L5878-M5878,"")</f>
        <v/>
      </c>
    </row>
    <row r="5879">
      <c r="N5879">
        <f>IF(AND(ISNUMBER(L5879),ISNUMBER(M5879)),L5879-M5879,"")</f>
        <v/>
      </c>
    </row>
    <row r="5880">
      <c r="N5880">
        <f>IF(AND(ISNUMBER(L5880),ISNUMBER(M5880)),L5880-M5880,"")</f>
        <v/>
      </c>
    </row>
    <row r="5881">
      <c r="N5881">
        <f>IF(AND(ISNUMBER(L5881),ISNUMBER(M5881)),L5881-M5881,"")</f>
        <v/>
      </c>
    </row>
    <row r="5882">
      <c r="N5882">
        <f>IF(AND(ISNUMBER(L5882),ISNUMBER(M5882)),L5882-M5882,"")</f>
        <v/>
      </c>
    </row>
    <row r="5883">
      <c r="N5883">
        <f>IF(AND(ISNUMBER(L5883),ISNUMBER(M5883)),L5883-M5883,"")</f>
        <v/>
      </c>
    </row>
    <row r="5884">
      <c r="N5884">
        <f>IF(AND(ISNUMBER(L5884),ISNUMBER(M5884)),L5884-M5884,"")</f>
        <v/>
      </c>
    </row>
    <row r="5885">
      <c r="N5885">
        <f>IF(AND(ISNUMBER(L5885),ISNUMBER(M5885)),L5885-M5885,"")</f>
        <v/>
      </c>
    </row>
    <row r="5886">
      <c r="N5886">
        <f>IF(AND(ISNUMBER(L5886),ISNUMBER(M5886)),L5886-M5886,"")</f>
        <v/>
      </c>
    </row>
    <row r="5887">
      <c r="N5887">
        <f>IF(AND(ISNUMBER(L5887),ISNUMBER(M5887)),L5887-M5887,"")</f>
        <v/>
      </c>
    </row>
    <row r="5888">
      <c r="N5888">
        <f>IF(AND(ISNUMBER(L5888),ISNUMBER(M5888)),L5888-M5888,"")</f>
        <v/>
      </c>
    </row>
    <row r="5889">
      <c r="N5889">
        <f>IF(AND(ISNUMBER(L5889),ISNUMBER(M5889)),L5889-M5889,"")</f>
        <v/>
      </c>
    </row>
    <row r="5890">
      <c r="N5890">
        <f>IF(AND(ISNUMBER(L5890),ISNUMBER(M5890)),L5890-M5890,"")</f>
        <v/>
      </c>
    </row>
    <row r="5891">
      <c r="N5891">
        <f>IF(AND(ISNUMBER(L5891),ISNUMBER(M5891)),L5891-M5891,"")</f>
        <v/>
      </c>
    </row>
    <row r="5892">
      <c r="N5892">
        <f>IF(AND(ISNUMBER(L5892),ISNUMBER(M5892)),L5892-M5892,"")</f>
        <v/>
      </c>
    </row>
    <row r="5893">
      <c r="N5893">
        <f>IF(AND(ISNUMBER(L5893),ISNUMBER(M5893)),L5893-M5893,"")</f>
        <v/>
      </c>
    </row>
    <row r="5894">
      <c r="N5894">
        <f>IF(AND(ISNUMBER(L5894),ISNUMBER(M5894)),L5894-M5894,"")</f>
        <v/>
      </c>
    </row>
    <row r="5895">
      <c r="N5895">
        <f>IF(AND(ISNUMBER(L5895),ISNUMBER(M5895)),L5895-M5895,"")</f>
        <v/>
      </c>
    </row>
    <row r="5896">
      <c r="N5896">
        <f>IF(AND(ISNUMBER(L5896),ISNUMBER(M5896)),L5896-M5896,"")</f>
        <v/>
      </c>
    </row>
    <row r="5897">
      <c r="N5897">
        <f>IF(AND(ISNUMBER(L5897),ISNUMBER(M5897)),L5897-M5897,"")</f>
        <v/>
      </c>
    </row>
    <row r="5898">
      <c r="N5898">
        <f>IF(AND(ISNUMBER(L5898),ISNUMBER(M5898)),L5898-M5898,"")</f>
        <v/>
      </c>
    </row>
    <row r="5899">
      <c r="N5899">
        <f>IF(AND(ISNUMBER(L5899),ISNUMBER(M5899)),L5899-M5899,"")</f>
        <v/>
      </c>
    </row>
    <row r="5900">
      <c r="N5900">
        <f>IF(AND(ISNUMBER(L5900),ISNUMBER(M5900)),L5900-M5900,"")</f>
        <v/>
      </c>
    </row>
    <row r="5901">
      <c r="N5901">
        <f>IF(AND(ISNUMBER(L5901),ISNUMBER(M5901)),L5901-M5901,"")</f>
        <v/>
      </c>
    </row>
    <row r="5902">
      <c r="N5902">
        <f>IF(AND(ISNUMBER(L5902),ISNUMBER(M5902)),L5902-M5902,"")</f>
        <v/>
      </c>
    </row>
    <row r="5903">
      <c r="N5903">
        <f>IF(AND(ISNUMBER(L5903),ISNUMBER(M5903)),L5903-M5903,"")</f>
        <v/>
      </c>
    </row>
    <row r="5904">
      <c r="N5904">
        <f>IF(AND(ISNUMBER(L5904),ISNUMBER(M5904)),L5904-M5904,"")</f>
        <v/>
      </c>
    </row>
    <row r="5905">
      <c r="N5905">
        <f>IF(AND(ISNUMBER(L5905),ISNUMBER(M5905)),L5905-M5905,"")</f>
        <v/>
      </c>
    </row>
    <row r="5906">
      <c r="N5906">
        <f>IF(AND(ISNUMBER(L5906),ISNUMBER(M5906)),L5906-M5906,"")</f>
        <v/>
      </c>
    </row>
    <row r="5907">
      <c r="N5907">
        <f>IF(AND(ISNUMBER(L5907),ISNUMBER(M5907)),L5907-M5907,"")</f>
        <v/>
      </c>
    </row>
    <row r="5908">
      <c r="N5908">
        <f>IF(AND(ISNUMBER(L5908),ISNUMBER(M5908)),L5908-M5908,"")</f>
        <v/>
      </c>
    </row>
    <row r="5909">
      <c r="N5909">
        <f>IF(AND(ISNUMBER(L5909),ISNUMBER(M5909)),L5909-M5909,"")</f>
        <v/>
      </c>
    </row>
    <row r="5910">
      <c r="N5910">
        <f>IF(AND(ISNUMBER(L5910),ISNUMBER(M5910)),L5910-M5910,"")</f>
        <v/>
      </c>
    </row>
    <row r="5911">
      <c r="N5911">
        <f>IF(AND(ISNUMBER(L5911),ISNUMBER(M5911)),L5911-M5911,"")</f>
        <v/>
      </c>
    </row>
    <row r="5912">
      <c r="N5912">
        <f>IF(AND(ISNUMBER(L5912),ISNUMBER(M5912)),L5912-M5912,"")</f>
        <v/>
      </c>
    </row>
    <row r="5913">
      <c r="N5913">
        <f>IF(AND(ISNUMBER(L5913),ISNUMBER(M5913)),L5913-M5913,"")</f>
        <v/>
      </c>
    </row>
    <row r="5914">
      <c r="N5914">
        <f>IF(AND(ISNUMBER(L5914),ISNUMBER(M5914)),L5914-M5914,"")</f>
        <v/>
      </c>
    </row>
    <row r="5915">
      <c r="N5915">
        <f>IF(AND(ISNUMBER(L5915),ISNUMBER(M5915)),L5915-M5915,"")</f>
        <v/>
      </c>
    </row>
    <row r="5916">
      <c r="N5916">
        <f>IF(AND(ISNUMBER(L5916),ISNUMBER(M5916)),L5916-M5916,"")</f>
        <v/>
      </c>
    </row>
    <row r="5917">
      <c r="N5917">
        <f>IF(AND(ISNUMBER(L5917),ISNUMBER(M5917)),L5917-M5917,"")</f>
        <v/>
      </c>
    </row>
    <row r="5918">
      <c r="N5918">
        <f>IF(AND(ISNUMBER(L5918),ISNUMBER(M5918)),L5918-M5918,"")</f>
        <v/>
      </c>
    </row>
    <row r="5919">
      <c r="N5919">
        <f>IF(AND(ISNUMBER(L5919),ISNUMBER(M5919)),L5919-M5919,"")</f>
        <v/>
      </c>
    </row>
    <row r="5920">
      <c r="N5920">
        <f>IF(AND(ISNUMBER(L5920),ISNUMBER(M5920)),L5920-M5920,"")</f>
        <v/>
      </c>
    </row>
    <row r="5921">
      <c r="N5921">
        <f>IF(AND(ISNUMBER(L5921),ISNUMBER(M5921)),L5921-M5921,"")</f>
        <v/>
      </c>
    </row>
    <row r="5922">
      <c r="N5922">
        <f>IF(AND(ISNUMBER(L5922),ISNUMBER(M5922)),L5922-M5922,"")</f>
        <v/>
      </c>
    </row>
    <row r="5923">
      <c r="N5923">
        <f>IF(AND(ISNUMBER(L5923),ISNUMBER(M5923)),L5923-M5923,"")</f>
        <v/>
      </c>
    </row>
    <row r="5924">
      <c r="N5924">
        <f>IF(AND(ISNUMBER(L5924),ISNUMBER(M5924)),L5924-M5924,"")</f>
        <v/>
      </c>
    </row>
    <row r="5925">
      <c r="N5925">
        <f>IF(AND(ISNUMBER(L5925),ISNUMBER(M5925)),L5925-M5925,"")</f>
        <v/>
      </c>
    </row>
    <row r="5926">
      <c r="N5926">
        <f>IF(AND(ISNUMBER(L5926),ISNUMBER(M5926)),L5926-M5926,"")</f>
        <v/>
      </c>
    </row>
    <row r="5927">
      <c r="N5927">
        <f>IF(AND(ISNUMBER(L5927),ISNUMBER(M5927)),L5927-M5927,"")</f>
        <v/>
      </c>
    </row>
    <row r="5928">
      <c r="N5928">
        <f>IF(AND(ISNUMBER(L5928),ISNUMBER(M5928)),L5928-M5928,"")</f>
        <v/>
      </c>
    </row>
    <row r="5929">
      <c r="N5929">
        <f>IF(AND(ISNUMBER(L5929),ISNUMBER(M5929)),L5929-M5929,"")</f>
        <v/>
      </c>
    </row>
    <row r="5930">
      <c r="N5930">
        <f>IF(AND(ISNUMBER(L5930),ISNUMBER(M5930)),L5930-M5930,"")</f>
        <v/>
      </c>
    </row>
    <row r="5931">
      <c r="N5931">
        <f>IF(AND(ISNUMBER(L5931),ISNUMBER(M5931)),L5931-M5931,"")</f>
        <v/>
      </c>
    </row>
    <row r="5932">
      <c r="N5932">
        <f>IF(AND(ISNUMBER(L5932),ISNUMBER(M5932)),L5932-M5932,"")</f>
        <v/>
      </c>
    </row>
    <row r="5933">
      <c r="N5933">
        <f>IF(AND(ISNUMBER(L5933),ISNUMBER(M5933)),L5933-M5933,"")</f>
        <v/>
      </c>
    </row>
    <row r="5934">
      <c r="N5934">
        <f>IF(AND(ISNUMBER(L5934),ISNUMBER(M5934)),L5934-M5934,"")</f>
        <v/>
      </c>
    </row>
    <row r="5935">
      <c r="N5935">
        <f>IF(AND(ISNUMBER(L5935),ISNUMBER(M5935)),L5935-M5935,"")</f>
        <v/>
      </c>
    </row>
    <row r="5936">
      <c r="N5936">
        <f>IF(AND(ISNUMBER(L5936),ISNUMBER(M5936)),L5936-M5936,"")</f>
        <v/>
      </c>
    </row>
    <row r="5937">
      <c r="N5937">
        <f>IF(AND(ISNUMBER(L5937),ISNUMBER(M5937)),L5937-M5937,"")</f>
        <v/>
      </c>
    </row>
    <row r="5938">
      <c r="N5938">
        <f>IF(AND(ISNUMBER(L5938),ISNUMBER(M5938)),L5938-M5938,"")</f>
        <v/>
      </c>
    </row>
    <row r="5939">
      <c r="N5939">
        <f>IF(AND(ISNUMBER(L5939),ISNUMBER(M5939)),L5939-M5939,"")</f>
        <v/>
      </c>
    </row>
    <row r="5940">
      <c r="N5940">
        <f>IF(AND(ISNUMBER(L5940),ISNUMBER(M5940)),L5940-M5940,"")</f>
        <v/>
      </c>
    </row>
    <row r="5941">
      <c r="N5941">
        <f>IF(AND(ISNUMBER(L5941),ISNUMBER(M5941)),L5941-M5941,"")</f>
        <v/>
      </c>
    </row>
    <row r="5942">
      <c r="N5942">
        <f>IF(AND(ISNUMBER(L5942),ISNUMBER(M5942)),L5942-M5942,"")</f>
        <v/>
      </c>
    </row>
    <row r="5943">
      <c r="N5943">
        <f>IF(AND(ISNUMBER(L5943),ISNUMBER(M5943)),L5943-M5943,"")</f>
        <v/>
      </c>
    </row>
    <row r="5944">
      <c r="N5944">
        <f>IF(AND(ISNUMBER(L5944),ISNUMBER(M5944)),L5944-M5944,"")</f>
        <v/>
      </c>
    </row>
    <row r="5945">
      <c r="N5945">
        <f>IF(AND(ISNUMBER(L5945),ISNUMBER(M5945)),L5945-M5945,"")</f>
        <v/>
      </c>
    </row>
    <row r="5946">
      <c r="N5946">
        <f>IF(AND(ISNUMBER(L5946),ISNUMBER(M5946)),L5946-M5946,"")</f>
        <v/>
      </c>
    </row>
    <row r="5947">
      <c r="N5947">
        <f>IF(AND(ISNUMBER(L5947),ISNUMBER(M5947)),L5947-M5947,"")</f>
        <v/>
      </c>
    </row>
    <row r="5948">
      <c r="N5948">
        <f>IF(AND(ISNUMBER(L5948),ISNUMBER(M5948)),L5948-M5948,"")</f>
        <v/>
      </c>
    </row>
    <row r="5949">
      <c r="N5949">
        <f>IF(AND(ISNUMBER(L5949),ISNUMBER(M5949)),L5949-M5949,"")</f>
        <v/>
      </c>
    </row>
    <row r="5950">
      <c r="N5950">
        <f>IF(AND(ISNUMBER(L5950),ISNUMBER(M5950)),L5950-M5950,"")</f>
        <v/>
      </c>
    </row>
    <row r="5951">
      <c r="N5951">
        <f>IF(AND(ISNUMBER(L5951),ISNUMBER(M5951)),L5951-M5951,"")</f>
        <v/>
      </c>
    </row>
    <row r="5952">
      <c r="N5952">
        <f>IF(AND(ISNUMBER(L5952),ISNUMBER(M5952)),L5952-M5952,"")</f>
        <v/>
      </c>
    </row>
    <row r="5953">
      <c r="N5953">
        <f>IF(AND(ISNUMBER(L5953),ISNUMBER(M5953)),L5953-M5953,"")</f>
        <v/>
      </c>
    </row>
    <row r="5954">
      <c r="N5954">
        <f>IF(AND(ISNUMBER(L5954),ISNUMBER(M5954)),L5954-M5954,"")</f>
        <v/>
      </c>
    </row>
    <row r="5955">
      <c r="N5955">
        <f>IF(AND(ISNUMBER(L5955),ISNUMBER(M5955)),L5955-M5955,"")</f>
        <v/>
      </c>
    </row>
    <row r="5956">
      <c r="N5956">
        <f>IF(AND(ISNUMBER(L5956),ISNUMBER(M5956)),L5956-M5956,"")</f>
        <v/>
      </c>
    </row>
    <row r="5957">
      <c r="N5957">
        <f>IF(AND(ISNUMBER(L5957),ISNUMBER(M5957)),L5957-M5957,"")</f>
        <v/>
      </c>
    </row>
    <row r="5958">
      <c r="N5958">
        <f>IF(AND(ISNUMBER(L5958),ISNUMBER(M5958)),L5958-M5958,"")</f>
        <v/>
      </c>
    </row>
    <row r="5959">
      <c r="N5959">
        <f>IF(AND(ISNUMBER(L5959),ISNUMBER(M5959)),L5959-M5959,"")</f>
        <v/>
      </c>
    </row>
    <row r="5960">
      <c r="N5960">
        <f>IF(AND(ISNUMBER(L5960),ISNUMBER(M5960)),L5960-M5960,"")</f>
        <v/>
      </c>
    </row>
    <row r="5961">
      <c r="N5961">
        <f>IF(AND(ISNUMBER(L5961),ISNUMBER(M5961)),L5961-M5961,"")</f>
        <v/>
      </c>
    </row>
    <row r="5962">
      <c r="N5962">
        <f>IF(AND(ISNUMBER(L5962),ISNUMBER(M5962)),L5962-M5962,"")</f>
        <v/>
      </c>
    </row>
    <row r="5963">
      <c r="N5963">
        <f>IF(AND(ISNUMBER(L5963),ISNUMBER(M5963)),L5963-M5963,"")</f>
        <v/>
      </c>
    </row>
    <row r="5964">
      <c r="N5964">
        <f>IF(AND(ISNUMBER(L5964),ISNUMBER(M5964)),L5964-M5964,"")</f>
        <v/>
      </c>
    </row>
    <row r="5965">
      <c r="N5965">
        <f>IF(AND(ISNUMBER(L5965),ISNUMBER(M5965)),L5965-M5965,"")</f>
        <v/>
      </c>
    </row>
    <row r="5966">
      <c r="N5966">
        <f>IF(AND(ISNUMBER(L5966),ISNUMBER(M5966)),L5966-M5966,"")</f>
        <v/>
      </c>
    </row>
    <row r="5967">
      <c r="N5967">
        <f>IF(AND(ISNUMBER(L5967),ISNUMBER(M5967)),L5967-M5967,"")</f>
        <v/>
      </c>
    </row>
    <row r="5968">
      <c r="N5968">
        <f>IF(AND(ISNUMBER(L5968),ISNUMBER(M5968)),L5968-M5968,"")</f>
        <v/>
      </c>
    </row>
    <row r="5969">
      <c r="N5969">
        <f>IF(AND(ISNUMBER(L5969),ISNUMBER(M5969)),L5969-M5969,"")</f>
        <v/>
      </c>
    </row>
    <row r="5970">
      <c r="N5970">
        <f>IF(AND(ISNUMBER(L5970),ISNUMBER(M5970)),L5970-M5970,"")</f>
        <v/>
      </c>
    </row>
    <row r="5971">
      <c r="N5971">
        <f>IF(AND(ISNUMBER(L5971),ISNUMBER(M5971)),L5971-M5971,"")</f>
        <v/>
      </c>
    </row>
    <row r="5972">
      <c r="N5972">
        <f>IF(AND(ISNUMBER(L5972),ISNUMBER(M5972)),L5972-M5972,"")</f>
        <v/>
      </c>
    </row>
    <row r="5973">
      <c r="N5973">
        <f>IF(AND(ISNUMBER(L5973),ISNUMBER(M5973)),L5973-M5973,"")</f>
        <v/>
      </c>
    </row>
    <row r="5974">
      <c r="N5974">
        <f>IF(AND(ISNUMBER(L5974),ISNUMBER(M5974)),L5974-M5974,"")</f>
        <v/>
      </c>
    </row>
    <row r="5975">
      <c r="N5975">
        <f>IF(AND(ISNUMBER(L5975),ISNUMBER(M5975)),L5975-M5975,"")</f>
        <v/>
      </c>
    </row>
    <row r="5976">
      <c r="N5976">
        <f>IF(AND(ISNUMBER(L5976),ISNUMBER(M5976)),L5976-M5976,"")</f>
        <v/>
      </c>
    </row>
    <row r="5977">
      <c r="N5977">
        <f>IF(AND(ISNUMBER(L5977),ISNUMBER(M5977)),L5977-M5977,"")</f>
        <v/>
      </c>
    </row>
    <row r="5978">
      <c r="N5978">
        <f>IF(AND(ISNUMBER(L5978),ISNUMBER(M5978)),L5978-M5978,"")</f>
        <v/>
      </c>
    </row>
    <row r="5979">
      <c r="N5979">
        <f>IF(AND(ISNUMBER(L5979),ISNUMBER(M5979)),L5979-M5979,"")</f>
        <v/>
      </c>
    </row>
    <row r="5980">
      <c r="N5980">
        <f>IF(AND(ISNUMBER(L5980),ISNUMBER(M5980)),L5980-M5980,"")</f>
        <v/>
      </c>
    </row>
    <row r="5981">
      <c r="N5981">
        <f>IF(AND(ISNUMBER(L5981),ISNUMBER(M5981)),L5981-M5981,"")</f>
        <v/>
      </c>
    </row>
    <row r="5982">
      <c r="N5982">
        <f>IF(AND(ISNUMBER(L5982),ISNUMBER(M5982)),L5982-M5982,"")</f>
        <v/>
      </c>
    </row>
    <row r="5983">
      <c r="N5983">
        <f>IF(AND(ISNUMBER(L5983),ISNUMBER(M5983)),L5983-M5983,"")</f>
        <v/>
      </c>
    </row>
    <row r="5984">
      <c r="N5984">
        <f>IF(AND(ISNUMBER(L5984),ISNUMBER(M5984)),L5984-M5984,"")</f>
        <v/>
      </c>
    </row>
    <row r="5985">
      <c r="N5985">
        <f>IF(AND(ISNUMBER(L5985),ISNUMBER(M5985)),L5985-M5985,"")</f>
        <v/>
      </c>
    </row>
    <row r="5986">
      <c r="N5986">
        <f>IF(AND(ISNUMBER(L5986),ISNUMBER(M5986)),L5986-M5986,"")</f>
        <v/>
      </c>
    </row>
    <row r="5987">
      <c r="N5987">
        <f>IF(AND(ISNUMBER(L5987),ISNUMBER(M5987)),L5987-M5987,"")</f>
        <v/>
      </c>
    </row>
    <row r="5988">
      <c r="N5988">
        <f>IF(AND(ISNUMBER(L5988),ISNUMBER(M5988)),L5988-M5988,"")</f>
        <v/>
      </c>
    </row>
    <row r="5989">
      <c r="N5989">
        <f>IF(AND(ISNUMBER(L5989),ISNUMBER(M5989)),L5989-M5989,"")</f>
        <v/>
      </c>
    </row>
    <row r="5990">
      <c r="N5990">
        <f>IF(AND(ISNUMBER(L5990),ISNUMBER(M5990)),L5990-M5990,"")</f>
        <v/>
      </c>
    </row>
    <row r="5991">
      <c r="N5991">
        <f>IF(AND(ISNUMBER(L5991),ISNUMBER(M5991)),L5991-M5991,"")</f>
        <v/>
      </c>
    </row>
    <row r="5992">
      <c r="N5992">
        <f>IF(AND(ISNUMBER(L5992),ISNUMBER(M5992)),L5992-M5992,"")</f>
        <v/>
      </c>
    </row>
    <row r="5993">
      <c r="N5993">
        <f>IF(AND(ISNUMBER(L5993),ISNUMBER(M5993)),L5993-M5993,"")</f>
        <v/>
      </c>
    </row>
    <row r="5994">
      <c r="N5994">
        <f>IF(AND(ISNUMBER(L5994),ISNUMBER(M5994)),L5994-M5994,"")</f>
        <v/>
      </c>
    </row>
    <row r="5995">
      <c r="N5995">
        <f>IF(AND(ISNUMBER(L5995),ISNUMBER(M5995)),L5995-M5995,"")</f>
        <v/>
      </c>
    </row>
    <row r="5996">
      <c r="N5996">
        <f>IF(AND(ISNUMBER(L5996),ISNUMBER(M5996)),L5996-M5996,"")</f>
        <v/>
      </c>
    </row>
    <row r="5997">
      <c r="N5997">
        <f>IF(AND(ISNUMBER(L5997),ISNUMBER(M5997)),L5997-M5997,"")</f>
        <v/>
      </c>
    </row>
    <row r="5998">
      <c r="N5998">
        <f>IF(AND(ISNUMBER(L5998),ISNUMBER(M5998)),L5998-M5998,"")</f>
        <v/>
      </c>
    </row>
    <row r="5999">
      <c r="N5999">
        <f>IF(AND(ISNUMBER(L5999),ISNUMBER(M5999)),L5999-M5999,"")</f>
        <v/>
      </c>
    </row>
    <row r="6000">
      <c r="N6000">
        <f>IF(AND(ISNUMBER(L6000),ISNUMBER(M6000)),L6000-M6000,"")</f>
        <v/>
      </c>
    </row>
    <row r="6001">
      <c r="N6001">
        <f>IF(AND(ISNUMBER(L6001),ISNUMBER(M6001)),L6001-M6001,"")</f>
        <v/>
      </c>
    </row>
    <row r="6002">
      <c r="N6002">
        <f>IF(AND(ISNUMBER(L6002),ISNUMBER(M6002)),L6002-M6002,"")</f>
        <v/>
      </c>
    </row>
    <row r="6003">
      <c r="N6003">
        <f>IF(AND(ISNUMBER(L6003),ISNUMBER(M6003)),L6003-M6003,"")</f>
        <v/>
      </c>
    </row>
    <row r="6004">
      <c r="N6004">
        <f>IF(AND(ISNUMBER(L6004),ISNUMBER(M6004)),L6004-M6004,"")</f>
        <v/>
      </c>
    </row>
    <row r="6005">
      <c r="N6005">
        <f>IF(AND(ISNUMBER(L6005),ISNUMBER(M6005)),L6005-M6005,"")</f>
        <v/>
      </c>
    </row>
    <row r="6006">
      <c r="N6006">
        <f>IF(AND(ISNUMBER(L6006),ISNUMBER(M6006)),L6006-M6006,"")</f>
        <v/>
      </c>
    </row>
    <row r="6007">
      <c r="N6007">
        <f>IF(AND(ISNUMBER(L6007),ISNUMBER(M6007)),L6007-M6007,"")</f>
        <v/>
      </c>
    </row>
    <row r="6008">
      <c r="N6008">
        <f>IF(AND(ISNUMBER(L6008),ISNUMBER(M6008)),L6008-M6008,"")</f>
        <v/>
      </c>
    </row>
    <row r="6009">
      <c r="N6009">
        <f>IF(AND(ISNUMBER(L6009),ISNUMBER(M6009)),L6009-M6009,"")</f>
        <v/>
      </c>
    </row>
    <row r="6010">
      <c r="N6010">
        <f>IF(AND(ISNUMBER(L6010),ISNUMBER(M6010)),L6010-M6010,"")</f>
        <v/>
      </c>
    </row>
    <row r="6011">
      <c r="N6011">
        <f>IF(AND(ISNUMBER(L6011),ISNUMBER(M6011)),L6011-M6011,"")</f>
        <v/>
      </c>
    </row>
    <row r="6012">
      <c r="N6012">
        <f>IF(AND(ISNUMBER(L6012),ISNUMBER(M6012)),L6012-M6012,"")</f>
        <v/>
      </c>
    </row>
    <row r="6013">
      <c r="N6013">
        <f>IF(AND(ISNUMBER(L6013),ISNUMBER(M6013)),L6013-M6013,"")</f>
        <v/>
      </c>
    </row>
    <row r="6014">
      <c r="N6014">
        <f>IF(AND(ISNUMBER(L6014),ISNUMBER(M6014)),L6014-M6014,"")</f>
        <v/>
      </c>
    </row>
    <row r="6015">
      <c r="N6015">
        <f>IF(AND(ISNUMBER(L6015),ISNUMBER(M6015)),L6015-M6015,"")</f>
        <v/>
      </c>
    </row>
    <row r="6016">
      <c r="N6016">
        <f>IF(AND(ISNUMBER(L6016),ISNUMBER(M6016)),L6016-M6016,"")</f>
        <v/>
      </c>
    </row>
    <row r="6017">
      <c r="N6017">
        <f>IF(AND(ISNUMBER(L6017),ISNUMBER(M6017)),L6017-M6017,"")</f>
        <v/>
      </c>
    </row>
    <row r="6018">
      <c r="N6018">
        <f>IF(AND(ISNUMBER(L6018),ISNUMBER(M6018)),L6018-M6018,"")</f>
        <v/>
      </c>
    </row>
    <row r="6019">
      <c r="N6019">
        <f>IF(AND(ISNUMBER(L6019),ISNUMBER(M6019)),L6019-M6019,"")</f>
        <v/>
      </c>
    </row>
    <row r="6020">
      <c r="N6020">
        <f>IF(AND(ISNUMBER(L6020),ISNUMBER(M6020)),L6020-M6020,"")</f>
        <v/>
      </c>
    </row>
    <row r="6021">
      <c r="N6021">
        <f>IF(AND(ISNUMBER(L6021),ISNUMBER(M6021)),L6021-M6021,"")</f>
        <v/>
      </c>
    </row>
    <row r="6022">
      <c r="N6022">
        <f>IF(AND(ISNUMBER(L6022),ISNUMBER(M6022)),L6022-M6022,"")</f>
        <v/>
      </c>
    </row>
    <row r="6023">
      <c r="N6023">
        <f>IF(AND(ISNUMBER(L6023),ISNUMBER(M6023)),L6023-M6023,"")</f>
        <v/>
      </c>
    </row>
    <row r="6024">
      <c r="N6024">
        <f>IF(AND(ISNUMBER(L6024),ISNUMBER(M6024)),L6024-M6024,"")</f>
        <v/>
      </c>
    </row>
    <row r="6025">
      <c r="N6025">
        <f>IF(AND(ISNUMBER(L6025),ISNUMBER(M6025)),L6025-M6025,"")</f>
        <v/>
      </c>
    </row>
    <row r="6026">
      <c r="N6026">
        <f>IF(AND(ISNUMBER(L6026),ISNUMBER(M6026)),L6026-M6026,"")</f>
        <v/>
      </c>
    </row>
    <row r="6027">
      <c r="N6027">
        <f>IF(AND(ISNUMBER(L6027),ISNUMBER(M6027)),L6027-M6027,"")</f>
        <v/>
      </c>
    </row>
    <row r="6028">
      <c r="N6028">
        <f>IF(AND(ISNUMBER(L6028),ISNUMBER(M6028)),L6028-M6028,"")</f>
        <v/>
      </c>
    </row>
    <row r="6029">
      <c r="N6029">
        <f>IF(AND(ISNUMBER(L6029),ISNUMBER(M6029)),L6029-M6029,"")</f>
        <v/>
      </c>
    </row>
    <row r="6030">
      <c r="N6030">
        <f>IF(AND(ISNUMBER(L6030),ISNUMBER(M6030)),L6030-M6030,"")</f>
        <v/>
      </c>
    </row>
    <row r="6031">
      <c r="N6031">
        <f>IF(AND(ISNUMBER(L6031),ISNUMBER(M6031)),L6031-M6031,"")</f>
        <v/>
      </c>
    </row>
    <row r="6032">
      <c r="N6032">
        <f>IF(AND(ISNUMBER(L6032),ISNUMBER(M6032)),L6032-M6032,"")</f>
        <v/>
      </c>
    </row>
    <row r="6033">
      <c r="N6033">
        <f>IF(AND(ISNUMBER(L6033),ISNUMBER(M6033)),L6033-M6033,"")</f>
        <v/>
      </c>
    </row>
    <row r="6034">
      <c r="N6034">
        <f>IF(AND(ISNUMBER(L6034),ISNUMBER(M6034)),L6034-M6034,"")</f>
        <v/>
      </c>
    </row>
    <row r="6035">
      <c r="N6035">
        <f>IF(AND(ISNUMBER(L6035),ISNUMBER(M6035)),L6035-M6035,"")</f>
        <v/>
      </c>
    </row>
    <row r="6036">
      <c r="N6036">
        <f>IF(AND(ISNUMBER(L6036),ISNUMBER(M6036)),L6036-M6036,"")</f>
        <v/>
      </c>
    </row>
    <row r="6037">
      <c r="N6037">
        <f>IF(AND(ISNUMBER(L6037),ISNUMBER(M6037)),L6037-M6037,"")</f>
        <v/>
      </c>
    </row>
    <row r="6038">
      <c r="N6038">
        <f>IF(AND(ISNUMBER(L6038),ISNUMBER(M6038)),L6038-M6038,"")</f>
        <v/>
      </c>
    </row>
    <row r="6039">
      <c r="N6039">
        <f>IF(AND(ISNUMBER(L6039),ISNUMBER(M6039)),L6039-M6039,"")</f>
        <v/>
      </c>
    </row>
    <row r="6040">
      <c r="N6040">
        <f>IF(AND(ISNUMBER(L6040),ISNUMBER(M6040)),L6040-M6040,"")</f>
        <v/>
      </c>
    </row>
    <row r="6041">
      <c r="N6041">
        <f>IF(AND(ISNUMBER(L6041),ISNUMBER(M6041)),L6041-M6041,"")</f>
        <v/>
      </c>
    </row>
    <row r="6042">
      <c r="N6042">
        <f>IF(AND(ISNUMBER(L6042),ISNUMBER(M6042)),L6042-M6042,"")</f>
        <v/>
      </c>
    </row>
    <row r="6043">
      <c r="N6043">
        <f>IF(AND(ISNUMBER(L6043),ISNUMBER(M6043)),L6043-M6043,"")</f>
        <v/>
      </c>
    </row>
    <row r="6044">
      <c r="N6044">
        <f>IF(AND(ISNUMBER(L6044),ISNUMBER(M6044)),L6044-M6044,"")</f>
        <v/>
      </c>
    </row>
    <row r="6045">
      <c r="N6045">
        <f>IF(AND(ISNUMBER(L6045),ISNUMBER(M6045)),L6045-M6045,"")</f>
        <v/>
      </c>
    </row>
    <row r="6046">
      <c r="N6046">
        <f>IF(AND(ISNUMBER(L6046),ISNUMBER(M6046)),L6046-M6046,"")</f>
        <v/>
      </c>
    </row>
    <row r="6047">
      <c r="N6047">
        <f>IF(AND(ISNUMBER(L6047),ISNUMBER(M6047)),L6047-M6047,"")</f>
        <v/>
      </c>
    </row>
    <row r="6048">
      <c r="N6048">
        <f>IF(AND(ISNUMBER(L6048),ISNUMBER(M6048)),L6048-M6048,"")</f>
        <v/>
      </c>
    </row>
    <row r="6049">
      <c r="N6049">
        <f>IF(AND(ISNUMBER(L6049),ISNUMBER(M6049)),L6049-M6049,"")</f>
        <v/>
      </c>
    </row>
    <row r="6050">
      <c r="N6050">
        <f>IF(AND(ISNUMBER(L6050),ISNUMBER(M6050)),L6050-M6050,"")</f>
        <v/>
      </c>
    </row>
    <row r="6051">
      <c r="N6051">
        <f>IF(AND(ISNUMBER(L6051),ISNUMBER(M6051)),L6051-M6051,"")</f>
        <v/>
      </c>
    </row>
    <row r="6052">
      <c r="N6052">
        <f>IF(AND(ISNUMBER(L6052),ISNUMBER(M6052)),L6052-M6052,"")</f>
        <v/>
      </c>
    </row>
    <row r="6053">
      <c r="N6053">
        <f>IF(AND(ISNUMBER(L6053),ISNUMBER(M6053)),L6053-M6053,"")</f>
        <v/>
      </c>
    </row>
    <row r="6054">
      <c r="N6054">
        <f>IF(AND(ISNUMBER(L6054),ISNUMBER(M6054)),L6054-M6054,"")</f>
        <v/>
      </c>
    </row>
    <row r="6055">
      <c r="N6055">
        <f>IF(AND(ISNUMBER(L6055),ISNUMBER(M6055)),L6055-M6055,"")</f>
        <v/>
      </c>
    </row>
    <row r="6056">
      <c r="N6056">
        <f>IF(AND(ISNUMBER(L6056),ISNUMBER(M6056)),L6056-M6056,"")</f>
        <v/>
      </c>
    </row>
    <row r="6057">
      <c r="N6057">
        <f>IF(AND(ISNUMBER(L6057),ISNUMBER(M6057)),L6057-M6057,"")</f>
        <v/>
      </c>
    </row>
    <row r="6058">
      <c r="N6058">
        <f>IF(AND(ISNUMBER(L6058),ISNUMBER(M6058)),L6058-M6058,"")</f>
        <v/>
      </c>
    </row>
    <row r="6059">
      <c r="N6059">
        <f>IF(AND(ISNUMBER(L6059),ISNUMBER(M6059)),L6059-M6059,"")</f>
        <v/>
      </c>
    </row>
    <row r="6060">
      <c r="N6060">
        <f>IF(AND(ISNUMBER(L6060),ISNUMBER(M6060)),L6060-M6060,"")</f>
        <v/>
      </c>
    </row>
    <row r="6061">
      <c r="N6061">
        <f>IF(AND(ISNUMBER(L6061),ISNUMBER(M6061)),L6061-M6061,"")</f>
        <v/>
      </c>
    </row>
    <row r="6062">
      <c r="N6062">
        <f>IF(AND(ISNUMBER(L6062),ISNUMBER(M6062)),L6062-M6062,"")</f>
        <v/>
      </c>
    </row>
    <row r="6063">
      <c r="N6063">
        <f>IF(AND(ISNUMBER(L6063),ISNUMBER(M6063)),L6063-M6063,"")</f>
        <v/>
      </c>
    </row>
    <row r="6064">
      <c r="N6064">
        <f>IF(AND(ISNUMBER(L6064),ISNUMBER(M6064)),L6064-M6064,"")</f>
        <v/>
      </c>
    </row>
    <row r="6065">
      <c r="N6065">
        <f>IF(AND(ISNUMBER(L6065),ISNUMBER(M6065)),L6065-M6065,"")</f>
        <v/>
      </c>
    </row>
    <row r="6066">
      <c r="N6066">
        <f>IF(AND(ISNUMBER(L6066),ISNUMBER(M6066)),L6066-M6066,"")</f>
        <v/>
      </c>
    </row>
    <row r="6067">
      <c r="N6067">
        <f>IF(AND(ISNUMBER(L6067),ISNUMBER(M6067)),L6067-M6067,"")</f>
        <v/>
      </c>
    </row>
    <row r="6068">
      <c r="N6068">
        <f>IF(AND(ISNUMBER(L6068),ISNUMBER(M6068)),L6068-M6068,"")</f>
        <v/>
      </c>
    </row>
    <row r="6069">
      <c r="N6069">
        <f>IF(AND(ISNUMBER(L6069),ISNUMBER(M6069)),L6069-M6069,"")</f>
        <v/>
      </c>
    </row>
    <row r="6070">
      <c r="N6070">
        <f>IF(AND(ISNUMBER(L6070),ISNUMBER(M6070)),L6070-M6070,"")</f>
        <v/>
      </c>
    </row>
    <row r="6071">
      <c r="N6071">
        <f>IF(AND(ISNUMBER(L6071),ISNUMBER(M6071)),L6071-M6071,"")</f>
        <v/>
      </c>
    </row>
    <row r="6072">
      <c r="N6072">
        <f>IF(AND(ISNUMBER(L6072),ISNUMBER(M6072)),L6072-M6072,"")</f>
        <v/>
      </c>
    </row>
    <row r="6073">
      <c r="N6073">
        <f>IF(AND(ISNUMBER(L6073),ISNUMBER(M6073)),L6073-M6073,"")</f>
        <v/>
      </c>
    </row>
    <row r="6074">
      <c r="N6074">
        <f>IF(AND(ISNUMBER(L6074),ISNUMBER(M6074)),L6074-M6074,"")</f>
        <v/>
      </c>
    </row>
    <row r="6075">
      <c r="N6075">
        <f>IF(AND(ISNUMBER(L6075),ISNUMBER(M6075)),L6075-M6075,"")</f>
        <v/>
      </c>
    </row>
    <row r="6076">
      <c r="N6076">
        <f>IF(AND(ISNUMBER(L6076),ISNUMBER(M6076)),L6076-M6076,"")</f>
        <v/>
      </c>
    </row>
    <row r="6077">
      <c r="N6077">
        <f>IF(AND(ISNUMBER(L6077),ISNUMBER(M6077)),L6077-M6077,"")</f>
        <v/>
      </c>
    </row>
    <row r="6078">
      <c r="N6078">
        <f>IF(AND(ISNUMBER(L6078),ISNUMBER(M6078)),L6078-M6078,"")</f>
        <v/>
      </c>
    </row>
    <row r="6079">
      <c r="N6079">
        <f>IF(AND(ISNUMBER(L6079),ISNUMBER(M6079)),L6079-M6079,"")</f>
        <v/>
      </c>
    </row>
    <row r="6080">
      <c r="N6080">
        <f>IF(AND(ISNUMBER(L6080),ISNUMBER(M6080)),L6080-M6080,"")</f>
        <v/>
      </c>
    </row>
    <row r="6081">
      <c r="N6081">
        <f>IF(AND(ISNUMBER(L6081),ISNUMBER(M6081)),L6081-M6081,"")</f>
        <v/>
      </c>
    </row>
    <row r="6082">
      <c r="N6082">
        <f>IF(AND(ISNUMBER(L6082),ISNUMBER(M6082)),L6082-M6082,"")</f>
        <v/>
      </c>
    </row>
    <row r="6083">
      <c r="N6083">
        <f>IF(AND(ISNUMBER(L6083),ISNUMBER(M6083)),L6083-M6083,"")</f>
        <v/>
      </c>
    </row>
    <row r="6084">
      <c r="N6084">
        <f>IF(AND(ISNUMBER(L6084),ISNUMBER(M6084)),L6084-M6084,"")</f>
        <v/>
      </c>
    </row>
    <row r="6085">
      <c r="N6085">
        <f>IF(AND(ISNUMBER(L6085),ISNUMBER(M6085)),L6085-M6085,"")</f>
        <v/>
      </c>
    </row>
    <row r="6086">
      <c r="N6086">
        <f>IF(AND(ISNUMBER(L6086),ISNUMBER(M6086)),L6086-M6086,"")</f>
        <v/>
      </c>
    </row>
    <row r="6087">
      <c r="N6087">
        <f>IF(AND(ISNUMBER(L6087),ISNUMBER(M6087)),L6087-M6087,"")</f>
        <v/>
      </c>
    </row>
    <row r="6088">
      <c r="N6088">
        <f>IF(AND(ISNUMBER(L6088),ISNUMBER(M6088)),L6088-M6088,"")</f>
        <v/>
      </c>
    </row>
    <row r="6089">
      <c r="N6089">
        <f>IF(AND(ISNUMBER(L6089),ISNUMBER(M6089)),L6089-M6089,"")</f>
        <v/>
      </c>
    </row>
    <row r="6090">
      <c r="N6090">
        <f>IF(AND(ISNUMBER(L6090),ISNUMBER(M6090)),L6090-M6090,"")</f>
        <v/>
      </c>
    </row>
    <row r="6091">
      <c r="N6091">
        <f>IF(AND(ISNUMBER(L6091),ISNUMBER(M6091)),L6091-M6091,"")</f>
        <v/>
      </c>
    </row>
    <row r="6092">
      <c r="N6092">
        <f>IF(AND(ISNUMBER(L6092),ISNUMBER(M6092)),L6092-M6092,"")</f>
        <v/>
      </c>
    </row>
    <row r="6093">
      <c r="N6093">
        <f>IF(AND(ISNUMBER(L6093),ISNUMBER(M6093)),L6093-M6093,"")</f>
        <v/>
      </c>
    </row>
    <row r="6094">
      <c r="N6094">
        <f>IF(AND(ISNUMBER(L6094),ISNUMBER(M6094)),L6094-M6094,"")</f>
        <v/>
      </c>
    </row>
    <row r="6095">
      <c r="N6095">
        <f>IF(AND(ISNUMBER(L6095),ISNUMBER(M6095)),L6095-M6095,"")</f>
        <v/>
      </c>
    </row>
    <row r="6096">
      <c r="N6096">
        <f>IF(AND(ISNUMBER(L6096),ISNUMBER(M6096)),L6096-M6096,"")</f>
        <v/>
      </c>
    </row>
    <row r="6097">
      <c r="N6097">
        <f>IF(AND(ISNUMBER(L6097),ISNUMBER(M6097)),L6097-M6097,"")</f>
        <v/>
      </c>
    </row>
    <row r="6098">
      <c r="N6098">
        <f>IF(AND(ISNUMBER(L6098),ISNUMBER(M6098)),L6098-M6098,"")</f>
        <v/>
      </c>
    </row>
    <row r="6099">
      <c r="N6099">
        <f>IF(AND(ISNUMBER(L6099),ISNUMBER(M6099)),L6099-M6099,"")</f>
        <v/>
      </c>
    </row>
    <row r="6100">
      <c r="N6100">
        <f>IF(AND(ISNUMBER(L6100),ISNUMBER(M6100)),L6100-M6100,"")</f>
        <v/>
      </c>
    </row>
    <row r="6101">
      <c r="N6101">
        <f>IF(AND(ISNUMBER(L6101),ISNUMBER(M6101)),L6101-M6101,"")</f>
        <v/>
      </c>
    </row>
    <row r="6102">
      <c r="N6102">
        <f>IF(AND(ISNUMBER(L6102),ISNUMBER(M6102)),L6102-M6102,"")</f>
        <v/>
      </c>
    </row>
    <row r="6103">
      <c r="N6103">
        <f>IF(AND(ISNUMBER(L6103),ISNUMBER(M6103)),L6103-M6103,"")</f>
        <v/>
      </c>
    </row>
    <row r="6104">
      <c r="N6104">
        <f>IF(AND(ISNUMBER(L6104),ISNUMBER(M6104)),L6104-M6104,"")</f>
        <v/>
      </c>
    </row>
    <row r="6105">
      <c r="N6105">
        <f>IF(AND(ISNUMBER(L6105),ISNUMBER(M6105)),L6105-M6105,"")</f>
        <v/>
      </c>
    </row>
    <row r="6106">
      <c r="N6106">
        <f>IF(AND(ISNUMBER(L6106),ISNUMBER(M6106)),L6106-M6106,"")</f>
        <v/>
      </c>
    </row>
    <row r="6107">
      <c r="N6107">
        <f>IF(AND(ISNUMBER(L6107),ISNUMBER(M6107)),L6107-M6107,"")</f>
        <v/>
      </c>
    </row>
    <row r="6108">
      <c r="N6108">
        <f>IF(AND(ISNUMBER(L6108),ISNUMBER(M6108)),L6108-M6108,"")</f>
        <v/>
      </c>
    </row>
    <row r="6109">
      <c r="N6109">
        <f>IF(AND(ISNUMBER(L6109),ISNUMBER(M6109)),L6109-M6109,"")</f>
        <v/>
      </c>
    </row>
    <row r="6110">
      <c r="N6110">
        <f>IF(AND(ISNUMBER(L6110),ISNUMBER(M6110)),L6110-M6110,"")</f>
        <v/>
      </c>
    </row>
    <row r="6111">
      <c r="N6111">
        <f>IF(AND(ISNUMBER(L6111),ISNUMBER(M6111)),L6111-M6111,"")</f>
        <v/>
      </c>
    </row>
    <row r="6112">
      <c r="N6112">
        <f>IF(AND(ISNUMBER(L6112),ISNUMBER(M6112)),L6112-M6112,"")</f>
        <v/>
      </c>
    </row>
    <row r="6113">
      <c r="N6113">
        <f>IF(AND(ISNUMBER(L6113),ISNUMBER(M6113)),L6113-M6113,"")</f>
        <v/>
      </c>
    </row>
    <row r="6114">
      <c r="N6114">
        <f>IF(AND(ISNUMBER(L6114),ISNUMBER(M6114)),L6114-M6114,"")</f>
        <v/>
      </c>
    </row>
    <row r="6115">
      <c r="N6115">
        <f>IF(AND(ISNUMBER(L6115),ISNUMBER(M6115)),L6115-M6115,"")</f>
        <v/>
      </c>
    </row>
    <row r="6116">
      <c r="N6116">
        <f>IF(AND(ISNUMBER(L6116),ISNUMBER(M6116)),L6116-M6116,"")</f>
        <v/>
      </c>
    </row>
    <row r="6117">
      <c r="N6117">
        <f>IF(AND(ISNUMBER(L6117),ISNUMBER(M6117)),L6117-M6117,"")</f>
        <v/>
      </c>
    </row>
    <row r="6118">
      <c r="N6118">
        <f>IF(AND(ISNUMBER(L6118),ISNUMBER(M6118)),L6118-M6118,"")</f>
        <v/>
      </c>
    </row>
    <row r="6119">
      <c r="N6119">
        <f>IF(AND(ISNUMBER(L6119),ISNUMBER(M6119)),L6119-M6119,"")</f>
        <v/>
      </c>
    </row>
    <row r="6120">
      <c r="N6120">
        <f>IF(AND(ISNUMBER(L6120),ISNUMBER(M6120)),L6120-M6120,"")</f>
        <v/>
      </c>
    </row>
    <row r="6121">
      <c r="N6121">
        <f>IF(AND(ISNUMBER(L6121),ISNUMBER(M6121)),L6121-M6121,"")</f>
        <v/>
      </c>
    </row>
    <row r="6122">
      <c r="N6122">
        <f>IF(AND(ISNUMBER(L6122),ISNUMBER(M6122)),L6122-M6122,"")</f>
        <v/>
      </c>
    </row>
    <row r="6123">
      <c r="N6123">
        <f>IF(AND(ISNUMBER(L6123),ISNUMBER(M6123)),L6123-M6123,"")</f>
        <v/>
      </c>
    </row>
    <row r="6124">
      <c r="N6124">
        <f>IF(AND(ISNUMBER(L6124),ISNUMBER(M6124)),L6124-M6124,"")</f>
        <v/>
      </c>
    </row>
    <row r="6125">
      <c r="N6125">
        <f>IF(AND(ISNUMBER(L6125),ISNUMBER(M6125)),L6125-M6125,"")</f>
        <v/>
      </c>
    </row>
    <row r="6126">
      <c r="N6126">
        <f>IF(AND(ISNUMBER(L6126),ISNUMBER(M6126)),L6126-M6126,"")</f>
        <v/>
      </c>
    </row>
    <row r="6127">
      <c r="N6127">
        <f>IF(AND(ISNUMBER(L6127),ISNUMBER(M6127)),L6127-M6127,"")</f>
        <v/>
      </c>
    </row>
    <row r="6128">
      <c r="N6128">
        <f>IF(AND(ISNUMBER(L6128),ISNUMBER(M6128)),L6128-M6128,"")</f>
        <v/>
      </c>
    </row>
    <row r="6129">
      <c r="N6129">
        <f>IF(AND(ISNUMBER(L6129),ISNUMBER(M6129)),L6129-M6129,"")</f>
        <v/>
      </c>
    </row>
    <row r="6130">
      <c r="N6130">
        <f>IF(AND(ISNUMBER(L6130),ISNUMBER(M6130)),L6130-M6130,"")</f>
        <v/>
      </c>
    </row>
    <row r="6131">
      <c r="N6131">
        <f>IF(AND(ISNUMBER(L6131),ISNUMBER(M6131)),L6131-M6131,"")</f>
        <v/>
      </c>
    </row>
    <row r="6132">
      <c r="N6132">
        <f>IF(AND(ISNUMBER(L6132),ISNUMBER(M6132)),L6132-M6132,"")</f>
        <v/>
      </c>
    </row>
    <row r="6133">
      <c r="N6133">
        <f>IF(AND(ISNUMBER(L6133),ISNUMBER(M6133)),L6133-M6133,"")</f>
        <v/>
      </c>
    </row>
    <row r="6134">
      <c r="N6134">
        <f>IF(AND(ISNUMBER(L6134),ISNUMBER(M6134)),L6134-M6134,"")</f>
        <v/>
      </c>
    </row>
    <row r="6135">
      <c r="N6135">
        <f>IF(AND(ISNUMBER(L6135),ISNUMBER(M6135)),L6135-M6135,"")</f>
        <v/>
      </c>
    </row>
    <row r="6136">
      <c r="N6136">
        <f>IF(AND(ISNUMBER(L6136),ISNUMBER(M6136)),L6136-M6136,"")</f>
        <v/>
      </c>
    </row>
    <row r="6137">
      <c r="N6137">
        <f>IF(AND(ISNUMBER(L6137),ISNUMBER(M6137)),L6137-M6137,"")</f>
        <v/>
      </c>
    </row>
    <row r="6138">
      <c r="N6138">
        <f>IF(AND(ISNUMBER(L6138),ISNUMBER(M6138)),L6138-M6138,"")</f>
        <v/>
      </c>
    </row>
    <row r="6139">
      <c r="N6139">
        <f>IF(AND(ISNUMBER(L6139),ISNUMBER(M6139)),L6139-M6139,"")</f>
        <v/>
      </c>
    </row>
    <row r="6140">
      <c r="N6140">
        <f>IF(AND(ISNUMBER(L6140),ISNUMBER(M6140)),L6140-M6140,"")</f>
        <v/>
      </c>
    </row>
    <row r="6141">
      <c r="N6141">
        <f>IF(AND(ISNUMBER(L6141),ISNUMBER(M6141)),L6141-M6141,"")</f>
        <v/>
      </c>
    </row>
    <row r="6142">
      <c r="N6142">
        <f>IF(AND(ISNUMBER(L6142),ISNUMBER(M6142)),L6142-M6142,"")</f>
        <v/>
      </c>
    </row>
    <row r="6143">
      <c r="N6143">
        <f>IF(AND(ISNUMBER(L6143),ISNUMBER(M6143)),L6143-M6143,"")</f>
        <v/>
      </c>
    </row>
    <row r="6144">
      <c r="N6144">
        <f>IF(AND(ISNUMBER(L6144),ISNUMBER(M6144)),L6144-M6144,"")</f>
        <v/>
      </c>
    </row>
    <row r="6145">
      <c r="N6145">
        <f>IF(AND(ISNUMBER(L6145),ISNUMBER(M6145)),L6145-M6145,"")</f>
        <v/>
      </c>
    </row>
    <row r="6146">
      <c r="N6146">
        <f>IF(AND(ISNUMBER(L6146),ISNUMBER(M6146)),L6146-M6146,"")</f>
        <v/>
      </c>
    </row>
    <row r="6147">
      <c r="N6147">
        <f>IF(AND(ISNUMBER(L6147),ISNUMBER(M6147)),L6147-M6147,"")</f>
        <v/>
      </c>
    </row>
    <row r="6148">
      <c r="N6148">
        <f>IF(AND(ISNUMBER(L6148),ISNUMBER(M6148)),L6148-M6148,"")</f>
        <v/>
      </c>
    </row>
    <row r="6149">
      <c r="N6149">
        <f>IF(AND(ISNUMBER(L6149),ISNUMBER(M6149)),L6149-M6149,"")</f>
        <v/>
      </c>
    </row>
    <row r="6150">
      <c r="N6150">
        <f>IF(AND(ISNUMBER(L6150),ISNUMBER(M6150)),L6150-M6150,"")</f>
        <v/>
      </c>
    </row>
    <row r="6151">
      <c r="N6151">
        <f>IF(AND(ISNUMBER(L6151),ISNUMBER(M6151)),L6151-M6151,"")</f>
        <v/>
      </c>
    </row>
    <row r="6152">
      <c r="N6152">
        <f>IF(AND(ISNUMBER(L6152),ISNUMBER(M6152)),L6152-M6152,"")</f>
        <v/>
      </c>
    </row>
    <row r="6153">
      <c r="N6153">
        <f>IF(AND(ISNUMBER(L6153),ISNUMBER(M6153)),L6153-M6153,"")</f>
        <v/>
      </c>
    </row>
    <row r="6154">
      <c r="N6154">
        <f>IF(AND(ISNUMBER(L6154),ISNUMBER(M6154)),L6154-M6154,"")</f>
        <v/>
      </c>
    </row>
    <row r="6155">
      <c r="N6155">
        <f>IF(AND(ISNUMBER(L6155),ISNUMBER(M6155)),L6155-M6155,"")</f>
        <v/>
      </c>
    </row>
    <row r="6156">
      <c r="N6156">
        <f>IF(AND(ISNUMBER(L6156),ISNUMBER(M6156)),L6156-M6156,"")</f>
        <v/>
      </c>
    </row>
    <row r="6157">
      <c r="N6157">
        <f>IF(AND(ISNUMBER(L6157),ISNUMBER(M6157)),L6157-M6157,"")</f>
        <v/>
      </c>
    </row>
    <row r="6158">
      <c r="N6158">
        <f>IF(AND(ISNUMBER(L6158),ISNUMBER(M6158)),L6158-M6158,"")</f>
        <v/>
      </c>
    </row>
    <row r="6159">
      <c r="N6159">
        <f>IF(AND(ISNUMBER(L6159),ISNUMBER(M6159)),L6159-M6159,"")</f>
        <v/>
      </c>
    </row>
    <row r="6160">
      <c r="N6160">
        <f>IF(AND(ISNUMBER(L6160),ISNUMBER(M6160)),L6160-M6160,"")</f>
        <v/>
      </c>
    </row>
    <row r="6161">
      <c r="N6161">
        <f>IF(AND(ISNUMBER(L6161),ISNUMBER(M6161)),L6161-M6161,"")</f>
        <v/>
      </c>
    </row>
    <row r="6162">
      <c r="N6162">
        <f>IF(AND(ISNUMBER(L6162),ISNUMBER(M6162)),L6162-M6162,"")</f>
        <v/>
      </c>
    </row>
    <row r="6163">
      <c r="N6163">
        <f>IF(AND(ISNUMBER(L6163),ISNUMBER(M6163)),L6163-M6163,"")</f>
        <v/>
      </c>
    </row>
    <row r="6164">
      <c r="N6164">
        <f>IF(AND(ISNUMBER(L6164),ISNUMBER(M6164)),L6164-M6164,"")</f>
        <v/>
      </c>
    </row>
    <row r="6165">
      <c r="N6165">
        <f>IF(AND(ISNUMBER(L6165),ISNUMBER(M6165)),L6165-M6165,"")</f>
        <v/>
      </c>
    </row>
    <row r="6166">
      <c r="N6166">
        <f>IF(AND(ISNUMBER(L6166),ISNUMBER(M6166)),L6166-M6166,"")</f>
        <v/>
      </c>
    </row>
    <row r="6167">
      <c r="N6167">
        <f>IF(AND(ISNUMBER(L6167),ISNUMBER(M6167)),L6167-M6167,"")</f>
        <v/>
      </c>
    </row>
    <row r="6168">
      <c r="N6168">
        <f>IF(AND(ISNUMBER(L6168),ISNUMBER(M6168)),L6168-M6168,"")</f>
        <v/>
      </c>
    </row>
    <row r="6169">
      <c r="N6169">
        <f>IF(AND(ISNUMBER(L6169),ISNUMBER(M6169)),L6169-M6169,"")</f>
        <v/>
      </c>
    </row>
    <row r="6170">
      <c r="N6170">
        <f>IF(AND(ISNUMBER(L6170),ISNUMBER(M6170)),L6170-M6170,"")</f>
        <v/>
      </c>
    </row>
    <row r="6171">
      <c r="N6171">
        <f>IF(AND(ISNUMBER(L6171),ISNUMBER(M6171)),L6171-M6171,"")</f>
        <v/>
      </c>
    </row>
    <row r="6172">
      <c r="N6172">
        <f>IF(AND(ISNUMBER(L6172),ISNUMBER(M6172)),L6172-M6172,"")</f>
        <v/>
      </c>
    </row>
    <row r="6173">
      <c r="N6173">
        <f>IF(AND(ISNUMBER(L6173),ISNUMBER(M6173)),L6173-M6173,"")</f>
        <v/>
      </c>
    </row>
    <row r="6174">
      <c r="N6174">
        <f>IF(AND(ISNUMBER(L6174),ISNUMBER(M6174)),L6174-M6174,"")</f>
        <v/>
      </c>
    </row>
    <row r="6175">
      <c r="N6175">
        <f>IF(AND(ISNUMBER(L6175),ISNUMBER(M6175)),L6175-M6175,"")</f>
        <v/>
      </c>
    </row>
    <row r="6176">
      <c r="N6176">
        <f>IF(AND(ISNUMBER(L6176),ISNUMBER(M6176)),L6176-M6176,"")</f>
        <v/>
      </c>
    </row>
    <row r="6177">
      <c r="N6177">
        <f>IF(AND(ISNUMBER(L6177),ISNUMBER(M6177)),L6177-M6177,"")</f>
        <v/>
      </c>
    </row>
    <row r="6178">
      <c r="N6178">
        <f>IF(AND(ISNUMBER(L6178),ISNUMBER(M6178)),L6178-M6178,"")</f>
        <v/>
      </c>
    </row>
    <row r="6179">
      <c r="N6179">
        <f>IF(AND(ISNUMBER(L6179),ISNUMBER(M6179)),L6179-M6179,"")</f>
        <v/>
      </c>
    </row>
    <row r="6180">
      <c r="N6180">
        <f>IF(AND(ISNUMBER(L6180),ISNUMBER(M6180)),L6180-M6180,"")</f>
        <v/>
      </c>
    </row>
    <row r="6181">
      <c r="N6181">
        <f>IF(AND(ISNUMBER(L6181),ISNUMBER(M6181)),L6181-M6181,"")</f>
        <v/>
      </c>
    </row>
    <row r="6182">
      <c r="N6182">
        <f>IF(AND(ISNUMBER(L6182),ISNUMBER(M6182)),L6182-M6182,"")</f>
        <v/>
      </c>
    </row>
    <row r="6183">
      <c r="N6183">
        <f>IF(AND(ISNUMBER(L6183),ISNUMBER(M6183)),L6183-M6183,"")</f>
        <v/>
      </c>
    </row>
    <row r="6184">
      <c r="N6184">
        <f>IF(AND(ISNUMBER(L6184),ISNUMBER(M6184)),L6184-M6184,"")</f>
        <v/>
      </c>
    </row>
    <row r="6185">
      <c r="N6185">
        <f>IF(AND(ISNUMBER(L6185),ISNUMBER(M6185)),L6185-M6185,"")</f>
        <v/>
      </c>
    </row>
    <row r="6186">
      <c r="N6186">
        <f>IF(AND(ISNUMBER(L6186),ISNUMBER(M6186)),L6186-M6186,"")</f>
        <v/>
      </c>
    </row>
    <row r="6187">
      <c r="N6187">
        <f>IF(AND(ISNUMBER(L6187),ISNUMBER(M6187)),L6187-M6187,"")</f>
        <v/>
      </c>
    </row>
    <row r="6188">
      <c r="N6188">
        <f>IF(AND(ISNUMBER(L6188),ISNUMBER(M6188)),L6188-M6188,"")</f>
        <v/>
      </c>
    </row>
    <row r="6189">
      <c r="N6189">
        <f>IF(AND(ISNUMBER(L6189),ISNUMBER(M6189)),L6189-M6189,"")</f>
        <v/>
      </c>
    </row>
    <row r="6190">
      <c r="N6190">
        <f>IF(AND(ISNUMBER(L6190),ISNUMBER(M6190)),L6190-M6190,"")</f>
        <v/>
      </c>
    </row>
    <row r="6191">
      <c r="N6191">
        <f>IF(AND(ISNUMBER(L6191),ISNUMBER(M6191)),L6191-M6191,"")</f>
        <v/>
      </c>
    </row>
    <row r="6192">
      <c r="N6192">
        <f>IF(AND(ISNUMBER(L6192),ISNUMBER(M6192)),L6192-M6192,"")</f>
        <v/>
      </c>
    </row>
    <row r="6193">
      <c r="N6193">
        <f>IF(AND(ISNUMBER(L6193),ISNUMBER(M6193)),L6193-M6193,"")</f>
        <v/>
      </c>
    </row>
    <row r="6194">
      <c r="N6194">
        <f>IF(AND(ISNUMBER(L6194),ISNUMBER(M6194)),L6194-M6194,"")</f>
        <v/>
      </c>
    </row>
    <row r="6195">
      <c r="N6195">
        <f>IF(AND(ISNUMBER(L6195),ISNUMBER(M6195)),L6195-M6195,"")</f>
        <v/>
      </c>
    </row>
    <row r="6196">
      <c r="N6196">
        <f>IF(AND(ISNUMBER(L6196),ISNUMBER(M6196)),L6196-M6196,"")</f>
        <v/>
      </c>
    </row>
    <row r="6197">
      <c r="N6197">
        <f>IF(AND(ISNUMBER(L6197),ISNUMBER(M6197)),L6197-M6197,"")</f>
        <v/>
      </c>
    </row>
    <row r="6198">
      <c r="N6198">
        <f>IF(AND(ISNUMBER(L6198),ISNUMBER(M6198)),L6198-M6198,"")</f>
        <v/>
      </c>
    </row>
    <row r="6199">
      <c r="N6199">
        <f>IF(AND(ISNUMBER(L6199),ISNUMBER(M6199)),L6199-M6199,"")</f>
        <v/>
      </c>
    </row>
    <row r="6200">
      <c r="N6200">
        <f>IF(AND(ISNUMBER(L6200),ISNUMBER(M6200)),L6200-M6200,"")</f>
        <v/>
      </c>
    </row>
    <row r="6201">
      <c r="N6201">
        <f>IF(AND(ISNUMBER(L6201),ISNUMBER(M6201)),L6201-M6201,"")</f>
        <v/>
      </c>
    </row>
    <row r="6202">
      <c r="N6202">
        <f>IF(AND(ISNUMBER(L6202),ISNUMBER(M6202)),L6202-M6202,"")</f>
        <v/>
      </c>
    </row>
    <row r="6203">
      <c r="N6203">
        <f>IF(AND(ISNUMBER(L6203),ISNUMBER(M6203)),L6203-M6203,"")</f>
        <v/>
      </c>
    </row>
    <row r="6204">
      <c r="N6204">
        <f>IF(AND(ISNUMBER(L6204),ISNUMBER(M6204)),L6204-M6204,"")</f>
        <v/>
      </c>
    </row>
    <row r="6205">
      <c r="N6205">
        <f>IF(AND(ISNUMBER(L6205),ISNUMBER(M6205)),L6205-M6205,"")</f>
        <v/>
      </c>
    </row>
    <row r="6206">
      <c r="N6206">
        <f>IF(AND(ISNUMBER(L6206),ISNUMBER(M6206)),L6206-M6206,"")</f>
        <v/>
      </c>
    </row>
    <row r="6207">
      <c r="N6207">
        <f>IF(AND(ISNUMBER(L6207),ISNUMBER(M6207)),L6207-M6207,"")</f>
        <v/>
      </c>
    </row>
    <row r="6208">
      <c r="N6208">
        <f>IF(AND(ISNUMBER(L6208),ISNUMBER(M6208)),L6208-M6208,"")</f>
        <v/>
      </c>
    </row>
    <row r="6209">
      <c r="N6209">
        <f>IF(AND(ISNUMBER(L6209),ISNUMBER(M6209)),L6209-M6209,"")</f>
        <v/>
      </c>
    </row>
    <row r="6210">
      <c r="N6210">
        <f>IF(AND(ISNUMBER(L6210),ISNUMBER(M6210)),L6210-M6210,"")</f>
        <v/>
      </c>
    </row>
    <row r="6211">
      <c r="N6211">
        <f>IF(AND(ISNUMBER(L6211),ISNUMBER(M6211)),L6211-M6211,"")</f>
        <v/>
      </c>
    </row>
    <row r="6212">
      <c r="N6212">
        <f>IF(AND(ISNUMBER(L6212),ISNUMBER(M6212)),L6212-M6212,"")</f>
        <v/>
      </c>
    </row>
    <row r="6213">
      <c r="N6213">
        <f>IF(AND(ISNUMBER(L6213),ISNUMBER(M6213)),L6213-M6213,"")</f>
        <v/>
      </c>
    </row>
    <row r="6214">
      <c r="N6214">
        <f>IF(AND(ISNUMBER(L6214),ISNUMBER(M6214)),L6214-M6214,"")</f>
        <v/>
      </c>
    </row>
    <row r="6215">
      <c r="N6215">
        <f>IF(AND(ISNUMBER(L6215),ISNUMBER(M6215)),L6215-M6215,"")</f>
        <v/>
      </c>
    </row>
    <row r="6216">
      <c r="N6216">
        <f>IF(AND(ISNUMBER(L6216),ISNUMBER(M6216)),L6216-M6216,"")</f>
        <v/>
      </c>
    </row>
    <row r="6217">
      <c r="N6217">
        <f>IF(AND(ISNUMBER(L6217),ISNUMBER(M6217)),L6217-M6217,"")</f>
        <v/>
      </c>
    </row>
    <row r="6218">
      <c r="N6218">
        <f>IF(AND(ISNUMBER(L6218),ISNUMBER(M6218)),L6218-M6218,"")</f>
        <v/>
      </c>
    </row>
    <row r="6219">
      <c r="N6219">
        <f>IF(AND(ISNUMBER(L6219),ISNUMBER(M6219)),L6219-M6219,"")</f>
        <v/>
      </c>
    </row>
    <row r="6220">
      <c r="N6220">
        <f>IF(AND(ISNUMBER(L6220),ISNUMBER(M6220)),L6220-M6220,"")</f>
        <v/>
      </c>
    </row>
    <row r="6221">
      <c r="N6221">
        <f>IF(AND(ISNUMBER(L6221),ISNUMBER(M6221)),L6221-M6221,"")</f>
        <v/>
      </c>
    </row>
    <row r="6222">
      <c r="N6222">
        <f>IF(AND(ISNUMBER(L6222),ISNUMBER(M6222)),L6222-M6222,"")</f>
        <v/>
      </c>
    </row>
    <row r="6223">
      <c r="N6223">
        <f>IF(AND(ISNUMBER(L6223),ISNUMBER(M6223)),L6223-M6223,"")</f>
        <v/>
      </c>
    </row>
    <row r="6224">
      <c r="N6224">
        <f>IF(AND(ISNUMBER(L6224),ISNUMBER(M6224)),L6224-M6224,"")</f>
        <v/>
      </c>
    </row>
    <row r="6225">
      <c r="N6225">
        <f>IF(AND(ISNUMBER(L6225),ISNUMBER(M6225)),L6225-M6225,"")</f>
        <v/>
      </c>
    </row>
    <row r="6226">
      <c r="N6226">
        <f>IF(AND(ISNUMBER(L6226),ISNUMBER(M6226)),L6226-M6226,"")</f>
        <v/>
      </c>
    </row>
    <row r="6227">
      <c r="N6227">
        <f>IF(AND(ISNUMBER(L6227),ISNUMBER(M6227)),L6227-M6227,"")</f>
        <v/>
      </c>
    </row>
    <row r="6228">
      <c r="N6228">
        <f>IF(AND(ISNUMBER(L6228),ISNUMBER(M6228)),L6228-M6228,"")</f>
        <v/>
      </c>
    </row>
    <row r="6229">
      <c r="N6229">
        <f>IF(AND(ISNUMBER(L6229),ISNUMBER(M6229)),L6229-M6229,"")</f>
        <v/>
      </c>
    </row>
    <row r="6230">
      <c r="N6230">
        <f>IF(AND(ISNUMBER(L6230),ISNUMBER(M6230)),L6230-M6230,"")</f>
        <v/>
      </c>
    </row>
    <row r="6231">
      <c r="N6231">
        <f>IF(AND(ISNUMBER(L6231),ISNUMBER(M6231)),L6231-M6231,"")</f>
        <v/>
      </c>
    </row>
    <row r="6232">
      <c r="N6232">
        <f>IF(AND(ISNUMBER(L6232),ISNUMBER(M6232)),L6232-M6232,"")</f>
        <v/>
      </c>
    </row>
    <row r="6233">
      <c r="N6233">
        <f>IF(AND(ISNUMBER(L6233),ISNUMBER(M6233)),L6233-M6233,"")</f>
        <v/>
      </c>
    </row>
    <row r="6234">
      <c r="N6234">
        <f>IF(AND(ISNUMBER(L6234),ISNUMBER(M6234)),L6234-M6234,"")</f>
        <v/>
      </c>
    </row>
    <row r="6235">
      <c r="N6235">
        <f>IF(AND(ISNUMBER(L6235),ISNUMBER(M6235)),L6235-M6235,"")</f>
        <v/>
      </c>
    </row>
    <row r="6236">
      <c r="N6236">
        <f>IF(AND(ISNUMBER(L6236),ISNUMBER(M6236)),L6236-M6236,"")</f>
        <v/>
      </c>
    </row>
    <row r="6237">
      <c r="N6237">
        <f>IF(AND(ISNUMBER(L6237),ISNUMBER(M6237)),L6237-M6237,"")</f>
        <v/>
      </c>
    </row>
    <row r="6238">
      <c r="N6238">
        <f>IF(AND(ISNUMBER(L6238),ISNUMBER(M6238)),L6238-M6238,"")</f>
        <v/>
      </c>
    </row>
    <row r="6239">
      <c r="N6239">
        <f>IF(AND(ISNUMBER(L6239),ISNUMBER(M6239)),L6239-M6239,"")</f>
        <v/>
      </c>
    </row>
    <row r="6240">
      <c r="N6240">
        <f>IF(AND(ISNUMBER(L6240),ISNUMBER(M6240)),L6240-M6240,"")</f>
        <v/>
      </c>
    </row>
    <row r="6241">
      <c r="N6241">
        <f>IF(AND(ISNUMBER(L6241),ISNUMBER(M6241)),L6241-M6241,"")</f>
        <v/>
      </c>
    </row>
    <row r="6242">
      <c r="N6242">
        <f>IF(AND(ISNUMBER(L6242),ISNUMBER(M6242)),L6242-M6242,"")</f>
        <v/>
      </c>
    </row>
    <row r="6243">
      <c r="N6243">
        <f>IF(AND(ISNUMBER(L6243),ISNUMBER(M6243)),L6243-M6243,"")</f>
        <v/>
      </c>
    </row>
    <row r="6244">
      <c r="N6244">
        <f>IF(AND(ISNUMBER(L6244),ISNUMBER(M6244)),L6244-M6244,"")</f>
        <v/>
      </c>
    </row>
    <row r="6245">
      <c r="N6245">
        <f>IF(AND(ISNUMBER(L6245),ISNUMBER(M6245)),L6245-M6245,"")</f>
        <v/>
      </c>
    </row>
    <row r="6246">
      <c r="N6246">
        <f>IF(AND(ISNUMBER(L6246),ISNUMBER(M6246)),L6246-M6246,"")</f>
        <v/>
      </c>
    </row>
    <row r="6247">
      <c r="N6247">
        <f>IF(AND(ISNUMBER(L6247),ISNUMBER(M6247)),L6247-M6247,"")</f>
        <v/>
      </c>
    </row>
    <row r="6248">
      <c r="N6248">
        <f>IF(AND(ISNUMBER(L6248),ISNUMBER(M6248)),L6248-M6248,"")</f>
        <v/>
      </c>
    </row>
    <row r="6249">
      <c r="N6249">
        <f>IF(AND(ISNUMBER(L6249),ISNUMBER(M6249)),L6249-M6249,"")</f>
        <v/>
      </c>
    </row>
    <row r="6250">
      <c r="N6250">
        <f>IF(AND(ISNUMBER(L6250),ISNUMBER(M6250)),L6250-M6250,"")</f>
        <v/>
      </c>
    </row>
    <row r="6251">
      <c r="N6251">
        <f>IF(AND(ISNUMBER(L6251),ISNUMBER(M6251)),L6251-M6251,"")</f>
        <v/>
      </c>
    </row>
    <row r="6252">
      <c r="N6252">
        <f>IF(AND(ISNUMBER(L6252),ISNUMBER(M6252)),L6252-M6252,"")</f>
        <v/>
      </c>
    </row>
    <row r="6253">
      <c r="N6253">
        <f>IF(AND(ISNUMBER(L6253),ISNUMBER(M6253)),L6253-M6253,"")</f>
        <v/>
      </c>
    </row>
    <row r="6254">
      <c r="N6254">
        <f>IF(AND(ISNUMBER(L6254),ISNUMBER(M6254)),L6254-M6254,"")</f>
        <v/>
      </c>
    </row>
    <row r="6255">
      <c r="N6255">
        <f>IF(AND(ISNUMBER(L6255),ISNUMBER(M6255)),L6255-M6255,"")</f>
        <v/>
      </c>
    </row>
    <row r="6256">
      <c r="N6256">
        <f>IF(AND(ISNUMBER(L6256),ISNUMBER(M6256)),L6256-M6256,"")</f>
        <v/>
      </c>
    </row>
    <row r="6257">
      <c r="N6257">
        <f>IF(AND(ISNUMBER(L6257),ISNUMBER(M6257)),L6257-M6257,"")</f>
        <v/>
      </c>
    </row>
    <row r="6258">
      <c r="N6258">
        <f>IF(AND(ISNUMBER(L6258),ISNUMBER(M6258)),L6258-M6258,"")</f>
        <v/>
      </c>
    </row>
    <row r="6259">
      <c r="N6259">
        <f>IF(AND(ISNUMBER(L6259),ISNUMBER(M6259)),L6259-M6259,"")</f>
        <v/>
      </c>
    </row>
    <row r="6260">
      <c r="N6260">
        <f>IF(AND(ISNUMBER(L6260),ISNUMBER(M6260)),L6260-M6260,"")</f>
        <v/>
      </c>
    </row>
    <row r="6261">
      <c r="N6261">
        <f>IF(AND(ISNUMBER(L6261),ISNUMBER(M6261)),L6261-M6261,"")</f>
        <v/>
      </c>
    </row>
    <row r="6262">
      <c r="N6262">
        <f>IF(AND(ISNUMBER(L6262),ISNUMBER(M6262)),L6262-M6262,"")</f>
        <v/>
      </c>
    </row>
    <row r="6263">
      <c r="N6263">
        <f>IF(AND(ISNUMBER(L6263),ISNUMBER(M6263)),L6263-M6263,"")</f>
        <v/>
      </c>
    </row>
    <row r="6264">
      <c r="N6264">
        <f>IF(AND(ISNUMBER(L6264),ISNUMBER(M6264)),L6264-M6264,"")</f>
        <v/>
      </c>
    </row>
    <row r="6265">
      <c r="N6265">
        <f>IF(AND(ISNUMBER(L6265),ISNUMBER(M6265)),L6265-M6265,"")</f>
        <v/>
      </c>
    </row>
    <row r="6266">
      <c r="N6266">
        <f>IF(AND(ISNUMBER(L6266),ISNUMBER(M6266)),L6266-M6266,"")</f>
        <v/>
      </c>
    </row>
    <row r="6267">
      <c r="N6267">
        <f>IF(AND(ISNUMBER(L6267),ISNUMBER(M6267)),L6267-M6267,"")</f>
        <v/>
      </c>
    </row>
    <row r="6268">
      <c r="N6268">
        <f>IF(AND(ISNUMBER(L6268),ISNUMBER(M6268)),L6268-M6268,"")</f>
        <v/>
      </c>
    </row>
    <row r="6269">
      <c r="N6269">
        <f>IF(AND(ISNUMBER(L6269),ISNUMBER(M6269)),L6269-M6269,"")</f>
        <v/>
      </c>
    </row>
    <row r="6270">
      <c r="N6270">
        <f>IF(AND(ISNUMBER(L6270),ISNUMBER(M6270)),L6270-M6270,"")</f>
        <v/>
      </c>
    </row>
    <row r="6271">
      <c r="N6271">
        <f>IF(AND(ISNUMBER(L6271),ISNUMBER(M6271)),L6271-M6271,"")</f>
        <v/>
      </c>
    </row>
    <row r="6272">
      <c r="N6272">
        <f>IF(AND(ISNUMBER(L6272),ISNUMBER(M6272)),L6272-M6272,"")</f>
        <v/>
      </c>
    </row>
    <row r="6273">
      <c r="N6273">
        <f>IF(AND(ISNUMBER(L6273),ISNUMBER(M6273)),L6273-M6273,"")</f>
        <v/>
      </c>
    </row>
    <row r="6274">
      <c r="N6274">
        <f>IF(AND(ISNUMBER(L6274),ISNUMBER(M6274)),L6274-M6274,"")</f>
        <v/>
      </c>
    </row>
    <row r="6275">
      <c r="N6275">
        <f>IF(AND(ISNUMBER(L6275),ISNUMBER(M6275)),L6275-M6275,"")</f>
        <v/>
      </c>
    </row>
    <row r="6276">
      <c r="N6276">
        <f>IF(AND(ISNUMBER(L6276),ISNUMBER(M6276)),L6276-M6276,"")</f>
        <v/>
      </c>
    </row>
    <row r="6277">
      <c r="N6277">
        <f>IF(AND(ISNUMBER(L6277),ISNUMBER(M6277)),L6277-M6277,"")</f>
        <v/>
      </c>
    </row>
    <row r="6278">
      <c r="N6278">
        <f>IF(AND(ISNUMBER(L6278),ISNUMBER(M6278)),L6278-M6278,"")</f>
        <v/>
      </c>
    </row>
    <row r="6279">
      <c r="N6279">
        <f>IF(AND(ISNUMBER(L6279),ISNUMBER(M6279)),L6279-M6279,"")</f>
        <v/>
      </c>
    </row>
    <row r="6280">
      <c r="N6280">
        <f>IF(AND(ISNUMBER(L6280),ISNUMBER(M6280)),L6280-M6280,"")</f>
        <v/>
      </c>
    </row>
    <row r="6281">
      <c r="N6281">
        <f>IF(AND(ISNUMBER(L6281),ISNUMBER(M6281)),L6281-M6281,"")</f>
        <v/>
      </c>
    </row>
    <row r="6282">
      <c r="N6282">
        <f>IF(AND(ISNUMBER(L6282),ISNUMBER(M6282)),L6282-M6282,"")</f>
        <v/>
      </c>
    </row>
    <row r="6283">
      <c r="N6283">
        <f>IF(AND(ISNUMBER(L6283),ISNUMBER(M6283)),L6283-M6283,"")</f>
        <v/>
      </c>
    </row>
    <row r="6284">
      <c r="N6284">
        <f>IF(AND(ISNUMBER(L6284),ISNUMBER(M6284)),L6284-M6284,"")</f>
        <v/>
      </c>
    </row>
    <row r="6285">
      <c r="N6285">
        <f>IF(AND(ISNUMBER(L6285),ISNUMBER(M6285)),L6285-M6285,"")</f>
        <v/>
      </c>
    </row>
    <row r="6286">
      <c r="N6286">
        <f>IF(AND(ISNUMBER(L6286),ISNUMBER(M6286)),L6286-M6286,"")</f>
        <v/>
      </c>
    </row>
    <row r="6287">
      <c r="N6287">
        <f>IF(AND(ISNUMBER(L6287),ISNUMBER(M6287)),L6287-M6287,"")</f>
        <v/>
      </c>
    </row>
    <row r="6288">
      <c r="N6288">
        <f>IF(AND(ISNUMBER(L6288),ISNUMBER(M6288)),L6288-M6288,"")</f>
        <v/>
      </c>
    </row>
    <row r="6289">
      <c r="N6289">
        <f>IF(AND(ISNUMBER(L6289),ISNUMBER(M6289)),L6289-M6289,"")</f>
        <v/>
      </c>
    </row>
    <row r="6290">
      <c r="N6290">
        <f>IF(AND(ISNUMBER(L6290),ISNUMBER(M6290)),L6290-M6290,"")</f>
        <v/>
      </c>
    </row>
    <row r="6291">
      <c r="N6291">
        <f>IF(AND(ISNUMBER(L6291),ISNUMBER(M6291)),L6291-M6291,"")</f>
        <v/>
      </c>
    </row>
    <row r="6292">
      <c r="N6292">
        <f>IF(AND(ISNUMBER(L6292),ISNUMBER(M6292)),L6292-M6292,"")</f>
        <v/>
      </c>
    </row>
    <row r="6293">
      <c r="N6293">
        <f>IF(AND(ISNUMBER(L6293),ISNUMBER(M6293)),L6293-M6293,"")</f>
        <v/>
      </c>
    </row>
    <row r="6294">
      <c r="N6294">
        <f>IF(AND(ISNUMBER(L6294),ISNUMBER(M6294)),L6294-M6294,"")</f>
        <v/>
      </c>
    </row>
    <row r="6295">
      <c r="N6295">
        <f>IF(AND(ISNUMBER(L6295),ISNUMBER(M6295)),L6295-M6295,"")</f>
        <v/>
      </c>
    </row>
    <row r="6296">
      <c r="N6296">
        <f>IF(AND(ISNUMBER(L6296),ISNUMBER(M6296)),L6296-M6296,"")</f>
        <v/>
      </c>
    </row>
    <row r="6297">
      <c r="N6297">
        <f>IF(AND(ISNUMBER(L6297),ISNUMBER(M6297)),L6297-M6297,"")</f>
        <v/>
      </c>
    </row>
    <row r="6298">
      <c r="N6298">
        <f>IF(AND(ISNUMBER(L6298),ISNUMBER(M6298)),L6298-M6298,"")</f>
        <v/>
      </c>
    </row>
    <row r="6299">
      <c r="N6299">
        <f>IF(AND(ISNUMBER(L6299),ISNUMBER(M6299)),L6299-M6299,"")</f>
        <v/>
      </c>
    </row>
    <row r="6300">
      <c r="N6300">
        <f>IF(AND(ISNUMBER(L6300),ISNUMBER(M6300)),L6300-M6300,"")</f>
        <v/>
      </c>
    </row>
    <row r="6301">
      <c r="N6301">
        <f>IF(AND(ISNUMBER(L6301),ISNUMBER(M6301)),L6301-M6301,"")</f>
        <v/>
      </c>
    </row>
    <row r="6302">
      <c r="N6302">
        <f>IF(AND(ISNUMBER(L6302),ISNUMBER(M6302)),L6302-M6302,"")</f>
        <v/>
      </c>
    </row>
    <row r="6303">
      <c r="N6303">
        <f>IF(AND(ISNUMBER(L6303),ISNUMBER(M6303)),L6303-M6303,"")</f>
        <v/>
      </c>
    </row>
    <row r="6304">
      <c r="N6304">
        <f>IF(AND(ISNUMBER(L6304),ISNUMBER(M6304)),L6304-M6304,"")</f>
        <v/>
      </c>
    </row>
    <row r="6305">
      <c r="N6305">
        <f>IF(AND(ISNUMBER(L6305),ISNUMBER(M6305)),L6305-M6305,"")</f>
        <v/>
      </c>
    </row>
    <row r="6306">
      <c r="N6306">
        <f>IF(AND(ISNUMBER(L6306),ISNUMBER(M6306)),L6306-M6306,"")</f>
        <v/>
      </c>
    </row>
    <row r="6307">
      <c r="N6307">
        <f>IF(AND(ISNUMBER(L6307),ISNUMBER(M6307)),L6307-M6307,"")</f>
        <v/>
      </c>
    </row>
    <row r="6308">
      <c r="N6308">
        <f>IF(AND(ISNUMBER(L6308),ISNUMBER(M6308)),L6308-M6308,"")</f>
        <v/>
      </c>
    </row>
    <row r="6309">
      <c r="N6309">
        <f>IF(AND(ISNUMBER(L6309),ISNUMBER(M6309)),L6309-M6309,"")</f>
        <v/>
      </c>
    </row>
    <row r="6310">
      <c r="N6310">
        <f>IF(AND(ISNUMBER(L6310),ISNUMBER(M6310)),L6310-M6310,"")</f>
        <v/>
      </c>
    </row>
    <row r="6311">
      <c r="N6311">
        <f>IF(AND(ISNUMBER(L6311),ISNUMBER(M6311)),L6311-M6311,"")</f>
        <v/>
      </c>
    </row>
    <row r="6312">
      <c r="N6312">
        <f>IF(AND(ISNUMBER(L6312),ISNUMBER(M6312)),L6312-M6312,"")</f>
        <v/>
      </c>
    </row>
    <row r="6313">
      <c r="N6313">
        <f>IF(AND(ISNUMBER(L6313),ISNUMBER(M6313)),L6313-M6313,"")</f>
        <v/>
      </c>
    </row>
    <row r="6314">
      <c r="N6314">
        <f>IF(AND(ISNUMBER(L6314),ISNUMBER(M6314)),L6314-M6314,"")</f>
        <v/>
      </c>
    </row>
    <row r="6315">
      <c r="N6315">
        <f>IF(AND(ISNUMBER(L6315),ISNUMBER(M6315)),L6315-M6315,"")</f>
        <v/>
      </c>
    </row>
    <row r="6316">
      <c r="N6316">
        <f>IF(AND(ISNUMBER(L6316),ISNUMBER(M6316)),L6316-M6316,"")</f>
        <v/>
      </c>
    </row>
    <row r="6317">
      <c r="N6317">
        <f>IF(AND(ISNUMBER(L6317),ISNUMBER(M6317)),L6317-M6317,"")</f>
        <v/>
      </c>
    </row>
    <row r="6318">
      <c r="N6318">
        <f>IF(AND(ISNUMBER(L6318),ISNUMBER(M6318)),L6318-M6318,"")</f>
        <v/>
      </c>
    </row>
    <row r="6319">
      <c r="N6319">
        <f>IF(AND(ISNUMBER(L6319),ISNUMBER(M6319)),L6319-M6319,"")</f>
        <v/>
      </c>
    </row>
    <row r="6320">
      <c r="N6320">
        <f>IF(AND(ISNUMBER(L6320),ISNUMBER(M6320)),L6320-M6320,"")</f>
        <v/>
      </c>
    </row>
    <row r="6321">
      <c r="N6321">
        <f>IF(AND(ISNUMBER(L6321),ISNUMBER(M6321)),L6321-M6321,"")</f>
        <v/>
      </c>
    </row>
    <row r="6322">
      <c r="N6322">
        <f>IF(AND(ISNUMBER(L6322),ISNUMBER(M6322)),L6322-M6322,"")</f>
        <v/>
      </c>
    </row>
    <row r="6323">
      <c r="N6323">
        <f>IF(AND(ISNUMBER(L6323),ISNUMBER(M6323)),L6323-M6323,"")</f>
        <v/>
      </c>
    </row>
    <row r="6324">
      <c r="N6324">
        <f>IF(AND(ISNUMBER(L6324),ISNUMBER(M6324)),L6324-M6324,"")</f>
        <v/>
      </c>
    </row>
    <row r="6325">
      <c r="N6325">
        <f>IF(AND(ISNUMBER(L6325),ISNUMBER(M6325)),L6325-M6325,"")</f>
        <v/>
      </c>
    </row>
    <row r="6326">
      <c r="N6326">
        <f>IF(AND(ISNUMBER(L6326),ISNUMBER(M6326)),L6326-M6326,"")</f>
        <v/>
      </c>
    </row>
    <row r="6327">
      <c r="N6327">
        <f>IF(AND(ISNUMBER(L6327),ISNUMBER(M6327)),L6327-M6327,"")</f>
        <v/>
      </c>
    </row>
    <row r="6328">
      <c r="N6328">
        <f>IF(AND(ISNUMBER(L6328),ISNUMBER(M6328)),L6328-M6328,"")</f>
        <v/>
      </c>
    </row>
    <row r="6329">
      <c r="N6329">
        <f>IF(AND(ISNUMBER(L6329),ISNUMBER(M6329)),L6329-M6329,"")</f>
        <v/>
      </c>
    </row>
    <row r="6330">
      <c r="N6330">
        <f>IF(AND(ISNUMBER(L6330),ISNUMBER(M6330)),L6330-M6330,"")</f>
        <v/>
      </c>
    </row>
    <row r="6331">
      <c r="N6331">
        <f>IF(AND(ISNUMBER(L6331),ISNUMBER(M6331)),L6331-M6331,"")</f>
        <v/>
      </c>
    </row>
    <row r="6332">
      <c r="N6332">
        <f>IF(AND(ISNUMBER(L6332),ISNUMBER(M6332)),L6332-M6332,"")</f>
        <v/>
      </c>
    </row>
    <row r="6333">
      <c r="N6333">
        <f>IF(AND(ISNUMBER(L6333),ISNUMBER(M6333)),L6333-M6333,"")</f>
        <v/>
      </c>
    </row>
    <row r="6334">
      <c r="N6334">
        <f>IF(AND(ISNUMBER(L6334),ISNUMBER(M6334)),L6334-M6334,"")</f>
        <v/>
      </c>
    </row>
    <row r="6335">
      <c r="N6335">
        <f>IF(AND(ISNUMBER(L6335),ISNUMBER(M6335)),L6335-M6335,"")</f>
        <v/>
      </c>
    </row>
    <row r="6336">
      <c r="N6336">
        <f>IF(AND(ISNUMBER(L6336),ISNUMBER(M6336)),L6336-M6336,"")</f>
        <v/>
      </c>
    </row>
    <row r="6337">
      <c r="N6337">
        <f>IF(AND(ISNUMBER(L6337),ISNUMBER(M6337)),L6337-M6337,"")</f>
        <v/>
      </c>
    </row>
    <row r="6338">
      <c r="N6338">
        <f>IF(AND(ISNUMBER(L6338),ISNUMBER(M6338)),L6338-M6338,"")</f>
        <v/>
      </c>
    </row>
    <row r="6339">
      <c r="N6339">
        <f>IF(AND(ISNUMBER(L6339),ISNUMBER(M6339)),L6339-M6339,"")</f>
        <v/>
      </c>
    </row>
    <row r="6340">
      <c r="N6340">
        <f>IF(AND(ISNUMBER(L6340),ISNUMBER(M6340)),L6340-M6340,"")</f>
        <v/>
      </c>
    </row>
    <row r="6341">
      <c r="N6341">
        <f>IF(AND(ISNUMBER(L6341),ISNUMBER(M6341)),L6341-M6341,"")</f>
        <v/>
      </c>
    </row>
    <row r="6342">
      <c r="N6342">
        <f>IF(AND(ISNUMBER(L6342),ISNUMBER(M6342)),L6342-M6342,"")</f>
        <v/>
      </c>
    </row>
    <row r="6343">
      <c r="N6343">
        <f>IF(AND(ISNUMBER(L6343),ISNUMBER(M6343)),L6343-M6343,"")</f>
        <v/>
      </c>
    </row>
    <row r="6344">
      <c r="N6344">
        <f>IF(AND(ISNUMBER(L6344),ISNUMBER(M6344)),L6344-M6344,"")</f>
        <v/>
      </c>
    </row>
    <row r="6345">
      <c r="N6345">
        <f>IF(AND(ISNUMBER(L6345),ISNUMBER(M6345)),L6345-M6345,"")</f>
        <v/>
      </c>
    </row>
    <row r="6346">
      <c r="N6346">
        <f>IF(AND(ISNUMBER(L6346),ISNUMBER(M6346)),L6346-M6346,"")</f>
        <v/>
      </c>
    </row>
    <row r="6347">
      <c r="N6347">
        <f>IF(AND(ISNUMBER(L6347),ISNUMBER(M6347)),L6347-M6347,"")</f>
        <v/>
      </c>
    </row>
    <row r="6348">
      <c r="N6348">
        <f>IF(AND(ISNUMBER(L6348),ISNUMBER(M6348)),L6348-M6348,"")</f>
        <v/>
      </c>
    </row>
    <row r="6349">
      <c r="N6349">
        <f>IF(AND(ISNUMBER(L6349),ISNUMBER(M6349)),L6349-M6349,"")</f>
        <v/>
      </c>
    </row>
    <row r="6350">
      <c r="N6350">
        <f>IF(AND(ISNUMBER(L6350),ISNUMBER(M6350)),L6350-M6350,"")</f>
        <v/>
      </c>
    </row>
    <row r="6351">
      <c r="N6351">
        <f>IF(AND(ISNUMBER(L6351),ISNUMBER(M6351)),L6351-M6351,"")</f>
        <v/>
      </c>
    </row>
    <row r="6352">
      <c r="N6352">
        <f>IF(AND(ISNUMBER(L6352),ISNUMBER(M6352)),L6352-M6352,"")</f>
        <v/>
      </c>
    </row>
    <row r="6353">
      <c r="N6353">
        <f>IF(AND(ISNUMBER(L6353),ISNUMBER(M6353)),L6353-M6353,"")</f>
        <v/>
      </c>
    </row>
    <row r="6354">
      <c r="N6354">
        <f>IF(AND(ISNUMBER(L6354),ISNUMBER(M6354)),L6354-M6354,"")</f>
        <v/>
      </c>
    </row>
    <row r="6355">
      <c r="N6355">
        <f>IF(AND(ISNUMBER(L6355),ISNUMBER(M6355)),L6355-M6355,"")</f>
        <v/>
      </c>
    </row>
    <row r="6356">
      <c r="N6356">
        <f>IF(AND(ISNUMBER(L6356),ISNUMBER(M6356)),L6356-M6356,"")</f>
        <v/>
      </c>
    </row>
    <row r="6357">
      <c r="N6357">
        <f>IF(AND(ISNUMBER(L6357),ISNUMBER(M6357)),L6357-M6357,"")</f>
        <v/>
      </c>
    </row>
    <row r="6358">
      <c r="N6358">
        <f>IF(AND(ISNUMBER(L6358),ISNUMBER(M6358)),L6358-M6358,"")</f>
        <v/>
      </c>
    </row>
    <row r="6359">
      <c r="N6359">
        <f>IF(AND(ISNUMBER(L6359),ISNUMBER(M6359)),L6359-M6359,"")</f>
        <v/>
      </c>
    </row>
    <row r="6360">
      <c r="N6360">
        <f>IF(AND(ISNUMBER(L6360),ISNUMBER(M6360)),L6360-M6360,"")</f>
        <v/>
      </c>
    </row>
    <row r="6361">
      <c r="N6361">
        <f>IF(AND(ISNUMBER(L6361),ISNUMBER(M6361)),L6361-M6361,"")</f>
        <v/>
      </c>
    </row>
    <row r="6362">
      <c r="N6362">
        <f>IF(AND(ISNUMBER(L6362),ISNUMBER(M6362)),L6362-M6362,"")</f>
        <v/>
      </c>
    </row>
    <row r="6363">
      <c r="N6363">
        <f>IF(AND(ISNUMBER(L6363),ISNUMBER(M6363)),L6363-M6363,"")</f>
        <v/>
      </c>
    </row>
    <row r="6364">
      <c r="N6364">
        <f>IF(AND(ISNUMBER(L6364),ISNUMBER(M6364)),L6364-M6364,"")</f>
        <v/>
      </c>
    </row>
    <row r="6365">
      <c r="N6365">
        <f>IF(AND(ISNUMBER(L6365),ISNUMBER(M6365)),L6365-M6365,"")</f>
        <v/>
      </c>
    </row>
    <row r="6366">
      <c r="N6366">
        <f>IF(AND(ISNUMBER(L6366),ISNUMBER(M6366)),L6366-M6366,"")</f>
        <v/>
      </c>
    </row>
    <row r="6367">
      <c r="N6367">
        <f>IF(AND(ISNUMBER(L6367),ISNUMBER(M6367)),L6367-M6367,"")</f>
        <v/>
      </c>
    </row>
    <row r="6368">
      <c r="N6368">
        <f>IF(AND(ISNUMBER(L6368),ISNUMBER(M6368)),L6368-M6368,"")</f>
        <v/>
      </c>
    </row>
    <row r="6369">
      <c r="N6369">
        <f>IF(AND(ISNUMBER(L6369),ISNUMBER(M6369)),L6369-M6369,"")</f>
        <v/>
      </c>
    </row>
    <row r="6370">
      <c r="N6370">
        <f>IF(AND(ISNUMBER(L6370),ISNUMBER(M6370)),L6370-M6370,"")</f>
        <v/>
      </c>
    </row>
    <row r="6371">
      <c r="N6371">
        <f>IF(AND(ISNUMBER(L6371),ISNUMBER(M6371)),L6371-M6371,"")</f>
        <v/>
      </c>
    </row>
    <row r="6372">
      <c r="N6372">
        <f>IF(AND(ISNUMBER(L6372),ISNUMBER(M6372)),L6372-M6372,"")</f>
        <v/>
      </c>
    </row>
    <row r="6373">
      <c r="N6373">
        <f>IF(AND(ISNUMBER(L6373),ISNUMBER(M6373)),L6373-M6373,"")</f>
        <v/>
      </c>
    </row>
    <row r="6374">
      <c r="N6374">
        <f>IF(AND(ISNUMBER(L6374),ISNUMBER(M6374)),L6374-M6374,"")</f>
        <v/>
      </c>
    </row>
    <row r="6375">
      <c r="N6375">
        <f>IF(AND(ISNUMBER(L6375),ISNUMBER(M6375)),L6375-M6375,"")</f>
        <v/>
      </c>
    </row>
    <row r="6376">
      <c r="N6376">
        <f>IF(AND(ISNUMBER(L6376),ISNUMBER(M6376)),L6376-M6376,"")</f>
        <v/>
      </c>
    </row>
    <row r="6377">
      <c r="N6377">
        <f>IF(AND(ISNUMBER(L6377),ISNUMBER(M6377)),L6377-M6377,"")</f>
        <v/>
      </c>
    </row>
    <row r="6378">
      <c r="N6378">
        <f>IF(AND(ISNUMBER(L6378),ISNUMBER(M6378)),L6378-M6378,"")</f>
        <v/>
      </c>
    </row>
    <row r="6379">
      <c r="N6379">
        <f>IF(AND(ISNUMBER(L6379),ISNUMBER(M6379)),L6379-M6379,"")</f>
        <v/>
      </c>
    </row>
    <row r="6380">
      <c r="N6380">
        <f>IF(AND(ISNUMBER(L6380),ISNUMBER(M6380)),L6380-M6380,"")</f>
        <v/>
      </c>
    </row>
    <row r="6381">
      <c r="N6381">
        <f>IF(AND(ISNUMBER(L6381),ISNUMBER(M6381)),L6381-M6381,"")</f>
        <v/>
      </c>
    </row>
    <row r="6382">
      <c r="N6382">
        <f>IF(AND(ISNUMBER(L6382),ISNUMBER(M6382)),L6382-M6382,"")</f>
        <v/>
      </c>
    </row>
    <row r="6383">
      <c r="N6383">
        <f>IF(AND(ISNUMBER(L6383),ISNUMBER(M6383)),L6383-M6383,"")</f>
        <v/>
      </c>
    </row>
    <row r="6384">
      <c r="N6384">
        <f>IF(AND(ISNUMBER(L6384),ISNUMBER(M6384)),L6384-M6384,"")</f>
        <v/>
      </c>
    </row>
    <row r="6385">
      <c r="N6385">
        <f>IF(AND(ISNUMBER(L6385),ISNUMBER(M6385)),L6385-M6385,"")</f>
        <v/>
      </c>
    </row>
    <row r="6386">
      <c r="N6386">
        <f>IF(AND(ISNUMBER(L6386),ISNUMBER(M6386)),L6386-M6386,"")</f>
        <v/>
      </c>
    </row>
    <row r="6387">
      <c r="N6387">
        <f>IF(AND(ISNUMBER(L6387),ISNUMBER(M6387)),L6387-M6387,"")</f>
        <v/>
      </c>
    </row>
    <row r="6388">
      <c r="N6388">
        <f>IF(AND(ISNUMBER(L6388),ISNUMBER(M6388)),L6388-M6388,"")</f>
        <v/>
      </c>
    </row>
    <row r="6389">
      <c r="N6389">
        <f>IF(AND(ISNUMBER(L6389),ISNUMBER(M6389)),L6389-M6389,"")</f>
        <v/>
      </c>
    </row>
    <row r="6390">
      <c r="N6390">
        <f>IF(AND(ISNUMBER(L6390),ISNUMBER(M6390)),L6390-M6390,"")</f>
        <v/>
      </c>
    </row>
    <row r="6391">
      <c r="N6391">
        <f>IF(AND(ISNUMBER(L6391),ISNUMBER(M6391)),L6391-M6391,"")</f>
        <v/>
      </c>
    </row>
    <row r="6392">
      <c r="N6392">
        <f>IF(AND(ISNUMBER(L6392),ISNUMBER(M6392)),L6392-M6392,"")</f>
        <v/>
      </c>
    </row>
    <row r="6393">
      <c r="N6393">
        <f>IF(AND(ISNUMBER(L6393),ISNUMBER(M6393)),L6393-M6393,"")</f>
        <v/>
      </c>
    </row>
    <row r="6394">
      <c r="N6394">
        <f>IF(AND(ISNUMBER(L6394),ISNUMBER(M6394)),L6394-M6394,"")</f>
        <v/>
      </c>
    </row>
    <row r="6395">
      <c r="N6395">
        <f>IF(AND(ISNUMBER(L6395),ISNUMBER(M6395)),L6395-M6395,"")</f>
        <v/>
      </c>
    </row>
    <row r="6396">
      <c r="N6396">
        <f>IF(AND(ISNUMBER(L6396),ISNUMBER(M6396)),L6396-M6396,"")</f>
        <v/>
      </c>
    </row>
    <row r="6397">
      <c r="N6397">
        <f>IF(AND(ISNUMBER(L6397),ISNUMBER(M6397)),L6397-M6397,"")</f>
        <v/>
      </c>
    </row>
    <row r="6398">
      <c r="N6398">
        <f>IF(AND(ISNUMBER(L6398),ISNUMBER(M6398)),L6398-M6398,"")</f>
        <v/>
      </c>
    </row>
    <row r="6399">
      <c r="N6399">
        <f>IF(AND(ISNUMBER(L6399),ISNUMBER(M6399)),L6399-M6399,"")</f>
        <v/>
      </c>
    </row>
    <row r="6400">
      <c r="N6400">
        <f>IF(AND(ISNUMBER(L6400),ISNUMBER(M6400)),L6400-M6400,"")</f>
        <v/>
      </c>
    </row>
    <row r="6401">
      <c r="N6401">
        <f>IF(AND(ISNUMBER(L6401),ISNUMBER(M6401)),L6401-M6401,"")</f>
        <v/>
      </c>
    </row>
    <row r="6402">
      <c r="N6402">
        <f>IF(AND(ISNUMBER(L6402),ISNUMBER(M6402)),L6402-M6402,"")</f>
        <v/>
      </c>
    </row>
    <row r="6403">
      <c r="N6403">
        <f>IF(AND(ISNUMBER(L6403),ISNUMBER(M6403)),L6403-M6403,"")</f>
        <v/>
      </c>
    </row>
    <row r="6404">
      <c r="N6404">
        <f>IF(AND(ISNUMBER(L6404),ISNUMBER(M6404)),L6404-M6404,"")</f>
        <v/>
      </c>
    </row>
    <row r="6405">
      <c r="N6405">
        <f>IF(AND(ISNUMBER(L6405),ISNUMBER(M6405)),L6405-M6405,"")</f>
        <v/>
      </c>
    </row>
    <row r="6406">
      <c r="N6406">
        <f>IF(AND(ISNUMBER(L6406),ISNUMBER(M6406)),L6406-M6406,"")</f>
        <v/>
      </c>
    </row>
    <row r="6407">
      <c r="N6407">
        <f>IF(AND(ISNUMBER(L6407),ISNUMBER(M6407)),L6407-M6407,"")</f>
        <v/>
      </c>
    </row>
    <row r="6408">
      <c r="N6408">
        <f>IF(AND(ISNUMBER(L6408),ISNUMBER(M6408)),L6408-M6408,"")</f>
        <v/>
      </c>
    </row>
    <row r="6409">
      <c r="N6409">
        <f>IF(AND(ISNUMBER(L6409),ISNUMBER(M6409)),L6409-M6409,"")</f>
        <v/>
      </c>
    </row>
    <row r="6410">
      <c r="N6410">
        <f>IF(AND(ISNUMBER(L6410),ISNUMBER(M6410)),L6410-M6410,"")</f>
        <v/>
      </c>
    </row>
    <row r="6411">
      <c r="N6411">
        <f>IF(AND(ISNUMBER(L6411),ISNUMBER(M6411)),L6411-M6411,"")</f>
        <v/>
      </c>
    </row>
    <row r="6412">
      <c r="N6412">
        <f>IF(AND(ISNUMBER(L6412),ISNUMBER(M6412)),L6412-M6412,"")</f>
        <v/>
      </c>
    </row>
    <row r="6413">
      <c r="N6413">
        <f>IF(AND(ISNUMBER(L6413),ISNUMBER(M6413)),L6413-M6413,"")</f>
        <v/>
      </c>
    </row>
    <row r="6414">
      <c r="N6414">
        <f>IF(AND(ISNUMBER(L6414),ISNUMBER(M6414)),L6414-M6414,"")</f>
        <v/>
      </c>
    </row>
    <row r="6415">
      <c r="N6415">
        <f>IF(AND(ISNUMBER(L6415),ISNUMBER(M6415)),L6415-M6415,"")</f>
        <v/>
      </c>
    </row>
    <row r="6416">
      <c r="N6416">
        <f>IF(AND(ISNUMBER(L6416),ISNUMBER(M6416)),L6416-M6416,"")</f>
        <v/>
      </c>
    </row>
    <row r="6417">
      <c r="N6417">
        <f>IF(AND(ISNUMBER(L6417),ISNUMBER(M6417)),L6417-M6417,"")</f>
        <v/>
      </c>
    </row>
    <row r="6418">
      <c r="N6418">
        <f>IF(AND(ISNUMBER(L6418),ISNUMBER(M6418)),L6418-M6418,"")</f>
        <v/>
      </c>
    </row>
    <row r="6419">
      <c r="N6419">
        <f>IF(AND(ISNUMBER(L6419),ISNUMBER(M6419)),L6419-M6419,"")</f>
        <v/>
      </c>
    </row>
    <row r="6420">
      <c r="N6420">
        <f>IF(AND(ISNUMBER(L6420),ISNUMBER(M6420)),L6420-M6420,"")</f>
        <v/>
      </c>
    </row>
    <row r="6421">
      <c r="N6421">
        <f>IF(AND(ISNUMBER(L6421),ISNUMBER(M6421)),L6421-M6421,"")</f>
        <v/>
      </c>
    </row>
    <row r="6422">
      <c r="N6422">
        <f>IF(AND(ISNUMBER(L6422),ISNUMBER(M6422)),L6422-M6422,"")</f>
        <v/>
      </c>
    </row>
    <row r="6423">
      <c r="N6423">
        <f>IF(AND(ISNUMBER(L6423),ISNUMBER(M6423)),L6423-M6423,"")</f>
        <v/>
      </c>
    </row>
    <row r="6424">
      <c r="N6424">
        <f>IF(AND(ISNUMBER(L6424),ISNUMBER(M6424)),L6424-M6424,"")</f>
        <v/>
      </c>
    </row>
    <row r="6425">
      <c r="N6425">
        <f>IF(AND(ISNUMBER(L6425),ISNUMBER(M6425)),L6425-M6425,"")</f>
        <v/>
      </c>
    </row>
    <row r="6426">
      <c r="N6426">
        <f>IF(AND(ISNUMBER(L6426),ISNUMBER(M6426)),L6426-M6426,"")</f>
        <v/>
      </c>
    </row>
    <row r="6427">
      <c r="N6427">
        <f>IF(AND(ISNUMBER(L6427),ISNUMBER(M6427)),L6427-M6427,"")</f>
        <v/>
      </c>
    </row>
    <row r="6428">
      <c r="N6428">
        <f>IF(AND(ISNUMBER(L6428),ISNUMBER(M6428)),L6428-M6428,"")</f>
        <v/>
      </c>
    </row>
    <row r="6429">
      <c r="N6429">
        <f>IF(AND(ISNUMBER(L6429),ISNUMBER(M6429)),L6429-M6429,"")</f>
        <v/>
      </c>
    </row>
    <row r="6430">
      <c r="N6430">
        <f>IF(AND(ISNUMBER(L6430),ISNUMBER(M6430)),L6430-M6430,"")</f>
        <v/>
      </c>
    </row>
    <row r="6431">
      <c r="N6431">
        <f>IF(AND(ISNUMBER(L6431),ISNUMBER(M6431)),L6431-M6431,"")</f>
        <v/>
      </c>
    </row>
    <row r="6432">
      <c r="N6432">
        <f>IF(AND(ISNUMBER(L6432),ISNUMBER(M6432)),L6432-M6432,"")</f>
        <v/>
      </c>
    </row>
    <row r="6433">
      <c r="N6433">
        <f>IF(AND(ISNUMBER(L6433),ISNUMBER(M6433)),L6433-M6433,"")</f>
        <v/>
      </c>
    </row>
    <row r="6434">
      <c r="N6434">
        <f>IF(AND(ISNUMBER(L6434),ISNUMBER(M6434)),L6434-M6434,"")</f>
        <v/>
      </c>
    </row>
    <row r="6435">
      <c r="N6435">
        <f>IF(AND(ISNUMBER(L6435),ISNUMBER(M6435)),L6435-M6435,"")</f>
        <v/>
      </c>
    </row>
    <row r="6436">
      <c r="N6436">
        <f>IF(AND(ISNUMBER(L6436),ISNUMBER(M6436)),L6436-M6436,"")</f>
        <v/>
      </c>
    </row>
    <row r="6437">
      <c r="N6437">
        <f>IF(AND(ISNUMBER(L6437),ISNUMBER(M6437)),L6437-M6437,"")</f>
        <v/>
      </c>
    </row>
    <row r="6438">
      <c r="N6438">
        <f>IF(AND(ISNUMBER(L6438),ISNUMBER(M6438)),L6438-M6438,"")</f>
        <v/>
      </c>
    </row>
    <row r="6439">
      <c r="N6439">
        <f>IF(AND(ISNUMBER(L6439),ISNUMBER(M6439)),L6439-M6439,"")</f>
        <v/>
      </c>
    </row>
    <row r="6440">
      <c r="N6440">
        <f>IF(AND(ISNUMBER(L6440),ISNUMBER(M6440)),L6440-M6440,"")</f>
        <v/>
      </c>
    </row>
    <row r="6441">
      <c r="N6441">
        <f>IF(AND(ISNUMBER(L6441),ISNUMBER(M6441)),L6441-M6441,"")</f>
        <v/>
      </c>
    </row>
    <row r="6442">
      <c r="N6442">
        <f>IF(AND(ISNUMBER(L6442),ISNUMBER(M6442)),L6442-M6442,"")</f>
        <v/>
      </c>
    </row>
    <row r="6443">
      <c r="N6443">
        <f>IF(AND(ISNUMBER(L6443),ISNUMBER(M6443)),L6443-M6443,"")</f>
        <v/>
      </c>
    </row>
    <row r="6444">
      <c r="N6444">
        <f>IF(AND(ISNUMBER(L6444),ISNUMBER(M6444)),L6444-M6444,"")</f>
        <v/>
      </c>
    </row>
    <row r="6445">
      <c r="N6445">
        <f>IF(AND(ISNUMBER(L6445),ISNUMBER(M6445)),L6445-M6445,"")</f>
        <v/>
      </c>
    </row>
    <row r="6446">
      <c r="N6446">
        <f>IF(AND(ISNUMBER(L6446),ISNUMBER(M6446)),L6446-M6446,"")</f>
        <v/>
      </c>
    </row>
    <row r="6447">
      <c r="N6447">
        <f>IF(AND(ISNUMBER(L6447),ISNUMBER(M6447)),L6447-M6447,"")</f>
        <v/>
      </c>
    </row>
    <row r="6448">
      <c r="N6448">
        <f>IF(AND(ISNUMBER(L6448),ISNUMBER(M6448)),L6448-M6448,"")</f>
        <v/>
      </c>
    </row>
    <row r="6449">
      <c r="N6449">
        <f>IF(AND(ISNUMBER(L6449),ISNUMBER(M6449)),L6449-M6449,"")</f>
        <v/>
      </c>
    </row>
    <row r="6450">
      <c r="N6450">
        <f>IF(AND(ISNUMBER(L6450),ISNUMBER(M6450)),L6450-M6450,"")</f>
        <v/>
      </c>
    </row>
    <row r="6451">
      <c r="N6451">
        <f>IF(AND(ISNUMBER(L6451),ISNUMBER(M6451)),L6451-M6451,"")</f>
        <v/>
      </c>
    </row>
    <row r="6452">
      <c r="N6452">
        <f>IF(AND(ISNUMBER(L6452),ISNUMBER(M6452)),L6452-M6452,"")</f>
        <v/>
      </c>
    </row>
    <row r="6453">
      <c r="N6453">
        <f>IF(AND(ISNUMBER(L6453),ISNUMBER(M6453)),L6453-M6453,"")</f>
        <v/>
      </c>
    </row>
    <row r="6454">
      <c r="N6454">
        <f>IF(AND(ISNUMBER(L6454),ISNUMBER(M6454)),L6454-M6454,"")</f>
        <v/>
      </c>
    </row>
    <row r="6455">
      <c r="N6455">
        <f>IF(AND(ISNUMBER(L6455),ISNUMBER(M6455)),L6455-M6455,"")</f>
        <v/>
      </c>
    </row>
    <row r="6456">
      <c r="N6456">
        <f>IF(AND(ISNUMBER(L6456),ISNUMBER(M6456)),L6456-M6456,"")</f>
        <v/>
      </c>
    </row>
    <row r="6457">
      <c r="N6457">
        <f>IF(AND(ISNUMBER(L6457),ISNUMBER(M6457)),L6457-M6457,"")</f>
        <v/>
      </c>
    </row>
    <row r="6458">
      <c r="N6458">
        <f>IF(AND(ISNUMBER(L6458),ISNUMBER(M6458)),L6458-M6458,"")</f>
        <v/>
      </c>
    </row>
    <row r="6459">
      <c r="N6459">
        <f>IF(AND(ISNUMBER(L6459),ISNUMBER(M6459)),L6459-M6459,"")</f>
        <v/>
      </c>
    </row>
    <row r="6460">
      <c r="N6460">
        <f>IF(AND(ISNUMBER(L6460),ISNUMBER(M6460)),L6460-M6460,"")</f>
        <v/>
      </c>
    </row>
    <row r="6461">
      <c r="N6461">
        <f>IF(AND(ISNUMBER(L6461),ISNUMBER(M6461)),L6461-M6461,"")</f>
        <v/>
      </c>
    </row>
    <row r="6462">
      <c r="N6462">
        <f>IF(AND(ISNUMBER(L6462),ISNUMBER(M6462)),L6462-M6462,"")</f>
        <v/>
      </c>
    </row>
    <row r="6463">
      <c r="N6463">
        <f>IF(AND(ISNUMBER(L6463),ISNUMBER(M6463)),L6463-M6463,"")</f>
        <v/>
      </c>
    </row>
    <row r="6464">
      <c r="N6464">
        <f>IF(AND(ISNUMBER(L6464),ISNUMBER(M6464)),L6464-M6464,"")</f>
        <v/>
      </c>
    </row>
    <row r="6465">
      <c r="N6465">
        <f>IF(AND(ISNUMBER(L6465),ISNUMBER(M6465)),L6465-M6465,"")</f>
        <v/>
      </c>
    </row>
    <row r="6466">
      <c r="N6466">
        <f>IF(AND(ISNUMBER(L6466),ISNUMBER(M6466)),L6466-M6466,"")</f>
        <v/>
      </c>
    </row>
    <row r="6467">
      <c r="N6467">
        <f>IF(AND(ISNUMBER(L6467),ISNUMBER(M6467)),L6467-M6467,"")</f>
        <v/>
      </c>
    </row>
    <row r="6468">
      <c r="N6468">
        <f>IF(AND(ISNUMBER(L6468),ISNUMBER(M6468)),L6468-M6468,"")</f>
        <v/>
      </c>
    </row>
    <row r="6469">
      <c r="N6469">
        <f>IF(AND(ISNUMBER(L6469),ISNUMBER(M6469)),L6469-M6469,"")</f>
        <v/>
      </c>
    </row>
    <row r="6470">
      <c r="N6470">
        <f>IF(AND(ISNUMBER(L6470),ISNUMBER(M6470)),L6470-M6470,"")</f>
        <v/>
      </c>
    </row>
    <row r="6471">
      <c r="N6471">
        <f>IF(AND(ISNUMBER(L6471),ISNUMBER(M6471)),L6471-M6471,"")</f>
        <v/>
      </c>
    </row>
    <row r="6472">
      <c r="N6472">
        <f>IF(AND(ISNUMBER(L6472),ISNUMBER(M6472)),L6472-M6472,"")</f>
        <v/>
      </c>
    </row>
    <row r="6473">
      <c r="N6473">
        <f>IF(AND(ISNUMBER(L6473),ISNUMBER(M6473)),L6473-M6473,"")</f>
        <v/>
      </c>
    </row>
    <row r="6474">
      <c r="N6474">
        <f>IF(AND(ISNUMBER(L6474),ISNUMBER(M6474)),L6474-M6474,"")</f>
        <v/>
      </c>
    </row>
    <row r="6475">
      <c r="N6475">
        <f>IF(AND(ISNUMBER(L6475),ISNUMBER(M6475)),L6475-M6475,"")</f>
        <v/>
      </c>
    </row>
    <row r="6476">
      <c r="N6476">
        <f>IF(AND(ISNUMBER(L6476),ISNUMBER(M6476)),L6476-M6476,"")</f>
        <v/>
      </c>
    </row>
    <row r="6477">
      <c r="N6477">
        <f>IF(AND(ISNUMBER(L6477),ISNUMBER(M6477)),L6477-M6477,"")</f>
        <v/>
      </c>
    </row>
    <row r="6478">
      <c r="N6478">
        <f>IF(AND(ISNUMBER(L6478),ISNUMBER(M6478)),L6478-M6478,"")</f>
        <v/>
      </c>
    </row>
    <row r="6479">
      <c r="N6479">
        <f>IF(AND(ISNUMBER(L6479),ISNUMBER(M6479)),L6479-M6479,"")</f>
        <v/>
      </c>
    </row>
    <row r="6480">
      <c r="N6480">
        <f>IF(AND(ISNUMBER(L6480),ISNUMBER(M6480)),L6480-M6480,"")</f>
        <v/>
      </c>
    </row>
    <row r="6481">
      <c r="N6481">
        <f>IF(AND(ISNUMBER(L6481),ISNUMBER(M6481)),L6481-M6481,"")</f>
        <v/>
      </c>
    </row>
    <row r="6482">
      <c r="N6482">
        <f>IF(AND(ISNUMBER(L6482),ISNUMBER(M6482)),L6482-M6482,"")</f>
        <v/>
      </c>
    </row>
    <row r="6483">
      <c r="N6483">
        <f>IF(AND(ISNUMBER(L6483),ISNUMBER(M6483)),L6483-M6483,"")</f>
        <v/>
      </c>
    </row>
    <row r="6484">
      <c r="N6484">
        <f>IF(AND(ISNUMBER(L6484),ISNUMBER(M6484)),L6484-M6484,"")</f>
        <v/>
      </c>
    </row>
    <row r="6485">
      <c r="N6485">
        <f>IF(AND(ISNUMBER(L6485),ISNUMBER(M6485)),L6485-M6485,"")</f>
        <v/>
      </c>
    </row>
    <row r="6486">
      <c r="N6486">
        <f>IF(AND(ISNUMBER(L6486),ISNUMBER(M6486)),L6486-M6486,"")</f>
        <v/>
      </c>
    </row>
    <row r="6487">
      <c r="N6487">
        <f>IF(AND(ISNUMBER(L6487),ISNUMBER(M6487)),L6487-M6487,"")</f>
        <v/>
      </c>
    </row>
    <row r="6488">
      <c r="N6488">
        <f>IF(AND(ISNUMBER(L6488),ISNUMBER(M6488)),L6488-M6488,"")</f>
        <v/>
      </c>
    </row>
    <row r="6489">
      <c r="N6489">
        <f>IF(AND(ISNUMBER(L6489),ISNUMBER(M6489)),L6489-M6489,"")</f>
        <v/>
      </c>
    </row>
    <row r="6490">
      <c r="N6490">
        <f>IF(AND(ISNUMBER(L6490),ISNUMBER(M6490)),L6490-M6490,"")</f>
        <v/>
      </c>
    </row>
    <row r="6491">
      <c r="N6491">
        <f>IF(AND(ISNUMBER(L6491),ISNUMBER(M6491)),L6491-M6491,"")</f>
        <v/>
      </c>
    </row>
    <row r="6492">
      <c r="N6492">
        <f>IF(AND(ISNUMBER(L6492),ISNUMBER(M6492)),L6492-M6492,"")</f>
        <v/>
      </c>
    </row>
    <row r="6493">
      <c r="N6493">
        <f>IF(AND(ISNUMBER(L6493),ISNUMBER(M6493)),L6493-M6493,"")</f>
        <v/>
      </c>
    </row>
    <row r="6494">
      <c r="N6494">
        <f>IF(AND(ISNUMBER(L6494),ISNUMBER(M6494)),L6494-M6494,"")</f>
        <v/>
      </c>
    </row>
    <row r="6495">
      <c r="N6495">
        <f>IF(AND(ISNUMBER(L6495),ISNUMBER(M6495)),L6495-M6495,"")</f>
        <v/>
      </c>
    </row>
    <row r="6496">
      <c r="N6496">
        <f>IF(AND(ISNUMBER(L6496),ISNUMBER(M6496)),L6496-M6496,"")</f>
        <v/>
      </c>
    </row>
    <row r="6497">
      <c r="N6497">
        <f>IF(AND(ISNUMBER(L6497),ISNUMBER(M6497)),L6497-M6497,"")</f>
        <v/>
      </c>
    </row>
    <row r="6498">
      <c r="N6498">
        <f>IF(AND(ISNUMBER(L6498),ISNUMBER(M6498)),L6498-M6498,"")</f>
        <v/>
      </c>
    </row>
    <row r="6499">
      <c r="N6499">
        <f>IF(AND(ISNUMBER(L6499),ISNUMBER(M6499)),L6499-M6499,"")</f>
        <v/>
      </c>
    </row>
    <row r="6500">
      <c r="N6500">
        <f>IF(AND(ISNUMBER(L6500),ISNUMBER(M6500)),L6500-M6500,"")</f>
        <v/>
      </c>
    </row>
    <row r="6501">
      <c r="N6501">
        <f>IF(AND(ISNUMBER(L6501),ISNUMBER(M6501)),L6501-M6501,"")</f>
        <v/>
      </c>
    </row>
    <row r="6502">
      <c r="N6502">
        <f>IF(AND(ISNUMBER(L6502),ISNUMBER(M6502)),L6502-M6502,"")</f>
        <v/>
      </c>
    </row>
    <row r="6503">
      <c r="N6503">
        <f>IF(AND(ISNUMBER(L6503),ISNUMBER(M6503)),L6503-M6503,"")</f>
        <v/>
      </c>
    </row>
    <row r="6504">
      <c r="N6504">
        <f>IF(AND(ISNUMBER(L6504),ISNUMBER(M6504)),L6504-M6504,"")</f>
        <v/>
      </c>
    </row>
    <row r="6505">
      <c r="N6505">
        <f>IF(AND(ISNUMBER(L6505),ISNUMBER(M6505)),L6505-M6505,"")</f>
        <v/>
      </c>
    </row>
    <row r="6506">
      <c r="N6506">
        <f>IF(AND(ISNUMBER(L6506),ISNUMBER(M6506)),L6506-M6506,"")</f>
        <v/>
      </c>
    </row>
    <row r="6507">
      <c r="N6507">
        <f>IF(AND(ISNUMBER(L6507),ISNUMBER(M6507)),L6507-M6507,"")</f>
        <v/>
      </c>
    </row>
    <row r="6508">
      <c r="N6508">
        <f>IF(AND(ISNUMBER(L6508),ISNUMBER(M6508)),L6508-M6508,"")</f>
        <v/>
      </c>
    </row>
    <row r="6509">
      <c r="N6509">
        <f>IF(AND(ISNUMBER(L6509),ISNUMBER(M6509)),L6509-M6509,"")</f>
        <v/>
      </c>
    </row>
    <row r="6510">
      <c r="N6510">
        <f>IF(AND(ISNUMBER(L6510),ISNUMBER(M6510)),L6510-M6510,"")</f>
        <v/>
      </c>
    </row>
    <row r="6511">
      <c r="N6511">
        <f>IF(AND(ISNUMBER(L6511),ISNUMBER(M6511)),L6511-M6511,"")</f>
        <v/>
      </c>
    </row>
    <row r="6512">
      <c r="N6512">
        <f>IF(AND(ISNUMBER(L6512),ISNUMBER(M6512)),L6512-M6512,"")</f>
        <v/>
      </c>
    </row>
    <row r="6513">
      <c r="N6513">
        <f>IF(AND(ISNUMBER(L6513),ISNUMBER(M6513)),L6513-M6513,"")</f>
        <v/>
      </c>
    </row>
    <row r="6514">
      <c r="N6514">
        <f>IF(AND(ISNUMBER(L6514),ISNUMBER(M6514)),L6514-M6514,"")</f>
        <v/>
      </c>
    </row>
    <row r="6515">
      <c r="N6515">
        <f>IF(AND(ISNUMBER(L6515),ISNUMBER(M6515)),L6515-M6515,"")</f>
        <v/>
      </c>
    </row>
    <row r="6516">
      <c r="N6516">
        <f>IF(AND(ISNUMBER(L6516),ISNUMBER(M6516)),L6516-M6516,"")</f>
        <v/>
      </c>
    </row>
    <row r="6517">
      <c r="N6517">
        <f>IF(AND(ISNUMBER(L6517),ISNUMBER(M6517)),L6517-M6517,"")</f>
        <v/>
      </c>
    </row>
    <row r="6518">
      <c r="N6518">
        <f>IF(AND(ISNUMBER(L6518),ISNUMBER(M6518)),L6518-M6518,"")</f>
        <v/>
      </c>
    </row>
    <row r="6519">
      <c r="N6519">
        <f>IF(AND(ISNUMBER(L6519),ISNUMBER(M6519)),L6519-M6519,"")</f>
        <v/>
      </c>
    </row>
    <row r="6520">
      <c r="N6520">
        <f>IF(AND(ISNUMBER(L6520),ISNUMBER(M6520)),L6520-M6520,"")</f>
        <v/>
      </c>
    </row>
    <row r="6521">
      <c r="N6521">
        <f>IF(AND(ISNUMBER(L6521),ISNUMBER(M6521)),L6521-M6521,"")</f>
        <v/>
      </c>
    </row>
    <row r="6522">
      <c r="N6522">
        <f>IF(AND(ISNUMBER(L6522),ISNUMBER(M6522)),L6522-M6522,"")</f>
        <v/>
      </c>
    </row>
    <row r="6523">
      <c r="N6523">
        <f>IF(AND(ISNUMBER(L6523),ISNUMBER(M6523)),L6523-M6523,"")</f>
        <v/>
      </c>
    </row>
    <row r="6524">
      <c r="N6524">
        <f>IF(AND(ISNUMBER(L6524),ISNUMBER(M6524)),L6524-M6524,"")</f>
        <v/>
      </c>
    </row>
    <row r="6525">
      <c r="N6525">
        <f>IF(AND(ISNUMBER(L6525),ISNUMBER(M6525)),L6525-M6525,"")</f>
        <v/>
      </c>
    </row>
    <row r="6526">
      <c r="N6526">
        <f>IF(AND(ISNUMBER(L6526),ISNUMBER(M6526)),L6526-M6526,"")</f>
        <v/>
      </c>
    </row>
    <row r="6527">
      <c r="N6527">
        <f>IF(AND(ISNUMBER(L6527),ISNUMBER(M6527)),L6527-M6527,"")</f>
        <v/>
      </c>
    </row>
    <row r="6528">
      <c r="N6528">
        <f>IF(AND(ISNUMBER(L6528),ISNUMBER(M6528)),L6528-M6528,"")</f>
        <v/>
      </c>
    </row>
    <row r="6529">
      <c r="N6529">
        <f>IF(AND(ISNUMBER(L6529),ISNUMBER(M6529)),L6529-M6529,"")</f>
        <v/>
      </c>
    </row>
    <row r="6530">
      <c r="N6530">
        <f>IF(AND(ISNUMBER(L6530),ISNUMBER(M6530)),L6530-M6530,"")</f>
        <v/>
      </c>
    </row>
    <row r="6531">
      <c r="N6531">
        <f>IF(AND(ISNUMBER(L6531),ISNUMBER(M6531)),L6531-M6531,"")</f>
        <v/>
      </c>
    </row>
    <row r="6532">
      <c r="N6532">
        <f>IF(AND(ISNUMBER(L6532),ISNUMBER(M6532)),L6532-M6532,"")</f>
        <v/>
      </c>
    </row>
    <row r="6533">
      <c r="N6533">
        <f>IF(AND(ISNUMBER(L6533),ISNUMBER(M6533)),L6533-M6533,"")</f>
        <v/>
      </c>
    </row>
    <row r="6534">
      <c r="N6534">
        <f>IF(AND(ISNUMBER(L6534),ISNUMBER(M6534)),L6534-M6534,"")</f>
        <v/>
      </c>
    </row>
    <row r="6535">
      <c r="N6535">
        <f>IF(AND(ISNUMBER(L6535),ISNUMBER(M6535)),L6535-M6535,"")</f>
        <v/>
      </c>
    </row>
    <row r="6536">
      <c r="N6536">
        <f>IF(AND(ISNUMBER(L6536),ISNUMBER(M6536)),L6536-M6536,"")</f>
        <v/>
      </c>
    </row>
    <row r="6537">
      <c r="N6537">
        <f>IF(AND(ISNUMBER(L6537),ISNUMBER(M6537)),L6537-M6537,"")</f>
        <v/>
      </c>
    </row>
    <row r="6538">
      <c r="N6538">
        <f>IF(AND(ISNUMBER(L6538),ISNUMBER(M6538)),L6538-M6538,"")</f>
        <v/>
      </c>
    </row>
    <row r="6539">
      <c r="N6539">
        <f>IF(AND(ISNUMBER(L6539),ISNUMBER(M6539)),L6539-M6539,"")</f>
        <v/>
      </c>
    </row>
    <row r="6540">
      <c r="N6540">
        <f>IF(AND(ISNUMBER(L6540),ISNUMBER(M6540)),L6540-M6540,"")</f>
        <v/>
      </c>
    </row>
    <row r="6541">
      <c r="N6541">
        <f>IF(AND(ISNUMBER(L6541),ISNUMBER(M6541)),L6541-M6541,"")</f>
        <v/>
      </c>
    </row>
    <row r="6542">
      <c r="N6542">
        <f>IF(AND(ISNUMBER(L6542),ISNUMBER(M6542)),L6542-M6542,"")</f>
        <v/>
      </c>
    </row>
    <row r="6543">
      <c r="N6543">
        <f>IF(AND(ISNUMBER(L6543),ISNUMBER(M6543)),L6543-M6543,"")</f>
        <v/>
      </c>
    </row>
    <row r="6544">
      <c r="N6544">
        <f>IF(AND(ISNUMBER(L6544),ISNUMBER(M6544)),L6544-M6544,"")</f>
        <v/>
      </c>
    </row>
    <row r="6545">
      <c r="N6545">
        <f>IF(AND(ISNUMBER(L6545),ISNUMBER(M6545)),L6545-M6545,"")</f>
        <v/>
      </c>
    </row>
    <row r="6546">
      <c r="N6546">
        <f>IF(AND(ISNUMBER(L6546),ISNUMBER(M6546)),L6546-M6546,"")</f>
        <v/>
      </c>
    </row>
    <row r="6547">
      <c r="N6547">
        <f>IF(AND(ISNUMBER(L6547),ISNUMBER(M6547)),L6547-M6547,"")</f>
        <v/>
      </c>
    </row>
    <row r="6548">
      <c r="N6548">
        <f>IF(AND(ISNUMBER(L6548),ISNUMBER(M6548)),L6548-M6548,"")</f>
        <v/>
      </c>
    </row>
    <row r="6549">
      <c r="N6549">
        <f>IF(AND(ISNUMBER(L6549),ISNUMBER(M6549)),L6549-M6549,"")</f>
        <v/>
      </c>
    </row>
    <row r="6550">
      <c r="N6550">
        <f>IF(AND(ISNUMBER(L6550),ISNUMBER(M6550)),L6550-M6550,"")</f>
        <v/>
      </c>
    </row>
    <row r="6551">
      <c r="N6551">
        <f>IF(AND(ISNUMBER(L6551),ISNUMBER(M6551)),L6551-M6551,"")</f>
        <v/>
      </c>
    </row>
    <row r="6552">
      <c r="N6552">
        <f>IF(AND(ISNUMBER(L6552),ISNUMBER(M6552)),L6552-M6552,"")</f>
        <v/>
      </c>
    </row>
    <row r="6553">
      <c r="N6553">
        <f>IF(AND(ISNUMBER(L6553),ISNUMBER(M6553)),L6553-M6553,"")</f>
        <v/>
      </c>
    </row>
    <row r="6554">
      <c r="N6554">
        <f>IF(AND(ISNUMBER(L6554),ISNUMBER(M6554)),L6554-M6554,"")</f>
        <v/>
      </c>
    </row>
    <row r="6555">
      <c r="N6555">
        <f>IF(AND(ISNUMBER(L6555),ISNUMBER(M6555)),L6555-M6555,"")</f>
        <v/>
      </c>
    </row>
    <row r="6556">
      <c r="N6556">
        <f>IF(AND(ISNUMBER(L6556),ISNUMBER(M6556)),L6556-M6556,"")</f>
        <v/>
      </c>
    </row>
    <row r="6557">
      <c r="N6557">
        <f>IF(AND(ISNUMBER(L6557),ISNUMBER(M6557)),L6557-M6557,"")</f>
        <v/>
      </c>
    </row>
    <row r="6558">
      <c r="N6558">
        <f>IF(AND(ISNUMBER(L6558),ISNUMBER(M6558)),L6558-M6558,"")</f>
        <v/>
      </c>
    </row>
    <row r="6559">
      <c r="N6559">
        <f>IF(AND(ISNUMBER(L6559),ISNUMBER(M6559)),L6559-M6559,"")</f>
        <v/>
      </c>
    </row>
    <row r="6560">
      <c r="N6560">
        <f>IF(AND(ISNUMBER(L6560),ISNUMBER(M6560)),L6560-M6560,"")</f>
        <v/>
      </c>
    </row>
    <row r="6561">
      <c r="N6561">
        <f>IF(AND(ISNUMBER(L6561),ISNUMBER(M6561)),L6561-M6561,"")</f>
        <v/>
      </c>
    </row>
    <row r="6562">
      <c r="N6562">
        <f>IF(AND(ISNUMBER(L6562),ISNUMBER(M6562)),L6562-M6562,"")</f>
        <v/>
      </c>
    </row>
    <row r="6563">
      <c r="N6563">
        <f>IF(AND(ISNUMBER(L6563),ISNUMBER(M6563)),L6563-M6563,"")</f>
        <v/>
      </c>
    </row>
    <row r="6564">
      <c r="N6564">
        <f>IF(AND(ISNUMBER(L6564),ISNUMBER(M6564)),L6564-M6564,"")</f>
        <v/>
      </c>
    </row>
    <row r="6565">
      <c r="N6565">
        <f>IF(AND(ISNUMBER(L6565),ISNUMBER(M6565)),L6565-M6565,"")</f>
        <v/>
      </c>
    </row>
    <row r="6566">
      <c r="N6566">
        <f>IF(AND(ISNUMBER(L6566),ISNUMBER(M6566)),L6566-M6566,"")</f>
        <v/>
      </c>
    </row>
    <row r="6567">
      <c r="N6567">
        <f>IF(AND(ISNUMBER(L6567),ISNUMBER(M6567)),L6567-M6567,"")</f>
        <v/>
      </c>
    </row>
    <row r="6568">
      <c r="N6568">
        <f>IF(AND(ISNUMBER(L6568),ISNUMBER(M6568)),L6568-M6568,"")</f>
        <v/>
      </c>
    </row>
    <row r="6569">
      <c r="N6569">
        <f>IF(AND(ISNUMBER(L6569),ISNUMBER(M6569)),L6569-M6569,"")</f>
        <v/>
      </c>
    </row>
    <row r="6570">
      <c r="N6570">
        <f>IF(AND(ISNUMBER(L6570),ISNUMBER(M6570)),L6570-M6570,"")</f>
        <v/>
      </c>
    </row>
    <row r="6571">
      <c r="N6571">
        <f>IF(AND(ISNUMBER(L6571),ISNUMBER(M6571)),L6571-M6571,"")</f>
        <v/>
      </c>
    </row>
    <row r="6572">
      <c r="N6572">
        <f>IF(AND(ISNUMBER(L6572),ISNUMBER(M6572)),L6572-M6572,"")</f>
        <v/>
      </c>
    </row>
    <row r="6573">
      <c r="N6573">
        <f>IF(AND(ISNUMBER(L6573),ISNUMBER(M6573)),L6573-M6573,"")</f>
        <v/>
      </c>
    </row>
    <row r="6574">
      <c r="N6574">
        <f>IF(AND(ISNUMBER(L6574),ISNUMBER(M6574)),L6574-M6574,"")</f>
        <v/>
      </c>
    </row>
    <row r="6575">
      <c r="N6575">
        <f>IF(AND(ISNUMBER(L6575),ISNUMBER(M6575)),L6575-M6575,"")</f>
        <v/>
      </c>
    </row>
    <row r="6576">
      <c r="N6576">
        <f>IF(AND(ISNUMBER(L6576),ISNUMBER(M6576)),L6576-M6576,"")</f>
        <v/>
      </c>
    </row>
    <row r="6577">
      <c r="N6577">
        <f>IF(AND(ISNUMBER(L6577),ISNUMBER(M6577)),L6577-M6577,"")</f>
        <v/>
      </c>
    </row>
    <row r="6578">
      <c r="N6578">
        <f>IF(AND(ISNUMBER(L6578),ISNUMBER(M6578)),L6578-M6578,"")</f>
        <v/>
      </c>
    </row>
    <row r="6579">
      <c r="N6579">
        <f>IF(AND(ISNUMBER(L6579),ISNUMBER(M6579)),L6579-M6579,"")</f>
        <v/>
      </c>
    </row>
    <row r="6580">
      <c r="N6580">
        <f>IF(AND(ISNUMBER(L6580),ISNUMBER(M6580)),L6580-M6580,"")</f>
        <v/>
      </c>
    </row>
    <row r="6581">
      <c r="N6581">
        <f>IF(AND(ISNUMBER(L6581),ISNUMBER(M6581)),L6581-M6581,"")</f>
        <v/>
      </c>
    </row>
    <row r="6582">
      <c r="N6582">
        <f>IF(AND(ISNUMBER(L6582),ISNUMBER(M6582)),L6582-M6582,"")</f>
        <v/>
      </c>
    </row>
    <row r="6583">
      <c r="N6583">
        <f>IF(AND(ISNUMBER(L6583),ISNUMBER(M6583)),L6583-M6583,"")</f>
        <v/>
      </c>
    </row>
    <row r="6584">
      <c r="N6584">
        <f>IF(AND(ISNUMBER(L6584),ISNUMBER(M6584)),L6584-M6584,"")</f>
        <v/>
      </c>
    </row>
    <row r="6585">
      <c r="N6585">
        <f>IF(AND(ISNUMBER(L6585),ISNUMBER(M6585)),L6585-M6585,"")</f>
        <v/>
      </c>
    </row>
    <row r="6586">
      <c r="N6586">
        <f>IF(AND(ISNUMBER(L6586),ISNUMBER(M6586)),L6586-M6586,"")</f>
        <v/>
      </c>
    </row>
    <row r="6587">
      <c r="N6587">
        <f>IF(AND(ISNUMBER(L6587),ISNUMBER(M6587)),L6587-M6587,"")</f>
        <v/>
      </c>
    </row>
    <row r="6588">
      <c r="N6588">
        <f>IF(AND(ISNUMBER(L6588),ISNUMBER(M6588)),L6588-M6588,"")</f>
        <v/>
      </c>
    </row>
    <row r="6589">
      <c r="N6589">
        <f>IF(AND(ISNUMBER(L6589),ISNUMBER(M6589)),L6589-M6589,"")</f>
        <v/>
      </c>
    </row>
    <row r="6590">
      <c r="N6590">
        <f>IF(AND(ISNUMBER(L6590),ISNUMBER(M6590)),L6590-M6590,"")</f>
        <v/>
      </c>
    </row>
    <row r="6591">
      <c r="N6591">
        <f>IF(AND(ISNUMBER(L6591),ISNUMBER(M6591)),L6591-M6591,"")</f>
        <v/>
      </c>
    </row>
    <row r="6592">
      <c r="N6592">
        <f>IF(AND(ISNUMBER(L6592),ISNUMBER(M6592)),L6592-M6592,"")</f>
        <v/>
      </c>
    </row>
    <row r="6593">
      <c r="N6593">
        <f>IF(AND(ISNUMBER(L6593),ISNUMBER(M6593)),L6593-M6593,"")</f>
        <v/>
      </c>
    </row>
    <row r="6594">
      <c r="N6594">
        <f>IF(AND(ISNUMBER(L6594),ISNUMBER(M6594)),L6594-M6594,"")</f>
        <v/>
      </c>
    </row>
    <row r="6595">
      <c r="N6595">
        <f>IF(AND(ISNUMBER(L6595),ISNUMBER(M6595)),L6595-M6595,"")</f>
        <v/>
      </c>
    </row>
    <row r="6596">
      <c r="N6596">
        <f>IF(AND(ISNUMBER(L6596),ISNUMBER(M6596)),L6596-M6596,"")</f>
        <v/>
      </c>
    </row>
    <row r="6597">
      <c r="N6597">
        <f>IF(AND(ISNUMBER(L6597),ISNUMBER(M6597)),L6597-M6597,"")</f>
        <v/>
      </c>
    </row>
    <row r="6598">
      <c r="N6598">
        <f>IF(AND(ISNUMBER(L6598),ISNUMBER(M6598)),L6598-M6598,"")</f>
        <v/>
      </c>
    </row>
    <row r="6599">
      <c r="N6599">
        <f>IF(AND(ISNUMBER(L6599),ISNUMBER(M6599)),L6599-M6599,"")</f>
        <v/>
      </c>
    </row>
    <row r="6600">
      <c r="N6600">
        <f>IF(AND(ISNUMBER(L6600),ISNUMBER(M6600)),L6600-M6600,"")</f>
        <v/>
      </c>
    </row>
    <row r="6601">
      <c r="N6601">
        <f>IF(AND(ISNUMBER(L6601),ISNUMBER(M6601)),L6601-M6601,"")</f>
        <v/>
      </c>
    </row>
    <row r="6602">
      <c r="N6602">
        <f>IF(AND(ISNUMBER(L6602),ISNUMBER(M6602)),L6602-M6602,"")</f>
        <v/>
      </c>
    </row>
    <row r="6603">
      <c r="N6603">
        <f>IF(AND(ISNUMBER(L6603),ISNUMBER(M6603)),L6603-M6603,"")</f>
        <v/>
      </c>
    </row>
    <row r="6604">
      <c r="N6604">
        <f>IF(AND(ISNUMBER(L6604),ISNUMBER(M6604)),L6604-M6604,"")</f>
        <v/>
      </c>
    </row>
    <row r="6605">
      <c r="N6605">
        <f>IF(AND(ISNUMBER(L6605),ISNUMBER(M6605)),L6605-M6605,"")</f>
        <v/>
      </c>
    </row>
    <row r="6606">
      <c r="N6606">
        <f>IF(AND(ISNUMBER(L6606),ISNUMBER(M6606)),L6606-M6606,"")</f>
        <v/>
      </c>
    </row>
    <row r="6607">
      <c r="N6607">
        <f>IF(AND(ISNUMBER(L6607),ISNUMBER(M6607)),L6607-M6607,"")</f>
        <v/>
      </c>
    </row>
    <row r="6608">
      <c r="N6608">
        <f>IF(AND(ISNUMBER(L6608),ISNUMBER(M6608)),L6608-M6608,"")</f>
        <v/>
      </c>
    </row>
    <row r="6609">
      <c r="N6609">
        <f>IF(AND(ISNUMBER(L6609),ISNUMBER(M6609)),L6609-M6609,"")</f>
        <v/>
      </c>
    </row>
    <row r="6610">
      <c r="N6610">
        <f>IF(AND(ISNUMBER(L6610),ISNUMBER(M6610)),L6610-M6610,"")</f>
        <v/>
      </c>
    </row>
    <row r="6611">
      <c r="N6611">
        <f>IF(AND(ISNUMBER(L6611),ISNUMBER(M6611)),L6611-M6611,"")</f>
        <v/>
      </c>
    </row>
    <row r="6612">
      <c r="N6612">
        <f>IF(AND(ISNUMBER(L6612),ISNUMBER(M6612)),L6612-M6612,"")</f>
        <v/>
      </c>
    </row>
    <row r="6613">
      <c r="N6613">
        <f>IF(AND(ISNUMBER(L6613),ISNUMBER(M6613)),L6613-M6613,"")</f>
        <v/>
      </c>
    </row>
    <row r="6614">
      <c r="N6614">
        <f>IF(AND(ISNUMBER(L6614),ISNUMBER(M6614)),L6614-M6614,"")</f>
        <v/>
      </c>
    </row>
    <row r="6615">
      <c r="N6615">
        <f>IF(AND(ISNUMBER(L6615),ISNUMBER(M6615)),L6615-M6615,"")</f>
        <v/>
      </c>
    </row>
    <row r="6616">
      <c r="N6616">
        <f>IF(AND(ISNUMBER(L6616),ISNUMBER(M6616)),L6616-M6616,"")</f>
        <v/>
      </c>
    </row>
    <row r="6617">
      <c r="N6617">
        <f>IF(AND(ISNUMBER(L6617),ISNUMBER(M6617)),L6617-M6617,"")</f>
        <v/>
      </c>
    </row>
    <row r="6618">
      <c r="N6618">
        <f>IF(AND(ISNUMBER(L6618),ISNUMBER(M6618)),L6618-M6618,"")</f>
        <v/>
      </c>
    </row>
    <row r="6619">
      <c r="N6619">
        <f>IF(AND(ISNUMBER(L6619),ISNUMBER(M6619)),L6619-M6619,"")</f>
        <v/>
      </c>
    </row>
    <row r="6620">
      <c r="N6620">
        <f>IF(AND(ISNUMBER(L6620),ISNUMBER(M6620)),L6620-M6620,"")</f>
        <v/>
      </c>
    </row>
    <row r="6621">
      <c r="N6621">
        <f>IF(AND(ISNUMBER(L6621),ISNUMBER(M6621)),L6621-M6621,"")</f>
        <v/>
      </c>
    </row>
    <row r="6622">
      <c r="N6622">
        <f>IF(AND(ISNUMBER(L6622),ISNUMBER(M6622)),L6622-M6622,"")</f>
        <v/>
      </c>
    </row>
    <row r="6623">
      <c r="N6623">
        <f>IF(AND(ISNUMBER(L6623),ISNUMBER(M6623)),L6623-M6623,"")</f>
        <v/>
      </c>
    </row>
    <row r="6624">
      <c r="N6624">
        <f>IF(AND(ISNUMBER(L6624),ISNUMBER(M6624)),L6624-M6624,"")</f>
        <v/>
      </c>
    </row>
    <row r="6625">
      <c r="N6625">
        <f>IF(AND(ISNUMBER(L6625),ISNUMBER(M6625)),L6625-M6625,"")</f>
        <v/>
      </c>
    </row>
    <row r="6626">
      <c r="N6626">
        <f>IF(AND(ISNUMBER(L6626),ISNUMBER(M6626)),L6626-M6626,"")</f>
        <v/>
      </c>
    </row>
    <row r="6627">
      <c r="N6627">
        <f>IF(AND(ISNUMBER(L6627),ISNUMBER(M6627)),L6627-M6627,"")</f>
        <v/>
      </c>
    </row>
    <row r="6628">
      <c r="N6628">
        <f>IF(AND(ISNUMBER(L6628),ISNUMBER(M6628)),L6628-M6628,"")</f>
        <v/>
      </c>
    </row>
    <row r="6629">
      <c r="N6629">
        <f>IF(AND(ISNUMBER(L6629),ISNUMBER(M6629)),L6629-M6629,"")</f>
        <v/>
      </c>
    </row>
    <row r="6630">
      <c r="N6630">
        <f>IF(AND(ISNUMBER(L6630),ISNUMBER(M6630)),L6630-M6630,"")</f>
        <v/>
      </c>
    </row>
    <row r="6631">
      <c r="N6631">
        <f>IF(AND(ISNUMBER(L6631),ISNUMBER(M6631)),L6631-M6631,"")</f>
        <v/>
      </c>
    </row>
    <row r="6632">
      <c r="N6632">
        <f>IF(AND(ISNUMBER(L6632),ISNUMBER(M6632)),L6632-M6632,"")</f>
        <v/>
      </c>
    </row>
    <row r="6633">
      <c r="N6633">
        <f>IF(AND(ISNUMBER(L6633),ISNUMBER(M6633)),L6633-M6633,"")</f>
        <v/>
      </c>
    </row>
    <row r="6634">
      <c r="N6634">
        <f>IF(AND(ISNUMBER(L6634),ISNUMBER(M6634)),L6634-M6634,"")</f>
        <v/>
      </c>
    </row>
    <row r="6635">
      <c r="N6635">
        <f>IF(AND(ISNUMBER(L6635),ISNUMBER(M6635)),L6635-M6635,"")</f>
        <v/>
      </c>
    </row>
    <row r="6636">
      <c r="N6636">
        <f>IF(AND(ISNUMBER(L6636),ISNUMBER(M6636)),L6636-M6636,"")</f>
        <v/>
      </c>
    </row>
    <row r="6637">
      <c r="N6637">
        <f>IF(AND(ISNUMBER(L6637),ISNUMBER(M6637)),L6637-M6637,"")</f>
        <v/>
      </c>
    </row>
    <row r="6638">
      <c r="N6638">
        <f>IF(AND(ISNUMBER(L6638),ISNUMBER(M6638)),L6638-M6638,"")</f>
        <v/>
      </c>
    </row>
    <row r="6639">
      <c r="N6639">
        <f>IF(AND(ISNUMBER(L6639),ISNUMBER(M6639)),L6639-M6639,"")</f>
        <v/>
      </c>
    </row>
    <row r="6640">
      <c r="N6640">
        <f>IF(AND(ISNUMBER(L6640),ISNUMBER(M6640)),L6640-M6640,"")</f>
        <v/>
      </c>
    </row>
    <row r="6641">
      <c r="N6641">
        <f>IF(AND(ISNUMBER(L6641),ISNUMBER(M6641)),L6641-M6641,"")</f>
        <v/>
      </c>
    </row>
    <row r="6642">
      <c r="N6642">
        <f>IF(AND(ISNUMBER(L6642),ISNUMBER(M6642)),L6642-M6642,"")</f>
        <v/>
      </c>
    </row>
    <row r="6643">
      <c r="N6643">
        <f>IF(AND(ISNUMBER(L6643),ISNUMBER(M6643)),L6643-M6643,"")</f>
        <v/>
      </c>
    </row>
    <row r="6644">
      <c r="N6644">
        <f>IF(AND(ISNUMBER(L6644),ISNUMBER(M6644)),L6644-M6644,"")</f>
        <v/>
      </c>
    </row>
    <row r="6645">
      <c r="N6645">
        <f>IF(AND(ISNUMBER(L6645),ISNUMBER(M6645)),L6645-M6645,"")</f>
        <v/>
      </c>
    </row>
    <row r="6646">
      <c r="N6646">
        <f>IF(AND(ISNUMBER(L6646),ISNUMBER(M6646)),L6646-M6646,"")</f>
        <v/>
      </c>
    </row>
    <row r="6647">
      <c r="N6647">
        <f>IF(AND(ISNUMBER(L6647),ISNUMBER(M6647)),L6647-M6647,"")</f>
        <v/>
      </c>
    </row>
    <row r="6648">
      <c r="N6648">
        <f>IF(AND(ISNUMBER(L6648),ISNUMBER(M6648)),L6648-M6648,"")</f>
        <v/>
      </c>
    </row>
    <row r="6649">
      <c r="N6649">
        <f>IF(AND(ISNUMBER(L6649),ISNUMBER(M6649)),L6649-M6649,"")</f>
        <v/>
      </c>
    </row>
    <row r="6650">
      <c r="N6650">
        <f>IF(AND(ISNUMBER(L6650),ISNUMBER(M6650)),L6650-M6650,"")</f>
        <v/>
      </c>
    </row>
    <row r="6651">
      <c r="N6651">
        <f>IF(AND(ISNUMBER(L6651),ISNUMBER(M6651)),L6651-M6651,"")</f>
        <v/>
      </c>
    </row>
    <row r="6652">
      <c r="N6652">
        <f>IF(AND(ISNUMBER(L6652),ISNUMBER(M6652)),L6652-M6652,"")</f>
        <v/>
      </c>
    </row>
    <row r="6653">
      <c r="N6653">
        <f>IF(AND(ISNUMBER(L6653),ISNUMBER(M6653)),L6653-M6653,"")</f>
        <v/>
      </c>
    </row>
    <row r="6654">
      <c r="N6654">
        <f>IF(AND(ISNUMBER(L6654),ISNUMBER(M6654)),L6654-M6654,"")</f>
        <v/>
      </c>
    </row>
    <row r="6655">
      <c r="N6655">
        <f>IF(AND(ISNUMBER(L6655),ISNUMBER(M6655)),L6655-M6655,"")</f>
        <v/>
      </c>
    </row>
    <row r="6656">
      <c r="N6656">
        <f>IF(AND(ISNUMBER(L6656),ISNUMBER(M6656)),L6656-M6656,"")</f>
        <v/>
      </c>
    </row>
    <row r="6657">
      <c r="N6657">
        <f>IF(AND(ISNUMBER(L6657),ISNUMBER(M6657)),L6657-M6657,"")</f>
        <v/>
      </c>
    </row>
    <row r="6658">
      <c r="N6658">
        <f>IF(AND(ISNUMBER(L6658),ISNUMBER(M6658)),L6658-M6658,"")</f>
        <v/>
      </c>
    </row>
    <row r="6659">
      <c r="N6659">
        <f>IF(AND(ISNUMBER(L6659),ISNUMBER(M6659)),L6659-M6659,"")</f>
        <v/>
      </c>
    </row>
    <row r="6660">
      <c r="N6660">
        <f>IF(AND(ISNUMBER(L6660),ISNUMBER(M6660)),L6660-M6660,"")</f>
        <v/>
      </c>
    </row>
    <row r="6661">
      <c r="N6661">
        <f>IF(AND(ISNUMBER(L6661),ISNUMBER(M6661)),L6661-M6661,"")</f>
        <v/>
      </c>
    </row>
    <row r="6662">
      <c r="N6662">
        <f>IF(AND(ISNUMBER(L6662),ISNUMBER(M6662)),L6662-M6662,"")</f>
        <v/>
      </c>
    </row>
    <row r="6663">
      <c r="N6663">
        <f>IF(AND(ISNUMBER(L6663),ISNUMBER(M6663)),L6663-M6663,"")</f>
        <v/>
      </c>
    </row>
    <row r="6664">
      <c r="N6664">
        <f>IF(AND(ISNUMBER(L6664),ISNUMBER(M6664)),L6664-M6664,"")</f>
        <v/>
      </c>
    </row>
    <row r="6665">
      <c r="N6665">
        <f>IF(AND(ISNUMBER(L6665),ISNUMBER(M6665)),L6665-M6665,"")</f>
        <v/>
      </c>
    </row>
    <row r="6666">
      <c r="N6666">
        <f>IF(AND(ISNUMBER(L6666),ISNUMBER(M6666)),L6666-M6666,"")</f>
        <v/>
      </c>
    </row>
    <row r="6667">
      <c r="N6667">
        <f>IF(AND(ISNUMBER(L6667),ISNUMBER(M6667)),L6667-M6667,"")</f>
        <v/>
      </c>
    </row>
    <row r="6668">
      <c r="N6668">
        <f>IF(AND(ISNUMBER(L6668),ISNUMBER(M6668)),L6668-M6668,"")</f>
        <v/>
      </c>
    </row>
    <row r="6669">
      <c r="N6669">
        <f>IF(AND(ISNUMBER(L6669),ISNUMBER(M6669)),L6669-M6669,"")</f>
        <v/>
      </c>
    </row>
    <row r="6670">
      <c r="N6670">
        <f>IF(AND(ISNUMBER(L6670),ISNUMBER(M6670)),L6670-M6670,"")</f>
        <v/>
      </c>
    </row>
    <row r="6671">
      <c r="N6671">
        <f>IF(AND(ISNUMBER(L6671),ISNUMBER(M6671)),L6671-M6671,"")</f>
        <v/>
      </c>
    </row>
    <row r="6672">
      <c r="N6672">
        <f>IF(AND(ISNUMBER(L6672),ISNUMBER(M6672)),L6672-M6672,"")</f>
        <v/>
      </c>
    </row>
    <row r="6673">
      <c r="N6673">
        <f>IF(AND(ISNUMBER(L6673),ISNUMBER(M6673)),L6673-M6673,"")</f>
        <v/>
      </c>
    </row>
    <row r="6674">
      <c r="N6674">
        <f>IF(AND(ISNUMBER(L6674),ISNUMBER(M6674)),L6674-M6674,"")</f>
        <v/>
      </c>
    </row>
    <row r="6675">
      <c r="N6675">
        <f>IF(AND(ISNUMBER(L6675),ISNUMBER(M6675)),L6675-M6675,"")</f>
        <v/>
      </c>
    </row>
    <row r="6676">
      <c r="N6676">
        <f>IF(AND(ISNUMBER(L6676),ISNUMBER(M6676)),L6676-M6676,"")</f>
        <v/>
      </c>
    </row>
    <row r="6677">
      <c r="N6677">
        <f>IF(AND(ISNUMBER(L6677),ISNUMBER(M6677)),L6677-M6677,"")</f>
        <v/>
      </c>
    </row>
    <row r="6678">
      <c r="N6678">
        <f>IF(AND(ISNUMBER(L6678),ISNUMBER(M6678)),L6678-M6678,"")</f>
        <v/>
      </c>
    </row>
    <row r="6679">
      <c r="N6679">
        <f>IF(AND(ISNUMBER(L6679),ISNUMBER(M6679)),L6679-M6679,"")</f>
        <v/>
      </c>
    </row>
    <row r="6680">
      <c r="N6680">
        <f>IF(AND(ISNUMBER(L6680),ISNUMBER(M6680)),L6680-M6680,"")</f>
        <v/>
      </c>
    </row>
    <row r="6681">
      <c r="N6681">
        <f>IF(AND(ISNUMBER(L6681),ISNUMBER(M6681)),L6681-M6681,"")</f>
        <v/>
      </c>
    </row>
    <row r="6682">
      <c r="N6682">
        <f>IF(AND(ISNUMBER(L6682),ISNUMBER(M6682)),L6682-M6682,"")</f>
        <v/>
      </c>
    </row>
    <row r="6683">
      <c r="N6683">
        <f>IF(AND(ISNUMBER(L6683),ISNUMBER(M6683)),L6683-M6683,"")</f>
        <v/>
      </c>
    </row>
    <row r="6684">
      <c r="N6684">
        <f>IF(AND(ISNUMBER(L6684),ISNUMBER(M6684)),L6684-M6684,"")</f>
        <v/>
      </c>
    </row>
    <row r="6685">
      <c r="N6685">
        <f>IF(AND(ISNUMBER(L6685),ISNUMBER(M6685)),L6685-M6685,"")</f>
        <v/>
      </c>
    </row>
    <row r="6686">
      <c r="N6686">
        <f>IF(AND(ISNUMBER(L6686),ISNUMBER(M6686)),L6686-M6686,"")</f>
        <v/>
      </c>
    </row>
    <row r="6687">
      <c r="N6687">
        <f>IF(AND(ISNUMBER(L6687),ISNUMBER(M6687)),L6687-M6687,"")</f>
        <v/>
      </c>
    </row>
    <row r="6688">
      <c r="N6688">
        <f>IF(AND(ISNUMBER(L6688),ISNUMBER(M6688)),L6688-M6688,"")</f>
        <v/>
      </c>
    </row>
    <row r="6689">
      <c r="N6689">
        <f>IF(AND(ISNUMBER(L6689),ISNUMBER(M6689)),L6689-M6689,"")</f>
        <v/>
      </c>
    </row>
    <row r="6690">
      <c r="N6690">
        <f>IF(AND(ISNUMBER(L6690),ISNUMBER(M6690)),L6690-M6690,"")</f>
        <v/>
      </c>
    </row>
    <row r="6691">
      <c r="N6691">
        <f>IF(AND(ISNUMBER(L6691),ISNUMBER(M6691)),L6691-M6691,"")</f>
        <v/>
      </c>
    </row>
    <row r="6692">
      <c r="N6692">
        <f>IF(AND(ISNUMBER(L6692),ISNUMBER(M6692)),L6692-M6692,"")</f>
        <v/>
      </c>
    </row>
    <row r="6693">
      <c r="N6693">
        <f>IF(AND(ISNUMBER(L6693),ISNUMBER(M6693)),L6693-M6693,"")</f>
        <v/>
      </c>
    </row>
    <row r="6694">
      <c r="N6694">
        <f>IF(AND(ISNUMBER(L6694),ISNUMBER(M6694)),L6694-M6694,"")</f>
        <v/>
      </c>
    </row>
    <row r="6695">
      <c r="N6695">
        <f>IF(AND(ISNUMBER(L6695),ISNUMBER(M6695)),L6695-M6695,"")</f>
        <v/>
      </c>
    </row>
    <row r="6696">
      <c r="N6696">
        <f>IF(AND(ISNUMBER(L6696),ISNUMBER(M6696)),L6696-M6696,"")</f>
        <v/>
      </c>
    </row>
    <row r="6697">
      <c r="N6697">
        <f>IF(AND(ISNUMBER(L6697),ISNUMBER(M6697)),L6697-M6697,"")</f>
        <v/>
      </c>
    </row>
    <row r="6698">
      <c r="N6698">
        <f>IF(AND(ISNUMBER(L6698),ISNUMBER(M6698)),L6698-M6698,"")</f>
        <v/>
      </c>
    </row>
    <row r="6699">
      <c r="N6699">
        <f>IF(AND(ISNUMBER(L6699),ISNUMBER(M6699)),L6699-M6699,"")</f>
        <v/>
      </c>
    </row>
    <row r="6700">
      <c r="N6700">
        <f>IF(AND(ISNUMBER(L6700),ISNUMBER(M6700)),L6700-M6700,"")</f>
        <v/>
      </c>
    </row>
    <row r="6701">
      <c r="N6701">
        <f>IF(AND(ISNUMBER(L6701),ISNUMBER(M6701)),L6701-M6701,"")</f>
        <v/>
      </c>
    </row>
    <row r="6702">
      <c r="N6702">
        <f>IF(AND(ISNUMBER(L6702),ISNUMBER(M6702)),L6702-M6702,"")</f>
        <v/>
      </c>
    </row>
    <row r="6703">
      <c r="N6703">
        <f>IF(AND(ISNUMBER(L6703),ISNUMBER(M6703)),L6703-M6703,"")</f>
        <v/>
      </c>
    </row>
    <row r="6704">
      <c r="N6704">
        <f>IF(AND(ISNUMBER(L6704),ISNUMBER(M6704)),L6704-M6704,"")</f>
        <v/>
      </c>
    </row>
    <row r="6705">
      <c r="N6705">
        <f>IF(AND(ISNUMBER(L6705),ISNUMBER(M6705)),L6705-M6705,"")</f>
        <v/>
      </c>
    </row>
    <row r="6706">
      <c r="N6706">
        <f>IF(AND(ISNUMBER(L6706),ISNUMBER(M6706)),L6706-M6706,"")</f>
        <v/>
      </c>
    </row>
    <row r="6707">
      <c r="N6707">
        <f>IF(AND(ISNUMBER(L6707),ISNUMBER(M6707)),L6707-M6707,"")</f>
        <v/>
      </c>
    </row>
    <row r="6708">
      <c r="N6708">
        <f>IF(AND(ISNUMBER(L6708),ISNUMBER(M6708)),L6708-M6708,"")</f>
        <v/>
      </c>
    </row>
    <row r="6709">
      <c r="N6709">
        <f>IF(AND(ISNUMBER(L6709),ISNUMBER(M6709)),L6709-M6709,"")</f>
        <v/>
      </c>
    </row>
    <row r="6710">
      <c r="N6710">
        <f>IF(AND(ISNUMBER(L6710),ISNUMBER(M6710)),L6710-M6710,"")</f>
        <v/>
      </c>
    </row>
    <row r="6711">
      <c r="N6711">
        <f>IF(AND(ISNUMBER(L6711),ISNUMBER(M6711)),L6711-M6711,"")</f>
        <v/>
      </c>
    </row>
    <row r="6712">
      <c r="N6712">
        <f>IF(AND(ISNUMBER(L6712),ISNUMBER(M6712)),L6712-M6712,"")</f>
        <v/>
      </c>
    </row>
    <row r="6713">
      <c r="N6713">
        <f>IF(AND(ISNUMBER(L6713),ISNUMBER(M6713)),L6713-M6713,"")</f>
        <v/>
      </c>
    </row>
    <row r="6714">
      <c r="N6714">
        <f>IF(AND(ISNUMBER(L6714),ISNUMBER(M6714)),L6714-M6714,"")</f>
        <v/>
      </c>
    </row>
    <row r="6715">
      <c r="N6715">
        <f>IF(AND(ISNUMBER(L6715),ISNUMBER(M6715)),L6715-M6715,"")</f>
        <v/>
      </c>
    </row>
    <row r="6716">
      <c r="N6716">
        <f>IF(AND(ISNUMBER(L6716),ISNUMBER(M6716)),L6716-M6716,"")</f>
        <v/>
      </c>
    </row>
    <row r="6717">
      <c r="N6717">
        <f>IF(AND(ISNUMBER(L6717),ISNUMBER(M6717)),L6717-M6717,"")</f>
        <v/>
      </c>
    </row>
    <row r="6718">
      <c r="N6718">
        <f>IF(AND(ISNUMBER(L6718),ISNUMBER(M6718)),L6718-M6718,"")</f>
        <v/>
      </c>
    </row>
    <row r="6719">
      <c r="N6719">
        <f>IF(AND(ISNUMBER(L6719),ISNUMBER(M6719)),L6719-M6719,"")</f>
        <v/>
      </c>
    </row>
    <row r="6720">
      <c r="N6720">
        <f>IF(AND(ISNUMBER(L6720),ISNUMBER(M6720)),L6720-M6720,"")</f>
        <v/>
      </c>
    </row>
    <row r="6721">
      <c r="N6721">
        <f>IF(AND(ISNUMBER(L6721),ISNUMBER(M6721)),L6721-M6721,"")</f>
        <v/>
      </c>
    </row>
    <row r="6722">
      <c r="N6722">
        <f>IF(AND(ISNUMBER(L6722),ISNUMBER(M6722)),L6722-M6722,"")</f>
        <v/>
      </c>
    </row>
    <row r="6723">
      <c r="N6723">
        <f>IF(AND(ISNUMBER(L6723),ISNUMBER(M6723)),L6723-M6723,"")</f>
        <v/>
      </c>
    </row>
    <row r="6724">
      <c r="N6724">
        <f>IF(AND(ISNUMBER(L6724),ISNUMBER(M6724)),L6724-M6724,"")</f>
        <v/>
      </c>
    </row>
    <row r="6725">
      <c r="N6725">
        <f>IF(AND(ISNUMBER(L6725),ISNUMBER(M6725)),L6725-M6725,"")</f>
        <v/>
      </c>
    </row>
    <row r="6726">
      <c r="N6726">
        <f>IF(AND(ISNUMBER(L6726),ISNUMBER(M6726)),L6726-M6726,"")</f>
        <v/>
      </c>
    </row>
    <row r="6727">
      <c r="N6727">
        <f>IF(AND(ISNUMBER(L6727),ISNUMBER(M6727)),L6727-M6727,"")</f>
        <v/>
      </c>
    </row>
    <row r="6728">
      <c r="N6728">
        <f>IF(AND(ISNUMBER(L6728),ISNUMBER(M6728)),L6728-M6728,"")</f>
        <v/>
      </c>
    </row>
    <row r="6729">
      <c r="N6729">
        <f>IF(AND(ISNUMBER(L6729),ISNUMBER(M6729)),L6729-M6729,"")</f>
        <v/>
      </c>
    </row>
    <row r="6730">
      <c r="N6730">
        <f>IF(AND(ISNUMBER(L6730),ISNUMBER(M6730)),L6730-M6730,"")</f>
        <v/>
      </c>
    </row>
    <row r="6731">
      <c r="N6731">
        <f>IF(AND(ISNUMBER(L6731),ISNUMBER(M6731)),L6731-M6731,"")</f>
        <v/>
      </c>
    </row>
    <row r="6732">
      <c r="N6732">
        <f>IF(AND(ISNUMBER(L6732),ISNUMBER(M6732)),L6732-M6732,"")</f>
        <v/>
      </c>
    </row>
    <row r="6733">
      <c r="N6733">
        <f>IF(AND(ISNUMBER(L6733),ISNUMBER(M6733)),L6733-M6733,"")</f>
        <v/>
      </c>
    </row>
    <row r="6734">
      <c r="N6734">
        <f>IF(AND(ISNUMBER(L6734),ISNUMBER(M6734)),L6734-M6734,"")</f>
        <v/>
      </c>
    </row>
    <row r="6735">
      <c r="N6735">
        <f>IF(AND(ISNUMBER(L6735),ISNUMBER(M6735)),L6735-M6735,"")</f>
        <v/>
      </c>
    </row>
    <row r="6736">
      <c r="N6736">
        <f>IF(AND(ISNUMBER(L6736),ISNUMBER(M6736)),L6736-M6736,"")</f>
        <v/>
      </c>
    </row>
    <row r="6737">
      <c r="N6737">
        <f>IF(AND(ISNUMBER(L6737),ISNUMBER(M6737)),L6737-M6737,"")</f>
        <v/>
      </c>
    </row>
    <row r="6738">
      <c r="N6738">
        <f>IF(AND(ISNUMBER(L6738),ISNUMBER(M6738)),L6738-M6738,"")</f>
        <v/>
      </c>
    </row>
    <row r="6739">
      <c r="N6739">
        <f>IF(AND(ISNUMBER(L6739),ISNUMBER(M6739)),L6739-M6739,"")</f>
        <v/>
      </c>
    </row>
    <row r="6740">
      <c r="N6740">
        <f>IF(AND(ISNUMBER(L6740),ISNUMBER(M6740)),L6740-M6740,"")</f>
        <v/>
      </c>
    </row>
    <row r="6741">
      <c r="N6741">
        <f>IF(AND(ISNUMBER(L6741),ISNUMBER(M6741)),L6741-M6741,"")</f>
        <v/>
      </c>
    </row>
    <row r="6742">
      <c r="N6742">
        <f>IF(AND(ISNUMBER(L6742),ISNUMBER(M6742)),L6742-M6742,"")</f>
        <v/>
      </c>
    </row>
    <row r="6743">
      <c r="N6743">
        <f>IF(AND(ISNUMBER(L6743),ISNUMBER(M6743)),L6743-M6743,"")</f>
        <v/>
      </c>
    </row>
    <row r="6744">
      <c r="N6744">
        <f>IF(AND(ISNUMBER(L6744),ISNUMBER(M6744)),L6744-M6744,"")</f>
        <v/>
      </c>
    </row>
    <row r="6745">
      <c r="N6745">
        <f>IF(AND(ISNUMBER(L6745),ISNUMBER(M6745)),L6745-M6745,"")</f>
        <v/>
      </c>
    </row>
    <row r="6746">
      <c r="N6746">
        <f>IF(AND(ISNUMBER(L6746),ISNUMBER(M6746)),L6746-M6746,"")</f>
        <v/>
      </c>
    </row>
    <row r="6747">
      <c r="N6747">
        <f>IF(AND(ISNUMBER(L6747),ISNUMBER(M6747)),L6747-M6747,"")</f>
        <v/>
      </c>
    </row>
    <row r="6748">
      <c r="N6748">
        <f>IF(AND(ISNUMBER(L6748),ISNUMBER(M6748)),L6748-M6748,"")</f>
        <v/>
      </c>
    </row>
    <row r="6749">
      <c r="N6749">
        <f>IF(AND(ISNUMBER(L6749),ISNUMBER(M6749)),L6749-M6749,"")</f>
        <v/>
      </c>
    </row>
    <row r="6750">
      <c r="N6750">
        <f>IF(AND(ISNUMBER(L6750),ISNUMBER(M6750)),L6750-M6750,"")</f>
        <v/>
      </c>
    </row>
    <row r="6751">
      <c r="N6751">
        <f>IF(AND(ISNUMBER(L6751),ISNUMBER(M6751)),L6751-M6751,"")</f>
        <v/>
      </c>
    </row>
    <row r="6752">
      <c r="N6752">
        <f>IF(AND(ISNUMBER(L6752),ISNUMBER(M6752)),L6752-M6752,"")</f>
        <v/>
      </c>
    </row>
    <row r="6753">
      <c r="N6753">
        <f>IF(AND(ISNUMBER(L6753),ISNUMBER(M6753)),L6753-M6753,"")</f>
        <v/>
      </c>
    </row>
    <row r="6754">
      <c r="N6754">
        <f>IF(AND(ISNUMBER(L6754),ISNUMBER(M6754)),L6754-M6754,"")</f>
        <v/>
      </c>
    </row>
    <row r="6755">
      <c r="N6755">
        <f>IF(AND(ISNUMBER(L6755),ISNUMBER(M6755)),L6755-M6755,"")</f>
        <v/>
      </c>
    </row>
    <row r="6756">
      <c r="N6756">
        <f>IF(AND(ISNUMBER(L6756),ISNUMBER(M6756)),L6756-M6756,"")</f>
        <v/>
      </c>
    </row>
    <row r="6757">
      <c r="N6757">
        <f>IF(AND(ISNUMBER(L6757),ISNUMBER(M6757)),L6757-M6757,"")</f>
        <v/>
      </c>
    </row>
    <row r="6758">
      <c r="N6758">
        <f>IF(AND(ISNUMBER(L6758),ISNUMBER(M6758)),L6758-M6758,"")</f>
        <v/>
      </c>
    </row>
    <row r="6759">
      <c r="N6759">
        <f>IF(AND(ISNUMBER(L6759),ISNUMBER(M6759)),L6759-M6759,"")</f>
        <v/>
      </c>
    </row>
    <row r="6760">
      <c r="N6760">
        <f>IF(AND(ISNUMBER(L6760),ISNUMBER(M6760)),L6760-M6760,"")</f>
        <v/>
      </c>
    </row>
    <row r="6761">
      <c r="N6761">
        <f>IF(AND(ISNUMBER(L6761),ISNUMBER(M6761)),L6761-M6761,"")</f>
        <v/>
      </c>
    </row>
    <row r="6762">
      <c r="N6762">
        <f>IF(AND(ISNUMBER(L6762),ISNUMBER(M6762)),L6762-M6762,"")</f>
        <v/>
      </c>
    </row>
    <row r="6763">
      <c r="N6763">
        <f>IF(AND(ISNUMBER(L6763),ISNUMBER(M6763)),L6763-M6763,"")</f>
        <v/>
      </c>
    </row>
    <row r="6764">
      <c r="N6764">
        <f>IF(AND(ISNUMBER(L6764),ISNUMBER(M6764)),L6764-M6764,"")</f>
        <v/>
      </c>
    </row>
    <row r="6765">
      <c r="N6765">
        <f>IF(AND(ISNUMBER(L6765),ISNUMBER(M6765)),L6765-M6765,"")</f>
        <v/>
      </c>
    </row>
    <row r="6766">
      <c r="N6766">
        <f>IF(AND(ISNUMBER(L6766),ISNUMBER(M6766)),L6766-M6766,"")</f>
        <v/>
      </c>
    </row>
    <row r="6767">
      <c r="N6767">
        <f>IF(AND(ISNUMBER(L6767),ISNUMBER(M6767)),L6767-M6767,"")</f>
        <v/>
      </c>
    </row>
    <row r="6768">
      <c r="N6768">
        <f>IF(AND(ISNUMBER(L6768),ISNUMBER(M6768)),L6768-M6768,"")</f>
        <v/>
      </c>
    </row>
    <row r="6769">
      <c r="N6769">
        <f>IF(AND(ISNUMBER(L6769),ISNUMBER(M6769)),L6769-M6769,"")</f>
        <v/>
      </c>
    </row>
    <row r="6770">
      <c r="N6770">
        <f>IF(AND(ISNUMBER(L6770),ISNUMBER(M6770)),L6770-M6770,"")</f>
        <v/>
      </c>
    </row>
    <row r="6771">
      <c r="N6771">
        <f>IF(AND(ISNUMBER(L6771),ISNUMBER(M6771)),L6771-M6771,"")</f>
        <v/>
      </c>
    </row>
    <row r="6772">
      <c r="N6772">
        <f>IF(AND(ISNUMBER(L6772),ISNUMBER(M6772)),L6772-M6772,"")</f>
        <v/>
      </c>
    </row>
    <row r="6773">
      <c r="N6773">
        <f>IF(AND(ISNUMBER(L6773),ISNUMBER(M6773)),L6773-M6773,"")</f>
        <v/>
      </c>
    </row>
    <row r="6774">
      <c r="N6774">
        <f>IF(AND(ISNUMBER(L6774),ISNUMBER(M6774)),L6774-M6774,"")</f>
        <v/>
      </c>
    </row>
    <row r="6775">
      <c r="N6775">
        <f>IF(AND(ISNUMBER(L6775),ISNUMBER(M6775)),L6775-M6775,"")</f>
        <v/>
      </c>
    </row>
    <row r="6776">
      <c r="N6776">
        <f>IF(AND(ISNUMBER(L6776),ISNUMBER(M6776)),L6776-M6776,"")</f>
        <v/>
      </c>
    </row>
    <row r="6777">
      <c r="N6777">
        <f>IF(AND(ISNUMBER(L6777),ISNUMBER(M6777)),L6777-M6777,"")</f>
        <v/>
      </c>
    </row>
    <row r="6778">
      <c r="N6778">
        <f>IF(AND(ISNUMBER(L6778),ISNUMBER(M6778)),L6778-M6778,"")</f>
        <v/>
      </c>
    </row>
    <row r="6779">
      <c r="N6779">
        <f>IF(AND(ISNUMBER(L6779),ISNUMBER(M6779)),L6779-M6779,"")</f>
        <v/>
      </c>
    </row>
    <row r="6780">
      <c r="N6780">
        <f>IF(AND(ISNUMBER(L6780),ISNUMBER(M6780)),L6780-M6780,"")</f>
        <v/>
      </c>
    </row>
    <row r="6781">
      <c r="N6781">
        <f>IF(AND(ISNUMBER(L6781),ISNUMBER(M6781)),L6781-M6781,"")</f>
        <v/>
      </c>
    </row>
    <row r="6782">
      <c r="N6782">
        <f>IF(AND(ISNUMBER(L6782),ISNUMBER(M6782)),L6782-M6782,"")</f>
        <v/>
      </c>
    </row>
    <row r="6783">
      <c r="N6783">
        <f>IF(AND(ISNUMBER(L6783),ISNUMBER(M6783)),L6783-M6783,"")</f>
        <v/>
      </c>
    </row>
    <row r="6784">
      <c r="N6784">
        <f>IF(AND(ISNUMBER(L6784),ISNUMBER(M6784)),L6784-M6784,"")</f>
        <v/>
      </c>
    </row>
    <row r="6785">
      <c r="N6785">
        <f>IF(AND(ISNUMBER(L6785),ISNUMBER(M6785)),L6785-M6785,"")</f>
        <v/>
      </c>
    </row>
    <row r="6786">
      <c r="N6786">
        <f>IF(AND(ISNUMBER(L6786),ISNUMBER(M6786)),L6786-M6786,"")</f>
        <v/>
      </c>
    </row>
    <row r="6787">
      <c r="N6787">
        <f>IF(AND(ISNUMBER(L6787),ISNUMBER(M6787)),L6787-M6787,"")</f>
        <v/>
      </c>
    </row>
    <row r="6788">
      <c r="N6788">
        <f>IF(AND(ISNUMBER(L6788),ISNUMBER(M6788)),L6788-M6788,"")</f>
        <v/>
      </c>
    </row>
    <row r="6789">
      <c r="N6789">
        <f>IF(AND(ISNUMBER(L6789),ISNUMBER(M6789)),L6789-M6789,"")</f>
        <v/>
      </c>
    </row>
    <row r="6790">
      <c r="N6790">
        <f>IF(AND(ISNUMBER(L6790),ISNUMBER(M6790)),L6790-M6790,"")</f>
        <v/>
      </c>
    </row>
    <row r="6791">
      <c r="N6791">
        <f>IF(AND(ISNUMBER(L6791),ISNUMBER(M6791)),L6791-M6791,"")</f>
        <v/>
      </c>
    </row>
    <row r="6792">
      <c r="N6792">
        <f>IF(AND(ISNUMBER(L6792),ISNUMBER(M6792)),L6792-M6792,"")</f>
        <v/>
      </c>
    </row>
    <row r="6793">
      <c r="N6793">
        <f>IF(AND(ISNUMBER(L6793),ISNUMBER(M6793)),L6793-M6793,"")</f>
        <v/>
      </c>
    </row>
    <row r="6794">
      <c r="N6794">
        <f>IF(AND(ISNUMBER(L6794),ISNUMBER(M6794)),L6794-M6794,"")</f>
        <v/>
      </c>
    </row>
    <row r="6795">
      <c r="N6795">
        <f>IF(AND(ISNUMBER(L6795),ISNUMBER(M6795)),L6795-M6795,"")</f>
        <v/>
      </c>
    </row>
    <row r="6796">
      <c r="N6796">
        <f>IF(AND(ISNUMBER(L6796),ISNUMBER(M6796)),L6796-M6796,"")</f>
        <v/>
      </c>
    </row>
    <row r="6797">
      <c r="N6797">
        <f>IF(AND(ISNUMBER(L6797),ISNUMBER(M6797)),L6797-M6797,"")</f>
        <v/>
      </c>
    </row>
    <row r="6798">
      <c r="N6798">
        <f>IF(AND(ISNUMBER(L6798),ISNUMBER(M6798)),L6798-M6798,"")</f>
        <v/>
      </c>
    </row>
    <row r="6799">
      <c r="N6799">
        <f>IF(AND(ISNUMBER(L6799),ISNUMBER(M6799)),L6799-M6799,"")</f>
        <v/>
      </c>
    </row>
    <row r="6800">
      <c r="N6800">
        <f>IF(AND(ISNUMBER(L6800),ISNUMBER(M6800)),L6800-M6800,"")</f>
        <v/>
      </c>
    </row>
    <row r="6801">
      <c r="N6801">
        <f>IF(AND(ISNUMBER(L6801),ISNUMBER(M6801)),L6801-M6801,"")</f>
        <v/>
      </c>
    </row>
    <row r="6802">
      <c r="N6802">
        <f>IF(AND(ISNUMBER(L6802),ISNUMBER(M6802)),L6802-M6802,"")</f>
        <v/>
      </c>
    </row>
    <row r="6803">
      <c r="N6803">
        <f>IF(AND(ISNUMBER(L6803),ISNUMBER(M6803)),L6803-M6803,"")</f>
        <v/>
      </c>
    </row>
    <row r="6804">
      <c r="N6804">
        <f>IF(AND(ISNUMBER(L6804),ISNUMBER(M6804)),L6804-M6804,"")</f>
        <v/>
      </c>
    </row>
    <row r="6805">
      <c r="N6805">
        <f>IF(AND(ISNUMBER(L6805),ISNUMBER(M6805)),L6805-M6805,"")</f>
        <v/>
      </c>
    </row>
    <row r="6806">
      <c r="N6806">
        <f>IF(AND(ISNUMBER(L6806),ISNUMBER(M6806)),L6806-M6806,"")</f>
        <v/>
      </c>
    </row>
    <row r="6807">
      <c r="N6807">
        <f>IF(AND(ISNUMBER(L6807),ISNUMBER(M6807)),L6807-M6807,"")</f>
        <v/>
      </c>
    </row>
    <row r="6808">
      <c r="N6808">
        <f>IF(AND(ISNUMBER(L6808),ISNUMBER(M6808)),L6808-M6808,"")</f>
        <v/>
      </c>
    </row>
    <row r="6809">
      <c r="N6809">
        <f>IF(AND(ISNUMBER(L6809),ISNUMBER(M6809)),L6809-M6809,"")</f>
        <v/>
      </c>
    </row>
    <row r="6810">
      <c r="N6810">
        <f>IF(AND(ISNUMBER(L6810),ISNUMBER(M6810)),L6810-M6810,"")</f>
        <v/>
      </c>
    </row>
    <row r="6811">
      <c r="N6811">
        <f>IF(AND(ISNUMBER(L6811),ISNUMBER(M6811)),L6811-M6811,"")</f>
        <v/>
      </c>
    </row>
    <row r="6812">
      <c r="N6812">
        <f>IF(AND(ISNUMBER(L6812),ISNUMBER(M6812)),L6812-M6812,"")</f>
        <v/>
      </c>
    </row>
    <row r="6813">
      <c r="N6813">
        <f>IF(AND(ISNUMBER(L6813),ISNUMBER(M6813)),L6813-M6813,"")</f>
        <v/>
      </c>
    </row>
    <row r="6814">
      <c r="N6814">
        <f>IF(AND(ISNUMBER(L6814),ISNUMBER(M6814)),L6814-M6814,"")</f>
        <v/>
      </c>
    </row>
    <row r="6815">
      <c r="N6815">
        <f>IF(AND(ISNUMBER(L6815),ISNUMBER(M6815)),L6815-M6815,"")</f>
        <v/>
      </c>
    </row>
    <row r="6816">
      <c r="N6816">
        <f>IF(AND(ISNUMBER(L6816),ISNUMBER(M6816)),L6816-M6816,"")</f>
        <v/>
      </c>
    </row>
    <row r="6817">
      <c r="N6817">
        <f>IF(AND(ISNUMBER(L6817),ISNUMBER(M6817)),L6817-M6817,"")</f>
        <v/>
      </c>
    </row>
    <row r="6818">
      <c r="N6818">
        <f>IF(AND(ISNUMBER(L6818),ISNUMBER(M6818)),L6818-M6818,"")</f>
        <v/>
      </c>
    </row>
    <row r="6819">
      <c r="N6819">
        <f>IF(AND(ISNUMBER(L6819),ISNUMBER(M6819)),L6819-M6819,"")</f>
        <v/>
      </c>
    </row>
    <row r="6820">
      <c r="N6820">
        <f>IF(AND(ISNUMBER(L6820),ISNUMBER(M6820)),L6820-M6820,"")</f>
        <v/>
      </c>
    </row>
    <row r="6821">
      <c r="N6821">
        <f>IF(AND(ISNUMBER(L6821),ISNUMBER(M6821)),L6821-M6821,"")</f>
        <v/>
      </c>
    </row>
    <row r="6822">
      <c r="N6822">
        <f>IF(AND(ISNUMBER(L6822),ISNUMBER(M6822)),L6822-M6822,"")</f>
        <v/>
      </c>
    </row>
    <row r="6823">
      <c r="N6823">
        <f>IF(AND(ISNUMBER(L6823),ISNUMBER(M6823)),L6823-M6823,"")</f>
        <v/>
      </c>
    </row>
    <row r="6824">
      <c r="N6824">
        <f>IF(AND(ISNUMBER(L6824),ISNUMBER(M6824)),L6824-M6824,"")</f>
        <v/>
      </c>
    </row>
    <row r="6825">
      <c r="N6825">
        <f>IF(AND(ISNUMBER(L6825),ISNUMBER(M6825)),L6825-M6825,"")</f>
        <v/>
      </c>
    </row>
    <row r="6826">
      <c r="N6826">
        <f>IF(AND(ISNUMBER(L6826),ISNUMBER(M6826)),L6826-M6826,"")</f>
        <v/>
      </c>
    </row>
    <row r="6827">
      <c r="N6827">
        <f>IF(AND(ISNUMBER(L6827),ISNUMBER(M6827)),L6827-M6827,"")</f>
        <v/>
      </c>
    </row>
    <row r="6828">
      <c r="N6828">
        <f>IF(AND(ISNUMBER(L6828),ISNUMBER(M6828)),L6828-M6828,"")</f>
        <v/>
      </c>
    </row>
    <row r="6829">
      <c r="N6829">
        <f>IF(AND(ISNUMBER(L6829),ISNUMBER(M6829)),L6829-M6829,"")</f>
        <v/>
      </c>
    </row>
    <row r="6830">
      <c r="N6830">
        <f>IF(AND(ISNUMBER(L6830),ISNUMBER(M6830)),L6830-M6830,"")</f>
        <v/>
      </c>
    </row>
    <row r="6831">
      <c r="N6831">
        <f>IF(AND(ISNUMBER(L6831),ISNUMBER(M6831)),L6831-M6831,"")</f>
        <v/>
      </c>
    </row>
    <row r="6832">
      <c r="N6832">
        <f>IF(AND(ISNUMBER(L6832),ISNUMBER(M6832)),L6832-M6832,"")</f>
        <v/>
      </c>
    </row>
    <row r="6833">
      <c r="N6833">
        <f>IF(AND(ISNUMBER(L6833),ISNUMBER(M6833)),L6833-M6833,"")</f>
        <v/>
      </c>
    </row>
    <row r="6834">
      <c r="N6834">
        <f>IF(AND(ISNUMBER(L6834),ISNUMBER(M6834)),L6834-M6834,"")</f>
        <v/>
      </c>
    </row>
    <row r="6835">
      <c r="N6835">
        <f>IF(AND(ISNUMBER(L6835),ISNUMBER(M6835)),L6835-M6835,"")</f>
        <v/>
      </c>
    </row>
    <row r="6836">
      <c r="N6836">
        <f>IF(AND(ISNUMBER(L6836),ISNUMBER(M6836)),L6836-M6836,"")</f>
        <v/>
      </c>
    </row>
    <row r="6837">
      <c r="N6837">
        <f>IF(AND(ISNUMBER(L6837),ISNUMBER(M6837)),L6837-M6837,"")</f>
        <v/>
      </c>
    </row>
    <row r="6838">
      <c r="N6838">
        <f>IF(AND(ISNUMBER(L6838),ISNUMBER(M6838)),L6838-M6838,"")</f>
        <v/>
      </c>
    </row>
    <row r="6839">
      <c r="N6839">
        <f>IF(AND(ISNUMBER(L6839),ISNUMBER(M6839)),L6839-M6839,"")</f>
        <v/>
      </c>
    </row>
    <row r="6840">
      <c r="N6840">
        <f>IF(AND(ISNUMBER(L6840),ISNUMBER(M6840)),L6840-M6840,"")</f>
        <v/>
      </c>
    </row>
    <row r="6841">
      <c r="N6841">
        <f>IF(AND(ISNUMBER(L6841),ISNUMBER(M6841)),L6841-M6841,"")</f>
        <v/>
      </c>
    </row>
    <row r="6842">
      <c r="N6842">
        <f>IF(AND(ISNUMBER(L6842),ISNUMBER(M6842)),L6842-M6842,"")</f>
        <v/>
      </c>
    </row>
    <row r="6843">
      <c r="N6843">
        <f>IF(AND(ISNUMBER(L6843),ISNUMBER(M6843)),L6843-M6843,"")</f>
        <v/>
      </c>
    </row>
    <row r="6844">
      <c r="N6844">
        <f>IF(AND(ISNUMBER(L6844),ISNUMBER(M6844)),L6844-M6844,"")</f>
        <v/>
      </c>
    </row>
    <row r="6845">
      <c r="N6845">
        <f>IF(AND(ISNUMBER(L6845),ISNUMBER(M6845)),L6845-M6845,"")</f>
        <v/>
      </c>
    </row>
    <row r="6846">
      <c r="N6846">
        <f>IF(AND(ISNUMBER(L6846),ISNUMBER(M6846)),L6846-M6846,"")</f>
        <v/>
      </c>
    </row>
    <row r="6847">
      <c r="N6847">
        <f>IF(AND(ISNUMBER(L6847),ISNUMBER(M6847)),L6847-M6847,"")</f>
        <v/>
      </c>
    </row>
    <row r="6848">
      <c r="N6848">
        <f>IF(AND(ISNUMBER(L6848),ISNUMBER(M6848)),L6848-M6848,"")</f>
        <v/>
      </c>
    </row>
    <row r="6849">
      <c r="N6849">
        <f>IF(AND(ISNUMBER(L6849),ISNUMBER(M6849)),L6849-M6849,"")</f>
        <v/>
      </c>
    </row>
    <row r="6850">
      <c r="N6850">
        <f>IF(AND(ISNUMBER(L6850),ISNUMBER(M6850)),L6850-M6850,"")</f>
        <v/>
      </c>
    </row>
    <row r="6851">
      <c r="N6851">
        <f>IF(AND(ISNUMBER(L6851),ISNUMBER(M6851)),L6851-M6851,"")</f>
        <v/>
      </c>
    </row>
    <row r="6852">
      <c r="N6852">
        <f>IF(AND(ISNUMBER(L6852),ISNUMBER(M6852)),L6852-M6852,"")</f>
        <v/>
      </c>
    </row>
    <row r="6853">
      <c r="N6853">
        <f>IF(AND(ISNUMBER(L6853),ISNUMBER(M6853)),L6853-M6853,"")</f>
        <v/>
      </c>
    </row>
    <row r="6854">
      <c r="N6854">
        <f>IF(AND(ISNUMBER(L6854),ISNUMBER(M6854)),L6854-M6854,"")</f>
        <v/>
      </c>
    </row>
    <row r="6855">
      <c r="N6855">
        <f>IF(AND(ISNUMBER(L6855),ISNUMBER(M6855)),L6855-M6855,"")</f>
        <v/>
      </c>
    </row>
    <row r="6856">
      <c r="N6856">
        <f>IF(AND(ISNUMBER(L6856),ISNUMBER(M6856)),L6856-M6856,"")</f>
        <v/>
      </c>
    </row>
    <row r="6857">
      <c r="N6857">
        <f>IF(AND(ISNUMBER(L6857),ISNUMBER(M6857)),L6857-M6857,"")</f>
        <v/>
      </c>
    </row>
    <row r="6858">
      <c r="N6858">
        <f>IF(AND(ISNUMBER(L6858),ISNUMBER(M6858)),L6858-M6858,"")</f>
        <v/>
      </c>
    </row>
    <row r="6859">
      <c r="N6859">
        <f>IF(AND(ISNUMBER(L6859),ISNUMBER(M6859)),L6859-M6859,"")</f>
        <v/>
      </c>
    </row>
    <row r="6860">
      <c r="N6860">
        <f>IF(AND(ISNUMBER(L6860),ISNUMBER(M6860)),L6860-M6860,"")</f>
        <v/>
      </c>
    </row>
    <row r="6861">
      <c r="N6861">
        <f>IF(AND(ISNUMBER(L6861),ISNUMBER(M6861)),L6861-M6861,"")</f>
        <v/>
      </c>
    </row>
    <row r="6862">
      <c r="N6862">
        <f>IF(AND(ISNUMBER(L6862),ISNUMBER(M6862)),L6862-M6862,"")</f>
        <v/>
      </c>
    </row>
    <row r="6863">
      <c r="N6863">
        <f>IF(AND(ISNUMBER(L6863),ISNUMBER(M6863)),L6863-M6863,"")</f>
        <v/>
      </c>
    </row>
    <row r="6864">
      <c r="N6864">
        <f>IF(AND(ISNUMBER(L6864),ISNUMBER(M6864)),L6864-M6864,"")</f>
        <v/>
      </c>
    </row>
    <row r="6865">
      <c r="N6865">
        <f>IF(AND(ISNUMBER(L6865),ISNUMBER(M6865)),L6865-M6865,"")</f>
        <v/>
      </c>
    </row>
    <row r="6866">
      <c r="N6866">
        <f>IF(AND(ISNUMBER(L6866),ISNUMBER(M6866)),L6866-M6866,"")</f>
        <v/>
      </c>
    </row>
    <row r="6867">
      <c r="N6867">
        <f>IF(AND(ISNUMBER(L6867),ISNUMBER(M6867)),L6867-M6867,"")</f>
        <v/>
      </c>
    </row>
    <row r="6868">
      <c r="N6868">
        <f>IF(AND(ISNUMBER(L6868),ISNUMBER(M6868)),L6868-M6868,"")</f>
        <v/>
      </c>
    </row>
    <row r="6869">
      <c r="N6869">
        <f>IF(AND(ISNUMBER(L6869),ISNUMBER(M6869)),L6869-M6869,"")</f>
        <v/>
      </c>
    </row>
    <row r="6870">
      <c r="N6870">
        <f>IF(AND(ISNUMBER(L6870),ISNUMBER(M6870)),L6870-M6870,"")</f>
        <v/>
      </c>
    </row>
    <row r="6871">
      <c r="N6871">
        <f>IF(AND(ISNUMBER(L6871),ISNUMBER(M6871)),L6871-M6871,"")</f>
        <v/>
      </c>
    </row>
    <row r="6872">
      <c r="N6872">
        <f>IF(AND(ISNUMBER(L6872),ISNUMBER(M6872)),L6872-M6872,"")</f>
        <v/>
      </c>
    </row>
    <row r="6873">
      <c r="N6873">
        <f>IF(AND(ISNUMBER(L6873),ISNUMBER(M6873)),L6873-M6873,"")</f>
        <v/>
      </c>
    </row>
    <row r="6874">
      <c r="N6874">
        <f>IF(AND(ISNUMBER(L6874),ISNUMBER(M6874)),L6874-M6874,"")</f>
        <v/>
      </c>
    </row>
    <row r="6875">
      <c r="N6875">
        <f>IF(AND(ISNUMBER(L6875),ISNUMBER(M6875)),L6875-M6875,"")</f>
        <v/>
      </c>
    </row>
    <row r="6876">
      <c r="N6876">
        <f>IF(AND(ISNUMBER(L6876),ISNUMBER(M6876)),L6876-M6876,"")</f>
        <v/>
      </c>
    </row>
    <row r="6877">
      <c r="N6877">
        <f>IF(AND(ISNUMBER(L6877),ISNUMBER(M6877)),L6877-M6877,"")</f>
        <v/>
      </c>
    </row>
    <row r="6878">
      <c r="N6878">
        <f>IF(AND(ISNUMBER(L6878),ISNUMBER(M6878)),L6878-M6878,"")</f>
        <v/>
      </c>
    </row>
    <row r="6879">
      <c r="N6879">
        <f>IF(AND(ISNUMBER(L6879),ISNUMBER(M6879)),L6879-M6879,"")</f>
        <v/>
      </c>
    </row>
    <row r="6880">
      <c r="N6880">
        <f>IF(AND(ISNUMBER(L6880),ISNUMBER(M6880)),L6880-M6880,"")</f>
        <v/>
      </c>
    </row>
    <row r="6881">
      <c r="N6881">
        <f>IF(AND(ISNUMBER(L6881),ISNUMBER(M6881)),L6881-M6881,"")</f>
        <v/>
      </c>
    </row>
    <row r="6882">
      <c r="N6882">
        <f>IF(AND(ISNUMBER(L6882),ISNUMBER(M6882)),L6882-M6882,"")</f>
        <v/>
      </c>
    </row>
    <row r="6883">
      <c r="N6883">
        <f>IF(AND(ISNUMBER(L6883),ISNUMBER(M6883)),L6883-M6883,"")</f>
        <v/>
      </c>
    </row>
    <row r="6884">
      <c r="N6884">
        <f>IF(AND(ISNUMBER(L6884),ISNUMBER(M6884)),L6884-M6884,"")</f>
        <v/>
      </c>
    </row>
    <row r="6885">
      <c r="N6885">
        <f>IF(AND(ISNUMBER(L6885),ISNUMBER(M6885)),L6885-M6885,"")</f>
        <v/>
      </c>
    </row>
    <row r="6886">
      <c r="N6886">
        <f>IF(AND(ISNUMBER(L6886),ISNUMBER(M6886)),L6886-M6886,"")</f>
        <v/>
      </c>
    </row>
    <row r="6887">
      <c r="N6887">
        <f>IF(AND(ISNUMBER(L6887),ISNUMBER(M6887)),L6887-M6887,"")</f>
        <v/>
      </c>
    </row>
    <row r="6888">
      <c r="N6888">
        <f>IF(AND(ISNUMBER(L6888),ISNUMBER(M6888)),L6888-M6888,"")</f>
        <v/>
      </c>
    </row>
    <row r="6889">
      <c r="N6889">
        <f>IF(AND(ISNUMBER(L6889),ISNUMBER(M6889)),L6889-M6889,"")</f>
        <v/>
      </c>
    </row>
    <row r="6890">
      <c r="N6890">
        <f>IF(AND(ISNUMBER(L6890),ISNUMBER(M6890)),L6890-M6890,"")</f>
        <v/>
      </c>
    </row>
    <row r="6891">
      <c r="N6891">
        <f>IF(AND(ISNUMBER(L6891),ISNUMBER(M6891)),L6891-M6891,"")</f>
        <v/>
      </c>
    </row>
    <row r="6892">
      <c r="N6892">
        <f>IF(AND(ISNUMBER(L6892),ISNUMBER(M6892)),L6892-M6892,"")</f>
        <v/>
      </c>
    </row>
    <row r="6893">
      <c r="N6893">
        <f>IF(AND(ISNUMBER(L6893),ISNUMBER(M6893)),L6893-M6893,"")</f>
        <v/>
      </c>
    </row>
    <row r="6894">
      <c r="N6894">
        <f>IF(AND(ISNUMBER(L6894),ISNUMBER(M6894)),L6894-M6894,"")</f>
        <v/>
      </c>
    </row>
    <row r="6895">
      <c r="N6895">
        <f>IF(AND(ISNUMBER(L6895),ISNUMBER(M6895)),L6895-M6895,"")</f>
        <v/>
      </c>
    </row>
    <row r="6896">
      <c r="N6896">
        <f>IF(AND(ISNUMBER(L6896),ISNUMBER(M6896)),L6896-M6896,"")</f>
        <v/>
      </c>
    </row>
    <row r="6897">
      <c r="N6897">
        <f>IF(AND(ISNUMBER(L6897),ISNUMBER(M6897)),L6897-M6897,"")</f>
        <v/>
      </c>
    </row>
    <row r="6898">
      <c r="N6898">
        <f>IF(AND(ISNUMBER(L6898),ISNUMBER(M6898)),L6898-M6898,"")</f>
        <v/>
      </c>
    </row>
    <row r="6899">
      <c r="N6899">
        <f>IF(AND(ISNUMBER(L6899),ISNUMBER(M6899)),L6899-M6899,"")</f>
        <v/>
      </c>
    </row>
    <row r="6900">
      <c r="N6900">
        <f>IF(AND(ISNUMBER(L6900),ISNUMBER(M6900)),L6900-M6900,"")</f>
        <v/>
      </c>
    </row>
    <row r="6901">
      <c r="N6901">
        <f>IF(AND(ISNUMBER(L6901),ISNUMBER(M6901)),L6901-M6901,"")</f>
        <v/>
      </c>
    </row>
    <row r="6902">
      <c r="N6902">
        <f>IF(AND(ISNUMBER(L6902),ISNUMBER(M6902)),L6902-M6902,"")</f>
        <v/>
      </c>
    </row>
    <row r="6903">
      <c r="N6903">
        <f>IF(AND(ISNUMBER(L6903),ISNUMBER(M6903)),L6903-M6903,"")</f>
        <v/>
      </c>
    </row>
    <row r="6904">
      <c r="N6904">
        <f>IF(AND(ISNUMBER(L6904),ISNUMBER(M6904)),L6904-M6904,"")</f>
        <v/>
      </c>
    </row>
    <row r="6905">
      <c r="N6905">
        <f>IF(AND(ISNUMBER(L6905),ISNUMBER(M6905)),L6905-M6905,"")</f>
        <v/>
      </c>
    </row>
    <row r="6906">
      <c r="N6906">
        <f>IF(AND(ISNUMBER(L6906),ISNUMBER(M6906)),L6906-M6906,"")</f>
        <v/>
      </c>
    </row>
    <row r="6907">
      <c r="N6907">
        <f>IF(AND(ISNUMBER(L6907),ISNUMBER(M6907)),L6907-M6907,"")</f>
        <v/>
      </c>
    </row>
    <row r="6908">
      <c r="N6908">
        <f>IF(AND(ISNUMBER(L6908),ISNUMBER(M6908)),L6908-M6908,"")</f>
        <v/>
      </c>
    </row>
    <row r="6909">
      <c r="N6909">
        <f>IF(AND(ISNUMBER(L6909),ISNUMBER(M6909)),L6909-M6909,"")</f>
        <v/>
      </c>
    </row>
    <row r="6910">
      <c r="N6910">
        <f>IF(AND(ISNUMBER(L6910),ISNUMBER(M6910)),L6910-M6910,"")</f>
        <v/>
      </c>
    </row>
    <row r="6911">
      <c r="N6911">
        <f>IF(AND(ISNUMBER(L6911),ISNUMBER(M6911)),L6911-M6911,"")</f>
        <v/>
      </c>
    </row>
    <row r="6912">
      <c r="N6912">
        <f>IF(AND(ISNUMBER(L6912),ISNUMBER(M6912)),L6912-M6912,"")</f>
        <v/>
      </c>
    </row>
    <row r="6913">
      <c r="N6913">
        <f>IF(AND(ISNUMBER(L6913),ISNUMBER(M6913)),L6913-M6913,"")</f>
        <v/>
      </c>
    </row>
    <row r="6914">
      <c r="N6914">
        <f>IF(AND(ISNUMBER(L6914),ISNUMBER(M6914)),L6914-M6914,"")</f>
        <v/>
      </c>
    </row>
    <row r="6915">
      <c r="N6915">
        <f>IF(AND(ISNUMBER(L6915),ISNUMBER(M6915)),L6915-M6915,"")</f>
        <v/>
      </c>
    </row>
    <row r="6916">
      <c r="N6916">
        <f>IF(AND(ISNUMBER(L6916),ISNUMBER(M6916)),L6916-M6916,"")</f>
        <v/>
      </c>
    </row>
    <row r="6917">
      <c r="N6917">
        <f>IF(AND(ISNUMBER(L6917),ISNUMBER(M6917)),L6917-M6917,"")</f>
        <v/>
      </c>
    </row>
    <row r="6918">
      <c r="N6918">
        <f>IF(AND(ISNUMBER(L6918),ISNUMBER(M6918)),L6918-M6918,"")</f>
        <v/>
      </c>
    </row>
    <row r="6919">
      <c r="N6919">
        <f>IF(AND(ISNUMBER(L6919),ISNUMBER(M6919)),L6919-M6919,"")</f>
        <v/>
      </c>
    </row>
    <row r="6920">
      <c r="N6920">
        <f>IF(AND(ISNUMBER(L6920),ISNUMBER(M6920)),L6920-M6920,"")</f>
        <v/>
      </c>
    </row>
    <row r="6921">
      <c r="N6921">
        <f>IF(AND(ISNUMBER(L6921),ISNUMBER(M6921)),L6921-M6921,"")</f>
        <v/>
      </c>
    </row>
    <row r="6922">
      <c r="N6922">
        <f>IF(AND(ISNUMBER(L6922),ISNUMBER(M6922)),L6922-M6922,"")</f>
        <v/>
      </c>
    </row>
    <row r="6923">
      <c r="N6923">
        <f>IF(AND(ISNUMBER(L6923),ISNUMBER(M6923)),L6923-M6923,"")</f>
        <v/>
      </c>
    </row>
    <row r="6924">
      <c r="N6924">
        <f>IF(AND(ISNUMBER(L6924),ISNUMBER(M6924)),L6924-M6924,"")</f>
        <v/>
      </c>
    </row>
    <row r="6925">
      <c r="N6925">
        <f>IF(AND(ISNUMBER(L6925),ISNUMBER(M6925)),L6925-M6925,"")</f>
        <v/>
      </c>
    </row>
    <row r="6926">
      <c r="N6926">
        <f>IF(AND(ISNUMBER(L6926),ISNUMBER(M6926)),L6926-M6926,"")</f>
        <v/>
      </c>
    </row>
    <row r="6927">
      <c r="N6927">
        <f>IF(AND(ISNUMBER(L6927),ISNUMBER(M6927)),L6927-M6927,"")</f>
        <v/>
      </c>
    </row>
    <row r="6928">
      <c r="N6928">
        <f>IF(AND(ISNUMBER(L6928),ISNUMBER(M6928)),L6928-M6928,"")</f>
        <v/>
      </c>
    </row>
    <row r="6929">
      <c r="N6929">
        <f>IF(AND(ISNUMBER(L6929),ISNUMBER(M6929)),L6929-M6929,"")</f>
        <v/>
      </c>
    </row>
    <row r="6930">
      <c r="N6930">
        <f>IF(AND(ISNUMBER(L6930),ISNUMBER(M6930)),L6930-M6930,"")</f>
        <v/>
      </c>
    </row>
    <row r="6931">
      <c r="N6931">
        <f>IF(AND(ISNUMBER(L6931),ISNUMBER(M6931)),L6931-M6931,"")</f>
        <v/>
      </c>
    </row>
    <row r="6932">
      <c r="N6932">
        <f>IF(AND(ISNUMBER(L6932),ISNUMBER(M6932)),L6932-M6932,"")</f>
        <v/>
      </c>
    </row>
    <row r="6933">
      <c r="N6933">
        <f>IF(AND(ISNUMBER(L6933),ISNUMBER(M6933)),L6933-M6933,"")</f>
        <v/>
      </c>
    </row>
    <row r="6934">
      <c r="N6934">
        <f>IF(AND(ISNUMBER(L6934),ISNUMBER(M6934)),L6934-M6934,"")</f>
        <v/>
      </c>
    </row>
    <row r="6935">
      <c r="N6935">
        <f>IF(AND(ISNUMBER(L6935),ISNUMBER(M6935)),L6935-M6935,"")</f>
        <v/>
      </c>
    </row>
    <row r="6936">
      <c r="N6936">
        <f>IF(AND(ISNUMBER(L6936),ISNUMBER(M6936)),L6936-M6936,"")</f>
        <v/>
      </c>
    </row>
    <row r="6937">
      <c r="N6937">
        <f>IF(AND(ISNUMBER(L6937),ISNUMBER(M6937)),L6937-M6937,"")</f>
        <v/>
      </c>
    </row>
    <row r="6938">
      <c r="N6938">
        <f>IF(AND(ISNUMBER(L6938),ISNUMBER(M6938)),L6938-M6938,"")</f>
        <v/>
      </c>
    </row>
    <row r="6939">
      <c r="N6939">
        <f>IF(AND(ISNUMBER(L6939),ISNUMBER(M6939)),L6939-M6939,"")</f>
        <v/>
      </c>
    </row>
    <row r="6940">
      <c r="N6940">
        <f>IF(AND(ISNUMBER(L6940),ISNUMBER(M6940)),L6940-M6940,"")</f>
        <v/>
      </c>
    </row>
    <row r="6941">
      <c r="N6941">
        <f>IF(AND(ISNUMBER(L6941),ISNUMBER(M6941)),L6941-M6941,"")</f>
        <v/>
      </c>
    </row>
    <row r="6942">
      <c r="N6942">
        <f>IF(AND(ISNUMBER(L6942),ISNUMBER(M6942)),L6942-M6942,"")</f>
        <v/>
      </c>
    </row>
    <row r="6943">
      <c r="N6943">
        <f>IF(AND(ISNUMBER(L6943),ISNUMBER(M6943)),L6943-M6943,"")</f>
        <v/>
      </c>
    </row>
    <row r="6944">
      <c r="N6944">
        <f>IF(AND(ISNUMBER(L6944),ISNUMBER(M6944)),L6944-M6944,"")</f>
        <v/>
      </c>
    </row>
    <row r="6945">
      <c r="N6945">
        <f>IF(AND(ISNUMBER(L6945),ISNUMBER(M6945)),L6945-M6945,"")</f>
        <v/>
      </c>
    </row>
    <row r="6946">
      <c r="N6946">
        <f>IF(AND(ISNUMBER(L6946),ISNUMBER(M6946)),L6946-M6946,"")</f>
        <v/>
      </c>
    </row>
    <row r="6947">
      <c r="N6947">
        <f>IF(AND(ISNUMBER(L6947),ISNUMBER(M6947)),L6947-M6947,"")</f>
        <v/>
      </c>
    </row>
    <row r="6948">
      <c r="N6948">
        <f>IF(AND(ISNUMBER(L6948),ISNUMBER(M6948)),L6948-M6948,"")</f>
        <v/>
      </c>
    </row>
    <row r="6949">
      <c r="N6949">
        <f>IF(AND(ISNUMBER(L6949),ISNUMBER(M6949)),L6949-M6949,"")</f>
        <v/>
      </c>
    </row>
    <row r="6950">
      <c r="N6950">
        <f>IF(AND(ISNUMBER(L6950),ISNUMBER(M6950)),L6950-M6950,"")</f>
        <v/>
      </c>
    </row>
    <row r="6951">
      <c r="N6951">
        <f>IF(AND(ISNUMBER(L6951),ISNUMBER(M6951)),L6951-M6951,"")</f>
        <v/>
      </c>
    </row>
    <row r="6952">
      <c r="N6952">
        <f>IF(AND(ISNUMBER(L6952),ISNUMBER(M6952)),L6952-M6952,"")</f>
        <v/>
      </c>
    </row>
    <row r="6953">
      <c r="N6953">
        <f>IF(AND(ISNUMBER(L6953),ISNUMBER(M6953)),L6953-M6953,"")</f>
        <v/>
      </c>
    </row>
    <row r="6954">
      <c r="N6954">
        <f>IF(AND(ISNUMBER(L6954),ISNUMBER(M6954)),L6954-M6954,"")</f>
        <v/>
      </c>
    </row>
    <row r="6955">
      <c r="N6955">
        <f>IF(AND(ISNUMBER(L6955),ISNUMBER(M6955)),L6955-M6955,"")</f>
        <v/>
      </c>
    </row>
    <row r="6956">
      <c r="N6956">
        <f>IF(AND(ISNUMBER(L6956),ISNUMBER(M6956)),L6956-M6956,"")</f>
        <v/>
      </c>
    </row>
    <row r="6957">
      <c r="N6957">
        <f>IF(AND(ISNUMBER(L6957),ISNUMBER(M6957)),L6957-M6957,"")</f>
        <v/>
      </c>
    </row>
    <row r="6958">
      <c r="N6958">
        <f>IF(AND(ISNUMBER(L6958),ISNUMBER(M6958)),L6958-M6958,"")</f>
        <v/>
      </c>
    </row>
    <row r="6959">
      <c r="N6959">
        <f>IF(AND(ISNUMBER(L6959),ISNUMBER(M6959)),L6959-M6959,"")</f>
        <v/>
      </c>
    </row>
    <row r="6960">
      <c r="N6960">
        <f>IF(AND(ISNUMBER(L6960),ISNUMBER(M6960)),L6960-M6960,"")</f>
        <v/>
      </c>
    </row>
    <row r="6961">
      <c r="N6961">
        <f>IF(AND(ISNUMBER(L6961),ISNUMBER(M6961)),L6961-M6961,"")</f>
        <v/>
      </c>
    </row>
    <row r="6962">
      <c r="N6962">
        <f>IF(AND(ISNUMBER(L6962),ISNUMBER(M6962)),L6962-M6962,"")</f>
        <v/>
      </c>
    </row>
    <row r="6963">
      <c r="N6963">
        <f>IF(AND(ISNUMBER(L6963),ISNUMBER(M6963)),L6963-M6963,"")</f>
        <v/>
      </c>
    </row>
    <row r="6964">
      <c r="N6964">
        <f>IF(AND(ISNUMBER(L6964),ISNUMBER(M6964)),L6964-M6964,"")</f>
        <v/>
      </c>
    </row>
    <row r="6965">
      <c r="N6965">
        <f>IF(AND(ISNUMBER(L6965),ISNUMBER(M6965)),L6965-M6965,"")</f>
        <v/>
      </c>
    </row>
    <row r="6966">
      <c r="N6966">
        <f>IF(AND(ISNUMBER(L6966),ISNUMBER(M6966)),L6966-M6966,"")</f>
        <v/>
      </c>
    </row>
    <row r="6967">
      <c r="N6967">
        <f>IF(AND(ISNUMBER(L6967),ISNUMBER(M6967)),L6967-M6967,"")</f>
        <v/>
      </c>
    </row>
    <row r="6968">
      <c r="N6968">
        <f>IF(AND(ISNUMBER(L6968),ISNUMBER(M6968)),L6968-M6968,"")</f>
        <v/>
      </c>
    </row>
    <row r="6969">
      <c r="N6969">
        <f>IF(AND(ISNUMBER(L6969),ISNUMBER(M6969)),L6969-M6969,"")</f>
        <v/>
      </c>
    </row>
    <row r="6970">
      <c r="N6970">
        <f>IF(AND(ISNUMBER(L6970),ISNUMBER(M6970)),L6970-M6970,"")</f>
        <v/>
      </c>
    </row>
    <row r="6971">
      <c r="N6971">
        <f>IF(AND(ISNUMBER(L6971),ISNUMBER(M6971)),L6971-M6971,"")</f>
        <v/>
      </c>
    </row>
    <row r="6972">
      <c r="N6972">
        <f>IF(AND(ISNUMBER(L6972),ISNUMBER(M6972)),L6972-M6972,"")</f>
        <v/>
      </c>
    </row>
    <row r="6973">
      <c r="N6973">
        <f>IF(AND(ISNUMBER(L6973),ISNUMBER(M6973)),L6973-M6973,"")</f>
        <v/>
      </c>
    </row>
    <row r="6974">
      <c r="N6974">
        <f>IF(AND(ISNUMBER(L6974),ISNUMBER(M6974)),L6974-M6974,"")</f>
        <v/>
      </c>
    </row>
    <row r="6975">
      <c r="N6975">
        <f>IF(AND(ISNUMBER(L6975),ISNUMBER(M6975)),L6975-M6975,"")</f>
        <v/>
      </c>
    </row>
    <row r="6976">
      <c r="N6976">
        <f>IF(AND(ISNUMBER(L6976),ISNUMBER(M6976)),L6976-M6976,"")</f>
        <v/>
      </c>
    </row>
    <row r="6977">
      <c r="N6977">
        <f>IF(AND(ISNUMBER(L6977),ISNUMBER(M6977)),L6977-M6977,"")</f>
        <v/>
      </c>
    </row>
    <row r="6978">
      <c r="N6978">
        <f>IF(AND(ISNUMBER(L6978),ISNUMBER(M6978)),L6978-M6978,"")</f>
        <v/>
      </c>
    </row>
    <row r="6979">
      <c r="N6979">
        <f>IF(AND(ISNUMBER(L6979),ISNUMBER(M6979)),L6979-M6979,"")</f>
        <v/>
      </c>
    </row>
    <row r="6980">
      <c r="N6980">
        <f>IF(AND(ISNUMBER(L6980),ISNUMBER(M6980)),L6980-M6980,"")</f>
        <v/>
      </c>
    </row>
    <row r="6981">
      <c r="N6981">
        <f>IF(AND(ISNUMBER(L6981),ISNUMBER(M6981)),L6981-M6981,"")</f>
        <v/>
      </c>
    </row>
    <row r="6982">
      <c r="N6982">
        <f>IF(AND(ISNUMBER(L6982),ISNUMBER(M6982)),L6982-M6982,"")</f>
        <v/>
      </c>
    </row>
    <row r="6983">
      <c r="N6983">
        <f>IF(AND(ISNUMBER(L6983),ISNUMBER(M6983)),L6983-M6983,"")</f>
        <v/>
      </c>
    </row>
    <row r="6984">
      <c r="N6984">
        <f>IF(AND(ISNUMBER(L6984),ISNUMBER(M6984)),L6984-M6984,"")</f>
        <v/>
      </c>
    </row>
    <row r="6985">
      <c r="N6985">
        <f>IF(AND(ISNUMBER(L6985),ISNUMBER(M6985)),L6985-M6985,"")</f>
        <v/>
      </c>
    </row>
    <row r="6986">
      <c r="N6986">
        <f>IF(AND(ISNUMBER(L6986),ISNUMBER(M6986)),L6986-M6986,"")</f>
        <v/>
      </c>
    </row>
    <row r="6987">
      <c r="N6987">
        <f>IF(AND(ISNUMBER(L6987),ISNUMBER(M6987)),L6987-M6987,"")</f>
        <v/>
      </c>
    </row>
    <row r="6988">
      <c r="N6988">
        <f>IF(AND(ISNUMBER(L6988),ISNUMBER(M6988)),L6988-M6988,"")</f>
        <v/>
      </c>
    </row>
    <row r="6989">
      <c r="N6989">
        <f>IF(AND(ISNUMBER(L6989),ISNUMBER(M6989)),L6989-M6989,"")</f>
        <v/>
      </c>
    </row>
    <row r="6990">
      <c r="N6990">
        <f>IF(AND(ISNUMBER(L6990),ISNUMBER(M6990)),L6990-M6990,"")</f>
        <v/>
      </c>
    </row>
    <row r="6991">
      <c r="N6991">
        <f>IF(AND(ISNUMBER(L6991),ISNUMBER(M6991)),L6991-M6991,"")</f>
        <v/>
      </c>
    </row>
    <row r="6992">
      <c r="N6992">
        <f>IF(AND(ISNUMBER(L6992),ISNUMBER(M6992)),L6992-M6992,"")</f>
        <v/>
      </c>
    </row>
    <row r="6993">
      <c r="N6993">
        <f>IF(AND(ISNUMBER(L6993),ISNUMBER(M6993)),L6993-M6993,"")</f>
        <v/>
      </c>
    </row>
    <row r="6994">
      <c r="N6994">
        <f>IF(AND(ISNUMBER(L6994),ISNUMBER(M6994)),L6994-M6994,"")</f>
        <v/>
      </c>
    </row>
    <row r="6995">
      <c r="N6995">
        <f>IF(AND(ISNUMBER(L6995),ISNUMBER(M6995)),L6995-M6995,"")</f>
        <v/>
      </c>
    </row>
    <row r="6996">
      <c r="N6996">
        <f>IF(AND(ISNUMBER(L6996),ISNUMBER(M6996)),L6996-M6996,"")</f>
        <v/>
      </c>
    </row>
    <row r="6997">
      <c r="N6997">
        <f>IF(AND(ISNUMBER(L6997),ISNUMBER(M6997)),L6997-M6997,"")</f>
        <v/>
      </c>
    </row>
    <row r="6998">
      <c r="N6998">
        <f>IF(AND(ISNUMBER(L6998),ISNUMBER(M6998)),L6998-M6998,"")</f>
        <v/>
      </c>
    </row>
    <row r="6999">
      <c r="N6999">
        <f>IF(AND(ISNUMBER(L6999),ISNUMBER(M6999)),L6999-M6999,"")</f>
        <v/>
      </c>
    </row>
    <row r="7000">
      <c r="N7000">
        <f>IF(AND(ISNUMBER(L7000),ISNUMBER(M7000)),L7000-M7000,"")</f>
        <v/>
      </c>
    </row>
    <row r="7001">
      <c r="N7001">
        <f>IF(AND(ISNUMBER(L7001),ISNUMBER(M7001)),L7001-M7001,"")</f>
        <v/>
      </c>
    </row>
    <row r="7002">
      <c r="N7002">
        <f>IF(AND(ISNUMBER(L7002),ISNUMBER(M7002)),L7002-M7002,"")</f>
        <v/>
      </c>
    </row>
    <row r="7003">
      <c r="N7003">
        <f>IF(AND(ISNUMBER(L7003),ISNUMBER(M7003)),L7003-M7003,"")</f>
        <v/>
      </c>
    </row>
    <row r="7004">
      <c r="N7004">
        <f>IF(AND(ISNUMBER(L7004),ISNUMBER(M7004)),L7004-M7004,"")</f>
        <v/>
      </c>
    </row>
    <row r="7005">
      <c r="N7005">
        <f>IF(AND(ISNUMBER(L7005),ISNUMBER(M7005)),L7005-M7005,"")</f>
        <v/>
      </c>
    </row>
    <row r="7006">
      <c r="N7006">
        <f>IF(AND(ISNUMBER(L7006),ISNUMBER(M7006)),L7006-M7006,"")</f>
        <v/>
      </c>
    </row>
    <row r="7007">
      <c r="N7007">
        <f>IF(AND(ISNUMBER(L7007),ISNUMBER(M7007)),L7007-M7007,"")</f>
        <v/>
      </c>
    </row>
    <row r="7008">
      <c r="N7008">
        <f>IF(AND(ISNUMBER(L7008),ISNUMBER(M7008)),L7008-M7008,"")</f>
        <v/>
      </c>
    </row>
    <row r="7009">
      <c r="N7009">
        <f>IF(AND(ISNUMBER(L7009),ISNUMBER(M7009)),L7009-M7009,"")</f>
        <v/>
      </c>
    </row>
    <row r="7010">
      <c r="N7010">
        <f>IF(AND(ISNUMBER(L7010),ISNUMBER(M7010)),L7010-M7010,"")</f>
        <v/>
      </c>
    </row>
    <row r="7011">
      <c r="N7011">
        <f>IF(AND(ISNUMBER(L7011),ISNUMBER(M7011)),L7011-M7011,"")</f>
        <v/>
      </c>
    </row>
    <row r="7012">
      <c r="N7012">
        <f>IF(AND(ISNUMBER(L7012),ISNUMBER(M7012)),L7012-M7012,"")</f>
        <v/>
      </c>
    </row>
    <row r="7013">
      <c r="N7013">
        <f>IF(AND(ISNUMBER(L7013),ISNUMBER(M7013)),L7013-M7013,"")</f>
        <v/>
      </c>
    </row>
    <row r="7014">
      <c r="N7014">
        <f>IF(AND(ISNUMBER(L7014),ISNUMBER(M7014)),L7014-M7014,"")</f>
        <v/>
      </c>
    </row>
    <row r="7015">
      <c r="N7015">
        <f>IF(AND(ISNUMBER(L7015),ISNUMBER(M7015)),L7015-M7015,"")</f>
        <v/>
      </c>
    </row>
    <row r="7016">
      <c r="N7016">
        <f>IF(AND(ISNUMBER(L7016),ISNUMBER(M7016)),L7016-M7016,"")</f>
        <v/>
      </c>
    </row>
    <row r="7017">
      <c r="N7017">
        <f>IF(AND(ISNUMBER(L7017),ISNUMBER(M7017)),L7017-M7017,"")</f>
        <v/>
      </c>
    </row>
    <row r="7018">
      <c r="N7018">
        <f>IF(AND(ISNUMBER(L7018),ISNUMBER(M7018)),L7018-M7018,"")</f>
        <v/>
      </c>
    </row>
    <row r="7019">
      <c r="N7019">
        <f>IF(AND(ISNUMBER(L7019),ISNUMBER(M7019)),L7019-M7019,"")</f>
        <v/>
      </c>
    </row>
    <row r="7020">
      <c r="N7020">
        <f>IF(AND(ISNUMBER(L7020),ISNUMBER(M7020)),L7020-M7020,"")</f>
        <v/>
      </c>
    </row>
    <row r="7021">
      <c r="N7021">
        <f>IF(AND(ISNUMBER(L7021),ISNUMBER(M7021)),L7021-M7021,"")</f>
        <v/>
      </c>
    </row>
    <row r="7022">
      <c r="N7022">
        <f>IF(AND(ISNUMBER(L7022),ISNUMBER(M7022)),L7022-M7022,"")</f>
        <v/>
      </c>
    </row>
    <row r="7023">
      <c r="N7023">
        <f>IF(AND(ISNUMBER(L7023),ISNUMBER(M7023)),L7023-M7023,"")</f>
        <v/>
      </c>
    </row>
    <row r="7024">
      <c r="N7024">
        <f>IF(AND(ISNUMBER(L7024),ISNUMBER(M7024)),L7024-M7024,"")</f>
        <v/>
      </c>
    </row>
    <row r="7025">
      <c r="N7025">
        <f>IF(AND(ISNUMBER(L7025),ISNUMBER(M7025)),L7025-M7025,"")</f>
        <v/>
      </c>
    </row>
    <row r="7026">
      <c r="N7026">
        <f>IF(AND(ISNUMBER(L7026),ISNUMBER(M7026)),L7026-M7026,"")</f>
        <v/>
      </c>
    </row>
    <row r="7027">
      <c r="N7027">
        <f>IF(AND(ISNUMBER(L7027),ISNUMBER(M7027)),L7027-M7027,"")</f>
        <v/>
      </c>
    </row>
    <row r="7028">
      <c r="N7028">
        <f>IF(AND(ISNUMBER(L7028),ISNUMBER(M7028)),L7028-M7028,"")</f>
        <v/>
      </c>
    </row>
    <row r="7029">
      <c r="N7029">
        <f>IF(AND(ISNUMBER(L7029),ISNUMBER(M7029)),L7029-M7029,"")</f>
        <v/>
      </c>
    </row>
    <row r="7030">
      <c r="N7030">
        <f>IF(AND(ISNUMBER(L7030),ISNUMBER(M7030)),L7030-M7030,"")</f>
        <v/>
      </c>
    </row>
    <row r="7031">
      <c r="N7031">
        <f>IF(AND(ISNUMBER(L7031),ISNUMBER(M7031)),L7031-M7031,"")</f>
        <v/>
      </c>
    </row>
    <row r="7032">
      <c r="N7032">
        <f>IF(AND(ISNUMBER(L7032),ISNUMBER(M7032)),L7032-M7032,"")</f>
        <v/>
      </c>
    </row>
    <row r="7033">
      <c r="N7033">
        <f>IF(AND(ISNUMBER(L7033),ISNUMBER(M7033)),L7033-M7033,"")</f>
        <v/>
      </c>
    </row>
    <row r="7034">
      <c r="N7034">
        <f>IF(AND(ISNUMBER(L7034),ISNUMBER(M7034)),L7034-M7034,"")</f>
        <v/>
      </c>
    </row>
    <row r="7035">
      <c r="N7035">
        <f>IF(AND(ISNUMBER(L7035),ISNUMBER(M7035)),L7035-M7035,"")</f>
        <v/>
      </c>
    </row>
    <row r="7036">
      <c r="N7036">
        <f>IF(AND(ISNUMBER(L7036),ISNUMBER(M7036)),L7036-M7036,"")</f>
        <v/>
      </c>
    </row>
    <row r="7037">
      <c r="N7037">
        <f>IF(AND(ISNUMBER(L7037),ISNUMBER(M7037)),L7037-M7037,"")</f>
        <v/>
      </c>
    </row>
    <row r="7038">
      <c r="N7038">
        <f>IF(AND(ISNUMBER(L7038),ISNUMBER(M7038)),L7038-M7038,"")</f>
        <v/>
      </c>
    </row>
    <row r="7039">
      <c r="N7039">
        <f>IF(AND(ISNUMBER(L7039),ISNUMBER(M7039)),L7039-M7039,"")</f>
        <v/>
      </c>
    </row>
    <row r="7040">
      <c r="N7040">
        <f>IF(AND(ISNUMBER(L7040),ISNUMBER(M7040)),L7040-M7040,"")</f>
        <v/>
      </c>
    </row>
    <row r="7041">
      <c r="N7041">
        <f>IF(AND(ISNUMBER(L7041),ISNUMBER(M7041)),L7041-M7041,"")</f>
        <v/>
      </c>
    </row>
    <row r="7042">
      <c r="N7042">
        <f>IF(AND(ISNUMBER(L7042),ISNUMBER(M7042)),L7042-M7042,"")</f>
        <v/>
      </c>
    </row>
    <row r="7043">
      <c r="N7043">
        <f>IF(AND(ISNUMBER(L7043),ISNUMBER(M7043)),L7043-M7043,"")</f>
        <v/>
      </c>
    </row>
    <row r="7044">
      <c r="N7044">
        <f>IF(AND(ISNUMBER(L7044),ISNUMBER(M7044)),L7044-M7044,"")</f>
        <v/>
      </c>
    </row>
    <row r="7045">
      <c r="N7045">
        <f>IF(AND(ISNUMBER(L7045),ISNUMBER(M7045)),L7045-M7045,"")</f>
        <v/>
      </c>
    </row>
    <row r="7046">
      <c r="N7046">
        <f>IF(AND(ISNUMBER(L7046),ISNUMBER(M7046)),L7046-M7046,"")</f>
        <v/>
      </c>
    </row>
    <row r="7047">
      <c r="N7047">
        <f>IF(AND(ISNUMBER(L7047),ISNUMBER(M7047)),L7047-M7047,"")</f>
        <v/>
      </c>
    </row>
    <row r="7048">
      <c r="N7048">
        <f>IF(AND(ISNUMBER(L7048),ISNUMBER(M7048)),L7048-M7048,"")</f>
        <v/>
      </c>
    </row>
    <row r="7049">
      <c r="N7049">
        <f>IF(AND(ISNUMBER(L7049),ISNUMBER(M7049)),L7049-M7049,"")</f>
        <v/>
      </c>
    </row>
    <row r="7050">
      <c r="N7050">
        <f>IF(AND(ISNUMBER(L7050),ISNUMBER(M7050)),L7050-M7050,"")</f>
        <v/>
      </c>
    </row>
    <row r="7051">
      <c r="N7051">
        <f>IF(AND(ISNUMBER(L7051),ISNUMBER(M7051)),L7051-M7051,"")</f>
        <v/>
      </c>
    </row>
    <row r="7052">
      <c r="N7052">
        <f>IF(AND(ISNUMBER(L7052),ISNUMBER(M7052)),L7052-M7052,"")</f>
        <v/>
      </c>
    </row>
    <row r="7053">
      <c r="N7053">
        <f>IF(AND(ISNUMBER(L7053),ISNUMBER(M7053)),L7053-M7053,"")</f>
        <v/>
      </c>
    </row>
    <row r="7054">
      <c r="N7054">
        <f>IF(AND(ISNUMBER(L7054),ISNUMBER(M7054)),L7054-M7054,"")</f>
        <v/>
      </c>
    </row>
    <row r="7055">
      <c r="N7055">
        <f>IF(AND(ISNUMBER(L7055),ISNUMBER(M7055)),L7055-M7055,"")</f>
        <v/>
      </c>
    </row>
    <row r="7056">
      <c r="N7056">
        <f>IF(AND(ISNUMBER(L7056),ISNUMBER(M7056)),L7056-M7056,"")</f>
        <v/>
      </c>
    </row>
    <row r="7057">
      <c r="N7057">
        <f>IF(AND(ISNUMBER(L7057),ISNUMBER(M7057)),L7057-M7057,"")</f>
        <v/>
      </c>
    </row>
    <row r="7058">
      <c r="N7058">
        <f>IF(AND(ISNUMBER(L7058),ISNUMBER(M7058)),L7058-M7058,"")</f>
        <v/>
      </c>
    </row>
    <row r="7059">
      <c r="N7059">
        <f>IF(AND(ISNUMBER(L7059),ISNUMBER(M7059)),L7059-M7059,"")</f>
        <v/>
      </c>
    </row>
    <row r="7060">
      <c r="N7060">
        <f>IF(AND(ISNUMBER(L7060),ISNUMBER(M7060)),L7060-M7060,"")</f>
        <v/>
      </c>
    </row>
    <row r="7061">
      <c r="N7061">
        <f>IF(AND(ISNUMBER(L7061),ISNUMBER(M7061)),L7061-M7061,"")</f>
        <v/>
      </c>
    </row>
    <row r="7062">
      <c r="N7062">
        <f>IF(AND(ISNUMBER(L7062),ISNUMBER(M7062)),L7062-M7062,"")</f>
        <v/>
      </c>
    </row>
    <row r="7063">
      <c r="N7063">
        <f>IF(AND(ISNUMBER(L7063),ISNUMBER(M7063)),L7063-M7063,"")</f>
        <v/>
      </c>
    </row>
    <row r="7064">
      <c r="N7064">
        <f>IF(AND(ISNUMBER(L7064),ISNUMBER(M7064)),L7064-M7064,"")</f>
        <v/>
      </c>
    </row>
    <row r="7065">
      <c r="N7065">
        <f>IF(AND(ISNUMBER(L7065),ISNUMBER(M7065)),L7065-M7065,"")</f>
        <v/>
      </c>
    </row>
    <row r="7066">
      <c r="N7066">
        <f>IF(AND(ISNUMBER(L7066),ISNUMBER(M7066)),L7066-M7066,"")</f>
        <v/>
      </c>
    </row>
    <row r="7067">
      <c r="N7067">
        <f>IF(AND(ISNUMBER(L7067),ISNUMBER(M7067)),L7067-M7067,"")</f>
        <v/>
      </c>
    </row>
    <row r="7068">
      <c r="N7068">
        <f>IF(AND(ISNUMBER(L7068),ISNUMBER(M7068)),L7068-M7068,"")</f>
        <v/>
      </c>
    </row>
    <row r="7069">
      <c r="N7069">
        <f>IF(AND(ISNUMBER(L7069),ISNUMBER(M7069)),L7069-M7069,"")</f>
        <v/>
      </c>
    </row>
    <row r="7070">
      <c r="N7070">
        <f>IF(AND(ISNUMBER(L7070),ISNUMBER(M7070)),L7070-M7070,"")</f>
        <v/>
      </c>
    </row>
    <row r="7071">
      <c r="N7071">
        <f>IF(AND(ISNUMBER(L7071),ISNUMBER(M7071)),L7071-M7071,"")</f>
        <v/>
      </c>
    </row>
    <row r="7072">
      <c r="N7072">
        <f>IF(AND(ISNUMBER(L7072),ISNUMBER(M7072)),L7072-M7072,"")</f>
        <v/>
      </c>
    </row>
    <row r="7073">
      <c r="N7073">
        <f>IF(AND(ISNUMBER(L7073),ISNUMBER(M7073)),L7073-M7073,"")</f>
        <v/>
      </c>
    </row>
    <row r="7074">
      <c r="N7074">
        <f>IF(AND(ISNUMBER(L7074),ISNUMBER(M7074)),L7074-M7074,"")</f>
        <v/>
      </c>
    </row>
    <row r="7075">
      <c r="N7075">
        <f>IF(AND(ISNUMBER(L7075),ISNUMBER(M7075)),L7075-M7075,"")</f>
        <v/>
      </c>
    </row>
    <row r="7076">
      <c r="N7076">
        <f>IF(AND(ISNUMBER(L7076),ISNUMBER(M7076)),L7076-M7076,"")</f>
        <v/>
      </c>
    </row>
    <row r="7077">
      <c r="N7077">
        <f>IF(AND(ISNUMBER(L7077),ISNUMBER(M7077)),L7077-M7077,"")</f>
        <v/>
      </c>
    </row>
    <row r="7078">
      <c r="N7078">
        <f>IF(AND(ISNUMBER(L7078),ISNUMBER(M7078)),L7078-M7078,"")</f>
        <v/>
      </c>
    </row>
    <row r="7079">
      <c r="N7079">
        <f>IF(AND(ISNUMBER(L7079),ISNUMBER(M7079)),L7079-M7079,"")</f>
        <v/>
      </c>
    </row>
    <row r="7080">
      <c r="N7080">
        <f>IF(AND(ISNUMBER(L7080),ISNUMBER(M7080)),L7080-M7080,"")</f>
        <v/>
      </c>
    </row>
    <row r="7081">
      <c r="N7081">
        <f>IF(AND(ISNUMBER(L7081),ISNUMBER(M7081)),L7081-M7081,"")</f>
        <v/>
      </c>
    </row>
    <row r="7082">
      <c r="N7082">
        <f>IF(AND(ISNUMBER(L7082),ISNUMBER(M7082)),L7082-M7082,"")</f>
        <v/>
      </c>
    </row>
    <row r="7083">
      <c r="N7083">
        <f>IF(AND(ISNUMBER(L7083),ISNUMBER(M7083)),L7083-M7083,"")</f>
        <v/>
      </c>
    </row>
    <row r="7084">
      <c r="N7084">
        <f>IF(AND(ISNUMBER(L7084),ISNUMBER(M7084)),L7084-M7084,"")</f>
        <v/>
      </c>
    </row>
    <row r="7085">
      <c r="N7085">
        <f>IF(AND(ISNUMBER(L7085),ISNUMBER(M7085)),L7085-M7085,"")</f>
        <v/>
      </c>
    </row>
    <row r="7086">
      <c r="N7086">
        <f>IF(AND(ISNUMBER(L7086),ISNUMBER(M7086)),L7086-M7086,"")</f>
        <v/>
      </c>
    </row>
    <row r="7087">
      <c r="N7087">
        <f>IF(AND(ISNUMBER(L7087),ISNUMBER(M7087)),L7087-M7087,"")</f>
        <v/>
      </c>
    </row>
    <row r="7088">
      <c r="N7088">
        <f>IF(AND(ISNUMBER(L7088),ISNUMBER(M7088)),L7088-M7088,"")</f>
        <v/>
      </c>
    </row>
    <row r="7089">
      <c r="N7089">
        <f>IF(AND(ISNUMBER(L7089),ISNUMBER(M7089)),L7089-M7089,"")</f>
        <v/>
      </c>
    </row>
    <row r="7090">
      <c r="N7090">
        <f>IF(AND(ISNUMBER(L7090),ISNUMBER(M7090)),L7090-M7090,"")</f>
        <v/>
      </c>
    </row>
    <row r="7091">
      <c r="N7091">
        <f>IF(AND(ISNUMBER(L7091),ISNUMBER(M7091)),L7091-M7091,"")</f>
        <v/>
      </c>
    </row>
    <row r="7092">
      <c r="N7092">
        <f>IF(AND(ISNUMBER(L7092),ISNUMBER(M7092)),L7092-M7092,"")</f>
        <v/>
      </c>
    </row>
    <row r="7093">
      <c r="N7093">
        <f>IF(AND(ISNUMBER(L7093),ISNUMBER(M7093)),L7093-M7093,"")</f>
        <v/>
      </c>
    </row>
    <row r="7094">
      <c r="N7094">
        <f>IF(AND(ISNUMBER(L7094),ISNUMBER(M7094)),L7094-M7094,"")</f>
        <v/>
      </c>
    </row>
    <row r="7095">
      <c r="N7095">
        <f>IF(AND(ISNUMBER(L7095),ISNUMBER(M7095)),L7095-M7095,"")</f>
        <v/>
      </c>
    </row>
    <row r="7096">
      <c r="N7096">
        <f>IF(AND(ISNUMBER(L7096),ISNUMBER(M7096)),L7096-M7096,"")</f>
        <v/>
      </c>
    </row>
    <row r="7097">
      <c r="N7097">
        <f>IF(AND(ISNUMBER(L7097),ISNUMBER(M7097)),L7097-M7097,"")</f>
        <v/>
      </c>
    </row>
    <row r="7098">
      <c r="N7098">
        <f>IF(AND(ISNUMBER(L7098),ISNUMBER(M7098)),L7098-M7098,"")</f>
        <v/>
      </c>
    </row>
    <row r="7099">
      <c r="N7099">
        <f>IF(AND(ISNUMBER(L7099),ISNUMBER(M7099)),L7099-M7099,"")</f>
        <v/>
      </c>
    </row>
    <row r="7100">
      <c r="N7100">
        <f>IF(AND(ISNUMBER(L7100),ISNUMBER(M7100)),L7100-M7100,"")</f>
        <v/>
      </c>
    </row>
    <row r="7101">
      <c r="N7101">
        <f>IF(AND(ISNUMBER(L7101),ISNUMBER(M7101)),L7101-M7101,"")</f>
        <v/>
      </c>
    </row>
    <row r="7102">
      <c r="N7102">
        <f>IF(AND(ISNUMBER(L7102),ISNUMBER(M7102)),L7102-M7102,"")</f>
        <v/>
      </c>
    </row>
    <row r="7103">
      <c r="N7103">
        <f>IF(AND(ISNUMBER(L7103),ISNUMBER(M7103)),L7103-M7103,"")</f>
        <v/>
      </c>
    </row>
    <row r="7104">
      <c r="N7104">
        <f>IF(AND(ISNUMBER(L7104),ISNUMBER(M7104)),L7104-M7104,"")</f>
        <v/>
      </c>
    </row>
    <row r="7105">
      <c r="N7105">
        <f>IF(AND(ISNUMBER(L7105),ISNUMBER(M7105)),L7105-M7105,"")</f>
        <v/>
      </c>
    </row>
    <row r="7106">
      <c r="N7106">
        <f>IF(AND(ISNUMBER(L7106),ISNUMBER(M7106)),L7106-M7106,"")</f>
        <v/>
      </c>
    </row>
    <row r="7107">
      <c r="N7107">
        <f>IF(AND(ISNUMBER(L7107),ISNUMBER(M7107)),L7107-M7107,"")</f>
        <v/>
      </c>
    </row>
    <row r="7108">
      <c r="N7108">
        <f>IF(AND(ISNUMBER(L7108),ISNUMBER(M7108)),L7108-M7108,"")</f>
        <v/>
      </c>
    </row>
    <row r="7109">
      <c r="N7109">
        <f>IF(AND(ISNUMBER(L7109),ISNUMBER(M7109)),L7109-M7109,"")</f>
        <v/>
      </c>
    </row>
    <row r="7110">
      <c r="N7110">
        <f>IF(AND(ISNUMBER(L7110),ISNUMBER(M7110)),L7110-M7110,"")</f>
        <v/>
      </c>
    </row>
    <row r="7111">
      <c r="N7111">
        <f>IF(AND(ISNUMBER(L7111),ISNUMBER(M7111)),L7111-M7111,"")</f>
        <v/>
      </c>
    </row>
    <row r="7112">
      <c r="N7112">
        <f>IF(AND(ISNUMBER(L7112),ISNUMBER(M7112)),L7112-M7112,"")</f>
        <v/>
      </c>
    </row>
    <row r="7113">
      <c r="N7113">
        <f>IF(AND(ISNUMBER(L7113),ISNUMBER(M7113)),L7113-M7113,"")</f>
        <v/>
      </c>
    </row>
    <row r="7114">
      <c r="N7114">
        <f>IF(AND(ISNUMBER(L7114),ISNUMBER(M7114)),L7114-M7114,"")</f>
        <v/>
      </c>
    </row>
    <row r="7115">
      <c r="N7115">
        <f>IF(AND(ISNUMBER(L7115),ISNUMBER(M7115)),L7115-M7115,"")</f>
        <v/>
      </c>
    </row>
    <row r="7116">
      <c r="N7116">
        <f>IF(AND(ISNUMBER(L7116),ISNUMBER(M7116)),L7116-M7116,"")</f>
        <v/>
      </c>
    </row>
    <row r="7117">
      <c r="N7117">
        <f>IF(AND(ISNUMBER(L7117),ISNUMBER(M7117)),L7117-M7117,"")</f>
        <v/>
      </c>
    </row>
    <row r="7118">
      <c r="N7118">
        <f>IF(AND(ISNUMBER(L7118),ISNUMBER(M7118)),L7118-M7118,"")</f>
        <v/>
      </c>
    </row>
    <row r="7119">
      <c r="N7119">
        <f>IF(AND(ISNUMBER(L7119),ISNUMBER(M7119)),L7119-M7119,"")</f>
        <v/>
      </c>
    </row>
    <row r="7120">
      <c r="N7120">
        <f>IF(AND(ISNUMBER(L7120),ISNUMBER(M7120)),L7120-M7120,"")</f>
        <v/>
      </c>
    </row>
    <row r="7121">
      <c r="N7121">
        <f>IF(AND(ISNUMBER(L7121),ISNUMBER(M7121)),L7121-M7121,"")</f>
        <v/>
      </c>
    </row>
    <row r="7122">
      <c r="N7122">
        <f>IF(AND(ISNUMBER(L7122),ISNUMBER(M7122)),L7122-M7122,"")</f>
        <v/>
      </c>
    </row>
    <row r="7123">
      <c r="N7123">
        <f>IF(AND(ISNUMBER(L7123),ISNUMBER(M7123)),L7123-M7123,"")</f>
        <v/>
      </c>
    </row>
    <row r="7124">
      <c r="N7124">
        <f>IF(AND(ISNUMBER(L7124),ISNUMBER(M7124)),L7124-M7124,"")</f>
        <v/>
      </c>
    </row>
    <row r="7125">
      <c r="N7125">
        <f>IF(AND(ISNUMBER(L7125),ISNUMBER(M7125)),L7125-M7125,"")</f>
        <v/>
      </c>
    </row>
    <row r="7126">
      <c r="N7126">
        <f>IF(AND(ISNUMBER(L7126),ISNUMBER(M7126)),L7126-M7126,"")</f>
        <v/>
      </c>
    </row>
    <row r="7127">
      <c r="N7127">
        <f>IF(AND(ISNUMBER(L7127),ISNUMBER(M7127)),L7127-M7127,"")</f>
        <v/>
      </c>
    </row>
    <row r="7128">
      <c r="N7128">
        <f>IF(AND(ISNUMBER(L7128),ISNUMBER(M7128)),L7128-M7128,"")</f>
        <v/>
      </c>
    </row>
    <row r="7129">
      <c r="N7129">
        <f>IF(AND(ISNUMBER(L7129),ISNUMBER(M7129)),L7129-M7129,"")</f>
        <v/>
      </c>
    </row>
    <row r="7130">
      <c r="N7130">
        <f>IF(AND(ISNUMBER(L7130),ISNUMBER(M7130)),L7130-M7130,"")</f>
        <v/>
      </c>
    </row>
    <row r="7131">
      <c r="N7131">
        <f>IF(AND(ISNUMBER(L7131),ISNUMBER(M7131)),L7131-M7131,"")</f>
        <v/>
      </c>
    </row>
    <row r="7132">
      <c r="N7132">
        <f>IF(AND(ISNUMBER(L7132),ISNUMBER(M7132)),L7132-M7132,"")</f>
        <v/>
      </c>
    </row>
    <row r="7133">
      <c r="N7133">
        <f>IF(AND(ISNUMBER(L7133),ISNUMBER(M7133)),L7133-M7133,"")</f>
        <v/>
      </c>
    </row>
    <row r="7134">
      <c r="N7134">
        <f>IF(AND(ISNUMBER(L7134),ISNUMBER(M7134)),L7134-M7134,"")</f>
        <v/>
      </c>
    </row>
    <row r="7135">
      <c r="N7135">
        <f>IF(AND(ISNUMBER(L7135),ISNUMBER(M7135)),L7135-M7135,"")</f>
        <v/>
      </c>
    </row>
    <row r="7136">
      <c r="N7136">
        <f>IF(AND(ISNUMBER(L7136),ISNUMBER(M7136)),L7136-M7136,"")</f>
        <v/>
      </c>
    </row>
    <row r="7137">
      <c r="N7137">
        <f>IF(AND(ISNUMBER(L7137),ISNUMBER(M7137)),L7137-M7137,"")</f>
        <v/>
      </c>
    </row>
    <row r="7138">
      <c r="N7138">
        <f>IF(AND(ISNUMBER(L7138),ISNUMBER(M7138)),L7138-M7138,"")</f>
        <v/>
      </c>
    </row>
    <row r="7139">
      <c r="N7139">
        <f>IF(AND(ISNUMBER(L7139),ISNUMBER(M7139)),L7139-M7139,"")</f>
        <v/>
      </c>
    </row>
    <row r="7140">
      <c r="N7140">
        <f>IF(AND(ISNUMBER(L7140),ISNUMBER(M7140)),L7140-M7140,"")</f>
        <v/>
      </c>
    </row>
    <row r="7141">
      <c r="N7141">
        <f>IF(AND(ISNUMBER(L7141),ISNUMBER(M7141)),L7141-M7141,"")</f>
        <v/>
      </c>
    </row>
    <row r="7142">
      <c r="N7142">
        <f>IF(AND(ISNUMBER(L7142),ISNUMBER(M7142)),L7142-M7142,"")</f>
        <v/>
      </c>
    </row>
    <row r="7143">
      <c r="N7143">
        <f>IF(AND(ISNUMBER(L7143),ISNUMBER(M7143)),L7143-M7143,"")</f>
        <v/>
      </c>
    </row>
    <row r="7144">
      <c r="N7144">
        <f>IF(AND(ISNUMBER(L7144),ISNUMBER(M7144)),L7144-M7144,"")</f>
        <v/>
      </c>
    </row>
    <row r="7145">
      <c r="N7145">
        <f>IF(AND(ISNUMBER(L7145),ISNUMBER(M7145)),L7145-M7145,"")</f>
        <v/>
      </c>
    </row>
    <row r="7146">
      <c r="N7146">
        <f>IF(AND(ISNUMBER(L7146),ISNUMBER(M7146)),L7146-M7146,"")</f>
        <v/>
      </c>
    </row>
    <row r="7147">
      <c r="N7147">
        <f>IF(AND(ISNUMBER(L7147),ISNUMBER(M7147)),L7147-M7147,"")</f>
        <v/>
      </c>
    </row>
    <row r="7148">
      <c r="N7148">
        <f>IF(AND(ISNUMBER(L7148),ISNUMBER(M7148)),L7148-M7148,"")</f>
        <v/>
      </c>
    </row>
    <row r="7149">
      <c r="N7149">
        <f>IF(AND(ISNUMBER(L7149),ISNUMBER(M7149)),L7149-M7149,"")</f>
        <v/>
      </c>
    </row>
    <row r="7150">
      <c r="N7150">
        <f>IF(AND(ISNUMBER(L7150),ISNUMBER(M7150)),L7150-M7150,"")</f>
        <v/>
      </c>
    </row>
    <row r="7151">
      <c r="N7151">
        <f>IF(AND(ISNUMBER(L7151),ISNUMBER(M7151)),L7151-M7151,"")</f>
        <v/>
      </c>
    </row>
    <row r="7152">
      <c r="N7152">
        <f>IF(AND(ISNUMBER(L7152),ISNUMBER(M7152)),L7152-M7152,"")</f>
        <v/>
      </c>
    </row>
    <row r="7153">
      <c r="N7153">
        <f>IF(AND(ISNUMBER(L7153),ISNUMBER(M7153)),L7153-M7153,"")</f>
        <v/>
      </c>
    </row>
    <row r="7154">
      <c r="N7154">
        <f>IF(AND(ISNUMBER(L7154),ISNUMBER(M7154)),L7154-M7154,"")</f>
        <v/>
      </c>
    </row>
    <row r="7155">
      <c r="N7155">
        <f>IF(AND(ISNUMBER(L7155),ISNUMBER(M7155)),L7155-M7155,"")</f>
        <v/>
      </c>
    </row>
    <row r="7156">
      <c r="N7156">
        <f>IF(AND(ISNUMBER(L7156),ISNUMBER(M7156)),L7156-M7156,"")</f>
        <v/>
      </c>
    </row>
    <row r="7157">
      <c r="N7157">
        <f>IF(AND(ISNUMBER(L7157),ISNUMBER(M7157)),L7157-M7157,"")</f>
        <v/>
      </c>
    </row>
    <row r="7158">
      <c r="N7158">
        <f>IF(AND(ISNUMBER(L7158),ISNUMBER(M7158)),L7158-M7158,"")</f>
        <v/>
      </c>
    </row>
    <row r="7159">
      <c r="N7159">
        <f>IF(AND(ISNUMBER(L7159),ISNUMBER(M7159)),L7159-M7159,"")</f>
        <v/>
      </c>
    </row>
    <row r="7160">
      <c r="N7160">
        <f>IF(AND(ISNUMBER(L7160),ISNUMBER(M7160)),L7160-M7160,"")</f>
        <v/>
      </c>
    </row>
    <row r="7161">
      <c r="N7161">
        <f>IF(AND(ISNUMBER(L7161),ISNUMBER(M7161)),L7161-M7161,"")</f>
        <v/>
      </c>
    </row>
    <row r="7162">
      <c r="N7162">
        <f>IF(AND(ISNUMBER(L7162),ISNUMBER(M7162)),L7162-M7162,"")</f>
        <v/>
      </c>
    </row>
    <row r="7163">
      <c r="N7163">
        <f>IF(AND(ISNUMBER(L7163),ISNUMBER(M7163)),L7163-M7163,"")</f>
        <v/>
      </c>
    </row>
    <row r="7164">
      <c r="N7164">
        <f>IF(AND(ISNUMBER(L7164),ISNUMBER(M7164)),L7164-M7164,"")</f>
        <v/>
      </c>
    </row>
    <row r="7165">
      <c r="N7165">
        <f>IF(AND(ISNUMBER(L7165),ISNUMBER(M7165)),L7165-M7165,"")</f>
        <v/>
      </c>
    </row>
    <row r="7166">
      <c r="N7166">
        <f>IF(AND(ISNUMBER(L7166),ISNUMBER(M7166)),L7166-M7166,"")</f>
        <v/>
      </c>
    </row>
    <row r="7167">
      <c r="N7167">
        <f>IF(AND(ISNUMBER(L7167),ISNUMBER(M7167)),L7167-M7167,"")</f>
        <v/>
      </c>
    </row>
    <row r="7168">
      <c r="N7168">
        <f>IF(AND(ISNUMBER(L7168),ISNUMBER(M7168)),L7168-M7168,"")</f>
        <v/>
      </c>
    </row>
    <row r="7169">
      <c r="N7169">
        <f>IF(AND(ISNUMBER(L7169),ISNUMBER(M7169)),L7169-M7169,"")</f>
        <v/>
      </c>
    </row>
    <row r="7170">
      <c r="N7170">
        <f>IF(AND(ISNUMBER(L7170),ISNUMBER(M7170)),L7170-M7170,"")</f>
        <v/>
      </c>
    </row>
    <row r="7171">
      <c r="N7171">
        <f>IF(AND(ISNUMBER(L7171),ISNUMBER(M7171)),L7171-M7171,"")</f>
        <v/>
      </c>
    </row>
    <row r="7172">
      <c r="N7172">
        <f>IF(AND(ISNUMBER(L7172),ISNUMBER(M7172)),L7172-M7172,"")</f>
        <v/>
      </c>
    </row>
    <row r="7173">
      <c r="N7173">
        <f>IF(AND(ISNUMBER(L7173),ISNUMBER(M7173)),L7173-M7173,"")</f>
        <v/>
      </c>
    </row>
    <row r="7174">
      <c r="N7174">
        <f>IF(AND(ISNUMBER(L7174),ISNUMBER(M7174)),L7174-M7174,"")</f>
        <v/>
      </c>
    </row>
    <row r="7175">
      <c r="N7175">
        <f>IF(AND(ISNUMBER(L7175),ISNUMBER(M7175)),L7175-M7175,"")</f>
        <v/>
      </c>
    </row>
    <row r="7176">
      <c r="N7176">
        <f>IF(AND(ISNUMBER(L7176),ISNUMBER(M7176)),L7176-M7176,"")</f>
        <v/>
      </c>
    </row>
    <row r="7177">
      <c r="N7177">
        <f>IF(AND(ISNUMBER(L7177),ISNUMBER(M7177)),L7177-M7177,"")</f>
        <v/>
      </c>
    </row>
    <row r="7178">
      <c r="N7178">
        <f>IF(AND(ISNUMBER(L7178),ISNUMBER(M7178)),L7178-M7178,"")</f>
        <v/>
      </c>
    </row>
    <row r="7179">
      <c r="N7179">
        <f>IF(AND(ISNUMBER(L7179),ISNUMBER(M7179)),L7179-M7179,"")</f>
        <v/>
      </c>
    </row>
    <row r="7180">
      <c r="N7180">
        <f>IF(AND(ISNUMBER(L7180),ISNUMBER(M7180)),L7180-M7180,"")</f>
        <v/>
      </c>
    </row>
    <row r="7181">
      <c r="N7181">
        <f>IF(AND(ISNUMBER(L7181),ISNUMBER(M7181)),L7181-M7181,"")</f>
        <v/>
      </c>
    </row>
    <row r="7182">
      <c r="N7182">
        <f>IF(AND(ISNUMBER(L7182),ISNUMBER(M7182)),L7182-M7182,"")</f>
        <v/>
      </c>
    </row>
    <row r="7183">
      <c r="N7183">
        <f>IF(AND(ISNUMBER(L7183),ISNUMBER(M7183)),L7183-M7183,"")</f>
        <v/>
      </c>
    </row>
    <row r="7184">
      <c r="N7184">
        <f>IF(AND(ISNUMBER(L7184),ISNUMBER(M7184)),L7184-M7184,"")</f>
        <v/>
      </c>
    </row>
    <row r="7185">
      <c r="N7185">
        <f>IF(AND(ISNUMBER(L7185),ISNUMBER(M7185)),L7185-M7185,"")</f>
        <v/>
      </c>
    </row>
    <row r="7186">
      <c r="N7186">
        <f>IF(AND(ISNUMBER(L7186),ISNUMBER(M7186)),L7186-M7186,"")</f>
        <v/>
      </c>
    </row>
    <row r="7187">
      <c r="N7187">
        <f>IF(AND(ISNUMBER(L7187),ISNUMBER(M7187)),L7187-M7187,"")</f>
        <v/>
      </c>
    </row>
    <row r="7188">
      <c r="N7188">
        <f>IF(AND(ISNUMBER(L7188),ISNUMBER(M7188)),L7188-M7188,"")</f>
        <v/>
      </c>
    </row>
    <row r="7189">
      <c r="N7189">
        <f>IF(AND(ISNUMBER(L7189),ISNUMBER(M7189)),L7189-M7189,"")</f>
        <v/>
      </c>
    </row>
    <row r="7190">
      <c r="N7190">
        <f>IF(AND(ISNUMBER(L7190),ISNUMBER(M7190)),L7190-M7190,"")</f>
        <v/>
      </c>
    </row>
    <row r="7191">
      <c r="N7191">
        <f>IF(AND(ISNUMBER(L7191),ISNUMBER(M7191)),L7191-M7191,"")</f>
        <v/>
      </c>
    </row>
    <row r="7192">
      <c r="N7192">
        <f>IF(AND(ISNUMBER(L7192),ISNUMBER(M7192)),L7192-M7192,"")</f>
        <v/>
      </c>
    </row>
    <row r="7193">
      <c r="N7193">
        <f>IF(AND(ISNUMBER(L7193),ISNUMBER(M7193)),L7193-M7193,"")</f>
        <v/>
      </c>
    </row>
    <row r="7194">
      <c r="N7194">
        <f>IF(AND(ISNUMBER(L7194),ISNUMBER(M7194)),L7194-M7194,"")</f>
        <v/>
      </c>
    </row>
    <row r="7195">
      <c r="N7195">
        <f>IF(AND(ISNUMBER(L7195),ISNUMBER(M7195)),L7195-M7195,"")</f>
        <v/>
      </c>
    </row>
    <row r="7196">
      <c r="N7196">
        <f>IF(AND(ISNUMBER(L7196),ISNUMBER(M7196)),L7196-M7196,"")</f>
        <v/>
      </c>
    </row>
    <row r="7197">
      <c r="N7197">
        <f>IF(AND(ISNUMBER(L7197),ISNUMBER(M7197)),L7197-M7197,"")</f>
        <v/>
      </c>
    </row>
    <row r="7198">
      <c r="N7198">
        <f>IF(AND(ISNUMBER(L7198),ISNUMBER(M7198)),L7198-M7198,"")</f>
        <v/>
      </c>
    </row>
    <row r="7199">
      <c r="N7199">
        <f>IF(AND(ISNUMBER(L7199),ISNUMBER(M7199)),L7199-M7199,"")</f>
        <v/>
      </c>
    </row>
    <row r="7200">
      <c r="N7200">
        <f>IF(AND(ISNUMBER(L7200),ISNUMBER(M7200)),L7200-M7200,"")</f>
        <v/>
      </c>
    </row>
    <row r="7201">
      <c r="N7201">
        <f>IF(AND(ISNUMBER(L7201),ISNUMBER(M7201)),L7201-M7201,"")</f>
        <v/>
      </c>
    </row>
    <row r="7202">
      <c r="N7202">
        <f>IF(AND(ISNUMBER(L7202),ISNUMBER(M7202)),L7202-M7202,"")</f>
        <v/>
      </c>
    </row>
    <row r="7203">
      <c r="N7203">
        <f>IF(AND(ISNUMBER(L7203),ISNUMBER(M7203)),L7203-M7203,"")</f>
        <v/>
      </c>
    </row>
    <row r="7204">
      <c r="N7204">
        <f>IF(AND(ISNUMBER(L7204),ISNUMBER(M7204)),L7204-M7204,"")</f>
        <v/>
      </c>
    </row>
    <row r="7205">
      <c r="N7205">
        <f>IF(AND(ISNUMBER(L7205),ISNUMBER(M7205)),L7205-M7205,"")</f>
        <v/>
      </c>
    </row>
    <row r="7206">
      <c r="N7206">
        <f>IF(AND(ISNUMBER(L7206),ISNUMBER(M7206)),L7206-M7206,"")</f>
        <v/>
      </c>
    </row>
    <row r="7207">
      <c r="N7207">
        <f>IF(AND(ISNUMBER(L7207),ISNUMBER(M7207)),L7207-M7207,"")</f>
        <v/>
      </c>
    </row>
    <row r="7208">
      <c r="N7208">
        <f>IF(AND(ISNUMBER(L7208),ISNUMBER(M7208)),L7208-M7208,"")</f>
        <v/>
      </c>
    </row>
    <row r="7209">
      <c r="N7209">
        <f>IF(AND(ISNUMBER(L7209),ISNUMBER(M7209)),L7209-M7209,"")</f>
        <v/>
      </c>
    </row>
    <row r="7210">
      <c r="N7210">
        <f>IF(AND(ISNUMBER(L7210),ISNUMBER(M7210)),L7210-M7210,"")</f>
        <v/>
      </c>
    </row>
    <row r="7211">
      <c r="N7211">
        <f>IF(AND(ISNUMBER(L7211),ISNUMBER(M7211)),L7211-M7211,"")</f>
        <v/>
      </c>
    </row>
    <row r="7212">
      <c r="N7212">
        <f>IF(AND(ISNUMBER(L7212),ISNUMBER(M7212)),L7212-M7212,"")</f>
        <v/>
      </c>
    </row>
    <row r="7213">
      <c r="N7213">
        <f>IF(AND(ISNUMBER(L7213),ISNUMBER(M7213)),L7213-M7213,"")</f>
        <v/>
      </c>
    </row>
    <row r="7214">
      <c r="N7214">
        <f>IF(AND(ISNUMBER(L7214),ISNUMBER(M7214)),L7214-M7214,"")</f>
        <v/>
      </c>
    </row>
    <row r="7215">
      <c r="N7215">
        <f>IF(AND(ISNUMBER(L7215),ISNUMBER(M7215)),L7215-M7215,"")</f>
        <v/>
      </c>
    </row>
    <row r="7216">
      <c r="N7216">
        <f>IF(AND(ISNUMBER(L7216),ISNUMBER(M7216)),L7216-M7216,"")</f>
        <v/>
      </c>
    </row>
    <row r="7217">
      <c r="N7217">
        <f>IF(AND(ISNUMBER(L7217),ISNUMBER(M7217)),L7217-M7217,"")</f>
        <v/>
      </c>
    </row>
    <row r="7218">
      <c r="N7218">
        <f>IF(AND(ISNUMBER(L7218),ISNUMBER(M7218)),L7218-M7218,"")</f>
        <v/>
      </c>
    </row>
    <row r="7219">
      <c r="N7219">
        <f>IF(AND(ISNUMBER(L7219),ISNUMBER(M7219)),L7219-M7219,"")</f>
        <v/>
      </c>
    </row>
    <row r="7220">
      <c r="N7220">
        <f>IF(AND(ISNUMBER(L7220),ISNUMBER(M7220)),L7220-M7220,"")</f>
        <v/>
      </c>
    </row>
    <row r="7221">
      <c r="N7221">
        <f>IF(AND(ISNUMBER(L7221),ISNUMBER(M7221)),L7221-M7221,"")</f>
        <v/>
      </c>
    </row>
    <row r="7222">
      <c r="N7222">
        <f>IF(AND(ISNUMBER(L7222),ISNUMBER(M7222)),L7222-M7222,"")</f>
        <v/>
      </c>
    </row>
    <row r="7223">
      <c r="N7223">
        <f>IF(AND(ISNUMBER(L7223),ISNUMBER(M7223)),L7223-M7223,"")</f>
        <v/>
      </c>
    </row>
    <row r="7224">
      <c r="N7224">
        <f>IF(AND(ISNUMBER(L7224),ISNUMBER(M7224)),L7224-M7224,"")</f>
        <v/>
      </c>
    </row>
    <row r="7225">
      <c r="N7225">
        <f>IF(AND(ISNUMBER(L7225),ISNUMBER(M7225)),L7225-M7225,"")</f>
        <v/>
      </c>
    </row>
    <row r="7226">
      <c r="N7226">
        <f>IF(AND(ISNUMBER(L7226),ISNUMBER(M7226)),L7226-M7226,"")</f>
        <v/>
      </c>
    </row>
    <row r="7227">
      <c r="N7227">
        <f>IF(AND(ISNUMBER(L7227),ISNUMBER(M7227)),L7227-M7227,"")</f>
        <v/>
      </c>
    </row>
    <row r="7228">
      <c r="N7228">
        <f>IF(AND(ISNUMBER(L7228),ISNUMBER(M7228)),L7228-M7228,"")</f>
        <v/>
      </c>
    </row>
    <row r="7229">
      <c r="N7229">
        <f>IF(AND(ISNUMBER(L7229),ISNUMBER(M7229)),L7229-M7229,"")</f>
        <v/>
      </c>
    </row>
    <row r="7230">
      <c r="N7230">
        <f>IF(AND(ISNUMBER(L7230),ISNUMBER(M7230)),L7230-M7230,"")</f>
        <v/>
      </c>
    </row>
    <row r="7231">
      <c r="N7231">
        <f>IF(AND(ISNUMBER(L7231),ISNUMBER(M7231)),L7231-M7231,"")</f>
        <v/>
      </c>
    </row>
    <row r="7232">
      <c r="N7232">
        <f>IF(AND(ISNUMBER(L7232),ISNUMBER(M7232)),L7232-M7232,"")</f>
        <v/>
      </c>
    </row>
    <row r="7233">
      <c r="N7233">
        <f>IF(AND(ISNUMBER(L7233),ISNUMBER(M7233)),L7233-M7233,"")</f>
        <v/>
      </c>
    </row>
    <row r="7234">
      <c r="N7234">
        <f>IF(AND(ISNUMBER(L7234),ISNUMBER(M7234)),L7234-M7234,"")</f>
        <v/>
      </c>
    </row>
    <row r="7235">
      <c r="N7235">
        <f>IF(AND(ISNUMBER(L7235),ISNUMBER(M7235)),L7235-M7235,"")</f>
        <v/>
      </c>
    </row>
    <row r="7236">
      <c r="N7236">
        <f>IF(AND(ISNUMBER(L7236),ISNUMBER(M7236)),L7236-M7236,"")</f>
        <v/>
      </c>
    </row>
    <row r="7237">
      <c r="N7237">
        <f>IF(AND(ISNUMBER(L7237),ISNUMBER(M7237)),L7237-M7237,"")</f>
        <v/>
      </c>
    </row>
    <row r="7238">
      <c r="N7238">
        <f>IF(AND(ISNUMBER(L7238),ISNUMBER(M7238)),L7238-M7238,"")</f>
        <v/>
      </c>
    </row>
    <row r="7239">
      <c r="N7239">
        <f>IF(AND(ISNUMBER(L7239),ISNUMBER(M7239)),L7239-M7239,"")</f>
        <v/>
      </c>
    </row>
    <row r="7240">
      <c r="N7240">
        <f>IF(AND(ISNUMBER(L7240),ISNUMBER(M7240)),L7240-M7240,"")</f>
        <v/>
      </c>
    </row>
    <row r="7241">
      <c r="N7241">
        <f>IF(AND(ISNUMBER(L7241),ISNUMBER(M7241)),L7241-M7241,"")</f>
        <v/>
      </c>
    </row>
    <row r="7242">
      <c r="N7242">
        <f>IF(AND(ISNUMBER(L7242),ISNUMBER(M7242)),L7242-M7242,"")</f>
        <v/>
      </c>
    </row>
    <row r="7243">
      <c r="N7243">
        <f>IF(AND(ISNUMBER(L7243),ISNUMBER(M7243)),L7243-M7243,"")</f>
        <v/>
      </c>
    </row>
    <row r="7244">
      <c r="N7244">
        <f>IF(AND(ISNUMBER(L7244),ISNUMBER(M7244)),L7244-M7244,"")</f>
        <v/>
      </c>
    </row>
    <row r="7245">
      <c r="N7245">
        <f>IF(AND(ISNUMBER(L7245),ISNUMBER(M7245)),L7245-M7245,"")</f>
        <v/>
      </c>
    </row>
    <row r="7246">
      <c r="N7246">
        <f>IF(AND(ISNUMBER(L7246),ISNUMBER(M7246)),L7246-M7246,"")</f>
        <v/>
      </c>
    </row>
    <row r="7247">
      <c r="N7247">
        <f>IF(AND(ISNUMBER(L7247),ISNUMBER(M7247)),L7247-M7247,"")</f>
        <v/>
      </c>
    </row>
    <row r="7248">
      <c r="N7248">
        <f>IF(AND(ISNUMBER(L7248),ISNUMBER(M7248)),L7248-M7248,"")</f>
        <v/>
      </c>
    </row>
    <row r="7249">
      <c r="N7249">
        <f>IF(AND(ISNUMBER(L7249),ISNUMBER(M7249)),L7249-M7249,"")</f>
        <v/>
      </c>
    </row>
    <row r="7250">
      <c r="N7250">
        <f>IF(AND(ISNUMBER(L7250),ISNUMBER(M7250)),L7250-M7250,"")</f>
        <v/>
      </c>
    </row>
    <row r="7251">
      <c r="N7251">
        <f>IF(AND(ISNUMBER(L7251),ISNUMBER(M7251)),L7251-M7251,"")</f>
        <v/>
      </c>
    </row>
    <row r="7252">
      <c r="N7252">
        <f>IF(AND(ISNUMBER(L7252),ISNUMBER(M7252)),L7252-M7252,"")</f>
        <v/>
      </c>
    </row>
    <row r="7253">
      <c r="N7253">
        <f>IF(AND(ISNUMBER(L7253),ISNUMBER(M7253)),L7253-M7253,"")</f>
        <v/>
      </c>
    </row>
    <row r="7254">
      <c r="N7254">
        <f>IF(AND(ISNUMBER(L7254),ISNUMBER(M7254)),L7254-M7254,"")</f>
        <v/>
      </c>
    </row>
    <row r="7255">
      <c r="N7255">
        <f>IF(AND(ISNUMBER(L7255),ISNUMBER(M7255)),L7255-M7255,"")</f>
        <v/>
      </c>
    </row>
    <row r="7256">
      <c r="N7256">
        <f>IF(AND(ISNUMBER(L7256),ISNUMBER(M7256)),L7256-M7256,"")</f>
        <v/>
      </c>
    </row>
    <row r="7257">
      <c r="N7257">
        <f>IF(AND(ISNUMBER(L7257),ISNUMBER(M7257)),L7257-M7257,"")</f>
        <v/>
      </c>
    </row>
    <row r="7258">
      <c r="N7258">
        <f>IF(AND(ISNUMBER(L7258),ISNUMBER(M7258)),L7258-M7258,"")</f>
        <v/>
      </c>
    </row>
    <row r="7259">
      <c r="N7259">
        <f>IF(AND(ISNUMBER(L7259),ISNUMBER(M7259)),L7259-M7259,"")</f>
        <v/>
      </c>
    </row>
    <row r="7260">
      <c r="N7260">
        <f>IF(AND(ISNUMBER(L7260),ISNUMBER(M7260)),L7260-M7260,"")</f>
        <v/>
      </c>
    </row>
    <row r="7261">
      <c r="N7261">
        <f>IF(AND(ISNUMBER(L7261),ISNUMBER(M7261)),L7261-M7261,"")</f>
        <v/>
      </c>
    </row>
    <row r="7262">
      <c r="N7262">
        <f>IF(AND(ISNUMBER(L7262),ISNUMBER(M7262)),L7262-M7262,"")</f>
        <v/>
      </c>
    </row>
    <row r="7263">
      <c r="N7263">
        <f>IF(AND(ISNUMBER(L7263),ISNUMBER(M7263)),L7263-M7263,"")</f>
        <v/>
      </c>
    </row>
    <row r="7264">
      <c r="N7264">
        <f>IF(AND(ISNUMBER(L7264),ISNUMBER(M7264)),L7264-M7264,"")</f>
        <v/>
      </c>
    </row>
    <row r="7265">
      <c r="N7265">
        <f>IF(AND(ISNUMBER(L7265),ISNUMBER(M7265)),L7265-M7265,"")</f>
        <v/>
      </c>
    </row>
    <row r="7266">
      <c r="N7266">
        <f>IF(AND(ISNUMBER(L7266),ISNUMBER(M7266)),L7266-M7266,"")</f>
        <v/>
      </c>
    </row>
    <row r="7267">
      <c r="N7267">
        <f>IF(AND(ISNUMBER(L7267),ISNUMBER(M7267)),L7267-M7267,"")</f>
        <v/>
      </c>
    </row>
    <row r="7268">
      <c r="N7268">
        <f>IF(AND(ISNUMBER(L7268),ISNUMBER(M7268)),L7268-M7268,"")</f>
        <v/>
      </c>
    </row>
    <row r="7269">
      <c r="N7269">
        <f>IF(AND(ISNUMBER(L7269),ISNUMBER(M7269)),L7269-M7269,"")</f>
        <v/>
      </c>
    </row>
    <row r="7270">
      <c r="N7270">
        <f>IF(AND(ISNUMBER(L7270),ISNUMBER(M7270)),L7270-M7270,"")</f>
        <v/>
      </c>
    </row>
    <row r="7271">
      <c r="N7271">
        <f>IF(AND(ISNUMBER(L7271),ISNUMBER(M7271)),L7271-M7271,"")</f>
        <v/>
      </c>
    </row>
    <row r="7272">
      <c r="N7272">
        <f>IF(AND(ISNUMBER(L7272),ISNUMBER(M7272)),L7272-M7272,"")</f>
        <v/>
      </c>
    </row>
    <row r="7273">
      <c r="N7273">
        <f>IF(AND(ISNUMBER(L7273),ISNUMBER(M7273)),L7273-M7273,"")</f>
        <v/>
      </c>
    </row>
    <row r="7274">
      <c r="N7274">
        <f>IF(AND(ISNUMBER(L7274),ISNUMBER(M7274)),L7274-M7274,"")</f>
        <v/>
      </c>
    </row>
    <row r="7275">
      <c r="N7275">
        <f>IF(AND(ISNUMBER(L7275),ISNUMBER(M7275)),L7275-M7275,"")</f>
        <v/>
      </c>
    </row>
    <row r="7276">
      <c r="N7276">
        <f>IF(AND(ISNUMBER(L7276),ISNUMBER(M7276)),L7276-M7276,"")</f>
        <v/>
      </c>
    </row>
    <row r="7277">
      <c r="N7277">
        <f>IF(AND(ISNUMBER(L7277),ISNUMBER(M7277)),L7277-M7277,"")</f>
        <v/>
      </c>
    </row>
    <row r="7278">
      <c r="N7278">
        <f>IF(AND(ISNUMBER(L7278),ISNUMBER(M7278)),L7278-M7278,"")</f>
        <v/>
      </c>
    </row>
    <row r="7279">
      <c r="N7279">
        <f>IF(AND(ISNUMBER(L7279),ISNUMBER(M7279)),L7279-M7279,"")</f>
        <v/>
      </c>
    </row>
    <row r="7280">
      <c r="N7280">
        <f>IF(AND(ISNUMBER(L7280),ISNUMBER(M7280)),L7280-M7280,"")</f>
        <v/>
      </c>
    </row>
    <row r="7281">
      <c r="N7281">
        <f>IF(AND(ISNUMBER(L7281),ISNUMBER(M7281)),L7281-M7281,"")</f>
        <v/>
      </c>
    </row>
    <row r="7282">
      <c r="N7282">
        <f>IF(AND(ISNUMBER(L7282),ISNUMBER(M7282)),L7282-M7282,"")</f>
        <v/>
      </c>
    </row>
    <row r="7283">
      <c r="N7283">
        <f>IF(AND(ISNUMBER(L7283),ISNUMBER(M7283)),L7283-M7283,"")</f>
        <v/>
      </c>
    </row>
    <row r="7284">
      <c r="N7284">
        <f>IF(AND(ISNUMBER(L7284),ISNUMBER(M7284)),L7284-M7284,"")</f>
        <v/>
      </c>
    </row>
    <row r="7285">
      <c r="N7285">
        <f>IF(AND(ISNUMBER(L7285),ISNUMBER(M7285)),L7285-M7285,"")</f>
        <v/>
      </c>
    </row>
    <row r="7286">
      <c r="N7286">
        <f>IF(AND(ISNUMBER(L7286),ISNUMBER(M7286)),L7286-M7286,"")</f>
        <v/>
      </c>
    </row>
    <row r="7287">
      <c r="N7287">
        <f>IF(AND(ISNUMBER(L7287),ISNUMBER(M7287)),L7287-M7287,"")</f>
        <v/>
      </c>
    </row>
    <row r="7288">
      <c r="N7288">
        <f>IF(AND(ISNUMBER(L7288),ISNUMBER(M7288)),L7288-M7288,"")</f>
        <v/>
      </c>
    </row>
    <row r="7289">
      <c r="N7289">
        <f>IF(AND(ISNUMBER(L7289),ISNUMBER(M7289)),L7289-M7289,"")</f>
        <v/>
      </c>
    </row>
    <row r="7290">
      <c r="N7290">
        <f>IF(AND(ISNUMBER(L7290),ISNUMBER(M7290)),L7290-M7290,"")</f>
        <v/>
      </c>
    </row>
    <row r="7291">
      <c r="N7291">
        <f>IF(AND(ISNUMBER(L7291),ISNUMBER(M7291)),L7291-M7291,"")</f>
        <v/>
      </c>
    </row>
    <row r="7292">
      <c r="N7292">
        <f>IF(AND(ISNUMBER(L7292),ISNUMBER(M7292)),L7292-M7292,"")</f>
        <v/>
      </c>
    </row>
    <row r="7293">
      <c r="N7293">
        <f>IF(AND(ISNUMBER(L7293),ISNUMBER(M7293)),L7293-M7293,"")</f>
        <v/>
      </c>
    </row>
    <row r="7294">
      <c r="N7294">
        <f>IF(AND(ISNUMBER(L7294),ISNUMBER(M7294)),L7294-M7294,"")</f>
        <v/>
      </c>
    </row>
    <row r="7295">
      <c r="N7295">
        <f>IF(AND(ISNUMBER(L7295),ISNUMBER(M7295)),L7295-M7295,"")</f>
        <v/>
      </c>
    </row>
    <row r="7296">
      <c r="N7296">
        <f>IF(AND(ISNUMBER(L7296),ISNUMBER(M7296)),L7296-M7296,"")</f>
        <v/>
      </c>
    </row>
    <row r="7297">
      <c r="N7297">
        <f>IF(AND(ISNUMBER(L7297),ISNUMBER(M7297)),L7297-M7297,"")</f>
        <v/>
      </c>
    </row>
    <row r="7298">
      <c r="N7298">
        <f>IF(AND(ISNUMBER(L7298),ISNUMBER(M7298)),L7298-M7298,"")</f>
        <v/>
      </c>
    </row>
    <row r="7299">
      <c r="N7299">
        <f>IF(AND(ISNUMBER(L7299),ISNUMBER(M7299)),L7299-M7299,"")</f>
        <v/>
      </c>
    </row>
    <row r="7300">
      <c r="N7300">
        <f>IF(AND(ISNUMBER(L7300),ISNUMBER(M7300)),L7300-M7300,"")</f>
        <v/>
      </c>
    </row>
    <row r="7301">
      <c r="N7301">
        <f>IF(AND(ISNUMBER(L7301),ISNUMBER(M7301)),L7301-M7301,"")</f>
        <v/>
      </c>
    </row>
    <row r="7302">
      <c r="N7302">
        <f>IF(AND(ISNUMBER(L7302),ISNUMBER(M7302)),L7302-M7302,"")</f>
        <v/>
      </c>
    </row>
    <row r="7303">
      <c r="N7303">
        <f>IF(AND(ISNUMBER(L7303),ISNUMBER(M7303)),L7303-M7303,"")</f>
        <v/>
      </c>
    </row>
    <row r="7304">
      <c r="N7304">
        <f>IF(AND(ISNUMBER(L7304),ISNUMBER(M7304)),L7304-M7304,"")</f>
        <v/>
      </c>
    </row>
    <row r="7305">
      <c r="N7305">
        <f>IF(AND(ISNUMBER(L7305),ISNUMBER(M7305)),L7305-M7305,"")</f>
        <v/>
      </c>
    </row>
    <row r="7306">
      <c r="N7306">
        <f>IF(AND(ISNUMBER(L7306),ISNUMBER(M7306)),L7306-M7306,"")</f>
        <v/>
      </c>
    </row>
    <row r="7307">
      <c r="N7307">
        <f>IF(AND(ISNUMBER(L7307),ISNUMBER(M7307)),L7307-M7307,"")</f>
        <v/>
      </c>
    </row>
    <row r="7308">
      <c r="N7308">
        <f>IF(AND(ISNUMBER(L7308),ISNUMBER(M7308)),L7308-M7308,"")</f>
        <v/>
      </c>
    </row>
    <row r="7309">
      <c r="N7309">
        <f>IF(AND(ISNUMBER(L7309),ISNUMBER(M7309)),L7309-M7309,"")</f>
        <v/>
      </c>
    </row>
    <row r="7310">
      <c r="N7310">
        <f>IF(AND(ISNUMBER(L7310),ISNUMBER(M7310)),L7310-M7310,"")</f>
        <v/>
      </c>
    </row>
    <row r="7311">
      <c r="N7311">
        <f>IF(AND(ISNUMBER(L7311),ISNUMBER(M7311)),L7311-M7311,"")</f>
        <v/>
      </c>
    </row>
    <row r="7312">
      <c r="N7312">
        <f>IF(AND(ISNUMBER(L7312),ISNUMBER(M7312)),L7312-M7312,"")</f>
        <v/>
      </c>
    </row>
    <row r="7313">
      <c r="N7313">
        <f>IF(AND(ISNUMBER(L7313),ISNUMBER(M7313)),L7313-M7313,"")</f>
        <v/>
      </c>
    </row>
    <row r="7314">
      <c r="N7314">
        <f>IF(AND(ISNUMBER(L7314),ISNUMBER(M7314)),L7314-M7314,"")</f>
        <v/>
      </c>
    </row>
    <row r="7315">
      <c r="N7315">
        <f>IF(AND(ISNUMBER(L7315),ISNUMBER(M7315)),L7315-M7315,"")</f>
        <v/>
      </c>
    </row>
    <row r="7316">
      <c r="N7316">
        <f>IF(AND(ISNUMBER(L7316),ISNUMBER(M7316)),L7316-M7316,"")</f>
        <v/>
      </c>
    </row>
    <row r="7317">
      <c r="N7317">
        <f>IF(AND(ISNUMBER(L7317),ISNUMBER(M7317)),L7317-M7317,"")</f>
        <v/>
      </c>
    </row>
    <row r="7318">
      <c r="N7318">
        <f>IF(AND(ISNUMBER(L7318),ISNUMBER(M7318)),L7318-M7318,"")</f>
        <v/>
      </c>
    </row>
    <row r="7319">
      <c r="N7319">
        <f>IF(AND(ISNUMBER(L7319),ISNUMBER(M7319)),L7319-M7319,"")</f>
        <v/>
      </c>
    </row>
    <row r="7320">
      <c r="N7320">
        <f>IF(AND(ISNUMBER(L7320),ISNUMBER(M7320)),L7320-M7320,"")</f>
        <v/>
      </c>
    </row>
    <row r="7321">
      <c r="N7321">
        <f>IF(AND(ISNUMBER(L7321),ISNUMBER(M7321)),L7321-M7321,"")</f>
        <v/>
      </c>
    </row>
    <row r="7322">
      <c r="N7322">
        <f>IF(AND(ISNUMBER(L7322),ISNUMBER(M7322)),L7322-M7322,"")</f>
        <v/>
      </c>
    </row>
    <row r="7323">
      <c r="N7323">
        <f>IF(AND(ISNUMBER(L7323),ISNUMBER(M7323)),L7323-M7323,"")</f>
        <v/>
      </c>
    </row>
    <row r="7324">
      <c r="N7324">
        <f>IF(AND(ISNUMBER(L7324),ISNUMBER(M7324)),L7324-M7324,"")</f>
        <v/>
      </c>
    </row>
    <row r="7325">
      <c r="N7325">
        <f>IF(AND(ISNUMBER(L7325),ISNUMBER(M7325)),L7325-M7325,"")</f>
        <v/>
      </c>
    </row>
    <row r="7326">
      <c r="N7326">
        <f>IF(AND(ISNUMBER(L7326),ISNUMBER(M7326)),L7326-M7326,"")</f>
        <v/>
      </c>
    </row>
    <row r="7327">
      <c r="N7327">
        <f>IF(AND(ISNUMBER(L7327),ISNUMBER(M7327)),L7327-M7327,"")</f>
        <v/>
      </c>
    </row>
    <row r="7328">
      <c r="N7328">
        <f>IF(AND(ISNUMBER(L7328),ISNUMBER(M7328)),L7328-M7328,"")</f>
        <v/>
      </c>
    </row>
    <row r="7329">
      <c r="N7329">
        <f>IF(AND(ISNUMBER(L7329),ISNUMBER(M7329)),L7329-M7329,"")</f>
        <v/>
      </c>
    </row>
    <row r="7330">
      <c r="N7330">
        <f>IF(AND(ISNUMBER(L7330),ISNUMBER(M7330)),L7330-M7330,"")</f>
        <v/>
      </c>
    </row>
    <row r="7331">
      <c r="N7331">
        <f>IF(AND(ISNUMBER(L7331),ISNUMBER(M7331)),L7331-M7331,"")</f>
        <v/>
      </c>
    </row>
    <row r="7332">
      <c r="N7332">
        <f>IF(AND(ISNUMBER(L7332),ISNUMBER(M7332)),L7332-M7332,"")</f>
        <v/>
      </c>
    </row>
    <row r="7333">
      <c r="N7333">
        <f>IF(AND(ISNUMBER(L7333),ISNUMBER(M7333)),L7333-M7333,"")</f>
        <v/>
      </c>
    </row>
    <row r="7334">
      <c r="N7334">
        <f>IF(AND(ISNUMBER(L7334),ISNUMBER(M7334)),L7334-M7334,"")</f>
        <v/>
      </c>
    </row>
    <row r="7335">
      <c r="N7335">
        <f>IF(AND(ISNUMBER(L7335),ISNUMBER(M7335)),L7335-M7335,"")</f>
        <v/>
      </c>
    </row>
    <row r="7336">
      <c r="N7336">
        <f>IF(AND(ISNUMBER(L7336),ISNUMBER(M7336)),L7336-M7336,"")</f>
        <v/>
      </c>
    </row>
    <row r="7337">
      <c r="N7337">
        <f>IF(AND(ISNUMBER(L7337),ISNUMBER(M7337)),L7337-M7337,"")</f>
        <v/>
      </c>
    </row>
    <row r="7338">
      <c r="N7338">
        <f>IF(AND(ISNUMBER(L7338),ISNUMBER(M7338)),L7338-M7338,"")</f>
        <v/>
      </c>
    </row>
    <row r="7339">
      <c r="N7339">
        <f>IF(AND(ISNUMBER(L7339),ISNUMBER(M7339)),L7339-M7339,"")</f>
        <v/>
      </c>
    </row>
    <row r="7340">
      <c r="N7340">
        <f>IF(AND(ISNUMBER(L7340),ISNUMBER(M7340)),L7340-M7340,"")</f>
        <v/>
      </c>
    </row>
    <row r="7341">
      <c r="N7341">
        <f>IF(AND(ISNUMBER(L7341),ISNUMBER(M7341)),L7341-M7341,"")</f>
        <v/>
      </c>
    </row>
    <row r="7342">
      <c r="N7342">
        <f>IF(AND(ISNUMBER(L7342),ISNUMBER(M7342)),L7342-M7342,"")</f>
        <v/>
      </c>
    </row>
    <row r="7343">
      <c r="N7343">
        <f>IF(AND(ISNUMBER(L7343),ISNUMBER(M7343)),L7343-M7343,"")</f>
        <v/>
      </c>
    </row>
    <row r="7344">
      <c r="N7344">
        <f>IF(AND(ISNUMBER(L7344),ISNUMBER(M7344)),L7344-M7344,"")</f>
        <v/>
      </c>
    </row>
    <row r="7345">
      <c r="N7345">
        <f>IF(AND(ISNUMBER(L7345),ISNUMBER(M7345)),L7345-M7345,"")</f>
        <v/>
      </c>
    </row>
    <row r="7346">
      <c r="N7346">
        <f>IF(AND(ISNUMBER(L7346),ISNUMBER(M7346)),L7346-M7346,"")</f>
        <v/>
      </c>
    </row>
    <row r="7347">
      <c r="N7347">
        <f>IF(AND(ISNUMBER(L7347),ISNUMBER(M7347)),L7347-M7347,"")</f>
        <v/>
      </c>
    </row>
    <row r="7348">
      <c r="N7348">
        <f>IF(AND(ISNUMBER(L7348),ISNUMBER(M7348)),L7348-M7348,"")</f>
        <v/>
      </c>
    </row>
    <row r="7349">
      <c r="N7349">
        <f>IF(AND(ISNUMBER(L7349),ISNUMBER(M7349)),L7349-M7349,"")</f>
        <v/>
      </c>
    </row>
    <row r="7350">
      <c r="N7350">
        <f>IF(AND(ISNUMBER(L7350),ISNUMBER(M7350)),L7350-M7350,"")</f>
        <v/>
      </c>
    </row>
    <row r="7351">
      <c r="N7351">
        <f>IF(AND(ISNUMBER(L7351),ISNUMBER(M7351)),L7351-M7351,"")</f>
        <v/>
      </c>
    </row>
    <row r="7352">
      <c r="N7352">
        <f>IF(AND(ISNUMBER(L7352),ISNUMBER(M7352)),L7352-M7352,"")</f>
        <v/>
      </c>
    </row>
    <row r="7353">
      <c r="N7353">
        <f>IF(AND(ISNUMBER(L7353),ISNUMBER(M7353)),L7353-M7353,"")</f>
        <v/>
      </c>
    </row>
    <row r="7354">
      <c r="N7354">
        <f>IF(AND(ISNUMBER(L7354),ISNUMBER(M7354)),L7354-M7354,"")</f>
        <v/>
      </c>
    </row>
    <row r="7355">
      <c r="N7355">
        <f>IF(AND(ISNUMBER(L7355),ISNUMBER(M7355)),L7355-M7355,"")</f>
        <v/>
      </c>
    </row>
    <row r="7356">
      <c r="N7356">
        <f>IF(AND(ISNUMBER(L7356),ISNUMBER(M7356)),L7356-M7356,"")</f>
        <v/>
      </c>
    </row>
    <row r="7357">
      <c r="N7357">
        <f>IF(AND(ISNUMBER(L7357),ISNUMBER(M7357)),L7357-M7357,"")</f>
        <v/>
      </c>
    </row>
    <row r="7358">
      <c r="N7358">
        <f>IF(AND(ISNUMBER(L7358),ISNUMBER(M7358)),L7358-M7358,"")</f>
        <v/>
      </c>
    </row>
    <row r="7359">
      <c r="N7359">
        <f>IF(AND(ISNUMBER(L7359),ISNUMBER(M7359)),L7359-M7359,"")</f>
        <v/>
      </c>
    </row>
    <row r="7360">
      <c r="N7360">
        <f>IF(AND(ISNUMBER(L7360),ISNUMBER(M7360)),L7360-M7360,"")</f>
        <v/>
      </c>
    </row>
    <row r="7361">
      <c r="N7361">
        <f>IF(AND(ISNUMBER(L7361),ISNUMBER(M7361)),L7361-M7361,"")</f>
        <v/>
      </c>
    </row>
    <row r="7362">
      <c r="N7362">
        <f>IF(AND(ISNUMBER(L7362),ISNUMBER(M7362)),L7362-M7362,"")</f>
        <v/>
      </c>
    </row>
    <row r="7363">
      <c r="N7363">
        <f>IF(AND(ISNUMBER(L7363),ISNUMBER(M7363)),L7363-M7363,"")</f>
        <v/>
      </c>
    </row>
    <row r="7364">
      <c r="N7364">
        <f>IF(AND(ISNUMBER(L7364),ISNUMBER(M7364)),L7364-M7364,"")</f>
        <v/>
      </c>
    </row>
    <row r="7365">
      <c r="N7365">
        <f>IF(AND(ISNUMBER(L7365),ISNUMBER(M7365)),L7365-M7365,"")</f>
        <v/>
      </c>
    </row>
    <row r="7366">
      <c r="N7366">
        <f>IF(AND(ISNUMBER(L7366),ISNUMBER(M7366)),L7366-M7366,"")</f>
        <v/>
      </c>
    </row>
    <row r="7367">
      <c r="N7367">
        <f>IF(AND(ISNUMBER(L7367),ISNUMBER(M7367)),L7367-M7367,"")</f>
        <v/>
      </c>
    </row>
    <row r="7368">
      <c r="N7368">
        <f>IF(AND(ISNUMBER(L7368),ISNUMBER(M7368)),L7368-M7368,"")</f>
        <v/>
      </c>
    </row>
    <row r="7369">
      <c r="N7369">
        <f>IF(AND(ISNUMBER(L7369),ISNUMBER(M7369)),L7369-M7369,"")</f>
        <v/>
      </c>
    </row>
    <row r="7370">
      <c r="N7370">
        <f>IF(AND(ISNUMBER(L7370),ISNUMBER(M7370)),L7370-M7370,"")</f>
        <v/>
      </c>
    </row>
    <row r="7371">
      <c r="N7371">
        <f>IF(AND(ISNUMBER(L7371),ISNUMBER(M7371)),L7371-M7371,"")</f>
        <v/>
      </c>
    </row>
    <row r="7372">
      <c r="N7372">
        <f>IF(AND(ISNUMBER(L7372),ISNUMBER(M7372)),L7372-M7372,"")</f>
        <v/>
      </c>
    </row>
    <row r="7373">
      <c r="N7373">
        <f>IF(AND(ISNUMBER(L7373),ISNUMBER(M7373)),L7373-M7373,"")</f>
        <v/>
      </c>
    </row>
    <row r="7374">
      <c r="N7374">
        <f>IF(AND(ISNUMBER(L7374),ISNUMBER(M7374)),L7374-M7374,"")</f>
        <v/>
      </c>
    </row>
    <row r="7375">
      <c r="N7375">
        <f>IF(AND(ISNUMBER(L7375),ISNUMBER(M7375)),L7375-M7375,"")</f>
        <v/>
      </c>
    </row>
    <row r="7376">
      <c r="N7376">
        <f>IF(AND(ISNUMBER(L7376),ISNUMBER(M7376)),L7376-M7376,"")</f>
        <v/>
      </c>
    </row>
    <row r="7377">
      <c r="N7377">
        <f>IF(AND(ISNUMBER(L7377),ISNUMBER(M7377)),L7377-M7377,"")</f>
        <v/>
      </c>
    </row>
    <row r="7378">
      <c r="N7378">
        <f>IF(AND(ISNUMBER(L7378),ISNUMBER(M7378)),L7378-M7378,"")</f>
        <v/>
      </c>
    </row>
    <row r="7379">
      <c r="N7379">
        <f>IF(AND(ISNUMBER(L7379),ISNUMBER(M7379)),L7379-M7379,"")</f>
        <v/>
      </c>
    </row>
    <row r="7380">
      <c r="N7380">
        <f>IF(AND(ISNUMBER(L7380),ISNUMBER(M7380)),L7380-M7380,"")</f>
        <v/>
      </c>
    </row>
    <row r="7381">
      <c r="N7381">
        <f>IF(AND(ISNUMBER(L7381),ISNUMBER(M7381)),L7381-M7381,"")</f>
        <v/>
      </c>
    </row>
    <row r="7382">
      <c r="N7382">
        <f>IF(AND(ISNUMBER(L7382),ISNUMBER(M7382)),L7382-M7382,"")</f>
        <v/>
      </c>
    </row>
    <row r="7383">
      <c r="N7383">
        <f>IF(AND(ISNUMBER(L7383),ISNUMBER(M7383)),L7383-M7383,"")</f>
        <v/>
      </c>
    </row>
    <row r="7384">
      <c r="N7384">
        <f>IF(AND(ISNUMBER(L7384),ISNUMBER(M7384)),L7384-M7384,"")</f>
        <v/>
      </c>
    </row>
    <row r="7385">
      <c r="N7385">
        <f>IF(AND(ISNUMBER(L7385),ISNUMBER(M7385)),L7385-M7385,"")</f>
        <v/>
      </c>
    </row>
    <row r="7386">
      <c r="N7386">
        <f>IF(AND(ISNUMBER(L7386),ISNUMBER(M7386)),L7386-M7386,"")</f>
        <v/>
      </c>
    </row>
    <row r="7387">
      <c r="N7387">
        <f>IF(AND(ISNUMBER(L7387),ISNUMBER(M7387)),L7387-M7387,"")</f>
        <v/>
      </c>
    </row>
    <row r="7388">
      <c r="N7388">
        <f>IF(AND(ISNUMBER(L7388),ISNUMBER(M7388)),L7388-M7388,"")</f>
        <v/>
      </c>
    </row>
    <row r="7389">
      <c r="N7389">
        <f>IF(AND(ISNUMBER(L7389),ISNUMBER(M7389)),L7389-M7389,"")</f>
        <v/>
      </c>
    </row>
    <row r="7390">
      <c r="N7390">
        <f>IF(AND(ISNUMBER(L7390),ISNUMBER(M7390)),L7390-M7390,"")</f>
        <v/>
      </c>
    </row>
    <row r="7391">
      <c r="N7391">
        <f>IF(AND(ISNUMBER(L7391),ISNUMBER(M7391)),L7391-M7391,"")</f>
        <v/>
      </c>
    </row>
    <row r="7392">
      <c r="N7392">
        <f>IF(AND(ISNUMBER(L7392),ISNUMBER(M7392)),L7392-M7392,"")</f>
        <v/>
      </c>
    </row>
    <row r="7393">
      <c r="N7393">
        <f>IF(AND(ISNUMBER(L7393),ISNUMBER(M7393)),L7393-M7393,"")</f>
        <v/>
      </c>
    </row>
    <row r="7394">
      <c r="N7394">
        <f>IF(AND(ISNUMBER(L7394),ISNUMBER(M7394)),L7394-M7394,"")</f>
        <v/>
      </c>
    </row>
    <row r="7395">
      <c r="N7395">
        <f>IF(AND(ISNUMBER(L7395),ISNUMBER(M7395)),L7395-M7395,"")</f>
        <v/>
      </c>
    </row>
    <row r="7396">
      <c r="N7396">
        <f>IF(AND(ISNUMBER(L7396),ISNUMBER(M7396)),L7396-M7396,"")</f>
        <v/>
      </c>
    </row>
    <row r="7397">
      <c r="N7397">
        <f>IF(AND(ISNUMBER(L7397),ISNUMBER(M7397)),L7397-M7397,"")</f>
        <v/>
      </c>
    </row>
    <row r="7398">
      <c r="N7398">
        <f>IF(AND(ISNUMBER(L7398),ISNUMBER(M7398)),L7398-M7398,"")</f>
        <v/>
      </c>
    </row>
    <row r="7399">
      <c r="N7399">
        <f>IF(AND(ISNUMBER(L7399),ISNUMBER(M7399)),L7399-M7399,"")</f>
        <v/>
      </c>
    </row>
    <row r="7400">
      <c r="N7400">
        <f>IF(AND(ISNUMBER(L7400),ISNUMBER(M7400)),L7400-M7400,"")</f>
        <v/>
      </c>
    </row>
    <row r="7401">
      <c r="N7401">
        <f>IF(AND(ISNUMBER(L7401),ISNUMBER(M7401)),L7401-M7401,"")</f>
        <v/>
      </c>
    </row>
    <row r="7402">
      <c r="N7402">
        <f>IF(AND(ISNUMBER(L7402),ISNUMBER(M7402)),L7402-M7402,"")</f>
        <v/>
      </c>
    </row>
    <row r="7403">
      <c r="N7403">
        <f>IF(AND(ISNUMBER(L7403),ISNUMBER(M7403)),L7403-M7403,"")</f>
        <v/>
      </c>
    </row>
    <row r="7404">
      <c r="N7404">
        <f>IF(AND(ISNUMBER(L7404),ISNUMBER(M7404)),L7404-M7404,"")</f>
        <v/>
      </c>
    </row>
    <row r="7405">
      <c r="N7405">
        <f>IF(AND(ISNUMBER(L7405),ISNUMBER(M7405)),L7405-M7405,"")</f>
        <v/>
      </c>
    </row>
    <row r="7406">
      <c r="N7406">
        <f>IF(AND(ISNUMBER(L7406),ISNUMBER(M7406)),L7406-M7406,"")</f>
        <v/>
      </c>
    </row>
    <row r="7407">
      <c r="N7407">
        <f>IF(AND(ISNUMBER(L7407),ISNUMBER(M7407)),L7407-M7407,"")</f>
        <v/>
      </c>
    </row>
    <row r="7408">
      <c r="N7408">
        <f>IF(AND(ISNUMBER(L7408),ISNUMBER(M7408)),L7408-M7408,"")</f>
        <v/>
      </c>
    </row>
    <row r="7409">
      <c r="N7409">
        <f>IF(AND(ISNUMBER(L7409),ISNUMBER(M7409)),L7409-M7409,"")</f>
        <v/>
      </c>
    </row>
    <row r="7410">
      <c r="N7410">
        <f>IF(AND(ISNUMBER(L7410),ISNUMBER(M7410)),L7410-M7410,"")</f>
        <v/>
      </c>
    </row>
    <row r="7411">
      <c r="N7411">
        <f>IF(AND(ISNUMBER(L7411),ISNUMBER(M7411)),L7411-M7411,"")</f>
        <v/>
      </c>
    </row>
    <row r="7412">
      <c r="N7412">
        <f>IF(AND(ISNUMBER(L7412),ISNUMBER(M7412)),L7412-M7412,"")</f>
        <v/>
      </c>
    </row>
    <row r="7413">
      <c r="N7413">
        <f>IF(AND(ISNUMBER(L7413),ISNUMBER(M7413)),L7413-M7413,"")</f>
        <v/>
      </c>
    </row>
    <row r="7414">
      <c r="N7414">
        <f>IF(AND(ISNUMBER(L7414),ISNUMBER(M7414)),L7414-M7414,"")</f>
        <v/>
      </c>
    </row>
    <row r="7415">
      <c r="N7415">
        <f>IF(AND(ISNUMBER(L7415),ISNUMBER(M7415)),L7415-M7415,"")</f>
        <v/>
      </c>
    </row>
    <row r="7416">
      <c r="N7416">
        <f>IF(AND(ISNUMBER(L7416),ISNUMBER(M7416)),L7416-M7416,"")</f>
        <v/>
      </c>
    </row>
    <row r="7417">
      <c r="N7417">
        <f>IF(AND(ISNUMBER(L7417),ISNUMBER(M7417)),L7417-M7417,"")</f>
        <v/>
      </c>
    </row>
    <row r="7418">
      <c r="N7418">
        <f>IF(AND(ISNUMBER(L7418),ISNUMBER(M7418)),L7418-M7418,"")</f>
        <v/>
      </c>
    </row>
    <row r="7419">
      <c r="N7419">
        <f>IF(AND(ISNUMBER(L7419),ISNUMBER(M7419)),L7419-M7419,"")</f>
        <v/>
      </c>
    </row>
    <row r="7420">
      <c r="N7420">
        <f>IF(AND(ISNUMBER(L7420),ISNUMBER(M7420)),L7420-M7420,"")</f>
        <v/>
      </c>
    </row>
    <row r="7421">
      <c r="N7421">
        <f>IF(AND(ISNUMBER(L7421),ISNUMBER(M7421)),L7421-M7421,"")</f>
        <v/>
      </c>
    </row>
    <row r="7422">
      <c r="N7422">
        <f>IF(AND(ISNUMBER(L7422),ISNUMBER(M7422)),L7422-M7422,"")</f>
        <v/>
      </c>
    </row>
    <row r="7423">
      <c r="N7423">
        <f>IF(AND(ISNUMBER(L7423),ISNUMBER(M7423)),L7423-M7423,"")</f>
        <v/>
      </c>
    </row>
    <row r="7424">
      <c r="N7424">
        <f>IF(AND(ISNUMBER(L7424),ISNUMBER(M7424)),L7424-M7424,"")</f>
        <v/>
      </c>
    </row>
    <row r="7425">
      <c r="N7425">
        <f>IF(AND(ISNUMBER(L7425),ISNUMBER(M7425)),L7425-M7425,"")</f>
        <v/>
      </c>
    </row>
    <row r="7426">
      <c r="N7426">
        <f>IF(AND(ISNUMBER(L7426),ISNUMBER(M7426)),L7426-M7426,"")</f>
        <v/>
      </c>
    </row>
    <row r="7427">
      <c r="N7427">
        <f>IF(AND(ISNUMBER(L7427),ISNUMBER(M7427)),L7427-M7427,"")</f>
        <v/>
      </c>
    </row>
    <row r="7428">
      <c r="N7428">
        <f>IF(AND(ISNUMBER(L7428),ISNUMBER(M7428)),L7428-M7428,"")</f>
        <v/>
      </c>
    </row>
    <row r="7429">
      <c r="N7429">
        <f>IF(AND(ISNUMBER(L7429),ISNUMBER(M7429)),L7429-M7429,"")</f>
        <v/>
      </c>
    </row>
    <row r="7430">
      <c r="N7430">
        <f>IF(AND(ISNUMBER(L7430),ISNUMBER(M7430)),L7430-M7430,"")</f>
        <v/>
      </c>
    </row>
    <row r="7431">
      <c r="N7431">
        <f>IF(AND(ISNUMBER(L7431),ISNUMBER(M7431)),L7431-M7431,"")</f>
        <v/>
      </c>
    </row>
    <row r="7432">
      <c r="N7432">
        <f>IF(AND(ISNUMBER(L7432),ISNUMBER(M7432)),L7432-M7432,"")</f>
        <v/>
      </c>
    </row>
    <row r="7433">
      <c r="N7433">
        <f>IF(AND(ISNUMBER(L7433),ISNUMBER(M7433)),L7433-M7433,"")</f>
        <v/>
      </c>
    </row>
    <row r="7434">
      <c r="N7434">
        <f>IF(AND(ISNUMBER(L7434),ISNUMBER(M7434)),L7434-M7434,"")</f>
        <v/>
      </c>
    </row>
    <row r="7435">
      <c r="N7435">
        <f>IF(AND(ISNUMBER(L7435),ISNUMBER(M7435)),L7435-M7435,"")</f>
        <v/>
      </c>
    </row>
    <row r="7436">
      <c r="N7436">
        <f>IF(AND(ISNUMBER(L7436),ISNUMBER(M7436)),L7436-M7436,"")</f>
        <v/>
      </c>
    </row>
    <row r="7437">
      <c r="N7437">
        <f>IF(AND(ISNUMBER(L7437),ISNUMBER(M7437)),L7437-M7437,"")</f>
        <v/>
      </c>
    </row>
    <row r="7438">
      <c r="N7438">
        <f>IF(AND(ISNUMBER(L7438),ISNUMBER(M7438)),L7438-M7438,"")</f>
        <v/>
      </c>
    </row>
    <row r="7439">
      <c r="N7439">
        <f>IF(AND(ISNUMBER(L7439),ISNUMBER(M7439)),L7439-M7439,"")</f>
        <v/>
      </c>
    </row>
    <row r="7440">
      <c r="N7440">
        <f>IF(AND(ISNUMBER(L7440),ISNUMBER(M7440)),L7440-M7440,"")</f>
        <v/>
      </c>
    </row>
    <row r="7441">
      <c r="N7441">
        <f>IF(AND(ISNUMBER(L7441),ISNUMBER(M7441)),L7441-M7441,"")</f>
        <v/>
      </c>
    </row>
    <row r="7442">
      <c r="N7442">
        <f>IF(AND(ISNUMBER(L7442),ISNUMBER(M7442)),L7442-M7442,"")</f>
        <v/>
      </c>
    </row>
    <row r="7443">
      <c r="N7443">
        <f>IF(AND(ISNUMBER(L7443),ISNUMBER(M7443)),L7443-M7443,"")</f>
        <v/>
      </c>
    </row>
    <row r="7444">
      <c r="N7444">
        <f>IF(AND(ISNUMBER(L7444),ISNUMBER(M7444)),L7444-M7444,"")</f>
        <v/>
      </c>
    </row>
    <row r="7445">
      <c r="N7445">
        <f>IF(AND(ISNUMBER(L7445),ISNUMBER(M7445)),L7445-M7445,"")</f>
        <v/>
      </c>
    </row>
    <row r="7446">
      <c r="N7446">
        <f>IF(AND(ISNUMBER(L7446),ISNUMBER(M7446)),L7446-M7446,"")</f>
        <v/>
      </c>
    </row>
    <row r="7447">
      <c r="N7447">
        <f>IF(AND(ISNUMBER(L7447),ISNUMBER(M7447)),L7447-M7447,"")</f>
        <v/>
      </c>
    </row>
    <row r="7448">
      <c r="N7448">
        <f>IF(AND(ISNUMBER(L7448),ISNUMBER(M7448)),L7448-M7448,"")</f>
        <v/>
      </c>
    </row>
    <row r="7449">
      <c r="N7449">
        <f>IF(AND(ISNUMBER(L7449),ISNUMBER(M7449)),L7449-M7449,"")</f>
        <v/>
      </c>
    </row>
    <row r="7450">
      <c r="N7450">
        <f>IF(AND(ISNUMBER(L7450),ISNUMBER(M7450)),L7450-M7450,"")</f>
        <v/>
      </c>
    </row>
    <row r="7451">
      <c r="N7451">
        <f>IF(AND(ISNUMBER(L7451),ISNUMBER(M7451)),L7451-M7451,"")</f>
        <v/>
      </c>
    </row>
    <row r="7452">
      <c r="N7452">
        <f>IF(AND(ISNUMBER(L7452),ISNUMBER(M7452)),L7452-M7452,"")</f>
        <v/>
      </c>
    </row>
    <row r="7453">
      <c r="N7453">
        <f>IF(AND(ISNUMBER(L7453),ISNUMBER(M7453)),L7453-M7453,"")</f>
        <v/>
      </c>
    </row>
    <row r="7454">
      <c r="N7454">
        <f>IF(AND(ISNUMBER(L7454),ISNUMBER(M7454)),L7454-M7454,"")</f>
        <v/>
      </c>
    </row>
    <row r="7455">
      <c r="N7455">
        <f>IF(AND(ISNUMBER(L7455),ISNUMBER(M7455)),L7455-M7455,"")</f>
        <v/>
      </c>
    </row>
    <row r="7456">
      <c r="N7456">
        <f>IF(AND(ISNUMBER(L7456),ISNUMBER(M7456)),L7456-M7456,"")</f>
        <v/>
      </c>
    </row>
    <row r="7457">
      <c r="N7457">
        <f>IF(AND(ISNUMBER(L7457),ISNUMBER(M7457)),L7457-M7457,"")</f>
        <v/>
      </c>
    </row>
    <row r="7458">
      <c r="N7458">
        <f>IF(AND(ISNUMBER(L7458),ISNUMBER(M7458)),L7458-M7458,"")</f>
        <v/>
      </c>
    </row>
    <row r="7459">
      <c r="N7459">
        <f>IF(AND(ISNUMBER(L7459),ISNUMBER(M7459)),L7459-M7459,"")</f>
        <v/>
      </c>
    </row>
    <row r="7460">
      <c r="N7460">
        <f>IF(AND(ISNUMBER(L7460),ISNUMBER(M7460)),L7460-M7460,"")</f>
        <v/>
      </c>
    </row>
    <row r="7461">
      <c r="N7461">
        <f>IF(AND(ISNUMBER(L7461),ISNUMBER(M7461)),L7461-M7461,"")</f>
        <v/>
      </c>
    </row>
    <row r="7462">
      <c r="N7462">
        <f>IF(AND(ISNUMBER(L7462),ISNUMBER(M7462)),L7462-M7462,"")</f>
        <v/>
      </c>
    </row>
    <row r="7463">
      <c r="N7463">
        <f>IF(AND(ISNUMBER(L7463),ISNUMBER(M7463)),L7463-M7463,"")</f>
        <v/>
      </c>
    </row>
    <row r="7464">
      <c r="N7464">
        <f>IF(AND(ISNUMBER(L7464),ISNUMBER(M7464)),L7464-M7464,"")</f>
        <v/>
      </c>
    </row>
    <row r="7465">
      <c r="N7465">
        <f>IF(AND(ISNUMBER(L7465),ISNUMBER(M7465)),L7465-M7465,"")</f>
        <v/>
      </c>
    </row>
    <row r="7466">
      <c r="N7466">
        <f>IF(AND(ISNUMBER(L7466),ISNUMBER(M7466)),L7466-M7466,"")</f>
        <v/>
      </c>
    </row>
    <row r="7467">
      <c r="N7467">
        <f>IF(AND(ISNUMBER(L7467),ISNUMBER(M7467)),L7467-M7467,"")</f>
        <v/>
      </c>
    </row>
    <row r="7468">
      <c r="N7468">
        <f>IF(AND(ISNUMBER(L7468),ISNUMBER(M7468)),L7468-M7468,"")</f>
        <v/>
      </c>
    </row>
    <row r="7469">
      <c r="N7469">
        <f>IF(AND(ISNUMBER(L7469),ISNUMBER(M7469)),L7469-M7469,"")</f>
        <v/>
      </c>
    </row>
    <row r="7470">
      <c r="N7470">
        <f>IF(AND(ISNUMBER(L7470),ISNUMBER(M7470)),L7470-M7470,"")</f>
        <v/>
      </c>
    </row>
    <row r="7471">
      <c r="N7471">
        <f>IF(AND(ISNUMBER(L7471),ISNUMBER(M7471)),L7471-M7471,"")</f>
        <v/>
      </c>
    </row>
    <row r="7472">
      <c r="N7472">
        <f>IF(AND(ISNUMBER(L7472),ISNUMBER(M7472)),L7472-M7472,"")</f>
        <v/>
      </c>
    </row>
    <row r="7473">
      <c r="N7473">
        <f>IF(AND(ISNUMBER(L7473),ISNUMBER(M7473)),L7473-M7473,"")</f>
        <v/>
      </c>
    </row>
    <row r="7474">
      <c r="N7474">
        <f>IF(AND(ISNUMBER(L7474),ISNUMBER(M7474)),L7474-M7474,"")</f>
        <v/>
      </c>
    </row>
    <row r="7475">
      <c r="N7475">
        <f>IF(AND(ISNUMBER(L7475),ISNUMBER(M7475)),L7475-M7475,"")</f>
        <v/>
      </c>
    </row>
    <row r="7476">
      <c r="N7476">
        <f>IF(AND(ISNUMBER(L7476),ISNUMBER(M7476)),L7476-M7476,"")</f>
        <v/>
      </c>
    </row>
    <row r="7477">
      <c r="N7477">
        <f>IF(AND(ISNUMBER(L7477),ISNUMBER(M7477)),L7477-M7477,"")</f>
        <v/>
      </c>
    </row>
    <row r="7478">
      <c r="N7478">
        <f>IF(AND(ISNUMBER(L7478),ISNUMBER(M7478)),L7478-M7478,"")</f>
        <v/>
      </c>
    </row>
    <row r="7479">
      <c r="N7479">
        <f>IF(AND(ISNUMBER(L7479),ISNUMBER(M7479)),L7479-M7479,"")</f>
        <v/>
      </c>
    </row>
    <row r="7480">
      <c r="N7480">
        <f>IF(AND(ISNUMBER(L7480),ISNUMBER(M7480)),L7480-M7480,"")</f>
        <v/>
      </c>
    </row>
    <row r="7481">
      <c r="N7481">
        <f>IF(AND(ISNUMBER(L7481),ISNUMBER(M7481)),L7481-M7481,"")</f>
        <v/>
      </c>
    </row>
    <row r="7482">
      <c r="N7482">
        <f>IF(AND(ISNUMBER(L7482),ISNUMBER(M7482)),L7482-M7482,"")</f>
        <v/>
      </c>
    </row>
    <row r="7483">
      <c r="N7483">
        <f>IF(AND(ISNUMBER(L7483),ISNUMBER(M7483)),L7483-M7483,"")</f>
        <v/>
      </c>
    </row>
    <row r="7484">
      <c r="N7484">
        <f>IF(AND(ISNUMBER(L7484),ISNUMBER(M7484)),L7484-M7484,"")</f>
        <v/>
      </c>
    </row>
    <row r="7485">
      <c r="N7485">
        <f>IF(AND(ISNUMBER(L7485),ISNUMBER(M7485)),L7485-M7485,"")</f>
        <v/>
      </c>
    </row>
    <row r="7486">
      <c r="N7486">
        <f>IF(AND(ISNUMBER(L7486),ISNUMBER(M7486)),L7486-M7486,"")</f>
        <v/>
      </c>
    </row>
    <row r="7487">
      <c r="N7487">
        <f>IF(AND(ISNUMBER(L7487),ISNUMBER(M7487)),L7487-M7487,"")</f>
        <v/>
      </c>
    </row>
    <row r="7488">
      <c r="N7488">
        <f>IF(AND(ISNUMBER(L7488),ISNUMBER(M7488)),L7488-M7488,"")</f>
        <v/>
      </c>
    </row>
    <row r="7489">
      <c r="N7489">
        <f>IF(AND(ISNUMBER(L7489),ISNUMBER(M7489)),L7489-M7489,"")</f>
        <v/>
      </c>
    </row>
    <row r="7490">
      <c r="N7490">
        <f>IF(AND(ISNUMBER(L7490),ISNUMBER(M7490)),L7490-M7490,"")</f>
        <v/>
      </c>
    </row>
    <row r="7491">
      <c r="N7491">
        <f>IF(AND(ISNUMBER(L7491),ISNUMBER(M7491)),L7491-M7491,"")</f>
        <v/>
      </c>
    </row>
    <row r="7492">
      <c r="N7492">
        <f>IF(AND(ISNUMBER(L7492),ISNUMBER(M7492)),L7492-M7492,"")</f>
        <v/>
      </c>
    </row>
    <row r="7493">
      <c r="N7493">
        <f>IF(AND(ISNUMBER(L7493),ISNUMBER(M7493)),L7493-M7493,"")</f>
        <v/>
      </c>
    </row>
    <row r="7494">
      <c r="N7494">
        <f>IF(AND(ISNUMBER(L7494),ISNUMBER(M7494)),L7494-M7494,"")</f>
        <v/>
      </c>
    </row>
    <row r="7495">
      <c r="N7495">
        <f>IF(AND(ISNUMBER(L7495),ISNUMBER(M7495)),L7495-M7495,"")</f>
        <v/>
      </c>
    </row>
    <row r="7496">
      <c r="N7496">
        <f>IF(AND(ISNUMBER(L7496),ISNUMBER(M7496)),L7496-M7496,"")</f>
        <v/>
      </c>
    </row>
    <row r="7497">
      <c r="N7497">
        <f>IF(AND(ISNUMBER(L7497),ISNUMBER(M7497)),L7497-M7497,"")</f>
        <v/>
      </c>
    </row>
    <row r="7498">
      <c r="N7498">
        <f>IF(AND(ISNUMBER(L7498),ISNUMBER(M7498)),L7498-M7498,"")</f>
        <v/>
      </c>
    </row>
    <row r="7499">
      <c r="N7499">
        <f>IF(AND(ISNUMBER(L7499),ISNUMBER(M7499)),L7499-M7499,"")</f>
        <v/>
      </c>
    </row>
    <row r="7500">
      <c r="N7500">
        <f>IF(AND(ISNUMBER(L7500),ISNUMBER(M7500)),L7500-M7500,"")</f>
        <v/>
      </c>
    </row>
    <row r="7501">
      <c r="N7501">
        <f>IF(AND(ISNUMBER(L7501),ISNUMBER(M7501)),L7501-M7501,"")</f>
        <v/>
      </c>
    </row>
    <row r="7502">
      <c r="N7502">
        <f>IF(AND(ISNUMBER(L7502),ISNUMBER(M7502)),L7502-M7502,"")</f>
        <v/>
      </c>
    </row>
    <row r="7503">
      <c r="N7503">
        <f>IF(AND(ISNUMBER(L7503),ISNUMBER(M7503)),L7503-M7503,"")</f>
        <v/>
      </c>
    </row>
    <row r="7504">
      <c r="N7504">
        <f>IF(AND(ISNUMBER(L7504),ISNUMBER(M7504)),L7504-M7504,"")</f>
        <v/>
      </c>
    </row>
    <row r="7505">
      <c r="N7505">
        <f>IF(AND(ISNUMBER(L7505),ISNUMBER(M7505)),L7505-M7505,"")</f>
        <v/>
      </c>
    </row>
    <row r="7506">
      <c r="N7506">
        <f>IF(AND(ISNUMBER(L7506),ISNUMBER(M7506)),L7506-M7506,"")</f>
        <v/>
      </c>
    </row>
    <row r="7507">
      <c r="N7507">
        <f>IF(AND(ISNUMBER(L7507),ISNUMBER(M7507)),L7507-M7507,"")</f>
        <v/>
      </c>
    </row>
    <row r="7508">
      <c r="N7508">
        <f>IF(AND(ISNUMBER(L7508),ISNUMBER(M7508)),L7508-M7508,"")</f>
        <v/>
      </c>
    </row>
    <row r="7509">
      <c r="N7509">
        <f>IF(AND(ISNUMBER(L7509),ISNUMBER(M7509)),L7509-M7509,"")</f>
        <v/>
      </c>
    </row>
    <row r="7510">
      <c r="N7510">
        <f>IF(AND(ISNUMBER(L7510),ISNUMBER(M7510)),L7510-M7510,"")</f>
        <v/>
      </c>
    </row>
    <row r="7511">
      <c r="N7511">
        <f>IF(AND(ISNUMBER(L7511),ISNUMBER(M7511)),L7511-M7511,"")</f>
        <v/>
      </c>
    </row>
    <row r="7512">
      <c r="N7512">
        <f>IF(AND(ISNUMBER(L7512),ISNUMBER(M7512)),L7512-M7512,"")</f>
        <v/>
      </c>
    </row>
    <row r="7513">
      <c r="N7513">
        <f>IF(AND(ISNUMBER(L7513),ISNUMBER(M7513)),L7513-M7513,"")</f>
        <v/>
      </c>
    </row>
    <row r="7514">
      <c r="N7514">
        <f>IF(AND(ISNUMBER(L7514),ISNUMBER(M7514)),L7514-M7514,"")</f>
        <v/>
      </c>
    </row>
    <row r="7515">
      <c r="N7515">
        <f>IF(AND(ISNUMBER(L7515),ISNUMBER(M7515)),L7515-M7515,"")</f>
        <v/>
      </c>
    </row>
    <row r="7516">
      <c r="N7516">
        <f>IF(AND(ISNUMBER(L7516),ISNUMBER(M7516)),L7516-M7516,"")</f>
        <v/>
      </c>
    </row>
    <row r="7517">
      <c r="N7517">
        <f>IF(AND(ISNUMBER(L7517),ISNUMBER(M7517)),L7517-M7517,"")</f>
        <v/>
      </c>
    </row>
    <row r="7518">
      <c r="N7518">
        <f>IF(AND(ISNUMBER(L7518),ISNUMBER(M7518)),L7518-M7518,"")</f>
        <v/>
      </c>
    </row>
    <row r="7519">
      <c r="N7519">
        <f>IF(AND(ISNUMBER(L7519),ISNUMBER(M7519)),L7519-M7519,"")</f>
        <v/>
      </c>
    </row>
    <row r="7520">
      <c r="N7520">
        <f>IF(AND(ISNUMBER(L7520),ISNUMBER(M7520)),L7520-M7520,"")</f>
        <v/>
      </c>
    </row>
    <row r="7521">
      <c r="N7521">
        <f>IF(AND(ISNUMBER(L7521),ISNUMBER(M7521)),L7521-M7521,"")</f>
        <v/>
      </c>
    </row>
    <row r="7522">
      <c r="N7522">
        <f>IF(AND(ISNUMBER(L7522),ISNUMBER(M7522)),L7522-M7522,"")</f>
        <v/>
      </c>
    </row>
    <row r="7523">
      <c r="N7523">
        <f>IF(AND(ISNUMBER(L7523),ISNUMBER(M7523)),L7523-M7523,"")</f>
        <v/>
      </c>
    </row>
    <row r="7524">
      <c r="N7524">
        <f>IF(AND(ISNUMBER(L7524),ISNUMBER(M7524)),L7524-M7524,"")</f>
        <v/>
      </c>
    </row>
    <row r="7525">
      <c r="N7525">
        <f>IF(AND(ISNUMBER(L7525),ISNUMBER(M7525)),L7525-M7525,"")</f>
        <v/>
      </c>
    </row>
    <row r="7526">
      <c r="N7526">
        <f>IF(AND(ISNUMBER(L7526),ISNUMBER(M7526)),L7526-M7526,"")</f>
        <v/>
      </c>
    </row>
    <row r="7527">
      <c r="N7527">
        <f>IF(AND(ISNUMBER(L7527),ISNUMBER(M7527)),L7527-M7527,"")</f>
        <v/>
      </c>
    </row>
    <row r="7528">
      <c r="N7528">
        <f>IF(AND(ISNUMBER(L7528),ISNUMBER(M7528)),L7528-M7528,"")</f>
        <v/>
      </c>
    </row>
    <row r="7529">
      <c r="N7529">
        <f>IF(AND(ISNUMBER(L7529),ISNUMBER(M7529)),L7529-M7529,"")</f>
        <v/>
      </c>
    </row>
    <row r="7530">
      <c r="N7530">
        <f>IF(AND(ISNUMBER(L7530),ISNUMBER(M7530)),L7530-M7530,"")</f>
        <v/>
      </c>
    </row>
    <row r="7531">
      <c r="N7531">
        <f>IF(AND(ISNUMBER(L7531),ISNUMBER(M7531)),L7531-M7531,"")</f>
        <v/>
      </c>
    </row>
    <row r="7532">
      <c r="N7532">
        <f>IF(AND(ISNUMBER(L7532),ISNUMBER(M7532)),L7532-M7532,"")</f>
        <v/>
      </c>
    </row>
    <row r="7533">
      <c r="N7533">
        <f>IF(AND(ISNUMBER(L7533),ISNUMBER(M7533)),L7533-M7533,"")</f>
        <v/>
      </c>
    </row>
    <row r="7534">
      <c r="N7534">
        <f>IF(AND(ISNUMBER(L7534),ISNUMBER(M7534)),L7534-M7534,"")</f>
        <v/>
      </c>
    </row>
    <row r="7535">
      <c r="N7535">
        <f>IF(AND(ISNUMBER(L7535),ISNUMBER(M7535)),L7535-M7535,"")</f>
        <v/>
      </c>
    </row>
    <row r="7536">
      <c r="N7536">
        <f>IF(AND(ISNUMBER(L7536),ISNUMBER(M7536)),L7536-M7536,"")</f>
        <v/>
      </c>
    </row>
    <row r="7537">
      <c r="N7537">
        <f>IF(AND(ISNUMBER(L7537),ISNUMBER(M7537)),L7537-M7537,"")</f>
        <v/>
      </c>
    </row>
    <row r="7538">
      <c r="N7538">
        <f>IF(AND(ISNUMBER(L7538),ISNUMBER(M7538)),L7538-M7538,"")</f>
        <v/>
      </c>
    </row>
    <row r="7539">
      <c r="N7539">
        <f>IF(AND(ISNUMBER(L7539),ISNUMBER(M7539)),L7539-M7539,"")</f>
        <v/>
      </c>
    </row>
    <row r="7540">
      <c r="N7540">
        <f>IF(AND(ISNUMBER(L7540),ISNUMBER(M7540)),L7540-M7540,"")</f>
        <v/>
      </c>
    </row>
    <row r="7541">
      <c r="N7541">
        <f>IF(AND(ISNUMBER(L7541),ISNUMBER(M7541)),L7541-M7541,"")</f>
        <v/>
      </c>
    </row>
    <row r="7542">
      <c r="N7542">
        <f>IF(AND(ISNUMBER(L7542),ISNUMBER(M7542)),L7542-M7542,"")</f>
        <v/>
      </c>
    </row>
    <row r="7543">
      <c r="N7543">
        <f>IF(AND(ISNUMBER(L7543),ISNUMBER(M7543)),L7543-M7543,"")</f>
        <v/>
      </c>
    </row>
    <row r="7544">
      <c r="N7544">
        <f>IF(AND(ISNUMBER(L7544),ISNUMBER(M7544)),L7544-M7544,"")</f>
        <v/>
      </c>
    </row>
    <row r="7545">
      <c r="N7545">
        <f>IF(AND(ISNUMBER(L7545),ISNUMBER(M7545)),L7545-M7545,"")</f>
        <v/>
      </c>
    </row>
    <row r="7546">
      <c r="N7546">
        <f>IF(AND(ISNUMBER(L7546),ISNUMBER(M7546)),L7546-M7546,"")</f>
        <v/>
      </c>
    </row>
    <row r="7547">
      <c r="N7547">
        <f>IF(AND(ISNUMBER(L7547),ISNUMBER(M7547)),L7547-M7547,"")</f>
        <v/>
      </c>
    </row>
    <row r="7548">
      <c r="N7548">
        <f>IF(AND(ISNUMBER(L7548),ISNUMBER(M7548)),L7548-M7548,"")</f>
        <v/>
      </c>
    </row>
    <row r="7549">
      <c r="N7549">
        <f>IF(AND(ISNUMBER(L7549),ISNUMBER(M7549)),L7549-M7549,"")</f>
        <v/>
      </c>
    </row>
    <row r="7550">
      <c r="N7550">
        <f>IF(AND(ISNUMBER(L7550),ISNUMBER(M7550)),L7550-M7550,"")</f>
        <v/>
      </c>
    </row>
    <row r="7551">
      <c r="N7551">
        <f>IF(AND(ISNUMBER(L7551),ISNUMBER(M7551)),L7551-M7551,"")</f>
        <v/>
      </c>
    </row>
    <row r="7552">
      <c r="N7552">
        <f>IF(AND(ISNUMBER(L7552),ISNUMBER(M7552)),L7552-M7552,"")</f>
        <v/>
      </c>
    </row>
    <row r="7553">
      <c r="N7553">
        <f>IF(AND(ISNUMBER(L7553),ISNUMBER(M7553)),L7553-M7553,"")</f>
        <v/>
      </c>
    </row>
    <row r="7554">
      <c r="N7554">
        <f>IF(AND(ISNUMBER(L7554),ISNUMBER(M7554)),L7554-M7554,"")</f>
        <v/>
      </c>
    </row>
    <row r="7555">
      <c r="N7555">
        <f>IF(AND(ISNUMBER(L7555),ISNUMBER(M7555)),L7555-M7555,"")</f>
        <v/>
      </c>
    </row>
    <row r="7556">
      <c r="N7556">
        <f>IF(AND(ISNUMBER(L7556),ISNUMBER(M7556)),L7556-M7556,"")</f>
        <v/>
      </c>
    </row>
    <row r="7557">
      <c r="N7557">
        <f>IF(AND(ISNUMBER(L7557),ISNUMBER(M7557)),L7557-M7557,"")</f>
        <v/>
      </c>
    </row>
    <row r="7558">
      <c r="N7558">
        <f>IF(AND(ISNUMBER(L7558),ISNUMBER(M7558)),L7558-M7558,"")</f>
        <v/>
      </c>
    </row>
    <row r="7559">
      <c r="N7559">
        <f>IF(AND(ISNUMBER(L7559),ISNUMBER(M7559)),L7559-M7559,"")</f>
        <v/>
      </c>
    </row>
    <row r="7560">
      <c r="N7560">
        <f>IF(AND(ISNUMBER(L7560),ISNUMBER(M7560)),L7560-M7560,"")</f>
        <v/>
      </c>
    </row>
    <row r="7561">
      <c r="N7561">
        <f>IF(AND(ISNUMBER(L7561),ISNUMBER(M7561)),L7561-M7561,"")</f>
        <v/>
      </c>
    </row>
    <row r="7562">
      <c r="N7562">
        <f>IF(AND(ISNUMBER(L7562),ISNUMBER(M7562)),L7562-M7562,"")</f>
        <v/>
      </c>
    </row>
    <row r="7563">
      <c r="N7563">
        <f>IF(AND(ISNUMBER(L7563),ISNUMBER(M7563)),L7563-M7563,"")</f>
        <v/>
      </c>
    </row>
    <row r="7564">
      <c r="N7564">
        <f>IF(AND(ISNUMBER(L7564),ISNUMBER(M7564)),L7564-M7564,"")</f>
        <v/>
      </c>
    </row>
    <row r="7565">
      <c r="N7565">
        <f>IF(AND(ISNUMBER(L7565),ISNUMBER(M7565)),L7565-M7565,"")</f>
        <v/>
      </c>
    </row>
    <row r="7566">
      <c r="N7566">
        <f>IF(AND(ISNUMBER(L7566),ISNUMBER(M7566)),L7566-M7566,"")</f>
        <v/>
      </c>
    </row>
    <row r="7567">
      <c r="N7567">
        <f>IF(AND(ISNUMBER(L7567),ISNUMBER(M7567)),L7567-M7567,"")</f>
        <v/>
      </c>
    </row>
    <row r="7568">
      <c r="N7568">
        <f>IF(AND(ISNUMBER(L7568),ISNUMBER(M7568)),L7568-M7568,"")</f>
        <v/>
      </c>
    </row>
    <row r="7569">
      <c r="N7569">
        <f>IF(AND(ISNUMBER(L7569),ISNUMBER(M7569)),L7569-M7569,"")</f>
        <v/>
      </c>
    </row>
    <row r="7570">
      <c r="N7570">
        <f>IF(AND(ISNUMBER(L7570),ISNUMBER(M7570)),L7570-M7570,"")</f>
        <v/>
      </c>
    </row>
    <row r="7571">
      <c r="N7571">
        <f>IF(AND(ISNUMBER(L7571),ISNUMBER(M7571)),L7571-M7571,"")</f>
        <v/>
      </c>
    </row>
    <row r="7572">
      <c r="N7572">
        <f>IF(AND(ISNUMBER(L7572),ISNUMBER(M7572)),L7572-M7572,"")</f>
        <v/>
      </c>
    </row>
    <row r="7573">
      <c r="N7573">
        <f>IF(AND(ISNUMBER(L7573),ISNUMBER(M7573)),L7573-M7573,"")</f>
        <v/>
      </c>
    </row>
    <row r="7574">
      <c r="N7574">
        <f>IF(AND(ISNUMBER(L7574),ISNUMBER(M7574)),L7574-M7574,"")</f>
        <v/>
      </c>
    </row>
    <row r="7575">
      <c r="N7575">
        <f>IF(AND(ISNUMBER(L7575),ISNUMBER(M7575)),L7575-M7575,"")</f>
        <v/>
      </c>
    </row>
    <row r="7576">
      <c r="N7576">
        <f>IF(AND(ISNUMBER(L7576),ISNUMBER(M7576)),L7576-M7576,"")</f>
        <v/>
      </c>
    </row>
    <row r="7577">
      <c r="N7577">
        <f>IF(AND(ISNUMBER(L7577),ISNUMBER(M7577)),L7577-M7577,"")</f>
        <v/>
      </c>
    </row>
    <row r="7578">
      <c r="N7578">
        <f>IF(AND(ISNUMBER(L7578),ISNUMBER(M7578)),L7578-M7578,"")</f>
        <v/>
      </c>
    </row>
    <row r="7579">
      <c r="N7579">
        <f>IF(AND(ISNUMBER(L7579),ISNUMBER(M7579)),L7579-M7579,"")</f>
        <v/>
      </c>
    </row>
    <row r="7580">
      <c r="N7580">
        <f>IF(AND(ISNUMBER(L7580),ISNUMBER(M7580)),L7580-M7580,"")</f>
        <v/>
      </c>
    </row>
    <row r="7581">
      <c r="N7581">
        <f>IF(AND(ISNUMBER(L7581),ISNUMBER(M7581)),L7581-M7581,"")</f>
        <v/>
      </c>
    </row>
    <row r="7582">
      <c r="N7582">
        <f>IF(AND(ISNUMBER(L7582),ISNUMBER(M7582)),L7582-M7582,"")</f>
        <v/>
      </c>
    </row>
    <row r="7583">
      <c r="N7583">
        <f>IF(AND(ISNUMBER(L7583),ISNUMBER(M7583)),L7583-M7583,"")</f>
        <v/>
      </c>
    </row>
    <row r="7584">
      <c r="N7584">
        <f>IF(AND(ISNUMBER(L7584),ISNUMBER(M7584)),L7584-M7584,"")</f>
        <v/>
      </c>
    </row>
    <row r="7585">
      <c r="N7585">
        <f>IF(AND(ISNUMBER(L7585),ISNUMBER(M7585)),L7585-M7585,"")</f>
        <v/>
      </c>
    </row>
    <row r="7586">
      <c r="N7586">
        <f>IF(AND(ISNUMBER(L7586),ISNUMBER(M7586)),L7586-M7586,"")</f>
        <v/>
      </c>
    </row>
    <row r="7587">
      <c r="N7587">
        <f>IF(AND(ISNUMBER(L7587),ISNUMBER(M7587)),L7587-M7587,"")</f>
        <v/>
      </c>
    </row>
    <row r="7588">
      <c r="N7588">
        <f>IF(AND(ISNUMBER(L7588),ISNUMBER(M7588)),L7588-M7588,"")</f>
        <v/>
      </c>
    </row>
    <row r="7589">
      <c r="N7589">
        <f>IF(AND(ISNUMBER(L7589),ISNUMBER(M7589)),L7589-M7589,"")</f>
        <v/>
      </c>
    </row>
    <row r="7590">
      <c r="N7590">
        <f>IF(AND(ISNUMBER(L7590),ISNUMBER(M7590)),L7590-M7590,"")</f>
        <v/>
      </c>
    </row>
    <row r="7591">
      <c r="N7591">
        <f>IF(AND(ISNUMBER(L7591),ISNUMBER(M7591)),L7591-M7591,"")</f>
        <v/>
      </c>
    </row>
    <row r="7592">
      <c r="N7592">
        <f>IF(AND(ISNUMBER(L7592),ISNUMBER(M7592)),L7592-M7592,"")</f>
        <v/>
      </c>
    </row>
    <row r="7593">
      <c r="N7593">
        <f>IF(AND(ISNUMBER(L7593),ISNUMBER(M7593)),L7593-M7593,"")</f>
        <v/>
      </c>
    </row>
    <row r="7594">
      <c r="N7594">
        <f>IF(AND(ISNUMBER(L7594),ISNUMBER(M7594)),L7594-M7594,"")</f>
        <v/>
      </c>
    </row>
    <row r="7595">
      <c r="N7595">
        <f>IF(AND(ISNUMBER(L7595),ISNUMBER(M7595)),L7595-M7595,"")</f>
        <v/>
      </c>
    </row>
    <row r="7596">
      <c r="N7596">
        <f>IF(AND(ISNUMBER(L7596),ISNUMBER(M7596)),L7596-M7596,"")</f>
        <v/>
      </c>
    </row>
    <row r="7597">
      <c r="N7597">
        <f>IF(AND(ISNUMBER(L7597),ISNUMBER(M7597)),L7597-M7597,"")</f>
        <v/>
      </c>
    </row>
    <row r="7598">
      <c r="N7598">
        <f>IF(AND(ISNUMBER(L7598),ISNUMBER(M7598)),L7598-M7598,"")</f>
        <v/>
      </c>
    </row>
    <row r="7599">
      <c r="N7599">
        <f>IF(AND(ISNUMBER(L7599),ISNUMBER(M7599)),L7599-M7599,"")</f>
        <v/>
      </c>
    </row>
    <row r="7600">
      <c r="N7600">
        <f>IF(AND(ISNUMBER(L7600),ISNUMBER(M7600)),L7600-M7600,"")</f>
        <v/>
      </c>
    </row>
    <row r="7601">
      <c r="N7601">
        <f>IF(AND(ISNUMBER(L7601),ISNUMBER(M7601)),L7601-M7601,"")</f>
        <v/>
      </c>
    </row>
    <row r="7602">
      <c r="N7602">
        <f>IF(AND(ISNUMBER(L7602),ISNUMBER(M7602)),L7602-M7602,"")</f>
        <v/>
      </c>
    </row>
    <row r="7603">
      <c r="N7603">
        <f>IF(AND(ISNUMBER(L7603),ISNUMBER(M7603)),L7603-M7603,"")</f>
        <v/>
      </c>
    </row>
    <row r="7604">
      <c r="N7604">
        <f>IF(AND(ISNUMBER(L7604),ISNUMBER(M7604)),L7604-M7604,"")</f>
        <v/>
      </c>
    </row>
    <row r="7605">
      <c r="N7605">
        <f>IF(AND(ISNUMBER(L7605),ISNUMBER(M7605)),L7605-M7605,"")</f>
        <v/>
      </c>
    </row>
    <row r="7606">
      <c r="N7606">
        <f>IF(AND(ISNUMBER(L7606),ISNUMBER(M7606)),L7606-M7606,"")</f>
        <v/>
      </c>
    </row>
    <row r="7607">
      <c r="N7607">
        <f>IF(AND(ISNUMBER(L7607),ISNUMBER(M7607)),L7607-M7607,"")</f>
        <v/>
      </c>
    </row>
    <row r="7608">
      <c r="N7608">
        <f>IF(AND(ISNUMBER(L7608),ISNUMBER(M7608)),L7608-M7608,"")</f>
        <v/>
      </c>
    </row>
    <row r="7609">
      <c r="N7609">
        <f>IF(AND(ISNUMBER(L7609),ISNUMBER(M7609)),L7609-M7609,"")</f>
        <v/>
      </c>
    </row>
    <row r="7610">
      <c r="N7610">
        <f>IF(AND(ISNUMBER(L7610),ISNUMBER(M7610)),L7610-M7610,"")</f>
        <v/>
      </c>
    </row>
    <row r="7611">
      <c r="N7611">
        <f>IF(AND(ISNUMBER(L7611),ISNUMBER(M7611)),L7611-M7611,"")</f>
        <v/>
      </c>
    </row>
    <row r="7612">
      <c r="N7612">
        <f>IF(AND(ISNUMBER(L7612),ISNUMBER(M7612)),L7612-M7612,"")</f>
        <v/>
      </c>
    </row>
    <row r="7613">
      <c r="N7613">
        <f>IF(AND(ISNUMBER(L7613),ISNUMBER(M7613)),L7613-M7613,"")</f>
        <v/>
      </c>
    </row>
    <row r="7614">
      <c r="N7614">
        <f>IF(AND(ISNUMBER(L7614),ISNUMBER(M7614)),L7614-M7614,"")</f>
        <v/>
      </c>
    </row>
    <row r="7615">
      <c r="N7615">
        <f>IF(AND(ISNUMBER(L7615),ISNUMBER(M7615)),L7615-M7615,"")</f>
        <v/>
      </c>
    </row>
    <row r="7616">
      <c r="N7616">
        <f>IF(AND(ISNUMBER(L7616),ISNUMBER(M7616)),L7616-M7616,"")</f>
        <v/>
      </c>
    </row>
    <row r="7617">
      <c r="N7617">
        <f>IF(AND(ISNUMBER(L7617),ISNUMBER(M7617)),L7617-M7617,"")</f>
        <v/>
      </c>
    </row>
    <row r="7618">
      <c r="N7618">
        <f>IF(AND(ISNUMBER(L7618),ISNUMBER(M7618)),L7618-M7618,"")</f>
        <v/>
      </c>
    </row>
    <row r="7619">
      <c r="N7619">
        <f>IF(AND(ISNUMBER(L7619),ISNUMBER(M7619)),L7619-M7619,"")</f>
        <v/>
      </c>
    </row>
    <row r="7620">
      <c r="N7620">
        <f>IF(AND(ISNUMBER(L7620),ISNUMBER(M7620)),L7620-M7620,"")</f>
        <v/>
      </c>
    </row>
    <row r="7621">
      <c r="N7621">
        <f>IF(AND(ISNUMBER(L7621),ISNUMBER(M7621)),L7621-M7621,"")</f>
        <v/>
      </c>
    </row>
    <row r="7622">
      <c r="N7622">
        <f>IF(AND(ISNUMBER(L7622),ISNUMBER(M7622)),L7622-M7622,"")</f>
        <v/>
      </c>
    </row>
    <row r="7623">
      <c r="N7623">
        <f>IF(AND(ISNUMBER(L7623),ISNUMBER(M7623)),L7623-M7623,"")</f>
        <v/>
      </c>
    </row>
    <row r="7624">
      <c r="N7624">
        <f>IF(AND(ISNUMBER(L7624),ISNUMBER(M7624)),L7624-M7624,"")</f>
        <v/>
      </c>
    </row>
    <row r="7625">
      <c r="N7625">
        <f>IF(AND(ISNUMBER(L7625),ISNUMBER(M7625)),L7625-M7625,"")</f>
        <v/>
      </c>
    </row>
    <row r="7626">
      <c r="N7626">
        <f>IF(AND(ISNUMBER(L7626),ISNUMBER(M7626)),L7626-M7626,"")</f>
        <v/>
      </c>
    </row>
    <row r="7627">
      <c r="N7627">
        <f>IF(AND(ISNUMBER(L7627),ISNUMBER(M7627)),L7627-M7627,"")</f>
        <v/>
      </c>
    </row>
    <row r="7628">
      <c r="N7628">
        <f>IF(AND(ISNUMBER(L7628),ISNUMBER(M7628)),L7628-M7628,"")</f>
        <v/>
      </c>
    </row>
    <row r="7629">
      <c r="N7629">
        <f>IF(AND(ISNUMBER(L7629),ISNUMBER(M7629)),L7629-M7629,"")</f>
        <v/>
      </c>
    </row>
    <row r="7630">
      <c r="N7630">
        <f>IF(AND(ISNUMBER(L7630),ISNUMBER(M7630)),L7630-M7630,"")</f>
        <v/>
      </c>
    </row>
    <row r="7631">
      <c r="N7631">
        <f>IF(AND(ISNUMBER(L7631),ISNUMBER(M7631)),L7631-M7631,"")</f>
        <v/>
      </c>
    </row>
    <row r="7632">
      <c r="N7632">
        <f>IF(AND(ISNUMBER(L7632),ISNUMBER(M7632)),L7632-M7632,"")</f>
        <v/>
      </c>
    </row>
    <row r="7633">
      <c r="N7633">
        <f>IF(AND(ISNUMBER(L7633),ISNUMBER(M7633)),L7633-M7633,"")</f>
        <v/>
      </c>
    </row>
    <row r="7634">
      <c r="N7634">
        <f>IF(AND(ISNUMBER(L7634),ISNUMBER(M7634)),L7634-M7634,"")</f>
        <v/>
      </c>
    </row>
    <row r="7635">
      <c r="N7635">
        <f>IF(AND(ISNUMBER(L7635),ISNUMBER(M7635)),L7635-M7635,"")</f>
        <v/>
      </c>
    </row>
    <row r="7636">
      <c r="N7636">
        <f>IF(AND(ISNUMBER(L7636),ISNUMBER(M7636)),L7636-M7636,"")</f>
        <v/>
      </c>
    </row>
    <row r="7637">
      <c r="N7637">
        <f>IF(AND(ISNUMBER(L7637),ISNUMBER(M7637)),L7637-M7637,"")</f>
        <v/>
      </c>
    </row>
    <row r="7638">
      <c r="N7638">
        <f>IF(AND(ISNUMBER(L7638),ISNUMBER(M7638)),L7638-M7638,"")</f>
        <v/>
      </c>
    </row>
    <row r="7639">
      <c r="N7639">
        <f>IF(AND(ISNUMBER(L7639),ISNUMBER(M7639)),L7639-M7639,"")</f>
        <v/>
      </c>
    </row>
    <row r="7640">
      <c r="N7640">
        <f>IF(AND(ISNUMBER(L7640),ISNUMBER(M7640)),L7640-M7640,"")</f>
        <v/>
      </c>
    </row>
    <row r="7641">
      <c r="N7641">
        <f>IF(AND(ISNUMBER(L7641),ISNUMBER(M7641)),L7641-M7641,"")</f>
        <v/>
      </c>
    </row>
    <row r="7642">
      <c r="N7642">
        <f>IF(AND(ISNUMBER(L7642),ISNUMBER(M7642)),L7642-M7642,"")</f>
        <v/>
      </c>
    </row>
    <row r="7643">
      <c r="N7643">
        <f>IF(AND(ISNUMBER(L7643),ISNUMBER(M7643)),L7643-M7643,"")</f>
        <v/>
      </c>
    </row>
    <row r="7644">
      <c r="N7644">
        <f>IF(AND(ISNUMBER(L7644),ISNUMBER(M7644)),L7644-M7644,"")</f>
        <v/>
      </c>
    </row>
    <row r="7645">
      <c r="N7645">
        <f>IF(AND(ISNUMBER(L7645),ISNUMBER(M7645)),L7645-M7645,"")</f>
        <v/>
      </c>
    </row>
    <row r="7646">
      <c r="N7646">
        <f>IF(AND(ISNUMBER(L7646),ISNUMBER(M7646)),L7646-M7646,"")</f>
        <v/>
      </c>
    </row>
    <row r="7647">
      <c r="N7647">
        <f>IF(AND(ISNUMBER(L7647),ISNUMBER(M7647)),L7647-M7647,"")</f>
        <v/>
      </c>
    </row>
    <row r="7648">
      <c r="N7648">
        <f>IF(AND(ISNUMBER(L7648),ISNUMBER(M7648)),L7648-M7648,"")</f>
        <v/>
      </c>
    </row>
    <row r="7649">
      <c r="N7649">
        <f>IF(AND(ISNUMBER(L7649),ISNUMBER(M7649)),L7649-M7649,"")</f>
        <v/>
      </c>
    </row>
    <row r="7650">
      <c r="N7650">
        <f>IF(AND(ISNUMBER(L7650),ISNUMBER(M7650)),L7650-M7650,"")</f>
        <v/>
      </c>
    </row>
    <row r="7651">
      <c r="N7651">
        <f>IF(AND(ISNUMBER(L7651),ISNUMBER(M7651)),L7651-M7651,"")</f>
        <v/>
      </c>
    </row>
    <row r="7652">
      <c r="N7652">
        <f>IF(AND(ISNUMBER(L7652),ISNUMBER(M7652)),L7652-M7652,"")</f>
        <v/>
      </c>
    </row>
    <row r="7653">
      <c r="N7653">
        <f>IF(AND(ISNUMBER(L7653),ISNUMBER(M7653)),L7653-M7653,"")</f>
        <v/>
      </c>
    </row>
    <row r="7654">
      <c r="N7654">
        <f>IF(AND(ISNUMBER(L7654),ISNUMBER(M7654)),L7654-M7654,"")</f>
        <v/>
      </c>
    </row>
    <row r="7655">
      <c r="N7655">
        <f>IF(AND(ISNUMBER(L7655),ISNUMBER(M7655)),L7655-M7655,"")</f>
        <v/>
      </c>
    </row>
    <row r="7656">
      <c r="N7656">
        <f>IF(AND(ISNUMBER(L7656),ISNUMBER(M7656)),L7656-M7656,"")</f>
        <v/>
      </c>
    </row>
    <row r="7657">
      <c r="N7657">
        <f>IF(AND(ISNUMBER(L7657),ISNUMBER(M7657)),L7657-M7657,"")</f>
        <v/>
      </c>
    </row>
    <row r="7658">
      <c r="N7658">
        <f>IF(AND(ISNUMBER(L7658),ISNUMBER(M7658)),L7658-M7658,"")</f>
        <v/>
      </c>
    </row>
    <row r="7659">
      <c r="N7659">
        <f>IF(AND(ISNUMBER(L7659),ISNUMBER(M7659)),L7659-M7659,"")</f>
        <v/>
      </c>
    </row>
    <row r="7660">
      <c r="N7660">
        <f>IF(AND(ISNUMBER(L7660),ISNUMBER(M7660)),L7660-M7660,"")</f>
        <v/>
      </c>
    </row>
    <row r="7661">
      <c r="N7661">
        <f>IF(AND(ISNUMBER(L7661),ISNUMBER(M7661)),L7661-M7661,"")</f>
        <v/>
      </c>
    </row>
    <row r="7662">
      <c r="N7662">
        <f>IF(AND(ISNUMBER(L7662),ISNUMBER(M7662)),L7662-M7662,"")</f>
        <v/>
      </c>
    </row>
    <row r="7663">
      <c r="N7663">
        <f>IF(AND(ISNUMBER(L7663),ISNUMBER(M7663)),L7663-M7663,"")</f>
        <v/>
      </c>
    </row>
    <row r="7664">
      <c r="N7664">
        <f>IF(AND(ISNUMBER(L7664),ISNUMBER(M7664)),L7664-M7664,"")</f>
        <v/>
      </c>
    </row>
    <row r="7665">
      <c r="N7665">
        <f>IF(AND(ISNUMBER(L7665),ISNUMBER(M7665)),L7665-M7665,"")</f>
        <v/>
      </c>
    </row>
    <row r="7666">
      <c r="N7666">
        <f>IF(AND(ISNUMBER(L7666),ISNUMBER(M7666)),L7666-M7666,"")</f>
        <v/>
      </c>
    </row>
    <row r="7667">
      <c r="N7667">
        <f>IF(AND(ISNUMBER(L7667),ISNUMBER(M7667)),L7667-M7667,"")</f>
        <v/>
      </c>
    </row>
    <row r="7668">
      <c r="N7668">
        <f>IF(AND(ISNUMBER(L7668),ISNUMBER(M7668)),L7668-M7668,"")</f>
        <v/>
      </c>
    </row>
    <row r="7669">
      <c r="N7669">
        <f>IF(AND(ISNUMBER(L7669),ISNUMBER(M7669)),L7669-M7669,"")</f>
        <v/>
      </c>
    </row>
    <row r="7670">
      <c r="N7670">
        <f>IF(AND(ISNUMBER(L7670),ISNUMBER(M7670)),L7670-M7670,"")</f>
        <v/>
      </c>
    </row>
    <row r="7671">
      <c r="N7671">
        <f>IF(AND(ISNUMBER(L7671),ISNUMBER(M7671)),L7671-M7671,"")</f>
        <v/>
      </c>
    </row>
    <row r="7672">
      <c r="N7672">
        <f>IF(AND(ISNUMBER(L7672),ISNUMBER(M7672)),L7672-M7672,"")</f>
        <v/>
      </c>
    </row>
    <row r="7673">
      <c r="N7673">
        <f>IF(AND(ISNUMBER(L7673),ISNUMBER(M7673)),L7673-M7673,"")</f>
        <v/>
      </c>
    </row>
    <row r="7674">
      <c r="N7674">
        <f>IF(AND(ISNUMBER(L7674),ISNUMBER(M7674)),L7674-M7674,"")</f>
        <v/>
      </c>
    </row>
    <row r="7675">
      <c r="N7675">
        <f>IF(AND(ISNUMBER(L7675),ISNUMBER(M7675)),L7675-M7675,"")</f>
        <v/>
      </c>
    </row>
    <row r="7676">
      <c r="N7676">
        <f>IF(AND(ISNUMBER(L7676),ISNUMBER(M7676)),L7676-M7676,"")</f>
        <v/>
      </c>
    </row>
    <row r="7677">
      <c r="N7677">
        <f>IF(AND(ISNUMBER(L7677),ISNUMBER(M7677)),L7677-M7677,"")</f>
        <v/>
      </c>
    </row>
    <row r="7678">
      <c r="N7678">
        <f>IF(AND(ISNUMBER(L7678),ISNUMBER(M7678)),L7678-M7678,"")</f>
        <v/>
      </c>
    </row>
    <row r="7679">
      <c r="N7679">
        <f>IF(AND(ISNUMBER(L7679),ISNUMBER(M7679)),L7679-M7679,"")</f>
        <v/>
      </c>
    </row>
    <row r="7680">
      <c r="N7680">
        <f>IF(AND(ISNUMBER(L7680),ISNUMBER(M7680)),L7680-M7680,"")</f>
        <v/>
      </c>
    </row>
    <row r="7681">
      <c r="N7681">
        <f>IF(AND(ISNUMBER(L7681),ISNUMBER(M7681)),L7681-M7681,"")</f>
        <v/>
      </c>
    </row>
    <row r="7682">
      <c r="N7682">
        <f>IF(AND(ISNUMBER(L7682),ISNUMBER(M7682)),L7682-M7682,"")</f>
        <v/>
      </c>
    </row>
    <row r="7683">
      <c r="N7683">
        <f>IF(AND(ISNUMBER(L7683),ISNUMBER(M7683)),L7683-M7683,"")</f>
        <v/>
      </c>
    </row>
    <row r="7684">
      <c r="N7684">
        <f>IF(AND(ISNUMBER(L7684),ISNUMBER(M7684)),L7684-M7684,"")</f>
        <v/>
      </c>
    </row>
    <row r="7685">
      <c r="N7685">
        <f>IF(AND(ISNUMBER(L7685),ISNUMBER(M7685)),L7685-M7685,"")</f>
        <v/>
      </c>
    </row>
    <row r="7686">
      <c r="N7686">
        <f>IF(AND(ISNUMBER(L7686),ISNUMBER(M7686)),L7686-M7686,"")</f>
        <v/>
      </c>
    </row>
    <row r="7687">
      <c r="N7687">
        <f>IF(AND(ISNUMBER(L7687),ISNUMBER(M7687)),L7687-M7687,"")</f>
        <v/>
      </c>
    </row>
    <row r="7688">
      <c r="N7688">
        <f>IF(AND(ISNUMBER(L7688),ISNUMBER(M7688)),L7688-M7688,"")</f>
        <v/>
      </c>
    </row>
    <row r="7689">
      <c r="N7689">
        <f>IF(AND(ISNUMBER(L7689),ISNUMBER(M7689)),L7689-M7689,"")</f>
        <v/>
      </c>
    </row>
    <row r="7690">
      <c r="N7690">
        <f>IF(AND(ISNUMBER(L7690),ISNUMBER(M7690)),L7690-M7690,"")</f>
        <v/>
      </c>
    </row>
    <row r="7691">
      <c r="N7691">
        <f>IF(AND(ISNUMBER(L7691),ISNUMBER(M7691)),L7691-M7691,"")</f>
        <v/>
      </c>
    </row>
    <row r="7692">
      <c r="N7692">
        <f>IF(AND(ISNUMBER(L7692),ISNUMBER(M7692)),L7692-M7692,"")</f>
        <v/>
      </c>
    </row>
    <row r="7693">
      <c r="N7693">
        <f>IF(AND(ISNUMBER(L7693),ISNUMBER(M7693)),L7693-M7693,"")</f>
        <v/>
      </c>
    </row>
    <row r="7694">
      <c r="N7694">
        <f>IF(AND(ISNUMBER(L7694),ISNUMBER(M7694)),L7694-M7694,"")</f>
        <v/>
      </c>
    </row>
    <row r="7695">
      <c r="N7695">
        <f>IF(AND(ISNUMBER(L7695),ISNUMBER(M7695)),L7695-M7695,"")</f>
        <v/>
      </c>
    </row>
    <row r="7696">
      <c r="N7696">
        <f>IF(AND(ISNUMBER(L7696),ISNUMBER(M7696)),L7696-M7696,"")</f>
        <v/>
      </c>
    </row>
    <row r="7697">
      <c r="N7697">
        <f>IF(AND(ISNUMBER(L7697),ISNUMBER(M7697)),L7697-M7697,"")</f>
        <v/>
      </c>
    </row>
    <row r="7698">
      <c r="N7698">
        <f>IF(AND(ISNUMBER(L7698),ISNUMBER(M7698)),L7698-M7698,"")</f>
        <v/>
      </c>
    </row>
    <row r="7699">
      <c r="N7699">
        <f>IF(AND(ISNUMBER(L7699),ISNUMBER(M7699)),L7699-M7699,"")</f>
        <v/>
      </c>
    </row>
    <row r="7700">
      <c r="N7700">
        <f>IF(AND(ISNUMBER(L7700),ISNUMBER(M7700)),L7700-M7700,"")</f>
        <v/>
      </c>
    </row>
    <row r="7701">
      <c r="N7701">
        <f>IF(AND(ISNUMBER(L7701),ISNUMBER(M7701)),L7701-M7701,"")</f>
        <v/>
      </c>
    </row>
    <row r="7702">
      <c r="N7702">
        <f>IF(AND(ISNUMBER(L7702),ISNUMBER(M7702)),L7702-M7702,"")</f>
        <v/>
      </c>
    </row>
    <row r="7703">
      <c r="N7703">
        <f>IF(AND(ISNUMBER(L7703),ISNUMBER(M7703)),L7703-M7703,"")</f>
        <v/>
      </c>
    </row>
    <row r="7704">
      <c r="N7704">
        <f>IF(AND(ISNUMBER(L7704),ISNUMBER(M7704)),L7704-M7704,"")</f>
        <v/>
      </c>
    </row>
    <row r="7705">
      <c r="N7705">
        <f>IF(AND(ISNUMBER(L7705),ISNUMBER(M7705)),L7705-M7705,"")</f>
        <v/>
      </c>
    </row>
    <row r="7706">
      <c r="N7706">
        <f>IF(AND(ISNUMBER(L7706),ISNUMBER(M7706)),L7706-M7706,"")</f>
        <v/>
      </c>
    </row>
    <row r="7707">
      <c r="N7707">
        <f>IF(AND(ISNUMBER(L7707),ISNUMBER(M7707)),L7707-M7707,"")</f>
        <v/>
      </c>
    </row>
    <row r="7708">
      <c r="N7708">
        <f>IF(AND(ISNUMBER(L7708),ISNUMBER(M7708)),L7708-M7708,"")</f>
        <v/>
      </c>
    </row>
    <row r="7709">
      <c r="N7709">
        <f>IF(AND(ISNUMBER(L7709),ISNUMBER(M7709)),L7709-M7709,"")</f>
        <v/>
      </c>
    </row>
    <row r="7710">
      <c r="N7710">
        <f>IF(AND(ISNUMBER(L7710),ISNUMBER(M7710)),L7710-M7710,"")</f>
        <v/>
      </c>
    </row>
    <row r="7711">
      <c r="N7711">
        <f>IF(AND(ISNUMBER(L7711),ISNUMBER(M7711)),L7711-M7711,"")</f>
        <v/>
      </c>
    </row>
    <row r="7712">
      <c r="N7712">
        <f>IF(AND(ISNUMBER(L7712),ISNUMBER(M7712)),L7712-M7712,"")</f>
        <v/>
      </c>
    </row>
    <row r="7713">
      <c r="N7713">
        <f>IF(AND(ISNUMBER(L7713),ISNUMBER(M7713)),L7713-M7713,"")</f>
        <v/>
      </c>
    </row>
    <row r="7714">
      <c r="N7714">
        <f>IF(AND(ISNUMBER(L7714),ISNUMBER(M7714)),L7714-M7714,"")</f>
        <v/>
      </c>
    </row>
    <row r="7715">
      <c r="N7715">
        <f>IF(AND(ISNUMBER(L7715),ISNUMBER(M7715)),L7715-M7715,"")</f>
        <v/>
      </c>
    </row>
    <row r="7716">
      <c r="N7716">
        <f>IF(AND(ISNUMBER(L7716),ISNUMBER(M7716)),L7716-M7716,"")</f>
        <v/>
      </c>
    </row>
    <row r="7717">
      <c r="N7717">
        <f>IF(AND(ISNUMBER(L7717),ISNUMBER(M7717)),L7717-M7717,"")</f>
        <v/>
      </c>
    </row>
    <row r="7718">
      <c r="N7718">
        <f>IF(AND(ISNUMBER(L7718),ISNUMBER(M7718)),L7718-M7718,"")</f>
        <v/>
      </c>
    </row>
    <row r="7719">
      <c r="N7719">
        <f>IF(AND(ISNUMBER(L7719),ISNUMBER(M7719)),L7719-M7719,"")</f>
        <v/>
      </c>
    </row>
    <row r="7720">
      <c r="N7720">
        <f>IF(AND(ISNUMBER(L7720),ISNUMBER(M7720)),L7720-M7720,"")</f>
        <v/>
      </c>
    </row>
    <row r="7721">
      <c r="N7721">
        <f>IF(AND(ISNUMBER(L7721),ISNUMBER(M7721)),L7721-M7721,"")</f>
        <v/>
      </c>
    </row>
    <row r="7722">
      <c r="N7722">
        <f>IF(AND(ISNUMBER(L7722),ISNUMBER(M7722)),L7722-M7722,"")</f>
        <v/>
      </c>
    </row>
    <row r="7723">
      <c r="N7723">
        <f>IF(AND(ISNUMBER(L7723),ISNUMBER(M7723)),L7723-M7723,"")</f>
        <v/>
      </c>
    </row>
    <row r="7724">
      <c r="N7724">
        <f>IF(AND(ISNUMBER(L7724),ISNUMBER(M7724)),L7724-M7724,"")</f>
        <v/>
      </c>
    </row>
    <row r="7725">
      <c r="N7725">
        <f>IF(AND(ISNUMBER(L7725),ISNUMBER(M7725)),L7725-M7725,"")</f>
        <v/>
      </c>
    </row>
    <row r="7726">
      <c r="N7726">
        <f>IF(AND(ISNUMBER(L7726),ISNUMBER(M7726)),L7726-M7726,"")</f>
        <v/>
      </c>
    </row>
    <row r="7727">
      <c r="N7727">
        <f>IF(AND(ISNUMBER(L7727),ISNUMBER(M7727)),L7727-M7727,"")</f>
        <v/>
      </c>
    </row>
    <row r="7728">
      <c r="N7728">
        <f>IF(AND(ISNUMBER(L7728),ISNUMBER(M7728)),L7728-M7728,"")</f>
        <v/>
      </c>
    </row>
    <row r="7729">
      <c r="N7729">
        <f>IF(AND(ISNUMBER(L7729),ISNUMBER(M7729)),L7729-M7729,"")</f>
        <v/>
      </c>
    </row>
    <row r="7730">
      <c r="N7730">
        <f>IF(AND(ISNUMBER(L7730),ISNUMBER(M7730)),L7730-M7730,"")</f>
        <v/>
      </c>
    </row>
    <row r="7731">
      <c r="N7731">
        <f>IF(AND(ISNUMBER(L7731),ISNUMBER(M7731)),L7731-M7731,"")</f>
        <v/>
      </c>
    </row>
    <row r="7732">
      <c r="N7732">
        <f>IF(AND(ISNUMBER(L7732),ISNUMBER(M7732)),L7732-M7732,"")</f>
        <v/>
      </c>
    </row>
    <row r="7733">
      <c r="N7733">
        <f>IF(AND(ISNUMBER(L7733),ISNUMBER(M7733)),L7733-M7733,"")</f>
        <v/>
      </c>
    </row>
    <row r="7734">
      <c r="N7734">
        <f>IF(AND(ISNUMBER(L7734),ISNUMBER(M7734)),L7734-M7734,"")</f>
        <v/>
      </c>
    </row>
    <row r="7735">
      <c r="N7735">
        <f>IF(AND(ISNUMBER(L7735),ISNUMBER(M7735)),L7735-M7735,"")</f>
        <v/>
      </c>
    </row>
    <row r="7736">
      <c r="N7736">
        <f>IF(AND(ISNUMBER(L7736),ISNUMBER(M7736)),L7736-M7736,"")</f>
        <v/>
      </c>
    </row>
    <row r="7737">
      <c r="N7737">
        <f>IF(AND(ISNUMBER(L7737),ISNUMBER(M7737)),L7737-M7737,"")</f>
        <v/>
      </c>
    </row>
    <row r="7738">
      <c r="N7738">
        <f>IF(AND(ISNUMBER(L7738),ISNUMBER(M7738)),L7738-M7738,"")</f>
        <v/>
      </c>
    </row>
    <row r="7739">
      <c r="N7739">
        <f>IF(AND(ISNUMBER(L7739),ISNUMBER(M7739)),L7739-M7739,"")</f>
        <v/>
      </c>
    </row>
    <row r="7740">
      <c r="N7740">
        <f>IF(AND(ISNUMBER(L7740),ISNUMBER(M7740)),L7740-M7740,"")</f>
        <v/>
      </c>
    </row>
    <row r="7741">
      <c r="N7741">
        <f>IF(AND(ISNUMBER(L7741),ISNUMBER(M7741)),L7741-M7741,"")</f>
        <v/>
      </c>
    </row>
    <row r="7742">
      <c r="N7742">
        <f>IF(AND(ISNUMBER(L7742),ISNUMBER(M7742)),L7742-M7742,"")</f>
        <v/>
      </c>
    </row>
    <row r="7743">
      <c r="N7743">
        <f>IF(AND(ISNUMBER(L7743),ISNUMBER(M7743)),L7743-M7743,"")</f>
        <v/>
      </c>
    </row>
    <row r="7744">
      <c r="N7744">
        <f>IF(AND(ISNUMBER(L7744),ISNUMBER(M7744)),L7744-M7744,"")</f>
        <v/>
      </c>
    </row>
    <row r="7745">
      <c r="N7745">
        <f>IF(AND(ISNUMBER(L7745),ISNUMBER(M7745)),L7745-M7745,"")</f>
        <v/>
      </c>
    </row>
    <row r="7746">
      <c r="N7746">
        <f>IF(AND(ISNUMBER(L7746),ISNUMBER(M7746)),L7746-M7746,"")</f>
        <v/>
      </c>
    </row>
    <row r="7747">
      <c r="N7747">
        <f>IF(AND(ISNUMBER(L7747),ISNUMBER(M7747)),L7747-M7747,"")</f>
        <v/>
      </c>
    </row>
    <row r="7748">
      <c r="N7748">
        <f>IF(AND(ISNUMBER(L7748),ISNUMBER(M7748)),L7748-M7748,"")</f>
        <v/>
      </c>
    </row>
    <row r="7749">
      <c r="N7749">
        <f>IF(AND(ISNUMBER(L7749),ISNUMBER(M7749)),L7749-M7749,"")</f>
        <v/>
      </c>
    </row>
    <row r="7750">
      <c r="N7750">
        <f>IF(AND(ISNUMBER(L7750),ISNUMBER(M7750)),L7750-M7750,"")</f>
        <v/>
      </c>
    </row>
    <row r="7751">
      <c r="N7751">
        <f>IF(AND(ISNUMBER(L7751),ISNUMBER(M7751)),L7751-M7751,"")</f>
        <v/>
      </c>
    </row>
    <row r="7752">
      <c r="N7752">
        <f>IF(AND(ISNUMBER(L7752),ISNUMBER(M7752)),L7752-M7752,"")</f>
        <v/>
      </c>
    </row>
    <row r="7753">
      <c r="N7753">
        <f>IF(AND(ISNUMBER(L7753),ISNUMBER(M7753)),L7753-M7753,"")</f>
        <v/>
      </c>
    </row>
    <row r="7754">
      <c r="N7754">
        <f>IF(AND(ISNUMBER(L7754),ISNUMBER(M7754)),L7754-M7754,"")</f>
        <v/>
      </c>
    </row>
    <row r="7755">
      <c r="N7755">
        <f>IF(AND(ISNUMBER(L7755),ISNUMBER(M7755)),L7755-M7755,"")</f>
        <v/>
      </c>
    </row>
    <row r="7756">
      <c r="N7756">
        <f>IF(AND(ISNUMBER(L7756),ISNUMBER(M7756)),L7756-M7756,"")</f>
        <v/>
      </c>
    </row>
    <row r="7757">
      <c r="N7757">
        <f>IF(AND(ISNUMBER(L7757),ISNUMBER(M7757)),L7757-M7757,"")</f>
        <v/>
      </c>
    </row>
    <row r="7758">
      <c r="N7758">
        <f>IF(AND(ISNUMBER(L7758),ISNUMBER(M7758)),L7758-M7758,"")</f>
        <v/>
      </c>
    </row>
    <row r="7759">
      <c r="N7759">
        <f>IF(AND(ISNUMBER(L7759),ISNUMBER(M7759)),L7759-M7759,"")</f>
        <v/>
      </c>
    </row>
    <row r="7760">
      <c r="N7760">
        <f>IF(AND(ISNUMBER(L7760),ISNUMBER(M7760)),L7760-M7760,"")</f>
        <v/>
      </c>
    </row>
    <row r="7761">
      <c r="N7761">
        <f>IF(AND(ISNUMBER(L7761),ISNUMBER(M7761)),L7761-M7761,"")</f>
        <v/>
      </c>
    </row>
    <row r="7762">
      <c r="N7762">
        <f>IF(AND(ISNUMBER(L7762),ISNUMBER(M7762)),L7762-M7762,"")</f>
        <v/>
      </c>
    </row>
    <row r="7763">
      <c r="N7763">
        <f>IF(AND(ISNUMBER(L7763),ISNUMBER(M7763)),L7763-M7763,"")</f>
        <v/>
      </c>
    </row>
    <row r="7764">
      <c r="N7764">
        <f>IF(AND(ISNUMBER(L7764),ISNUMBER(M7764)),L7764-M7764,"")</f>
        <v/>
      </c>
    </row>
    <row r="7765">
      <c r="N7765">
        <f>IF(AND(ISNUMBER(L7765),ISNUMBER(M7765)),L7765-M7765,"")</f>
        <v/>
      </c>
    </row>
    <row r="7766">
      <c r="N7766">
        <f>IF(AND(ISNUMBER(L7766),ISNUMBER(M7766)),L7766-M7766,"")</f>
        <v/>
      </c>
    </row>
    <row r="7767">
      <c r="N7767">
        <f>IF(AND(ISNUMBER(L7767),ISNUMBER(M7767)),L7767-M7767,"")</f>
        <v/>
      </c>
    </row>
    <row r="7768">
      <c r="N7768">
        <f>IF(AND(ISNUMBER(L7768),ISNUMBER(M7768)),L7768-M7768,"")</f>
        <v/>
      </c>
    </row>
    <row r="7769">
      <c r="N7769">
        <f>IF(AND(ISNUMBER(L7769),ISNUMBER(M7769)),L7769-M7769,"")</f>
        <v/>
      </c>
    </row>
    <row r="7770">
      <c r="N7770">
        <f>IF(AND(ISNUMBER(L7770),ISNUMBER(M7770)),L7770-M7770,"")</f>
        <v/>
      </c>
    </row>
    <row r="7771">
      <c r="N7771">
        <f>IF(AND(ISNUMBER(L7771),ISNUMBER(M7771)),L7771-M7771,"")</f>
        <v/>
      </c>
    </row>
    <row r="7772">
      <c r="N7772">
        <f>IF(AND(ISNUMBER(L7772),ISNUMBER(M7772)),L7772-M7772,"")</f>
        <v/>
      </c>
    </row>
    <row r="7773">
      <c r="N7773">
        <f>IF(AND(ISNUMBER(L7773),ISNUMBER(M7773)),L7773-M7773,"")</f>
        <v/>
      </c>
    </row>
    <row r="7774">
      <c r="N7774">
        <f>IF(AND(ISNUMBER(L7774),ISNUMBER(M7774)),L7774-M7774,"")</f>
        <v/>
      </c>
    </row>
    <row r="7775">
      <c r="N7775">
        <f>IF(AND(ISNUMBER(L7775),ISNUMBER(M7775)),L7775-M7775,"")</f>
        <v/>
      </c>
    </row>
    <row r="7776">
      <c r="N7776">
        <f>IF(AND(ISNUMBER(L7776),ISNUMBER(M7776)),L7776-M7776,"")</f>
        <v/>
      </c>
    </row>
    <row r="7777">
      <c r="N7777">
        <f>IF(AND(ISNUMBER(L7777),ISNUMBER(M7777)),L7777-M7777,"")</f>
        <v/>
      </c>
    </row>
    <row r="7778">
      <c r="N7778">
        <f>IF(AND(ISNUMBER(L7778),ISNUMBER(M7778)),L7778-M7778,"")</f>
        <v/>
      </c>
    </row>
    <row r="7779">
      <c r="N7779">
        <f>IF(AND(ISNUMBER(L7779),ISNUMBER(M7779)),L7779-M7779,"")</f>
        <v/>
      </c>
    </row>
    <row r="7780">
      <c r="N7780">
        <f>IF(AND(ISNUMBER(L7780),ISNUMBER(M7780)),L7780-M7780,"")</f>
        <v/>
      </c>
    </row>
    <row r="7781">
      <c r="N7781">
        <f>IF(AND(ISNUMBER(L7781),ISNUMBER(M7781)),L7781-M7781,"")</f>
        <v/>
      </c>
    </row>
    <row r="7782">
      <c r="N7782">
        <f>IF(AND(ISNUMBER(L7782),ISNUMBER(M7782)),L7782-M7782,"")</f>
        <v/>
      </c>
    </row>
    <row r="7783">
      <c r="N7783">
        <f>IF(AND(ISNUMBER(L7783),ISNUMBER(M7783)),L7783-M7783,"")</f>
        <v/>
      </c>
    </row>
    <row r="7784">
      <c r="N7784">
        <f>IF(AND(ISNUMBER(L7784),ISNUMBER(M7784)),L7784-M7784,"")</f>
        <v/>
      </c>
    </row>
    <row r="7785">
      <c r="N7785">
        <f>IF(AND(ISNUMBER(L7785),ISNUMBER(M7785)),L7785-M7785,"")</f>
        <v/>
      </c>
    </row>
    <row r="7786">
      <c r="N7786">
        <f>IF(AND(ISNUMBER(L7786),ISNUMBER(M7786)),L7786-M7786,"")</f>
        <v/>
      </c>
    </row>
    <row r="7787">
      <c r="N7787">
        <f>IF(AND(ISNUMBER(L7787),ISNUMBER(M7787)),L7787-M7787,"")</f>
        <v/>
      </c>
    </row>
    <row r="7788">
      <c r="N7788">
        <f>IF(AND(ISNUMBER(L7788),ISNUMBER(M7788)),L7788-M7788,"")</f>
        <v/>
      </c>
    </row>
    <row r="7789">
      <c r="N7789">
        <f>IF(AND(ISNUMBER(L7789),ISNUMBER(M7789)),L7789-M7789,"")</f>
        <v/>
      </c>
    </row>
    <row r="7790">
      <c r="N7790">
        <f>IF(AND(ISNUMBER(L7790),ISNUMBER(M7790)),L7790-M7790,"")</f>
        <v/>
      </c>
    </row>
    <row r="7791">
      <c r="N7791">
        <f>IF(AND(ISNUMBER(L7791),ISNUMBER(M7791)),L7791-M7791,"")</f>
        <v/>
      </c>
    </row>
    <row r="7792">
      <c r="N7792">
        <f>IF(AND(ISNUMBER(L7792),ISNUMBER(M7792)),L7792-M7792,"")</f>
        <v/>
      </c>
    </row>
    <row r="7793">
      <c r="N7793">
        <f>IF(AND(ISNUMBER(L7793),ISNUMBER(M7793)),L7793-M7793,"")</f>
        <v/>
      </c>
    </row>
    <row r="7794">
      <c r="N7794">
        <f>IF(AND(ISNUMBER(L7794),ISNUMBER(M7794)),L7794-M7794,"")</f>
        <v/>
      </c>
    </row>
    <row r="7795">
      <c r="N7795">
        <f>IF(AND(ISNUMBER(L7795),ISNUMBER(M7795)),L7795-M7795,"")</f>
        <v/>
      </c>
    </row>
    <row r="7796">
      <c r="N7796">
        <f>IF(AND(ISNUMBER(L7796),ISNUMBER(M7796)),L7796-M7796,"")</f>
        <v/>
      </c>
    </row>
    <row r="7797">
      <c r="N7797">
        <f>IF(AND(ISNUMBER(L7797),ISNUMBER(M7797)),L7797-M7797,"")</f>
        <v/>
      </c>
    </row>
    <row r="7798">
      <c r="N7798">
        <f>IF(AND(ISNUMBER(L7798),ISNUMBER(M7798)),L7798-M7798,"")</f>
        <v/>
      </c>
    </row>
    <row r="7799">
      <c r="N7799">
        <f>IF(AND(ISNUMBER(L7799),ISNUMBER(M7799)),L7799-M7799,"")</f>
        <v/>
      </c>
    </row>
    <row r="7800">
      <c r="N7800">
        <f>IF(AND(ISNUMBER(L7800),ISNUMBER(M7800)),L7800-M7800,"")</f>
        <v/>
      </c>
    </row>
    <row r="7801">
      <c r="N7801">
        <f>IF(AND(ISNUMBER(L7801),ISNUMBER(M7801)),L7801-M7801,"")</f>
        <v/>
      </c>
    </row>
    <row r="7802">
      <c r="N7802">
        <f>IF(AND(ISNUMBER(L7802),ISNUMBER(M7802)),L7802-M7802,"")</f>
        <v/>
      </c>
    </row>
    <row r="7803">
      <c r="N7803">
        <f>IF(AND(ISNUMBER(L7803),ISNUMBER(M7803)),L7803-M7803,"")</f>
        <v/>
      </c>
    </row>
    <row r="7804">
      <c r="N7804">
        <f>IF(AND(ISNUMBER(L7804),ISNUMBER(M7804)),L7804-M7804,"")</f>
        <v/>
      </c>
    </row>
    <row r="7805">
      <c r="N7805">
        <f>IF(AND(ISNUMBER(L7805),ISNUMBER(M7805)),L7805-M7805,"")</f>
        <v/>
      </c>
    </row>
    <row r="7806">
      <c r="N7806">
        <f>IF(AND(ISNUMBER(L7806),ISNUMBER(M7806)),L7806-M7806,"")</f>
        <v/>
      </c>
    </row>
    <row r="7807">
      <c r="N7807">
        <f>IF(AND(ISNUMBER(L7807),ISNUMBER(M7807)),L7807-M7807,"")</f>
        <v/>
      </c>
    </row>
    <row r="7808">
      <c r="N7808">
        <f>IF(AND(ISNUMBER(L7808),ISNUMBER(M7808)),L7808-M7808,"")</f>
        <v/>
      </c>
    </row>
    <row r="7809">
      <c r="N7809">
        <f>IF(AND(ISNUMBER(L7809),ISNUMBER(M7809)),L7809-M7809,"")</f>
        <v/>
      </c>
    </row>
    <row r="7810">
      <c r="N7810">
        <f>IF(AND(ISNUMBER(L7810),ISNUMBER(M7810)),L7810-M7810,"")</f>
        <v/>
      </c>
    </row>
    <row r="7811">
      <c r="N7811">
        <f>IF(AND(ISNUMBER(L7811),ISNUMBER(M7811)),L7811-M7811,"")</f>
        <v/>
      </c>
    </row>
    <row r="7812">
      <c r="N7812">
        <f>IF(AND(ISNUMBER(L7812),ISNUMBER(M7812)),L7812-M7812,"")</f>
        <v/>
      </c>
    </row>
    <row r="7813">
      <c r="N7813">
        <f>IF(AND(ISNUMBER(L7813),ISNUMBER(M7813)),L7813-M7813,"")</f>
        <v/>
      </c>
    </row>
    <row r="7814">
      <c r="N7814">
        <f>IF(AND(ISNUMBER(L7814),ISNUMBER(M7814)),L7814-M7814,"")</f>
        <v/>
      </c>
    </row>
    <row r="7815">
      <c r="N7815">
        <f>IF(AND(ISNUMBER(L7815),ISNUMBER(M7815)),L7815-M7815,"")</f>
        <v/>
      </c>
    </row>
    <row r="7816">
      <c r="N7816">
        <f>IF(AND(ISNUMBER(L7816),ISNUMBER(M7816)),L7816-M7816,"")</f>
        <v/>
      </c>
    </row>
    <row r="7817">
      <c r="N7817">
        <f>IF(AND(ISNUMBER(L7817),ISNUMBER(M7817)),L7817-M7817,"")</f>
        <v/>
      </c>
    </row>
    <row r="7818">
      <c r="N7818">
        <f>IF(AND(ISNUMBER(L7818),ISNUMBER(M7818)),L7818-M7818,"")</f>
        <v/>
      </c>
    </row>
    <row r="7819">
      <c r="N7819">
        <f>IF(AND(ISNUMBER(L7819),ISNUMBER(M7819)),L7819-M7819,"")</f>
        <v/>
      </c>
    </row>
    <row r="7820">
      <c r="N7820">
        <f>IF(AND(ISNUMBER(L7820),ISNUMBER(M7820)),L7820-M7820,"")</f>
        <v/>
      </c>
    </row>
    <row r="7821">
      <c r="N7821">
        <f>IF(AND(ISNUMBER(L7821),ISNUMBER(M7821)),L7821-M7821,"")</f>
        <v/>
      </c>
    </row>
    <row r="7822">
      <c r="N7822">
        <f>IF(AND(ISNUMBER(L7822),ISNUMBER(M7822)),L7822-M7822,"")</f>
        <v/>
      </c>
    </row>
    <row r="7823">
      <c r="N7823">
        <f>IF(AND(ISNUMBER(L7823),ISNUMBER(M7823)),L7823-M7823,"")</f>
        <v/>
      </c>
    </row>
    <row r="7824">
      <c r="N7824">
        <f>IF(AND(ISNUMBER(L7824),ISNUMBER(M7824)),L7824-M7824,"")</f>
        <v/>
      </c>
    </row>
    <row r="7825">
      <c r="N7825">
        <f>IF(AND(ISNUMBER(L7825),ISNUMBER(M7825)),L7825-M7825,"")</f>
        <v/>
      </c>
    </row>
    <row r="7826">
      <c r="N7826">
        <f>IF(AND(ISNUMBER(L7826),ISNUMBER(M7826)),L7826-M7826,"")</f>
        <v/>
      </c>
    </row>
    <row r="7827">
      <c r="N7827">
        <f>IF(AND(ISNUMBER(L7827),ISNUMBER(M7827)),L7827-M7827,"")</f>
        <v/>
      </c>
    </row>
    <row r="7828">
      <c r="N7828">
        <f>IF(AND(ISNUMBER(L7828),ISNUMBER(M7828)),L7828-M7828,"")</f>
        <v/>
      </c>
    </row>
    <row r="7829">
      <c r="N7829">
        <f>IF(AND(ISNUMBER(L7829),ISNUMBER(M7829)),L7829-M7829,"")</f>
        <v/>
      </c>
    </row>
    <row r="7830">
      <c r="N7830">
        <f>IF(AND(ISNUMBER(L7830),ISNUMBER(M7830)),L7830-M7830,"")</f>
        <v/>
      </c>
    </row>
    <row r="7831">
      <c r="N7831">
        <f>IF(AND(ISNUMBER(L7831),ISNUMBER(M7831)),L7831-M7831,"")</f>
        <v/>
      </c>
    </row>
    <row r="7832">
      <c r="N7832">
        <f>IF(AND(ISNUMBER(L7832),ISNUMBER(M7832)),L7832-M7832,"")</f>
        <v/>
      </c>
    </row>
    <row r="7833">
      <c r="N7833">
        <f>IF(AND(ISNUMBER(L7833),ISNUMBER(M7833)),L7833-M7833,"")</f>
        <v/>
      </c>
    </row>
    <row r="7834">
      <c r="N7834">
        <f>IF(AND(ISNUMBER(L7834),ISNUMBER(M7834)),L7834-M7834,"")</f>
        <v/>
      </c>
    </row>
    <row r="7835">
      <c r="N7835">
        <f>IF(AND(ISNUMBER(L7835),ISNUMBER(M7835)),L7835-M7835,"")</f>
        <v/>
      </c>
    </row>
    <row r="7836">
      <c r="N7836">
        <f>IF(AND(ISNUMBER(L7836),ISNUMBER(M7836)),L7836-M7836,"")</f>
        <v/>
      </c>
    </row>
    <row r="7837">
      <c r="N7837">
        <f>IF(AND(ISNUMBER(L7837),ISNUMBER(M7837)),L7837-M7837,"")</f>
        <v/>
      </c>
    </row>
    <row r="7838">
      <c r="N7838">
        <f>IF(AND(ISNUMBER(L7838),ISNUMBER(M7838)),L7838-M7838,"")</f>
        <v/>
      </c>
    </row>
    <row r="7839">
      <c r="N7839">
        <f>IF(AND(ISNUMBER(L7839),ISNUMBER(M7839)),L7839-M7839,"")</f>
        <v/>
      </c>
    </row>
    <row r="7840">
      <c r="N7840">
        <f>IF(AND(ISNUMBER(L7840),ISNUMBER(M7840)),L7840-M7840,"")</f>
        <v/>
      </c>
    </row>
    <row r="7841">
      <c r="N7841">
        <f>IF(AND(ISNUMBER(L7841),ISNUMBER(M7841)),L7841-M7841,"")</f>
        <v/>
      </c>
    </row>
    <row r="7842">
      <c r="N7842">
        <f>IF(AND(ISNUMBER(L7842),ISNUMBER(M7842)),L7842-M7842,"")</f>
        <v/>
      </c>
    </row>
    <row r="7843">
      <c r="N7843">
        <f>IF(AND(ISNUMBER(L7843),ISNUMBER(M7843)),L7843-M7843,"")</f>
        <v/>
      </c>
    </row>
    <row r="7844">
      <c r="N7844">
        <f>IF(AND(ISNUMBER(L7844),ISNUMBER(M7844)),L7844-M7844,"")</f>
        <v/>
      </c>
    </row>
    <row r="7845">
      <c r="N7845">
        <f>IF(AND(ISNUMBER(L7845),ISNUMBER(M7845)),L7845-M7845,"")</f>
        <v/>
      </c>
    </row>
    <row r="7846">
      <c r="N7846">
        <f>IF(AND(ISNUMBER(L7846),ISNUMBER(M7846)),L7846-M7846,"")</f>
        <v/>
      </c>
    </row>
    <row r="7847">
      <c r="N7847">
        <f>IF(AND(ISNUMBER(L7847),ISNUMBER(M7847)),L7847-M7847,"")</f>
        <v/>
      </c>
    </row>
    <row r="7848">
      <c r="N7848">
        <f>IF(AND(ISNUMBER(L7848),ISNUMBER(M7848)),L7848-M7848,"")</f>
        <v/>
      </c>
    </row>
    <row r="7849">
      <c r="N7849">
        <f>IF(AND(ISNUMBER(L7849),ISNUMBER(M7849)),L7849-M7849,"")</f>
        <v/>
      </c>
    </row>
    <row r="7850">
      <c r="N7850">
        <f>IF(AND(ISNUMBER(L7850),ISNUMBER(M7850)),L7850-M7850,"")</f>
        <v/>
      </c>
    </row>
    <row r="7851">
      <c r="N7851">
        <f>IF(AND(ISNUMBER(L7851),ISNUMBER(M7851)),L7851-M7851,"")</f>
        <v/>
      </c>
    </row>
    <row r="7852">
      <c r="N7852">
        <f>IF(AND(ISNUMBER(L7852),ISNUMBER(M7852)),L7852-M7852,"")</f>
        <v/>
      </c>
    </row>
    <row r="7853">
      <c r="N7853">
        <f>IF(AND(ISNUMBER(L7853),ISNUMBER(M7853)),L7853-M7853,"")</f>
        <v/>
      </c>
    </row>
    <row r="7854">
      <c r="N7854">
        <f>IF(AND(ISNUMBER(L7854),ISNUMBER(M7854)),L7854-M7854,"")</f>
        <v/>
      </c>
    </row>
    <row r="7855">
      <c r="N7855">
        <f>IF(AND(ISNUMBER(L7855),ISNUMBER(M7855)),L7855-M7855,"")</f>
        <v/>
      </c>
    </row>
    <row r="7856">
      <c r="N7856">
        <f>IF(AND(ISNUMBER(L7856),ISNUMBER(M7856)),L7856-M7856,"")</f>
        <v/>
      </c>
    </row>
    <row r="7857">
      <c r="N7857">
        <f>IF(AND(ISNUMBER(L7857),ISNUMBER(M7857)),L7857-M7857,"")</f>
        <v/>
      </c>
    </row>
    <row r="7858">
      <c r="N7858">
        <f>IF(AND(ISNUMBER(L7858),ISNUMBER(M7858)),L7858-M7858,"")</f>
        <v/>
      </c>
    </row>
    <row r="7859">
      <c r="N7859">
        <f>IF(AND(ISNUMBER(L7859),ISNUMBER(M7859)),L7859-M7859,"")</f>
        <v/>
      </c>
    </row>
    <row r="7860">
      <c r="N7860">
        <f>IF(AND(ISNUMBER(L7860),ISNUMBER(M7860)),L7860-M7860,"")</f>
        <v/>
      </c>
    </row>
    <row r="7861">
      <c r="N7861">
        <f>IF(AND(ISNUMBER(L7861),ISNUMBER(M7861)),L7861-M7861,"")</f>
        <v/>
      </c>
    </row>
    <row r="7862">
      <c r="N7862">
        <f>IF(AND(ISNUMBER(L7862),ISNUMBER(M7862)),L7862-M7862,"")</f>
        <v/>
      </c>
    </row>
    <row r="7863">
      <c r="N7863">
        <f>IF(AND(ISNUMBER(L7863),ISNUMBER(M7863)),L7863-M7863,"")</f>
        <v/>
      </c>
    </row>
    <row r="7864">
      <c r="N7864">
        <f>IF(AND(ISNUMBER(L7864),ISNUMBER(M7864)),L7864-M7864,"")</f>
        <v/>
      </c>
    </row>
    <row r="7865">
      <c r="N7865">
        <f>IF(AND(ISNUMBER(L7865),ISNUMBER(M7865)),L7865-M7865,"")</f>
        <v/>
      </c>
    </row>
    <row r="7866">
      <c r="N7866">
        <f>IF(AND(ISNUMBER(L7866),ISNUMBER(M7866)),L7866-M7866,"")</f>
        <v/>
      </c>
    </row>
    <row r="7867">
      <c r="N7867">
        <f>IF(AND(ISNUMBER(L7867),ISNUMBER(M7867)),L7867-M7867,"")</f>
        <v/>
      </c>
    </row>
    <row r="7868">
      <c r="N7868">
        <f>IF(AND(ISNUMBER(L7868),ISNUMBER(M7868)),L7868-M7868,"")</f>
        <v/>
      </c>
    </row>
    <row r="7869">
      <c r="N7869">
        <f>IF(AND(ISNUMBER(L7869),ISNUMBER(M7869)),L7869-M7869,"")</f>
        <v/>
      </c>
    </row>
    <row r="7870">
      <c r="N7870">
        <f>IF(AND(ISNUMBER(L7870),ISNUMBER(M7870)),L7870-M7870,"")</f>
        <v/>
      </c>
    </row>
    <row r="7871">
      <c r="N7871">
        <f>IF(AND(ISNUMBER(L7871),ISNUMBER(M7871)),L7871-M7871,"")</f>
        <v/>
      </c>
    </row>
    <row r="7872">
      <c r="N7872">
        <f>IF(AND(ISNUMBER(L7872),ISNUMBER(M7872)),L7872-M7872,"")</f>
        <v/>
      </c>
    </row>
    <row r="7873">
      <c r="N7873">
        <f>IF(AND(ISNUMBER(L7873),ISNUMBER(M7873)),L7873-M7873,"")</f>
        <v/>
      </c>
    </row>
    <row r="7874">
      <c r="N7874">
        <f>IF(AND(ISNUMBER(L7874),ISNUMBER(M7874)),L7874-M7874,"")</f>
        <v/>
      </c>
    </row>
    <row r="7875">
      <c r="N7875">
        <f>IF(AND(ISNUMBER(L7875),ISNUMBER(M7875)),L7875-M7875,"")</f>
        <v/>
      </c>
    </row>
    <row r="7876">
      <c r="N7876">
        <f>IF(AND(ISNUMBER(L7876),ISNUMBER(M7876)),L7876-M7876,"")</f>
        <v/>
      </c>
    </row>
    <row r="7877">
      <c r="N7877">
        <f>IF(AND(ISNUMBER(L7877),ISNUMBER(M7877)),L7877-M7877,"")</f>
        <v/>
      </c>
    </row>
    <row r="7878">
      <c r="N7878">
        <f>IF(AND(ISNUMBER(L7878),ISNUMBER(M7878)),L7878-M7878,"")</f>
        <v/>
      </c>
    </row>
    <row r="7879">
      <c r="N7879">
        <f>IF(AND(ISNUMBER(L7879),ISNUMBER(M7879)),L7879-M7879,"")</f>
        <v/>
      </c>
    </row>
    <row r="7880">
      <c r="N7880">
        <f>IF(AND(ISNUMBER(L7880),ISNUMBER(M7880)),L7880-M7880,"")</f>
        <v/>
      </c>
    </row>
    <row r="7881">
      <c r="N7881">
        <f>IF(AND(ISNUMBER(L7881),ISNUMBER(M7881)),L7881-M7881,"")</f>
        <v/>
      </c>
    </row>
    <row r="7882">
      <c r="N7882">
        <f>IF(AND(ISNUMBER(L7882),ISNUMBER(M7882)),L7882-M7882,"")</f>
        <v/>
      </c>
    </row>
    <row r="7883">
      <c r="N7883">
        <f>IF(AND(ISNUMBER(L7883),ISNUMBER(M7883)),L7883-M7883,"")</f>
        <v/>
      </c>
    </row>
    <row r="7884">
      <c r="N7884">
        <f>IF(AND(ISNUMBER(L7884),ISNUMBER(M7884)),L7884-M7884,"")</f>
        <v/>
      </c>
    </row>
    <row r="7885">
      <c r="N7885">
        <f>IF(AND(ISNUMBER(L7885),ISNUMBER(M7885)),L7885-M7885,"")</f>
        <v/>
      </c>
    </row>
    <row r="7886">
      <c r="N7886">
        <f>IF(AND(ISNUMBER(L7886),ISNUMBER(M7886)),L7886-M7886,"")</f>
        <v/>
      </c>
    </row>
    <row r="7887">
      <c r="N7887">
        <f>IF(AND(ISNUMBER(L7887),ISNUMBER(M7887)),L7887-M7887,"")</f>
        <v/>
      </c>
    </row>
    <row r="7888">
      <c r="N7888">
        <f>IF(AND(ISNUMBER(L7888),ISNUMBER(M7888)),L7888-M7888,"")</f>
        <v/>
      </c>
    </row>
    <row r="7889">
      <c r="N7889">
        <f>IF(AND(ISNUMBER(L7889),ISNUMBER(M7889)),L7889-M7889,"")</f>
        <v/>
      </c>
    </row>
    <row r="7890">
      <c r="N7890">
        <f>IF(AND(ISNUMBER(L7890),ISNUMBER(M7890)),L7890-M7890,"")</f>
        <v/>
      </c>
    </row>
    <row r="7891">
      <c r="N7891">
        <f>IF(AND(ISNUMBER(L7891),ISNUMBER(M7891)),L7891-M7891,"")</f>
        <v/>
      </c>
    </row>
    <row r="7892">
      <c r="N7892">
        <f>IF(AND(ISNUMBER(L7892),ISNUMBER(M7892)),L7892-M7892,"")</f>
        <v/>
      </c>
    </row>
    <row r="7893">
      <c r="N7893">
        <f>IF(AND(ISNUMBER(L7893),ISNUMBER(M7893)),L7893-M7893,"")</f>
        <v/>
      </c>
    </row>
    <row r="7894">
      <c r="N7894">
        <f>IF(AND(ISNUMBER(L7894),ISNUMBER(M7894)),L7894-M7894,"")</f>
        <v/>
      </c>
    </row>
    <row r="7895">
      <c r="N7895">
        <f>IF(AND(ISNUMBER(L7895),ISNUMBER(M7895)),L7895-M7895,"")</f>
        <v/>
      </c>
    </row>
    <row r="7896">
      <c r="N7896">
        <f>IF(AND(ISNUMBER(L7896),ISNUMBER(M7896)),L7896-M7896,"")</f>
        <v/>
      </c>
    </row>
    <row r="7897">
      <c r="N7897">
        <f>IF(AND(ISNUMBER(L7897),ISNUMBER(M7897)),L7897-M7897,"")</f>
        <v/>
      </c>
    </row>
    <row r="7898">
      <c r="N7898">
        <f>IF(AND(ISNUMBER(L7898),ISNUMBER(M7898)),L7898-M7898,"")</f>
        <v/>
      </c>
    </row>
    <row r="7899">
      <c r="N7899">
        <f>IF(AND(ISNUMBER(L7899),ISNUMBER(M7899)),L7899-M7899,"")</f>
        <v/>
      </c>
    </row>
    <row r="7900">
      <c r="N7900">
        <f>IF(AND(ISNUMBER(L7900),ISNUMBER(M7900)),L7900-M7900,"")</f>
        <v/>
      </c>
    </row>
    <row r="7901">
      <c r="N7901">
        <f>IF(AND(ISNUMBER(L7901),ISNUMBER(M7901)),L7901-M7901,"")</f>
        <v/>
      </c>
    </row>
    <row r="7902">
      <c r="N7902">
        <f>IF(AND(ISNUMBER(L7902),ISNUMBER(M7902)),L7902-M7902,"")</f>
        <v/>
      </c>
    </row>
    <row r="7903">
      <c r="N7903">
        <f>IF(AND(ISNUMBER(L7903),ISNUMBER(M7903)),L7903-M7903,"")</f>
        <v/>
      </c>
    </row>
    <row r="7904">
      <c r="N7904">
        <f>IF(AND(ISNUMBER(L7904),ISNUMBER(M7904)),L7904-M7904,"")</f>
        <v/>
      </c>
    </row>
    <row r="7905">
      <c r="N7905">
        <f>IF(AND(ISNUMBER(L7905),ISNUMBER(M7905)),L7905-M7905,"")</f>
        <v/>
      </c>
    </row>
    <row r="7906">
      <c r="N7906">
        <f>IF(AND(ISNUMBER(L7906),ISNUMBER(M7906)),L7906-M7906,"")</f>
        <v/>
      </c>
    </row>
    <row r="7907">
      <c r="N7907">
        <f>IF(AND(ISNUMBER(L7907),ISNUMBER(M7907)),L7907-M7907,"")</f>
        <v/>
      </c>
    </row>
    <row r="7908">
      <c r="N7908">
        <f>IF(AND(ISNUMBER(L7908),ISNUMBER(M7908)),L7908-M7908,"")</f>
        <v/>
      </c>
    </row>
    <row r="7909">
      <c r="N7909">
        <f>IF(AND(ISNUMBER(L7909),ISNUMBER(M7909)),L7909-M7909,"")</f>
        <v/>
      </c>
    </row>
    <row r="7910">
      <c r="N7910">
        <f>IF(AND(ISNUMBER(L7910),ISNUMBER(M7910)),L7910-M7910,"")</f>
        <v/>
      </c>
    </row>
    <row r="7911">
      <c r="N7911">
        <f>IF(AND(ISNUMBER(L7911),ISNUMBER(M7911)),L7911-M7911,"")</f>
        <v/>
      </c>
    </row>
    <row r="7912">
      <c r="N7912">
        <f>IF(AND(ISNUMBER(L7912),ISNUMBER(M7912)),L7912-M7912,"")</f>
        <v/>
      </c>
    </row>
    <row r="7913">
      <c r="N7913">
        <f>IF(AND(ISNUMBER(L7913),ISNUMBER(M7913)),L7913-M7913,"")</f>
        <v/>
      </c>
    </row>
    <row r="7914">
      <c r="N7914">
        <f>IF(AND(ISNUMBER(L7914),ISNUMBER(M7914)),L7914-M7914,"")</f>
        <v/>
      </c>
    </row>
    <row r="7915">
      <c r="N7915">
        <f>IF(AND(ISNUMBER(L7915),ISNUMBER(M7915)),L7915-M7915,"")</f>
        <v/>
      </c>
    </row>
    <row r="7916">
      <c r="N7916">
        <f>IF(AND(ISNUMBER(L7916),ISNUMBER(M7916)),L7916-M7916,"")</f>
        <v/>
      </c>
    </row>
    <row r="7917">
      <c r="N7917">
        <f>IF(AND(ISNUMBER(L7917),ISNUMBER(M7917)),L7917-M7917,"")</f>
        <v/>
      </c>
    </row>
    <row r="7918">
      <c r="N7918">
        <f>IF(AND(ISNUMBER(L7918),ISNUMBER(M7918)),L7918-M7918,"")</f>
        <v/>
      </c>
    </row>
    <row r="7919">
      <c r="N7919">
        <f>IF(AND(ISNUMBER(L7919),ISNUMBER(M7919)),L7919-M7919,"")</f>
        <v/>
      </c>
    </row>
    <row r="7920">
      <c r="N7920">
        <f>IF(AND(ISNUMBER(L7920),ISNUMBER(M7920)),L7920-M7920,"")</f>
        <v/>
      </c>
    </row>
    <row r="7921">
      <c r="N7921">
        <f>IF(AND(ISNUMBER(L7921),ISNUMBER(M7921)),L7921-M7921,"")</f>
        <v/>
      </c>
    </row>
    <row r="7922">
      <c r="N7922">
        <f>IF(AND(ISNUMBER(L7922),ISNUMBER(M7922)),L7922-M7922,"")</f>
        <v/>
      </c>
    </row>
    <row r="7923">
      <c r="N7923">
        <f>IF(AND(ISNUMBER(L7923),ISNUMBER(M7923)),L7923-M7923,"")</f>
        <v/>
      </c>
    </row>
    <row r="7924">
      <c r="N7924">
        <f>IF(AND(ISNUMBER(L7924),ISNUMBER(M7924)),L7924-M7924,"")</f>
        <v/>
      </c>
    </row>
    <row r="7925">
      <c r="N7925">
        <f>IF(AND(ISNUMBER(L7925),ISNUMBER(M7925)),L7925-M7925,"")</f>
        <v/>
      </c>
    </row>
    <row r="7926">
      <c r="N7926">
        <f>IF(AND(ISNUMBER(L7926),ISNUMBER(M7926)),L7926-M7926,"")</f>
        <v/>
      </c>
    </row>
    <row r="7927">
      <c r="N7927">
        <f>IF(AND(ISNUMBER(L7927),ISNUMBER(M7927)),L7927-M7927,"")</f>
        <v/>
      </c>
    </row>
    <row r="7928">
      <c r="N7928">
        <f>IF(AND(ISNUMBER(L7928),ISNUMBER(M7928)),L7928-M7928,"")</f>
        <v/>
      </c>
    </row>
    <row r="7929">
      <c r="N7929">
        <f>IF(AND(ISNUMBER(L7929),ISNUMBER(M7929)),L7929-M7929,"")</f>
        <v/>
      </c>
    </row>
    <row r="7930">
      <c r="N7930">
        <f>IF(AND(ISNUMBER(L7930),ISNUMBER(M7930)),L7930-M7930,"")</f>
        <v/>
      </c>
    </row>
    <row r="7931">
      <c r="N7931">
        <f>IF(AND(ISNUMBER(L7931),ISNUMBER(M7931)),L7931-M7931,"")</f>
        <v/>
      </c>
    </row>
    <row r="7932">
      <c r="N7932">
        <f>IF(AND(ISNUMBER(L7932),ISNUMBER(M7932)),L7932-M7932,"")</f>
        <v/>
      </c>
    </row>
    <row r="7933">
      <c r="N7933">
        <f>IF(AND(ISNUMBER(L7933),ISNUMBER(M7933)),L7933-M7933,"")</f>
        <v/>
      </c>
    </row>
    <row r="7934">
      <c r="N7934">
        <f>IF(AND(ISNUMBER(L7934),ISNUMBER(M7934)),L7934-M7934,"")</f>
        <v/>
      </c>
    </row>
    <row r="7935">
      <c r="N7935">
        <f>IF(AND(ISNUMBER(L7935),ISNUMBER(M7935)),L7935-M7935,"")</f>
        <v/>
      </c>
    </row>
    <row r="7936">
      <c r="N7936">
        <f>IF(AND(ISNUMBER(L7936),ISNUMBER(M7936)),L7936-M7936,"")</f>
        <v/>
      </c>
    </row>
    <row r="7937">
      <c r="N7937">
        <f>IF(AND(ISNUMBER(L7937),ISNUMBER(M7937)),L7937-M7937,"")</f>
        <v/>
      </c>
    </row>
    <row r="7938">
      <c r="N7938">
        <f>IF(AND(ISNUMBER(L7938),ISNUMBER(M7938)),L7938-M7938,"")</f>
        <v/>
      </c>
    </row>
    <row r="7939">
      <c r="N7939">
        <f>IF(AND(ISNUMBER(L7939),ISNUMBER(M7939)),L7939-M7939,"")</f>
        <v/>
      </c>
    </row>
    <row r="7940">
      <c r="N7940">
        <f>IF(AND(ISNUMBER(L7940),ISNUMBER(M7940)),L7940-M7940,"")</f>
        <v/>
      </c>
    </row>
    <row r="7941">
      <c r="N7941">
        <f>IF(AND(ISNUMBER(L7941),ISNUMBER(M7941)),L7941-M7941,"")</f>
        <v/>
      </c>
    </row>
    <row r="7942">
      <c r="N7942">
        <f>IF(AND(ISNUMBER(L7942),ISNUMBER(M7942)),L7942-M7942,"")</f>
        <v/>
      </c>
    </row>
    <row r="7943">
      <c r="N7943">
        <f>IF(AND(ISNUMBER(L7943),ISNUMBER(M7943)),L7943-M7943,"")</f>
        <v/>
      </c>
    </row>
    <row r="7944">
      <c r="N7944">
        <f>IF(AND(ISNUMBER(L7944),ISNUMBER(M7944)),L7944-M7944,"")</f>
        <v/>
      </c>
    </row>
    <row r="7945">
      <c r="N7945">
        <f>IF(AND(ISNUMBER(L7945),ISNUMBER(M7945)),L7945-M7945,"")</f>
        <v/>
      </c>
    </row>
    <row r="7946">
      <c r="N7946">
        <f>IF(AND(ISNUMBER(L7946),ISNUMBER(M7946)),L7946-M7946,"")</f>
        <v/>
      </c>
    </row>
    <row r="7947">
      <c r="N7947">
        <f>IF(AND(ISNUMBER(L7947),ISNUMBER(M7947)),L7947-M7947,"")</f>
        <v/>
      </c>
    </row>
    <row r="7948">
      <c r="N7948">
        <f>IF(AND(ISNUMBER(L7948),ISNUMBER(M7948)),L7948-M7948,"")</f>
        <v/>
      </c>
    </row>
    <row r="7949">
      <c r="N7949">
        <f>IF(AND(ISNUMBER(L7949),ISNUMBER(M7949)),L7949-M7949,"")</f>
        <v/>
      </c>
    </row>
    <row r="7950">
      <c r="N7950">
        <f>IF(AND(ISNUMBER(L7950),ISNUMBER(M7950)),L7950-M7950,"")</f>
        <v/>
      </c>
    </row>
    <row r="7951">
      <c r="N7951">
        <f>IF(AND(ISNUMBER(L7951),ISNUMBER(M7951)),L7951-M7951,"")</f>
        <v/>
      </c>
    </row>
    <row r="7952">
      <c r="N7952">
        <f>IF(AND(ISNUMBER(L7952),ISNUMBER(M7952)),L7952-M7952,"")</f>
        <v/>
      </c>
    </row>
    <row r="7953">
      <c r="N7953">
        <f>IF(AND(ISNUMBER(L7953),ISNUMBER(M7953)),L7953-M7953,"")</f>
        <v/>
      </c>
    </row>
    <row r="7954">
      <c r="N7954">
        <f>IF(AND(ISNUMBER(L7954),ISNUMBER(M7954)),L7954-M7954,"")</f>
        <v/>
      </c>
    </row>
    <row r="7955">
      <c r="N7955">
        <f>IF(AND(ISNUMBER(L7955),ISNUMBER(M7955)),L7955-M7955,"")</f>
        <v/>
      </c>
    </row>
    <row r="7956">
      <c r="N7956">
        <f>IF(AND(ISNUMBER(L7956),ISNUMBER(M7956)),L7956-M7956,"")</f>
        <v/>
      </c>
    </row>
    <row r="7957">
      <c r="N7957">
        <f>IF(AND(ISNUMBER(L7957),ISNUMBER(M7957)),L7957-M7957,"")</f>
        <v/>
      </c>
    </row>
    <row r="7958">
      <c r="N7958">
        <f>IF(AND(ISNUMBER(L7958),ISNUMBER(M7958)),L7958-M7958,"")</f>
        <v/>
      </c>
    </row>
    <row r="7959">
      <c r="N7959">
        <f>IF(AND(ISNUMBER(L7959),ISNUMBER(M7959)),L7959-M7959,"")</f>
        <v/>
      </c>
    </row>
    <row r="7960">
      <c r="N7960">
        <f>IF(AND(ISNUMBER(L7960),ISNUMBER(M7960)),L7960-M7960,"")</f>
        <v/>
      </c>
    </row>
    <row r="7961">
      <c r="N7961">
        <f>IF(AND(ISNUMBER(L7961),ISNUMBER(M7961)),L7961-M7961,"")</f>
        <v/>
      </c>
    </row>
    <row r="7962">
      <c r="N7962">
        <f>IF(AND(ISNUMBER(L7962),ISNUMBER(M7962)),L7962-M7962,"")</f>
        <v/>
      </c>
    </row>
    <row r="7963">
      <c r="N7963">
        <f>IF(AND(ISNUMBER(L7963),ISNUMBER(M7963)),L7963-M7963,"")</f>
        <v/>
      </c>
    </row>
    <row r="7964">
      <c r="N7964">
        <f>IF(AND(ISNUMBER(L7964),ISNUMBER(M7964)),L7964-M7964,"")</f>
        <v/>
      </c>
    </row>
    <row r="7965">
      <c r="N7965">
        <f>IF(AND(ISNUMBER(L7965),ISNUMBER(M7965)),L7965-M7965,"")</f>
        <v/>
      </c>
    </row>
    <row r="7966">
      <c r="N7966">
        <f>IF(AND(ISNUMBER(L7966),ISNUMBER(M7966)),L7966-M7966,"")</f>
        <v/>
      </c>
    </row>
    <row r="7967">
      <c r="N7967">
        <f>IF(AND(ISNUMBER(L7967),ISNUMBER(M7967)),L7967-M7967,"")</f>
        <v/>
      </c>
    </row>
    <row r="7968">
      <c r="N7968">
        <f>IF(AND(ISNUMBER(L7968),ISNUMBER(M7968)),L7968-M7968,"")</f>
        <v/>
      </c>
    </row>
    <row r="7969">
      <c r="N7969">
        <f>IF(AND(ISNUMBER(L7969),ISNUMBER(M7969)),L7969-M7969,"")</f>
        <v/>
      </c>
    </row>
    <row r="7970">
      <c r="N7970">
        <f>IF(AND(ISNUMBER(L7970),ISNUMBER(M7970)),L7970-M7970,"")</f>
        <v/>
      </c>
    </row>
    <row r="7971">
      <c r="N7971">
        <f>IF(AND(ISNUMBER(L7971),ISNUMBER(M7971)),L7971-M7971,"")</f>
        <v/>
      </c>
    </row>
    <row r="7972">
      <c r="N7972">
        <f>IF(AND(ISNUMBER(L7972),ISNUMBER(M7972)),L7972-M7972,"")</f>
        <v/>
      </c>
    </row>
    <row r="7973">
      <c r="N7973">
        <f>IF(AND(ISNUMBER(L7973),ISNUMBER(M7973)),L7973-M7973,"")</f>
        <v/>
      </c>
    </row>
    <row r="7974">
      <c r="N7974">
        <f>IF(AND(ISNUMBER(L7974),ISNUMBER(M7974)),L7974-M7974,"")</f>
        <v/>
      </c>
    </row>
    <row r="7975">
      <c r="N7975">
        <f>IF(AND(ISNUMBER(L7975),ISNUMBER(M7975)),L7975-M7975,"")</f>
        <v/>
      </c>
    </row>
    <row r="7976">
      <c r="N7976">
        <f>IF(AND(ISNUMBER(L7976),ISNUMBER(M7976)),L7976-M7976,"")</f>
        <v/>
      </c>
    </row>
    <row r="7977">
      <c r="N7977">
        <f>IF(AND(ISNUMBER(L7977),ISNUMBER(M7977)),L7977-M7977,"")</f>
        <v/>
      </c>
    </row>
    <row r="7978">
      <c r="N7978">
        <f>IF(AND(ISNUMBER(L7978),ISNUMBER(M7978)),L7978-M7978,"")</f>
        <v/>
      </c>
    </row>
    <row r="7979">
      <c r="N7979">
        <f>IF(AND(ISNUMBER(L7979),ISNUMBER(M7979)),L7979-M7979,"")</f>
        <v/>
      </c>
    </row>
    <row r="7980">
      <c r="N7980">
        <f>IF(AND(ISNUMBER(L7980),ISNUMBER(M7980)),L7980-M7980,"")</f>
        <v/>
      </c>
    </row>
    <row r="7981">
      <c r="N7981">
        <f>IF(AND(ISNUMBER(L7981),ISNUMBER(M7981)),L7981-M7981,"")</f>
        <v/>
      </c>
    </row>
    <row r="7982">
      <c r="N7982">
        <f>IF(AND(ISNUMBER(L7982),ISNUMBER(M7982)),L7982-M7982,"")</f>
        <v/>
      </c>
    </row>
    <row r="7983">
      <c r="N7983">
        <f>IF(AND(ISNUMBER(L7983),ISNUMBER(M7983)),L7983-M7983,"")</f>
        <v/>
      </c>
    </row>
    <row r="7984">
      <c r="N7984">
        <f>IF(AND(ISNUMBER(L7984),ISNUMBER(M7984)),L7984-M7984,"")</f>
        <v/>
      </c>
    </row>
    <row r="7985">
      <c r="N7985">
        <f>IF(AND(ISNUMBER(L7985),ISNUMBER(M7985)),L7985-M7985,"")</f>
        <v/>
      </c>
    </row>
    <row r="7986">
      <c r="N7986">
        <f>IF(AND(ISNUMBER(L7986),ISNUMBER(M7986)),L7986-M7986,"")</f>
        <v/>
      </c>
    </row>
    <row r="7987">
      <c r="N7987">
        <f>IF(AND(ISNUMBER(L7987),ISNUMBER(M7987)),L7987-M7987,"")</f>
        <v/>
      </c>
    </row>
    <row r="7988">
      <c r="N7988">
        <f>IF(AND(ISNUMBER(L7988),ISNUMBER(M7988)),L7988-M7988,"")</f>
        <v/>
      </c>
    </row>
    <row r="7989">
      <c r="N7989">
        <f>IF(AND(ISNUMBER(L7989),ISNUMBER(M7989)),L7989-M7989,"")</f>
        <v/>
      </c>
    </row>
    <row r="7990">
      <c r="N7990">
        <f>IF(AND(ISNUMBER(L7990),ISNUMBER(M7990)),L7990-M7990,"")</f>
        <v/>
      </c>
    </row>
    <row r="7991">
      <c r="N7991">
        <f>IF(AND(ISNUMBER(L7991),ISNUMBER(M7991)),L7991-M7991,"")</f>
        <v/>
      </c>
    </row>
    <row r="7992">
      <c r="N7992">
        <f>IF(AND(ISNUMBER(L7992),ISNUMBER(M7992)),L7992-M7992,"")</f>
        <v/>
      </c>
    </row>
    <row r="7993">
      <c r="N7993">
        <f>IF(AND(ISNUMBER(L7993),ISNUMBER(M7993)),L7993-M7993,"")</f>
        <v/>
      </c>
    </row>
    <row r="7994">
      <c r="N7994">
        <f>IF(AND(ISNUMBER(L7994),ISNUMBER(M7994)),L7994-M7994,"")</f>
        <v/>
      </c>
    </row>
    <row r="7995">
      <c r="N7995">
        <f>IF(AND(ISNUMBER(L7995),ISNUMBER(M7995)),L7995-M7995,"")</f>
        <v/>
      </c>
    </row>
    <row r="7996">
      <c r="N7996">
        <f>IF(AND(ISNUMBER(L7996),ISNUMBER(M7996)),L7996-M7996,"")</f>
        <v/>
      </c>
    </row>
    <row r="7997">
      <c r="N7997">
        <f>IF(AND(ISNUMBER(L7997),ISNUMBER(M7997)),L7997-M7997,"")</f>
        <v/>
      </c>
    </row>
    <row r="7998">
      <c r="N7998">
        <f>IF(AND(ISNUMBER(L7998),ISNUMBER(M7998)),L7998-M7998,"")</f>
        <v/>
      </c>
    </row>
    <row r="7999">
      <c r="N7999">
        <f>IF(AND(ISNUMBER(L7999),ISNUMBER(M7999)),L7999-M7999,"")</f>
        <v/>
      </c>
    </row>
    <row r="8000">
      <c r="N8000">
        <f>IF(AND(ISNUMBER(L8000),ISNUMBER(M8000)),L8000-M8000,"")</f>
        <v/>
      </c>
    </row>
    <row r="8001">
      <c r="N8001">
        <f>IF(AND(ISNUMBER(L8001),ISNUMBER(M8001)),L8001-M8001,"")</f>
        <v/>
      </c>
    </row>
    <row r="8002">
      <c r="N8002">
        <f>IF(AND(ISNUMBER(L8002),ISNUMBER(M8002)),L8002-M8002,"")</f>
        <v/>
      </c>
    </row>
    <row r="8003">
      <c r="N8003">
        <f>IF(AND(ISNUMBER(L8003),ISNUMBER(M8003)),L8003-M8003,"")</f>
        <v/>
      </c>
    </row>
    <row r="8004">
      <c r="N8004">
        <f>IF(AND(ISNUMBER(L8004),ISNUMBER(M8004)),L8004-M8004,"")</f>
        <v/>
      </c>
    </row>
    <row r="8005">
      <c r="N8005">
        <f>IF(AND(ISNUMBER(L8005),ISNUMBER(M8005)),L8005-M8005,"")</f>
        <v/>
      </c>
    </row>
    <row r="8006">
      <c r="N8006">
        <f>IF(AND(ISNUMBER(L8006),ISNUMBER(M8006)),L8006-M8006,"")</f>
        <v/>
      </c>
    </row>
    <row r="8007">
      <c r="N8007">
        <f>IF(AND(ISNUMBER(L8007),ISNUMBER(M8007)),L8007-M8007,"")</f>
        <v/>
      </c>
    </row>
    <row r="8008">
      <c r="N8008">
        <f>IF(AND(ISNUMBER(L8008),ISNUMBER(M8008)),L8008-M8008,"")</f>
        <v/>
      </c>
    </row>
    <row r="8009">
      <c r="N8009">
        <f>IF(AND(ISNUMBER(L8009),ISNUMBER(M8009)),L8009-M8009,"")</f>
        <v/>
      </c>
    </row>
    <row r="8010">
      <c r="N8010">
        <f>IF(AND(ISNUMBER(L8010),ISNUMBER(M8010)),L8010-M8010,"")</f>
        <v/>
      </c>
    </row>
    <row r="8011">
      <c r="N8011">
        <f>IF(AND(ISNUMBER(L8011),ISNUMBER(M8011)),L8011-M8011,"")</f>
        <v/>
      </c>
    </row>
    <row r="8012">
      <c r="N8012">
        <f>IF(AND(ISNUMBER(L8012),ISNUMBER(M8012)),L8012-M8012,"")</f>
        <v/>
      </c>
    </row>
    <row r="8013">
      <c r="N8013">
        <f>IF(AND(ISNUMBER(L8013),ISNUMBER(M8013)),L8013-M8013,"")</f>
        <v/>
      </c>
    </row>
    <row r="8014">
      <c r="N8014">
        <f>IF(AND(ISNUMBER(L8014),ISNUMBER(M8014)),L8014-M8014,"")</f>
        <v/>
      </c>
    </row>
    <row r="8015">
      <c r="N8015">
        <f>IF(AND(ISNUMBER(L8015),ISNUMBER(M8015)),L8015-M8015,"")</f>
        <v/>
      </c>
    </row>
    <row r="8016">
      <c r="N8016">
        <f>IF(AND(ISNUMBER(L8016),ISNUMBER(M8016)),L8016-M8016,"")</f>
        <v/>
      </c>
    </row>
    <row r="8017">
      <c r="N8017">
        <f>IF(AND(ISNUMBER(L8017),ISNUMBER(M8017)),L8017-M8017,"")</f>
        <v/>
      </c>
    </row>
    <row r="8018">
      <c r="N8018">
        <f>IF(AND(ISNUMBER(L8018),ISNUMBER(M8018)),L8018-M8018,"")</f>
        <v/>
      </c>
    </row>
    <row r="8019">
      <c r="N8019">
        <f>IF(AND(ISNUMBER(L8019),ISNUMBER(M8019)),L8019-M8019,"")</f>
        <v/>
      </c>
    </row>
    <row r="8020">
      <c r="N8020">
        <f>IF(AND(ISNUMBER(L8020),ISNUMBER(M8020)),L8020-M8020,"")</f>
        <v/>
      </c>
    </row>
    <row r="8021">
      <c r="N8021">
        <f>IF(AND(ISNUMBER(L8021),ISNUMBER(M8021)),L8021-M8021,"")</f>
        <v/>
      </c>
    </row>
    <row r="8022">
      <c r="N8022">
        <f>IF(AND(ISNUMBER(L8022),ISNUMBER(M8022)),L8022-M8022,"")</f>
        <v/>
      </c>
    </row>
    <row r="8023">
      <c r="N8023">
        <f>IF(AND(ISNUMBER(L8023),ISNUMBER(M8023)),L8023-M8023,"")</f>
        <v/>
      </c>
    </row>
    <row r="8024">
      <c r="N8024">
        <f>IF(AND(ISNUMBER(L8024),ISNUMBER(M8024)),L8024-M8024,"")</f>
        <v/>
      </c>
    </row>
    <row r="8025">
      <c r="N8025">
        <f>IF(AND(ISNUMBER(L8025),ISNUMBER(M8025)),L8025-M8025,"")</f>
        <v/>
      </c>
    </row>
    <row r="8026">
      <c r="N8026">
        <f>IF(AND(ISNUMBER(L8026),ISNUMBER(M8026)),L8026-M8026,"")</f>
        <v/>
      </c>
    </row>
    <row r="8027">
      <c r="N8027">
        <f>IF(AND(ISNUMBER(L8027),ISNUMBER(M8027)),L8027-M8027,"")</f>
        <v/>
      </c>
    </row>
    <row r="8028">
      <c r="N8028">
        <f>IF(AND(ISNUMBER(L8028),ISNUMBER(M8028)),L8028-M8028,"")</f>
        <v/>
      </c>
    </row>
    <row r="8029">
      <c r="N8029">
        <f>IF(AND(ISNUMBER(L8029),ISNUMBER(M8029)),L8029-M8029,"")</f>
        <v/>
      </c>
    </row>
    <row r="8030">
      <c r="N8030">
        <f>IF(AND(ISNUMBER(L8030),ISNUMBER(M8030)),L8030-M8030,"")</f>
        <v/>
      </c>
    </row>
    <row r="8031">
      <c r="N8031">
        <f>IF(AND(ISNUMBER(L8031),ISNUMBER(M8031)),L8031-M8031,"")</f>
        <v/>
      </c>
    </row>
    <row r="8032">
      <c r="N8032">
        <f>IF(AND(ISNUMBER(L8032),ISNUMBER(M8032)),L8032-M8032,"")</f>
        <v/>
      </c>
    </row>
    <row r="8033">
      <c r="N8033">
        <f>IF(AND(ISNUMBER(L8033),ISNUMBER(M8033)),L8033-M8033,"")</f>
        <v/>
      </c>
    </row>
    <row r="8034">
      <c r="N8034">
        <f>IF(AND(ISNUMBER(L8034),ISNUMBER(M8034)),L8034-M8034,"")</f>
        <v/>
      </c>
    </row>
    <row r="8035">
      <c r="N8035">
        <f>IF(AND(ISNUMBER(L8035),ISNUMBER(M8035)),L8035-M8035,"")</f>
        <v/>
      </c>
    </row>
    <row r="8036">
      <c r="N8036">
        <f>IF(AND(ISNUMBER(L8036),ISNUMBER(M8036)),L8036-M8036,"")</f>
        <v/>
      </c>
    </row>
    <row r="8037">
      <c r="N8037">
        <f>IF(AND(ISNUMBER(L8037),ISNUMBER(M8037)),L8037-M8037,"")</f>
        <v/>
      </c>
    </row>
    <row r="8038">
      <c r="N8038">
        <f>IF(AND(ISNUMBER(L8038),ISNUMBER(M8038)),L8038-M8038,"")</f>
        <v/>
      </c>
    </row>
    <row r="8039">
      <c r="N8039">
        <f>IF(AND(ISNUMBER(L8039),ISNUMBER(M8039)),L8039-M8039,"")</f>
        <v/>
      </c>
    </row>
    <row r="8040">
      <c r="N8040">
        <f>IF(AND(ISNUMBER(L8040),ISNUMBER(M8040)),L8040-M8040,"")</f>
        <v/>
      </c>
    </row>
    <row r="8041">
      <c r="N8041">
        <f>IF(AND(ISNUMBER(L8041),ISNUMBER(M8041)),L8041-M8041,"")</f>
        <v/>
      </c>
    </row>
    <row r="8042">
      <c r="N8042">
        <f>IF(AND(ISNUMBER(L8042),ISNUMBER(M8042)),L8042-M8042,"")</f>
        <v/>
      </c>
    </row>
    <row r="8043">
      <c r="N8043">
        <f>IF(AND(ISNUMBER(L8043),ISNUMBER(M8043)),L8043-M8043,"")</f>
        <v/>
      </c>
    </row>
    <row r="8044">
      <c r="N8044">
        <f>IF(AND(ISNUMBER(L8044),ISNUMBER(M8044)),L8044-M8044,"")</f>
        <v/>
      </c>
    </row>
    <row r="8045">
      <c r="N8045">
        <f>IF(AND(ISNUMBER(L8045),ISNUMBER(M8045)),L8045-M8045,"")</f>
        <v/>
      </c>
    </row>
    <row r="8046">
      <c r="N8046">
        <f>IF(AND(ISNUMBER(L8046),ISNUMBER(M8046)),L8046-M8046,"")</f>
        <v/>
      </c>
    </row>
    <row r="8047">
      <c r="N8047">
        <f>IF(AND(ISNUMBER(L8047),ISNUMBER(M8047)),L8047-M8047,"")</f>
        <v/>
      </c>
    </row>
    <row r="8048">
      <c r="N8048">
        <f>IF(AND(ISNUMBER(L8048),ISNUMBER(M8048)),L8048-M8048,"")</f>
        <v/>
      </c>
    </row>
    <row r="8049">
      <c r="N8049">
        <f>IF(AND(ISNUMBER(L8049),ISNUMBER(M8049)),L8049-M8049,"")</f>
        <v/>
      </c>
    </row>
    <row r="8050">
      <c r="N8050">
        <f>IF(AND(ISNUMBER(L8050),ISNUMBER(M8050)),L8050-M8050,"")</f>
        <v/>
      </c>
    </row>
    <row r="8051">
      <c r="N8051">
        <f>IF(AND(ISNUMBER(L8051),ISNUMBER(M8051)),L8051-M8051,"")</f>
        <v/>
      </c>
    </row>
    <row r="8052">
      <c r="N8052">
        <f>IF(AND(ISNUMBER(L8052),ISNUMBER(M8052)),L8052-M8052,"")</f>
        <v/>
      </c>
    </row>
    <row r="8053">
      <c r="N8053">
        <f>IF(AND(ISNUMBER(L8053),ISNUMBER(M8053)),L8053-M8053,"")</f>
        <v/>
      </c>
    </row>
    <row r="8054">
      <c r="N8054">
        <f>IF(AND(ISNUMBER(L8054),ISNUMBER(M8054)),L8054-M8054,"")</f>
        <v/>
      </c>
    </row>
    <row r="8055">
      <c r="N8055">
        <f>IF(AND(ISNUMBER(L8055),ISNUMBER(M8055)),L8055-M8055,"")</f>
        <v/>
      </c>
    </row>
    <row r="8056">
      <c r="N8056">
        <f>IF(AND(ISNUMBER(L8056),ISNUMBER(M8056)),L8056-M8056,"")</f>
        <v/>
      </c>
    </row>
    <row r="8057">
      <c r="N8057">
        <f>IF(AND(ISNUMBER(L8057),ISNUMBER(M8057)),L8057-M8057,"")</f>
        <v/>
      </c>
    </row>
    <row r="8058">
      <c r="N8058">
        <f>IF(AND(ISNUMBER(L8058),ISNUMBER(M8058)),L8058-M8058,"")</f>
        <v/>
      </c>
    </row>
    <row r="8059">
      <c r="N8059">
        <f>IF(AND(ISNUMBER(L8059),ISNUMBER(M8059)),L8059-M8059,"")</f>
        <v/>
      </c>
    </row>
    <row r="8060">
      <c r="N8060">
        <f>IF(AND(ISNUMBER(L8060),ISNUMBER(M8060)),L8060-M8060,"")</f>
        <v/>
      </c>
    </row>
    <row r="8061">
      <c r="N8061">
        <f>IF(AND(ISNUMBER(L8061),ISNUMBER(M8061)),L8061-M8061,"")</f>
        <v/>
      </c>
    </row>
    <row r="8062">
      <c r="N8062">
        <f>IF(AND(ISNUMBER(L8062),ISNUMBER(M8062)),L8062-M8062,"")</f>
        <v/>
      </c>
    </row>
    <row r="8063">
      <c r="N8063">
        <f>IF(AND(ISNUMBER(L8063),ISNUMBER(M8063)),L8063-M8063,"")</f>
        <v/>
      </c>
    </row>
    <row r="8064">
      <c r="N8064">
        <f>IF(AND(ISNUMBER(L8064),ISNUMBER(M8064)),L8064-M8064,"")</f>
        <v/>
      </c>
    </row>
    <row r="8065">
      <c r="N8065">
        <f>IF(AND(ISNUMBER(L8065),ISNUMBER(M8065)),L8065-M8065,"")</f>
        <v/>
      </c>
    </row>
    <row r="8066">
      <c r="N8066">
        <f>IF(AND(ISNUMBER(L8066),ISNUMBER(M8066)),L8066-M8066,"")</f>
        <v/>
      </c>
    </row>
    <row r="8067">
      <c r="N8067">
        <f>IF(AND(ISNUMBER(L8067),ISNUMBER(M8067)),L8067-M8067,"")</f>
        <v/>
      </c>
    </row>
    <row r="8068">
      <c r="N8068">
        <f>IF(AND(ISNUMBER(L8068),ISNUMBER(M8068)),L8068-M8068,"")</f>
        <v/>
      </c>
    </row>
    <row r="8069">
      <c r="N8069">
        <f>IF(AND(ISNUMBER(L8069),ISNUMBER(M8069)),L8069-M8069,"")</f>
        <v/>
      </c>
    </row>
    <row r="8070">
      <c r="N8070">
        <f>IF(AND(ISNUMBER(L8070),ISNUMBER(M8070)),L8070-M8070,"")</f>
        <v/>
      </c>
    </row>
    <row r="8071">
      <c r="N8071">
        <f>IF(AND(ISNUMBER(L8071),ISNUMBER(M8071)),L8071-M8071,"")</f>
        <v/>
      </c>
    </row>
    <row r="8072">
      <c r="N8072">
        <f>IF(AND(ISNUMBER(L8072),ISNUMBER(M8072)),L8072-M8072,"")</f>
        <v/>
      </c>
    </row>
    <row r="8073">
      <c r="N8073">
        <f>IF(AND(ISNUMBER(L8073),ISNUMBER(M8073)),L8073-M8073,"")</f>
        <v/>
      </c>
    </row>
    <row r="8074">
      <c r="N8074">
        <f>IF(AND(ISNUMBER(L8074),ISNUMBER(M8074)),L8074-M8074,"")</f>
        <v/>
      </c>
    </row>
    <row r="8075">
      <c r="N8075">
        <f>IF(AND(ISNUMBER(L8075),ISNUMBER(M8075)),L8075-M8075,"")</f>
        <v/>
      </c>
    </row>
    <row r="8076">
      <c r="N8076">
        <f>IF(AND(ISNUMBER(L8076),ISNUMBER(M8076)),L8076-M8076,"")</f>
        <v/>
      </c>
    </row>
    <row r="8077">
      <c r="N8077">
        <f>IF(AND(ISNUMBER(L8077),ISNUMBER(M8077)),L8077-M8077,"")</f>
        <v/>
      </c>
    </row>
    <row r="8078">
      <c r="N8078">
        <f>IF(AND(ISNUMBER(L8078),ISNUMBER(M8078)),L8078-M8078,"")</f>
        <v/>
      </c>
    </row>
    <row r="8079">
      <c r="N8079">
        <f>IF(AND(ISNUMBER(L8079),ISNUMBER(M8079)),L8079-M8079,"")</f>
        <v/>
      </c>
    </row>
    <row r="8080">
      <c r="N8080">
        <f>IF(AND(ISNUMBER(L8080),ISNUMBER(M8080)),L8080-M8080,"")</f>
        <v/>
      </c>
    </row>
    <row r="8081">
      <c r="N8081">
        <f>IF(AND(ISNUMBER(L8081),ISNUMBER(M8081)),L8081-M8081,"")</f>
        <v/>
      </c>
    </row>
    <row r="8082">
      <c r="N8082">
        <f>IF(AND(ISNUMBER(L8082),ISNUMBER(M8082)),L8082-M8082,"")</f>
        <v/>
      </c>
    </row>
    <row r="8083">
      <c r="N8083">
        <f>IF(AND(ISNUMBER(L8083),ISNUMBER(M8083)),L8083-M8083,"")</f>
        <v/>
      </c>
    </row>
    <row r="8084">
      <c r="N8084">
        <f>IF(AND(ISNUMBER(L8084),ISNUMBER(M8084)),L8084-M8084,"")</f>
        <v/>
      </c>
    </row>
    <row r="8085">
      <c r="N8085">
        <f>IF(AND(ISNUMBER(L8085),ISNUMBER(M8085)),L8085-M8085,"")</f>
        <v/>
      </c>
    </row>
    <row r="8086">
      <c r="N8086">
        <f>IF(AND(ISNUMBER(L8086),ISNUMBER(M8086)),L8086-M8086,"")</f>
        <v/>
      </c>
    </row>
    <row r="8087">
      <c r="N8087">
        <f>IF(AND(ISNUMBER(L8087),ISNUMBER(M8087)),L8087-M8087,"")</f>
        <v/>
      </c>
    </row>
    <row r="8088">
      <c r="N8088">
        <f>IF(AND(ISNUMBER(L8088),ISNUMBER(M8088)),L8088-M8088,"")</f>
        <v/>
      </c>
    </row>
    <row r="8089">
      <c r="N8089">
        <f>IF(AND(ISNUMBER(L8089),ISNUMBER(M8089)),L8089-M8089,"")</f>
        <v/>
      </c>
    </row>
    <row r="8090">
      <c r="N8090">
        <f>IF(AND(ISNUMBER(L8090),ISNUMBER(M8090)),L8090-M8090,"")</f>
        <v/>
      </c>
    </row>
    <row r="8091">
      <c r="N8091">
        <f>IF(AND(ISNUMBER(L8091),ISNUMBER(M8091)),L8091-M8091,"")</f>
        <v/>
      </c>
    </row>
    <row r="8092">
      <c r="N8092">
        <f>IF(AND(ISNUMBER(L8092),ISNUMBER(M8092)),L8092-M8092,"")</f>
        <v/>
      </c>
    </row>
    <row r="8093">
      <c r="N8093">
        <f>IF(AND(ISNUMBER(L8093),ISNUMBER(M8093)),L8093-M8093,"")</f>
        <v/>
      </c>
    </row>
    <row r="8094">
      <c r="N8094">
        <f>IF(AND(ISNUMBER(L8094),ISNUMBER(M8094)),L8094-M8094,"")</f>
        <v/>
      </c>
    </row>
    <row r="8095">
      <c r="N8095">
        <f>IF(AND(ISNUMBER(L8095),ISNUMBER(M8095)),L8095-M8095,"")</f>
        <v/>
      </c>
    </row>
    <row r="8096">
      <c r="N8096">
        <f>IF(AND(ISNUMBER(L8096),ISNUMBER(M8096)),L8096-M8096,"")</f>
        <v/>
      </c>
    </row>
    <row r="8097">
      <c r="N8097">
        <f>IF(AND(ISNUMBER(L8097),ISNUMBER(M8097)),L8097-M8097,"")</f>
        <v/>
      </c>
    </row>
    <row r="8098">
      <c r="N8098">
        <f>IF(AND(ISNUMBER(L8098),ISNUMBER(M8098)),L8098-M8098,"")</f>
        <v/>
      </c>
    </row>
    <row r="8099">
      <c r="N8099">
        <f>IF(AND(ISNUMBER(L8099),ISNUMBER(M8099)),L8099-M8099,"")</f>
        <v/>
      </c>
    </row>
    <row r="8100">
      <c r="N8100">
        <f>IF(AND(ISNUMBER(L8100),ISNUMBER(M8100)),L8100-M8100,"")</f>
        <v/>
      </c>
    </row>
    <row r="8101">
      <c r="N8101">
        <f>IF(AND(ISNUMBER(L8101),ISNUMBER(M8101)),L8101-M8101,"")</f>
        <v/>
      </c>
    </row>
    <row r="8102">
      <c r="N8102">
        <f>IF(AND(ISNUMBER(L8102),ISNUMBER(M8102)),L8102-M8102,"")</f>
        <v/>
      </c>
    </row>
    <row r="8103">
      <c r="N8103">
        <f>IF(AND(ISNUMBER(L8103),ISNUMBER(M8103)),L8103-M8103,"")</f>
        <v/>
      </c>
    </row>
    <row r="8104">
      <c r="N8104">
        <f>IF(AND(ISNUMBER(L8104),ISNUMBER(M8104)),L8104-M8104,"")</f>
        <v/>
      </c>
    </row>
    <row r="8105">
      <c r="N8105">
        <f>IF(AND(ISNUMBER(L8105),ISNUMBER(M8105)),L8105-M8105,"")</f>
        <v/>
      </c>
    </row>
    <row r="8106">
      <c r="N8106">
        <f>IF(AND(ISNUMBER(L8106),ISNUMBER(M8106)),L8106-M8106,"")</f>
        <v/>
      </c>
    </row>
    <row r="8107">
      <c r="N8107">
        <f>IF(AND(ISNUMBER(L8107),ISNUMBER(M8107)),L8107-M8107,"")</f>
        <v/>
      </c>
    </row>
    <row r="8108">
      <c r="N8108">
        <f>IF(AND(ISNUMBER(L8108),ISNUMBER(M8108)),L8108-M8108,"")</f>
        <v/>
      </c>
    </row>
    <row r="8109">
      <c r="N8109">
        <f>IF(AND(ISNUMBER(L8109),ISNUMBER(M8109)),L8109-M8109,"")</f>
        <v/>
      </c>
    </row>
    <row r="8110">
      <c r="N8110">
        <f>IF(AND(ISNUMBER(L8110),ISNUMBER(M8110)),L8110-M8110,"")</f>
        <v/>
      </c>
    </row>
    <row r="8111">
      <c r="N8111">
        <f>IF(AND(ISNUMBER(L8111),ISNUMBER(M8111)),L8111-M8111,"")</f>
        <v/>
      </c>
    </row>
    <row r="8112">
      <c r="N8112">
        <f>IF(AND(ISNUMBER(L8112),ISNUMBER(M8112)),L8112-M8112,"")</f>
        <v/>
      </c>
    </row>
    <row r="8113">
      <c r="N8113">
        <f>IF(AND(ISNUMBER(L8113),ISNUMBER(M8113)),L8113-M8113,"")</f>
        <v/>
      </c>
    </row>
    <row r="8114">
      <c r="N8114">
        <f>IF(AND(ISNUMBER(L8114),ISNUMBER(M8114)),L8114-M8114,"")</f>
        <v/>
      </c>
    </row>
    <row r="8115">
      <c r="N8115">
        <f>IF(AND(ISNUMBER(L8115),ISNUMBER(M8115)),L8115-M8115,"")</f>
        <v/>
      </c>
    </row>
    <row r="8116">
      <c r="N8116">
        <f>IF(AND(ISNUMBER(L8116),ISNUMBER(M8116)),L8116-M8116,"")</f>
        <v/>
      </c>
    </row>
    <row r="8117">
      <c r="N8117">
        <f>IF(AND(ISNUMBER(L8117),ISNUMBER(M8117)),L8117-M8117,"")</f>
        <v/>
      </c>
    </row>
    <row r="8118">
      <c r="N8118">
        <f>IF(AND(ISNUMBER(L8118),ISNUMBER(M8118)),L8118-M8118,"")</f>
        <v/>
      </c>
    </row>
    <row r="8119">
      <c r="N8119">
        <f>IF(AND(ISNUMBER(L8119),ISNUMBER(M8119)),L8119-M8119,"")</f>
        <v/>
      </c>
    </row>
    <row r="8120">
      <c r="N8120">
        <f>IF(AND(ISNUMBER(L8120),ISNUMBER(M8120)),L8120-M8120,"")</f>
        <v/>
      </c>
    </row>
    <row r="8121">
      <c r="N8121">
        <f>IF(AND(ISNUMBER(L8121),ISNUMBER(M8121)),L8121-M8121,"")</f>
        <v/>
      </c>
    </row>
    <row r="8122">
      <c r="N8122">
        <f>IF(AND(ISNUMBER(L8122),ISNUMBER(M8122)),L8122-M8122,"")</f>
        <v/>
      </c>
    </row>
    <row r="8123">
      <c r="N8123">
        <f>IF(AND(ISNUMBER(L8123),ISNUMBER(M8123)),L8123-M8123,"")</f>
        <v/>
      </c>
    </row>
    <row r="8124">
      <c r="N8124">
        <f>IF(AND(ISNUMBER(L8124),ISNUMBER(M8124)),L8124-M8124,"")</f>
        <v/>
      </c>
    </row>
    <row r="8125">
      <c r="N8125">
        <f>IF(AND(ISNUMBER(L8125),ISNUMBER(M8125)),L8125-M8125,"")</f>
        <v/>
      </c>
    </row>
    <row r="8126">
      <c r="N8126">
        <f>IF(AND(ISNUMBER(L8126),ISNUMBER(M8126)),L8126-M8126,"")</f>
        <v/>
      </c>
    </row>
    <row r="8127">
      <c r="N8127">
        <f>IF(AND(ISNUMBER(L8127),ISNUMBER(M8127)),L8127-M8127,"")</f>
        <v/>
      </c>
    </row>
    <row r="8128">
      <c r="N8128">
        <f>IF(AND(ISNUMBER(L8128),ISNUMBER(M8128)),L8128-M8128,"")</f>
        <v/>
      </c>
    </row>
    <row r="8129">
      <c r="N8129">
        <f>IF(AND(ISNUMBER(L8129),ISNUMBER(M8129)),L8129-M8129,"")</f>
        <v/>
      </c>
    </row>
    <row r="8130">
      <c r="N8130">
        <f>IF(AND(ISNUMBER(L8130),ISNUMBER(M8130)),L8130-M8130,"")</f>
        <v/>
      </c>
    </row>
    <row r="8131">
      <c r="N8131">
        <f>IF(AND(ISNUMBER(L8131),ISNUMBER(M8131)),L8131-M8131,"")</f>
        <v/>
      </c>
    </row>
    <row r="8132">
      <c r="N8132">
        <f>IF(AND(ISNUMBER(L8132),ISNUMBER(M8132)),L8132-M8132,"")</f>
        <v/>
      </c>
    </row>
    <row r="8133">
      <c r="N8133">
        <f>IF(AND(ISNUMBER(L8133),ISNUMBER(M8133)),L8133-M8133,"")</f>
        <v/>
      </c>
    </row>
    <row r="8134">
      <c r="N8134">
        <f>IF(AND(ISNUMBER(L8134),ISNUMBER(M8134)),L8134-M8134,"")</f>
        <v/>
      </c>
    </row>
    <row r="8135">
      <c r="N8135">
        <f>IF(AND(ISNUMBER(L8135),ISNUMBER(M8135)),L8135-M8135,"")</f>
        <v/>
      </c>
    </row>
    <row r="8136">
      <c r="N8136">
        <f>IF(AND(ISNUMBER(L8136),ISNUMBER(M8136)),L8136-M8136,"")</f>
        <v/>
      </c>
    </row>
    <row r="8137">
      <c r="N8137">
        <f>IF(AND(ISNUMBER(L8137),ISNUMBER(M8137)),L8137-M8137,"")</f>
        <v/>
      </c>
    </row>
    <row r="8138">
      <c r="N8138">
        <f>IF(AND(ISNUMBER(L8138),ISNUMBER(M8138)),L8138-M8138,"")</f>
        <v/>
      </c>
    </row>
    <row r="8139">
      <c r="N8139">
        <f>IF(AND(ISNUMBER(L8139),ISNUMBER(M8139)),L8139-M8139,"")</f>
        <v/>
      </c>
    </row>
    <row r="8140">
      <c r="N8140">
        <f>IF(AND(ISNUMBER(L8140),ISNUMBER(M8140)),L8140-M8140,"")</f>
        <v/>
      </c>
    </row>
    <row r="8141">
      <c r="N8141">
        <f>IF(AND(ISNUMBER(L8141),ISNUMBER(M8141)),L8141-M8141,"")</f>
        <v/>
      </c>
    </row>
    <row r="8142">
      <c r="N8142">
        <f>IF(AND(ISNUMBER(L8142),ISNUMBER(M8142)),L8142-M8142,"")</f>
        <v/>
      </c>
    </row>
    <row r="8143">
      <c r="N8143">
        <f>IF(AND(ISNUMBER(L8143),ISNUMBER(M8143)),L8143-M8143,"")</f>
        <v/>
      </c>
    </row>
    <row r="8144">
      <c r="N8144">
        <f>IF(AND(ISNUMBER(L8144),ISNUMBER(M8144)),L8144-M8144,"")</f>
        <v/>
      </c>
    </row>
    <row r="8145">
      <c r="N8145">
        <f>IF(AND(ISNUMBER(L8145),ISNUMBER(M8145)),L8145-M8145,"")</f>
        <v/>
      </c>
    </row>
    <row r="8146">
      <c r="N8146">
        <f>IF(AND(ISNUMBER(L8146),ISNUMBER(M8146)),L8146-M8146,"")</f>
        <v/>
      </c>
    </row>
    <row r="8147">
      <c r="N8147">
        <f>IF(AND(ISNUMBER(L8147),ISNUMBER(M8147)),L8147-M8147,"")</f>
        <v/>
      </c>
    </row>
    <row r="8148">
      <c r="N8148">
        <f>IF(AND(ISNUMBER(L8148),ISNUMBER(M8148)),L8148-M8148,"")</f>
        <v/>
      </c>
    </row>
    <row r="8149">
      <c r="N8149">
        <f>IF(AND(ISNUMBER(L8149),ISNUMBER(M8149)),L8149-M8149,"")</f>
        <v/>
      </c>
    </row>
    <row r="8150">
      <c r="N8150">
        <f>IF(AND(ISNUMBER(L8150),ISNUMBER(M8150)),L8150-M8150,"")</f>
        <v/>
      </c>
    </row>
    <row r="8151">
      <c r="N8151">
        <f>IF(AND(ISNUMBER(L8151),ISNUMBER(M8151)),L8151-M8151,"")</f>
        <v/>
      </c>
    </row>
    <row r="8152">
      <c r="N8152">
        <f>IF(AND(ISNUMBER(L8152),ISNUMBER(M8152)),L8152-M8152,"")</f>
        <v/>
      </c>
    </row>
    <row r="8153">
      <c r="N8153">
        <f>IF(AND(ISNUMBER(L8153),ISNUMBER(M8153)),L8153-M8153,"")</f>
        <v/>
      </c>
    </row>
    <row r="8154">
      <c r="N8154">
        <f>IF(AND(ISNUMBER(L8154),ISNUMBER(M8154)),L8154-M8154,"")</f>
        <v/>
      </c>
    </row>
    <row r="8155">
      <c r="N8155">
        <f>IF(AND(ISNUMBER(L8155),ISNUMBER(M8155)),L8155-M8155,"")</f>
        <v/>
      </c>
    </row>
    <row r="8156">
      <c r="N8156">
        <f>IF(AND(ISNUMBER(L8156),ISNUMBER(M8156)),L8156-M8156,"")</f>
        <v/>
      </c>
    </row>
    <row r="8157">
      <c r="N8157">
        <f>IF(AND(ISNUMBER(L8157),ISNUMBER(M8157)),L8157-M8157,"")</f>
        <v/>
      </c>
    </row>
    <row r="8158">
      <c r="N8158">
        <f>IF(AND(ISNUMBER(L8158),ISNUMBER(M8158)),L8158-M8158,"")</f>
        <v/>
      </c>
    </row>
    <row r="8159">
      <c r="N8159">
        <f>IF(AND(ISNUMBER(L8159),ISNUMBER(M8159)),L8159-M8159,"")</f>
        <v/>
      </c>
    </row>
    <row r="8160">
      <c r="N8160">
        <f>IF(AND(ISNUMBER(L8160),ISNUMBER(M8160)),L8160-M8160,"")</f>
        <v/>
      </c>
    </row>
    <row r="8161">
      <c r="N8161">
        <f>IF(AND(ISNUMBER(L8161),ISNUMBER(M8161)),L8161-M8161,"")</f>
        <v/>
      </c>
    </row>
    <row r="8162">
      <c r="N8162">
        <f>IF(AND(ISNUMBER(L8162),ISNUMBER(M8162)),L8162-M8162,"")</f>
        <v/>
      </c>
    </row>
    <row r="8163">
      <c r="N8163">
        <f>IF(AND(ISNUMBER(L8163),ISNUMBER(M8163)),L8163-M8163,"")</f>
        <v/>
      </c>
    </row>
    <row r="8164">
      <c r="N8164">
        <f>IF(AND(ISNUMBER(L8164),ISNUMBER(M8164)),L8164-M8164,"")</f>
        <v/>
      </c>
    </row>
    <row r="8165">
      <c r="N8165">
        <f>IF(AND(ISNUMBER(L8165),ISNUMBER(M8165)),L8165-M8165,"")</f>
        <v/>
      </c>
    </row>
    <row r="8166">
      <c r="N8166">
        <f>IF(AND(ISNUMBER(L8166),ISNUMBER(M8166)),L8166-M8166,"")</f>
        <v/>
      </c>
    </row>
    <row r="8167">
      <c r="N8167">
        <f>IF(AND(ISNUMBER(L8167),ISNUMBER(M8167)),L8167-M8167,"")</f>
        <v/>
      </c>
    </row>
    <row r="8168">
      <c r="N8168">
        <f>IF(AND(ISNUMBER(L8168),ISNUMBER(M8168)),L8168-M8168,"")</f>
        <v/>
      </c>
    </row>
    <row r="8169">
      <c r="N8169">
        <f>IF(AND(ISNUMBER(L8169),ISNUMBER(M8169)),L8169-M8169,"")</f>
        <v/>
      </c>
    </row>
    <row r="8170">
      <c r="N8170">
        <f>IF(AND(ISNUMBER(L8170),ISNUMBER(M8170)),L8170-M8170,"")</f>
        <v/>
      </c>
    </row>
    <row r="8171">
      <c r="N8171">
        <f>IF(AND(ISNUMBER(L8171),ISNUMBER(M8171)),L8171-M8171,"")</f>
        <v/>
      </c>
    </row>
    <row r="8172">
      <c r="N8172">
        <f>IF(AND(ISNUMBER(L8172),ISNUMBER(M8172)),L8172-M8172,"")</f>
        <v/>
      </c>
    </row>
    <row r="8173">
      <c r="N8173">
        <f>IF(AND(ISNUMBER(L8173),ISNUMBER(M8173)),L8173-M8173,"")</f>
        <v/>
      </c>
    </row>
    <row r="8174">
      <c r="N8174">
        <f>IF(AND(ISNUMBER(L8174),ISNUMBER(M8174)),L8174-M8174,"")</f>
        <v/>
      </c>
    </row>
    <row r="8175">
      <c r="N8175">
        <f>IF(AND(ISNUMBER(L8175),ISNUMBER(M8175)),L8175-M8175,"")</f>
        <v/>
      </c>
    </row>
    <row r="8176">
      <c r="N8176">
        <f>IF(AND(ISNUMBER(L8176),ISNUMBER(M8176)),L8176-M8176,"")</f>
        <v/>
      </c>
    </row>
    <row r="8177">
      <c r="N8177">
        <f>IF(AND(ISNUMBER(L8177),ISNUMBER(M8177)),L8177-M8177,"")</f>
        <v/>
      </c>
    </row>
    <row r="8178">
      <c r="N8178">
        <f>IF(AND(ISNUMBER(L8178),ISNUMBER(M8178)),L8178-M8178,"")</f>
        <v/>
      </c>
    </row>
    <row r="8179">
      <c r="N8179">
        <f>IF(AND(ISNUMBER(L8179),ISNUMBER(M8179)),L8179-M8179,"")</f>
        <v/>
      </c>
    </row>
    <row r="8180">
      <c r="N8180">
        <f>IF(AND(ISNUMBER(L8180),ISNUMBER(M8180)),L8180-M8180,"")</f>
        <v/>
      </c>
    </row>
    <row r="8181">
      <c r="N8181">
        <f>IF(AND(ISNUMBER(L8181),ISNUMBER(M8181)),L8181-M8181,"")</f>
        <v/>
      </c>
    </row>
    <row r="8182">
      <c r="N8182">
        <f>IF(AND(ISNUMBER(L8182),ISNUMBER(M8182)),L8182-M8182,"")</f>
        <v/>
      </c>
    </row>
    <row r="8183">
      <c r="N8183">
        <f>IF(AND(ISNUMBER(L8183),ISNUMBER(M8183)),L8183-M8183,"")</f>
        <v/>
      </c>
    </row>
    <row r="8184">
      <c r="N8184">
        <f>IF(AND(ISNUMBER(L8184),ISNUMBER(M8184)),L8184-M8184,"")</f>
        <v/>
      </c>
    </row>
    <row r="8185">
      <c r="N8185">
        <f>IF(AND(ISNUMBER(L8185),ISNUMBER(M8185)),L8185-M8185,"")</f>
        <v/>
      </c>
    </row>
    <row r="8186">
      <c r="N8186">
        <f>IF(AND(ISNUMBER(L8186),ISNUMBER(M8186)),L8186-M8186,"")</f>
        <v/>
      </c>
    </row>
    <row r="8187">
      <c r="N8187">
        <f>IF(AND(ISNUMBER(L8187),ISNUMBER(M8187)),L8187-M8187,"")</f>
        <v/>
      </c>
    </row>
    <row r="8188">
      <c r="N8188">
        <f>IF(AND(ISNUMBER(L8188),ISNUMBER(M8188)),L8188-M8188,"")</f>
        <v/>
      </c>
    </row>
    <row r="8189">
      <c r="N8189">
        <f>IF(AND(ISNUMBER(L8189),ISNUMBER(M8189)),L8189-M8189,"")</f>
        <v/>
      </c>
    </row>
    <row r="8190">
      <c r="N8190">
        <f>IF(AND(ISNUMBER(L8190),ISNUMBER(M8190)),L8190-M8190,"")</f>
        <v/>
      </c>
    </row>
    <row r="8191">
      <c r="N8191">
        <f>IF(AND(ISNUMBER(L8191),ISNUMBER(M8191)),L8191-M8191,"")</f>
        <v/>
      </c>
    </row>
    <row r="8192">
      <c r="N8192">
        <f>IF(AND(ISNUMBER(L8192),ISNUMBER(M8192)),L8192-M8192,"")</f>
        <v/>
      </c>
    </row>
    <row r="8193">
      <c r="N8193">
        <f>IF(AND(ISNUMBER(L8193),ISNUMBER(M8193)),L8193-M8193,"")</f>
        <v/>
      </c>
    </row>
    <row r="8194">
      <c r="N8194">
        <f>IF(AND(ISNUMBER(L8194),ISNUMBER(M8194)),L8194-M8194,"")</f>
        <v/>
      </c>
    </row>
    <row r="8195">
      <c r="N8195">
        <f>IF(AND(ISNUMBER(L8195),ISNUMBER(M8195)),L8195-M8195,"")</f>
        <v/>
      </c>
    </row>
    <row r="8196">
      <c r="N8196">
        <f>IF(AND(ISNUMBER(L8196),ISNUMBER(M8196)),L8196-M8196,"")</f>
        <v/>
      </c>
    </row>
    <row r="8197">
      <c r="N8197">
        <f>IF(AND(ISNUMBER(L8197),ISNUMBER(M8197)),L8197-M8197,"")</f>
        <v/>
      </c>
    </row>
    <row r="8198">
      <c r="N8198">
        <f>IF(AND(ISNUMBER(L8198),ISNUMBER(M8198)),L8198-M8198,"")</f>
        <v/>
      </c>
    </row>
    <row r="8199">
      <c r="N8199">
        <f>IF(AND(ISNUMBER(L8199),ISNUMBER(M8199)),L8199-M8199,"")</f>
        <v/>
      </c>
    </row>
    <row r="8200">
      <c r="N8200">
        <f>IF(AND(ISNUMBER(L8200),ISNUMBER(M8200)),L8200-M8200,"")</f>
        <v/>
      </c>
    </row>
    <row r="8201">
      <c r="N8201">
        <f>IF(AND(ISNUMBER(L8201),ISNUMBER(M8201)),L8201-M8201,"")</f>
        <v/>
      </c>
    </row>
    <row r="8202">
      <c r="N8202">
        <f>IF(AND(ISNUMBER(L8202),ISNUMBER(M8202)),L8202-M8202,"")</f>
        <v/>
      </c>
    </row>
    <row r="8203">
      <c r="N8203">
        <f>IF(AND(ISNUMBER(L8203),ISNUMBER(M8203)),L8203-M8203,"")</f>
        <v/>
      </c>
    </row>
    <row r="8204">
      <c r="N8204">
        <f>IF(AND(ISNUMBER(L8204),ISNUMBER(M8204)),L8204-M8204,"")</f>
        <v/>
      </c>
    </row>
    <row r="8205">
      <c r="N8205">
        <f>IF(AND(ISNUMBER(L8205),ISNUMBER(M8205)),L8205-M8205,"")</f>
        <v/>
      </c>
    </row>
    <row r="8206">
      <c r="N8206">
        <f>IF(AND(ISNUMBER(L8206),ISNUMBER(M8206)),L8206-M8206,"")</f>
        <v/>
      </c>
    </row>
    <row r="8207">
      <c r="N8207">
        <f>IF(AND(ISNUMBER(L8207),ISNUMBER(M8207)),L8207-M8207,"")</f>
        <v/>
      </c>
    </row>
    <row r="8208">
      <c r="N8208">
        <f>IF(AND(ISNUMBER(L8208),ISNUMBER(M8208)),L8208-M8208,"")</f>
        <v/>
      </c>
    </row>
    <row r="8209">
      <c r="N8209">
        <f>IF(AND(ISNUMBER(L8209),ISNUMBER(M8209)),L8209-M8209,"")</f>
        <v/>
      </c>
    </row>
    <row r="8210">
      <c r="N8210">
        <f>IF(AND(ISNUMBER(L8210),ISNUMBER(M8210)),L8210-M8210,"")</f>
        <v/>
      </c>
    </row>
    <row r="8211">
      <c r="N8211">
        <f>IF(AND(ISNUMBER(L8211),ISNUMBER(M8211)),L8211-M8211,"")</f>
        <v/>
      </c>
    </row>
    <row r="8212">
      <c r="N8212">
        <f>IF(AND(ISNUMBER(L8212),ISNUMBER(M8212)),L8212-M8212,"")</f>
        <v/>
      </c>
    </row>
    <row r="8213">
      <c r="N8213">
        <f>IF(AND(ISNUMBER(L8213),ISNUMBER(M8213)),L8213-M8213,"")</f>
        <v/>
      </c>
    </row>
    <row r="8214">
      <c r="N8214">
        <f>IF(AND(ISNUMBER(L8214),ISNUMBER(M8214)),L8214-M8214,"")</f>
        <v/>
      </c>
    </row>
    <row r="8215">
      <c r="N8215">
        <f>IF(AND(ISNUMBER(L8215),ISNUMBER(M8215)),L8215-M8215,"")</f>
        <v/>
      </c>
    </row>
    <row r="8216">
      <c r="N8216">
        <f>IF(AND(ISNUMBER(L8216),ISNUMBER(M8216)),L8216-M8216,"")</f>
        <v/>
      </c>
    </row>
    <row r="8217">
      <c r="N8217">
        <f>IF(AND(ISNUMBER(L8217),ISNUMBER(M8217)),L8217-M8217,"")</f>
        <v/>
      </c>
    </row>
    <row r="8218">
      <c r="N8218">
        <f>IF(AND(ISNUMBER(L8218),ISNUMBER(M8218)),L8218-M8218,"")</f>
        <v/>
      </c>
    </row>
    <row r="8219">
      <c r="N8219">
        <f>IF(AND(ISNUMBER(L8219),ISNUMBER(M8219)),L8219-M8219,"")</f>
        <v/>
      </c>
    </row>
    <row r="8220">
      <c r="N8220">
        <f>IF(AND(ISNUMBER(L8220),ISNUMBER(M8220)),L8220-M8220,"")</f>
        <v/>
      </c>
    </row>
    <row r="8221">
      <c r="N8221">
        <f>IF(AND(ISNUMBER(L8221),ISNUMBER(M8221)),L8221-M8221,"")</f>
        <v/>
      </c>
    </row>
    <row r="8222">
      <c r="N8222">
        <f>IF(AND(ISNUMBER(L8222),ISNUMBER(M8222)),L8222-M8222,"")</f>
        <v/>
      </c>
    </row>
    <row r="8223">
      <c r="N8223">
        <f>IF(AND(ISNUMBER(L8223),ISNUMBER(M8223)),L8223-M8223,"")</f>
        <v/>
      </c>
    </row>
    <row r="8224">
      <c r="N8224">
        <f>IF(AND(ISNUMBER(L8224),ISNUMBER(M8224)),L8224-M8224,"")</f>
        <v/>
      </c>
    </row>
    <row r="8225">
      <c r="N8225">
        <f>IF(AND(ISNUMBER(L8225),ISNUMBER(M8225)),L8225-M8225,"")</f>
        <v/>
      </c>
    </row>
    <row r="8226">
      <c r="N8226">
        <f>IF(AND(ISNUMBER(L8226),ISNUMBER(M8226)),L8226-M8226,"")</f>
        <v/>
      </c>
    </row>
    <row r="8227">
      <c r="N8227">
        <f>IF(AND(ISNUMBER(L8227),ISNUMBER(M8227)),L8227-M8227,"")</f>
        <v/>
      </c>
    </row>
    <row r="8228">
      <c r="N8228">
        <f>IF(AND(ISNUMBER(L8228),ISNUMBER(M8228)),L8228-M8228,"")</f>
        <v/>
      </c>
    </row>
    <row r="8229">
      <c r="N8229">
        <f>IF(AND(ISNUMBER(L8229),ISNUMBER(M8229)),L8229-M8229,"")</f>
        <v/>
      </c>
    </row>
    <row r="8230">
      <c r="N8230">
        <f>IF(AND(ISNUMBER(L8230),ISNUMBER(M8230)),L8230-M8230,"")</f>
        <v/>
      </c>
    </row>
    <row r="8231">
      <c r="N8231">
        <f>IF(AND(ISNUMBER(L8231),ISNUMBER(M8231)),L8231-M8231,"")</f>
        <v/>
      </c>
    </row>
    <row r="8232">
      <c r="N8232">
        <f>IF(AND(ISNUMBER(L8232),ISNUMBER(M8232)),L8232-M8232,"")</f>
        <v/>
      </c>
    </row>
    <row r="8233">
      <c r="N8233">
        <f>IF(AND(ISNUMBER(L8233),ISNUMBER(M8233)),L8233-M8233,"")</f>
        <v/>
      </c>
    </row>
    <row r="8234">
      <c r="N8234">
        <f>IF(AND(ISNUMBER(L8234),ISNUMBER(M8234)),L8234-M8234,"")</f>
        <v/>
      </c>
    </row>
    <row r="8235">
      <c r="N8235">
        <f>IF(AND(ISNUMBER(L8235),ISNUMBER(M8235)),L8235-M8235,"")</f>
        <v/>
      </c>
    </row>
    <row r="8236">
      <c r="N8236">
        <f>IF(AND(ISNUMBER(L8236),ISNUMBER(M8236)),L8236-M8236,"")</f>
        <v/>
      </c>
    </row>
    <row r="8237">
      <c r="N8237">
        <f>IF(AND(ISNUMBER(L8237),ISNUMBER(M8237)),L8237-M8237,"")</f>
        <v/>
      </c>
    </row>
    <row r="8238">
      <c r="N8238">
        <f>IF(AND(ISNUMBER(L8238),ISNUMBER(M8238)),L8238-M8238,"")</f>
        <v/>
      </c>
    </row>
    <row r="8239">
      <c r="N8239">
        <f>IF(AND(ISNUMBER(L8239),ISNUMBER(M8239)),L8239-M8239,"")</f>
        <v/>
      </c>
    </row>
    <row r="8240">
      <c r="N8240">
        <f>IF(AND(ISNUMBER(L8240),ISNUMBER(M8240)),L8240-M8240,"")</f>
        <v/>
      </c>
    </row>
    <row r="8241">
      <c r="N8241">
        <f>IF(AND(ISNUMBER(L8241),ISNUMBER(M8241)),L8241-M8241,"")</f>
        <v/>
      </c>
    </row>
    <row r="8242">
      <c r="N8242">
        <f>IF(AND(ISNUMBER(L8242),ISNUMBER(M8242)),L8242-M8242,"")</f>
        <v/>
      </c>
    </row>
    <row r="8243">
      <c r="N8243">
        <f>IF(AND(ISNUMBER(L8243),ISNUMBER(M8243)),L8243-M8243,"")</f>
        <v/>
      </c>
    </row>
    <row r="8244">
      <c r="N8244">
        <f>IF(AND(ISNUMBER(L8244),ISNUMBER(M8244)),L8244-M8244,"")</f>
        <v/>
      </c>
    </row>
    <row r="8245">
      <c r="N8245">
        <f>IF(AND(ISNUMBER(L8245),ISNUMBER(M8245)),L8245-M8245,"")</f>
        <v/>
      </c>
    </row>
    <row r="8246">
      <c r="N8246">
        <f>IF(AND(ISNUMBER(L8246),ISNUMBER(M8246)),L8246-M8246,"")</f>
        <v/>
      </c>
    </row>
    <row r="8247">
      <c r="N8247">
        <f>IF(AND(ISNUMBER(L8247),ISNUMBER(M8247)),L8247-M8247,"")</f>
        <v/>
      </c>
    </row>
    <row r="8248">
      <c r="N8248">
        <f>IF(AND(ISNUMBER(L8248),ISNUMBER(M8248)),L8248-M8248,"")</f>
        <v/>
      </c>
    </row>
    <row r="8249">
      <c r="N8249">
        <f>IF(AND(ISNUMBER(L8249),ISNUMBER(M8249)),L8249-M8249,"")</f>
        <v/>
      </c>
    </row>
    <row r="8250">
      <c r="N8250">
        <f>IF(AND(ISNUMBER(L8250),ISNUMBER(M8250)),L8250-M8250,"")</f>
        <v/>
      </c>
    </row>
    <row r="8251">
      <c r="N8251">
        <f>IF(AND(ISNUMBER(L8251),ISNUMBER(M8251)),L8251-M8251,"")</f>
        <v/>
      </c>
    </row>
    <row r="8252">
      <c r="N8252">
        <f>IF(AND(ISNUMBER(L8252),ISNUMBER(M8252)),L8252-M8252,"")</f>
        <v/>
      </c>
    </row>
    <row r="8253">
      <c r="N8253">
        <f>IF(AND(ISNUMBER(L8253),ISNUMBER(M8253)),L8253-M8253,"")</f>
        <v/>
      </c>
    </row>
    <row r="8254">
      <c r="N8254">
        <f>IF(AND(ISNUMBER(L8254),ISNUMBER(M8254)),L8254-M8254,"")</f>
        <v/>
      </c>
    </row>
    <row r="8255">
      <c r="N8255">
        <f>IF(AND(ISNUMBER(L8255),ISNUMBER(M8255)),L8255-M8255,"")</f>
        <v/>
      </c>
    </row>
    <row r="8256">
      <c r="N8256">
        <f>IF(AND(ISNUMBER(L8256),ISNUMBER(M8256)),L8256-M8256,"")</f>
        <v/>
      </c>
    </row>
    <row r="8257">
      <c r="N8257">
        <f>IF(AND(ISNUMBER(L8257),ISNUMBER(M8257)),L8257-M8257,"")</f>
        <v/>
      </c>
    </row>
    <row r="8258">
      <c r="N8258">
        <f>IF(AND(ISNUMBER(L8258),ISNUMBER(M8258)),L8258-M8258,"")</f>
        <v/>
      </c>
    </row>
    <row r="8259">
      <c r="N8259">
        <f>IF(AND(ISNUMBER(L8259),ISNUMBER(M8259)),L8259-M8259,"")</f>
        <v/>
      </c>
    </row>
    <row r="8260">
      <c r="N8260">
        <f>IF(AND(ISNUMBER(L8260),ISNUMBER(M8260)),L8260-M8260,"")</f>
        <v/>
      </c>
    </row>
    <row r="8261">
      <c r="N8261">
        <f>IF(AND(ISNUMBER(L8261),ISNUMBER(M8261)),L8261-M8261,"")</f>
        <v/>
      </c>
    </row>
    <row r="8262">
      <c r="N8262">
        <f>IF(AND(ISNUMBER(L8262),ISNUMBER(M8262)),L8262-M8262,"")</f>
        <v/>
      </c>
    </row>
    <row r="8263">
      <c r="N8263">
        <f>IF(AND(ISNUMBER(L8263),ISNUMBER(M8263)),L8263-M8263,"")</f>
        <v/>
      </c>
    </row>
    <row r="8264">
      <c r="N8264">
        <f>IF(AND(ISNUMBER(L8264),ISNUMBER(M8264)),L8264-M8264,"")</f>
        <v/>
      </c>
    </row>
    <row r="8265">
      <c r="N8265">
        <f>IF(AND(ISNUMBER(L8265),ISNUMBER(M8265)),L8265-M8265,"")</f>
        <v/>
      </c>
    </row>
    <row r="8266">
      <c r="N8266">
        <f>IF(AND(ISNUMBER(L8266),ISNUMBER(M8266)),L8266-M8266,"")</f>
        <v/>
      </c>
    </row>
    <row r="8267">
      <c r="N8267">
        <f>IF(AND(ISNUMBER(L8267),ISNUMBER(M8267)),L8267-M8267,"")</f>
        <v/>
      </c>
    </row>
    <row r="8268">
      <c r="N8268">
        <f>IF(AND(ISNUMBER(L8268),ISNUMBER(M8268)),L8268-M8268,"")</f>
        <v/>
      </c>
    </row>
    <row r="8269">
      <c r="N8269">
        <f>IF(AND(ISNUMBER(L8269),ISNUMBER(M8269)),L8269-M8269,"")</f>
        <v/>
      </c>
    </row>
    <row r="8270">
      <c r="N8270">
        <f>IF(AND(ISNUMBER(L8270),ISNUMBER(M8270)),L8270-M8270,"")</f>
        <v/>
      </c>
    </row>
    <row r="8271">
      <c r="N8271">
        <f>IF(AND(ISNUMBER(L8271),ISNUMBER(M8271)),L8271-M8271,"")</f>
        <v/>
      </c>
    </row>
    <row r="8272">
      <c r="N8272">
        <f>IF(AND(ISNUMBER(L8272),ISNUMBER(M8272)),L8272-M8272,"")</f>
        <v/>
      </c>
    </row>
    <row r="8273">
      <c r="N8273">
        <f>IF(AND(ISNUMBER(L8273),ISNUMBER(M8273)),L8273-M8273,"")</f>
        <v/>
      </c>
    </row>
    <row r="8274">
      <c r="N8274">
        <f>IF(AND(ISNUMBER(L8274),ISNUMBER(M8274)),L8274-M8274,"")</f>
        <v/>
      </c>
    </row>
    <row r="8275">
      <c r="N8275">
        <f>IF(AND(ISNUMBER(L8275),ISNUMBER(M8275)),L8275-M8275,"")</f>
        <v/>
      </c>
    </row>
    <row r="8276">
      <c r="N8276">
        <f>IF(AND(ISNUMBER(L8276),ISNUMBER(M8276)),L8276-M8276,"")</f>
        <v/>
      </c>
    </row>
    <row r="8277">
      <c r="N8277">
        <f>IF(AND(ISNUMBER(L8277),ISNUMBER(M8277)),L8277-M8277,"")</f>
        <v/>
      </c>
    </row>
    <row r="8278">
      <c r="N8278">
        <f>IF(AND(ISNUMBER(L8278),ISNUMBER(M8278)),L8278-M8278,"")</f>
        <v/>
      </c>
    </row>
    <row r="8279">
      <c r="N8279">
        <f>IF(AND(ISNUMBER(L8279),ISNUMBER(M8279)),L8279-M8279,"")</f>
        <v/>
      </c>
    </row>
    <row r="8280">
      <c r="N8280">
        <f>IF(AND(ISNUMBER(L8280),ISNUMBER(M8280)),L8280-M8280,"")</f>
        <v/>
      </c>
    </row>
    <row r="8281">
      <c r="N8281">
        <f>IF(AND(ISNUMBER(L8281),ISNUMBER(M8281)),L8281-M8281,"")</f>
        <v/>
      </c>
    </row>
    <row r="8282">
      <c r="N8282">
        <f>IF(AND(ISNUMBER(L8282),ISNUMBER(M8282)),L8282-M8282,"")</f>
        <v/>
      </c>
    </row>
    <row r="8283">
      <c r="N8283">
        <f>IF(AND(ISNUMBER(L8283),ISNUMBER(M8283)),L8283-M8283,"")</f>
        <v/>
      </c>
    </row>
    <row r="8284">
      <c r="N8284">
        <f>IF(AND(ISNUMBER(L8284),ISNUMBER(M8284)),L8284-M8284,"")</f>
        <v/>
      </c>
    </row>
    <row r="8285">
      <c r="N8285">
        <f>IF(AND(ISNUMBER(L8285),ISNUMBER(M8285)),L8285-M8285,"")</f>
        <v/>
      </c>
    </row>
    <row r="8286">
      <c r="N8286">
        <f>IF(AND(ISNUMBER(L8286),ISNUMBER(M8286)),L8286-M8286,"")</f>
        <v/>
      </c>
    </row>
    <row r="8287">
      <c r="N8287">
        <f>IF(AND(ISNUMBER(L8287),ISNUMBER(M8287)),L8287-M8287,"")</f>
        <v/>
      </c>
    </row>
    <row r="8288">
      <c r="N8288">
        <f>IF(AND(ISNUMBER(L8288),ISNUMBER(M8288)),L8288-M8288,"")</f>
        <v/>
      </c>
    </row>
    <row r="8289">
      <c r="N8289">
        <f>IF(AND(ISNUMBER(L8289),ISNUMBER(M8289)),L8289-M8289,"")</f>
        <v/>
      </c>
    </row>
    <row r="8290">
      <c r="N8290">
        <f>IF(AND(ISNUMBER(L8290),ISNUMBER(M8290)),L8290-M8290,"")</f>
        <v/>
      </c>
    </row>
    <row r="8291">
      <c r="N8291">
        <f>IF(AND(ISNUMBER(L8291),ISNUMBER(M8291)),L8291-M8291,"")</f>
        <v/>
      </c>
    </row>
    <row r="8292">
      <c r="N8292">
        <f>IF(AND(ISNUMBER(L8292),ISNUMBER(M8292)),L8292-M8292,"")</f>
        <v/>
      </c>
    </row>
    <row r="8293">
      <c r="N8293">
        <f>IF(AND(ISNUMBER(L8293),ISNUMBER(M8293)),L8293-M8293,"")</f>
        <v/>
      </c>
    </row>
    <row r="8294">
      <c r="N8294">
        <f>IF(AND(ISNUMBER(L8294),ISNUMBER(M8294)),L8294-M8294,"")</f>
        <v/>
      </c>
    </row>
    <row r="8295">
      <c r="N8295">
        <f>IF(AND(ISNUMBER(L8295),ISNUMBER(M8295)),L8295-M8295,"")</f>
        <v/>
      </c>
    </row>
    <row r="8296">
      <c r="N8296">
        <f>IF(AND(ISNUMBER(L8296),ISNUMBER(M8296)),L8296-M8296,"")</f>
        <v/>
      </c>
    </row>
    <row r="8297">
      <c r="N8297">
        <f>IF(AND(ISNUMBER(L8297),ISNUMBER(M8297)),L8297-M8297,"")</f>
        <v/>
      </c>
    </row>
    <row r="8298">
      <c r="N8298">
        <f>IF(AND(ISNUMBER(L8298),ISNUMBER(M8298)),L8298-M8298,"")</f>
        <v/>
      </c>
    </row>
    <row r="8299">
      <c r="N8299">
        <f>IF(AND(ISNUMBER(L8299),ISNUMBER(M8299)),L8299-M8299,"")</f>
        <v/>
      </c>
    </row>
    <row r="8300">
      <c r="N8300">
        <f>IF(AND(ISNUMBER(L8300),ISNUMBER(M8300)),L8300-M8300,"")</f>
        <v/>
      </c>
    </row>
    <row r="8301">
      <c r="N8301">
        <f>IF(AND(ISNUMBER(L8301),ISNUMBER(M8301)),L8301-M8301,"")</f>
        <v/>
      </c>
    </row>
    <row r="8302">
      <c r="N8302">
        <f>IF(AND(ISNUMBER(L8302),ISNUMBER(M8302)),L8302-M8302,"")</f>
        <v/>
      </c>
    </row>
    <row r="8303">
      <c r="N8303">
        <f>IF(AND(ISNUMBER(L8303),ISNUMBER(M8303)),L8303-M8303,"")</f>
        <v/>
      </c>
    </row>
    <row r="8304">
      <c r="N8304">
        <f>IF(AND(ISNUMBER(L8304),ISNUMBER(M8304)),L8304-M8304,"")</f>
        <v/>
      </c>
    </row>
    <row r="8305">
      <c r="N8305">
        <f>IF(AND(ISNUMBER(L8305),ISNUMBER(M8305)),L8305-M8305,"")</f>
        <v/>
      </c>
    </row>
    <row r="8306">
      <c r="N8306">
        <f>IF(AND(ISNUMBER(L8306),ISNUMBER(M8306)),L8306-M8306,"")</f>
        <v/>
      </c>
    </row>
    <row r="8307">
      <c r="N8307">
        <f>IF(AND(ISNUMBER(L8307),ISNUMBER(M8307)),L8307-M8307,"")</f>
        <v/>
      </c>
    </row>
    <row r="8308">
      <c r="N8308">
        <f>IF(AND(ISNUMBER(L8308),ISNUMBER(M8308)),L8308-M8308,"")</f>
        <v/>
      </c>
    </row>
    <row r="8309">
      <c r="N8309">
        <f>IF(AND(ISNUMBER(L8309),ISNUMBER(M8309)),L8309-M8309,"")</f>
        <v/>
      </c>
    </row>
    <row r="8310">
      <c r="N8310">
        <f>IF(AND(ISNUMBER(L8310),ISNUMBER(M8310)),L8310-M8310,"")</f>
        <v/>
      </c>
    </row>
    <row r="8311">
      <c r="N8311">
        <f>IF(AND(ISNUMBER(L8311),ISNUMBER(M8311)),L8311-M8311,"")</f>
        <v/>
      </c>
    </row>
    <row r="8312">
      <c r="N8312">
        <f>IF(AND(ISNUMBER(L8312),ISNUMBER(M8312)),L8312-M8312,"")</f>
        <v/>
      </c>
    </row>
    <row r="8313">
      <c r="N8313">
        <f>IF(AND(ISNUMBER(L8313),ISNUMBER(M8313)),L8313-M8313,"")</f>
        <v/>
      </c>
    </row>
    <row r="8314">
      <c r="N8314">
        <f>IF(AND(ISNUMBER(L8314),ISNUMBER(M8314)),L8314-M8314,"")</f>
        <v/>
      </c>
    </row>
    <row r="8315">
      <c r="N8315">
        <f>IF(AND(ISNUMBER(L8315),ISNUMBER(M8315)),L8315-M8315,"")</f>
        <v/>
      </c>
    </row>
    <row r="8316">
      <c r="N8316">
        <f>IF(AND(ISNUMBER(L8316),ISNUMBER(M8316)),L8316-M8316,"")</f>
        <v/>
      </c>
    </row>
    <row r="8317">
      <c r="N8317">
        <f>IF(AND(ISNUMBER(L8317),ISNUMBER(M8317)),L8317-M8317,"")</f>
        <v/>
      </c>
    </row>
    <row r="8318">
      <c r="N8318">
        <f>IF(AND(ISNUMBER(L8318),ISNUMBER(M8318)),L8318-M8318,"")</f>
        <v/>
      </c>
    </row>
    <row r="8319">
      <c r="N8319">
        <f>IF(AND(ISNUMBER(L8319),ISNUMBER(M8319)),L8319-M8319,"")</f>
        <v/>
      </c>
    </row>
    <row r="8320">
      <c r="N8320">
        <f>IF(AND(ISNUMBER(L8320),ISNUMBER(M8320)),L8320-M8320,"")</f>
        <v/>
      </c>
    </row>
    <row r="8321">
      <c r="N8321">
        <f>IF(AND(ISNUMBER(L8321),ISNUMBER(M8321)),L8321-M8321,"")</f>
        <v/>
      </c>
    </row>
    <row r="8322">
      <c r="N8322">
        <f>IF(AND(ISNUMBER(L8322),ISNUMBER(M8322)),L8322-M8322,"")</f>
        <v/>
      </c>
    </row>
    <row r="8323">
      <c r="N8323">
        <f>IF(AND(ISNUMBER(L8323),ISNUMBER(M8323)),L8323-M8323,"")</f>
        <v/>
      </c>
    </row>
    <row r="8324">
      <c r="N8324">
        <f>IF(AND(ISNUMBER(L8324),ISNUMBER(M8324)),L8324-M8324,"")</f>
        <v/>
      </c>
    </row>
    <row r="8325">
      <c r="N8325">
        <f>IF(AND(ISNUMBER(L8325),ISNUMBER(M8325)),L8325-M8325,"")</f>
        <v/>
      </c>
    </row>
    <row r="8326">
      <c r="N8326">
        <f>IF(AND(ISNUMBER(L8326),ISNUMBER(M8326)),L8326-M8326,"")</f>
        <v/>
      </c>
    </row>
    <row r="8327">
      <c r="N8327">
        <f>IF(AND(ISNUMBER(L8327),ISNUMBER(M8327)),L8327-M8327,"")</f>
        <v/>
      </c>
    </row>
    <row r="8328">
      <c r="N8328">
        <f>IF(AND(ISNUMBER(L8328),ISNUMBER(M8328)),L8328-M8328,"")</f>
        <v/>
      </c>
    </row>
    <row r="8329">
      <c r="N8329">
        <f>IF(AND(ISNUMBER(L8329),ISNUMBER(M8329)),L8329-M8329,"")</f>
        <v/>
      </c>
    </row>
    <row r="8330">
      <c r="N8330">
        <f>IF(AND(ISNUMBER(L8330),ISNUMBER(M8330)),L8330-M8330,"")</f>
        <v/>
      </c>
    </row>
    <row r="8331">
      <c r="N8331">
        <f>IF(AND(ISNUMBER(L8331),ISNUMBER(M8331)),L8331-M8331,"")</f>
        <v/>
      </c>
    </row>
    <row r="8332">
      <c r="N8332">
        <f>IF(AND(ISNUMBER(L8332),ISNUMBER(M8332)),L8332-M8332,"")</f>
        <v/>
      </c>
    </row>
    <row r="8333">
      <c r="N8333">
        <f>IF(AND(ISNUMBER(L8333),ISNUMBER(M8333)),L8333-M8333,"")</f>
        <v/>
      </c>
    </row>
    <row r="8334">
      <c r="N8334">
        <f>IF(AND(ISNUMBER(L8334),ISNUMBER(M8334)),L8334-M8334,"")</f>
        <v/>
      </c>
    </row>
    <row r="8335">
      <c r="N8335">
        <f>IF(AND(ISNUMBER(L8335),ISNUMBER(M8335)),L8335-M8335,"")</f>
        <v/>
      </c>
    </row>
    <row r="8336">
      <c r="N8336">
        <f>IF(AND(ISNUMBER(L8336),ISNUMBER(M8336)),L8336-M8336,"")</f>
        <v/>
      </c>
    </row>
    <row r="8337">
      <c r="N8337">
        <f>IF(AND(ISNUMBER(L8337),ISNUMBER(M8337)),L8337-M8337,"")</f>
        <v/>
      </c>
    </row>
    <row r="8338">
      <c r="N8338">
        <f>IF(AND(ISNUMBER(L8338),ISNUMBER(M8338)),L8338-M8338,"")</f>
        <v/>
      </c>
    </row>
    <row r="8339">
      <c r="N8339">
        <f>IF(AND(ISNUMBER(L8339),ISNUMBER(M8339)),L8339-M8339,"")</f>
        <v/>
      </c>
    </row>
    <row r="8340">
      <c r="N8340">
        <f>IF(AND(ISNUMBER(L8340),ISNUMBER(M8340)),L8340-M8340,"")</f>
        <v/>
      </c>
    </row>
    <row r="8341">
      <c r="N8341">
        <f>IF(AND(ISNUMBER(L8341),ISNUMBER(M8341)),L8341-M8341,"")</f>
        <v/>
      </c>
    </row>
    <row r="8342">
      <c r="N8342">
        <f>IF(AND(ISNUMBER(L8342),ISNUMBER(M8342)),L8342-M8342,"")</f>
        <v/>
      </c>
    </row>
    <row r="8343">
      <c r="N8343">
        <f>IF(AND(ISNUMBER(L8343),ISNUMBER(M8343)),L8343-M8343,"")</f>
        <v/>
      </c>
    </row>
    <row r="8344">
      <c r="N8344">
        <f>IF(AND(ISNUMBER(L8344),ISNUMBER(M8344)),L8344-M8344,"")</f>
        <v/>
      </c>
    </row>
    <row r="8345">
      <c r="N8345">
        <f>IF(AND(ISNUMBER(L8345),ISNUMBER(M8345)),L8345-M8345,"")</f>
        <v/>
      </c>
    </row>
    <row r="8346">
      <c r="N8346">
        <f>IF(AND(ISNUMBER(L8346),ISNUMBER(M8346)),L8346-M8346,"")</f>
        <v/>
      </c>
    </row>
    <row r="8347">
      <c r="N8347">
        <f>IF(AND(ISNUMBER(L8347),ISNUMBER(M8347)),L8347-M8347,"")</f>
        <v/>
      </c>
    </row>
    <row r="8348">
      <c r="N8348">
        <f>IF(AND(ISNUMBER(L8348),ISNUMBER(M8348)),L8348-M8348,"")</f>
        <v/>
      </c>
    </row>
    <row r="8349">
      <c r="N8349">
        <f>IF(AND(ISNUMBER(L8349),ISNUMBER(M8349)),L8349-M8349,"")</f>
        <v/>
      </c>
    </row>
    <row r="8350">
      <c r="N8350">
        <f>IF(AND(ISNUMBER(L8350),ISNUMBER(M8350)),L8350-M8350,"")</f>
        <v/>
      </c>
    </row>
    <row r="8351">
      <c r="N8351">
        <f>IF(AND(ISNUMBER(L8351),ISNUMBER(M8351)),L8351-M8351,"")</f>
        <v/>
      </c>
    </row>
    <row r="8352">
      <c r="N8352">
        <f>IF(AND(ISNUMBER(L8352),ISNUMBER(M8352)),L8352-M8352,"")</f>
        <v/>
      </c>
    </row>
    <row r="8353">
      <c r="N8353">
        <f>IF(AND(ISNUMBER(L8353),ISNUMBER(M8353)),L8353-M8353,"")</f>
        <v/>
      </c>
    </row>
    <row r="8354">
      <c r="N8354">
        <f>IF(AND(ISNUMBER(L8354),ISNUMBER(M8354)),L8354-M8354,"")</f>
        <v/>
      </c>
    </row>
    <row r="8355">
      <c r="N8355">
        <f>IF(AND(ISNUMBER(L8355),ISNUMBER(M8355)),L8355-M8355,"")</f>
        <v/>
      </c>
    </row>
    <row r="8356">
      <c r="N8356">
        <f>IF(AND(ISNUMBER(L8356),ISNUMBER(M8356)),L8356-M8356,"")</f>
        <v/>
      </c>
    </row>
    <row r="8357">
      <c r="N8357">
        <f>IF(AND(ISNUMBER(L8357),ISNUMBER(M8357)),L8357-M8357,"")</f>
        <v/>
      </c>
    </row>
    <row r="8358">
      <c r="N8358">
        <f>IF(AND(ISNUMBER(L8358),ISNUMBER(M8358)),L8358-M8358,"")</f>
        <v/>
      </c>
    </row>
    <row r="8359">
      <c r="N8359">
        <f>IF(AND(ISNUMBER(L8359),ISNUMBER(M8359)),L8359-M8359,"")</f>
        <v/>
      </c>
    </row>
    <row r="8360">
      <c r="N8360">
        <f>IF(AND(ISNUMBER(L8360),ISNUMBER(M8360)),L8360-M8360,"")</f>
        <v/>
      </c>
    </row>
    <row r="8361">
      <c r="N8361">
        <f>IF(AND(ISNUMBER(L8361),ISNUMBER(M8361)),L8361-M8361,"")</f>
        <v/>
      </c>
    </row>
    <row r="8362">
      <c r="N8362">
        <f>IF(AND(ISNUMBER(L8362),ISNUMBER(M8362)),L8362-M8362,"")</f>
        <v/>
      </c>
    </row>
    <row r="8363">
      <c r="N8363">
        <f>IF(AND(ISNUMBER(L8363),ISNUMBER(M8363)),L8363-M8363,"")</f>
        <v/>
      </c>
    </row>
    <row r="8364">
      <c r="N8364">
        <f>IF(AND(ISNUMBER(L8364),ISNUMBER(M8364)),L8364-M8364,"")</f>
        <v/>
      </c>
    </row>
    <row r="8365">
      <c r="N8365">
        <f>IF(AND(ISNUMBER(L8365),ISNUMBER(M8365)),L8365-M8365,"")</f>
        <v/>
      </c>
    </row>
    <row r="8366">
      <c r="N8366">
        <f>IF(AND(ISNUMBER(L8366),ISNUMBER(M8366)),L8366-M8366,"")</f>
        <v/>
      </c>
    </row>
    <row r="8367">
      <c r="N8367">
        <f>IF(AND(ISNUMBER(L8367),ISNUMBER(M8367)),L8367-M8367,"")</f>
        <v/>
      </c>
    </row>
    <row r="8368">
      <c r="N8368">
        <f>IF(AND(ISNUMBER(L8368),ISNUMBER(M8368)),L8368-M8368,"")</f>
        <v/>
      </c>
    </row>
    <row r="8369">
      <c r="N8369">
        <f>IF(AND(ISNUMBER(L8369),ISNUMBER(M8369)),L8369-M8369,"")</f>
        <v/>
      </c>
    </row>
    <row r="8370">
      <c r="N8370">
        <f>IF(AND(ISNUMBER(L8370),ISNUMBER(M8370)),L8370-M8370,"")</f>
        <v/>
      </c>
    </row>
    <row r="8371">
      <c r="N8371">
        <f>IF(AND(ISNUMBER(L8371),ISNUMBER(M8371)),L8371-M8371,"")</f>
        <v/>
      </c>
    </row>
    <row r="8372">
      <c r="N8372">
        <f>IF(AND(ISNUMBER(L8372),ISNUMBER(M8372)),L8372-M8372,"")</f>
        <v/>
      </c>
    </row>
    <row r="8373">
      <c r="N8373">
        <f>IF(AND(ISNUMBER(L8373),ISNUMBER(M8373)),L8373-M8373,"")</f>
        <v/>
      </c>
    </row>
    <row r="8374">
      <c r="N8374">
        <f>IF(AND(ISNUMBER(L8374),ISNUMBER(M8374)),L8374-M8374,"")</f>
        <v/>
      </c>
    </row>
    <row r="8375">
      <c r="N8375">
        <f>IF(AND(ISNUMBER(L8375),ISNUMBER(M8375)),L8375-M8375,"")</f>
        <v/>
      </c>
    </row>
    <row r="8376">
      <c r="N8376">
        <f>IF(AND(ISNUMBER(L8376),ISNUMBER(M8376)),L8376-M8376,"")</f>
        <v/>
      </c>
    </row>
    <row r="8377">
      <c r="N8377">
        <f>IF(AND(ISNUMBER(L8377),ISNUMBER(M8377)),L8377-M8377,"")</f>
        <v/>
      </c>
    </row>
    <row r="8378">
      <c r="N8378">
        <f>IF(AND(ISNUMBER(L8378),ISNUMBER(M8378)),L8378-M8378,"")</f>
        <v/>
      </c>
    </row>
    <row r="8379">
      <c r="N8379">
        <f>IF(AND(ISNUMBER(L8379),ISNUMBER(M8379)),L8379-M8379,"")</f>
        <v/>
      </c>
    </row>
    <row r="8380">
      <c r="N8380">
        <f>IF(AND(ISNUMBER(L8380),ISNUMBER(M8380)),L8380-M8380,"")</f>
        <v/>
      </c>
    </row>
    <row r="8381">
      <c r="N8381">
        <f>IF(AND(ISNUMBER(L8381),ISNUMBER(M8381)),L8381-M8381,"")</f>
        <v/>
      </c>
    </row>
    <row r="8382">
      <c r="N8382">
        <f>IF(AND(ISNUMBER(L8382),ISNUMBER(M8382)),L8382-M8382,"")</f>
        <v/>
      </c>
    </row>
    <row r="8383">
      <c r="N8383">
        <f>IF(AND(ISNUMBER(L8383),ISNUMBER(M8383)),L8383-M8383,"")</f>
        <v/>
      </c>
    </row>
    <row r="8384">
      <c r="N8384">
        <f>IF(AND(ISNUMBER(L8384),ISNUMBER(M8384)),L8384-M8384,"")</f>
        <v/>
      </c>
    </row>
    <row r="8385">
      <c r="N8385">
        <f>IF(AND(ISNUMBER(L8385),ISNUMBER(M8385)),L8385-M8385,"")</f>
        <v/>
      </c>
    </row>
    <row r="8386">
      <c r="N8386">
        <f>IF(AND(ISNUMBER(L8386),ISNUMBER(M8386)),L8386-M8386,"")</f>
        <v/>
      </c>
    </row>
    <row r="8387">
      <c r="N8387">
        <f>IF(AND(ISNUMBER(L8387),ISNUMBER(M8387)),L8387-M8387,"")</f>
        <v/>
      </c>
    </row>
    <row r="8388">
      <c r="N8388">
        <f>IF(AND(ISNUMBER(L8388),ISNUMBER(M8388)),L8388-M8388,"")</f>
        <v/>
      </c>
    </row>
    <row r="8389">
      <c r="N8389">
        <f>IF(AND(ISNUMBER(L8389),ISNUMBER(M8389)),L8389-M8389,"")</f>
        <v/>
      </c>
    </row>
    <row r="8390">
      <c r="N8390">
        <f>IF(AND(ISNUMBER(L8390),ISNUMBER(M8390)),L8390-M8390,"")</f>
        <v/>
      </c>
    </row>
    <row r="8391">
      <c r="N8391">
        <f>IF(AND(ISNUMBER(L8391),ISNUMBER(M8391)),L8391-M8391,"")</f>
        <v/>
      </c>
    </row>
    <row r="8392">
      <c r="N8392">
        <f>IF(AND(ISNUMBER(L8392),ISNUMBER(M8392)),L8392-M8392,"")</f>
        <v/>
      </c>
    </row>
    <row r="8393">
      <c r="N8393">
        <f>IF(AND(ISNUMBER(L8393),ISNUMBER(M8393)),L8393-M8393,"")</f>
        <v/>
      </c>
    </row>
    <row r="8394">
      <c r="N8394">
        <f>IF(AND(ISNUMBER(L8394),ISNUMBER(M8394)),L8394-M8394,"")</f>
        <v/>
      </c>
    </row>
    <row r="8395">
      <c r="N8395">
        <f>IF(AND(ISNUMBER(L8395),ISNUMBER(M8395)),L8395-M8395,"")</f>
        <v/>
      </c>
    </row>
    <row r="8396">
      <c r="N8396">
        <f>IF(AND(ISNUMBER(L8396),ISNUMBER(M8396)),L8396-M8396,"")</f>
        <v/>
      </c>
    </row>
    <row r="8397">
      <c r="N8397">
        <f>IF(AND(ISNUMBER(L8397),ISNUMBER(M8397)),L8397-M8397,"")</f>
        <v/>
      </c>
    </row>
    <row r="8398">
      <c r="N8398">
        <f>IF(AND(ISNUMBER(L8398),ISNUMBER(M8398)),L8398-M8398,"")</f>
        <v/>
      </c>
    </row>
    <row r="8399">
      <c r="N8399">
        <f>IF(AND(ISNUMBER(L8399),ISNUMBER(M8399)),L8399-M8399,"")</f>
        <v/>
      </c>
    </row>
    <row r="8400">
      <c r="N8400">
        <f>IF(AND(ISNUMBER(L8400),ISNUMBER(M8400)),L8400-M8400,"")</f>
        <v/>
      </c>
    </row>
    <row r="8401">
      <c r="N8401">
        <f>IF(AND(ISNUMBER(L8401),ISNUMBER(M8401)),L8401-M8401,"")</f>
        <v/>
      </c>
    </row>
    <row r="8402">
      <c r="N8402">
        <f>IF(AND(ISNUMBER(L8402),ISNUMBER(M8402)),L8402-M8402,"")</f>
        <v/>
      </c>
    </row>
    <row r="8403">
      <c r="N8403">
        <f>IF(AND(ISNUMBER(L8403),ISNUMBER(M8403)),L8403-M8403,"")</f>
        <v/>
      </c>
    </row>
    <row r="8404">
      <c r="N8404">
        <f>IF(AND(ISNUMBER(L8404),ISNUMBER(M8404)),L8404-M8404,"")</f>
        <v/>
      </c>
    </row>
    <row r="8405">
      <c r="N8405">
        <f>IF(AND(ISNUMBER(L8405),ISNUMBER(M8405)),L8405-M8405,"")</f>
        <v/>
      </c>
    </row>
    <row r="8406">
      <c r="N8406">
        <f>IF(AND(ISNUMBER(L8406),ISNUMBER(M8406)),L8406-M8406,"")</f>
        <v/>
      </c>
    </row>
    <row r="8407">
      <c r="N8407">
        <f>IF(AND(ISNUMBER(L8407),ISNUMBER(M8407)),L8407-M8407,"")</f>
        <v/>
      </c>
    </row>
    <row r="8408">
      <c r="N8408">
        <f>IF(AND(ISNUMBER(L8408),ISNUMBER(M8408)),L8408-M8408,"")</f>
        <v/>
      </c>
    </row>
    <row r="8409">
      <c r="N8409">
        <f>IF(AND(ISNUMBER(L8409),ISNUMBER(M8409)),L8409-M8409,"")</f>
        <v/>
      </c>
    </row>
    <row r="8410">
      <c r="N8410">
        <f>IF(AND(ISNUMBER(L8410),ISNUMBER(M8410)),L8410-M8410,"")</f>
        <v/>
      </c>
    </row>
    <row r="8411">
      <c r="N8411">
        <f>IF(AND(ISNUMBER(L8411),ISNUMBER(M8411)),L8411-M8411,"")</f>
        <v/>
      </c>
    </row>
    <row r="8412">
      <c r="N8412">
        <f>IF(AND(ISNUMBER(L8412),ISNUMBER(M8412)),L8412-M8412,"")</f>
        <v/>
      </c>
    </row>
    <row r="8413">
      <c r="N8413">
        <f>IF(AND(ISNUMBER(L8413),ISNUMBER(M8413)),L8413-M8413,"")</f>
        <v/>
      </c>
    </row>
    <row r="8414">
      <c r="N8414">
        <f>IF(AND(ISNUMBER(L8414),ISNUMBER(M8414)),L8414-M8414,"")</f>
        <v/>
      </c>
    </row>
    <row r="8415">
      <c r="N8415">
        <f>IF(AND(ISNUMBER(L8415),ISNUMBER(M8415)),L8415-M8415,"")</f>
        <v/>
      </c>
    </row>
    <row r="8416">
      <c r="N8416">
        <f>IF(AND(ISNUMBER(L8416),ISNUMBER(M8416)),L8416-M8416,"")</f>
        <v/>
      </c>
    </row>
    <row r="8417">
      <c r="N8417">
        <f>IF(AND(ISNUMBER(L8417),ISNUMBER(M8417)),L8417-M8417,"")</f>
        <v/>
      </c>
    </row>
    <row r="8418">
      <c r="N8418">
        <f>IF(AND(ISNUMBER(L8418),ISNUMBER(M8418)),L8418-M8418,"")</f>
        <v/>
      </c>
    </row>
    <row r="8419">
      <c r="N8419">
        <f>IF(AND(ISNUMBER(L8419),ISNUMBER(M8419)),L8419-M8419,"")</f>
        <v/>
      </c>
    </row>
    <row r="8420">
      <c r="N8420">
        <f>IF(AND(ISNUMBER(L8420),ISNUMBER(M8420)),L8420-M8420,"")</f>
        <v/>
      </c>
    </row>
    <row r="8421">
      <c r="N8421">
        <f>IF(AND(ISNUMBER(L8421),ISNUMBER(M8421)),L8421-M8421,"")</f>
        <v/>
      </c>
    </row>
    <row r="8422">
      <c r="N8422">
        <f>IF(AND(ISNUMBER(L8422),ISNUMBER(M8422)),L8422-M8422,"")</f>
        <v/>
      </c>
    </row>
    <row r="8423">
      <c r="N8423">
        <f>IF(AND(ISNUMBER(L8423),ISNUMBER(M8423)),L8423-M8423,"")</f>
        <v/>
      </c>
    </row>
    <row r="8424">
      <c r="N8424">
        <f>IF(AND(ISNUMBER(L8424),ISNUMBER(M8424)),L8424-M8424,"")</f>
        <v/>
      </c>
    </row>
    <row r="8425">
      <c r="N8425">
        <f>IF(AND(ISNUMBER(L8425),ISNUMBER(M8425)),L8425-M8425,"")</f>
        <v/>
      </c>
    </row>
    <row r="8426">
      <c r="N8426">
        <f>IF(AND(ISNUMBER(L8426),ISNUMBER(M8426)),L8426-M8426,"")</f>
        <v/>
      </c>
    </row>
    <row r="8427">
      <c r="N8427">
        <f>IF(AND(ISNUMBER(L8427),ISNUMBER(M8427)),L8427-M8427,"")</f>
        <v/>
      </c>
    </row>
    <row r="8428">
      <c r="N8428">
        <f>IF(AND(ISNUMBER(L8428),ISNUMBER(M8428)),L8428-M8428,"")</f>
        <v/>
      </c>
    </row>
    <row r="8429">
      <c r="N8429">
        <f>IF(AND(ISNUMBER(L8429),ISNUMBER(M8429)),L8429-M8429,"")</f>
        <v/>
      </c>
    </row>
    <row r="8430">
      <c r="N8430">
        <f>IF(AND(ISNUMBER(L8430),ISNUMBER(M8430)),L8430-M8430,"")</f>
        <v/>
      </c>
    </row>
    <row r="8431">
      <c r="N8431">
        <f>IF(AND(ISNUMBER(L8431),ISNUMBER(M8431)),L8431-M8431,"")</f>
        <v/>
      </c>
    </row>
    <row r="8432">
      <c r="N8432">
        <f>IF(AND(ISNUMBER(L8432),ISNUMBER(M8432)),L8432-M8432,"")</f>
        <v/>
      </c>
    </row>
    <row r="8433">
      <c r="N8433">
        <f>IF(AND(ISNUMBER(L8433),ISNUMBER(M8433)),L8433-M8433,"")</f>
        <v/>
      </c>
    </row>
    <row r="8434">
      <c r="N8434">
        <f>IF(AND(ISNUMBER(L8434),ISNUMBER(M8434)),L8434-M8434,"")</f>
        <v/>
      </c>
    </row>
    <row r="8435">
      <c r="N8435">
        <f>IF(AND(ISNUMBER(L8435),ISNUMBER(M8435)),L8435-M8435,"")</f>
        <v/>
      </c>
    </row>
    <row r="8436">
      <c r="N8436">
        <f>IF(AND(ISNUMBER(L8436),ISNUMBER(M8436)),L8436-M8436,"")</f>
        <v/>
      </c>
    </row>
    <row r="8437">
      <c r="N8437">
        <f>IF(AND(ISNUMBER(L8437),ISNUMBER(M8437)),L8437-M8437,"")</f>
        <v/>
      </c>
    </row>
    <row r="8438">
      <c r="N8438">
        <f>IF(AND(ISNUMBER(L8438),ISNUMBER(M8438)),L8438-M8438,"")</f>
        <v/>
      </c>
    </row>
    <row r="8439">
      <c r="N8439">
        <f>IF(AND(ISNUMBER(L8439),ISNUMBER(M8439)),L8439-M8439,"")</f>
        <v/>
      </c>
    </row>
    <row r="8440">
      <c r="N8440">
        <f>IF(AND(ISNUMBER(L8440),ISNUMBER(M8440)),L8440-M8440,"")</f>
        <v/>
      </c>
    </row>
    <row r="8441">
      <c r="N8441">
        <f>IF(AND(ISNUMBER(L8441),ISNUMBER(M8441)),L8441-M8441,"")</f>
        <v/>
      </c>
    </row>
    <row r="8442">
      <c r="N8442">
        <f>IF(AND(ISNUMBER(L8442),ISNUMBER(M8442)),L8442-M8442,"")</f>
        <v/>
      </c>
    </row>
    <row r="8443">
      <c r="N8443">
        <f>IF(AND(ISNUMBER(L8443),ISNUMBER(M8443)),L8443-M8443,"")</f>
        <v/>
      </c>
    </row>
    <row r="8444">
      <c r="N8444">
        <f>IF(AND(ISNUMBER(L8444),ISNUMBER(M8444)),L8444-M8444,"")</f>
        <v/>
      </c>
    </row>
    <row r="8445">
      <c r="N8445">
        <f>IF(AND(ISNUMBER(L8445),ISNUMBER(M8445)),L8445-M8445,"")</f>
        <v/>
      </c>
    </row>
    <row r="8446">
      <c r="N8446">
        <f>IF(AND(ISNUMBER(L8446),ISNUMBER(M8446)),L8446-M8446,"")</f>
        <v/>
      </c>
    </row>
    <row r="8447">
      <c r="N8447">
        <f>IF(AND(ISNUMBER(L8447),ISNUMBER(M8447)),L8447-M8447,"")</f>
        <v/>
      </c>
    </row>
    <row r="8448">
      <c r="N8448">
        <f>IF(AND(ISNUMBER(L8448),ISNUMBER(M8448)),L8448-M8448,"")</f>
        <v/>
      </c>
    </row>
    <row r="8449">
      <c r="N8449">
        <f>IF(AND(ISNUMBER(L8449),ISNUMBER(M8449)),L8449-M8449,"")</f>
        <v/>
      </c>
    </row>
    <row r="8450">
      <c r="N8450">
        <f>IF(AND(ISNUMBER(L8450),ISNUMBER(M8450)),L8450-M8450,"")</f>
        <v/>
      </c>
    </row>
    <row r="8451">
      <c r="N8451">
        <f>IF(AND(ISNUMBER(L8451),ISNUMBER(M8451)),L8451-M8451,"")</f>
        <v/>
      </c>
    </row>
    <row r="8452">
      <c r="N8452">
        <f>IF(AND(ISNUMBER(L8452),ISNUMBER(M8452)),L8452-M8452,"")</f>
        <v/>
      </c>
    </row>
    <row r="8453">
      <c r="N8453">
        <f>IF(AND(ISNUMBER(L8453),ISNUMBER(M8453)),L8453-M8453,"")</f>
        <v/>
      </c>
    </row>
    <row r="8454">
      <c r="N8454">
        <f>IF(AND(ISNUMBER(L8454),ISNUMBER(M8454)),L8454-M8454,"")</f>
        <v/>
      </c>
    </row>
    <row r="8455">
      <c r="N8455">
        <f>IF(AND(ISNUMBER(L8455),ISNUMBER(M8455)),L8455-M8455,"")</f>
        <v/>
      </c>
    </row>
    <row r="8456">
      <c r="N8456">
        <f>IF(AND(ISNUMBER(L8456),ISNUMBER(M8456)),L8456-M8456,"")</f>
        <v/>
      </c>
    </row>
    <row r="8457">
      <c r="N8457">
        <f>IF(AND(ISNUMBER(L8457),ISNUMBER(M8457)),L8457-M8457,"")</f>
        <v/>
      </c>
    </row>
    <row r="8458">
      <c r="N8458">
        <f>IF(AND(ISNUMBER(L8458),ISNUMBER(M8458)),L8458-M8458,"")</f>
        <v/>
      </c>
    </row>
    <row r="8459">
      <c r="N8459">
        <f>IF(AND(ISNUMBER(L8459),ISNUMBER(M8459)),L8459-M8459,"")</f>
        <v/>
      </c>
    </row>
    <row r="8460">
      <c r="N8460">
        <f>IF(AND(ISNUMBER(L8460),ISNUMBER(M8460)),L8460-M8460,"")</f>
        <v/>
      </c>
    </row>
    <row r="8461">
      <c r="N8461">
        <f>IF(AND(ISNUMBER(L8461),ISNUMBER(M8461)),L8461-M8461,"")</f>
        <v/>
      </c>
    </row>
    <row r="8462">
      <c r="N8462">
        <f>IF(AND(ISNUMBER(L8462),ISNUMBER(M8462)),L8462-M8462,"")</f>
        <v/>
      </c>
    </row>
    <row r="8463">
      <c r="N8463">
        <f>IF(AND(ISNUMBER(L8463),ISNUMBER(M8463)),L8463-M8463,"")</f>
        <v/>
      </c>
    </row>
    <row r="8464">
      <c r="N8464">
        <f>IF(AND(ISNUMBER(L8464),ISNUMBER(M8464)),L8464-M8464,"")</f>
        <v/>
      </c>
    </row>
    <row r="8465">
      <c r="N8465">
        <f>IF(AND(ISNUMBER(L8465),ISNUMBER(M8465)),L8465-M8465,"")</f>
        <v/>
      </c>
    </row>
    <row r="8466">
      <c r="N8466">
        <f>IF(AND(ISNUMBER(L8466),ISNUMBER(M8466)),L8466-M8466,"")</f>
        <v/>
      </c>
    </row>
    <row r="8467">
      <c r="N8467">
        <f>IF(AND(ISNUMBER(L8467),ISNUMBER(M8467)),L8467-M8467,"")</f>
        <v/>
      </c>
    </row>
    <row r="8468">
      <c r="N8468">
        <f>IF(AND(ISNUMBER(L8468),ISNUMBER(M8468)),L8468-M8468,"")</f>
        <v/>
      </c>
    </row>
    <row r="8469">
      <c r="N8469">
        <f>IF(AND(ISNUMBER(L8469),ISNUMBER(M8469)),L8469-M8469,"")</f>
        <v/>
      </c>
    </row>
    <row r="8470">
      <c r="N8470">
        <f>IF(AND(ISNUMBER(L8470),ISNUMBER(M8470)),L8470-M8470,"")</f>
        <v/>
      </c>
    </row>
    <row r="8471">
      <c r="N8471">
        <f>IF(AND(ISNUMBER(L8471),ISNUMBER(M8471)),L8471-M8471,"")</f>
        <v/>
      </c>
    </row>
    <row r="8472">
      <c r="N8472">
        <f>IF(AND(ISNUMBER(L8472),ISNUMBER(M8472)),L8472-M8472,"")</f>
        <v/>
      </c>
    </row>
    <row r="8473">
      <c r="N8473">
        <f>IF(AND(ISNUMBER(L8473),ISNUMBER(M8473)),L8473-M8473,"")</f>
        <v/>
      </c>
    </row>
    <row r="8474">
      <c r="N8474">
        <f>IF(AND(ISNUMBER(L8474),ISNUMBER(M8474)),L8474-M8474,"")</f>
        <v/>
      </c>
    </row>
    <row r="8475">
      <c r="N8475">
        <f>IF(AND(ISNUMBER(L8475),ISNUMBER(M8475)),L8475-M8475,"")</f>
        <v/>
      </c>
    </row>
    <row r="8476">
      <c r="N8476">
        <f>IF(AND(ISNUMBER(L8476),ISNUMBER(M8476)),L8476-M8476,"")</f>
        <v/>
      </c>
    </row>
    <row r="8477">
      <c r="N8477">
        <f>IF(AND(ISNUMBER(L8477),ISNUMBER(M8477)),L8477-M8477,"")</f>
        <v/>
      </c>
    </row>
    <row r="8478">
      <c r="N8478">
        <f>IF(AND(ISNUMBER(L8478),ISNUMBER(M8478)),L8478-M8478,"")</f>
        <v/>
      </c>
    </row>
    <row r="8479">
      <c r="N8479">
        <f>IF(AND(ISNUMBER(L8479),ISNUMBER(M8479)),L8479-M8479,"")</f>
        <v/>
      </c>
    </row>
    <row r="8480">
      <c r="N8480">
        <f>IF(AND(ISNUMBER(L8480),ISNUMBER(M8480)),L8480-M8480,"")</f>
        <v/>
      </c>
    </row>
    <row r="8481">
      <c r="N8481">
        <f>IF(AND(ISNUMBER(L8481),ISNUMBER(M8481)),L8481-M8481,"")</f>
        <v/>
      </c>
    </row>
    <row r="8482">
      <c r="N8482">
        <f>IF(AND(ISNUMBER(L8482),ISNUMBER(M8482)),L8482-M8482,"")</f>
        <v/>
      </c>
    </row>
    <row r="8483">
      <c r="N8483">
        <f>IF(AND(ISNUMBER(L8483),ISNUMBER(M8483)),L8483-M8483,"")</f>
        <v/>
      </c>
    </row>
    <row r="8484">
      <c r="N8484">
        <f>IF(AND(ISNUMBER(L8484),ISNUMBER(M8484)),L8484-M8484,"")</f>
        <v/>
      </c>
    </row>
    <row r="8485">
      <c r="N8485">
        <f>IF(AND(ISNUMBER(L8485),ISNUMBER(M8485)),L8485-M8485,"")</f>
        <v/>
      </c>
    </row>
    <row r="8486">
      <c r="N8486">
        <f>IF(AND(ISNUMBER(L8486),ISNUMBER(M8486)),L8486-M8486,"")</f>
        <v/>
      </c>
    </row>
    <row r="8487">
      <c r="N8487">
        <f>IF(AND(ISNUMBER(L8487),ISNUMBER(M8487)),L8487-M8487,"")</f>
        <v/>
      </c>
    </row>
    <row r="8488">
      <c r="N8488">
        <f>IF(AND(ISNUMBER(L8488),ISNUMBER(M8488)),L8488-M8488,"")</f>
        <v/>
      </c>
    </row>
    <row r="8489">
      <c r="N8489">
        <f>IF(AND(ISNUMBER(L8489),ISNUMBER(M8489)),L8489-M8489,"")</f>
        <v/>
      </c>
    </row>
    <row r="8490">
      <c r="N8490">
        <f>IF(AND(ISNUMBER(L8490),ISNUMBER(M8490)),L8490-M8490,"")</f>
        <v/>
      </c>
    </row>
    <row r="8491">
      <c r="N8491">
        <f>IF(AND(ISNUMBER(L8491),ISNUMBER(M8491)),L8491-M8491,"")</f>
        <v/>
      </c>
    </row>
    <row r="8492">
      <c r="N8492">
        <f>IF(AND(ISNUMBER(L8492),ISNUMBER(M8492)),L8492-M8492,"")</f>
        <v/>
      </c>
    </row>
    <row r="8493">
      <c r="N8493">
        <f>IF(AND(ISNUMBER(L8493),ISNUMBER(M8493)),L8493-M8493,"")</f>
        <v/>
      </c>
    </row>
    <row r="8494">
      <c r="N8494">
        <f>IF(AND(ISNUMBER(L8494),ISNUMBER(M8494)),L8494-M8494,"")</f>
        <v/>
      </c>
    </row>
    <row r="8495">
      <c r="N8495">
        <f>IF(AND(ISNUMBER(L8495),ISNUMBER(M8495)),L8495-M8495,"")</f>
        <v/>
      </c>
    </row>
    <row r="8496">
      <c r="N8496">
        <f>IF(AND(ISNUMBER(L8496),ISNUMBER(M8496)),L8496-M8496,"")</f>
        <v/>
      </c>
    </row>
    <row r="8497">
      <c r="N8497">
        <f>IF(AND(ISNUMBER(L8497),ISNUMBER(M8497)),L8497-M8497,"")</f>
        <v/>
      </c>
    </row>
    <row r="8498">
      <c r="N8498">
        <f>IF(AND(ISNUMBER(L8498),ISNUMBER(M8498)),L8498-M8498,"")</f>
        <v/>
      </c>
    </row>
    <row r="8499">
      <c r="N8499">
        <f>IF(AND(ISNUMBER(L8499),ISNUMBER(M8499)),L8499-M8499,"")</f>
        <v/>
      </c>
    </row>
    <row r="8500">
      <c r="N8500">
        <f>IF(AND(ISNUMBER(L8500),ISNUMBER(M8500)),L8500-M8500,"")</f>
        <v/>
      </c>
    </row>
    <row r="8501">
      <c r="N8501">
        <f>IF(AND(ISNUMBER(L8501),ISNUMBER(M8501)),L8501-M8501,"")</f>
        <v/>
      </c>
    </row>
    <row r="8502">
      <c r="N8502">
        <f>IF(AND(ISNUMBER(L8502),ISNUMBER(M8502)),L8502-M8502,"")</f>
        <v/>
      </c>
    </row>
    <row r="8503">
      <c r="N8503">
        <f>IF(AND(ISNUMBER(L8503),ISNUMBER(M8503)),L8503-M8503,"")</f>
        <v/>
      </c>
    </row>
    <row r="8504">
      <c r="N8504">
        <f>IF(AND(ISNUMBER(L8504),ISNUMBER(M8504)),L8504-M8504,"")</f>
        <v/>
      </c>
    </row>
    <row r="8505">
      <c r="N8505">
        <f>IF(AND(ISNUMBER(L8505),ISNUMBER(M8505)),L8505-M8505,"")</f>
        <v/>
      </c>
    </row>
    <row r="8506">
      <c r="N8506">
        <f>IF(AND(ISNUMBER(L8506),ISNUMBER(M8506)),L8506-M8506,"")</f>
        <v/>
      </c>
    </row>
    <row r="8507">
      <c r="N8507">
        <f>IF(AND(ISNUMBER(L8507),ISNUMBER(M8507)),L8507-M8507,"")</f>
        <v/>
      </c>
    </row>
    <row r="8508">
      <c r="N8508">
        <f>IF(AND(ISNUMBER(L8508),ISNUMBER(M8508)),L8508-M8508,"")</f>
        <v/>
      </c>
    </row>
    <row r="8509">
      <c r="N8509">
        <f>IF(AND(ISNUMBER(L8509),ISNUMBER(M8509)),L8509-M8509,"")</f>
        <v/>
      </c>
    </row>
    <row r="8510">
      <c r="N8510">
        <f>IF(AND(ISNUMBER(L8510),ISNUMBER(M8510)),L8510-M8510,"")</f>
        <v/>
      </c>
    </row>
    <row r="8511">
      <c r="N8511">
        <f>IF(AND(ISNUMBER(L8511),ISNUMBER(M8511)),L8511-M8511,"")</f>
        <v/>
      </c>
    </row>
    <row r="8512">
      <c r="N8512">
        <f>IF(AND(ISNUMBER(L8512),ISNUMBER(M8512)),L8512-M8512,"")</f>
        <v/>
      </c>
    </row>
    <row r="8513">
      <c r="N8513">
        <f>IF(AND(ISNUMBER(L8513),ISNUMBER(M8513)),L8513-M8513,"")</f>
        <v/>
      </c>
    </row>
    <row r="8514">
      <c r="N8514">
        <f>IF(AND(ISNUMBER(L8514),ISNUMBER(M8514)),L8514-M8514,"")</f>
        <v/>
      </c>
    </row>
    <row r="8515">
      <c r="N8515">
        <f>IF(AND(ISNUMBER(L8515),ISNUMBER(M8515)),L8515-M8515,"")</f>
        <v/>
      </c>
    </row>
    <row r="8516">
      <c r="N8516">
        <f>IF(AND(ISNUMBER(L8516),ISNUMBER(M8516)),L8516-M8516,"")</f>
        <v/>
      </c>
    </row>
    <row r="8517">
      <c r="N8517">
        <f>IF(AND(ISNUMBER(L8517),ISNUMBER(M8517)),L8517-M8517,"")</f>
        <v/>
      </c>
    </row>
    <row r="8518">
      <c r="N8518">
        <f>IF(AND(ISNUMBER(L8518),ISNUMBER(M8518)),L8518-M8518,"")</f>
        <v/>
      </c>
    </row>
    <row r="8519">
      <c r="N8519">
        <f>IF(AND(ISNUMBER(L8519),ISNUMBER(M8519)),L8519-M8519,"")</f>
        <v/>
      </c>
    </row>
    <row r="8520">
      <c r="N8520">
        <f>IF(AND(ISNUMBER(L8520),ISNUMBER(M8520)),L8520-M8520,"")</f>
        <v/>
      </c>
    </row>
    <row r="8521">
      <c r="N8521">
        <f>IF(AND(ISNUMBER(L8521),ISNUMBER(M8521)),L8521-M8521,"")</f>
        <v/>
      </c>
    </row>
    <row r="8522">
      <c r="N8522">
        <f>IF(AND(ISNUMBER(L8522),ISNUMBER(M8522)),L8522-M8522,"")</f>
        <v/>
      </c>
    </row>
    <row r="8523">
      <c r="N8523">
        <f>IF(AND(ISNUMBER(L8523),ISNUMBER(M8523)),L8523-M8523,"")</f>
        <v/>
      </c>
    </row>
    <row r="8524">
      <c r="N8524">
        <f>IF(AND(ISNUMBER(L8524),ISNUMBER(M8524)),L8524-M8524,"")</f>
        <v/>
      </c>
    </row>
    <row r="8525">
      <c r="N8525">
        <f>IF(AND(ISNUMBER(L8525),ISNUMBER(M8525)),L8525-M8525,"")</f>
        <v/>
      </c>
    </row>
    <row r="8526">
      <c r="N8526">
        <f>IF(AND(ISNUMBER(L8526),ISNUMBER(M8526)),L8526-M8526,"")</f>
        <v/>
      </c>
    </row>
    <row r="8527">
      <c r="N8527">
        <f>IF(AND(ISNUMBER(L8527),ISNUMBER(M8527)),L8527-M8527,"")</f>
        <v/>
      </c>
    </row>
    <row r="8528">
      <c r="N8528">
        <f>IF(AND(ISNUMBER(L8528),ISNUMBER(M8528)),L8528-M8528,"")</f>
        <v/>
      </c>
    </row>
    <row r="8529">
      <c r="N8529">
        <f>IF(AND(ISNUMBER(L8529),ISNUMBER(M8529)),L8529-M8529,"")</f>
        <v/>
      </c>
    </row>
    <row r="8530">
      <c r="N8530">
        <f>IF(AND(ISNUMBER(L8530),ISNUMBER(M8530)),L8530-M8530,"")</f>
        <v/>
      </c>
    </row>
    <row r="8531">
      <c r="N8531">
        <f>IF(AND(ISNUMBER(L8531),ISNUMBER(M8531)),L8531-M8531,"")</f>
        <v/>
      </c>
    </row>
    <row r="8532">
      <c r="N8532">
        <f>IF(AND(ISNUMBER(L8532),ISNUMBER(M8532)),L8532-M8532,"")</f>
        <v/>
      </c>
    </row>
    <row r="8533">
      <c r="N8533">
        <f>IF(AND(ISNUMBER(L8533),ISNUMBER(M8533)),L8533-M8533,"")</f>
        <v/>
      </c>
    </row>
    <row r="8534">
      <c r="N8534">
        <f>IF(AND(ISNUMBER(L8534),ISNUMBER(M8534)),L8534-M8534,"")</f>
        <v/>
      </c>
    </row>
    <row r="8535">
      <c r="N8535">
        <f>IF(AND(ISNUMBER(L8535),ISNUMBER(M8535)),L8535-M8535,"")</f>
        <v/>
      </c>
    </row>
    <row r="8536">
      <c r="N8536">
        <f>IF(AND(ISNUMBER(L8536),ISNUMBER(M8536)),L8536-M8536,"")</f>
        <v/>
      </c>
    </row>
    <row r="8537">
      <c r="N8537">
        <f>IF(AND(ISNUMBER(L8537),ISNUMBER(M8537)),L8537-M8537,"")</f>
        <v/>
      </c>
    </row>
    <row r="8538">
      <c r="N8538">
        <f>IF(AND(ISNUMBER(L8538),ISNUMBER(M8538)),L8538-M8538,"")</f>
        <v/>
      </c>
    </row>
    <row r="8539">
      <c r="N8539">
        <f>IF(AND(ISNUMBER(L8539),ISNUMBER(M8539)),L8539-M8539,"")</f>
        <v/>
      </c>
    </row>
    <row r="8540">
      <c r="N8540">
        <f>IF(AND(ISNUMBER(L8540),ISNUMBER(M8540)),L8540-M8540,"")</f>
        <v/>
      </c>
    </row>
    <row r="8541">
      <c r="N8541">
        <f>IF(AND(ISNUMBER(L8541),ISNUMBER(M8541)),L8541-M8541,"")</f>
        <v/>
      </c>
    </row>
    <row r="8542">
      <c r="N8542">
        <f>IF(AND(ISNUMBER(L8542),ISNUMBER(M8542)),L8542-M8542,"")</f>
        <v/>
      </c>
    </row>
    <row r="8543">
      <c r="N8543">
        <f>IF(AND(ISNUMBER(L8543),ISNUMBER(M8543)),L8543-M8543,"")</f>
        <v/>
      </c>
    </row>
    <row r="8544">
      <c r="N8544">
        <f>IF(AND(ISNUMBER(L8544),ISNUMBER(M8544)),L8544-M8544,"")</f>
        <v/>
      </c>
    </row>
    <row r="8545">
      <c r="N8545">
        <f>IF(AND(ISNUMBER(L8545),ISNUMBER(M8545)),L8545-M8545,"")</f>
        <v/>
      </c>
    </row>
    <row r="8546">
      <c r="N8546">
        <f>IF(AND(ISNUMBER(L8546),ISNUMBER(M8546)),L8546-M8546,"")</f>
        <v/>
      </c>
    </row>
    <row r="8547">
      <c r="N8547">
        <f>IF(AND(ISNUMBER(L8547),ISNUMBER(M8547)),L8547-M8547,"")</f>
        <v/>
      </c>
    </row>
    <row r="8548">
      <c r="N8548">
        <f>IF(AND(ISNUMBER(L8548),ISNUMBER(M8548)),L8548-M8548,"")</f>
        <v/>
      </c>
    </row>
    <row r="8549">
      <c r="N8549">
        <f>IF(AND(ISNUMBER(L8549),ISNUMBER(M8549)),L8549-M8549,"")</f>
        <v/>
      </c>
    </row>
    <row r="8550">
      <c r="N8550">
        <f>IF(AND(ISNUMBER(L8550),ISNUMBER(M8550)),L8550-M8550,"")</f>
        <v/>
      </c>
    </row>
    <row r="8551">
      <c r="N8551">
        <f>IF(AND(ISNUMBER(L8551),ISNUMBER(M8551)),L8551-M8551,"")</f>
        <v/>
      </c>
    </row>
    <row r="8552">
      <c r="N8552">
        <f>IF(AND(ISNUMBER(L8552),ISNUMBER(M8552)),L8552-M8552,"")</f>
        <v/>
      </c>
    </row>
    <row r="8553">
      <c r="N8553">
        <f>IF(AND(ISNUMBER(L8553),ISNUMBER(M8553)),L8553-M8553,"")</f>
        <v/>
      </c>
    </row>
    <row r="8554">
      <c r="N8554">
        <f>IF(AND(ISNUMBER(L8554),ISNUMBER(M8554)),L8554-M8554,"")</f>
        <v/>
      </c>
    </row>
    <row r="8555">
      <c r="N8555">
        <f>IF(AND(ISNUMBER(L8555),ISNUMBER(M8555)),L8555-M8555,"")</f>
        <v/>
      </c>
    </row>
    <row r="8556">
      <c r="N8556">
        <f>IF(AND(ISNUMBER(L8556),ISNUMBER(M8556)),L8556-M8556,"")</f>
        <v/>
      </c>
    </row>
    <row r="8557">
      <c r="N8557">
        <f>IF(AND(ISNUMBER(L8557),ISNUMBER(M8557)),L8557-M8557,"")</f>
        <v/>
      </c>
    </row>
    <row r="8558">
      <c r="N8558">
        <f>IF(AND(ISNUMBER(L8558),ISNUMBER(M8558)),L8558-M8558,"")</f>
        <v/>
      </c>
    </row>
    <row r="8559">
      <c r="N8559">
        <f>IF(AND(ISNUMBER(L8559),ISNUMBER(M8559)),L8559-M8559,"")</f>
        <v/>
      </c>
    </row>
    <row r="8560">
      <c r="N8560">
        <f>IF(AND(ISNUMBER(L8560),ISNUMBER(M8560)),L8560-M8560,"")</f>
        <v/>
      </c>
    </row>
    <row r="8561">
      <c r="N8561">
        <f>IF(AND(ISNUMBER(L8561),ISNUMBER(M8561)),L8561-M8561,"")</f>
        <v/>
      </c>
    </row>
    <row r="8562">
      <c r="N8562">
        <f>IF(AND(ISNUMBER(L8562),ISNUMBER(M8562)),L8562-M8562,"")</f>
        <v/>
      </c>
    </row>
    <row r="8563">
      <c r="N8563">
        <f>IF(AND(ISNUMBER(L8563),ISNUMBER(M8563)),L8563-M8563,"")</f>
        <v/>
      </c>
    </row>
    <row r="8564">
      <c r="N8564">
        <f>IF(AND(ISNUMBER(L8564),ISNUMBER(M8564)),L8564-M8564,"")</f>
        <v/>
      </c>
    </row>
    <row r="8565">
      <c r="N8565">
        <f>IF(AND(ISNUMBER(L8565),ISNUMBER(M8565)),L8565-M8565,"")</f>
        <v/>
      </c>
    </row>
    <row r="8566">
      <c r="N8566">
        <f>IF(AND(ISNUMBER(L8566),ISNUMBER(M8566)),L8566-M8566,"")</f>
        <v/>
      </c>
    </row>
    <row r="8567">
      <c r="N8567">
        <f>IF(AND(ISNUMBER(L8567),ISNUMBER(M8567)),L8567-M8567,"")</f>
        <v/>
      </c>
    </row>
    <row r="8568">
      <c r="N8568">
        <f>IF(AND(ISNUMBER(L8568),ISNUMBER(M8568)),L8568-M8568,"")</f>
        <v/>
      </c>
    </row>
    <row r="8569">
      <c r="N8569">
        <f>IF(AND(ISNUMBER(L8569),ISNUMBER(M8569)),L8569-M8569,"")</f>
        <v/>
      </c>
    </row>
    <row r="8570">
      <c r="N8570">
        <f>IF(AND(ISNUMBER(L8570),ISNUMBER(M8570)),L8570-M8570,"")</f>
        <v/>
      </c>
    </row>
    <row r="8571">
      <c r="N8571">
        <f>IF(AND(ISNUMBER(L8571),ISNUMBER(M8571)),L8571-M8571,"")</f>
        <v/>
      </c>
    </row>
    <row r="8572">
      <c r="N8572">
        <f>IF(AND(ISNUMBER(L8572),ISNUMBER(M8572)),L8572-M8572,"")</f>
        <v/>
      </c>
    </row>
    <row r="8573">
      <c r="N8573">
        <f>IF(AND(ISNUMBER(L8573),ISNUMBER(M8573)),L8573-M8573,"")</f>
        <v/>
      </c>
    </row>
    <row r="8574">
      <c r="N8574">
        <f>IF(AND(ISNUMBER(L8574),ISNUMBER(M8574)),L8574-M8574,"")</f>
        <v/>
      </c>
    </row>
    <row r="8575">
      <c r="N8575">
        <f>IF(AND(ISNUMBER(L8575),ISNUMBER(M8575)),L8575-M8575,"")</f>
        <v/>
      </c>
    </row>
    <row r="8576">
      <c r="N8576">
        <f>IF(AND(ISNUMBER(L8576),ISNUMBER(M8576)),L8576-M8576,"")</f>
        <v/>
      </c>
    </row>
    <row r="8577">
      <c r="N8577">
        <f>IF(AND(ISNUMBER(L8577),ISNUMBER(M8577)),L8577-M8577,"")</f>
        <v/>
      </c>
    </row>
    <row r="8578">
      <c r="N8578">
        <f>IF(AND(ISNUMBER(L8578),ISNUMBER(M8578)),L8578-M8578,"")</f>
        <v/>
      </c>
    </row>
    <row r="8579">
      <c r="N8579">
        <f>IF(AND(ISNUMBER(L8579),ISNUMBER(M8579)),L8579-M8579,"")</f>
        <v/>
      </c>
    </row>
    <row r="8580">
      <c r="N8580">
        <f>IF(AND(ISNUMBER(L8580),ISNUMBER(M8580)),L8580-M8580,"")</f>
        <v/>
      </c>
    </row>
    <row r="8581">
      <c r="N8581">
        <f>IF(AND(ISNUMBER(L8581),ISNUMBER(M8581)),L8581-M8581,"")</f>
        <v/>
      </c>
    </row>
    <row r="8582">
      <c r="N8582">
        <f>IF(AND(ISNUMBER(L8582),ISNUMBER(M8582)),L8582-M8582,"")</f>
        <v/>
      </c>
    </row>
    <row r="8583">
      <c r="N8583">
        <f>IF(AND(ISNUMBER(L8583),ISNUMBER(M8583)),L8583-M8583,"")</f>
        <v/>
      </c>
    </row>
    <row r="8584">
      <c r="N8584">
        <f>IF(AND(ISNUMBER(L8584),ISNUMBER(M8584)),L8584-M8584,"")</f>
        <v/>
      </c>
    </row>
    <row r="8585">
      <c r="N8585">
        <f>IF(AND(ISNUMBER(L8585),ISNUMBER(M8585)),L8585-M8585,"")</f>
        <v/>
      </c>
    </row>
    <row r="8586">
      <c r="N8586">
        <f>IF(AND(ISNUMBER(L8586),ISNUMBER(M8586)),L8586-M8586,"")</f>
        <v/>
      </c>
    </row>
    <row r="8587">
      <c r="N8587">
        <f>IF(AND(ISNUMBER(L8587),ISNUMBER(M8587)),L8587-M8587,"")</f>
        <v/>
      </c>
    </row>
    <row r="8588">
      <c r="N8588">
        <f>IF(AND(ISNUMBER(L8588),ISNUMBER(M8588)),L8588-M8588,"")</f>
        <v/>
      </c>
    </row>
    <row r="8589">
      <c r="N8589">
        <f>IF(AND(ISNUMBER(L8589),ISNUMBER(M8589)),L8589-M8589,"")</f>
        <v/>
      </c>
    </row>
    <row r="8590">
      <c r="N8590">
        <f>IF(AND(ISNUMBER(L8590),ISNUMBER(M8590)),L8590-M8590,"")</f>
        <v/>
      </c>
    </row>
    <row r="8591">
      <c r="N8591">
        <f>IF(AND(ISNUMBER(L8591),ISNUMBER(M8591)),L8591-M8591,"")</f>
        <v/>
      </c>
    </row>
    <row r="8592">
      <c r="N8592">
        <f>IF(AND(ISNUMBER(L8592),ISNUMBER(M8592)),L8592-M8592,"")</f>
        <v/>
      </c>
    </row>
    <row r="8593">
      <c r="N8593">
        <f>IF(AND(ISNUMBER(L8593),ISNUMBER(M8593)),L8593-M8593,"")</f>
        <v/>
      </c>
    </row>
    <row r="8594">
      <c r="N8594">
        <f>IF(AND(ISNUMBER(L8594),ISNUMBER(M8594)),L8594-M8594,"")</f>
        <v/>
      </c>
    </row>
    <row r="8595">
      <c r="N8595">
        <f>IF(AND(ISNUMBER(L8595),ISNUMBER(M8595)),L8595-M8595,"")</f>
        <v/>
      </c>
    </row>
    <row r="8596">
      <c r="N8596">
        <f>IF(AND(ISNUMBER(L8596),ISNUMBER(M8596)),L8596-M8596,"")</f>
        <v/>
      </c>
    </row>
    <row r="8597">
      <c r="N8597">
        <f>IF(AND(ISNUMBER(L8597),ISNUMBER(M8597)),L8597-M8597,"")</f>
        <v/>
      </c>
    </row>
    <row r="8598">
      <c r="N8598">
        <f>IF(AND(ISNUMBER(L8598),ISNUMBER(M8598)),L8598-M8598,"")</f>
        <v/>
      </c>
    </row>
    <row r="8599">
      <c r="N8599">
        <f>IF(AND(ISNUMBER(L8599),ISNUMBER(M8599)),L8599-M8599,"")</f>
        <v/>
      </c>
    </row>
    <row r="8600">
      <c r="N8600">
        <f>IF(AND(ISNUMBER(L8600),ISNUMBER(M8600)),L8600-M8600,"")</f>
        <v/>
      </c>
    </row>
    <row r="8601">
      <c r="N8601">
        <f>IF(AND(ISNUMBER(L8601),ISNUMBER(M8601)),L8601-M8601,"")</f>
        <v/>
      </c>
    </row>
    <row r="8602">
      <c r="N8602">
        <f>IF(AND(ISNUMBER(L8602),ISNUMBER(M8602)),L8602-M8602,"")</f>
        <v/>
      </c>
    </row>
    <row r="8603">
      <c r="N8603">
        <f>IF(AND(ISNUMBER(L8603),ISNUMBER(M8603)),L8603-M8603,"")</f>
        <v/>
      </c>
    </row>
    <row r="8604">
      <c r="N8604">
        <f>IF(AND(ISNUMBER(L8604),ISNUMBER(M8604)),L8604-M8604,"")</f>
        <v/>
      </c>
    </row>
    <row r="8605">
      <c r="N8605">
        <f>IF(AND(ISNUMBER(L8605),ISNUMBER(M8605)),L8605-M8605,"")</f>
        <v/>
      </c>
    </row>
    <row r="8606">
      <c r="N8606">
        <f>IF(AND(ISNUMBER(L8606),ISNUMBER(M8606)),L8606-M8606,"")</f>
        <v/>
      </c>
    </row>
    <row r="8607">
      <c r="N8607">
        <f>IF(AND(ISNUMBER(L8607),ISNUMBER(M8607)),L8607-M8607,"")</f>
        <v/>
      </c>
    </row>
    <row r="8608">
      <c r="N8608">
        <f>IF(AND(ISNUMBER(L8608),ISNUMBER(M8608)),L8608-M8608,"")</f>
        <v/>
      </c>
    </row>
    <row r="8609">
      <c r="N8609">
        <f>IF(AND(ISNUMBER(L8609),ISNUMBER(M8609)),L8609-M8609,"")</f>
        <v/>
      </c>
    </row>
    <row r="8610">
      <c r="N8610">
        <f>IF(AND(ISNUMBER(L8610),ISNUMBER(M8610)),L8610-M8610,"")</f>
        <v/>
      </c>
    </row>
    <row r="8611">
      <c r="N8611">
        <f>IF(AND(ISNUMBER(L8611),ISNUMBER(M8611)),L8611-M8611,"")</f>
        <v/>
      </c>
    </row>
    <row r="8612">
      <c r="N8612">
        <f>IF(AND(ISNUMBER(L8612),ISNUMBER(M8612)),L8612-M8612,"")</f>
        <v/>
      </c>
    </row>
    <row r="8613">
      <c r="N8613">
        <f>IF(AND(ISNUMBER(L8613),ISNUMBER(M8613)),L8613-M8613,"")</f>
        <v/>
      </c>
    </row>
    <row r="8614">
      <c r="N8614">
        <f>IF(AND(ISNUMBER(L8614),ISNUMBER(M8614)),L8614-M8614,"")</f>
        <v/>
      </c>
    </row>
    <row r="8615">
      <c r="N8615">
        <f>IF(AND(ISNUMBER(L8615),ISNUMBER(M8615)),L8615-M8615,"")</f>
        <v/>
      </c>
    </row>
    <row r="8616">
      <c r="N8616">
        <f>IF(AND(ISNUMBER(L8616),ISNUMBER(M8616)),L8616-M8616,"")</f>
        <v/>
      </c>
    </row>
    <row r="8617">
      <c r="N8617">
        <f>IF(AND(ISNUMBER(L8617),ISNUMBER(M8617)),L8617-M8617,"")</f>
        <v/>
      </c>
    </row>
    <row r="8618">
      <c r="N8618">
        <f>IF(AND(ISNUMBER(L8618),ISNUMBER(M8618)),L8618-M8618,"")</f>
        <v/>
      </c>
    </row>
    <row r="8619">
      <c r="N8619">
        <f>IF(AND(ISNUMBER(L8619),ISNUMBER(M8619)),L8619-M8619,"")</f>
        <v/>
      </c>
    </row>
    <row r="8620">
      <c r="N8620">
        <f>IF(AND(ISNUMBER(L8620),ISNUMBER(M8620)),L8620-M8620,"")</f>
        <v/>
      </c>
    </row>
    <row r="8621">
      <c r="N8621">
        <f>IF(AND(ISNUMBER(L8621),ISNUMBER(M8621)),L8621-M8621,"")</f>
        <v/>
      </c>
    </row>
    <row r="8622">
      <c r="N8622">
        <f>IF(AND(ISNUMBER(L8622),ISNUMBER(M8622)),L8622-M8622,"")</f>
        <v/>
      </c>
    </row>
    <row r="8623">
      <c r="N8623">
        <f>IF(AND(ISNUMBER(L8623),ISNUMBER(M8623)),L8623-M8623,"")</f>
        <v/>
      </c>
    </row>
    <row r="8624">
      <c r="N8624">
        <f>IF(AND(ISNUMBER(L8624),ISNUMBER(M8624)),L8624-M8624,"")</f>
        <v/>
      </c>
    </row>
    <row r="8625">
      <c r="N8625">
        <f>IF(AND(ISNUMBER(L8625),ISNUMBER(M8625)),L8625-M8625,"")</f>
        <v/>
      </c>
    </row>
    <row r="8626">
      <c r="N8626">
        <f>IF(AND(ISNUMBER(L8626),ISNUMBER(M8626)),L8626-M8626,"")</f>
        <v/>
      </c>
    </row>
    <row r="8627">
      <c r="N8627">
        <f>IF(AND(ISNUMBER(L8627),ISNUMBER(M8627)),L8627-M8627,"")</f>
        <v/>
      </c>
    </row>
    <row r="8628">
      <c r="N8628">
        <f>IF(AND(ISNUMBER(L8628),ISNUMBER(M8628)),L8628-M8628,"")</f>
        <v/>
      </c>
    </row>
    <row r="8629">
      <c r="N8629">
        <f>IF(AND(ISNUMBER(L8629),ISNUMBER(M8629)),L8629-M8629,"")</f>
        <v/>
      </c>
    </row>
    <row r="8630">
      <c r="N8630">
        <f>IF(AND(ISNUMBER(L8630),ISNUMBER(M8630)),L8630-M8630,"")</f>
        <v/>
      </c>
    </row>
    <row r="8631">
      <c r="N8631">
        <f>IF(AND(ISNUMBER(L8631),ISNUMBER(M8631)),L8631-M8631,"")</f>
        <v/>
      </c>
    </row>
    <row r="8632">
      <c r="N8632">
        <f>IF(AND(ISNUMBER(L8632),ISNUMBER(M8632)),L8632-M8632,"")</f>
        <v/>
      </c>
    </row>
    <row r="8633">
      <c r="N8633">
        <f>IF(AND(ISNUMBER(L8633),ISNUMBER(M8633)),L8633-M8633,"")</f>
        <v/>
      </c>
    </row>
    <row r="8634">
      <c r="N8634">
        <f>IF(AND(ISNUMBER(L8634),ISNUMBER(M8634)),L8634-M8634,"")</f>
        <v/>
      </c>
    </row>
    <row r="8635">
      <c r="N8635">
        <f>IF(AND(ISNUMBER(L8635),ISNUMBER(M8635)),L8635-M8635,"")</f>
        <v/>
      </c>
    </row>
    <row r="8636">
      <c r="N8636">
        <f>IF(AND(ISNUMBER(L8636),ISNUMBER(M8636)),L8636-M8636,"")</f>
        <v/>
      </c>
    </row>
    <row r="8637">
      <c r="N8637">
        <f>IF(AND(ISNUMBER(L8637),ISNUMBER(M8637)),L8637-M8637,"")</f>
        <v/>
      </c>
    </row>
    <row r="8638">
      <c r="N8638">
        <f>IF(AND(ISNUMBER(L8638),ISNUMBER(M8638)),L8638-M8638,"")</f>
        <v/>
      </c>
    </row>
    <row r="8639">
      <c r="N8639">
        <f>IF(AND(ISNUMBER(L8639),ISNUMBER(M8639)),L8639-M8639,"")</f>
        <v/>
      </c>
    </row>
    <row r="8640">
      <c r="N8640">
        <f>IF(AND(ISNUMBER(L8640),ISNUMBER(M8640)),L8640-M8640,"")</f>
        <v/>
      </c>
    </row>
    <row r="8641">
      <c r="N8641">
        <f>IF(AND(ISNUMBER(L8641),ISNUMBER(M8641)),L8641-M8641,"")</f>
        <v/>
      </c>
    </row>
    <row r="8642">
      <c r="N8642">
        <f>IF(AND(ISNUMBER(L8642),ISNUMBER(M8642)),L8642-M8642,"")</f>
        <v/>
      </c>
    </row>
    <row r="8643">
      <c r="N8643">
        <f>IF(AND(ISNUMBER(L8643),ISNUMBER(M8643)),L8643-M8643,"")</f>
        <v/>
      </c>
    </row>
    <row r="8644">
      <c r="N8644">
        <f>IF(AND(ISNUMBER(L8644),ISNUMBER(M8644)),L8644-M8644,"")</f>
        <v/>
      </c>
    </row>
    <row r="8645">
      <c r="N8645">
        <f>IF(AND(ISNUMBER(L8645),ISNUMBER(M8645)),L8645-M8645,"")</f>
        <v/>
      </c>
    </row>
    <row r="8646">
      <c r="N8646">
        <f>IF(AND(ISNUMBER(L8646),ISNUMBER(M8646)),L8646-M8646,"")</f>
        <v/>
      </c>
    </row>
    <row r="8647">
      <c r="N8647">
        <f>IF(AND(ISNUMBER(L8647),ISNUMBER(M8647)),L8647-M8647,"")</f>
        <v/>
      </c>
    </row>
    <row r="8648">
      <c r="N8648">
        <f>IF(AND(ISNUMBER(L8648),ISNUMBER(M8648)),L8648-M8648,"")</f>
        <v/>
      </c>
    </row>
    <row r="8649">
      <c r="N8649">
        <f>IF(AND(ISNUMBER(L8649),ISNUMBER(M8649)),L8649-M8649,"")</f>
        <v/>
      </c>
    </row>
    <row r="8650">
      <c r="N8650">
        <f>IF(AND(ISNUMBER(L8650),ISNUMBER(M8650)),L8650-M8650,"")</f>
        <v/>
      </c>
    </row>
    <row r="8651">
      <c r="N8651">
        <f>IF(AND(ISNUMBER(L8651),ISNUMBER(M8651)),L8651-M8651,"")</f>
        <v/>
      </c>
    </row>
    <row r="8652">
      <c r="N8652">
        <f>IF(AND(ISNUMBER(L8652),ISNUMBER(M8652)),L8652-M8652,"")</f>
        <v/>
      </c>
    </row>
    <row r="8653">
      <c r="N8653">
        <f>IF(AND(ISNUMBER(L8653),ISNUMBER(M8653)),L8653-M8653,"")</f>
        <v/>
      </c>
    </row>
    <row r="8654">
      <c r="N8654">
        <f>IF(AND(ISNUMBER(L8654),ISNUMBER(M8654)),L8654-M8654,"")</f>
        <v/>
      </c>
    </row>
    <row r="8655">
      <c r="N8655">
        <f>IF(AND(ISNUMBER(L8655),ISNUMBER(M8655)),L8655-M8655,"")</f>
        <v/>
      </c>
    </row>
    <row r="8656">
      <c r="N8656">
        <f>IF(AND(ISNUMBER(L8656),ISNUMBER(M8656)),L8656-M8656,"")</f>
        <v/>
      </c>
    </row>
    <row r="8657">
      <c r="N8657">
        <f>IF(AND(ISNUMBER(L8657),ISNUMBER(M8657)),L8657-M8657,"")</f>
        <v/>
      </c>
    </row>
    <row r="8658">
      <c r="N8658">
        <f>IF(AND(ISNUMBER(L8658),ISNUMBER(M8658)),L8658-M8658,"")</f>
        <v/>
      </c>
    </row>
    <row r="8659">
      <c r="N8659">
        <f>IF(AND(ISNUMBER(L8659),ISNUMBER(M8659)),L8659-M8659,"")</f>
        <v/>
      </c>
    </row>
    <row r="8660">
      <c r="N8660">
        <f>IF(AND(ISNUMBER(L8660),ISNUMBER(M8660)),L8660-M8660,"")</f>
        <v/>
      </c>
    </row>
    <row r="8661">
      <c r="N8661">
        <f>IF(AND(ISNUMBER(L8661),ISNUMBER(M8661)),L8661-M8661,"")</f>
        <v/>
      </c>
    </row>
    <row r="8662">
      <c r="N8662">
        <f>IF(AND(ISNUMBER(L8662),ISNUMBER(M8662)),L8662-M8662,"")</f>
        <v/>
      </c>
    </row>
    <row r="8663">
      <c r="N8663">
        <f>IF(AND(ISNUMBER(L8663),ISNUMBER(M8663)),L8663-M8663,"")</f>
        <v/>
      </c>
    </row>
    <row r="8664">
      <c r="N8664">
        <f>IF(AND(ISNUMBER(L8664),ISNUMBER(M8664)),L8664-M8664,"")</f>
        <v/>
      </c>
    </row>
    <row r="8665">
      <c r="N8665">
        <f>IF(AND(ISNUMBER(L8665),ISNUMBER(M8665)),L8665-M8665,"")</f>
        <v/>
      </c>
    </row>
    <row r="8666">
      <c r="N8666">
        <f>IF(AND(ISNUMBER(L8666),ISNUMBER(M8666)),L8666-M8666,"")</f>
        <v/>
      </c>
    </row>
    <row r="8667">
      <c r="N8667">
        <f>IF(AND(ISNUMBER(L8667),ISNUMBER(M8667)),L8667-M8667,"")</f>
        <v/>
      </c>
    </row>
    <row r="8668">
      <c r="N8668">
        <f>IF(AND(ISNUMBER(L8668),ISNUMBER(M8668)),L8668-M8668,"")</f>
        <v/>
      </c>
    </row>
    <row r="8669">
      <c r="N8669">
        <f>IF(AND(ISNUMBER(L8669),ISNUMBER(M8669)),L8669-M8669,"")</f>
        <v/>
      </c>
    </row>
    <row r="8670">
      <c r="N8670">
        <f>IF(AND(ISNUMBER(L8670),ISNUMBER(M8670)),L8670-M8670,"")</f>
        <v/>
      </c>
    </row>
    <row r="8671">
      <c r="N8671">
        <f>IF(AND(ISNUMBER(L8671),ISNUMBER(M8671)),L8671-M8671,"")</f>
        <v/>
      </c>
    </row>
    <row r="8672">
      <c r="N8672">
        <f>IF(AND(ISNUMBER(L8672),ISNUMBER(M8672)),L8672-M8672,"")</f>
        <v/>
      </c>
    </row>
    <row r="8673">
      <c r="N8673">
        <f>IF(AND(ISNUMBER(L8673),ISNUMBER(M8673)),L8673-M8673,"")</f>
        <v/>
      </c>
    </row>
    <row r="8674">
      <c r="N8674">
        <f>IF(AND(ISNUMBER(L8674),ISNUMBER(M8674)),L8674-M8674,"")</f>
        <v/>
      </c>
    </row>
    <row r="8675">
      <c r="N8675">
        <f>IF(AND(ISNUMBER(L8675),ISNUMBER(M8675)),L8675-M8675,"")</f>
        <v/>
      </c>
    </row>
    <row r="8676">
      <c r="N8676">
        <f>IF(AND(ISNUMBER(L8676),ISNUMBER(M8676)),L8676-M8676,"")</f>
        <v/>
      </c>
    </row>
    <row r="8677">
      <c r="N8677">
        <f>IF(AND(ISNUMBER(L8677),ISNUMBER(M8677)),L8677-M8677,"")</f>
        <v/>
      </c>
    </row>
    <row r="8678">
      <c r="N8678">
        <f>IF(AND(ISNUMBER(L8678),ISNUMBER(M8678)),L8678-M8678,"")</f>
        <v/>
      </c>
    </row>
    <row r="8679">
      <c r="N8679">
        <f>IF(AND(ISNUMBER(L8679),ISNUMBER(M8679)),L8679-M8679,"")</f>
        <v/>
      </c>
    </row>
    <row r="8680">
      <c r="N8680">
        <f>IF(AND(ISNUMBER(L8680),ISNUMBER(M8680)),L8680-M8680,"")</f>
        <v/>
      </c>
    </row>
    <row r="8681">
      <c r="N8681">
        <f>IF(AND(ISNUMBER(L8681),ISNUMBER(M8681)),L8681-M8681,"")</f>
        <v/>
      </c>
    </row>
    <row r="8682">
      <c r="N8682">
        <f>IF(AND(ISNUMBER(L8682),ISNUMBER(M8682)),L8682-M8682,"")</f>
        <v/>
      </c>
    </row>
    <row r="8683">
      <c r="N8683">
        <f>IF(AND(ISNUMBER(L8683),ISNUMBER(M8683)),L8683-M8683,"")</f>
        <v/>
      </c>
    </row>
    <row r="8684">
      <c r="N8684">
        <f>IF(AND(ISNUMBER(L8684),ISNUMBER(M8684)),L8684-M8684,"")</f>
        <v/>
      </c>
    </row>
    <row r="8685">
      <c r="N8685">
        <f>IF(AND(ISNUMBER(L8685),ISNUMBER(M8685)),L8685-M8685,"")</f>
        <v/>
      </c>
    </row>
    <row r="8686">
      <c r="N8686">
        <f>IF(AND(ISNUMBER(L8686),ISNUMBER(M8686)),L8686-M8686,"")</f>
        <v/>
      </c>
    </row>
    <row r="8687">
      <c r="N8687">
        <f>IF(AND(ISNUMBER(L8687),ISNUMBER(M8687)),L8687-M8687,"")</f>
        <v/>
      </c>
    </row>
    <row r="8688">
      <c r="N8688">
        <f>IF(AND(ISNUMBER(L8688),ISNUMBER(M8688)),L8688-M8688,"")</f>
        <v/>
      </c>
    </row>
    <row r="8689">
      <c r="N8689">
        <f>IF(AND(ISNUMBER(L8689),ISNUMBER(M8689)),L8689-M8689,"")</f>
        <v/>
      </c>
    </row>
    <row r="8690">
      <c r="N8690">
        <f>IF(AND(ISNUMBER(L8690),ISNUMBER(M8690)),L8690-M8690,"")</f>
        <v/>
      </c>
    </row>
    <row r="8691">
      <c r="N8691">
        <f>IF(AND(ISNUMBER(L8691),ISNUMBER(M8691)),L8691-M8691,"")</f>
        <v/>
      </c>
    </row>
    <row r="8692">
      <c r="N8692">
        <f>IF(AND(ISNUMBER(L8692),ISNUMBER(M8692)),L8692-M8692,"")</f>
        <v/>
      </c>
    </row>
    <row r="8693">
      <c r="N8693">
        <f>IF(AND(ISNUMBER(L8693),ISNUMBER(M8693)),L8693-M8693,"")</f>
        <v/>
      </c>
    </row>
    <row r="8694">
      <c r="N8694">
        <f>IF(AND(ISNUMBER(L8694),ISNUMBER(M8694)),L8694-M8694,"")</f>
        <v/>
      </c>
    </row>
    <row r="8695">
      <c r="N8695">
        <f>IF(AND(ISNUMBER(L8695),ISNUMBER(M8695)),L8695-M8695,"")</f>
        <v/>
      </c>
    </row>
    <row r="8696">
      <c r="N8696">
        <f>IF(AND(ISNUMBER(L8696),ISNUMBER(M8696)),L8696-M8696,"")</f>
        <v/>
      </c>
    </row>
    <row r="8697">
      <c r="N8697">
        <f>IF(AND(ISNUMBER(L8697),ISNUMBER(M8697)),L8697-M8697,"")</f>
        <v/>
      </c>
    </row>
    <row r="8698">
      <c r="N8698">
        <f>IF(AND(ISNUMBER(L8698),ISNUMBER(M8698)),L8698-M8698,"")</f>
        <v/>
      </c>
    </row>
    <row r="8699">
      <c r="N8699">
        <f>IF(AND(ISNUMBER(L8699),ISNUMBER(M8699)),L8699-M8699,"")</f>
        <v/>
      </c>
    </row>
    <row r="8700">
      <c r="N8700">
        <f>IF(AND(ISNUMBER(L8700),ISNUMBER(M8700)),L8700-M8700,"")</f>
        <v/>
      </c>
    </row>
    <row r="8701">
      <c r="N8701">
        <f>IF(AND(ISNUMBER(L8701),ISNUMBER(M8701)),L8701-M8701,"")</f>
        <v/>
      </c>
    </row>
    <row r="8702">
      <c r="N8702">
        <f>IF(AND(ISNUMBER(L8702),ISNUMBER(M8702)),L8702-M8702,"")</f>
        <v/>
      </c>
    </row>
    <row r="8703">
      <c r="N8703">
        <f>IF(AND(ISNUMBER(L8703),ISNUMBER(M8703)),L8703-M8703,"")</f>
        <v/>
      </c>
    </row>
    <row r="8704">
      <c r="N8704">
        <f>IF(AND(ISNUMBER(L8704),ISNUMBER(M8704)),L8704-M8704,"")</f>
        <v/>
      </c>
    </row>
    <row r="8705">
      <c r="N8705">
        <f>IF(AND(ISNUMBER(L8705),ISNUMBER(M8705)),L8705-M8705,"")</f>
        <v/>
      </c>
    </row>
    <row r="8706">
      <c r="N8706">
        <f>IF(AND(ISNUMBER(L8706),ISNUMBER(M8706)),L8706-M8706,"")</f>
        <v/>
      </c>
    </row>
    <row r="8707">
      <c r="N8707">
        <f>IF(AND(ISNUMBER(L8707),ISNUMBER(M8707)),L8707-M8707,"")</f>
        <v/>
      </c>
    </row>
    <row r="8708">
      <c r="N8708">
        <f>IF(AND(ISNUMBER(L8708),ISNUMBER(M8708)),L8708-M8708,"")</f>
        <v/>
      </c>
    </row>
    <row r="8709">
      <c r="N8709">
        <f>IF(AND(ISNUMBER(L8709),ISNUMBER(M8709)),L8709-M8709,"")</f>
        <v/>
      </c>
    </row>
    <row r="8710">
      <c r="N8710">
        <f>IF(AND(ISNUMBER(L8710),ISNUMBER(M8710)),L8710-M8710,"")</f>
        <v/>
      </c>
    </row>
    <row r="8711">
      <c r="N8711">
        <f>IF(AND(ISNUMBER(L8711),ISNUMBER(M8711)),L8711-M8711,"")</f>
        <v/>
      </c>
    </row>
    <row r="8712">
      <c r="N8712">
        <f>IF(AND(ISNUMBER(L8712),ISNUMBER(M8712)),L8712-M8712,"")</f>
        <v/>
      </c>
    </row>
    <row r="8713">
      <c r="N8713">
        <f>IF(AND(ISNUMBER(L8713),ISNUMBER(M8713)),L8713-M8713,"")</f>
        <v/>
      </c>
    </row>
    <row r="8714">
      <c r="N8714">
        <f>IF(AND(ISNUMBER(L8714),ISNUMBER(M8714)),L8714-M8714,"")</f>
        <v/>
      </c>
    </row>
    <row r="8715">
      <c r="N8715">
        <f>IF(AND(ISNUMBER(L8715),ISNUMBER(M8715)),L8715-M8715,"")</f>
        <v/>
      </c>
    </row>
    <row r="8716">
      <c r="N8716">
        <f>IF(AND(ISNUMBER(L8716),ISNUMBER(M8716)),L8716-M8716,"")</f>
        <v/>
      </c>
    </row>
    <row r="8717">
      <c r="N8717">
        <f>IF(AND(ISNUMBER(L8717),ISNUMBER(M8717)),L8717-M8717,"")</f>
        <v/>
      </c>
    </row>
    <row r="8718">
      <c r="N8718">
        <f>IF(AND(ISNUMBER(L8718),ISNUMBER(M8718)),L8718-M8718,"")</f>
        <v/>
      </c>
    </row>
    <row r="8719">
      <c r="N8719">
        <f>IF(AND(ISNUMBER(L8719),ISNUMBER(M8719)),L8719-M8719,"")</f>
        <v/>
      </c>
    </row>
    <row r="8720">
      <c r="N8720">
        <f>IF(AND(ISNUMBER(L8720),ISNUMBER(M8720)),L8720-M8720,"")</f>
        <v/>
      </c>
    </row>
    <row r="8721">
      <c r="N8721">
        <f>IF(AND(ISNUMBER(L8721),ISNUMBER(M8721)),L8721-M8721,"")</f>
        <v/>
      </c>
    </row>
    <row r="8722">
      <c r="N8722">
        <f>IF(AND(ISNUMBER(L8722),ISNUMBER(M8722)),L8722-M8722,"")</f>
        <v/>
      </c>
    </row>
    <row r="8723">
      <c r="N8723">
        <f>IF(AND(ISNUMBER(L8723),ISNUMBER(M8723)),L8723-M8723,"")</f>
        <v/>
      </c>
    </row>
    <row r="8724">
      <c r="N8724">
        <f>IF(AND(ISNUMBER(L8724),ISNUMBER(M8724)),L8724-M8724,"")</f>
        <v/>
      </c>
    </row>
    <row r="8725">
      <c r="N8725">
        <f>IF(AND(ISNUMBER(L8725),ISNUMBER(M8725)),L8725-M8725,"")</f>
        <v/>
      </c>
    </row>
    <row r="8726">
      <c r="N8726">
        <f>IF(AND(ISNUMBER(L8726),ISNUMBER(M8726)),L8726-M8726,"")</f>
        <v/>
      </c>
    </row>
    <row r="8727">
      <c r="N8727">
        <f>IF(AND(ISNUMBER(L8727),ISNUMBER(M8727)),L8727-M8727,"")</f>
        <v/>
      </c>
    </row>
    <row r="8728">
      <c r="N8728">
        <f>IF(AND(ISNUMBER(L8728),ISNUMBER(M8728)),L8728-M8728,"")</f>
        <v/>
      </c>
    </row>
    <row r="8729">
      <c r="N8729">
        <f>IF(AND(ISNUMBER(L8729),ISNUMBER(M8729)),L8729-M8729,"")</f>
        <v/>
      </c>
    </row>
    <row r="8730">
      <c r="N8730">
        <f>IF(AND(ISNUMBER(L8730),ISNUMBER(M8730)),L8730-M8730,"")</f>
        <v/>
      </c>
    </row>
    <row r="8731">
      <c r="N8731">
        <f>IF(AND(ISNUMBER(L8731),ISNUMBER(M8731)),L8731-M8731,"")</f>
        <v/>
      </c>
    </row>
    <row r="8732">
      <c r="N8732">
        <f>IF(AND(ISNUMBER(L8732),ISNUMBER(M8732)),L8732-M8732,"")</f>
        <v/>
      </c>
    </row>
    <row r="8733">
      <c r="N8733">
        <f>IF(AND(ISNUMBER(L8733),ISNUMBER(M8733)),L8733-M8733,"")</f>
        <v/>
      </c>
    </row>
    <row r="8734">
      <c r="N8734">
        <f>IF(AND(ISNUMBER(L8734),ISNUMBER(M8734)),L8734-M8734,"")</f>
        <v/>
      </c>
    </row>
    <row r="8735">
      <c r="N8735">
        <f>IF(AND(ISNUMBER(L8735),ISNUMBER(M8735)),L8735-M8735,"")</f>
        <v/>
      </c>
    </row>
    <row r="8736">
      <c r="N8736">
        <f>IF(AND(ISNUMBER(L8736),ISNUMBER(M8736)),L8736-M8736,"")</f>
        <v/>
      </c>
    </row>
    <row r="8737">
      <c r="N8737">
        <f>IF(AND(ISNUMBER(L8737),ISNUMBER(M8737)),L8737-M8737,"")</f>
        <v/>
      </c>
    </row>
    <row r="8738">
      <c r="N8738">
        <f>IF(AND(ISNUMBER(L8738),ISNUMBER(M8738)),L8738-M8738,"")</f>
        <v/>
      </c>
    </row>
    <row r="8739">
      <c r="N8739">
        <f>IF(AND(ISNUMBER(L8739),ISNUMBER(M8739)),L8739-M8739,"")</f>
        <v/>
      </c>
    </row>
    <row r="8740">
      <c r="N8740">
        <f>IF(AND(ISNUMBER(L8740),ISNUMBER(M8740)),L8740-M8740,"")</f>
        <v/>
      </c>
    </row>
    <row r="8741">
      <c r="N8741">
        <f>IF(AND(ISNUMBER(L8741),ISNUMBER(M8741)),L8741-M8741,"")</f>
        <v/>
      </c>
    </row>
    <row r="8742">
      <c r="N8742">
        <f>IF(AND(ISNUMBER(L8742),ISNUMBER(M8742)),L8742-M8742,"")</f>
        <v/>
      </c>
    </row>
    <row r="8743">
      <c r="N8743">
        <f>IF(AND(ISNUMBER(L8743),ISNUMBER(M8743)),L8743-M8743,"")</f>
        <v/>
      </c>
    </row>
    <row r="8744">
      <c r="N8744">
        <f>IF(AND(ISNUMBER(L8744),ISNUMBER(M8744)),L8744-M8744,"")</f>
        <v/>
      </c>
    </row>
    <row r="8745">
      <c r="N8745">
        <f>IF(AND(ISNUMBER(L8745),ISNUMBER(M8745)),L8745-M8745,"")</f>
        <v/>
      </c>
    </row>
    <row r="8746">
      <c r="N8746">
        <f>IF(AND(ISNUMBER(L8746),ISNUMBER(M8746)),L8746-M8746,"")</f>
        <v/>
      </c>
    </row>
    <row r="8747">
      <c r="N8747">
        <f>IF(AND(ISNUMBER(L8747),ISNUMBER(M8747)),L8747-M8747,"")</f>
        <v/>
      </c>
    </row>
    <row r="8748">
      <c r="N8748">
        <f>IF(AND(ISNUMBER(L8748),ISNUMBER(M8748)),L8748-M8748,"")</f>
        <v/>
      </c>
    </row>
    <row r="8749">
      <c r="N8749">
        <f>IF(AND(ISNUMBER(L8749),ISNUMBER(M8749)),L8749-M8749,"")</f>
        <v/>
      </c>
    </row>
    <row r="8750">
      <c r="N8750">
        <f>IF(AND(ISNUMBER(L8750),ISNUMBER(M8750)),L8750-M8750,"")</f>
        <v/>
      </c>
    </row>
    <row r="8751">
      <c r="N8751">
        <f>IF(AND(ISNUMBER(L8751),ISNUMBER(M8751)),L8751-M8751,"")</f>
        <v/>
      </c>
    </row>
    <row r="8752">
      <c r="N8752">
        <f>IF(AND(ISNUMBER(L8752),ISNUMBER(M8752)),L8752-M8752,"")</f>
        <v/>
      </c>
    </row>
    <row r="8753">
      <c r="N8753">
        <f>IF(AND(ISNUMBER(L8753),ISNUMBER(M8753)),L8753-M8753,"")</f>
        <v/>
      </c>
    </row>
    <row r="8754">
      <c r="N8754">
        <f>IF(AND(ISNUMBER(L8754),ISNUMBER(M8754)),L8754-M8754,"")</f>
        <v/>
      </c>
    </row>
    <row r="8755">
      <c r="N8755">
        <f>IF(AND(ISNUMBER(L8755),ISNUMBER(M8755)),L8755-M8755,"")</f>
        <v/>
      </c>
    </row>
    <row r="8756">
      <c r="N8756">
        <f>IF(AND(ISNUMBER(L8756),ISNUMBER(M8756)),L8756-M8756,"")</f>
        <v/>
      </c>
    </row>
    <row r="8757">
      <c r="N8757">
        <f>IF(AND(ISNUMBER(L8757),ISNUMBER(M8757)),L8757-M8757,"")</f>
        <v/>
      </c>
    </row>
    <row r="8758">
      <c r="N8758">
        <f>IF(AND(ISNUMBER(L8758),ISNUMBER(M8758)),L8758-M8758,"")</f>
        <v/>
      </c>
    </row>
    <row r="8759">
      <c r="N8759">
        <f>IF(AND(ISNUMBER(L8759),ISNUMBER(M8759)),L8759-M8759,"")</f>
        <v/>
      </c>
    </row>
    <row r="8760">
      <c r="N8760">
        <f>IF(AND(ISNUMBER(L8760),ISNUMBER(M8760)),L8760-M8760,"")</f>
        <v/>
      </c>
    </row>
    <row r="8761">
      <c r="N8761">
        <f>IF(AND(ISNUMBER(L8761),ISNUMBER(M8761)),L8761-M8761,"")</f>
        <v/>
      </c>
    </row>
    <row r="8762">
      <c r="N8762">
        <f>IF(AND(ISNUMBER(L8762),ISNUMBER(M8762)),L8762-M8762,"")</f>
        <v/>
      </c>
    </row>
    <row r="8763">
      <c r="N8763">
        <f>IF(AND(ISNUMBER(L8763),ISNUMBER(M8763)),L8763-M8763,"")</f>
        <v/>
      </c>
    </row>
    <row r="8764">
      <c r="N8764">
        <f>IF(AND(ISNUMBER(L8764),ISNUMBER(M8764)),L8764-M8764,"")</f>
        <v/>
      </c>
    </row>
    <row r="8765">
      <c r="N8765">
        <f>IF(AND(ISNUMBER(L8765),ISNUMBER(M8765)),L8765-M8765,"")</f>
        <v/>
      </c>
    </row>
    <row r="8766">
      <c r="N8766">
        <f>IF(AND(ISNUMBER(L8766),ISNUMBER(M8766)),L8766-M8766,"")</f>
        <v/>
      </c>
    </row>
    <row r="8767">
      <c r="N8767">
        <f>IF(AND(ISNUMBER(L8767),ISNUMBER(M8767)),L8767-M8767,"")</f>
        <v/>
      </c>
    </row>
    <row r="8768">
      <c r="N8768">
        <f>IF(AND(ISNUMBER(L8768),ISNUMBER(M8768)),L8768-M8768,"")</f>
        <v/>
      </c>
    </row>
    <row r="8769">
      <c r="N8769">
        <f>IF(AND(ISNUMBER(L8769),ISNUMBER(M8769)),L8769-M8769,"")</f>
        <v/>
      </c>
    </row>
    <row r="8770">
      <c r="N8770">
        <f>IF(AND(ISNUMBER(L8770),ISNUMBER(M8770)),L8770-M8770,"")</f>
        <v/>
      </c>
    </row>
    <row r="8771">
      <c r="N8771">
        <f>IF(AND(ISNUMBER(L8771),ISNUMBER(M8771)),L8771-M8771,"")</f>
        <v/>
      </c>
    </row>
    <row r="8772">
      <c r="N8772">
        <f>IF(AND(ISNUMBER(L8772),ISNUMBER(M8772)),L8772-M8772,"")</f>
        <v/>
      </c>
    </row>
    <row r="8773">
      <c r="N8773">
        <f>IF(AND(ISNUMBER(L8773),ISNUMBER(M8773)),L8773-M8773,"")</f>
        <v/>
      </c>
    </row>
    <row r="8774">
      <c r="N8774">
        <f>IF(AND(ISNUMBER(L8774),ISNUMBER(M8774)),L8774-M8774,"")</f>
        <v/>
      </c>
    </row>
    <row r="8775">
      <c r="N8775">
        <f>IF(AND(ISNUMBER(L8775),ISNUMBER(M8775)),L8775-M8775,"")</f>
        <v/>
      </c>
    </row>
    <row r="8776">
      <c r="N8776">
        <f>IF(AND(ISNUMBER(L8776),ISNUMBER(M8776)),L8776-M8776,"")</f>
        <v/>
      </c>
    </row>
    <row r="8777">
      <c r="N8777">
        <f>IF(AND(ISNUMBER(L8777),ISNUMBER(M8777)),L8777-M8777,"")</f>
        <v/>
      </c>
    </row>
    <row r="8778">
      <c r="N8778">
        <f>IF(AND(ISNUMBER(L8778),ISNUMBER(M8778)),L8778-M8778,"")</f>
        <v/>
      </c>
    </row>
    <row r="8779">
      <c r="N8779">
        <f>IF(AND(ISNUMBER(L8779),ISNUMBER(M8779)),L8779-M8779,"")</f>
        <v/>
      </c>
    </row>
    <row r="8780">
      <c r="N8780">
        <f>IF(AND(ISNUMBER(L8780),ISNUMBER(M8780)),L8780-M8780,"")</f>
        <v/>
      </c>
    </row>
    <row r="8781">
      <c r="N8781">
        <f>IF(AND(ISNUMBER(L8781),ISNUMBER(M8781)),L8781-M8781,"")</f>
        <v/>
      </c>
    </row>
    <row r="8782">
      <c r="N8782">
        <f>IF(AND(ISNUMBER(L8782),ISNUMBER(M8782)),L8782-M8782,"")</f>
        <v/>
      </c>
    </row>
    <row r="8783">
      <c r="N8783">
        <f>IF(AND(ISNUMBER(L8783),ISNUMBER(M8783)),L8783-M8783,"")</f>
        <v/>
      </c>
    </row>
    <row r="8784">
      <c r="N8784">
        <f>IF(AND(ISNUMBER(L8784),ISNUMBER(M8784)),L8784-M8784,"")</f>
        <v/>
      </c>
    </row>
    <row r="8785">
      <c r="N8785">
        <f>IF(AND(ISNUMBER(L8785),ISNUMBER(M8785)),L8785-M8785,"")</f>
        <v/>
      </c>
    </row>
    <row r="8786">
      <c r="N8786">
        <f>IF(AND(ISNUMBER(L8786),ISNUMBER(M8786)),L8786-M8786,"")</f>
        <v/>
      </c>
    </row>
    <row r="8787">
      <c r="N8787">
        <f>IF(AND(ISNUMBER(L8787),ISNUMBER(M8787)),L8787-M8787,"")</f>
        <v/>
      </c>
    </row>
    <row r="8788">
      <c r="N8788">
        <f>IF(AND(ISNUMBER(L8788),ISNUMBER(M8788)),L8788-M8788,"")</f>
        <v/>
      </c>
    </row>
    <row r="8789">
      <c r="N8789">
        <f>IF(AND(ISNUMBER(L8789),ISNUMBER(M8789)),L8789-M8789,"")</f>
        <v/>
      </c>
    </row>
    <row r="8790">
      <c r="N8790">
        <f>IF(AND(ISNUMBER(L8790),ISNUMBER(M8790)),L8790-M8790,"")</f>
        <v/>
      </c>
    </row>
    <row r="8791">
      <c r="N8791">
        <f>IF(AND(ISNUMBER(L8791),ISNUMBER(M8791)),L8791-M8791,"")</f>
        <v/>
      </c>
    </row>
    <row r="8792">
      <c r="N8792">
        <f>IF(AND(ISNUMBER(L8792),ISNUMBER(M8792)),L8792-M8792,"")</f>
        <v/>
      </c>
    </row>
    <row r="8793">
      <c r="N8793">
        <f>IF(AND(ISNUMBER(L8793),ISNUMBER(M8793)),L8793-M8793,"")</f>
        <v/>
      </c>
    </row>
    <row r="8794">
      <c r="N8794">
        <f>IF(AND(ISNUMBER(L8794),ISNUMBER(M8794)),L8794-M8794,"")</f>
        <v/>
      </c>
    </row>
    <row r="8795">
      <c r="N8795">
        <f>IF(AND(ISNUMBER(L8795),ISNUMBER(M8795)),L8795-M8795,"")</f>
        <v/>
      </c>
    </row>
    <row r="8796">
      <c r="N8796">
        <f>IF(AND(ISNUMBER(L8796),ISNUMBER(M8796)),L8796-M8796,"")</f>
        <v/>
      </c>
    </row>
    <row r="8797">
      <c r="N8797">
        <f>IF(AND(ISNUMBER(L8797),ISNUMBER(M8797)),L8797-M8797,"")</f>
        <v/>
      </c>
    </row>
    <row r="8798">
      <c r="N8798">
        <f>IF(AND(ISNUMBER(L8798),ISNUMBER(M8798)),L8798-M8798,"")</f>
        <v/>
      </c>
    </row>
    <row r="8799">
      <c r="N8799">
        <f>IF(AND(ISNUMBER(L8799),ISNUMBER(M8799)),L8799-M8799,"")</f>
        <v/>
      </c>
    </row>
    <row r="8800">
      <c r="N8800">
        <f>IF(AND(ISNUMBER(L8800),ISNUMBER(M8800)),L8800-M8800,"")</f>
        <v/>
      </c>
    </row>
    <row r="8801">
      <c r="N8801">
        <f>IF(AND(ISNUMBER(L8801),ISNUMBER(M8801)),L8801-M8801,"")</f>
        <v/>
      </c>
    </row>
    <row r="8802">
      <c r="N8802">
        <f>IF(AND(ISNUMBER(L8802),ISNUMBER(M8802)),L8802-M8802,"")</f>
        <v/>
      </c>
    </row>
    <row r="8803">
      <c r="N8803">
        <f>IF(AND(ISNUMBER(L8803),ISNUMBER(M8803)),L8803-M8803,"")</f>
        <v/>
      </c>
    </row>
    <row r="8804">
      <c r="N8804">
        <f>IF(AND(ISNUMBER(L8804),ISNUMBER(M8804)),L8804-M8804,"")</f>
        <v/>
      </c>
    </row>
    <row r="8805">
      <c r="N8805">
        <f>IF(AND(ISNUMBER(L8805),ISNUMBER(M8805)),L8805-M8805,"")</f>
        <v/>
      </c>
    </row>
    <row r="8806">
      <c r="N8806">
        <f>IF(AND(ISNUMBER(L8806),ISNUMBER(M8806)),L8806-M8806,"")</f>
        <v/>
      </c>
    </row>
    <row r="8807">
      <c r="N8807">
        <f>IF(AND(ISNUMBER(L8807),ISNUMBER(M8807)),L8807-M8807,"")</f>
        <v/>
      </c>
    </row>
    <row r="8808">
      <c r="N8808">
        <f>IF(AND(ISNUMBER(L8808),ISNUMBER(M8808)),L8808-M8808,"")</f>
        <v/>
      </c>
    </row>
    <row r="8809">
      <c r="N8809">
        <f>IF(AND(ISNUMBER(L8809),ISNUMBER(M8809)),L8809-M8809,"")</f>
        <v/>
      </c>
    </row>
    <row r="8810">
      <c r="N8810">
        <f>IF(AND(ISNUMBER(L8810),ISNUMBER(M8810)),L8810-M8810,"")</f>
        <v/>
      </c>
    </row>
    <row r="8811">
      <c r="N8811">
        <f>IF(AND(ISNUMBER(L8811),ISNUMBER(M8811)),L8811-M8811,"")</f>
        <v/>
      </c>
    </row>
    <row r="8812">
      <c r="N8812">
        <f>IF(AND(ISNUMBER(L8812),ISNUMBER(M8812)),L8812-M8812,"")</f>
        <v/>
      </c>
    </row>
    <row r="8813">
      <c r="N8813">
        <f>IF(AND(ISNUMBER(L8813),ISNUMBER(M8813)),L8813-M8813,"")</f>
        <v/>
      </c>
    </row>
    <row r="8814">
      <c r="N8814">
        <f>IF(AND(ISNUMBER(L8814),ISNUMBER(M8814)),L8814-M8814,"")</f>
        <v/>
      </c>
    </row>
    <row r="8815">
      <c r="N8815">
        <f>IF(AND(ISNUMBER(L8815),ISNUMBER(M8815)),L8815-M8815,"")</f>
        <v/>
      </c>
    </row>
    <row r="8816">
      <c r="N8816">
        <f>IF(AND(ISNUMBER(L8816),ISNUMBER(M8816)),L8816-M8816,"")</f>
        <v/>
      </c>
    </row>
    <row r="8817">
      <c r="N8817">
        <f>IF(AND(ISNUMBER(L8817),ISNUMBER(M8817)),L8817-M8817,"")</f>
        <v/>
      </c>
    </row>
    <row r="8818">
      <c r="N8818">
        <f>IF(AND(ISNUMBER(L8818),ISNUMBER(M8818)),L8818-M8818,"")</f>
        <v/>
      </c>
    </row>
    <row r="8819">
      <c r="N8819">
        <f>IF(AND(ISNUMBER(L8819),ISNUMBER(M8819)),L8819-M8819,"")</f>
        <v/>
      </c>
    </row>
    <row r="8820">
      <c r="N8820">
        <f>IF(AND(ISNUMBER(L8820),ISNUMBER(M8820)),L8820-M8820,"")</f>
        <v/>
      </c>
    </row>
    <row r="8821">
      <c r="N8821">
        <f>IF(AND(ISNUMBER(L8821),ISNUMBER(M8821)),L8821-M8821,"")</f>
        <v/>
      </c>
    </row>
    <row r="8822">
      <c r="N8822">
        <f>IF(AND(ISNUMBER(L8822),ISNUMBER(M8822)),L8822-M8822,"")</f>
        <v/>
      </c>
    </row>
    <row r="8823">
      <c r="N8823">
        <f>IF(AND(ISNUMBER(L8823),ISNUMBER(M8823)),L8823-M8823,"")</f>
        <v/>
      </c>
    </row>
    <row r="8824">
      <c r="N8824">
        <f>IF(AND(ISNUMBER(L8824),ISNUMBER(M8824)),L8824-M8824,"")</f>
        <v/>
      </c>
    </row>
    <row r="8825">
      <c r="N8825">
        <f>IF(AND(ISNUMBER(L8825),ISNUMBER(M8825)),L8825-M8825,"")</f>
        <v/>
      </c>
    </row>
    <row r="8826">
      <c r="N8826">
        <f>IF(AND(ISNUMBER(L8826),ISNUMBER(M8826)),L8826-M8826,"")</f>
        <v/>
      </c>
    </row>
    <row r="8827">
      <c r="N8827">
        <f>IF(AND(ISNUMBER(L8827),ISNUMBER(M8827)),L8827-M8827,"")</f>
        <v/>
      </c>
    </row>
    <row r="8828">
      <c r="N8828">
        <f>IF(AND(ISNUMBER(L8828),ISNUMBER(M8828)),L8828-M8828,"")</f>
        <v/>
      </c>
    </row>
    <row r="8829">
      <c r="N8829">
        <f>IF(AND(ISNUMBER(L8829),ISNUMBER(M8829)),L8829-M8829,"")</f>
        <v/>
      </c>
    </row>
    <row r="8830">
      <c r="N8830">
        <f>IF(AND(ISNUMBER(L8830),ISNUMBER(M8830)),L8830-M8830,"")</f>
        <v/>
      </c>
    </row>
    <row r="8831">
      <c r="N8831">
        <f>IF(AND(ISNUMBER(L8831),ISNUMBER(M8831)),L8831-M8831,"")</f>
        <v/>
      </c>
    </row>
    <row r="8832">
      <c r="N8832">
        <f>IF(AND(ISNUMBER(L8832),ISNUMBER(M8832)),L8832-M8832,"")</f>
        <v/>
      </c>
    </row>
    <row r="8833">
      <c r="N8833">
        <f>IF(AND(ISNUMBER(L8833),ISNUMBER(M8833)),L8833-M8833,"")</f>
        <v/>
      </c>
    </row>
    <row r="8834">
      <c r="N8834">
        <f>IF(AND(ISNUMBER(L8834),ISNUMBER(M8834)),L8834-M8834,"")</f>
        <v/>
      </c>
    </row>
    <row r="8835">
      <c r="N8835">
        <f>IF(AND(ISNUMBER(L8835),ISNUMBER(M8835)),L8835-M8835,"")</f>
        <v/>
      </c>
    </row>
    <row r="8836">
      <c r="N8836">
        <f>IF(AND(ISNUMBER(L8836),ISNUMBER(M8836)),L8836-M8836,"")</f>
        <v/>
      </c>
    </row>
    <row r="8837">
      <c r="N8837">
        <f>IF(AND(ISNUMBER(L8837),ISNUMBER(M8837)),L8837-M8837,"")</f>
        <v/>
      </c>
    </row>
    <row r="8838">
      <c r="N8838">
        <f>IF(AND(ISNUMBER(L8838),ISNUMBER(M8838)),L8838-M8838,"")</f>
        <v/>
      </c>
    </row>
    <row r="8839">
      <c r="N8839">
        <f>IF(AND(ISNUMBER(L8839),ISNUMBER(M8839)),L8839-M8839,"")</f>
        <v/>
      </c>
    </row>
    <row r="8840">
      <c r="N8840">
        <f>IF(AND(ISNUMBER(L8840),ISNUMBER(M8840)),L8840-M8840,"")</f>
        <v/>
      </c>
    </row>
    <row r="8841">
      <c r="N8841">
        <f>IF(AND(ISNUMBER(L8841),ISNUMBER(M8841)),L8841-M8841,"")</f>
        <v/>
      </c>
    </row>
    <row r="8842">
      <c r="N8842">
        <f>IF(AND(ISNUMBER(L8842),ISNUMBER(M8842)),L8842-M8842,"")</f>
        <v/>
      </c>
    </row>
    <row r="8843">
      <c r="N8843">
        <f>IF(AND(ISNUMBER(L8843),ISNUMBER(M8843)),L8843-M8843,"")</f>
        <v/>
      </c>
    </row>
    <row r="8844">
      <c r="N8844">
        <f>IF(AND(ISNUMBER(L8844),ISNUMBER(M8844)),L8844-M8844,"")</f>
        <v/>
      </c>
    </row>
    <row r="8845">
      <c r="N8845">
        <f>IF(AND(ISNUMBER(L8845),ISNUMBER(M8845)),L8845-M8845,"")</f>
        <v/>
      </c>
    </row>
    <row r="8846">
      <c r="N8846">
        <f>IF(AND(ISNUMBER(L8846),ISNUMBER(M8846)),L8846-M8846,"")</f>
        <v/>
      </c>
    </row>
    <row r="8847">
      <c r="N8847">
        <f>IF(AND(ISNUMBER(L8847),ISNUMBER(M8847)),L8847-M8847,"")</f>
        <v/>
      </c>
    </row>
    <row r="8848">
      <c r="N8848">
        <f>IF(AND(ISNUMBER(L8848),ISNUMBER(M8848)),L8848-M8848,"")</f>
        <v/>
      </c>
    </row>
    <row r="8849">
      <c r="N8849">
        <f>IF(AND(ISNUMBER(L8849),ISNUMBER(M8849)),L8849-M8849,"")</f>
        <v/>
      </c>
    </row>
    <row r="8850">
      <c r="N8850">
        <f>IF(AND(ISNUMBER(L8850),ISNUMBER(M8850)),L8850-M8850,"")</f>
        <v/>
      </c>
    </row>
    <row r="8851">
      <c r="N8851">
        <f>IF(AND(ISNUMBER(L8851),ISNUMBER(M8851)),L8851-M8851,"")</f>
        <v/>
      </c>
    </row>
    <row r="8852">
      <c r="N8852">
        <f>IF(AND(ISNUMBER(L8852),ISNUMBER(M8852)),L8852-M8852,"")</f>
        <v/>
      </c>
    </row>
    <row r="8853">
      <c r="N8853">
        <f>IF(AND(ISNUMBER(L8853),ISNUMBER(M8853)),L8853-M8853,"")</f>
        <v/>
      </c>
    </row>
    <row r="8854">
      <c r="N8854">
        <f>IF(AND(ISNUMBER(L8854),ISNUMBER(M8854)),L8854-M8854,"")</f>
        <v/>
      </c>
    </row>
    <row r="8855">
      <c r="N8855">
        <f>IF(AND(ISNUMBER(L8855),ISNUMBER(M8855)),L8855-M8855,"")</f>
        <v/>
      </c>
    </row>
    <row r="8856">
      <c r="N8856">
        <f>IF(AND(ISNUMBER(L8856),ISNUMBER(M8856)),L8856-M8856,"")</f>
        <v/>
      </c>
    </row>
    <row r="8857">
      <c r="N8857">
        <f>IF(AND(ISNUMBER(L8857),ISNUMBER(M8857)),L8857-M8857,"")</f>
        <v/>
      </c>
    </row>
    <row r="8858">
      <c r="N8858">
        <f>IF(AND(ISNUMBER(L8858),ISNUMBER(M8858)),L8858-M8858,"")</f>
        <v/>
      </c>
    </row>
    <row r="8859">
      <c r="N8859">
        <f>IF(AND(ISNUMBER(L8859),ISNUMBER(M8859)),L8859-M8859,"")</f>
        <v/>
      </c>
    </row>
    <row r="8860">
      <c r="N8860">
        <f>IF(AND(ISNUMBER(L8860),ISNUMBER(M8860)),L8860-M8860,"")</f>
        <v/>
      </c>
    </row>
    <row r="8861">
      <c r="N8861">
        <f>IF(AND(ISNUMBER(L8861),ISNUMBER(M8861)),L8861-M8861,"")</f>
        <v/>
      </c>
    </row>
    <row r="8862">
      <c r="N8862">
        <f>IF(AND(ISNUMBER(L8862),ISNUMBER(M8862)),L8862-M8862,"")</f>
        <v/>
      </c>
    </row>
    <row r="8863">
      <c r="N8863">
        <f>IF(AND(ISNUMBER(L8863),ISNUMBER(M8863)),L8863-M8863,"")</f>
        <v/>
      </c>
    </row>
    <row r="8864">
      <c r="N8864">
        <f>IF(AND(ISNUMBER(L8864),ISNUMBER(M8864)),L8864-M8864,"")</f>
        <v/>
      </c>
    </row>
    <row r="8865">
      <c r="N8865">
        <f>IF(AND(ISNUMBER(L8865),ISNUMBER(M8865)),L8865-M8865,"")</f>
        <v/>
      </c>
    </row>
    <row r="8866">
      <c r="N8866">
        <f>IF(AND(ISNUMBER(L8866),ISNUMBER(M8866)),L8866-M8866,"")</f>
        <v/>
      </c>
    </row>
    <row r="8867">
      <c r="N8867">
        <f>IF(AND(ISNUMBER(L8867),ISNUMBER(M8867)),L8867-M8867,"")</f>
        <v/>
      </c>
    </row>
    <row r="8868">
      <c r="N8868">
        <f>IF(AND(ISNUMBER(L8868),ISNUMBER(M8868)),L8868-M8868,"")</f>
        <v/>
      </c>
    </row>
    <row r="8869">
      <c r="N8869">
        <f>IF(AND(ISNUMBER(L8869),ISNUMBER(M8869)),L8869-M8869,"")</f>
        <v/>
      </c>
    </row>
    <row r="8870">
      <c r="N8870">
        <f>IF(AND(ISNUMBER(L8870),ISNUMBER(M8870)),L8870-M8870,"")</f>
        <v/>
      </c>
    </row>
    <row r="8871">
      <c r="N8871">
        <f>IF(AND(ISNUMBER(L8871),ISNUMBER(M8871)),L8871-M8871,"")</f>
        <v/>
      </c>
    </row>
    <row r="8872">
      <c r="N8872">
        <f>IF(AND(ISNUMBER(L8872),ISNUMBER(M8872)),L8872-M8872,"")</f>
        <v/>
      </c>
    </row>
    <row r="8873">
      <c r="N8873">
        <f>IF(AND(ISNUMBER(L8873),ISNUMBER(M8873)),L8873-M8873,"")</f>
        <v/>
      </c>
    </row>
    <row r="8874">
      <c r="N8874">
        <f>IF(AND(ISNUMBER(L8874),ISNUMBER(M8874)),L8874-M8874,"")</f>
        <v/>
      </c>
    </row>
    <row r="8875">
      <c r="N8875">
        <f>IF(AND(ISNUMBER(L8875),ISNUMBER(M8875)),L8875-M8875,"")</f>
        <v/>
      </c>
    </row>
    <row r="8876">
      <c r="N8876">
        <f>IF(AND(ISNUMBER(L8876),ISNUMBER(M8876)),L8876-M8876,"")</f>
        <v/>
      </c>
    </row>
    <row r="8877">
      <c r="N8877">
        <f>IF(AND(ISNUMBER(L8877),ISNUMBER(M8877)),L8877-M8877,"")</f>
        <v/>
      </c>
    </row>
    <row r="8878">
      <c r="N8878">
        <f>IF(AND(ISNUMBER(L8878),ISNUMBER(M8878)),L8878-M8878,"")</f>
        <v/>
      </c>
    </row>
    <row r="8879">
      <c r="N8879">
        <f>IF(AND(ISNUMBER(L8879),ISNUMBER(M8879)),L8879-M8879,"")</f>
        <v/>
      </c>
    </row>
    <row r="8880">
      <c r="N8880">
        <f>IF(AND(ISNUMBER(L8880),ISNUMBER(M8880)),L8880-M8880,"")</f>
        <v/>
      </c>
    </row>
    <row r="8881">
      <c r="N8881">
        <f>IF(AND(ISNUMBER(L8881),ISNUMBER(M8881)),L8881-M8881,"")</f>
        <v/>
      </c>
    </row>
    <row r="8882">
      <c r="N8882">
        <f>IF(AND(ISNUMBER(L8882),ISNUMBER(M8882)),L8882-M8882,"")</f>
        <v/>
      </c>
    </row>
    <row r="8883">
      <c r="N8883">
        <f>IF(AND(ISNUMBER(L8883),ISNUMBER(M8883)),L8883-M8883,"")</f>
        <v/>
      </c>
    </row>
    <row r="8884">
      <c r="N8884">
        <f>IF(AND(ISNUMBER(L8884),ISNUMBER(M8884)),L8884-M8884,"")</f>
        <v/>
      </c>
    </row>
    <row r="8885">
      <c r="N8885">
        <f>IF(AND(ISNUMBER(L8885),ISNUMBER(M8885)),L8885-M8885,"")</f>
        <v/>
      </c>
    </row>
    <row r="8886">
      <c r="N8886">
        <f>IF(AND(ISNUMBER(L8886),ISNUMBER(M8886)),L8886-M8886,"")</f>
        <v/>
      </c>
    </row>
    <row r="8887">
      <c r="N8887">
        <f>IF(AND(ISNUMBER(L8887),ISNUMBER(M8887)),L8887-M8887,"")</f>
        <v/>
      </c>
    </row>
    <row r="8888">
      <c r="N8888">
        <f>IF(AND(ISNUMBER(L8888),ISNUMBER(M8888)),L8888-M8888,"")</f>
        <v/>
      </c>
    </row>
    <row r="8889">
      <c r="N8889">
        <f>IF(AND(ISNUMBER(L8889),ISNUMBER(M8889)),L8889-M8889,"")</f>
        <v/>
      </c>
    </row>
    <row r="8890">
      <c r="N8890">
        <f>IF(AND(ISNUMBER(L8890),ISNUMBER(M8890)),L8890-M8890,"")</f>
        <v/>
      </c>
    </row>
    <row r="8891">
      <c r="N8891">
        <f>IF(AND(ISNUMBER(L8891),ISNUMBER(M8891)),L8891-M8891,"")</f>
        <v/>
      </c>
    </row>
    <row r="8892">
      <c r="N8892">
        <f>IF(AND(ISNUMBER(L8892),ISNUMBER(M8892)),L8892-M8892,"")</f>
        <v/>
      </c>
    </row>
    <row r="8893">
      <c r="N8893">
        <f>IF(AND(ISNUMBER(L8893),ISNUMBER(M8893)),L8893-M8893,"")</f>
        <v/>
      </c>
    </row>
    <row r="8894">
      <c r="N8894">
        <f>IF(AND(ISNUMBER(L8894),ISNUMBER(M8894)),L8894-M8894,"")</f>
        <v/>
      </c>
    </row>
    <row r="8895">
      <c r="N8895">
        <f>IF(AND(ISNUMBER(L8895),ISNUMBER(M8895)),L8895-M8895,"")</f>
        <v/>
      </c>
    </row>
    <row r="8896">
      <c r="N8896">
        <f>IF(AND(ISNUMBER(L8896),ISNUMBER(M8896)),L8896-M8896,"")</f>
        <v/>
      </c>
    </row>
    <row r="8897">
      <c r="N8897">
        <f>IF(AND(ISNUMBER(L8897),ISNUMBER(M8897)),L8897-M8897,"")</f>
        <v/>
      </c>
    </row>
    <row r="8898">
      <c r="N8898">
        <f>IF(AND(ISNUMBER(L8898),ISNUMBER(M8898)),L8898-M8898,"")</f>
        <v/>
      </c>
    </row>
    <row r="8899">
      <c r="N8899">
        <f>IF(AND(ISNUMBER(L8899),ISNUMBER(M8899)),L8899-M8899,"")</f>
        <v/>
      </c>
    </row>
    <row r="8900">
      <c r="N8900">
        <f>IF(AND(ISNUMBER(L8900),ISNUMBER(M8900)),L8900-M8900,"")</f>
        <v/>
      </c>
    </row>
    <row r="8901">
      <c r="N8901">
        <f>IF(AND(ISNUMBER(L8901),ISNUMBER(M8901)),L8901-M8901,"")</f>
        <v/>
      </c>
    </row>
    <row r="8902">
      <c r="N8902">
        <f>IF(AND(ISNUMBER(L8902),ISNUMBER(M8902)),L8902-M8902,"")</f>
        <v/>
      </c>
    </row>
    <row r="8903">
      <c r="N8903">
        <f>IF(AND(ISNUMBER(L8903),ISNUMBER(M8903)),L8903-M8903,"")</f>
        <v/>
      </c>
    </row>
    <row r="8904">
      <c r="N8904">
        <f>IF(AND(ISNUMBER(L8904),ISNUMBER(M8904)),L8904-M8904,"")</f>
        <v/>
      </c>
    </row>
    <row r="8905">
      <c r="N8905">
        <f>IF(AND(ISNUMBER(L8905),ISNUMBER(M8905)),L8905-M8905,"")</f>
        <v/>
      </c>
    </row>
    <row r="8906">
      <c r="N8906">
        <f>IF(AND(ISNUMBER(L8906),ISNUMBER(M8906)),L8906-M8906,"")</f>
        <v/>
      </c>
    </row>
    <row r="8907">
      <c r="N8907">
        <f>IF(AND(ISNUMBER(L8907),ISNUMBER(M8907)),L8907-M8907,"")</f>
        <v/>
      </c>
    </row>
    <row r="8908">
      <c r="N8908">
        <f>IF(AND(ISNUMBER(L8908),ISNUMBER(M8908)),L8908-M8908,"")</f>
        <v/>
      </c>
    </row>
    <row r="8909">
      <c r="N8909">
        <f>IF(AND(ISNUMBER(L8909),ISNUMBER(M8909)),L8909-M8909,"")</f>
        <v/>
      </c>
    </row>
    <row r="8910">
      <c r="N8910">
        <f>IF(AND(ISNUMBER(L8910),ISNUMBER(M8910)),L8910-M8910,"")</f>
        <v/>
      </c>
    </row>
    <row r="8911">
      <c r="N8911">
        <f>IF(AND(ISNUMBER(L8911),ISNUMBER(M8911)),L8911-M8911,"")</f>
        <v/>
      </c>
    </row>
    <row r="8912">
      <c r="N8912">
        <f>IF(AND(ISNUMBER(L8912),ISNUMBER(M8912)),L8912-M8912,"")</f>
        <v/>
      </c>
    </row>
    <row r="8913">
      <c r="N8913">
        <f>IF(AND(ISNUMBER(L8913),ISNUMBER(M8913)),L8913-M8913,"")</f>
        <v/>
      </c>
    </row>
    <row r="8914">
      <c r="N8914">
        <f>IF(AND(ISNUMBER(L8914),ISNUMBER(M8914)),L8914-M8914,"")</f>
        <v/>
      </c>
    </row>
    <row r="8915">
      <c r="N8915">
        <f>IF(AND(ISNUMBER(L8915),ISNUMBER(M8915)),L8915-M8915,"")</f>
        <v/>
      </c>
    </row>
    <row r="8916">
      <c r="N8916">
        <f>IF(AND(ISNUMBER(L8916),ISNUMBER(M8916)),L8916-M8916,"")</f>
        <v/>
      </c>
    </row>
    <row r="8917">
      <c r="N8917">
        <f>IF(AND(ISNUMBER(L8917),ISNUMBER(M8917)),L8917-M8917,"")</f>
        <v/>
      </c>
    </row>
    <row r="8918">
      <c r="N8918">
        <f>IF(AND(ISNUMBER(L8918),ISNUMBER(M8918)),L8918-M8918,"")</f>
        <v/>
      </c>
    </row>
    <row r="8919">
      <c r="N8919">
        <f>IF(AND(ISNUMBER(L8919),ISNUMBER(M8919)),L8919-M8919,"")</f>
        <v/>
      </c>
    </row>
    <row r="8920">
      <c r="N8920">
        <f>IF(AND(ISNUMBER(L8920),ISNUMBER(M8920)),L8920-M8920,"")</f>
        <v/>
      </c>
    </row>
    <row r="8921">
      <c r="N8921">
        <f>IF(AND(ISNUMBER(L8921),ISNUMBER(M8921)),L8921-M8921,"")</f>
        <v/>
      </c>
    </row>
    <row r="8922">
      <c r="N8922">
        <f>IF(AND(ISNUMBER(L8922),ISNUMBER(M8922)),L8922-M8922,"")</f>
        <v/>
      </c>
    </row>
    <row r="8923">
      <c r="N8923">
        <f>IF(AND(ISNUMBER(L8923),ISNUMBER(M8923)),L8923-M8923,"")</f>
        <v/>
      </c>
    </row>
    <row r="8924">
      <c r="N8924">
        <f>IF(AND(ISNUMBER(L8924),ISNUMBER(M8924)),L8924-M8924,"")</f>
        <v/>
      </c>
    </row>
    <row r="8925">
      <c r="N8925">
        <f>IF(AND(ISNUMBER(L8925),ISNUMBER(M8925)),L8925-M8925,"")</f>
        <v/>
      </c>
    </row>
    <row r="8926">
      <c r="N8926">
        <f>IF(AND(ISNUMBER(L8926),ISNUMBER(M8926)),L8926-M8926,"")</f>
        <v/>
      </c>
    </row>
    <row r="8927">
      <c r="N8927">
        <f>IF(AND(ISNUMBER(L8927),ISNUMBER(M8927)),L8927-M8927,"")</f>
        <v/>
      </c>
    </row>
    <row r="8928">
      <c r="N8928">
        <f>IF(AND(ISNUMBER(L8928),ISNUMBER(M8928)),L8928-M8928,"")</f>
        <v/>
      </c>
    </row>
    <row r="8929">
      <c r="N8929">
        <f>IF(AND(ISNUMBER(L8929),ISNUMBER(M8929)),L8929-M8929,"")</f>
        <v/>
      </c>
    </row>
    <row r="8930">
      <c r="N8930">
        <f>IF(AND(ISNUMBER(L8930),ISNUMBER(M8930)),L8930-M8930,"")</f>
        <v/>
      </c>
    </row>
    <row r="8931">
      <c r="N8931">
        <f>IF(AND(ISNUMBER(L8931),ISNUMBER(M8931)),L8931-M8931,"")</f>
        <v/>
      </c>
    </row>
    <row r="8932">
      <c r="N8932">
        <f>IF(AND(ISNUMBER(L8932),ISNUMBER(M8932)),L8932-M8932,"")</f>
        <v/>
      </c>
    </row>
    <row r="8933">
      <c r="N8933">
        <f>IF(AND(ISNUMBER(L8933),ISNUMBER(M8933)),L8933-M8933,"")</f>
        <v/>
      </c>
    </row>
    <row r="8934">
      <c r="N8934">
        <f>IF(AND(ISNUMBER(L8934),ISNUMBER(M8934)),L8934-M8934,"")</f>
        <v/>
      </c>
    </row>
    <row r="8935">
      <c r="N8935">
        <f>IF(AND(ISNUMBER(L8935),ISNUMBER(M8935)),L8935-M8935,"")</f>
        <v/>
      </c>
    </row>
    <row r="8936">
      <c r="N8936">
        <f>IF(AND(ISNUMBER(L8936),ISNUMBER(M8936)),L8936-M8936,"")</f>
        <v/>
      </c>
    </row>
    <row r="8937">
      <c r="N8937">
        <f>IF(AND(ISNUMBER(L8937),ISNUMBER(M8937)),L8937-M8937,"")</f>
        <v/>
      </c>
    </row>
    <row r="8938">
      <c r="N8938">
        <f>IF(AND(ISNUMBER(L8938),ISNUMBER(M8938)),L8938-M8938,"")</f>
        <v/>
      </c>
    </row>
    <row r="8939">
      <c r="N8939">
        <f>IF(AND(ISNUMBER(L8939),ISNUMBER(M8939)),L8939-M8939,"")</f>
        <v/>
      </c>
    </row>
    <row r="8940">
      <c r="N8940">
        <f>IF(AND(ISNUMBER(L8940),ISNUMBER(M8940)),L8940-M8940,"")</f>
        <v/>
      </c>
    </row>
    <row r="8941">
      <c r="N8941">
        <f>IF(AND(ISNUMBER(L8941),ISNUMBER(M8941)),L8941-M8941,"")</f>
        <v/>
      </c>
    </row>
    <row r="8942">
      <c r="N8942">
        <f>IF(AND(ISNUMBER(L8942),ISNUMBER(M8942)),L8942-M8942,"")</f>
        <v/>
      </c>
    </row>
    <row r="8943">
      <c r="N8943">
        <f>IF(AND(ISNUMBER(L8943),ISNUMBER(M8943)),L8943-M8943,"")</f>
        <v/>
      </c>
    </row>
    <row r="8944">
      <c r="N8944">
        <f>IF(AND(ISNUMBER(L8944),ISNUMBER(M8944)),L8944-M8944,"")</f>
        <v/>
      </c>
    </row>
    <row r="8945">
      <c r="N8945">
        <f>IF(AND(ISNUMBER(L8945),ISNUMBER(M8945)),L8945-M8945,"")</f>
        <v/>
      </c>
    </row>
    <row r="8946">
      <c r="N8946">
        <f>IF(AND(ISNUMBER(L8946),ISNUMBER(M8946)),L8946-M8946,"")</f>
        <v/>
      </c>
    </row>
    <row r="8947">
      <c r="N8947">
        <f>IF(AND(ISNUMBER(L8947),ISNUMBER(M8947)),L8947-M8947,"")</f>
        <v/>
      </c>
    </row>
    <row r="8948">
      <c r="N8948">
        <f>IF(AND(ISNUMBER(L8948),ISNUMBER(M8948)),L8948-M8948,"")</f>
        <v/>
      </c>
    </row>
    <row r="8949">
      <c r="N8949">
        <f>IF(AND(ISNUMBER(L8949),ISNUMBER(M8949)),L8949-M8949,"")</f>
        <v/>
      </c>
    </row>
    <row r="8950">
      <c r="N8950">
        <f>IF(AND(ISNUMBER(L8950),ISNUMBER(M8950)),L8950-M8950,"")</f>
        <v/>
      </c>
    </row>
    <row r="8951">
      <c r="N8951">
        <f>IF(AND(ISNUMBER(L8951),ISNUMBER(M8951)),L8951-M8951,"")</f>
        <v/>
      </c>
    </row>
    <row r="8952">
      <c r="N8952">
        <f>IF(AND(ISNUMBER(L8952),ISNUMBER(M8952)),L8952-M8952,"")</f>
        <v/>
      </c>
    </row>
    <row r="8953">
      <c r="N8953">
        <f>IF(AND(ISNUMBER(L8953),ISNUMBER(M8953)),L8953-M8953,"")</f>
        <v/>
      </c>
    </row>
    <row r="8954">
      <c r="N8954">
        <f>IF(AND(ISNUMBER(L8954),ISNUMBER(M8954)),L8954-M8954,"")</f>
        <v/>
      </c>
    </row>
    <row r="8955">
      <c r="N8955">
        <f>IF(AND(ISNUMBER(L8955),ISNUMBER(M8955)),L8955-M8955,"")</f>
        <v/>
      </c>
    </row>
    <row r="8956">
      <c r="N8956">
        <f>IF(AND(ISNUMBER(L8956),ISNUMBER(M8956)),L8956-M8956,"")</f>
        <v/>
      </c>
    </row>
    <row r="8957">
      <c r="N8957">
        <f>IF(AND(ISNUMBER(L8957),ISNUMBER(M8957)),L8957-M8957,"")</f>
        <v/>
      </c>
    </row>
    <row r="8958">
      <c r="N8958">
        <f>IF(AND(ISNUMBER(L8958),ISNUMBER(M8958)),L8958-M8958,"")</f>
        <v/>
      </c>
    </row>
    <row r="8959">
      <c r="N8959">
        <f>IF(AND(ISNUMBER(L8959),ISNUMBER(M8959)),L8959-M8959,"")</f>
        <v/>
      </c>
    </row>
    <row r="8960">
      <c r="N8960">
        <f>IF(AND(ISNUMBER(L8960),ISNUMBER(M8960)),L8960-M8960,"")</f>
        <v/>
      </c>
    </row>
    <row r="8961">
      <c r="N8961">
        <f>IF(AND(ISNUMBER(L8961),ISNUMBER(M8961)),L8961-M8961,"")</f>
        <v/>
      </c>
    </row>
    <row r="8962">
      <c r="N8962">
        <f>IF(AND(ISNUMBER(L8962),ISNUMBER(M8962)),L8962-M8962,"")</f>
        <v/>
      </c>
    </row>
    <row r="8963">
      <c r="N8963">
        <f>IF(AND(ISNUMBER(L8963),ISNUMBER(M8963)),L8963-M8963,"")</f>
        <v/>
      </c>
    </row>
    <row r="8964">
      <c r="N8964">
        <f>IF(AND(ISNUMBER(L8964),ISNUMBER(M8964)),L8964-M8964,"")</f>
        <v/>
      </c>
    </row>
    <row r="8965">
      <c r="N8965">
        <f>IF(AND(ISNUMBER(L8965),ISNUMBER(M8965)),L8965-M8965,"")</f>
        <v/>
      </c>
    </row>
    <row r="8966">
      <c r="N8966">
        <f>IF(AND(ISNUMBER(L8966),ISNUMBER(M8966)),L8966-M8966,"")</f>
        <v/>
      </c>
    </row>
    <row r="8967">
      <c r="N8967">
        <f>IF(AND(ISNUMBER(L8967),ISNUMBER(M8967)),L8967-M8967,"")</f>
        <v/>
      </c>
    </row>
    <row r="8968">
      <c r="N8968">
        <f>IF(AND(ISNUMBER(L8968),ISNUMBER(M8968)),L8968-M8968,"")</f>
        <v/>
      </c>
    </row>
    <row r="8969">
      <c r="N8969">
        <f>IF(AND(ISNUMBER(L8969),ISNUMBER(M8969)),L8969-M8969,"")</f>
        <v/>
      </c>
    </row>
    <row r="8970">
      <c r="N8970">
        <f>IF(AND(ISNUMBER(L8970),ISNUMBER(M8970)),L8970-M8970,"")</f>
        <v/>
      </c>
    </row>
    <row r="8971">
      <c r="N8971">
        <f>IF(AND(ISNUMBER(L8971),ISNUMBER(M8971)),L8971-M8971,"")</f>
        <v/>
      </c>
    </row>
    <row r="8972">
      <c r="N8972">
        <f>IF(AND(ISNUMBER(L8972),ISNUMBER(M8972)),L8972-M8972,"")</f>
        <v/>
      </c>
    </row>
    <row r="8973">
      <c r="N8973">
        <f>IF(AND(ISNUMBER(L8973),ISNUMBER(M8973)),L8973-M8973,"")</f>
        <v/>
      </c>
    </row>
    <row r="8974">
      <c r="N8974">
        <f>IF(AND(ISNUMBER(L8974),ISNUMBER(M8974)),L8974-M8974,"")</f>
        <v/>
      </c>
    </row>
    <row r="8975">
      <c r="N8975">
        <f>IF(AND(ISNUMBER(L8975),ISNUMBER(M8975)),L8975-M8975,"")</f>
        <v/>
      </c>
    </row>
    <row r="8976">
      <c r="N8976">
        <f>IF(AND(ISNUMBER(L8976),ISNUMBER(M8976)),L8976-M8976,"")</f>
        <v/>
      </c>
    </row>
    <row r="8977">
      <c r="N8977">
        <f>IF(AND(ISNUMBER(L8977),ISNUMBER(M8977)),L8977-M8977,"")</f>
        <v/>
      </c>
    </row>
    <row r="8978">
      <c r="N8978">
        <f>IF(AND(ISNUMBER(L8978),ISNUMBER(M8978)),L8978-M8978,"")</f>
        <v/>
      </c>
    </row>
    <row r="8979">
      <c r="N8979">
        <f>IF(AND(ISNUMBER(L8979),ISNUMBER(M8979)),L8979-M8979,"")</f>
        <v/>
      </c>
    </row>
    <row r="8980">
      <c r="N8980">
        <f>IF(AND(ISNUMBER(L8980),ISNUMBER(M8980)),L8980-M8980,"")</f>
        <v/>
      </c>
    </row>
    <row r="8981">
      <c r="N8981">
        <f>IF(AND(ISNUMBER(L8981),ISNUMBER(M8981)),L8981-M8981,"")</f>
        <v/>
      </c>
    </row>
    <row r="8982">
      <c r="N8982">
        <f>IF(AND(ISNUMBER(L8982),ISNUMBER(M8982)),L8982-M8982,"")</f>
        <v/>
      </c>
    </row>
    <row r="8983">
      <c r="N8983">
        <f>IF(AND(ISNUMBER(L8983),ISNUMBER(M8983)),L8983-M8983,"")</f>
        <v/>
      </c>
    </row>
    <row r="8984">
      <c r="N8984">
        <f>IF(AND(ISNUMBER(L8984),ISNUMBER(M8984)),L8984-M8984,"")</f>
        <v/>
      </c>
    </row>
    <row r="8985">
      <c r="N8985">
        <f>IF(AND(ISNUMBER(L8985),ISNUMBER(M8985)),L8985-M8985,"")</f>
        <v/>
      </c>
    </row>
    <row r="8986">
      <c r="N8986">
        <f>IF(AND(ISNUMBER(L8986),ISNUMBER(M8986)),L8986-M8986,"")</f>
        <v/>
      </c>
    </row>
    <row r="8987">
      <c r="N8987">
        <f>IF(AND(ISNUMBER(L8987),ISNUMBER(M8987)),L8987-M8987,"")</f>
        <v/>
      </c>
    </row>
    <row r="8988">
      <c r="N8988">
        <f>IF(AND(ISNUMBER(L8988),ISNUMBER(M8988)),L8988-M8988,"")</f>
        <v/>
      </c>
    </row>
    <row r="8989">
      <c r="N8989">
        <f>IF(AND(ISNUMBER(L8989),ISNUMBER(M8989)),L8989-M8989,"")</f>
        <v/>
      </c>
    </row>
    <row r="8990">
      <c r="N8990">
        <f>IF(AND(ISNUMBER(L8990),ISNUMBER(M8990)),L8990-M8990,"")</f>
        <v/>
      </c>
    </row>
    <row r="8991">
      <c r="N8991">
        <f>IF(AND(ISNUMBER(L8991),ISNUMBER(M8991)),L8991-M8991,"")</f>
        <v/>
      </c>
    </row>
    <row r="8992">
      <c r="N8992">
        <f>IF(AND(ISNUMBER(L8992),ISNUMBER(M8992)),L8992-M8992,"")</f>
        <v/>
      </c>
    </row>
    <row r="8993">
      <c r="N8993">
        <f>IF(AND(ISNUMBER(L8993),ISNUMBER(M8993)),L8993-M8993,"")</f>
        <v/>
      </c>
    </row>
    <row r="8994">
      <c r="N8994">
        <f>IF(AND(ISNUMBER(L8994),ISNUMBER(M8994)),L8994-M8994,"")</f>
        <v/>
      </c>
    </row>
    <row r="8995">
      <c r="N8995">
        <f>IF(AND(ISNUMBER(L8995),ISNUMBER(M8995)),L8995-M8995,"")</f>
        <v/>
      </c>
    </row>
    <row r="8996">
      <c r="N8996">
        <f>IF(AND(ISNUMBER(L8996),ISNUMBER(M8996)),L8996-M8996,"")</f>
        <v/>
      </c>
    </row>
    <row r="8997">
      <c r="N8997">
        <f>IF(AND(ISNUMBER(L8997),ISNUMBER(M8997)),L8997-M8997,"")</f>
        <v/>
      </c>
    </row>
    <row r="8998">
      <c r="N8998">
        <f>IF(AND(ISNUMBER(L8998),ISNUMBER(M8998)),L8998-M8998,"")</f>
        <v/>
      </c>
    </row>
    <row r="8999">
      <c r="N8999">
        <f>IF(AND(ISNUMBER(L8999),ISNUMBER(M8999)),L8999-M8999,"")</f>
        <v/>
      </c>
    </row>
    <row r="9000">
      <c r="N9000">
        <f>IF(AND(ISNUMBER(L9000),ISNUMBER(M9000)),L9000-M9000,"")</f>
        <v/>
      </c>
    </row>
    <row r="9001">
      <c r="N9001">
        <f>IF(AND(ISNUMBER(L9001),ISNUMBER(M9001)),L9001-M9001,"")</f>
        <v/>
      </c>
    </row>
    <row r="9002">
      <c r="N9002">
        <f>IF(AND(ISNUMBER(L9002),ISNUMBER(M9002)),L9002-M9002,"")</f>
        <v/>
      </c>
    </row>
    <row r="9003">
      <c r="N9003">
        <f>IF(AND(ISNUMBER(L9003),ISNUMBER(M9003)),L9003-M9003,"")</f>
        <v/>
      </c>
    </row>
    <row r="9004">
      <c r="N9004">
        <f>IF(AND(ISNUMBER(L9004),ISNUMBER(M9004)),L9004-M9004,"")</f>
        <v/>
      </c>
    </row>
    <row r="9005">
      <c r="N9005">
        <f>IF(AND(ISNUMBER(L9005),ISNUMBER(M9005)),L9005-M9005,"")</f>
        <v/>
      </c>
    </row>
    <row r="9006">
      <c r="N9006">
        <f>IF(AND(ISNUMBER(L9006),ISNUMBER(M9006)),L9006-M9006,"")</f>
        <v/>
      </c>
    </row>
    <row r="9007">
      <c r="N9007">
        <f>IF(AND(ISNUMBER(L9007),ISNUMBER(M9007)),L9007-M9007,"")</f>
        <v/>
      </c>
    </row>
    <row r="9008">
      <c r="N9008">
        <f>IF(AND(ISNUMBER(L9008),ISNUMBER(M9008)),L9008-M9008,"")</f>
        <v/>
      </c>
    </row>
    <row r="9009">
      <c r="N9009">
        <f>IF(AND(ISNUMBER(L9009),ISNUMBER(M9009)),L9009-M9009,"")</f>
        <v/>
      </c>
    </row>
    <row r="9010">
      <c r="N9010">
        <f>IF(AND(ISNUMBER(L9010),ISNUMBER(M9010)),L9010-M9010,"")</f>
        <v/>
      </c>
    </row>
    <row r="9011">
      <c r="N9011">
        <f>IF(AND(ISNUMBER(L9011),ISNUMBER(M9011)),L9011-M9011,"")</f>
        <v/>
      </c>
    </row>
    <row r="9012">
      <c r="N9012">
        <f>IF(AND(ISNUMBER(L9012),ISNUMBER(M9012)),L9012-M9012,"")</f>
        <v/>
      </c>
    </row>
    <row r="9013">
      <c r="N9013">
        <f>IF(AND(ISNUMBER(L9013),ISNUMBER(M9013)),L9013-M9013,"")</f>
        <v/>
      </c>
    </row>
    <row r="9014">
      <c r="N9014">
        <f>IF(AND(ISNUMBER(L9014),ISNUMBER(M9014)),L9014-M9014,"")</f>
        <v/>
      </c>
    </row>
    <row r="9015">
      <c r="N9015">
        <f>IF(AND(ISNUMBER(L9015),ISNUMBER(M9015)),L9015-M9015,"")</f>
        <v/>
      </c>
    </row>
    <row r="9016">
      <c r="N9016">
        <f>IF(AND(ISNUMBER(L9016),ISNUMBER(M9016)),L9016-M9016,"")</f>
        <v/>
      </c>
    </row>
    <row r="9017">
      <c r="N9017">
        <f>IF(AND(ISNUMBER(L9017),ISNUMBER(M9017)),L9017-M9017,"")</f>
        <v/>
      </c>
    </row>
    <row r="9018">
      <c r="N9018">
        <f>IF(AND(ISNUMBER(L9018),ISNUMBER(M9018)),L9018-M9018,"")</f>
        <v/>
      </c>
    </row>
    <row r="9019">
      <c r="N9019">
        <f>IF(AND(ISNUMBER(L9019),ISNUMBER(M9019)),L9019-M9019,"")</f>
        <v/>
      </c>
    </row>
    <row r="9020">
      <c r="N9020">
        <f>IF(AND(ISNUMBER(L9020),ISNUMBER(M9020)),L9020-M9020,"")</f>
        <v/>
      </c>
    </row>
    <row r="9021">
      <c r="N9021">
        <f>IF(AND(ISNUMBER(L9021),ISNUMBER(M9021)),L9021-M9021,"")</f>
        <v/>
      </c>
    </row>
    <row r="9022">
      <c r="N9022">
        <f>IF(AND(ISNUMBER(L9022),ISNUMBER(M9022)),L9022-M9022,"")</f>
        <v/>
      </c>
    </row>
    <row r="9023">
      <c r="N9023">
        <f>IF(AND(ISNUMBER(L9023),ISNUMBER(M9023)),L9023-M9023,"")</f>
        <v/>
      </c>
    </row>
    <row r="9024">
      <c r="N9024">
        <f>IF(AND(ISNUMBER(L9024),ISNUMBER(M9024)),L9024-M9024,"")</f>
        <v/>
      </c>
    </row>
    <row r="9025">
      <c r="N9025">
        <f>IF(AND(ISNUMBER(L9025),ISNUMBER(M9025)),L9025-M9025,"")</f>
        <v/>
      </c>
    </row>
    <row r="9026">
      <c r="N9026">
        <f>IF(AND(ISNUMBER(L9026),ISNUMBER(M9026)),L9026-M9026,"")</f>
        <v/>
      </c>
    </row>
    <row r="9027">
      <c r="N9027">
        <f>IF(AND(ISNUMBER(L9027),ISNUMBER(M9027)),L9027-M9027,"")</f>
        <v/>
      </c>
    </row>
    <row r="9028">
      <c r="N9028">
        <f>IF(AND(ISNUMBER(L9028),ISNUMBER(M9028)),L9028-M9028,"")</f>
        <v/>
      </c>
    </row>
    <row r="9029">
      <c r="N9029">
        <f>IF(AND(ISNUMBER(L9029),ISNUMBER(M9029)),L9029-M9029,"")</f>
        <v/>
      </c>
    </row>
    <row r="9030">
      <c r="N9030">
        <f>IF(AND(ISNUMBER(L9030),ISNUMBER(M9030)),L9030-M9030,"")</f>
        <v/>
      </c>
    </row>
    <row r="9031">
      <c r="N9031">
        <f>IF(AND(ISNUMBER(L9031),ISNUMBER(M9031)),L9031-M9031,"")</f>
        <v/>
      </c>
    </row>
    <row r="9032">
      <c r="N9032">
        <f>IF(AND(ISNUMBER(L9032),ISNUMBER(M9032)),L9032-M9032,"")</f>
        <v/>
      </c>
    </row>
    <row r="9033">
      <c r="N9033">
        <f>IF(AND(ISNUMBER(L9033),ISNUMBER(M9033)),L9033-M9033,"")</f>
        <v/>
      </c>
    </row>
    <row r="9034">
      <c r="N9034">
        <f>IF(AND(ISNUMBER(L9034),ISNUMBER(M9034)),L9034-M9034,"")</f>
        <v/>
      </c>
    </row>
    <row r="9035">
      <c r="N9035">
        <f>IF(AND(ISNUMBER(L9035),ISNUMBER(M9035)),L9035-M9035,"")</f>
        <v/>
      </c>
    </row>
    <row r="9036">
      <c r="N9036">
        <f>IF(AND(ISNUMBER(L9036),ISNUMBER(M9036)),L9036-M9036,"")</f>
        <v/>
      </c>
    </row>
    <row r="9037">
      <c r="N9037">
        <f>IF(AND(ISNUMBER(L9037),ISNUMBER(M9037)),L9037-M9037,"")</f>
        <v/>
      </c>
    </row>
    <row r="9038">
      <c r="N9038">
        <f>IF(AND(ISNUMBER(L9038),ISNUMBER(M9038)),L9038-M9038,"")</f>
        <v/>
      </c>
    </row>
    <row r="9039">
      <c r="N9039">
        <f>IF(AND(ISNUMBER(L9039),ISNUMBER(M9039)),L9039-M9039,"")</f>
        <v/>
      </c>
    </row>
    <row r="9040">
      <c r="N9040">
        <f>IF(AND(ISNUMBER(L9040),ISNUMBER(M9040)),L9040-M9040,"")</f>
        <v/>
      </c>
    </row>
    <row r="9041">
      <c r="N9041">
        <f>IF(AND(ISNUMBER(L9041),ISNUMBER(M9041)),L9041-M9041,"")</f>
        <v/>
      </c>
    </row>
    <row r="9042">
      <c r="N9042">
        <f>IF(AND(ISNUMBER(L9042),ISNUMBER(M9042)),L9042-M9042,"")</f>
        <v/>
      </c>
    </row>
    <row r="9043">
      <c r="N9043">
        <f>IF(AND(ISNUMBER(L9043),ISNUMBER(M9043)),L9043-M9043,"")</f>
        <v/>
      </c>
    </row>
    <row r="9044">
      <c r="N9044">
        <f>IF(AND(ISNUMBER(L9044),ISNUMBER(M9044)),L9044-M9044,"")</f>
        <v/>
      </c>
    </row>
    <row r="9045">
      <c r="N9045">
        <f>IF(AND(ISNUMBER(L9045),ISNUMBER(M9045)),L9045-M9045,"")</f>
        <v/>
      </c>
    </row>
    <row r="9046">
      <c r="N9046">
        <f>IF(AND(ISNUMBER(L9046),ISNUMBER(M9046)),L9046-M9046,"")</f>
        <v/>
      </c>
    </row>
    <row r="9047">
      <c r="N9047">
        <f>IF(AND(ISNUMBER(L9047),ISNUMBER(M9047)),L9047-M9047,"")</f>
        <v/>
      </c>
    </row>
    <row r="9048">
      <c r="N9048">
        <f>IF(AND(ISNUMBER(L9048),ISNUMBER(M9048)),L9048-M9048,"")</f>
        <v/>
      </c>
    </row>
    <row r="9049">
      <c r="N9049">
        <f>IF(AND(ISNUMBER(L9049),ISNUMBER(M9049)),L9049-M9049,"")</f>
        <v/>
      </c>
    </row>
    <row r="9050">
      <c r="N9050">
        <f>IF(AND(ISNUMBER(L9050),ISNUMBER(M9050)),L9050-M9050,"")</f>
        <v/>
      </c>
    </row>
    <row r="9051">
      <c r="N9051">
        <f>IF(AND(ISNUMBER(L9051),ISNUMBER(M9051)),L9051-M9051,"")</f>
        <v/>
      </c>
    </row>
    <row r="9052">
      <c r="N9052">
        <f>IF(AND(ISNUMBER(L9052),ISNUMBER(M9052)),L9052-M9052,"")</f>
        <v/>
      </c>
    </row>
    <row r="9053">
      <c r="N9053">
        <f>IF(AND(ISNUMBER(L9053),ISNUMBER(M9053)),L9053-M9053,"")</f>
        <v/>
      </c>
    </row>
    <row r="9054">
      <c r="N9054">
        <f>IF(AND(ISNUMBER(L9054),ISNUMBER(M9054)),L9054-M9054,"")</f>
        <v/>
      </c>
    </row>
    <row r="9055">
      <c r="N9055">
        <f>IF(AND(ISNUMBER(L9055),ISNUMBER(M9055)),L9055-M9055,"")</f>
        <v/>
      </c>
    </row>
    <row r="9056">
      <c r="N9056">
        <f>IF(AND(ISNUMBER(L9056),ISNUMBER(M9056)),L9056-M9056,"")</f>
        <v/>
      </c>
    </row>
    <row r="9057">
      <c r="N9057">
        <f>IF(AND(ISNUMBER(L9057),ISNUMBER(M9057)),L9057-M9057,"")</f>
        <v/>
      </c>
    </row>
    <row r="9058">
      <c r="N9058">
        <f>IF(AND(ISNUMBER(L9058),ISNUMBER(M9058)),L9058-M9058,"")</f>
        <v/>
      </c>
    </row>
    <row r="9059">
      <c r="N9059">
        <f>IF(AND(ISNUMBER(L9059),ISNUMBER(M9059)),L9059-M9059,"")</f>
        <v/>
      </c>
    </row>
    <row r="9060">
      <c r="N9060">
        <f>IF(AND(ISNUMBER(L9060),ISNUMBER(M9060)),L9060-M9060,"")</f>
        <v/>
      </c>
    </row>
    <row r="9061">
      <c r="N9061">
        <f>IF(AND(ISNUMBER(L9061),ISNUMBER(M9061)),L9061-M9061,"")</f>
        <v/>
      </c>
    </row>
    <row r="9062">
      <c r="N9062">
        <f>IF(AND(ISNUMBER(L9062),ISNUMBER(M9062)),L9062-M9062,"")</f>
        <v/>
      </c>
    </row>
    <row r="9063">
      <c r="N9063">
        <f>IF(AND(ISNUMBER(L9063),ISNUMBER(M9063)),L9063-M9063,"")</f>
        <v/>
      </c>
    </row>
    <row r="9064">
      <c r="N9064">
        <f>IF(AND(ISNUMBER(L9064),ISNUMBER(M9064)),L9064-M9064,"")</f>
        <v/>
      </c>
    </row>
    <row r="9065">
      <c r="N9065">
        <f>IF(AND(ISNUMBER(L9065),ISNUMBER(M9065)),L9065-M9065,"")</f>
        <v/>
      </c>
    </row>
    <row r="9066">
      <c r="N9066">
        <f>IF(AND(ISNUMBER(L9066),ISNUMBER(M9066)),L9066-M9066,"")</f>
        <v/>
      </c>
    </row>
    <row r="9067">
      <c r="N9067">
        <f>IF(AND(ISNUMBER(L9067),ISNUMBER(M9067)),L9067-M9067,"")</f>
        <v/>
      </c>
    </row>
    <row r="9068">
      <c r="N9068">
        <f>IF(AND(ISNUMBER(L9068),ISNUMBER(M9068)),L9068-M9068,"")</f>
        <v/>
      </c>
    </row>
    <row r="9069">
      <c r="N9069">
        <f>IF(AND(ISNUMBER(L9069),ISNUMBER(M9069)),L9069-M9069,"")</f>
        <v/>
      </c>
    </row>
    <row r="9070">
      <c r="N9070">
        <f>IF(AND(ISNUMBER(L9070),ISNUMBER(M9070)),L9070-M9070,"")</f>
        <v/>
      </c>
    </row>
    <row r="9071">
      <c r="N9071">
        <f>IF(AND(ISNUMBER(L9071),ISNUMBER(M9071)),L9071-M9071,"")</f>
        <v/>
      </c>
    </row>
    <row r="9072">
      <c r="N9072">
        <f>IF(AND(ISNUMBER(L9072),ISNUMBER(M9072)),L9072-M9072,"")</f>
        <v/>
      </c>
    </row>
    <row r="9073">
      <c r="N9073">
        <f>IF(AND(ISNUMBER(L9073),ISNUMBER(M9073)),L9073-M9073,"")</f>
        <v/>
      </c>
    </row>
    <row r="9074">
      <c r="N9074">
        <f>IF(AND(ISNUMBER(L9074),ISNUMBER(M9074)),L9074-M9074,"")</f>
        <v/>
      </c>
    </row>
    <row r="9075">
      <c r="N9075">
        <f>IF(AND(ISNUMBER(L9075),ISNUMBER(M9075)),L9075-M9075,"")</f>
        <v/>
      </c>
    </row>
    <row r="9076">
      <c r="N9076">
        <f>IF(AND(ISNUMBER(L9076),ISNUMBER(M9076)),L9076-M9076,"")</f>
        <v/>
      </c>
    </row>
    <row r="9077">
      <c r="N9077">
        <f>IF(AND(ISNUMBER(L9077),ISNUMBER(M9077)),L9077-M9077,"")</f>
        <v/>
      </c>
    </row>
    <row r="9078">
      <c r="N9078">
        <f>IF(AND(ISNUMBER(L9078),ISNUMBER(M9078)),L9078-M9078,"")</f>
        <v/>
      </c>
    </row>
    <row r="9079">
      <c r="N9079">
        <f>IF(AND(ISNUMBER(L9079),ISNUMBER(M9079)),L9079-M9079,"")</f>
        <v/>
      </c>
    </row>
    <row r="9080">
      <c r="N9080">
        <f>IF(AND(ISNUMBER(L9080),ISNUMBER(M9080)),L9080-M9080,"")</f>
        <v/>
      </c>
    </row>
    <row r="9081">
      <c r="N9081">
        <f>IF(AND(ISNUMBER(L9081),ISNUMBER(M9081)),L9081-M9081,"")</f>
        <v/>
      </c>
    </row>
    <row r="9082">
      <c r="N9082">
        <f>IF(AND(ISNUMBER(L9082),ISNUMBER(M9082)),L9082-M9082,"")</f>
        <v/>
      </c>
    </row>
    <row r="9083">
      <c r="N9083">
        <f>IF(AND(ISNUMBER(L9083),ISNUMBER(M9083)),L9083-M9083,"")</f>
        <v/>
      </c>
    </row>
    <row r="9084">
      <c r="N9084">
        <f>IF(AND(ISNUMBER(L9084),ISNUMBER(M9084)),L9084-M9084,"")</f>
        <v/>
      </c>
    </row>
    <row r="9085">
      <c r="N9085">
        <f>IF(AND(ISNUMBER(L9085),ISNUMBER(M9085)),L9085-M9085,"")</f>
        <v/>
      </c>
    </row>
    <row r="9086">
      <c r="N9086">
        <f>IF(AND(ISNUMBER(L9086),ISNUMBER(M9086)),L9086-M9086,"")</f>
        <v/>
      </c>
    </row>
    <row r="9087">
      <c r="N9087">
        <f>IF(AND(ISNUMBER(L9087),ISNUMBER(M9087)),L9087-M9087,"")</f>
        <v/>
      </c>
    </row>
    <row r="9088">
      <c r="N9088">
        <f>IF(AND(ISNUMBER(L9088),ISNUMBER(M9088)),L9088-M9088,"")</f>
        <v/>
      </c>
    </row>
    <row r="9089">
      <c r="N9089">
        <f>IF(AND(ISNUMBER(L9089),ISNUMBER(M9089)),L9089-M9089,"")</f>
        <v/>
      </c>
    </row>
    <row r="9090">
      <c r="N9090">
        <f>IF(AND(ISNUMBER(L9090),ISNUMBER(M9090)),L9090-M9090,"")</f>
        <v/>
      </c>
    </row>
    <row r="9091">
      <c r="N9091">
        <f>IF(AND(ISNUMBER(L9091),ISNUMBER(M9091)),L9091-M9091,"")</f>
        <v/>
      </c>
    </row>
    <row r="9092">
      <c r="N9092">
        <f>IF(AND(ISNUMBER(L9092),ISNUMBER(M9092)),L9092-M9092,"")</f>
        <v/>
      </c>
    </row>
    <row r="9093">
      <c r="N9093">
        <f>IF(AND(ISNUMBER(L9093),ISNUMBER(M9093)),L9093-M9093,"")</f>
        <v/>
      </c>
    </row>
    <row r="9094">
      <c r="N9094">
        <f>IF(AND(ISNUMBER(L9094),ISNUMBER(M9094)),L9094-M9094,"")</f>
        <v/>
      </c>
    </row>
    <row r="9095">
      <c r="N9095">
        <f>IF(AND(ISNUMBER(L9095),ISNUMBER(M9095)),L9095-M9095,"")</f>
        <v/>
      </c>
    </row>
    <row r="9096">
      <c r="N9096">
        <f>IF(AND(ISNUMBER(L9096),ISNUMBER(M9096)),L9096-M9096,"")</f>
        <v/>
      </c>
    </row>
    <row r="9097">
      <c r="N9097">
        <f>IF(AND(ISNUMBER(L9097),ISNUMBER(M9097)),L9097-M9097,"")</f>
        <v/>
      </c>
    </row>
    <row r="9098">
      <c r="N9098">
        <f>IF(AND(ISNUMBER(L9098),ISNUMBER(M9098)),L9098-M9098,"")</f>
        <v/>
      </c>
    </row>
    <row r="9099">
      <c r="N9099">
        <f>IF(AND(ISNUMBER(L9099),ISNUMBER(M9099)),L9099-M9099,"")</f>
        <v/>
      </c>
    </row>
    <row r="9100">
      <c r="N9100">
        <f>IF(AND(ISNUMBER(L9100),ISNUMBER(M9100)),L9100-M9100,"")</f>
        <v/>
      </c>
    </row>
    <row r="9101">
      <c r="N9101">
        <f>IF(AND(ISNUMBER(L9101),ISNUMBER(M9101)),L9101-M9101,"")</f>
        <v/>
      </c>
    </row>
    <row r="9102">
      <c r="N9102">
        <f>IF(AND(ISNUMBER(L9102),ISNUMBER(M9102)),L9102-M9102,"")</f>
        <v/>
      </c>
    </row>
    <row r="9103">
      <c r="N9103">
        <f>IF(AND(ISNUMBER(L9103),ISNUMBER(M9103)),L9103-M9103,"")</f>
        <v/>
      </c>
    </row>
    <row r="9104">
      <c r="N9104">
        <f>IF(AND(ISNUMBER(L9104),ISNUMBER(M9104)),L9104-M9104,"")</f>
        <v/>
      </c>
    </row>
    <row r="9105">
      <c r="N9105">
        <f>IF(AND(ISNUMBER(L9105),ISNUMBER(M9105)),L9105-M9105,"")</f>
        <v/>
      </c>
    </row>
    <row r="9106">
      <c r="N9106">
        <f>IF(AND(ISNUMBER(L9106),ISNUMBER(M9106)),L9106-M9106,"")</f>
        <v/>
      </c>
    </row>
    <row r="9107">
      <c r="N9107">
        <f>IF(AND(ISNUMBER(L9107),ISNUMBER(M9107)),L9107-M9107,"")</f>
        <v/>
      </c>
    </row>
    <row r="9108">
      <c r="N9108">
        <f>IF(AND(ISNUMBER(L9108),ISNUMBER(M9108)),L9108-M9108,"")</f>
        <v/>
      </c>
    </row>
    <row r="9109">
      <c r="N9109">
        <f>IF(AND(ISNUMBER(L9109),ISNUMBER(M9109)),L9109-M9109,"")</f>
        <v/>
      </c>
    </row>
    <row r="9110">
      <c r="N9110">
        <f>IF(AND(ISNUMBER(L9110),ISNUMBER(M9110)),L9110-M9110,"")</f>
        <v/>
      </c>
    </row>
    <row r="9111">
      <c r="N9111">
        <f>IF(AND(ISNUMBER(L9111),ISNUMBER(M9111)),L9111-M9111,"")</f>
        <v/>
      </c>
    </row>
    <row r="9112">
      <c r="N9112">
        <f>IF(AND(ISNUMBER(L9112),ISNUMBER(M9112)),L9112-M9112,"")</f>
        <v/>
      </c>
    </row>
    <row r="9113">
      <c r="N9113">
        <f>IF(AND(ISNUMBER(L9113),ISNUMBER(M9113)),L9113-M9113,"")</f>
        <v/>
      </c>
    </row>
    <row r="9114">
      <c r="N9114">
        <f>IF(AND(ISNUMBER(L9114),ISNUMBER(M9114)),L9114-M9114,"")</f>
        <v/>
      </c>
    </row>
    <row r="9115">
      <c r="N9115">
        <f>IF(AND(ISNUMBER(L9115),ISNUMBER(M9115)),L9115-M9115,"")</f>
        <v/>
      </c>
    </row>
    <row r="9116">
      <c r="N9116">
        <f>IF(AND(ISNUMBER(L9116),ISNUMBER(M9116)),L9116-M9116,"")</f>
        <v/>
      </c>
    </row>
    <row r="9117">
      <c r="N9117">
        <f>IF(AND(ISNUMBER(L9117),ISNUMBER(M9117)),L9117-M9117,"")</f>
        <v/>
      </c>
    </row>
    <row r="9118">
      <c r="N9118">
        <f>IF(AND(ISNUMBER(L9118),ISNUMBER(M9118)),L9118-M9118,"")</f>
        <v/>
      </c>
    </row>
    <row r="9119">
      <c r="N9119">
        <f>IF(AND(ISNUMBER(L9119),ISNUMBER(M9119)),L9119-M9119,"")</f>
        <v/>
      </c>
    </row>
    <row r="9120">
      <c r="N9120">
        <f>IF(AND(ISNUMBER(L9120),ISNUMBER(M9120)),L9120-M9120,"")</f>
        <v/>
      </c>
    </row>
    <row r="9121">
      <c r="N9121">
        <f>IF(AND(ISNUMBER(L9121),ISNUMBER(M9121)),L9121-M9121,"")</f>
        <v/>
      </c>
    </row>
    <row r="9122">
      <c r="N9122">
        <f>IF(AND(ISNUMBER(L9122),ISNUMBER(M9122)),L9122-M9122,"")</f>
        <v/>
      </c>
    </row>
    <row r="9123">
      <c r="N9123">
        <f>IF(AND(ISNUMBER(L9123),ISNUMBER(M9123)),L9123-M9123,"")</f>
        <v/>
      </c>
    </row>
    <row r="9124">
      <c r="N9124">
        <f>IF(AND(ISNUMBER(L9124),ISNUMBER(M9124)),L9124-M9124,"")</f>
        <v/>
      </c>
    </row>
    <row r="9125">
      <c r="N9125">
        <f>IF(AND(ISNUMBER(L9125),ISNUMBER(M9125)),L9125-M9125,"")</f>
        <v/>
      </c>
    </row>
    <row r="9126">
      <c r="N9126">
        <f>IF(AND(ISNUMBER(L9126),ISNUMBER(M9126)),L9126-M9126,"")</f>
        <v/>
      </c>
    </row>
    <row r="9127">
      <c r="N9127">
        <f>IF(AND(ISNUMBER(L9127),ISNUMBER(M9127)),L9127-M9127,"")</f>
        <v/>
      </c>
    </row>
    <row r="9128">
      <c r="N9128">
        <f>IF(AND(ISNUMBER(L9128),ISNUMBER(M9128)),L9128-M9128,"")</f>
        <v/>
      </c>
    </row>
    <row r="9129">
      <c r="N9129">
        <f>IF(AND(ISNUMBER(L9129),ISNUMBER(M9129)),L9129-M9129,"")</f>
        <v/>
      </c>
    </row>
    <row r="9130">
      <c r="N9130">
        <f>IF(AND(ISNUMBER(L9130),ISNUMBER(M9130)),L9130-M9130,"")</f>
        <v/>
      </c>
    </row>
    <row r="9131">
      <c r="N9131">
        <f>IF(AND(ISNUMBER(L9131),ISNUMBER(M9131)),L9131-M9131,"")</f>
        <v/>
      </c>
    </row>
    <row r="9132">
      <c r="N9132">
        <f>IF(AND(ISNUMBER(L9132),ISNUMBER(M9132)),L9132-M9132,"")</f>
        <v/>
      </c>
    </row>
    <row r="9133">
      <c r="N9133">
        <f>IF(AND(ISNUMBER(L9133),ISNUMBER(M9133)),L9133-M9133,"")</f>
        <v/>
      </c>
    </row>
    <row r="9134">
      <c r="N9134">
        <f>IF(AND(ISNUMBER(L9134),ISNUMBER(M9134)),L9134-M9134,"")</f>
        <v/>
      </c>
    </row>
    <row r="9135">
      <c r="N9135">
        <f>IF(AND(ISNUMBER(L9135),ISNUMBER(M9135)),L9135-M9135,"")</f>
        <v/>
      </c>
    </row>
    <row r="9136">
      <c r="N9136">
        <f>IF(AND(ISNUMBER(L9136),ISNUMBER(M9136)),L9136-M9136,"")</f>
        <v/>
      </c>
    </row>
    <row r="9137">
      <c r="N9137">
        <f>IF(AND(ISNUMBER(L9137),ISNUMBER(M9137)),L9137-M9137,"")</f>
        <v/>
      </c>
    </row>
    <row r="9138">
      <c r="N9138">
        <f>IF(AND(ISNUMBER(L9138),ISNUMBER(M9138)),L9138-M9138,"")</f>
        <v/>
      </c>
    </row>
    <row r="9139">
      <c r="N9139">
        <f>IF(AND(ISNUMBER(L9139),ISNUMBER(M9139)),L9139-M9139,"")</f>
        <v/>
      </c>
    </row>
    <row r="9140">
      <c r="N9140">
        <f>IF(AND(ISNUMBER(L9140),ISNUMBER(M9140)),L9140-M9140,"")</f>
        <v/>
      </c>
    </row>
    <row r="9141">
      <c r="N9141">
        <f>IF(AND(ISNUMBER(L9141),ISNUMBER(M9141)),L9141-M9141,"")</f>
        <v/>
      </c>
    </row>
    <row r="9142">
      <c r="N9142">
        <f>IF(AND(ISNUMBER(L9142),ISNUMBER(M9142)),L9142-M9142,"")</f>
        <v/>
      </c>
    </row>
    <row r="9143">
      <c r="N9143">
        <f>IF(AND(ISNUMBER(L9143),ISNUMBER(M9143)),L9143-M9143,"")</f>
        <v/>
      </c>
    </row>
    <row r="9144">
      <c r="N9144">
        <f>IF(AND(ISNUMBER(L9144),ISNUMBER(M9144)),L9144-M9144,"")</f>
        <v/>
      </c>
    </row>
    <row r="9145">
      <c r="N9145">
        <f>IF(AND(ISNUMBER(L9145),ISNUMBER(M9145)),L9145-M9145,"")</f>
        <v/>
      </c>
    </row>
    <row r="9146">
      <c r="N9146">
        <f>IF(AND(ISNUMBER(L9146),ISNUMBER(M9146)),L9146-M9146,"")</f>
        <v/>
      </c>
    </row>
    <row r="9147">
      <c r="N9147">
        <f>IF(AND(ISNUMBER(L9147),ISNUMBER(M9147)),L9147-M9147,"")</f>
        <v/>
      </c>
    </row>
    <row r="9148">
      <c r="N9148">
        <f>IF(AND(ISNUMBER(L9148),ISNUMBER(M9148)),L9148-M9148,"")</f>
        <v/>
      </c>
    </row>
    <row r="9149">
      <c r="N9149">
        <f>IF(AND(ISNUMBER(L9149),ISNUMBER(M9149)),L9149-M9149,"")</f>
        <v/>
      </c>
    </row>
    <row r="9150">
      <c r="N9150">
        <f>IF(AND(ISNUMBER(L9150),ISNUMBER(M9150)),L9150-M9150,"")</f>
        <v/>
      </c>
    </row>
    <row r="9151">
      <c r="N9151">
        <f>IF(AND(ISNUMBER(L9151),ISNUMBER(M9151)),L9151-M9151,"")</f>
        <v/>
      </c>
    </row>
    <row r="9152">
      <c r="N9152">
        <f>IF(AND(ISNUMBER(L9152),ISNUMBER(M9152)),L9152-M9152,"")</f>
        <v/>
      </c>
    </row>
    <row r="9153">
      <c r="N9153">
        <f>IF(AND(ISNUMBER(L9153),ISNUMBER(M9153)),L9153-M9153,"")</f>
        <v/>
      </c>
    </row>
    <row r="9154">
      <c r="N9154">
        <f>IF(AND(ISNUMBER(L9154),ISNUMBER(M9154)),L9154-M9154,"")</f>
        <v/>
      </c>
    </row>
    <row r="9155">
      <c r="N9155">
        <f>IF(AND(ISNUMBER(L9155),ISNUMBER(M9155)),L9155-M9155,"")</f>
        <v/>
      </c>
    </row>
    <row r="9156">
      <c r="N9156">
        <f>IF(AND(ISNUMBER(L9156),ISNUMBER(M9156)),L9156-M9156,"")</f>
        <v/>
      </c>
    </row>
    <row r="9157">
      <c r="N9157">
        <f>IF(AND(ISNUMBER(L9157),ISNUMBER(M9157)),L9157-M9157,"")</f>
        <v/>
      </c>
    </row>
    <row r="9158">
      <c r="N9158">
        <f>IF(AND(ISNUMBER(L9158),ISNUMBER(M9158)),L9158-M9158,"")</f>
        <v/>
      </c>
    </row>
    <row r="9159">
      <c r="N9159">
        <f>IF(AND(ISNUMBER(L9159),ISNUMBER(M9159)),L9159-M9159,"")</f>
        <v/>
      </c>
    </row>
    <row r="9160">
      <c r="N9160">
        <f>IF(AND(ISNUMBER(L9160),ISNUMBER(M9160)),L9160-M9160,"")</f>
        <v/>
      </c>
    </row>
    <row r="9161">
      <c r="N9161">
        <f>IF(AND(ISNUMBER(L9161),ISNUMBER(M9161)),L9161-M9161,"")</f>
        <v/>
      </c>
    </row>
    <row r="9162">
      <c r="N9162">
        <f>IF(AND(ISNUMBER(L9162),ISNUMBER(M9162)),L9162-M9162,"")</f>
        <v/>
      </c>
    </row>
    <row r="9163">
      <c r="N9163">
        <f>IF(AND(ISNUMBER(L9163),ISNUMBER(M9163)),L9163-M9163,"")</f>
        <v/>
      </c>
    </row>
    <row r="9164">
      <c r="N9164">
        <f>IF(AND(ISNUMBER(L9164),ISNUMBER(M9164)),L9164-M9164,"")</f>
        <v/>
      </c>
    </row>
    <row r="9165">
      <c r="N9165">
        <f>IF(AND(ISNUMBER(L9165),ISNUMBER(M9165)),L9165-M9165,"")</f>
        <v/>
      </c>
    </row>
    <row r="9166">
      <c r="N9166">
        <f>IF(AND(ISNUMBER(L9166),ISNUMBER(M9166)),L9166-M9166,"")</f>
        <v/>
      </c>
    </row>
    <row r="9167">
      <c r="N9167">
        <f>IF(AND(ISNUMBER(L9167),ISNUMBER(M9167)),L9167-M9167,"")</f>
        <v/>
      </c>
    </row>
    <row r="9168">
      <c r="N9168">
        <f>IF(AND(ISNUMBER(L9168),ISNUMBER(M9168)),L9168-M9168,"")</f>
        <v/>
      </c>
    </row>
    <row r="9169">
      <c r="N9169">
        <f>IF(AND(ISNUMBER(L9169),ISNUMBER(M9169)),L9169-M9169,"")</f>
        <v/>
      </c>
    </row>
    <row r="9170">
      <c r="N9170">
        <f>IF(AND(ISNUMBER(L9170),ISNUMBER(M9170)),L9170-M9170,"")</f>
        <v/>
      </c>
    </row>
    <row r="9171">
      <c r="N9171">
        <f>IF(AND(ISNUMBER(L9171),ISNUMBER(M9171)),L9171-M9171,"")</f>
        <v/>
      </c>
    </row>
    <row r="9172">
      <c r="N9172">
        <f>IF(AND(ISNUMBER(L9172),ISNUMBER(M9172)),L9172-M9172,"")</f>
        <v/>
      </c>
    </row>
    <row r="9173">
      <c r="N9173">
        <f>IF(AND(ISNUMBER(L9173),ISNUMBER(M9173)),L9173-M9173,"")</f>
        <v/>
      </c>
    </row>
    <row r="9174">
      <c r="N9174">
        <f>IF(AND(ISNUMBER(L9174),ISNUMBER(M9174)),L9174-M9174,"")</f>
        <v/>
      </c>
    </row>
    <row r="9175">
      <c r="N9175">
        <f>IF(AND(ISNUMBER(L9175),ISNUMBER(M9175)),L9175-M9175,"")</f>
        <v/>
      </c>
    </row>
    <row r="9176">
      <c r="N9176">
        <f>IF(AND(ISNUMBER(L9176),ISNUMBER(M9176)),L9176-M9176,"")</f>
        <v/>
      </c>
    </row>
    <row r="9177">
      <c r="N9177">
        <f>IF(AND(ISNUMBER(L9177),ISNUMBER(M9177)),L9177-M9177,"")</f>
        <v/>
      </c>
    </row>
    <row r="9178">
      <c r="N9178">
        <f>IF(AND(ISNUMBER(L9178),ISNUMBER(M9178)),L9178-M9178,"")</f>
        <v/>
      </c>
    </row>
    <row r="9179">
      <c r="N9179">
        <f>IF(AND(ISNUMBER(L9179),ISNUMBER(M9179)),L9179-M9179,"")</f>
        <v/>
      </c>
    </row>
    <row r="9180">
      <c r="N9180">
        <f>IF(AND(ISNUMBER(L9180),ISNUMBER(M9180)),L9180-M9180,"")</f>
        <v/>
      </c>
    </row>
    <row r="9181">
      <c r="N9181">
        <f>IF(AND(ISNUMBER(L9181),ISNUMBER(M9181)),L9181-M9181,"")</f>
        <v/>
      </c>
    </row>
    <row r="9182">
      <c r="N9182">
        <f>IF(AND(ISNUMBER(L9182),ISNUMBER(M9182)),L9182-M9182,"")</f>
        <v/>
      </c>
    </row>
    <row r="9183">
      <c r="N9183">
        <f>IF(AND(ISNUMBER(L9183),ISNUMBER(M9183)),L9183-M9183,"")</f>
        <v/>
      </c>
    </row>
    <row r="9184">
      <c r="N9184">
        <f>IF(AND(ISNUMBER(L9184),ISNUMBER(M9184)),L9184-M9184,"")</f>
        <v/>
      </c>
    </row>
    <row r="9185">
      <c r="N9185">
        <f>IF(AND(ISNUMBER(L9185),ISNUMBER(M9185)),L9185-M9185,"")</f>
        <v/>
      </c>
    </row>
    <row r="9186">
      <c r="N9186">
        <f>IF(AND(ISNUMBER(L9186),ISNUMBER(M9186)),L9186-M9186,"")</f>
        <v/>
      </c>
    </row>
    <row r="9187">
      <c r="N9187">
        <f>IF(AND(ISNUMBER(L9187),ISNUMBER(M9187)),L9187-M9187,"")</f>
        <v/>
      </c>
    </row>
    <row r="9188">
      <c r="N9188">
        <f>IF(AND(ISNUMBER(L9188),ISNUMBER(M9188)),L9188-M9188,"")</f>
        <v/>
      </c>
    </row>
    <row r="9189">
      <c r="N9189">
        <f>IF(AND(ISNUMBER(L9189),ISNUMBER(M9189)),L9189-M9189,"")</f>
        <v/>
      </c>
    </row>
    <row r="9190">
      <c r="N9190">
        <f>IF(AND(ISNUMBER(L9190),ISNUMBER(M9190)),L9190-M9190,"")</f>
        <v/>
      </c>
    </row>
    <row r="9191">
      <c r="N9191">
        <f>IF(AND(ISNUMBER(L9191),ISNUMBER(M9191)),L9191-M9191,"")</f>
        <v/>
      </c>
    </row>
    <row r="9192">
      <c r="N9192">
        <f>IF(AND(ISNUMBER(L9192),ISNUMBER(M9192)),L9192-M9192,"")</f>
        <v/>
      </c>
    </row>
    <row r="9193">
      <c r="N9193">
        <f>IF(AND(ISNUMBER(L9193),ISNUMBER(M9193)),L9193-M9193,"")</f>
        <v/>
      </c>
    </row>
    <row r="9194">
      <c r="N9194">
        <f>IF(AND(ISNUMBER(L9194),ISNUMBER(M9194)),L9194-M9194,"")</f>
        <v/>
      </c>
    </row>
    <row r="9195">
      <c r="N9195">
        <f>IF(AND(ISNUMBER(L9195),ISNUMBER(M9195)),L9195-M9195,"")</f>
        <v/>
      </c>
    </row>
    <row r="9196">
      <c r="N9196">
        <f>IF(AND(ISNUMBER(L9196),ISNUMBER(M9196)),L9196-M9196,"")</f>
        <v/>
      </c>
    </row>
    <row r="9197">
      <c r="N9197">
        <f>IF(AND(ISNUMBER(L9197),ISNUMBER(M9197)),L9197-M9197,"")</f>
        <v/>
      </c>
    </row>
    <row r="9198">
      <c r="N9198">
        <f>IF(AND(ISNUMBER(L9198),ISNUMBER(M9198)),L9198-M9198,"")</f>
        <v/>
      </c>
    </row>
    <row r="9199">
      <c r="N9199">
        <f>IF(AND(ISNUMBER(L9199),ISNUMBER(M9199)),L9199-M9199,"")</f>
        <v/>
      </c>
    </row>
    <row r="9200">
      <c r="N9200">
        <f>IF(AND(ISNUMBER(L9200),ISNUMBER(M9200)),L9200-M9200,"")</f>
        <v/>
      </c>
    </row>
    <row r="9201">
      <c r="N9201">
        <f>IF(AND(ISNUMBER(L9201),ISNUMBER(M9201)),L9201-M9201,"")</f>
        <v/>
      </c>
    </row>
    <row r="9202">
      <c r="N9202">
        <f>IF(AND(ISNUMBER(L9202),ISNUMBER(M9202)),L9202-M9202,"")</f>
        <v/>
      </c>
    </row>
    <row r="9203">
      <c r="N9203">
        <f>IF(AND(ISNUMBER(L9203),ISNUMBER(M9203)),L9203-M9203,"")</f>
        <v/>
      </c>
    </row>
    <row r="9204">
      <c r="N9204">
        <f>IF(AND(ISNUMBER(L9204),ISNUMBER(M9204)),L9204-M9204,"")</f>
        <v/>
      </c>
    </row>
    <row r="9205">
      <c r="N9205">
        <f>IF(AND(ISNUMBER(L9205),ISNUMBER(M9205)),L9205-M9205,"")</f>
        <v/>
      </c>
    </row>
    <row r="9206">
      <c r="N9206">
        <f>IF(AND(ISNUMBER(L9206),ISNUMBER(M9206)),L9206-M9206,"")</f>
        <v/>
      </c>
    </row>
    <row r="9207">
      <c r="N9207">
        <f>IF(AND(ISNUMBER(L9207),ISNUMBER(M9207)),L9207-M9207,"")</f>
        <v/>
      </c>
    </row>
    <row r="9208">
      <c r="N9208">
        <f>IF(AND(ISNUMBER(L9208),ISNUMBER(M9208)),L9208-M9208,"")</f>
        <v/>
      </c>
    </row>
    <row r="9209">
      <c r="N9209">
        <f>IF(AND(ISNUMBER(L9209),ISNUMBER(M9209)),L9209-M9209,"")</f>
        <v/>
      </c>
    </row>
    <row r="9210">
      <c r="N9210">
        <f>IF(AND(ISNUMBER(L9210),ISNUMBER(M9210)),L9210-M9210,"")</f>
        <v/>
      </c>
    </row>
    <row r="9211">
      <c r="N9211">
        <f>IF(AND(ISNUMBER(L9211),ISNUMBER(M9211)),L9211-M9211,"")</f>
        <v/>
      </c>
    </row>
    <row r="9212">
      <c r="N9212">
        <f>IF(AND(ISNUMBER(L9212),ISNUMBER(M9212)),L9212-M9212,"")</f>
        <v/>
      </c>
    </row>
    <row r="9213">
      <c r="N9213">
        <f>IF(AND(ISNUMBER(L9213),ISNUMBER(M9213)),L9213-M9213,"")</f>
        <v/>
      </c>
    </row>
    <row r="9214">
      <c r="N9214">
        <f>IF(AND(ISNUMBER(L9214),ISNUMBER(M9214)),L9214-M9214,"")</f>
        <v/>
      </c>
    </row>
    <row r="9215">
      <c r="N9215">
        <f>IF(AND(ISNUMBER(L9215),ISNUMBER(M9215)),L9215-M9215,"")</f>
        <v/>
      </c>
    </row>
    <row r="9216">
      <c r="N9216">
        <f>IF(AND(ISNUMBER(L9216),ISNUMBER(M9216)),L9216-M9216,"")</f>
        <v/>
      </c>
    </row>
    <row r="9217">
      <c r="N9217">
        <f>IF(AND(ISNUMBER(L9217),ISNUMBER(M9217)),L9217-M9217,"")</f>
        <v/>
      </c>
    </row>
    <row r="9218">
      <c r="N9218">
        <f>IF(AND(ISNUMBER(L9218),ISNUMBER(M9218)),L9218-M9218,"")</f>
        <v/>
      </c>
    </row>
    <row r="9219">
      <c r="N9219">
        <f>IF(AND(ISNUMBER(L9219),ISNUMBER(M9219)),L9219-M9219,"")</f>
        <v/>
      </c>
    </row>
    <row r="9220">
      <c r="N9220">
        <f>IF(AND(ISNUMBER(L9220),ISNUMBER(M9220)),L9220-M9220,"")</f>
        <v/>
      </c>
    </row>
    <row r="9221">
      <c r="N9221">
        <f>IF(AND(ISNUMBER(L9221),ISNUMBER(M9221)),L9221-M9221,"")</f>
        <v/>
      </c>
    </row>
    <row r="9222">
      <c r="N9222">
        <f>IF(AND(ISNUMBER(L9222),ISNUMBER(M9222)),L9222-M9222,"")</f>
        <v/>
      </c>
    </row>
    <row r="9223">
      <c r="N9223">
        <f>IF(AND(ISNUMBER(L9223),ISNUMBER(M9223)),L9223-M9223,"")</f>
        <v/>
      </c>
    </row>
    <row r="9224">
      <c r="N9224">
        <f>IF(AND(ISNUMBER(L9224),ISNUMBER(M9224)),L9224-M9224,"")</f>
        <v/>
      </c>
    </row>
    <row r="9225">
      <c r="N9225">
        <f>IF(AND(ISNUMBER(L9225),ISNUMBER(M9225)),L9225-M9225,"")</f>
        <v/>
      </c>
    </row>
    <row r="9226">
      <c r="N9226">
        <f>IF(AND(ISNUMBER(L9226),ISNUMBER(M9226)),L9226-M9226,"")</f>
        <v/>
      </c>
    </row>
    <row r="9227">
      <c r="N9227">
        <f>IF(AND(ISNUMBER(L9227),ISNUMBER(M9227)),L9227-M9227,"")</f>
        <v/>
      </c>
    </row>
    <row r="9228">
      <c r="N9228">
        <f>IF(AND(ISNUMBER(L9228),ISNUMBER(M9228)),L9228-M9228,"")</f>
        <v/>
      </c>
    </row>
    <row r="9229">
      <c r="N9229">
        <f>IF(AND(ISNUMBER(L9229),ISNUMBER(M9229)),L9229-M9229,"")</f>
        <v/>
      </c>
    </row>
    <row r="9230">
      <c r="N9230">
        <f>IF(AND(ISNUMBER(L9230),ISNUMBER(M9230)),L9230-M9230,"")</f>
        <v/>
      </c>
    </row>
    <row r="9231">
      <c r="N9231">
        <f>IF(AND(ISNUMBER(L9231),ISNUMBER(M9231)),L9231-M9231,"")</f>
        <v/>
      </c>
    </row>
    <row r="9232">
      <c r="N9232">
        <f>IF(AND(ISNUMBER(L9232),ISNUMBER(M9232)),L9232-M9232,"")</f>
        <v/>
      </c>
    </row>
    <row r="9233">
      <c r="N9233">
        <f>IF(AND(ISNUMBER(L9233),ISNUMBER(M9233)),L9233-M9233,"")</f>
        <v/>
      </c>
    </row>
    <row r="9234">
      <c r="N9234">
        <f>IF(AND(ISNUMBER(L9234),ISNUMBER(M9234)),L9234-M9234,"")</f>
        <v/>
      </c>
    </row>
    <row r="9235">
      <c r="N9235">
        <f>IF(AND(ISNUMBER(L9235),ISNUMBER(M9235)),L9235-M9235,"")</f>
        <v/>
      </c>
    </row>
    <row r="9236">
      <c r="N9236">
        <f>IF(AND(ISNUMBER(L9236),ISNUMBER(M9236)),L9236-M9236,"")</f>
        <v/>
      </c>
    </row>
    <row r="9237">
      <c r="N9237">
        <f>IF(AND(ISNUMBER(L9237),ISNUMBER(M9237)),L9237-M9237,"")</f>
        <v/>
      </c>
    </row>
    <row r="9238">
      <c r="N9238">
        <f>IF(AND(ISNUMBER(L9238),ISNUMBER(M9238)),L9238-M9238,"")</f>
        <v/>
      </c>
    </row>
    <row r="9239">
      <c r="N9239">
        <f>IF(AND(ISNUMBER(L9239),ISNUMBER(M9239)),L9239-M9239,"")</f>
        <v/>
      </c>
    </row>
    <row r="9240">
      <c r="N9240">
        <f>IF(AND(ISNUMBER(L9240),ISNUMBER(M9240)),L9240-M9240,"")</f>
        <v/>
      </c>
    </row>
    <row r="9241">
      <c r="N9241">
        <f>IF(AND(ISNUMBER(L9241),ISNUMBER(M9241)),L9241-M9241,"")</f>
        <v/>
      </c>
    </row>
    <row r="9242">
      <c r="N9242">
        <f>IF(AND(ISNUMBER(L9242),ISNUMBER(M9242)),L9242-M9242,"")</f>
        <v/>
      </c>
    </row>
    <row r="9243">
      <c r="N9243">
        <f>IF(AND(ISNUMBER(L9243),ISNUMBER(M9243)),L9243-M9243,"")</f>
        <v/>
      </c>
    </row>
    <row r="9244">
      <c r="N9244">
        <f>IF(AND(ISNUMBER(L9244),ISNUMBER(M9244)),L9244-M9244,"")</f>
        <v/>
      </c>
    </row>
    <row r="9245">
      <c r="N9245">
        <f>IF(AND(ISNUMBER(L9245),ISNUMBER(M9245)),L9245-M9245,"")</f>
        <v/>
      </c>
    </row>
    <row r="9246">
      <c r="N9246">
        <f>IF(AND(ISNUMBER(L9246),ISNUMBER(M9246)),L9246-M9246,"")</f>
        <v/>
      </c>
    </row>
    <row r="9247">
      <c r="N9247">
        <f>IF(AND(ISNUMBER(L9247),ISNUMBER(M9247)),L9247-M9247,"")</f>
        <v/>
      </c>
    </row>
    <row r="9248">
      <c r="N9248">
        <f>IF(AND(ISNUMBER(L9248),ISNUMBER(M9248)),L9248-M9248,"")</f>
        <v/>
      </c>
    </row>
    <row r="9249">
      <c r="N9249">
        <f>IF(AND(ISNUMBER(L9249),ISNUMBER(M9249)),L9249-M9249,"")</f>
        <v/>
      </c>
    </row>
    <row r="9250">
      <c r="N9250">
        <f>IF(AND(ISNUMBER(L9250),ISNUMBER(M9250)),L9250-M9250,"")</f>
        <v/>
      </c>
    </row>
    <row r="9251">
      <c r="N9251">
        <f>IF(AND(ISNUMBER(L9251),ISNUMBER(M9251)),L9251-M9251,"")</f>
        <v/>
      </c>
    </row>
    <row r="9252">
      <c r="N9252">
        <f>IF(AND(ISNUMBER(L9252),ISNUMBER(M9252)),L9252-M9252,"")</f>
        <v/>
      </c>
    </row>
    <row r="9253">
      <c r="N9253">
        <f>IF(AND(ISNUMBER(L9253),ISNUMBER(M9253)),L9253-M9253,"")</f>
        <v/>
      </c>
    </row>
    <row r="9254">
      <c r="N9254">
        <f>IF(AND(ISNUMBER(L9254),ISNUMBER(M9254)),L9254-M9254,"")</f>
        <v/>
      </c>
    </row>
    <row r="9255">
      <c r="N9255">
        <f>IF(AND(ISNUMBER(L9255),ISNUMBER(M9255)),L9255-M9255,"")</f>
        <v/>
      </c>
    </row>
    <row r="9256">
      <c r="N9256">
        <f>IF(AND(ISNUMBER(L9256),ISNUMBER(M9256)),L9256-M9256,"")</f>
        <v/>
      </c>
    </row>
    <row r="9257">
      <c r="N9257">
        <f>IF(AND(ISNUMBER(L9257),ISNUMBER(M9257)),L9257-M9257,"")</f>
        <v/>
      </c>
    </row>
    <row r="9258">
      <c r="N9258">
        <f>IF(AND(ISNUMBER(L9258),ISNUMBER(M9258)),L9258-M9258,"")</f>
        <v/>
      </c>
    </row>
    <row r="9259">
      <c r="N9259">
        <f>IF(AND(ISNUMBER(L9259),ISNUMBER(M9259)),L9259-M9259,"")</f>
        <v/>
      </c>
    </row>
    <row r="9260">
      <c r="N9260">
        <f>IF(AND(ISNUMBER(L9260),ISNUMBER(M9260)),L9260-M9260,"")</f>
        <v/>
      </c>
    </row>
    <row r="9261">
      <c r="N9261">
        <f>IF(AND(ISNUMBER(L9261),ISNUMBER(M9261)),L9261-M9261,"")</f>
        <v/>
      </c>
    </row>
    <row r="9262">
      <c r="N9262">
        <f>IF(AND(ISNUMBER(L9262),ISNUMBER(M9262)),L9262-M9262,"")</f>
        <v/>
      </c>
    </row>
    <row r="9263">
      <c r="N9263">
        <f>IF(AND(ISNUMBER(L9263),ISNUMBER(M9263)),L9263-M9263,"")</f>
        <v/>
      </c>
    </row>
    <row r="9264">
      <c r="N9264">
        <f>IF(AND(ISNUMBER(L9264),ISNUMBER(M9264)),L9264-M9264,"")</f>
        <v/>
      </c>
    </row>
    <row r="9265">
      <c r="N9265">
        <f>IF(AND(ISNUMBER(L9265),ISNUMBER(M9265)),L9265-M9265,"")</f>
        <v/>
      </c>
    </row>
    <row r="9266">
      <c r="N9266">
        <f>IF(AND(ISNUMBER(L9266),ISNUMBER(M9266)),L9266-M9266,"")</f>
        <v/>
      </c>
    </row>
    <row r="9267">
      <c r="N9267">
        <f>IF(AND(ISNUMBER(L9267),ISNUMBER(M9267)),L9267-M9267,"")</f>
        <v/>
      </c>
    </row>
    <row r="9268">
      <c r="N9268">
        <f>IF(AND(ISNUMBER(L9268),ISNUMBER(M9268)),L9268-M9268,"")</f>
        <v/>
      </c>
    </row>
    <row r="9269">
      <c r="N9269">
        <f>IF(AND(ISNUMBER(L9269),ISNUMBER(M9269)),L9269-M9269,"")</f>
        <v/>
      </c>
    </row>
    <row r="9270">
      <c r="N9270">
        <f>IF(AND(ISNUMBER(L9270),ISNUMBER(M9270)),L9270-M9270,"")</f>
        <v/>
      </c>
    </row>
    <row r="9271">
      <c r="N9271">
        <f>IF(AND(ISNUMBER(L9271),ISNUMBER(M9271)),L9271-M9271,"")</f>
        <v/>
      </c>
    </row>
    <row r="9272">
      <c r="N9272">
        <f>IF(AND(ISNUMBER(L9272),ISNUMBER(M9272)),L9272-M9272,"")</f>
        <v/>
      </c>
    </row>
    <row r="9273">
      <c r="N9273">
        <f>IF(AND(ISNUMBER(L9273),ISNUMBER(M9273)),L9273-M9273,"")</f>
        <v/>
      </c>
    </row>
    <row r="9274">
      <c r="N9274">
        <f>IF(AND(ISNUMBER(L9274),ISNUMBER(M9274)),L9274-M9274,"")</f>
        <v/>
      </c>
    </row>
    <row r="9275">
      <c r="N9275">
        <f>IF(AND(ISNUMBER(L9275),ISNUMBER(M9275)),L9275-M9275,"")</f>
        <v/>
      </c>
    </row>
    <row r="9276">
      <c r="N9276">
        <f>IF(AND(ISNUMBER(L9276),ISNUMBER(M9276)),L9276-M9276,"")</f>
        <v/>
      </c>
    </row>
    <row r="9277">
      <c r="N9277">
        <f>IF(AND(ISNUMBER(L9277),ISNUMBER(M9277)),L9277-M9277,"")</f>
        <v/>
      </c>
    </row>
    <row r="9278">
      <c r="N9278">
        <f>IF(AND(ISNUMBER(L9278),ISNUMBER(M9278)),L9278-M9278,"")</f>
        <v/>
      </c>
    </row>
    <row r="9279">
      <c r="N9279">
        <f>IF(AND(ISNUMBER(L9279),ISNUMBER(M9279)),L9279-M9279,"")</f>
        <v/>
      </c>
    </row>
    <row r="9280">
      <c r="N9280">
        <f>IF(AND(ISNUMBER(L9280),ISNUMBER(M9280)),L9280-M9280,"")</f>
        <v/>
      </c>
    </row>
    <row r="9281">
      <c r="N9281">
        <f>IF(AND(ISNUMBER(L9281),ISNUMBER(M9281)),L9281-M9281,"")</f>
        <v/>
      </c>
    </row>
    <row r="9282">
      <c r="N9282">
        <f>IF(AND(ISNUMBER(L9282),ISNUMBER(M9282)),L9282-M9282,"")</f>
        <v/>
      </c>
    </row>
    <row r="9283">
      <c r="N9283">
        <f>IF(AND(ISNUMBER(L9283),ISNUMBER(M9283)),L9283-M9283,"")</f>
        <v/>
      </c>
    </row>
    <row r="9284">
      <c r="N9284">
        <f>IF(AND(ISNUMBER(L9284),ISNUMBER(M9284)),L9284-M9284,"")</f>
        <v/>
      </c>
    </row>
    <row r="9285">
      <c r="N9285">
        <f>IF(AND(ISNUMBER(L9285),ISNUMBER(M9285)),L9285-M9285,"")</f>
        <v/>
      </c>
    </row>
    <row r="9286">
      <c r="N9286">
        <f>IF(AND(ISNUMBER(L9286),ISNUMBER(M9286)),L9286-M9286,"")</f>
        <v/>
      </c>
    </row>
    <row r="9287">
      <c r="N9287">
        <f>IF(AND(ISNUMBER(L9287),ISNUMBER(M9287)),L9287-M9287,"")</f>
        <v/>
      </c>
    </row>
    <row r="9288">
      <c r="N9288">
        <f>IF(AND(ISNUMBER(L9288),ISNUMBER(M9288)),L9288-M9288,"")</f>
        <v/>
      </c>
    </row>
    <row r="9289">
      <c r="N9289">
        <f>IF(AND(ISNUMBER(L9289),ISNUMBER(M9289)),L9289-M9289,"")</f>
        <v/>
      </c>
    </row>
    <row r="9290">
      <c r="N9290">
        <f>IF(AND(ISNUMBER(L9290),ISNUMBER(M9290)),L9290-M9290,"")</f>
        <v/>
      </c>
    </row>
    <row r="9291">
      <c r="N9291">
        <f>IF(AND(ISNUMBER(L9291),ISNUMBER(M9291)),L9291-M9291,"")</f>
        <v/>
      </c>
    </row>
    <row r="9292">
      <c r="N9292">
        <f>IF(AND(ISNUMBER(L9292),ISNUMBER(M9292)),L9292-M9292,"")</f>
        <v/>
      </c>
    </row>
    <row r="9293">
      <c r="N9293">
        <f>IF(AND(ISNUMBER(L9293),ISNUMBER(M9293)),L9293-M9293,"")</f>
        <v/>
      </c>
    </row>
    <row r="9294">
      <c r="N9294">
        <f>IF(AND(ISNUMBER(L9294),ISNUMBER(M9294)),L9294-M9294,"")</f>
        <v/>
      </c>
    </row>
    <row r="9295">
      <c r="N9295">
        <f>IF(AND(ISNUMBER(L9295),ISNUMBER(M9295)),L9295-M9295,"")</f>
        <v/>
      </c>
    </row>
    <row r="9296">
      <c r="N9296">
        <f>IF(AND(ISNUMBER(L9296),ISNUMBER(M9296)),L9296-M9296,"")</f>
        <v/>
      </c>
    </row>
    <row r="9297">
      <c r="N9297">
        <f>IF(AND(ISNUMBER(L9297),ISNUMBER(M9297)),L9297-M9297,"")</f>
        <v/>
      </c>
    </row>
    <row r="9298">
      <c r="N9298">
        <f>IF(AND(ISNUMBER(L9298),ISNUMBER(M9298)),L9298-M9298,"")</f>
        <v/>
      </c>
    </row>
    <row r="9299">
      <c r="N9299">
        <f>IF(AND(ISNUMBER(L9299),ISNUMBER(M9299)),L9299-M9299,"")</f>
        <v/>
      </c>
    </row>
    <row r="9300">
      <c r="N9300">
        <f>IF(AND(ISNUMBER(L9300),ISNUMBER(M9300)),L9300-M9300,"")</f>
        <v/>
      </c>
    </row>
    <row r="9301">
      <c r="N9301">
        <f>IF(AND(ISNUMBER(L9301),ISNUMBER(M9301)),L9301-M9301,"")</f>
        <v/>
      </c>
    </row>
    <row r="9302">
      <c r="N9302">
        <f>IF(AND(ISNUMBER(L9302),ISNUMBER(M9302)),L9302-M9302,"")</f>
        <v/>
      </c>
    </row>
    <row r="9303">
      <c r="N9303">
        <f>IF(AND(ISNUMBER(L9303),ISNUMBER(M9303)),L9303-M9303,"")</f>
        <v/>
      </c>
    </row>
    <row r="9304">
      <c r="N9304">
        <f>IF(AND(ISNUMBER(L9304),ISNUMBER(M9304)),L9304-M9304,"")</f>
        <v/>
      </c>
    </row>
    <row r="9305">
      <c r="N9305">
        <f>IF(AND(ISNUMBER(L9305),ISNUMBER(M9305)),L9305-M9305,"")</f>
        <v/>
      </c>
    </row>
    <row r="9306">
      <c r="N9306">
        <f>IF(AND(ISNUMBER(L9306),ISNUMBER(M9306)),L9306-M9306,"")</f>
        <v/>
      </c>
    </row>
    <row r="9307">
      <c r="N9307">
        <f>IF(AND(ISNUMBER(L9307),ISNUMBER(M9307)),L9307-M9307,"")</f>
        <v/>
      </c>
    </row>
    <row r="9308">
      <c r="N9308">
        <f>IF(AND(ISNUMBER(L9308),ISNUMBER(M9308)),L9308-M9308,"")</f>
        <v/>
      </c>
    </row>
    <row r="9309">
      <c r="N9309">
        <f>IF(AND(ISNUMBER(L9309),ISNUMBER(M9309)),L9309-M9309,"")</f>
        <v/>
      </c>
    </row>
    <row r="9310">
      <c r="N9310">
        <f>IF(AND(ISNUMBER(L9310),ISNUMBER(M9310)),L9310-M9310,"")</f>
        <v/>
      </c>
    </row>
    <row r="9311">
      <c r="N9311">
        <f>IF(AND(ISNUMBER(L9311),ISNUMBER(M9311)),L9311-M9311,"")</f>
        <v/>
      </c>
    </row>
    <row r="9312">
      <c r="N9312">
        <f>IF(AND(ISNUMBER(L9312),ISNUMBER(M9312)),L9312-M9312,"")</f>
        <v/>
      </c>
    </row>
    <row r="9313">
      <c r="N9313">
        <f>IF(AND(ISNUMBER(L9313),ISNUMBER(M9313)),L9313-M9313,"")</f>
        <v/>
      </c>
    </row>
    <row r="9314">
      <c r="N9314">
        <f>IF(AND(ISNUMBER(L9314),ISNUMBER(M9314)),L9314-M9314,"")</f>
        <v/>
      </c>
    </row>
    <row r="9315">
      <c r="N9315">
        <f>IF(AND(ISNUMBER(L9315),ISNUMBER(M9315)),L9315-M9315,"")</f>
        <v/>
      </c>
    </row>
    <row r="9316">
      <c r="N9316">
        <f>IF(AND(ISNUMBER(L9316),ISNUMBER(M9316)),L9316-M9316,"")</f>
        <v/>
      </c>
    </row>
    <row r="9317">
      <c r="N9317">
        <f>IF(AND(ISNUMBER(L9317),ISNUMBER(M9317)),L9317-M9317,"")</f>
        <v/>
      </c>
    </row>
    <row r="9318">
      <c r="N9318">
        <f>IF(AND(ISNUMBER(L9318),ISNUMBER(M9318)),L9318-M9318,"")</f>
        <v/>
      </c>
    </row>
    <row r="9319">
      <c r="N9319">
        <f>IF(AND(ISNUMBER(L9319),ISNUMBER(M9319)),L9319-M9319,"")</f>
        <v/>
      </c>
    </row>
    <row r="9320">
      <c r="N9320">
        <f>IF(AND(ISNUMBER(L9320),ISNUMBER(M9320)),L9320-M9320,"")</f>
        <v/>
      </c>
    </row>
    <row r="9321">
      <c r="N9321">
        <f>IF(AND(ISNUMBER(L9321),ISNUMBER(M9321)),L9321-M9321,"")</f>
        <v/>
      </c>
    </row>
    <row r="9322">
      <c r="N9322">
        <f>IF(AND(ISNUMBER(L9322),ISNUMBER(M9322)),L9322-M9322,"")</f>
        <v/>
      </c>
    </row>
    <row r="9323">
      <c r="N9323">
        <f>IF(AND(ISNUMBER(L9323),ISNUMBER(M9323)),L9323-M9323,"")</f>
        <v/>
      </c>
    </row>
    <row r="9324">
      <c r="N9324">
        <f>IF(AND(ISNUMBER(L9324),ISNUMBER(M9324)),L9324-M9324,"")</f>
        <v/>
      </c>
    </row>
    <row r="9325">
      <c r="N9325">
        <f>IF(AND(ISNUMBER(L9325),ISNUMBER(M9325)),L9325-M9325,"")</f>
        <v/>
      </c>
    </row>
    <row r="9326">
      <c r="N9326">
        <f>IF(AND(ISNUMBER(L9326),ISNUMBER(M9326)),L9326-M9326,"")</f>
        <v/>
      </c>
    </row>
    <row r="9327">
      <c r="N9327">
        <f>IF(AND(ISNUMBER(L9327),ISNUMBER(M9327)),L9327-M9327,"")</f>
        <v/>
      </c>
    </row>
    <row r="9328">
      <c r="N9328">
        <f>IF(AND(ISNUMBER(L9328),ISNUMBER(M9328)),L9328-M9328,"")</f>
        <v/>
      </c>
    </row>
    <row r="9329">
      <c r="N9329">
        <f>IF(AND(ISNUMBER(L9329),ISNUMBER(M9329)),L9329-M9329,"")</f>
        <v/>
      </c>
    </row>
    <row r="9330">
      <c r="N9330">
        <f>IF(AND(ISNUMBER(L9330),ISNUMBER(M9330)),L9330-M9330,"")</f>
        <v/>
      </c>
    </row>
    <row r="9331">
      <c r="N9331">
        <f>IF(AND(ISNUMBER(L9331),ISNUMBER(M9331)),L9331-M9331,"")</f>
        <v/>
      </c>
    </row>
    <row r="9332">
      <c r="N9332">
        <f>IF(AND(ISNUMBER(L9332),ISNUMBER(M9332)),L9332-M9332,"")</f>
        <v/>
      </c>
    </row>
    <row r="9333">
      <c r="N9333">
        <f>IF(AND(ISNUMBER(L9333),ISNUMBER(M9333)),L9333-M9333,"")</f>
        <v/>
      </c>
    </row>
    <row r="9334">
      <c r="N9334">
        <f>IF(AND(ISNUMBER(L9334),ISNUMBER(M9334)),L9334-M9334,"")</f>
        <v/>
      </c>
    </row>
    <row r="9335">
      <c r="N9335">
        <f>IF(AND(ISNUMBER(L9335),ISNUMBER(M9335)),L9335-M9335,"")</f>
        <v/>
      </c>
    </row>
    <row r="9336">
      <c r="N9336">
        <f>IF(AND(ISNUMBER(L9336),ISNUMBER(M9336)),L9336-M9336,"")</f>
        <v/>
      </c>
    </row>
    <row r="9337">
      <c r="N9337">
        <f>IF(AND(ISNUMBER(L9337),ISNUMBER(M9337)),L9337-M9337,"")</f>
        <v/>
      </c>
    </row>
    <row r="9338">
      <c r="N9338">
        <f>IF(AND(ISNUMBER(L9338),ISNUMBER(M9338)),L9338-M9338,"")</f>
        <v/>
      </c>
    </row>
    <row r="9339">
      <c r="N9339">
        <f>IF(AND(ISNUMBER(L9339),ISNUMBER(M9339)),L9339-M9339,"")</f>
        <v/>
      </c>
    </row>
    <row r="9340">
      <c r="N9340">
        <f>IF(AND(ISNUMBER(L9340),ISNUMBER(M9340)),L9340-M9340,"")</f>
        <v/>
      </c>
    </row>
    <row r="9341">
      <c r="N9341">
        <f>IF(AND(ISNUMBER(L9341),ISNUMBER(M9341)),L9341-M9341,"")</f>
        <v/>
      </c>
    </row>
    <row r="9342">
      <c r="N9342">
        <f>IF(AND(ISNUMBER(L9342),ISNUMBER(M9342)),L9342-M9342,"")</f>
        <v/>
      </c>
    </row>
    <row r="9343">
      <c r="N9343">
        <f>IF(AND(ISNUMBER(L9343),ISNUMBER(M9343)),L9343-M9343,"")</f>
        <v/>
      </c>
    </row>
    <row r="9344">
      <c r="N9344">
        <f>IF(AND(ISNUMBER(L9344),ISNUMBER(M9344)),L9344-M9344,"")</f>
        <v/>
      </c>
    </row>
    <row r="9345">
      <c r="N9345">
        <f>IF(AND(ISNUMBER(L9345),ISNUMBER(M9345)),L9345-M9345,"")</f>
        <v/>
      </c>
    </row>
    <row r="9346">
      <c r="N9346">
        <f>IF(AND(ISNUMBER(L9346),ISNUMBER(M9346)),L9346-M9346,"")</f>
        <v/>
      </c>
    </row>
    <row r="9347">
      <c r="N9347">
        <f>IF(AND(ISNUMBER(L9347),ISNUMBER(M9347)),L9347-M9347,"")</f>
        <v/>
      </c>
    </row>
    <row r="9348">
      <c r="N9348">
        <f>IF(AND(ISNUMBER(L9348),ISNUMBER(M9348)),L9348-M9348,"")</f>
        <v/>
      </c>
    </row>
    <row r="9349">
      <c r="N9349">
        <f>IF(AND(ISNUMBER(L9349),ISNUMBER(M9349)),L9349-M9349,"")</f>
        <v/>
      </c>
    </row>
    <row r="9350">
      <c r="N9350">
        <f>IF(AND(ISNUMBER(L9350),ISNUMBER(M9350)),L9350-M9350,"")</f>
        <v/>
      </c>
    </row>
    <row r="9351">
      <c r="N9351">
        <f>IF(AND(ISNUMBER(L9351),ISNUMBER(M9351)),L9351-M9351,"")</f>
        <v/>
      </c>
    </row>
    <row r="9352">
      <c r="N9352">
        <f>IF(AND(ISNUMBER(L9352),ISNUMBER(M9352)),L9352-M9352,"")</f>
        <v/>
      </c>
    </row>
    <row r="9353">
      <c r="N9353">
        <f>IF(AND(ISNUMBER(L9353),ISNUMBER(M9353)),L9353-M9353,"")</f>
        <v/>
      </c>
    </row>
    <row r="9354">
      <c r="N9354">
        <f>IF(AND(ISNUMBER(L9354),ISNUMBER(M9354)),L9354-M9354,"")</f>
        <v/>
      </c>
    </row>
    <row r="9355">
      <c r="N9355">
        <f>IF(AND(ISNUMBER(L9355),ISNUMBER(M9355)),L9355-M9355,"")</f>
        <v/>
      </c>
    </row>
    <row r="9356">
      <c r="N9356">
        <f>IF(AND(ISNUMBER(L9356),ISNUMBER(M9356)),L9356-M9356,"")</f>
        <v/>
      </c>
    </row>
    <row r="9357">
      <c r="N9357">
        <f>IF(AND(ISNUMBER(L9357),ISNUMBER(M9357)),L9357-M9357,"")</f>
        <v/>
      </c>
    </row>
    <row r="9358">
      <c r="N9358">
        <f>IF(AND(ISNUMBER(L9358),ISNUMBER(M9358)),L9358-M9358,"")</f>
        <v/>
      </c>
    </row>
    <row r="9359">
      <c r="N9359">
        <f>IF(AND(ISNUMBER(L9359),ISNUMBER(M9359)),L9359-M9359,"")</f>
        <v/>
      </c>
    </row>
    <row r="9360">
      <c r="N9360">
        <f>IF(AND(ISNUMBER(L9360),ISNUMBER(M9360)),L9360-M9360,"")</f>
        <v/>
      </c>
    </row>
    <row r="9361">
      <c r="N9361">
        <f>IF(AND(ISNUMBER(L9361),ISNUMBER(M9361)),L9361-M9361,"")</f>
        <v/>
      </c>
    </row>
    <row r="9362">
      <c r="N9362">
        <f>IF(AND(ISNUMBER(L9362),ISNUMBER(M9362)),L9362-M9362,"")</f>
        <v/>
      </c>
    </row>
    <row r="9363">
      <c r="N9363">
        <f>IF(AND(ISNUMBER(L9363),ISNUMBER(M9363)),L9363-M9363,"")</f>
        <v/>
      </c>
    </row>
    <row r="9364">
      <c r="N9364">
        <f>IF(AND(ISNUMBER(L9364),ISNUMBER(M9364)),L9364-M9364,"")</f>
        <v/>
      </c>
    </row>
    <row r="9365">
      <c r="N9365">
        <f>IF(AND(ISNUMBER(L9365),ISNUMBER(M9365)),L9365-M9365,"")</f>
        <v/>
      </c>
    </row>
    <row r="9366">
      <c r="N9366">
        <f>IF(AND(ISNUMBER(L9366),ISNUMBER(M9366)),L9366-M9366,"")</f>
        <v/>
      </c>
    </row>
    <row r="9367">
      <c r="N9367">
        <f>IF(AND(ISNUMBER(L9367),ISNUMBER(M9367)),L9367-M9367,"")</f>
        <v/>
      </c>
    </row>
    <row r="9368">
      <c r="N9368">
        <f>IF(AND(ISNUMBER(L9368),ISNUMBER(M9368)),L9368-M9368,"")</f>
        <v/>
      </c>
    </row>
    <row r="9369">
      <c r="N9369">
        <f>IF(AND(ISNUMBER(L9369),ISNUMBER(M9369)),L9369-M9369,"")</f>
        <v/>
      </c>
    </row>
    <row r="9370">
      <c r="N9370">
        <f>IF(AND(ISNUMBER(L9370),ISNUMBER(M9370)),L9370-M9370,"")</f>
        <v/>
      </c>
    </row>
    <row r="9371">
      <c r="N9371">
        <f>IF(AND(ISNUMBER(L9371),ISNUMBER(M9371)),L9371-M9371,"")</f>
        <v/>
      </c>
    </row>
    <row r="9372">
      <c r="N9372">
        <f>IF(AND(ISNUMBER(L9372),ISNUMBER(M9372)),L9372-M9372,"")</f>
        <v/>
      </c>
    </row>
    <row r="9373">
      <c r="N9373">
        <f>IF(AND(ISNUMBER(L9373),ISNUMBER(M9373)),L9373-M9373,"")</f>
        <v/>
      </c>
    </row>
    <row r="9374">
      <c r="N9374">
        <f>IF(AND(ISNUMBER(L9374),ISNUMBER(M9374)),L9374-M9374,"")</f>
        <v/>
      </c>
    </row>
    <row r="9375">
      <c r="N9375">
        <f>IF(AND(ISNUMBER(L9375),ISNUMBER(M9375)),L9375-M9375,"")</f>
        <v/>
      </c>
    </row>
    <row r="9376">
      <c r="N9376">
        <f>IF(AND(ISNUMBER(L9376),ISNUMBER(M9376)),L9376-M9376,"")</f>
        <v/>
      </c>
    </row>
    <row r="9377">
      <c r="N9377">
        <f>IF(AND(ISNUMBER(L9377),ISNUMBER(M9377)),L9377-M9377,"")</f>
        <v/>
      </c>
    </row>
    <row r="9378">
      <c r="N9378">
        <f>IF(AND(ISNUMBER(L9378),ISNUMBER(M9378)),L9378-M9378,"")</f>
        <v/>
      </c>
    </row>
    <row r="9379">
      <c r="N9379">
        <f>IF(AND(ISNUMBER(L9379),ISNUMBER(M9379)),L9379-M9379,"")</f>
        <v/>
      </c>
    </row>
    <row r="9380">
      <c r="N9380">
        <f>IF(AND(ISNUMBER(L9380),ISNUMBER(M9380)),L9380-M9380,"")</f>
        <v/>
      </c>
    </row>
    <row r="9381">
      <c r="N9381">
        <f>IF(AND(ISNUMBER(L9381),ISNUMBER(M9381)),L9381-M9381,"")</f>
        <v/>
      </c>
    </row>
    <row r="9382">
      <c r="N9382">
        <f>IF(AND(ISNUMBER(L9382),ISNUMBER(M9382)),L9382-M9382,"")</f>
        <v/>
      </c>
    </row>
    <row r="9383">
      <c r="N9383">
        <f>IF(AND(ISNUMBER(L9383),ISNUMBER(M9383)),L9383-M9383,"")</f>
        <v/>
      </c>
    </row>
    <row r="9384">
      <c r="N9384">
        <f>IF(AND(ISNUMBER(L9384),ISNUMBER(M9384)),L9384-M9384,"")</f>
        <v/>
      </c>
    </row>
    <row r="9385">
      <c r="N9385">
        <f>IF(AND(ISNUMBER(L9385),ISNUMBER(M9385)),L9385-M9385,"")</f>
        <v/>
      </c>
    </row>
    <row r="9386">
      <c r="N9386">
        <f>IF(AND(ISNUMBER(L9386),ISNUMBER(M9386)),L9386-M9386,"")</f>
        <v/>
      </c>
    </row>
    <row r="9387">
      <c r="N9387">
        <f>IF(AND(ISNUMBER(L9387),ISNUMBER(M9387)),L9387-M9387,"")</f>
        <v/>
      </c>
    </row>
    <row r="9388">
      <c r="N9388">
        <f>IF(AND(ISNUMBER(L9388),ISNUMBER(M9388)),L9388-M9388,"")</f>
        <v/>
      </c>
    </row>
    <row r="9389">
      <c r="N9389">
        <f>IF(AND(ISNUMBER(L9389),ISNUMBER(M9389)),L9389-M9389,"")</f>
        <v/>
      </c>
    </row>
    <row r="9390">
      <c r="N9390">
        <f>IF(AND(ISNUMBER(L9390),ISNUMBER(M9390)),L9390-M9390,"")</f>
        <v/>
      </c>
    </row>
    <row r="9391">
      <c r="N9391">
        <f>IF(AND(ISNUMBER(L9391),ISNUMBER(M9391)),L9391-M9391,"")</f>
        <v/>
      </c>
    </row>
    <row r="9392">
      <c r="N9392">
        <f>IF(AND(ISNUMBER(L9392),ISNUMBER(M9392)),L9392-M9392,"")</f>
        <v/>
      </c>
    </row>
    <row r="9393">
      <c r="N9393">
        <f>IF(AND(ISNUMBER(L9393),ISNUMBER(M9393)),L9393-M9393,"")</f>
        <v/>
      </c>
    </row>
    <row r="9394">
      <c r="N9394">
        <f>IF(AND(ISNUMBER(L9394),ISNUMBER(M9394)),L9394-M9394,"")</f>
        <v/>
      </c>
    </row>
    <row r="9395">
      <c r="N9395">
        <f>IF(AND(ISNUMBER(L9395),ISNUMBER(M9395)),L9395-M9395,"")</f>
        <v/>
      </c>
    </row>
    <row r="9396">
      <c r="N9396">
        <f>IF(AND(ISNUMBER(L9396),ISNUMBER(M9396)),L9396-M9396,"")</f>
        <v/>
      </c>
    </row>
    <row r="9397">
      <c r="N9397">
        <f>IF(AND(ISNUMBER(L9397),ISNUMBER(M9397)),L9397-M9397,"")</f>
        <v/>
      </c>
    </row>
    <row r="9398">
      <c r="N9398">
        <f>IF(AND(ISNUMBER(L9398),ISNUMBER(M9398)),L9398-M9398,"")</f>
        <v/>
      </c>
    </row>
    <row r="9399">
      <c r="N9399">
        <f>IF(AND(ISNUMBER(L9399),ISNUMBER(M9399)),L9399-M9399,"")</f>
        <v/>
      </c>
    </row>
    <row r="9400">
      <c r="N9400">
        <f>IF(AND(ISNUMBER(L9400),ISNUMBER(M9400)),L9400-M9400,"")</f>
        <v/>
      </c>
    </row>
    <row r="9401">
      <c r="N9401">
        <f>IF(AND(ISNUMBER(L9401),ISNUMBER(M9401)),L9401-M9401,"")</f>
        <v/>
      </c>
    </row>
    <row r="9402">
      <c r="N9402">
        <f>IF(AND(ISNUMBER(L9402),ISNUMBER(M9402)),L9402-M9402,"")</f>
        <v/>
      </c>
    </row>
    <row r="9403">
      <c r="N9403">
        <f>IF(AND(ISNUMBER(L9403),ISNUMBER(M9403)),L9403-M9403,"")</f>
        <v/>
      </c>
    </row>
    <row r="9404">
      <c r="N9404">
        <f>IF(AND(ISNUMBER(L9404),ISNUMBER(M9404)),L9404-M9404,"")</f>
        <v/>
      </c>
    </row>
    <row r="9405">
      <c r="N9405">
        <f>IF(AND(ISNUMBER(L9405),ISNUMBER(M9405)),L9405-M9405,"")</f>
        <v/>
      </c>
    </row>
    <row r="9406">
      <c r="N9406">
        <f>IF(AND(ISNUMBER(L9406),ISNUMBER(M9406)),L9406-M9406,"")</f>
        <v/>
      </c>
    </row>
    <row r="9407">
      <c r="N9407">
        <f>IF(AND(ISNUMBER(L9407),ISNUMBER(M9407)),L9407-M9407,"")</f>
        <v/>
      </c>
    </row>
    <row r="9408">
      <c r="N9408">
        <f>IF(AND(ISNUMBER(L9408),ISNUMBER(M9408)),L9408-M9408,"")</f>
        <v/>
      </c>
    </row>
    <row r="9409">
      <c r="N9409">
        <f>IF(AND(ISNUMBER(L9409),ISNUMBER(M9409)),L9409-M9409,"")</f>
        <v/>
      </c>
    </row>
    <row r="9410">
      <c r="N9410">
        <f>IF(AND(ISNUMBER(L9410),ISNUMBER(M9410)),L9410-M9410,"")</f>
        <v/>
      </c>
    </row>
    <row r="9411">
      <c r="N9411">
        <f>IF(AND(ISNUMBER(L9411),ISNUMBER(M9411)),L9411-M9411,"")</f>
        <v/>
      </c>
    </row>
    <row r="9412">
      <c r="N9412">
        <f>IF(AND(ISNUMBER(L9412),ISNUMBER(M9412)),L9412-M9412,"")</f>
        <v/>
      </c>
    </row>
    <row r="9413">
      <c r="N9413">
        <f>IF(AND(ISNUMBER(L9413),ISNUMBER(M9413)),L9413-M9413,"")</f>
        <v/>
      </c>
    </row>
    <row r="9414">
      <c r="N9414">
        <f>IF(AND(ISNUMBER(L9414),ISNUMBER(M9414)),L9414-M9414,"")</f>
        <v/>
      </c>
    </row>
    <row r="9415">
      <c r="N9415">
        <f>IF(AND(ISNUMBER(L9415),ISNUMBER(M9415)),L9415-M9415,"")</f>
        <v/>
      </c>
    </row>
    <row r="9416">
      <c r="N9416">
        <f>IF(AND(ISNUMBER(L9416),ISNUMBER(M9416)),L9416-M9416,"")</f>
        <v/>
      </c>
    </row>
    <row r="9417">
      <c r="N9417">
        <f>IF(AND(ISNUMBER(L9417),ISNUMBER(M9417)),L9417-M9417,"")</f>
        <v/>
      </c>
    </row>
    <row r="9418">
      <c r="N9418">
        <f>IF(AND(ISNUMBER(L9418),ISNUMBER(M9418)),L9418-M9418,"")</f>
        <v/>
      </c>
    </row>
    <row r="9419">
      <c r="N9419">
        <f>IF(AND(ISNUMBER(L9419),ISNUMBER(M9419)),L9419-M9419,"")</f>
        <v/>
      </c>
    </row>
    <row r="9420">
      <c r="N9420">
        <f>IF(AND(ISNUMBER(L9420),ISNUMBER(M9420)),L9420-M9420,"")</f>
        <v/>
      </c>
    </row>
    <row r="9421">
      <c r="N9421">
        <f>IF(AND(ISNUMBER(L9421),ISNUMBER(M9421)),L9421-M9421,"")</f>
        <v/>
      </c>
    </row>
    <row r="9422">
      <c r="N9422">
        <f>IF(AND(ISNUMBER(L9422),ISNUMBER(M9422)),L9422-M9422,"")</f>
        <v/>
      </c>
    </row>
    <row r="9423">
      <c r="N9423">
        <f>IF(AND(ISNUMBER(L9423),ISNUMBER(M9423)),L9423-M9423,"")</f>
        <v/>
      </c>
    </row>
    <row r="9424">
      <c r="N9424">
        <f>IF(AND(ISNUMBER(L9424),ISNUMBER(M9424)),L9424-M9424,"")</f>
        <v/>
      </c>
    </row>
    <row r="9425">
      <c r="N9425">
        <f>IF(AND(ISNUMBER(L9425),ISNUMBER(M9425)),L9425-M9425,"")</f>
        <v/>
      </c>
    </row>
    <row r="9426">
      <c r="N9426">
        <f>IF(AND(ISNUMBER(L9426),ISNUMBER(M9426)),L9426-M9426,"")</f>
        <v/>
      </c>
    </row>
    <row r="9427">
      <c r="N9427">
        <f>IF(AND(ISNUMBER(L9427),ISNUMBER(M9427)),L9427-M9427,"")</f>
        <v/>
      </c>
    </row>
    <row r="9428">
      <c r="N9428">
        <f>IF(AND(ISNUMBER(L9428),ISNUMBER(M9428)),L9428-M9428,"")</f>
        <v/>
      </c>
    </row>
    <row r="9429">
      <c r="N9429">
        <f>IF(AND(ISNUMBER(L9429),ISNUMBER(M9429)),L9429-M9429,"")</f>
        <v/>
      </c>
    </row>
    <row r="9430">
      <c r="N9430">
        <f>IF(AND(ISNUMBER(L9430),ISNUMBER(M9430)),L9430-M9430,"")</f>
        <v/>
      </c>
    </row>
    <row r="9431">
      <c r="N9431">
        <f>IF(AND(ISNUMBER(L9431),ISNUMBER(M9431)),L9431-M9431,"")</f>
        <v/>
      </c>
    </row>
    <row r="9432">
      <c r="N9432">
        <f>IF(AND(ISNUMBER(L9432),ISNUMBER(M9432)),L9432-M9432,"")</f>
        <v/>
      </c>
    </row>
    <row r="9433">
      <c r="N9433">
        <f>IF(AND(ISNUMBER(L9433),ISNUMBER(M9433)),L9433-M9433,"")</f>
        <v/>
      </c>
    </row>
    <row r="9434">
      <c r="N9434">
        <f>IF(AND(ISNUMBER(L9434),ISNUMBER(M9434)),L9434-M9434,"")</f>
        <v/>
      </c>
    </row>
    <row r="9435">
      <c r="N9435">
        <f>IF(AND(ISNUMBER(L9435),ISNUMBER(M9435)),L9435-M9435,"")</f>
        <v/>
      </c>
    </row>
    <row r="9436">
      <c r="N9436">
        <f>IF(AND(ISNUMBER(L9436),ISNUMBER(M9436)),L9436-M9436,"")</f>
        <v/>
      </c>
    </row>
    <row r="9437">
      <c r="N9437">
        <f>IF(AND(ISNUMBER(L9437),ISNUMBER(M9437)),L9437-M9437,"")</f>
        <v/>
      </c>
    </row>
    <row r="9438">
      <c r="N9438">
        <f>IF(AND(ISNUMBER(L9438),ISNUMBER(M9438)),L9438-M9438,"")</f>
        <v/>
      </c>
    </row>
    <row r="9439">
      <c r="N9439">
        <f>IF(AND(ISNUMBER(L9439),ISNUMBER(M9439)),L9439-M9439,"")</f>
        <v/>
      </c>
    </row>
    <row r="9440">
      <c r="N9440">
        <f>IF(AND(ISNUMBER(L9440),ISNUMBER(M9440)),L9440-M9440,"")</f>
        <v/>
      </c>
    </row>
    <row r="9441">
      <c r="N9441">
        <f>IF(AND(ISNUMBER(L9441),ISNUMBER(M9441)),L9441-M9441,"")</f>
        <v/>
      </c>
    </row>
    <row r="9442">
      <c r="N9442">
        <f>IF(AND(ISNUMBER(L9442),ISNUMBER(M9442)),L9442-M9442,"")</f>
        <v/>
      </c>
    </row>
    <row r="9443">
      <c r="N9443">
        <f>IF(AND(ISNUMBER(L9443),ISNUMBER(M9443)),L9443-M9443,"")</f>
        <v/>
      </c>
    </row>
    <row r="9444">
      <c r="N9444">
        <f>IF(AND(ISNUMBER(L9444),ISNUMBER(M9444)),L9444-M9444,"")</f>
        <v/>
      </c>
    </row>
    <row r="9445">
      <c r="N9445">
        <f>IF(AND(ISNUMBER(L9445),ISNUMBER(M9445)),L9445-M9445,"")</f>
        <v/>
      </c>
    </row>
    <row r="9446">
      <c r="N9446">
        <f>IF(AND(ISNUMBER(L9446),ISNUMBER(M9446)),L9446-M9446,"")</f>
        <v/>
      </c>
    </row>
    <row r="9447">
      <c r="N9447">
        <f>IF(AND(ISNUMBER(L9447),ISNUMBER(M9447)),L9447-M9447,"")</f>
        <v/>
      </c>
    </row>
    <row r="9448">
      <c r="N9448">
        <f>IF(AND(ISNUMBER(L9448),ISNUMBER(M9448)),L9448-M9448,"")</f>
        <v/>
      </c>
    </row>
    <row r="9449">
      <c r="N9449">
        <f>IF(AND(ISNUMBER(L9449),ISNUMBER(M9449)),L9449-M9449,"")</f>
        <v/>
      </c>
    </row>
    <row r="9450">
      <c r="N9450">
        <f>IF(AND(ISNUMBER(L9450),ISNUMBER(M9450)),L9450-M9450,"")</f>
        <v/>
      </c>
    </row>
    <row r="9451">
      <c r="N9451">
        <f>IF(AND(ISNUMBER(L9451),ISNUMBER(M9451)),L9451-M9451,"")</f>
        <v/>
      </c>
    </row>
    <row r="9452">
      <c r="N9452">
        <f>IF(AND(ISNUMBER(L9452),ISNUMBER(M9452)),L9452-M9452,"")</f>
        <v/>
      </c>
    </row>
    <row r="9453">
      <c r="N9453">
        <f>IF(AND(ISNUMBER(L9453),ISNUMBER(M9453)),L9453-M9453,"")</f>
        <v/>
      </c>
    </row>
    <row r="9454">
      <c r="N9454">
        <f>IF(AND(ISNUMBER(L9454),ISNUMBER(M9454)),L9454-M9454,"")</f>
        <v/>
      </c>
    </row>
    <row r="9455">
      <c r="N9455">
        <f>IF(AND(ISNUMBER(L9455),ISNUMBER(M9455)),L9455-M9455,"")</f>
        <v/>
      </c>
    </row>
    <row r="9456">
      <c r="N9456">
        <f>IF(AND(ISNUMBER(L9456),ISNUMBER(M9456)),L9456-M9456,"")</f>
        <v/>
      </c>
    </row>
    <row r="9457">
      <c r="N9457">
        <f>IF(AND(ISNUMBER(L9457),ISNUMBER(M9457)),L9457-M9457,"")</f>
        <v/>
      </c>
    </row>
    <row r="9458">
      <c r="N9458">
        <f>IF(AND(ISNUMBER(L9458),ISNUMBER(M9458)),L9458-M9458,"")</f>
        <v/>
      </c>
    </row>
    <row r="9459">
      <c r="N9459">
        <f>IF(AND(ISNUMBER(L9459),ISNUMBER(M9459)),L9459-M9459,"")</f>
        <v/>
      </c>
    </row>
    <row r="9460">
      <c r="N9460">
        <f>IF(AND(ISNUMBER(L9460),ISNUMBER(M9460)),L9460-M9460,"")</f>
        <v/>
      </c>
    </row>
    <row r="9461">
      <c r="N9461">
        <f>IF(AND(ISNUMBER(L9461),ISNUMBER(M9461)),L9461-M9461,"")</f>
        <v/>
      </c>
    </row>
    <row r="9462">
      <c r="N9462">
        <f>IF(AND(ISNUMBER(L9462),ISNUMBER(M9462)),L9462-M9462,"")</f>
        <v/>
      </c>
    </row>
    <row r="9463">
      <c r="N9463">
        <f>IF(AND(ISNUMBER(L9463),ISNUMBER(M9463)),L9463-M9463,"")</f>
        <v/>
      </c>
    </row>
    <row r="9464">
      <c r="N9464">
        <f>IF(AND(ISNUMBER(L9464),ISNUMBER(M9464)),L9464-M9464,"")</f>
        <v/>
      </c>
    </row>
    <row r="9465">
      <c r="N9465">
        <f>IF(AND(ISNUMBER(L9465),ISNUMBER(M9465)),L9465-M9465,"")</f>
        <v/>
      </c>
    </row>
    <row r="9466">
      <c r="N9466">
        <f>IF(AND(ISNUMBER(L9466),ISNUMBER(M9466)),L9466-M9466,"")</f>
        <v/>
      </c>
    </row>
    <row r="9467">
      <c r="N9467">
        <f>IF(AND(ISNUMBER(L9467),ISNUMBER(M9467)),L9467-M9467,"")</f>
        <v/>
      </c>
    </row>
    <row r="9468">
      <c r="N9468">
        <f>IF(AND(ISNUMBER(L9468),ISNUMBER(M9468)),L9468-M9468,"")</f>
        <v/>
      </c>
    </row>
    <row r="9469">
      <c r="N9469">
        <f>IF(AND(ISNUMBER(L9469),ISNUMBER(M9469)),L9469-M9469,"")</f>
        <v/>
      </c>
    </row>
    <row r="9470">
      <c r="N9470">
        <f>IF(AND(ISNUMBER(L9470),ISNUMBER(M9470)),L9470-M9470,"")</f>
        <v/>
      </c>
    </row>
    <row r="9471">
      <c r="N9471">
        <f>IF(AND(ISNUMBER(L9471),ISNUMBER(M9471)),L9471-M9471,"")</f>
        <v/>
      </c>
    </row>
    <row r="9472">
      <c r="N9472">
        <f>IF(AND(ISNUMBER(L9472),ISNUMBER(M9472)),L9472-M9472,"")</f>
        <v/>
      </c>
    </row>
    <row r="9473">
      <c r="N9473">
        <f>IF(AND(ISNUMBER(L9473),ISNUMBER(M9473)),L9473-M9473,"")</f>
        <v/>
      </c>
    </row>
    <row r="9474">
      <c r="N9474">
        <f>IF(AND(ISNUMBER(L9474),ISNUMBER(M9474)),L9474-M9474,"")</f>
        <v/>
      </c>
    </row>
    <row r="9475">
      <c r="N9475">
        <f>IF(AND(ISNUMBER(L9475),ISNUMBER(M9475)),L9475-M9475,"")</f>
        <v/>
      </c>
    </row>
    <row r="9476">
      <c r="N9476">
        <f>IF(AND(ISNUMBER(L9476),ISNUMBER(M9476)),L9476-M9476,"")</f>
        <v/>
      </c>
    </row>
    <row r="9477">
      <c r="N9477">
        <f>IF(AND(ISNUMBER(L9477),ISNUMBER(M9477)),L9477-M9477,"")</f>
        <v/>
      </c>
    </row>
    <row r="9478">
      <c r="N9478">
        <f>IF(AND(ISNUMBER(L9478),ISNUMBER(M9478)),L9478-M9478,"")</f>
        <v/>
      </c>
    </row>
    <row r="9479">
      <c r="N9479">
        <f>IF(AND(ISNUMBER(L9479),ISNUMBER(M9479)),L9479-M9479,"")</f>
        <v/>
      </c>
    </row>
    <row r="9480">
      <c r="N9480">
        <f>IF(AND(ISNUMBER(L9480),ISNUMBER(M9480)),L9480-M9480,"")</f>
        <v/>
      </c>
    </row>
    <row r="9481">
      <c r="N9481">
        <f>IF(AND(ISNUMBER(L9481),ISNUMBER(M9481)),L9481-M9481,"")</f>
        <v/>
      </c>
    </row>
    <row r="9482">
      <c r="N9482">
        <f>IF(AND(ISNUMBER(L9482),ISNUMBER(M9482)),L9482-M9482,"")</f>
        <v/>
      </c>
    </row>
    <row r="9483">
      <c r="N9483">
        <f>IF(AND(ISNUMBER(L9483),ISNUMBER(M9483)),L9483-M9483,"")</f>
        <v/>
      </c>
    </row>
    <row r="9484">
      <c r="N9484">
        <f>IF(AND(ISNUMBER(L9484),ISNUMBER(M9484)),L9484-M9484,"")</f>
        <v/>
      </c>
    </row>
    <row r="9485">
      <c r="N9485">
        <f>IF(AND(ISNUMBER(L9485),ISNUMBER(M9485)),L9485-M9485,"")</f>
        <v/>
      </c>
    </row>
    <row r="9486">
      <c r="N9486">
        <f>IF(AND(ISNUMBER(L9486),ISNUMBER(M9486)),L9486-M9486,"")</f>
        <v/>
      </c>
    </row>
    <row r="9487">
      <c r="N9487">
        <f>IF(AND(ISNUMBER(L9487),ISNUMBER(M9487)),L9487-M9487,"")</f>
        <v/>
      </c>
    </row>
    <row r="9488">
      <c r="N9488">
        <f>IF(AND(ISNUMBER(L9488),ISNUMBER(M9488)),L9488-M9488,"")</f>
        <v/>
      </c>
    </row>
    <row r="9489">
      <c r="N9489">
        <f>IF(AND(ISNUMBER(L9489),ISNUMBER(M9489)),L9489-M9489,"")</f>
        <v/>
      </c>
    </row>
    <row r="9490">
      <c r="N9490">
        <f>IF(AND(ISNUMBER(L9490),ISNUMBER(M9490)),L9490-M9490,"")</f>
        <v/>
      </c>
    </row>
    <row r="9491">
      <c r="N9491">
        <f>IF(AND(ISNUMBER(L9491),ISNUMBER(M9491)),L9491-M9491,"")</f>
        <v/>
      </c>
    </row>
    <row r="9492">
      <c r="N9492">
        <f>IF(AND(ISNUMBER(L9492),ISNUMBER(M9492)),L9492-M9492,"")</f>
        <v/>
      </c>
    </row>
    <row r="9493">
      <c r="N9493">
        <f>IF(AND(ISNUMBER(L9493),ISNUMBER(M9493)),L9493-M9493,"")</f>
        <v/>
      </c>
    </row>
    <row r="9494">
      <c r="N9494">
        <f>IF(AND(ISNUMBER(L9494),ISNUMBER(M9494)),L9494-M9494,"")</f>
        <v/>
      </c>
    </row>
    <row r="9495">
      <c r="N9495">
        <f>IF(AND(ISNUMBER(L9495),ISNUMBER(M9495)),L9495-M9495,"")</f>
        <v/>
      </c>
    </row>
    <row r="9496">
      <c r="N9496">
        <f>IF(AND(ISNUMBER(L9496),ISNUMBER(M9496)),L9496-M9496,"")</f>
        <v/>
      </c>
    </row>
    <row r="9497">
      <c r="N9497">
        <f>IF(AND(ISNUMBER(L9497),ISNUMBER(M9497)),L9497-M9497,"")</f>
        <v/>
      </c>
    </row>
    <row r="9498">
      <c r="N9498">
        <f>IF(AND(ISNUMBER(L9498),ISNUMBER(M9498)),L9498-M9498,"")</f>
        <v/>
      </c>
    </row>
    <row r="9499">
      <c r="N9499">
        <f>IF(AND(ISNUMBER(L9499),ISNUMBER(M9499)),L9499-M9499,"")</f>
        <v/>
      </c>
    </row>
    <row r="9500">
      <c r="N9500">
        <f>IF(AND(ISNUMBER(L9500),ISNUMBER(M9500)),L9500-M9500,"")</f>
        <v/>
      </c>
    </row>
    <row r="9501">
      <c r="N9501">
        <f>IF(AND(ISNUMBER(L9501),ISNUMBER(M9501)),L9501-M9501,"")</f>
        <v/>
      </c>
    </row>
    <row r="9502">
      <c r="N9502">
        <f>IF(AND(ISNUMBER(L9502),ISNUMBER(M9502)),L9502-M9502,"")</f>
        <v/>
      </c>
    </row>
    <row r="9503">
      <c r="N9503">
        <f>IF(AND(ISNUMBER(L9503),ISNUMBER(M9503)),L9503-M9503,"")</f>
        <v/>
      </c>
    </row>
    <row r="9504">
      <c r="N9504">
        <f>IF(AND(ISNUMBER(L9504),ISNUMBER(M9504)),L9504-M9504,"")</f>
        <v/>
      </c>
    </row>
    <row r="9505">
      <c r="N9505">
        <f>IF(AND(ISNUMBER(L9505),ISNUMBER(M9505)),L9505-M9505,"")</f>
        <v/>
      </c>
    </row>
    <row r="9506">
      <c r="N9506">
        <f>IF(AND(ISNUMBER(L9506),ISNUMBER(M9506)),L9506-M9506,"")</f>
        <v/>
      </c>
    </row>
    <row r="9507">
      <c r="N9507">
        <f>IF(AND(ISNUMBER(L9507),ISNUMBER(M9507)),L9507-M9507,"")</f>
        <v/>
      </c>
    </row>
    <row r="9508">
      <c r="N9508">
        <f>IF(AND(ISNUMBER(L9508),ISNUMBER(M9508)),L9508-M9508,"")</f>
        <v/>
      </c>
    </row>
    <row r="9509">
      <c r="N9509">
        <f>IF(AND(ISNUMBER(L9509),ISNUMBER(M9509)),L9509-M9509,"")</f>
        <v/>
      </c>
    </row>
    <row r="9510">
      <c r="N9510">
        <f>IF(AND(ISNUMBER(L9510),ISNUMBER(M9510)),L9510-M9510,"")</f>
        <v/>
      </c>
    </row>
    <row r="9511">
      <c r="N9511">
        <f>IF(AND(ISNUMBER(L9511),ISNUMBER(M9511)),L9511-M9511,"")</f>
        <v/>
      </c>
    </row>
    <row r="9512">
      <c r="N9512">
        <f>IF(AND(ISNUMBER(L9512),ISNUMBER(M9512)),L9512-M9512,"")</f>
        <v/>
      </c>
    </row>
    <row r="9513">
      <c r="N9513">
        <f>IF(AND(ISNUMBER(L9513),ISNUMBER(M9513)),L9513-M9513,"")</f>
        <v/>
      </c>
    </row>
    <row r="9514">
      <c r="N9514">
        <f>IF(AND(ISNUMBER(L9514),ISNUMBER(M9514)),L9514-M9514,"")</f>
        <v/>
      </c>
    </row>
    <row r="9515">
      <c r="N9515">
        <f>IF(AND(ISNUMBER(L9515),ISNUMBER(M9515)),L9515-M9515,"")</f>
        <v/>
      </c>
    </row>
    <row r="9516">
      <c r="N9516">
        <f>IF(AND(ISNUMBER(L9516),ISNUMBER(M9516)),L9516-M9516,"")</f>
        <v/>
      </c>
    </row>
    <row r="9517">
      <c r="N9517">
        <f>IF(AND(ISNUMBER(L9517),ISNUMBER(M9517)),L9517-M9517,"")</f>
        <v/>
      </c>
    </row>
    <row r="9518">
      <c r="N9518">
        <f>IF(AND(ISNUMBER(L9518),ISNUMBER(M9518)),L9518-M9518,"")</f>
        <v/>
      </c>
    </row>
    <row r="9519">
      <c r="N9519">
        <f>IF(AND(ISNUMBER(L9519),ISNUMBER(M9519)),L9519-M9519,"")</f>
        <v/>
      </c>
    </row>
    <row r="9520">
      <c r="N9520">
        <f>IF(AND(ISNUMBER(L9520),ISNUMBER(M9520)),L9520-M9520,"")</f>
        <v/>
      </c>
    </row>
    <row r="9521">
      <c r="N9521">
        <f>IF(AND(ISNUMBER(L9521),ISNUMBER(M9521)),L9521-M9521,"")</f>
        <v/>
      </c>
    </row>
    <row r="9522">
      <c r="N9522">
        <f>IF(AND(ISNUMBER(L9522),ISNUMBER(M9522)),L9522-M9522,"")</f>
        <v/>
      </c>
    </row>
    <row r="9523">
      <c r="N9523">
        <f>IF(AND(ISNUMBER(L9523),ISNUMBER(M9523)),L9523-M9523,"")</f>
        <v/>
      </c>
    </row>
    <row r="9524">
      <c r="N9524">
        <f>IF(AND(ISNUMBER(L9524),ISNUMBER(M9524)),L9524-M9524,"")</f>
        <v/>
      </c>
    </row>
    <row r="9525">
      <c r="N9525">
        <f>IF(AND(ISNUMBER(L9525),ISNUMBER(M9525)),L9525-M9525,"")</f>
        <v/>
      </c>
    </row>
    <row r="9526">
      <c r="N9526">
        <f>IF(AND(ISNUMBER(L9526),ISNUMBER(M9526)),L9526-M9526,"")</f>
        <v/>
      </c>
    </row>
    <row r="9527">
      <c r="N9527">
        <f>IF(AND(ISNUMBER(L9527),ISNUMBER(M9527)),L9527-M9527,"")</f>
        <v/>
      </c>
    </row>
    <row r="9528">
      <c r="N9528">
        <f>IF(AND(ISNUMBER(L9528),ISNUMBER(M9528)),L9528-M9528,"")</f>
        <v/>
      </c>
    </row>
    <row r="9529">
      <c r="N9529">
        <f>IF(AND(ISNUMBER(L9529),ISNUMBER(M9529)),L9529-M9529,"")</f>
        <v/>
      </c>
    </row>
    <row r="9530">
      <c r="N9530">
        <f>IF(AND(ISNUMBER(L9530),ISNUMBER(M9530)),L9530-M9530,"")</f>
        <v/>
      </c>
    </row>
    <row r="9531">
      <c r="N9531">
        <f>IF(AND(ISNUMBER(L9531),ISNUMBER(M9531)),L9531-M9531,"")</f>
        <v/>
      </c>
    </row>
    <row r="9532">
      <c r="N9532">
        <f>IF(AND(ISNUMBER(L9532),ISNUMBER(M9532)),L9532-M9532,"")</f>
        <v/>
      </c>
    </row>
    <row r="9533">
      <c r="N9533">
        <f>IF(AND(ISNUMBER(L9533),ISNUMBER(M9533)),L9533-M9533,"")</f>
        <v/>
      </c>
    </row>
    <row r="9534">
      <c r="N9534">
        <f>IF(AND(ISNUMBER(L9534),ISNUMBER(M9534)),L9534-M9534,"")</f>
        <v/>
      </c>
    </row>
    <row r="9535">
      <c r="N9535">
        <f>IF(AND(ISNUMBER(L9535),ISNUMBER(M9535)),L9535-M9535,"")</f>
        <v/>
      </c>
    </row>
    <row r="9536">
      <c r="N9536">
        <f>IF(AND(ISNUMBER(L9536),ISNUMBER(M9536)),L9536-M9536,"")</f>
        <v/>
      </c>
    </row>
    <row r="9537">
      <c r="N9537">
        <f>IF(AND(ISNUMBER(L9537),ISNUMBER(M9537)),L9537-M9537,"")</f>
        <v/>
      </c>
    </row>
    <row r="9538">
      <c r="N9538">
        <f>IF(AND(ISNUMBER(L9538),ISNUMBER(M9538)),L9538-M9538,"")</f>
        <v/>
      </c>
    </row>
    <row r="9539">
      <c r="N9539">
        <f>IF(AND(ISNUMBER(L9539),ISNUMBER(M9539)),L9539-M9539,"")</f>
        <v/>
      </c>
    </row>
    <row r="9540">
      <c r="N9540">
        <f>IF(AND(ISNUMBER(L9540),ISNUMBER(M9540)),L9540-M9540,"")</f>
        <v/>
      </c>
    </row>
    <row r="9541">
      <c r="N9541">
        <f>IF(AND(ISNUMBER(L9541),ISNUMBER(M9541)),L9541-M9541,"")</f>
        <v/>
      </c>
    </row>
    <row r="9542">
      <c r="N9542">
        <f>IF(AND(ISNUMBER(L9542),ISNUMBER(M9542)),L9542-M9542,"")</f>
        <v/>
      </c>
    </row>
    <row r="9543">
      <c r="N9543">
        <f>IF(AND(ISNUMBER(L9543),ISNUMBER(M9543)),L9543-M9543,"")</f>
        <v/>
      </c>
    </row>
    <row r="9544">
      <c r="N9544">
        <f>IF(AND(ISNUMBER(L9544),ISNUMBER(M9544)),L9544-M9544,"")</f>
        <v/>
      </c>
    </row>
    <row r="9545">
      <c r="N9545">
        <f>IF(AND(ISNUMBER(L9545),ISNUMBER(M9545)),L9545-M9545,"")</f>
        <v/>
      </c>
    </row>
    <row r="9546">
      <c r="N9546">
        <f>IF(AND(ISNUMBER(L9546),ISNUMBER(M9546)),L9546-M9546,"")</f>
        <v/>
      </c>
    </row>
    <row r="9547">
      <c r="N9547">
        <f>IF(AND(ISNUMBER(L9547),ISNUMBER(M9547)),L9547-M9547,"")</f>
        <v/>
      </c>
    </row>
    <row r="9548">
      <c r="N9548">
        <f>IF(AND(ISNUMBER(L9548),ISNUMBER(M9548)),L9548-M9548,"")</f>
        <v/>
      </c>
    </row>
    <row r="9549">
      <c r="N9549">
        <f>IF(AND(ISNUMBER(L9549),ISNUMBER(M9549)),L9549-M9549,"")</f>
        <v/>
      </c>
    </row>
    <row r="9550">
      <c r="N9550">
        <f>IF(AND(ISNUMBER(L9550),ISNUMBER(M9550)),L9550-M9550,"")</f>
        <v/>
      </c>
    </row>
    <row r="9551">
      <c r="N9551">
        <f>IF(AND(ISNUMBER(L9551),ISNUMBER(M9551)),L9551-M9551,"")</f>
        <v/>
      </c>
    </row>
    <row r="9552">
      <c r="N9552">
        <f>IF(AND(ISNUMBER(L9552),ISNUMBER(M9552)),L9552-M9552,"")</f>
        <v/>
      </c>
    </row>
    <row r="9553">
      <c r="N9553">
        <f>IF(AND(ISNUMBER(L9553),ISNUMBER(M9553)),L9553-M9553,"")</f>
        <v/>
      </c>
    </row>
    <row r="9554">
      <c r="N9554">
        <f>IF(AND(ISNUMBER(L9554),ISNUMBER(M9554)),L9554-M9554,"")</f>
        <v/>
      </c>
    </row>
    <row r="9555">
      <c r="N9555">
        <f>IF(AND(ISNUMBER(L9555),ISNUMBER(M9555)),L9555-M9555,"")</f>
        <v/>
      </c>
    </row>
    <row r="9556">
      <c r="N9556">
        <f>IF(AND(ISNUMBER(L9556),ISNUMBER(M9556)),L9556-M9556,"")</f>
        <v/>
      </c>
    </row>
    <row r="9557">
      <c r="N9557">
        <f>IF(AND(ISNUMBER(L9557),ISNUMBER(M9557)),L9557-M9557,"")</f>
        <v/>
      </c>
    </row>
    <row r="9558">
      <c r="N9558">
        <f>IF(AND(ISNUMBER(L9558),ISNUMBER(M9558)),L9558-M9558,"")</f>
        <v/>
      </c>
    </row>
    <row r="9559">
      <c r="N9559">
        <f>IF(AND(ISNUMBER(L9559),ISNUMBER(M9559)),L9559-M9559,"")</f>
        <v/>
      </c>
    </row>
    <row r="9560">
      <c r="N9560">
        <f>IF(AND(ISNUMBER(L9560),ISNUMBER(M9560)),L9560-M9560,"")</f>
        <v/>
      </c>
    </row>
    <row r="9561">
      <c r="N9561">
        <f>IF(AND(ISNUMBER(L9561),ISNUMBER(M9561)),L9561-M9561,"")</f>
        <v/>
      </c>
    </row>
    <row r="9562">
      <c r="N9562">
        <f>IF(AND(ISNUMBER(L9562),ISNUMBER(M9562)),L9562-M9562,"")</f>
        <v/>
      </c>
    </row>
    <row r="9563">
      <c r="N9563">
        <f>IF(AND(ISNUMBER(L9563),ISNUMBER(M9563)),L9563-M9563,"")</f>
        <v/>
      </c>
    </row>
    <row r="9564">
      <c r="N9564">
        <f>IF(AND(ISNUMBER(L9564),ISNUMBER(M9564)),L9564-M9564,"")</f>
        <v/>
      </c>
    </row>
    <row r="9565">
      <c r="N9565">
        <f>IF(AND(ISNUMBER(L9565),ISNUMBER(M9565)),L9565-M9565,"")</f>
        <v/>
      </c>
    </row>
    <row r="9566">
      <c r="N9566">
        <f>IF(AND(ISNUMBER(L9566),ISNUMBER(M9566)),L9566-M9566,"")</f>
        <v/>
      </c>
    </row>
    <row r="9567">
      <c r="N9567">
        <f>IF(AND(ISNUMBER(L9567),ISNUMBER(M9567)),L9567-M9567,"")</f>
        <v/>
      </c>
    </row>
    <row r="9568">
      <c r="N9568">
        <f>IF(AND(ISNUMBER(L9568),ISNUMBER(M9568)),L9568-M9568,"")</f>
        <v/>
      </c>
    </row>
    <row r="9569">
      <c r="N9569">
        <f>IF(AND(ISNUMBER(L9569),ISNUMBER(M9569)),L9569-M9569,"")</f>
        <v/>
      </c>
    </row>
    <row r="9570">
      <c r="N9570">
        <f>IF(AND(ISNUMBER(L9570),ISNUMBER(M9570)),L9570-M9570,"")</f>
        <v/>
      </c>
    </row>
    <row r="9571">
      <c r="N9571">
        <f>IF(AND(ISNUMBER(L9571),ISNUMBER(M9571)),L9571-M9571,"")</f>
        <v/>
      </c>
    </row>
    <row r="9572">
      <c r="N9572">
        <f>IF(AND(ISNUMBER(L9572),ISNUMBER(M9572)),L9572-M9572,"")</f>
        <v/>
      </c>
    </row>
    <row r="9573">
      <c r="N9573">
        <f>IF(AND(ISNUMBER(L9573),ISNUMBER(M9573)),L9573-M9573,"")</f>
        <v/>
      </c>
    </row>
    <row r="9574">
      <c r="N9574">
        <f>IF(AND(ISNUMBER(L9574),ISNUMBER(M9574)),L9574-M9574,"")</f>
        <v/>
      </c>
    </row>
    <row r="9575">
      <c r="N9575">
        <f>IF(AND(ISNUMBER(L9575),ISNUMBER(M9575)),L9575-M9575,"")</f>
        <v/>
      </c>
    </row>
    <row r="9576">
      <c r="N9576">
        <f>IF(AND(ISNUMBER(L9576),ISNUMBER(M9576)),L9576-M9576,"")</f>
        <v/>
      </c>
    </row>
    <row r="9577">
      <c r="N9577">
        <f>IF(AND(ISNUMBER(L9577),ISNUMBER(M9577)),L9577-M9577,"")</f>
        <v/>
      </c>
    </row>
    <row r="9578">
      <c r="N9578">
        <f>IF(AND(ISNUMBER(L9578),ISNUMBER(M9578)),L9578-M9578,"")</f>
        <v/>
      </c>
    </row>
    <row r="9579">
      <c r="N9579">
        <f>IF(AND(ISNUMBER(L9579),ISNUMBER(M9579)),L9579-M9579,"")</f>
        <v/>
      </c>
    </row>
    <row r="9580">
      <c r="N9580">
        <f>IF(AND(ISNUMBER(L9580),ISNUMBER(M9580)),L9580-M9580,"")</f>
        <v/>
      </c>
    </row>
    <row r="9581">
      <c r="N9581">
        <f>IF(AND(ISNUMBER(L9581),ISNUMBER(M9581)),L9581-M9581,"")</f>
        <v/>
      </c>
    </row>
    <row r="9582">
      <c r="N9582">
        <f>IF(AND(ISNUMBER(L9582),ISNUMBER(M9582)),L9582-M9582,"")</f>
        <v/>
      </c>
    </row>
    <row r="9583">
      <c r="N9583">
        <f>IF(AND(ISNUMBER(L9583),ISNUMBER(M9583)),L9583-M9583,"")</f>
        <v/>
      </c>
    </row>
    <row r="9584">
      <c r="N9584">
        <f>IF(AND(ISNUMBER(L9584),ISNUMBER(M9584)),L9584-M9584,"")</f>
        <v/>
      </c>
    </row>
    <row r="9585">
      <c r="N9585">
        <f>IF(AND(ISNUMBER(L9585),ISNUMBER(M9585)),L9585-M9585,"")</f>
        <v/>
      </c>
    </row>
    <row r="9586">
      <c r="N9586">
        <f>IF(AND(ISNUMBER(L9586),ISNUMBER(M9586)),L9586-M9586,"")</f>
        <v/>
      </c>
    </row>
    <row r="9587">
      <c r="N9587">
        <f>IF(AND(ISNUMBER(L9587),ISNUMBER(M9587)),L9587-M9587,"")</f>
        <v/>
      </c>
    </row>
    <row r="9588">
      <c r="N9588">
        <f>IF(AND(ISNUMBER(L9588),ISNUMBER(M9588)),L9588-M9588,"")</f>
        <v/>
      </c>
    </row>
    <row r="9589">
      <c r="N9589">
        <f>IF(AND(ISNUMBER(L9589),ISNUMBER(M9589)),L9589-M9589,"")</f>
        <v/>
      </c>
    </row>
    <row r="9590">
      <c r="N9590">
        <f>IF(AND(ISNUMBER(L9590),ISNUMBER(M9590)),L9590-M9590,"")</f>
        <v/>
      </c>
    </row>
    <row r="9591">
      <c r="N9591">
        <f>IF(AND(ISNUMBER(L9591),ISNUMBER(M9591)),L9591-M9591,"")</f>
        <v/>
      </c>
    </row>
    <row r="9592">
      <c r="N9592">
        <f>IF(AND(ISNUMBER(L9592),ISNUMBER(M9592)),L9592-M9592,"")</f>
        <v/>
      </c>
    </row>
    <row r="9593">
      <c r="N9593">
        <f>IF(AND(ISNUMBER(L9593),ISNUMBER(M9593)),L9593-M9593,"")</f>
        <v/>
      </c>
    </row>
    <row r="9594">
      <c r="N9594">
        <f>IF(AND(ISNUMBER(L9594),ISNUMBER(M9594)),L9594-M9594,"")</f>
        <v/>
      </c>
    </row>
    <row r="9595">
      <c r="N9595">
        <f>IF(AND(ISNUMBER(L9595),ISNUMBER(M9595)),L9595-M9595,"")</f>
        <v/>
      </c>
    </row>
    <row r="9596">
      <c r="N9596">
        <f>IF(AND(ISNUMBER(L9596),ISNUMBER(M9596)),L9596-M9596,"")</f>
        <v/>
      </c>
    </row>
    <row r="9597">
      <c r="N9597">
        <f>IF(AND(ISNUMBER(L9597),ISNUMBER(M9597)),L9597-M9597,"")</f>
        <v/>
      </c>
    </row>
    <row r="9598">
      <c r="N9598">
        <f>IF(AND(ISNUMBER(L9598),ISNUMBER(M9598)),L9598-M9598,"")</f>
        <v/>
      </c>
    </row>
    <row r="9599">
      <c r="N9599">
        <f>IF(AND(ISNUMBER(L9599),ISNUMBER(M9599)),L9599-M9599,"")</f>
        <v/>
      </c>
    </row>
    <row r="9600">
      <c r="N9600">
        <f>IF(AND(ISNUMBER(L9600),ISNUMBER(M9600)),L9600-M9600,"")</f>
        <v/>
      </c>
    </row>
    <row r="9601">
      <c r="N9601">
        <f>IF(AND(ISNUMBER(L9601),ISNUMBER(M9601)),L9601-M9601,"")</f>
        <v/>
      </c>
    </row>
    <row r="9602">
      <c r="N9602">
        <f>IF(AND(ISNUMBER(L9602),ISNUMBER(M9602)),L9602-M9602,"")</f>
        <v/>
      </c>
    </row>
    <row r="9603">
      <c r="N9603">
        <f>IF(AND(ISNUMBER(L9603),ISNUMBER(M9603)),L9603-M9603,"")</f>
        <v/>
      </c>
    </row>
    <row r="9604">
      <c r="N9604">
        <f>IF(AND(ISNUMBER(L9604),ISNUMBER(M9604)),L9604-M9604,"")</f>
        <v/>
      </c>
    </row>
    <row r="9605">
      <c r="N9605">
        <f>IF(AND(ISNUMBER(L9605),ISNUMBER(M9605)),L9605-M9605,"")</f>
        <v/>
      </c>
    </row>
    <row r="9606">
      <c r="N9606">
        <f>IF(AND(ISNUMBER(L9606),ISNUMBER(M9606)),L9606-M9606,"")</f>
        <v/>
      </c>
    </row>
    <row r="9607">
      <c r="N9607">
        <f>IF(AND(ISNUMBER(L9607),ISNUMBER(M9607)),L9607-M9607,"")</f>
        <v/>
      </c>
    </row>
    <row r="9608">
      <c r="N9608">
        <f>IF(AND(ISNUMBER(L9608),ISNUMBER(M9608)),L9608-M9608,"")</f>
        <v/>
      </c>
    </row>
    <row r="9609">
      <c r="N9609">
        <f>IF(AND(ISNUMBER(L9609),ISNUMBER(M9609)),L9609-M9609,"")</f>
        <v/>
      </c>
    </row>
    <row r="9610">
      <c r="N9610">
        <f>IF(AND(ISNUMBER(L9610),ISNUMBER(M9610)),L9610-M9610,"")</f>
        <v/>
      </c>
    </row>
    <row r="9611">
      <c r="N9611">
        <f>IF(AND(ISNUMBER(L9611),ISNUMBER(M9611)),L9611-M9611,"")</f>
        <v/>
      </c>
    </row>
    <row r="9612">
      <c r="N9612">
        <f>IF(AND(ISNUMBER(L9612),ISNUMBER(M9612)),L9612-M9612,"")</f>
        <v/>
      </c>
    </row>
    <row r="9613">
      <c r="N9613">
        <f>IF(AND(ISNUMBER(L9613),ISNUMBER(M9613)),L9613-M9613,"")</f>
        <v/>
      </c>
    </row>
    <row r="9614">
      <c r="N9614">
        <f>IF(AND(ISNUMBER(L9614),ISNUMBER(M9614)),L9614-M9614,"")</f>
        <v/>
      </c>
    </row>
    <row r="9615">
      <c r="N9615">
        <f>IF(AND(ISNUMBER(L9615),ISNUMBER(M9615)),L9615-M9615,"")</f>
        <v/>
      </c>
    </row>
    <row r="9616">
      <c r="N9616">
        <f>IF(AND(ISNUMBER(L9616),ISNUMBER(M9616)),L9616-M9616,"")</f>
        <v/>
      </c>
    </row>
    <row r="9617">
      <c r="N9617">
        <f>IF(AND(ISNUMBER(L9617),ISNUMBER(M9617)),L9617-M9617,"")</f>
        <v/>
      </c>
    </row>
    <row r="9618">
      <c r="N9618">
        <f>IF(AND(ISNUMBER(L9618),ISNUMBER(M9618)),L9618-M9618,"")</f>
        <v/>
      </c>
    </row>
    <row r="9619">
      <c r="N9619">
        <f>IF(AND(ISNUMBER(L9619),ISNUMBER(M9619)),L9619-M9619,"")</f>
        <v/>
      </c>
    </row>
    <row r="9620">
      <c r="N9620">
        <f>IF(AND(ISNUMBER(L9620),ISNUMBER(M9620)),L9620-M9620,"")</f>
        <v/>
      </c>
    </row>
    <row r="9621">
      <c r="N9621">
        <f>IF(AND(ISNUMBER(L9621),ISNUMBER(M9621)),L9621-M9621,"")</f>
        <v/>
      </c>
    </row>
    <row r="9622">
      <c r="N9622">
        <f>IF(AND(ISNUMBER(L9622),ISNUMBER(M9622)),L9622-M9622,"")</f>
        <v/>
      </c>
    </row>
    <row r="9623">
      <c r="N9623">
        <f>IF(AND(ISNUMBER(L9623),ISNUMBER(M9623)),L9623-M9623,"")</f>
        <v/>
      </c>
    </row>
    <row r="9624">
      <c r="N9624">
        <f>IF(AND(ISNUMBER(L9624),ISNUMBER(M9624)),L9624-M9624,"")</f>
        <v/>
      </c>
    </row>
    <row r="9625">
      <c r="N9625">
        <f>IF(AND(ISNUMBER(L9625),ISNUMBER(M9625)),L9625-M9625,"")</f>
        <v/>
      </c>
    </row>
    <row r="9626">
      <c r="N9626">
        <f>IF(AND(ISNUMBER(L9626),ISNUMBER(M9626)),L9626-M9626,"")</f>
        <v/>
      </c>
    </row>
    <row r="9627">
      <c r="N9627">
        <f>IF(AND(ISNUMBER(L9627),ISNUMBER(M9627)),L9627-M9627,"")</f>
        <v/>
      </c>
    </row>
    <row r="9628">
      <c r="N9628">
        <f>IF(AND(ISNUMBER(L9628),ISNUMBER(M9628)),L9628-M9628,"")</f>
        <v/>
      </c>
    </row>
    <row r="9629">
      <c r="N9629">
        <f>IF(AND(ISNUMBER(L9629),ISNUMBER(M9629)),L9629-M9629,"")</f>
        <v/>
      </c>
    </row>
    <row r="9630">
      <c r="N9630">
        <f>IF(AND(ISNUMBER(L9630),ISNUMBER(M9630)),L9630-M9630,"")</f>
        <v/>
      </c>
    </row>
    <row r="9631">
      <c r="N9631">
        <f>IF(AND(ISNUMBER(L9631),ISNUMBER(M9631)),L9631-M9631,"")</f>
        <v/>
      </c>
    </row>
    <row r="9632">
      <c r="N9632">
        <f>IF(AND(ISNUMBER(L9632),ISNUMBER(M9632)),L9632-M9632,"")</f>
        <v/>
      </c>
    </row>
    <row r="9633">
      <c r="N9633">
        <f>IF(AND(ISNUMBER(L9633),ISNUMBER(M9633)),L9633-M9633,"")</f>
        <v/>
      </c>
    </row>
    <row r="9634">
      <c r="N9634">
        <f>IF(AND(ISNUMBER(L9634),ISNUMBER(M9634)),L9634-M9634,"")</f>
        <v/>
      </c>
    </row>
    <row r="9635">
      <c r="N9635">
        <f>IF(AND(ISNUMBER(L9635),ISNUMBER(M9635)),L9635-M9635,"")</f>
        <v/>
      </c>
    </row>
    <row r="9636">
      <c r="N9636">
        <f>IF(AND(ISNUMBER(L9636),ISNUMBER(M9636)),L9636-M9636,"")</f>
        <v/>
      </c>
    </row>
    <row r="9637">
      <c r="N9637">
        <f>IF(AND(ISNUMBER(L9637),ISNUMBER(M9637)),L9637-M9637,"")</f>
        <v/>
      </c>
    </row>
    <row r="9638">
      <c r="N9638">
        <f>IF(AND(ISNUMBER(L9638),ISNUMBER(M9638)),L9638-M9638,"")</f>
        <v/>
      </c>
    </row>
    <row r="9639">
      <c r="N9639">
        <f>IF(AND(ISNUMBER(L9639),ISNUMBER(M9639)),L9639-M9639,"")</f>
        <v/>
      </c>
    </row>
    <row r="9640">
      <c r="N9640">
        <f>IF(AND(ISNUMBER(L9640),ISNUMBER(M9640)),L9640-M9640,"")</f>
        <v/>
      </c>
    </row>
    <row r="9641">
      <c r="N9641">
        <f>IF(AND(ISNUMBER(L9641),ISNUMBER(M9641)),L9641-M9641,"")</f>
        <v/>
      </c>
    </row>
    <row r="9642">
      <c r="N9642">
        <f>IF(AND(ISNUMBER(L9642),ISNUMBER(M9642)),L9642-M9642,"")</f>
        <v/>
      </c>
    </row>
    <row r="9643">
      <c r="N9643">
        <f>IF(AND(ISNUMBER(L9643),ISNUMBER(M9643)),L9643-M9643,"")</f>
        <v/>
      </c>
    </row>
    <row r="9644">
      <c r="N9644">
        <f>IF(AND(ISNUMBER(L9644),ISNUMBER(M9644)),L9644-M9644,"")</f>
        <v/>
      </c>
    </row>
    <row r="9645">
      <c r="N9645">
        <f>IF(AND(ISNUMBER(L9645),ISNUMBER(M9645)),L9645-M9645,"")</f>
        <v/>
      </c>
    </row>
    <row r="9646">
      <c r="N9646">
        <f>IF(AND(ISNUMBER(L9646),ISNUMBER(M9646)),L9646-M9646,"")</f>
        <v/>
      </c>
    </row>
    <row r="9647">
      <c r="N9647">
        <f>IF(AND(ISNUMBER(L9647),ISNUMBER(M9647)),L9647-M9647,"")</f>
        <v/>
      </c>
    </row>
    <row r="9648">
      <c r="N9648">
        <f>IF(AND(ISNUMBER(L9648),ISNUMBER(M9648)),L9648-M9648,"")</f>
        <v/>
      </c>
    </row>
    <row r="9649">
      <c r="N9649">
        <f>IF(AND(ISNUMBER(L9649),ISNUMBER(M9649)),L9649-M9649,"")</f>
        <v/>
      </c>
    </row>
    <row r="9650">
      <c r="N9650">
        <f>IF(AND(ISNUMBER(L9650),ISNUMBER(M9650)),L9650-M9650,"")</f>
        <v/>
      </c>
    </row>
    <row r="9651">
      <c r="N9651">
        <f>IF(AND(ISNUMBER(L9651),ISNUMBER(M9651)),L9651-M9651,"")</f>
        <v/>
      </c>
    </row>
    <row r="9652">
      <c r="N9652">
        <f>IF(AND(ISNUMBER(L9652),ISNUMBER(M9652)),L9652-M9652,"")</f>
        <v/>
      </c>
    </row>
    <row r="9653">
      <c r="N9653">
        <f>IF(AND(ISNUMBER(L9653),ISNUMBER(M9653)),L9653-M9653,"")</f>
        <v/>
      </c>
    </row>
    <row r="9654">
      <c r="N9654">
        <f>IF(AND(ISNUMBER(L9654),ISNUMBER(M9654)),L9654-M9654,"")</f>
        <v/>
      </c>
    </row>
    <row r="9655">
      <c r="N9655">
        <f>IF(AND(ISNUMBER(L9655),ISNUMBER(M9655)),L9655-M9655,"")</f>
        <v/>
      </c>
    </row>
    <row r="9656">
      <c r="N9656">
        <f>IF(AND(ISNUMBER(L9656),ISNUMBER(M9656)),L9656-M9656,"")</f>
        <v/>
      </c>
    </row>
    <row r="9657">
      <c r="N9657">
        <f>IF(AND(ISNUMBER(L9657),ISNUMBER(M9657)),L9657-M9657,"")</f>
        <v/>
      </c>
    </row>
    <row r="9658">
      <c r="N9658">
        <f>IF(AND(ISNUMBER(L9658),ISNUMBER(M9658)),L9658-M9658,"")</f>
        <v/>
      </c>
    </row>
    <row r="9659">
      <c r="N9659">
        <f>IF(AND(ISNUMBER(L9659),ISNUMBER(M9659)),L9659-M9659,"")</f>
        <v/>
      </c>
    </row>
    <row r="9660">
      <c r="N9660">
        <f>IF(AND(ISNUMBER(L9660),ISNUMBER(M9660)),L9660-M9660,"")</f>
        <v/>
      </c>
    </row>
    <row r="9661">
      <c r="N9661">
        <f>IF(AND(ISNUMBER(L9661),ISNUMBER(M9661)),L9661-M9661,"")</f>
        <v/>
      </c>
    </row>
    <row r="9662">
      <c r="N9662">
        <f>IF(AND(ISNUMBER(L9662),ISNUMBER(M9662)),L9662-M9662,"")</f>
        <v/>
      </c>
    </row>
    <row r="9663">
      <c r="N9663">
        <f>IF(AND(ISNUMBER(L9663),ISNUMBER(M9663)),L9663-M9663,"")</f>
        <v/>
      </c>
    </row>
    <row r="9664">
      <c r="N9664">
        <f>IF(AND(ISNUMBER(L9664),ISNUMBER(M9664)),L9664-M9664,"")</f>
        <v/>
      </c>
    </row>
    <row r="9665">
      <c r="N9665">
        <f>IF(AND(ISNUMBER(L9665),ISNUMBER(M9665)),L9665-M9665,"")</f>
        <v/>
      </c>
    </row>
    <row r="9666">
      <c r="N9666">
        <f>IF(AND(ISNUMBER(L9666),ISNUMBER(M9666)),L9666-M9666,"")</f>
        <v/>
      </c>
    </row>
    <row r="9667">
      <c r="N9667">
        <f>IF(AND(ISNUMBER(L9667),ISNUMBER(M9667)),L9667-M9667,"")</f>
        <v/>
      </c>
    </row>
    <row r="9668">
      <c r="N9668">
        <f>IF(AND(ISNUMBER(L9668),ISNUMBER(M9668)),L9668-M9668,"")</f>
        <v/>
      </c>
    </row>
    <row r="9669">
      <c r="N9669">
        <f>IF(AND(ISNUMBER(L9669),ISNUMBER(M9669)),L9669-M9669,"")</f>
        <v/>
      </c>
    </row>
    <row r="9670">
      <c r="N9670">
        <f>IF(AND(ISNUMBER(L9670),ISNUMBER(M9670)),L9670-M9670,"")</f>
        <v/>
      </c>
    </row>
    <row r="9671">
      <c r="N9671">
        <f>IF(AND(ISNUMBER(L9671),ISNUMBER(M9671)),L9671-M9671,"")</f>
        <v/>
      </c>
    </row>
    <row r="9672">
      <c r="N9672">
        <f>IF(AND(ISNUMBER(L9672),ISNUMBER(M9672)),L9672-M9672,"")</f>
        <v/>
      </c>
    </row>
    <row r="9673">
      <c r="N9673">
        <f>IF(AND(ISNUMBER(L9673),ISNUMBER(M9673)),L9673-M9673,"")</f>
        <v/>
      </c>
    </row>
    <row r="9674">
      <c r="N9674">
        <f>IF(AND(ISNUMBER(L9674),ISNUMBER(M9674)),L9674-M9674,"")</f>
        <v/>
      </c>
    </row>
    <row r="9675">
      <c r="N9675">
        <f>IF(AND(ISNUMBER(L9675),ISNUMBER(M9675)),L9675-M9675,"")</f>
        <v/>
      </c>
    </row>
    <row r="9676">
      <c r="N9676">
        <f>IF(AND(ISNUMBER(L9676),ISNUMBER(M9676)),L9676-M9676,"")</f>
        <v/>
      </c>
    </row>
    <row r="9677">
      <c r="N9677">
        <f>IF(AND(ISNUMBER(L9677),ISNUMBER(M9677)),L9677-M9677,"")</f>
        <v/>
      </c>
    </row>
    <row r="9678">
      <c r="N9678">
        <f>IF(AND(ISNUMBER(L9678),ISNUMBER(M9678)),L9678-M9678,"")</f>
        <v/>
      </c>
    </row>
    <row r="9679">
      <c r="N9679">
        <f>IF(AND(ISNUMBER(L9679),ISNUMBER(M9679)),L9679-M9679,"")</f>
        <v/>
      </c>
    </row>
    <row r="9680">
      <c r="N9680">
        <f>IF(AND(ISNUMBER(L9680),ISNUMBER(M9680)),L9680-M9680,"")</f>
        <v/>
      </c>
    </row>
    <row r="9681">
      <c r="N9681">
        <f>IF(AND(ISNUMBER(L9681),ISNUMBER(M9681)),L9681-M9681,"")</f>
        <v/>
      </c>
    </row>
    <row r="9682">
      <c r="N9682">
        <f>IF(AND(ISNUMBER(L9682),ISNUMBER(M9682)),L9682-M9682,"")</f>
        <v/>
      </c>
    </row>
    <row r="9683">
      <c r="N9683">
        <f>IF(AND(ISNUMBER(L9683),ISNUMBER(M9683)),L9683-M9683,"")</f>
        <v/>
      </c>
    </row>
    <row r="9684">
      <c r="N9684">
        <f>IF(AND(ISNUMBER(L9684),ISNUMBER(M9684)),L9684-M9684,"")</f>
        <v/>
      </c>
    </row>
    <row r="9685">
      <c r="N9685">
        <f>IF(AND(ISNUMBER(L9685),ISNUMBER(M9685)),L9685-M9685,"")</f>
        <v/>
      </c>
    </row>
    <row r="9686">
      <c r="N9686">
        <f>IF(AND(ISNUMBER(L9686),ISNUMBER(M9686)),L9686-M9686,"")</f>
        <v/>
      </c>
    </row>
    <row r="9687">
      <c r="N9687">
        <f>IF(AND(ISNUMBER(L9687),ISNUMBER(M9687)),L9687-M9687,"")</f>
        <v/>
      </c>
    </row>
    <row r="9688">
      <c r="N9688">
        <f>IF(AND(ISNUMBER(L9688),ISNUMBER(M9688)),L9688-M9688,"")</f>
        <v/>
      </c>
    </row>
    <row r="9689">
      <c r="N9689">
        <f>IF(AND(ISNUMBER(L9689),ISNUMBER(M9689)),L9689-M9689,"")</f>
        <v/>
      </c>
    </row>
    <row r="9690">
      <c r="N9690">
        <f>IF(AND(ISNUMBER(L9690),ISNUMBER(M9690)),L9690-M9690,"")</f>
        <v/>
      </c>
    </row>
    <row r="9691">
      <c r="N9691">
        <f>IF(AND(ISNUMBER(L9691),ISNUMBER(M9691)),L9691-M9691,"")</f>
        <v/>
      </c>
    </row>
    <row r="9692">
      <c r="N9692">
        <f>IF(AND(ISNUMBER(L9692),ISNUMBER(M9692)),L9692-M9692,"")</f>
        <v/>
      </c>
    </row>
    <row r="9693">
      <c r="N9693">
        <f>IF(AND(ISNUMBER(L9693),ISNUMBER(M9693)),L9693-M9693,"")</f>
        <v/>
      </c>
    </row>
    <row r="9694">
      <c r="N9694">
        <f>IF(AND(ISNUMBER(L9694),ISNUMBER(M9694)),L9694-M9694,"")</f>
        <v/>
      </c>
    </row>
    <row r="9695">
      <c r="N9695">
        <f>IF(AND(ISNUMBER(L9695),ISNUMBER(M9695)),L9695-M9695,"")</f>
        <v/>
      </c>
    </row>
    <row r="9696">
      <c r="N9696">
        <f>IF(AND(ISNUMBER(L9696),ISNUMBER(M9696)),L9696-M9696,"")</f>
        <v/>
      </c>
    </row>
    <row r="9697">
      <c r="N9697">
        <f>IF(AND(ISNUMBER(L9697),ISNUMBER(M9697)),L9697-M9697,"")</f>
        <v/>
      </c>
    </row>
    <row r="9698">
      <c r="N9698">
        <f>IF(AND(ISNUMBER(L9698),ISNUMBER(M9698)),L9698-M9698,"")</f>
        <v/>
      </c>
    </row>
    <row r="9699">
      <c r="N9699">
        <f>IF(AND(ISNUMBER(L9699),ISNUMBER(M9699)),L9699-M9699,"")</f>
        <v/>
      </c>
    </row>
    <row r="9700">
      <c r="N9700">
        <f>IF(AND(ISNUMBER(L9700),ISNUMBER(M9700)),L9700-M9700,"")</f>
        <v/>
      </c>
    </row>
    <row r="9701">
      <c r="N9701">
        <f>IF(AND(ISNUMBER(L9701),ISNUMBER(M9701)),L9701-M9701,"")</f>
        <v/>
      </c>
    </row>
    <row r="9702">
      <c r="N9702">
        <f>IF(AND(ISNUMBER(L9702),ISNUMBER(M9702)),L9702-M9702,"")</f>
        <v/>
      </c>
    </row>
    <row r="9703">
      <c r="N9703">
        <f>IF(AND(ISNUMBER(L9703),ISNUMBER(M9703)),L9703-M9703,"")</f>
        <v/>
      </c>
    </row>
    <row r="9704">
      <c r="N9704">
        <f>IF(AND(ISNUMBER(L9704),ISNUMBER(M9704)),L9704-M9704,"")</f>
        <v/>
      </c>
    </row>
    <row r="9705">
      <c r="N9705">
        <f>IF(AND(ISNUMBER(L9705),ISNUMBER(M9705)),L9705-M9705,"")</f>
        <v/>
      </c>
    </row>
    <row r="9706">
      <c r="N9706">
        <f>IF(AND(ISNUMBER(L9706),ISNUMBER(M9706)),L9706-M9706,"")</f>
        <v/>
      </c>
    </row>
    <row r="9707">
      <c r="N9707">
        <f>IF(AND(ISNUMBER(L9707),ISNUMBER(M9707)),L9707-M9707,"")</f>
        <v/>
      </c>
    </row>
    <row r="9708">
      <c r="N9708">
        <f>IF(AND(ISNUMBER(L9708),ISNUMBER(M9708)),L9708-M9708,"")</f>
        <v/>
      </c>
    </row>
    <row r="9709">
      <c r="N9709">
        <f>IF(AND(ISNUMBER(L9709),ISNUMBER(M9709)),L9709-M9709,"")</f>
        <v/>
      </c>
    </row>
    <row r="9710">
      <c r="N9710">
        <f>IF(AND(ISNUMBER(L9710),ISNUMBER(M9710)),L9710-M9710,"")</f>
        <v/>
      </c>
    </row>
    <row r="9711">
      <c r="N9711">
        <f>IF(AND(ISNUMBER(L9711),ISNUMBER(M9711)),L9711-M9711,"")</f>
        <v/>
      </c>
    </row>
    <row r="9712">
      <c r="N9712">
        <f>IF(AND(ISNUMBER(L9712),ISNUMBER(M9712)),L9712-M9712,"")</f>
        <v/>
      </c>
    </row>
    <row r="9713">
      <c r="N9713">
        <f>IF(AND(ISNUMBER(L9713),ISNUMBER(M9713)),L9713-M9713,"")</f>
        <v/>
      </c>
    </row>
    <row r="9714">
      <c r="N9714">
        <f>IF(AND(ISNUMBER(L9714),ISNUMBER(M9714)),L9714-M9714,"")</f>
        <v/>
      </c>
    </row>
    <row r="9715">
      <c r="N9715">
        <f>IF(AND(ISNUMBER(L9715),ISNUMBER(M9715)),L9715-M9715,"")</f>
        <v/>
      </c>
    </row>
    <row r="9716">
      <c r="N9716">
        <f>IF(AND(ISNUMBER(L9716),ISNUMBER(M9716)),L9716-M9716,"")</f>
        <v/>
      </c>
    </row>
    <row r="9717">
      <c r="N9717">
        <f>IF(AND(ISNUMBER(L9717),ISNUMBER(M9717)),L9717-M9717,"")</f>
        <v/>
      </c>
    </row>
    <row r="9718">
      <c r="N9718">
        <f>IF(AND(ISNUMBER(L9718),ISNUMBER(M9718)),L9718-M9718,"")</f>
        <v/>
      </c>
    </row>
    <row r="9719">
      <c r="N9719">
        <f>IF(AND(ISNUMBER(L9719),ISNUMBER(M9719)),L9719-M9719,"")</f>
        <v/>
      </c>
    </row>
    <row r="9720">
      <c r="N9720">
        <f>IF(AND(ISNUMBER(L9720),ISNUMBER(M9720)),L9720-M9720,"")</f>
        <v/>
      </c>
    </row>
    <row r="9721">
      <c r="N9721">
        <f>IF(AND(ISNUMBER(L9721),ISNUMBER(M9721)),L9721-M9721,"")</f>
        <v/>
      </c>
    </row>
    <row r="9722">
      <c r="N9722">
        <f>IF(AND(ISNUMBER(L9722),ISNUMBER(M9722)),L9722-M9722,"")</f>
        <v/>
      </c>
    </row>
    <row r="9723">
      <c r="N9723">
        <f>IF(AND(ISNUMBER(L9723),ISNUMBER(M9723)),L9723-M9723,"")</f>
        <v/>
      </c>
    </row>
    <row r="9724">
      <c r="N9724">
        <f>IF(AND(ISNUMBER(L9724),ISNUMBER(M9724)),L9724-M9724,"")</f>
        <v/>
      </c>
    </row>
    <row r="9725">
      <c r="N9725">
        <f>IF(AND(ISNUMBER(L9725),ISNUMBER(M9725)),L9725-M9725,"")</f>
        <v/>
      </c>
    </row>
    <row r="9726">
      <c r="N9726">
        <f>IF(AND(ISNUMBER(L9726),ISNUMBER(M9726)),L9726-M9726,"")</f>
        <v/>
      </c>
    </row>
    <row r="9727">
      <c r="N9727">
        <f>IF(AND(ISNUMBER(L9727),ISNUMBER(M9727)),L9727-M9727,"")</f>
        <v/>
      </c>
    </row>
    <row r="9728">
      <c r="N9728">
        <f>IF(AND(ISNUMBER(L9728),ISNUMBER(M9728)),L9728-M9728,"")</f>
        <v/>
      </c>
    </row>
    <row r="9729">
      <c r="N9729">
        <f>IF(AND(ISNUMBER(L9729),ISNUMBER(M9729)),L9729-M9729,"")</f>
        <v/>
      </c>
    </row>
    <row r="9730">
      <c r="N9730">
        <f>IF(AND(ISNUMBER(L9730),ISNUMBER(M9730)),L9730-M9730,"")</f>
        <v/>
      </c>
    </row>
    <row r="9731">
      <c r="N9731">
        <f>IF(AND(ISNUMBER(L9731),ISNUMBER(M9731)),L9731-M9731,"")</f>
        <v/>
      </c>
    </row>
    <row r="9732">
      <c r="N9732">
        <f>IF(AND(ISNUMBER(L9732),ISNUMBER(M9732)),L9732-M9732,"")</f>
        <v/>
      </c>
    </row>
    <row r="9733">
      <c r="N9733">
        <f>IF(AND(ISNUMBER(L9733),ISNUMBER(M9733)),L9733-M9733,"")</f>
        <v/>
      </c>
    </row>
    <row r="9734">
      <c r="N9734">
        <f>IF(AND(ISNUMBER(L9734),ISNUMBER(M9734)),L9734-M9734,"")</f>
        <v/>
      </c>
    </row>
    <row r="9735">
      <c r="N9735">
        <f>IF(AND(ISNUMBER(L9735),ISNUMBER(M9735)),L9735-M9735,"")</f>
        <v/>
      </c>
    </row>
    <row r="9736">
      <c r="N9736">
        <f>IF(AND(ISNUMBER(L9736),ISNUMBER(M9736)),L9736-M9736,"")</f>
        <v/>
      </c>
    </row>
    <row r="9737">
      <c r="N9737">
        <f>IF(AND(ISNUMBER(L9737),ISNUMBER(M9737)),L9737-M9737,"")</f>
        <v/>
      </c>
    </row>
    <row r="9738">
      <c r="N9738">
        <f>IF(AND(ISNUMBER(L9738),ISNUMBER(M9738)),L9738-M9738,"")</f>
        <v/>
      </c>
    </row>
    <row r="9739">
      <c r="N9739">
        <f>IF(AND(ISNUMBER(L9739),ISNUMBER(M9739)),L9739-M9739,"")</f>
        <v/>
      </c>
    </row>
    <row r="9740">
      <c r="N9740">
        <f>IF(AND(ISNUMBER(L9740),ISNUMBER(M9740)),L9740-M9740,"")</f>
        <v/>
      </c>
    </row>
    <row r="9741">
      <c r="N9741">
        <f>IF(AND(ISNUMBER(L9741),ISNUMBER(M9741)),L9741-M9741,"")</f>
        <v/>
      </c>
    </row>
    <row r="9742">
      <c r="N9742">
        <f>IF(AND(ISNUMBER(L9742),ISNUMBER(M9742)),L9742-M9742,"")</f>
        <v/>
      </c>
    </row>
    <row r="9743">
      <c r="N9743">
        <f>IF(AND(ISNUMBER(L9743),ISNUMBER(M9743)),L9743-M9743,"")</f>
        <v/>
      </c>
    </row>
    <row r="9744">
      <c r="N9744">
        <f>IF(AND(ISNUMBER(L9744),ISNUMBER(M9744)),L9744-M9744,"")</f>
        <v/>
      </c>
    </row>
    <row r="9745">
      <c r="N9745">
        <f>IF(AND(ISNUMBER(L9745),ISNUMBER(M9745)),L9745-M9745,"")</f>
        <v/>
      </c>
    </row>
    <row r="9746">
      <c r="N9746">
        <f>IF(AND(ISNUMBER(L9746),ISNUMBER(M9746)),L9746-M9746,"")</f>
        <v/>
      </c>
    </row>
    <row r="9747">
      <c r="N9747">
        <f>IF(AND(ISNUMBER(L9747),ISNUMBER(M9747)),L9747-M9747,"")</f>
        <v/>
      </c>
    </row>
    <row r="9748">
      <c r="N9748">
        <f>IF(AND(ISNUMBER(L9748),ISNUMBER(M9748)),L9748-M9748,"")</f>
        <v/>
      </c>
    </row>
    <row r="9749">
      <c r="N9749">
        <f>IF(AND(ISNUMBER(L9749),ISNUMBER(M9749)),L9749-M9749,"")</f>
        <v/>
      </c>
    </row>
    <row r="9750">
      <c r="N9750">
        <f>IF(AND(ISNUMBER(L9750),ISNUMBER(M9750)),L9750-M9750,"")</f>
        <v/>
      </c>
    </row>
    <row r="9751">
      <c r="N9751">
        <f>IF(AND(ISNUMBER(L9751),ISNUMBER(M9751)),L9751-M9751,"")</f>
        <v/>
      </c>
    </row>
    <row r="9752">
      <c r="N9752">
        <f>IF(AND(ISNUMBER(L9752),ISNUMBER(M9752)),L9752-M9752,"")</f>
        <v/>
      </c>
    </row>
    <row r="9753">
      <c r="N9753">
        <f>IF(AND(ISNUMBER(L9753),ISNUMBER(M9753)),L9753-M9753,"")</f>
        <v/>
      </c>
    </row>
    <row r="9754">
      <c r="N9754">
        <f>IF(AND(ISNUMBER(L9754),ISNUMBER(M9754)),L9754-M9754,"")</f>
        <v/>
      </c>
    </row>
    <row r="9755">
      <c r="N9755">
        <f>IF(AND(ISNUMBER(L9755),ISNUMBER(M9755)),L9755-M9755,"")</f>
        <v/>
      </c>
    </row>
    <row r="9756">
      <c r="N9756">
        <f>IF(AND(ISNUMBER(L9756),ISNUMBER(M9756)),L9756-M9756,"")</f>
        <v/>
      </c>
    </row>
    <row r="9757">
      <c r="N9757">
        <f>IF(AND(ISNUMBER(L9757),ISNUMBER(M9757)),L9757-M9757,"")</f>
        <v/>
      </c>
    </row>
    <row r="9758">
      <c r="N9758">
        <f>IF(AND(ISNUMBER(L9758),ISNUMBER(M9758)),L9758-M9758,"")</f>
        <v/>
      </c>
    </row>
    <row r="9759">
      <c r="N9759">
        <f>IF(AND(ISNUMBER(L9759),ISNUMBER(M9759)),L9759-M9759,"")</f>
        <v/>
      </c>
    </row>
    <row r="9760">
      <c r="N9760">
        <f>IF(AND(ISNUMBER(L9760),ISNUMBER(M9760)),L9760-M9760,"")</f>
        <v/>
      </c>
    </row>
    <row r="9761">
      <c r="N9761">
        <f>IF(AND(ISNUMBER(L9761),ISNUMBER(M9761)),L9761-M9761,"")</f>
        <v/>
      </c>
    </row>
    <row r="9762">
      <c r="N9762">
        <f>IF(AND(ISNUMBER(L9762),ISNUMBER(M9762)),L9762-M9762,"")</f>
        <v/>
      </c>
    </row>
    <row r="9763">
      <c r="N9763">
        <f>IF(AND(ISNUMBER(L9763),ISNUMBER(M9763)),L9763-M9763,"")</f>
        <v/>
      </c>
    </row>
    <row r="9764">
      <c r="N9764">
        <f>IF(AND(ISNUMBER(L9764),ISNUMBER(M9764)),L9764-M9764,"")</f>
        <v/>
      </c>
    </row>
    <row r="9765">
      <c r="N9765">
        <f>IF(AND(ISNUMBER(L9765),ISNUMBER(M9765)),L9765-M9765,"")</f>
        <v/>
      </c>
    </row>
    <row r="9766">
      <c r="N9766">
        <f>IF(AND(ISNUMBER(L9766),ISNUMBER(M9766)),L9766-M9766,"")</f>
        <v/>
      </c>
    </row>
    <row r="9767">
      <c r="N9767">
        <f>IF(AND(ISNUMBER(L9767),ISNUMBER(M9767)),L9767-M9767,"")</f>
        <v/>
      </c>
    </row>
    <row r="9768">
      <c r="N9768">
        <f>IF(AND(ISNUMBER(L9768),ISNUMBER(M9768)),L9768-M9768,"")</f>
        <v/>
      </c>
    </row>
    <row r="9769">
      <c r="N9769">
        <f>IF(AND(ISNUMBER(L9769),ISNUMBER(M9769)),L9769-M9769,"")</f>
        <v/>
      </c>
    </row>
    <row r="9770">
      <c r="N9770">
        <f>IF(AND(ISNUMBER(L9770),ISNUMBER(M9770)),L9770-M9770,"")</f>
        <v/>
      </c>
    </row>
    <row r="9771">
      <c r="N9771">
        <f>IF(AND(ISNUMBER(L9771),ISNUMBER(M9771)),L9771-M9771,"")</f>
        <v/>
      </c>
    </row>
    <row r="9772">
      <c r="N9772">
        <f>IF(AND(ISNUMBER(L9772),ISNUMBER(M9772)),L9772-M9772,"")</f>
        <v/>
      </c>
    </row>
    <row r="9773">
      <c r="N9773">
        <f>IF(AND(ISNUMBER(L9773),ISNUMBER(M9773)),L9773-M9773,"")</f>
        <v/>
      </c>
    </row>
    <row r="9774">
      <c r="N9774">
        <f>IF(AND(ISNUMBER(L9774),ISNUMBER(M9774)),L9774-M9774,"")</f>
        <v/>
      </c>
    </row>
    <row r="9775">
      <c r="N9775">
        <f>IF(AND(ISNUMBER(L9775),ISNUMBER(M9775)),L9775-M9775,"")</f>
        <v/>
      </c>
    </row>
    <row r="9776">
      <c r="N9776">
        <f>IF(AND(ISNUMBER(L9776),ISNUMBER(M9776)),L9776-M9776,"")</f>
        <v/>
      </c>
    </row>
    <row r="9777">
      <c r="N9777">
        <f>IF(AND(ISNUMBER(L9777),ISNUMBER(M9777)),L9777-M9777,"")</f>
        <v/>
      </c>
    </row>
    <row r="9778">
      <c r="N9778">
        <f>IF(AND(ISNUMBER(L9778),ISNUMBER(M9778)),L9778-M9778,"")</f>
        <v/>
      </c>
    </row>
    <row r="9779">
      <c r="N9779">
        <f>IF(AND(ISNUMBER(L9779),ISNUMBER(M9779)),L9779-M9779,"")</f>
        <v/>
      </c>
    </row>
    <row r="9780">
      <c r="N9780">
        <f>IF(AND(ISNUMBER(L9780),ISNUMBER(M9780)),L9780-M9780,"")</f>
        <v/>
      </c>
    </row>
    <row r="9781">
      <c r="N9781">
        <f>IF(AND(ISNUMBER(L9781),ISNUMBER(M9781)),L9781-M9781,"")</f>
        <v/>
      </c>
    </row>
    <row r="9782">
      <c r="N9782">
        <f>IF(AND(ISNUMBER(L9782),ISNUMBER(M9782)),L9782-M9782,"")</f>
        <v/>
      </c>
    </row>
    <row r="9783">
      <c r="N9783">
        <f>IF(AND(ISNUMBER(L9783),ISNUMBER(M9783)),L9783-M9783,"")</f>
        <v/>
      </c>
    </row>
    <row r="9784">
      <c r="N9784">
        <f>IF(AND(ISNUMBER(L9784),ISNUMBER(M9784)),L9784-M9784,"")</f>
        <v/>
      </c>
    </row>
    <row r="9785">
      <c r="N9785">
        <f>IF(AND(ISNUMBER(L9785),ISNUMBER(M9785)),L9785-M9785,"")</f>
        <v/>
      </c>
    </row>
    <row r="9786">
      <c r="N9786">
        <f>IF(AND(ISNUMBER(L9786),ISNUMBER(M9786)),L9786-M9786,"")</f>
        <v/>
      </c>
    </row>
    <row r="9787">
      <c r="N9787">
        <f>IF(AND(ISNUMBER(L9787),ISNUMBER(M9787)),L9787-M9787,"")</f>
        <v/>
      </c>
    </row>
    <row r="9788">
      <c r="N9788">
        <f>IF(AND(ISNUMBER(L9788),ISNUMBER(M9788)),L9788-M9788,"")</f>
        <v/>
      </c>
    </row>
    <row r="9789">
      <c r="N9789">
        <f>IF(AND(ISNUMBER(L9789),ISNUMBER(M9789)),L9789-M9789,"")</f>
        <v/>
      </c>
    </row>
    <row r="9790">
      <c r="N9790">
        <f>IF(AND(ISNUMBER(L9790),ISNUMBER(M9790)),L9790-M9790,"")</f>
        <v/>
      </c>
    </row>
    <row r="9791">
      <c r="N9791">
        <f>IF(AND(ISNUMBER(L9791),ISNUMBER(M9791)),L9791-M9791,"")</f>
        <v/>
      </c>
    </row>
    <row r="9792">
      <c r="N9792">
        <f>IF(AND(ISNUMBER(L9792),ISNUMBER(M9792)),L9792-M9792,"")</f>
        <v/>
      </c>
    </row>
    <row r="9793">
      <c r="N9793">
        <f>IF(AND(ISNUMBER(L9793),ISNUMBER(M9793)),L9793-M9793,"")</f>
        <v/>
      </c>
    </row>
    <row r="9794">
      <c r="N9794">
        <f>IF(AND(ISNUMBER(L9794),ISNUMBER(M9794)),L9794-M9794,"")</f>
        <v/>
      </c>
    </row>
    <row r="9795">
      <c r="N9795">
        <f>IF(AND(ISNUMBER(L9795),ISNUMBER(M9795)),L9795-M9795,"")</f>
        <v/>
      </c>
    </row>
    <row r="9796">
      <c r="N9796">
        <f>IF(AND(ISNUMBER(L9796),ISNUMBER(M9796)),L9796-M9796,"")</f>
        <v/>
      </c>
    </row>
    <row r="9797">
      <c r="N9797">
        <f>IF(AND(ISNUMBER(L9797),ISNUMBER(M9797)),L9797-M9797,"")</f>
        <v/>
      </c>
    </row>
    <row r="9798">
      <c r="N9798">
        <f>IF(AND(ISNUMBER(L9798),ISNUMBER(M9798)),L9798-M9798,"")</f>
        <v/>
      </c>
    </row>
    <row r="9799">
      <c r="N9799">
        <f>IF(AND(ISNUMBER(L9799),ISNUMBER(M9799)),L9799-M9799,"")</f>
        <v/>
      </c>
    </row>
    <row r="9800">
      <c r="N9800">
        <f>IF(AND(ISNUMBER(L9800),ISNUMBER(M9800)),L9800-M9800,"")</f>
        <v/>
      </c>
    </row>
    <row r="9801">
      <c r="N9801">
        <f>IF(AND(ISNUMBER(L9801),ISNUMBER(M9801)),L9801-M9801,"")</f>
        <v/>
      </c>
    </row>
    <row r="9802">
      <c r="N9802">
        <f>IF(AND(ISNUMBER(L9802),ISNUMBER(M9802)),L9802-M9802,"")</f>
        <v/>
      </c>
    </row>
    <row r="9803">
      <c r="N9803">
        <f>IF(AND(ISNUMBER(L9803),ISNUMBER(M9803)),L9803-M9803,"")</f>
        <v/>
      </c>
    </row>
    <row r="9804">
      <c r="N9804">
        <f>IF(AND(ISNUMBER(L9804),ISNUMBER(M9804)),L9804-M9804,"")</f>
        <v/>
      </c>
    </row>
    <row r="9805">
      <c r="N9805">
        <f>IF(AND(ISNUMBER(L9805),ISNUMBER(M9805)),L9805-M9805,"")</f>
        <v/>
      </c>
    </row>
    <row r="9806">
      <c r="N9806">
        <f>IF(AND(ISNUMBER(L9806),ISNUMBER(M9806)),L9806-M9806,"")</f>
        <v/>
      </c>
    </row>
    <row r="9807">
      <c r="N9807">
        <f>IF(AND(ISNUMBER(L9807),ISNUMBER(M9807)),L9807-M9807,"")</f>
        <v/>
      </c>
    </row>
    <row r="9808">
      <c r="N9808">
        <f>IF(AND(ISNUMBER(L9808),ISNUMBER(M9808)),L9808-M9808,"")</f>
        <v/>
      </c>
    </row>
    <row r="9809">
      <c r="N9809">
        <f>IF(AND(ISNUMBER(L9809),ISNUMBER(M9809)),L9809-M9809,"")</f>
        <v/>
      </c>
    </row>
    <row r="9810">
      <c r="N9810">
        <f>IF(AND(ISNUMBER(L9810),ISNUMBER(M9810)),L9810-M9810,"")</f>
        <v/>
      </c>
    </row>
    <row r="9811">
      <c r="N9811">
        <f>IF(AND(ISNUMBER(L9811),ISNUMBER(M9811)),L9811-M9811,"")</f>
        <v/>
      </c>
    </row>
    <row r="9812">
      <c r="N9812">
        <f>IF(AND(ISNUMBER(L9812),ISNUMBER(M9812)),L9812-M9812,"")</f>
        <v/>
      </c>
    </row>
    <row r="9813">
      <c r="N9813">
        <f>IF(AND(ISNUMBER(L9813),ISNUMBER(M9813)),L9813-M9813,"")</f>
        <v/>
      </c>
    </row>
    <row r="9814">
      <c r="N9814">
        <f>IF(AND(ISNUMBER(L9814),ISNUMBER(M9814)),L9814-M9814,"")</f>
        <v/>
      </c>
    </row>
    <row r="9815">
      <c r="N9815">
        <f>IF(AND(ISNUMBER(L9815),ISNUMBER(M9815)),L9815-M9815,"")</f>
        <v/>
      </c>
    </row>
    <row r="9816">
      <c r="N9816">
        <f>IF(AND(ISNUMBER(L9816),ISNUMBER(M9816)),L9816-M9816,"")</f>
        <v/>
      </c>
    </row>
    <row r="9817">
      <c r="N9817">
        <f>IF(AND(ISNUMBER(L9817),ISNUMBER(M9817)),L9817-M9817,"")</f>
        <v/>
      </c>
    </row>
    <row r="9818">
      <c r="N9818">
        <f>IF(AND(ISNUMBER(L9818),ISNUMBER(M9818)),L9818-M9818,"")</f>
        <v/>
      </c>
    </row>
    <row r="9819">
      <c r="N9819">
        <f>IF(AND(ISNUMBER(L9819),ISNUMBER(M9819)),L9819-M9819,"")</f>
        <v/>
      </c>
    </row>
    <row r="9820">
      <c r="N9820">
        <f>IF(AND(ISNUMBER(L9820),ISNUMBER(M9820)),L9820-M9820,"")</f>
        <v/>
      </c>
    </row>
    <row r="9821">
      <c r="N9821">
        <f>IF(AND(ISNUMBER(L9821),ISNUMBER(M9821)),L9821-M9821,"")</f>
        <v/>
      </c>
    </row>
    <row r="9822">
      <c r="N9822">
        <f>IF(AND(ISNUMBER(L9822),ISNUMBER(M9822)),L9822-M9822,"")</f>
        <v/>
      </c>
    </row>
    <row r="9823">
      <c r="N9823">
        <f>IF(AND(ISNUMBER(L9823),ISNUMBER(M9823)),L9823-M9823,"")</f>
        <v/>
      </c>
    </row>
    <row r="9824">
      <c r="N9824">
        <f>IF(AND(ISNUMBER(L9824),ISNUMBER(M9824)),L9824-M9824,"")</f>
        <v/>
      </c>
    </row>
    <row r="9825">
      <c r="N9825">
        <f>IF(AND(ISNUMBER(L9825),ISNUMBER(M9825)),L9825-M9825,"")</f>
        <v/>
      </c>
    </row>
    <row r="9826">
      <c r="N9826">
        <f>IF(AND(ISNUMBER(L9826),ISNUMBER(M9826)),L9826-M9826,"")</f>
        <v/>
      </c>
    </row>
    <row r="9827">
      <c r="N9827">
        <f>IF(AND(ISNUMBER(L9827),ISNUMBER(M9827)),L9827-M9827,"")</f>
        <v/>
      </c>
    </row>
    <row r="9828">
      <c r="N9828">
        <f>IF(AND(ISNUMBER(L9828),ISNUMBER(M9828)),L9828-M9828,"")</f>
        <v/>
      </c>
    </row>
    <row r="9829">
      <c r="N9829">
        <f>IF(AND(ISNUMBER(L9829),ISNUMBER(M9829)),L9829-M9829,"")</f>
        <v/>
      </c>
    </row>
    <row r="9830">
      <c r="N9830">
        <f>IF(AND(ISNUMBER(L9830),ISNUMBER(M9830)),L9830-M9830,"")</f>
        <v/>
      </c>
    </row>
    <row r="9831">
      <c r="N9831">
        <f>IF(AND(ISNUMBER(L9831),ISNUMBER(M9831)),L9831-M9831,"")</f>
        <v/>
      </c>
    </row>
    <row r="9832">
      <c r="N9832">
        <f>IF(AND(ISNUMBER(L9832),ISNUMBER(M9832)),L9832-M9832,"")</f>
        <v/>
      </c>
    </row>
    <row r="9833">
      <c r="N9833">
        <f>IF(AND(ISNUMBER(L9833),ISNUMBER(M9833)),L9833-M9833,"")</f>
        <v/>
      </c>
    </row>
    <row r="9834">
      <c r="N9834">
        <f>IF(AND(ISNUMBER(L9834),ISNUMBER(M9834)),L9834-M9834,"")</f>
        <v/>
      </c>
    </row>
    <row r="9835">
      <c r="N9835">
        <f>IF(AND(ISNUMBER(L9835),ISNUMBER(M9835)),L9835-M9835,"")</f>
        <v/>
      </c>
    </row>
    <row r="9836">
      <c r="N9836">
        <f>IF(AND(ISNUMBER(L9836),ISNUMBER(M9836)),L9836-M9836,"")</f>
        <v/>
      </c>
    </row>
    <row r="9837">
      <c r="N9837">
        <f>IF(AND(ISNUMBER(L9837),ISNUMBER(M9837)),L9837-M9837,"")</f>
        <v/>
      </c>
    </row>
    <row r="9838">
      <c r="N9838">
        <f>IF(AND(ISNUMBER(L9838),ISNUMBER(M9838)),L9838-M9838,"")</f>
        <v/>
      </c>
    </row>
    <row r="9839">
      <c r="N9839">
        <f>IF(AND(ISNUMBER(L9839),ISNUMBER(M9839)),L9839-M9839,"")</f>
        <v/>
      </c>
    </row>
    <row r="9840">
      <c r="N9840">
        <f>IF(AND(ISNUMBER(L9840),ISNUMBER(M9840)),L9840-M9840,"")</f>
        <v/>
      </c>
    </row>
    <row r="9841">
      <c r="N9841">
        <f>IF(AND(ISNUMBER(L9841),ISNUMBER(M9841)),L9841-M9841,"")</f>
        <v/>
      </c>
    </row>
    <row r="9842">
      <c r="N9842">
        <f>IF(AND(ISNUMBER(L9842),ISNUMBER(M9842)),L9842-M9842,"")</f>
        <v/>
      </c>
    </row>
    <row r="9843">
      <c r="N9843">
        <f>IF(AND(ISNUMBER(L9843),ISNUMBER(M9843)),L9843-M9843,"")</f>
        <v/>
      </c>
    </row>
    <row r="9844">
      <c r="N9844">
        <f>IF(AND(ISNUMBER(L9844),ISNUMBER(M9844)),L9844-M9844,"")</f>
        <v/>
      </c>
    </row>
    <row r="9845">
      <c r="N9845">
        <f>IF(AND(ISNUMBER(L9845),ISNUMBER(M9845)),L9845-M9845,"")</f>
        <v/>
      </c>
    </row>
    <row r="9846">
      <c r="N9846">
        <f>IF(AND(ISNUMBER(L9846),ISNUMBER(M9846)),L9846-M9846,"")</f>
        <v/>
      </c>
    </row>
    <row r="9847">
      <c r="N9847">
        <f>IF(AND(ISNUMBER(L9847),ISNUMBER(M9847)),L9847-M9847,"")</f>
        <v/>
      </c>
    </row>
    <row r="9848">
      <c r="N9848">
        <f>IF(AND(ISNUMBER(L9848),ISNUMBER(M9848)),L9848-M9848,"")</f>
        <v/>
      </c>
    </row>
    <row r="9849">
      <c r="N9849">
        <f>IF(AND(ISNUMBER(L9849),ISNUMBER(M9849)),L9849-M9849,"")</f>
        <v/>
      </c>
    </row>
    <row r="9850">
      <c r="N9850">
        <f>IF(AND(ISNUMBER(L9850),ISNUMBER(M9850)),L9850-M9850,"")</f>
        <v/>
      </c>
    </row>
    <row r="9851">
      <c r="N9851">
        <f>IF(AND(ISNUMBER(L9851),ISNUMBER(M9851)),L9851-M9851,"")</f>
        <v/>
      </c>
    </row>
    <row r="9852">
      <c r="N9852">
        <f>IF(AND(ISNUMBER(L9852),ISNUMBER(M9852)),L9852-M9852,"")</f>
        <v/>
      </c>
    </row>
    <row r="9853">
      <c r="N9853">
        <f>IF(AND(ISNUMBER(L9853),ISNUMBER(M9853)),L9853-M9853,"")</f>
        <v/>
      </c>
    </row>
    <row r="9854">
      <c r="N9854">
        <f>IF(AND(ISNUMBER(L9854),ISNUMBER(M9854)),L9854-M9854,"")</f>
        <v/>
      </c>
    </row>
    <row r="9855">
      <c r="N9855">
        <f>IF(AND(ISNUMBER(L9855),ISNUMBER(M9855)),L9855-M9855,"")</f>
        <v/>
      </c>
    </row>
    <row r="9856">
      <c r="N9856">
        <f>IF(AND(ISNUMBER(L9856),ISNUMBER(M9856)),L9856-M9856,"")</f>
        <v/>
      </c>
    </row>
    <row r="9857">
      <c r="N9857">
        <f>IF(AND(ISNUMBER(L9857),ISNUMBER(M9857)),L9857-M9857,"")</f>
        <v/>
      </c>
    </row>
    <row r="9858">
      <c r="N9858">
        <f>IF(AND(ISNUMBER(L9858),ISNUMBER(M9858)),L9858-M9858,"")</f>
        <v/>
      </c>
    </row>
    <row r="9859">
      <c r="N9859">
        <f>IF(AND(ISNUMBER(L9859),ISNUMBER(M9859)),L9859-M9859,"")</f>
        <v/>
      </c>
    </row>
    <row r="9860">
      <c r="N9860">
        <f>IF(AND(ISNUMBER(L9860),ISNUMBER(M9860)),L9860-M9860,"")</f>
        <v/>
      </c>
    </row>
    <row r="9861">
      <c r="N9861">
        <f>IF(AND(ISNUMBER(L9861),ISNUMBER(M9861)),L9861-M9861,"")</f>
        <v/>
      </c>
    </row>
    <row r="9862">
      <c r="N9862">
        <f>IF(AND(ISNUMBER(L9862),ISNUMBER(M9862)),L9862-M9862,"")</f>
        <v/>
      </c>
    </row>
    <row r="9863">
      <c r="N9863">
        <f>IF(AND(ISNUMBER(L9863),ISNUMBER(M9863)),L9863-M9863,"")</f>
        <v/>
      </c>
    </row>
    <row r="9864">
      <c r="N9864">
        <f>IF(AND(ISNUMBER(L9864),ISNUMBER(M9864)),L9864-M9864,"")</f>
        <v/>
      </c>
    </row>
    <row r="9865">
      <c r="N9865">
        <f>IF(AND(ISNUMBER(L9865),ISNUMBER(M9865)),L9865-M9865,"")</f>
        <v/>
      </c>
    </row>
    <row r="9866">
      <c r="N9866">
        <f>IF(AND(ISNUMBER(L9866),ISNUMBER(M9866)),L9866-M9866,"")</f>
        <v/>
      </c>
    </row>
    <row r="9867">
      <c r="N9867">
        <f>IF(AND(ISNUMBER(L9867),ISNUMBER(M9867)),L9867-M9867,"")</f>
        <v/>
      </c>
    </row>
    <row r="9868">
      <c r="N9868">
        <f>IF(AND(ISNUMBER(L9868),ISNUMBER(M9868)),L9868-M9868,"")</f>
        <v/>
      </c>
    </row>
    <row r="9869">
      <c r="N9869">
        <f>IF(AND(ISNUMBER(L9869),ISNUMBER(M9869)),L9869-M9869,"")</f>
        <v/>
      </c>
    </row>
    <row r="9870">
      <c r="N9870">
        <f>IF(AND(ISNUMBER(L9870),ISNUMBER(M9870)),L9870-M9870,"")</f>
        <v/>
      </c>
    </row>
    <row r="9871">
      <c r="N9871">
        <f>IF(AND(ISNUMBER(L9871),ISNUMBER(M9871)),L9871-M9871,"")</f>
        <v/>
      </c>
    </row>
    <row r="9872">
      <c r="N9872">
        <f>IF(AND(ISNUMBER(L9872),ISNUMBER(M9872)),L9872-M9872,"")</f>
        <v/>
      </c>
    </row>
    <row r="9873">
      <c r="N9873">
        <f>IF(AND(ISNUMBER(L9873),ISNUMBER(M9873)),L9873-M9873,"")</f>
        <v/>
      </c>
    </row>
    <row r="9874">
      <c r="N9874">
        <f>IF(AND(ISNUMBER(L9874),ISNUMBER(M9874)),L9874-M9874,"")</f>
        <v/>
      </c>
    </row>
    <row r="9875">
      <c r="N9875">
        <f>IF(AND(ISNUMBER(L9875),ISNUMBER(M9875)),L9875-M9875,"")</f>
        <v/>
      </c>
    </row>
    <row r="9876">
      <c r="N9876">
        <f>IF(AND(ISNUMBER(L9876),ISNUMBER(M9876)),L9876-M9876,"")</f>
        <v/>
      </c>
    </row>
    <row r="9877">
      <c r="N9877">
        <f>IF(AND(ISNUMBER(L9877),ISNUMBER(M9877)),L9877-M9877,"")</f>
        <v/>
      </c>
    </row>
    <row r="9878">
      <c r="N9878">
        <f>IF(AND(ISNUMBER(L9878),ISNUMBER(M9878)),L9878-M9878,"")</f>
        <v/>
      </c>
    </row>
    <row r="9879">
      <c r="N9879">
        <f>IF(AND(ISNUMBER(L9879),ISNUMBER(M9879)),L9879-M9879,"")</f>
        <v/>
      </c>
    </row>
    <row r="9880">
      <c r="N9880">
        <f>IF(AND(ISNUMBER(L9880),ISNUMBER(M9880)),L9880-M9880,"")</f>
        <v/>
      </c>
    </row>
    <row r="9881">
      <c r="N9881">
        <f>IF(AND(ISNUMBER(L9881),ISNUMBER(M9881)),L9881-M9881,"")</f>
        <v/>
      </c>
    </row>
    <row r="9882">
      <c r="N9882">
        <f>IF(AND(ISNUMBER(L9882),ISNUMBER(M9882)),L9882-M9882,"")</f>
        <v/>
      </c>
    </row>
    <row r="9883">
      <c r="N9883">
        <f>IF(AND(ISNUMBER(L9883),ISNUMBER(M9883)),L9883-M9883,"")</f>
        <v/>
      </c>
    </row>
    <row r="9884">
      <c r="N9884">
        <f>IF(AND(ISNUMBER(L9884),ISNUMBER(M9884)),L9884-M9884,"")</f>
        <v/>
      </c>
    </row>
    <row r="9885">
      <c r="N9885">
        <f>IF(AND(ISNUMBER(L9885),ISNUMBER(M9885)),L9885-M9885,"")</f>
        <v/>
      </c>
    </row>
    <row r="9886">
      <c r="N9886">
        <f>IF(AND(ISNUMBER(L9886),ISNUMBER(M9886)),L9886-M9886,"")</f>
        <v/>
      </c>
    </row>
    <row r="9887">
      <c r="N9887">
        <f>IF(AND(ISNUMBER(L9887),ISNUMBER(M9887)),L9887-M9887,"")</f>
        <v/>
      </c>
    </row>
    <row r="9888">
      <c r="N9888">
        <f>IF(AND(ISNUMBER(L9888),ISNUMBER(M9888)),L9888-M9888,"")</f>
        <v/>
      </c>
    </row>
    <row r="9889">
      <c r="N9889">
        <f>IF(AND(ISNUMBER(L9889),ISNUMBER(M9889)),L9889-M9889,"")</f>
        <v/>
      </c>
    </row>
    <row r="9890">
      <c r="N9890">
        <f>IF(AND(ISNUMBER(L9890),ISNUMBER(M9890)),L9890-M9890,"")</f>
        <v/>
      </c>
    </row>
    <row r="9891">
      <c r="N9891">
        <f>IF(AND(ISNUMBER(L9891),ISNUMBER(M9891)),L9891-M9891,"")</f>
        <v/>
      </c>
    </row>
    <row r="9892">
      <c r="N9892">
        <f>IF(AND(ISNUMBER(L9892),ISNUMBER(M9892)),L9892-M9892,"")</f>
        <v/>
      </c>
    </row>
    <row r="9893">
      <c r="N9893">
        <f>IF(AND(ISNUMBER(L9893),ISNUMBER(M9893)),L9893-M9893,"")</f>
        <v/>
      </c>
    </row>
    <row r="9894">
      <c r="N9894">
        <f>IF(AND(ISNUMBER(L9894),ISNUMBER(M9894)),L9894-M9894,"")</f>
        <v/>
      </c>
    </row>
    <row r="9895">
      <c r="N9895">
        <f>IF(AND(ISNUMBER(L9895),ISNUMBER(M9895)),L9895-M9895,"")</f>
        <v/>
      </c>
    </row>
    <row r="9896">
      <c r="N9896">
        <f>IF(AND(ISNUMBER(L9896),ISNUMBER(M9896)),L9896-M9896,"")</f>
        <v/>
      </c>
    </row>
    <row r="9897">
      <c r="N9897">
        <f>IF(AND(ISNUMBER(L9897),ISNUMBER(M9897)),L9897-M9897,"")</f>
        <v/>
      </c>
    </row>
    <row r="9898">
      <c r="N9898">
        <f>IF(AND(ISNUMBER(L9898),ISNUMBER(M9898)),L9898-M9898,"")</f>
        <v/>
      </c>
    </row>
    <row r="9899">
      <c r="N9899">
        <f>IF(AND(ISNUMBER(L9899),ISNUMBER(M9899)),L9899-M9899,"")</f>
        <v/>
      </c>
    </row>
    <row r="9900">
      <c r="N9900">
        <f>IF(AND(ISNUMBER(L9900),ISNUMBER(M9900)),L9900-M9900,"")</f>
        <v/>
      </c>
    </row>
    <row r="9901">
      <c r="N9901">
        <f>IF(AND(ISNUMBER(L9901),ISNUMBER(M9901)),L9901-M9901,"")</f>
        <v/>
      </c>
    </row>
    <row r="9902">
      <c r="N9902">
        <f>IF(AND(ISNUMBER(L9902),ISNUMBER(M9902)),L9902-M9902,"")</f>
        <v/>
      </c>
    </row>
    <row r="9903">
      <c r="N9903">
        <f>IF(AND(ISNUMBER(L9903),ISNUMBER(M9903)),L9903-M9903,"")</f>
        <v/>
      </c>
    </row>
    <row r="9904">
      <c r="N9904">
        <f>IF(AND(ISNUMBER(L9904),ISNUMBER(M9904)),L9904-M9904,"")</f>
        <v/>
      </c>
    </row>
    <row r="9905">
      <c r="N9905">
        <f>IF(AND(ISNUMBER(L9905),ISNUMBER(M9905)),L9905-M9905,"")</f>
        <v/>
      </c>
    </row>
    <row r="9906">
      <c r="N9906">
        <f>IF(AND(ISNUMBER(L9906),ISNUMBER(M9906)),L9906-M9906,"")</f>
        <v/>
      </c>
    </row>
    <row r="9907">
      <c r="N9907">
        <f>IF(AND(ISNUMBER(L9907),ISNUMBER(M9907)),L9907-M9907,"")</f>
        <v/>
      </c>
    </row>
    <row r="9908">
      <c r="N9908">
        <f>IF(AND(ISNUMBER(L9908),ISNUMBER(M9908)),L9908-M9908,"")</f>
        <v/>
      </c>
    </row>
    <row r="9909">
      <c r="N9909">
        <f>IF(AND(ISNUMBER(L9909),ISNUMBER(M9909)),L9909-M9909,"")</f>
        <v/>
      </c>
    </row>
    <row r="9910">
      <c r="N9910">
        <f>IF(AND(ISNUMBER(L9910),ISNUMBER(M9910)),L9910-M9910,"")</f>
        <v/>
      </c>
    </row>
    <row r="9911">
      <c r="N9911">
        <f>IF(AND(ISNUMBER(L9911),ISNUMBER(M9911)),L9911-M9911,"")</f>
        <v/>
      </c>
    </row>
    <row r="9912">
      <c r="N9912">
        <f>IF(AND(ISNUMBER(L9912),ISNUMBER(M9912)),L9912-M9912,"")</f>
        <v/>
      </c>
    </row>
    <row r="9913">
      <c r="N9913">
        <f>IF(AND(ISNUMBER(L9913),ISNUMBER(M9913)),L9913-M9913,"")</f>
        <v/>
      </c>
    </row>
    <row r="9914">
      <c r="N9914">
        <f>IF(AND(ISNUMBER(L9914),ISNUMBER(M9914)),L9914-M9914,"")</f>
        <v/>
      </c>
    </row>
    <row r="9915">
      <c r="N9915">
        <f>IF(AND(ISNUMBER(L9915),ISNUMBER(M9915)),L9915-M9915,"")</f>
        <v/>
      </c>
    </row>
    <row r="9916">
      <c r="N9916">
        <f>IF(AND(ISNUMBER(L9916),ISNUMBER(M9916)),L9916-M9916,"")</f>
        <v/>
      </c>
    </row>
    <row r="9917">
      <c r="N9917">
        <f>IF(AND(ISNUMBER(L9917),ISNUMBER(M9917)),L9917-M9917,"")</f>
        <v/>
      </c>
    </row>
    <row r="9918">
      <c r="N9918">
        <f>IF(AND(ISNUMBER(L9918),ISNUMBER(M9918)),L9918-M9918,"")</f>
        <v/>
      </c>
    </row>
    <row r="9919">
      <c r="N9919">
        <f>IF(AND(ISNUMBER(L9919),ISNUMBER(M9919)),L9919-M9919,"")</f>
        <v/>
      </c>
    </row>
    <row r="9920">
      <c r="N9920">
        <f>IF(AND(ISNUMBER(L9920),ISNUMBER(M9920)),L9920-M9920,"")</f>
        <v/>
      </c>
    </row>
    <row r="9921">
      <c r="N9921">
        <f>IF(AND(ISNUMBER(L9921),ISNUMBER(M9921)),L9921-M9921,"")</f>
        <v/>
      </c>
    </row>
    <row r="9922">
      <c r="N9922">
        <f>IF(AND(ISNUMBER(L9922),ISNUMBER(M9922)),L9922-M9922,"")</f>
        <v/>
      </c>
    </row>
    <row r="9923">
      <c r="N9923">
        <f>IF(AND(ISNUMBER(L9923),ISNUMBER(M9923)),L9923-M9923,"")</f>
        <v/>
      </c>
    </row>
    <row r="9924">
      <c r="N9924">
        <f>IF(AND(ISNUMBER(L9924),ISNUMBER(M9924)),L9924-M9924,"")</f>
        <v/>
      </c>
    </row>
    <row r="9925">
      <c r="N9925">
        <f>IF(AND(ISNUMBER(L9925),ISNUMBER(M9925)),L9925-M9925,"")</f>
        <v/>
      </c>
    </row>
    <row r="9926">
      <c r="N9926">
        <f>IF(AND(ISNUMBER(L9926),ISNUMBER(M9926)),L9926-M9926,"")</f>
        <v/>
      </c>
    </row>
    <row r="9927">
      <c r="N9927">
        <f>IF(AND(ISNUMBER(L9927),ISNUMBER(M9927)),L9927-M9927,"")</f>
        <v/>
      </c>
    </row>
    <row r="9928">
      <c r="N9928">
        <f>IF(AND(ISNUMBER(L9928),ISNUMBER(M9928)),L9928-M9928,"")</f>
        <v/>
      </c>
    </row>
    <row r="9929">
      <c r="N9929">
        <f>IF(AND(ISNUMBER(L9929),ISNUMBER(M9929)),L9929-M9929,"")</f>
        <v/>
      </c>
    </row>
    <row r="9930">
      <c r="N9930">
        <f>IF(AND(ISNUMBER(L9930),ISNUMBER(M9930)),L9930-M9930,"")</f>
        <v/>
      </c>
    </row>
    <row r="9931">
      <c r="N9931">
        <f>IF(AND(ISNUMBER(L9931),ISNUMBER(M9931)),L9931-M9931,"")</f>
        <v/>
      </c>
    </row>
    <row r="9932">
      <c r="N9932">
        <f>IF(AND(ISNUMBER(L9932),ISNUMBER(M9932)),L9932-M9932,"")</f>
        <v/>
      </c>
    </row>
    <row r="9933">
      <c r="N9933">
        <f>IF(AND(ISNUMBER(L9933),ISNUMBER(M9933)),L9933-M9933,"")</f>
        <v/>
      </c>
    </row>
    <row r="9934">
      <c r="N9934">
        <f>IF(AND(ISNUMBER(L9934),ISNUMBER(M9934)),L9934-M9934,"")</f>
        <v/>
      </c>
    </row>
    <row r="9935">
      <c r="N9935">
        <f>IF(AND(ISNUMBER(L9935),ISNUMBER(M9935)),L9935-M9935,"")</f>
        <v/>
      </c>
    </row>
    <row r="9936">
      <c r="N9936">
        <f>IF(AND(ISNUMBER(L9936),ISNUMBER(M9936)),L9936-M9936,"")</f>
        <v/>
      </c>
    </row>
    <row r="9937">
      <c r="N9937">
        <f>IF(AND(ISNUMBER(L9937),ISNUMBER(M9937)),L9937-M9937,"")</f>
        <v/>
      </c>
    </row>
    <row r="9938">
      <c r="N9938">
        <f>IF(AND(ISNUMBER(L9938),ISNUMBER(M9938)),L9938-M9938,"")</f>
        <v/>
      </c>
    </row>
    <row r="9939">
      <c r="N9939">
        <f>IF(AND(ISNUMBER(L9939),ISNUMBER(M9939)),L9939-M9939,"")</f>
        <v/>
      </c>
    </row>
    <row r="9940">
      <c r="N9940">
        <f>IF(AND(ISNUMBER(L9940),ISNUMBER(M9940)),L9940-M9940,"")</f>
        <v/>
      </c>
    </row>
    <row r="9941">
      <c r="N9941">
        <f>IF(AND(ISNUMBER(L9941),ISNUMBER(M9941)),L9941-M9941,"")</f>
        <v/>
      </c>
    </row>
    <row r="9942">
      <c r="N9942">
        <f>IF(AND(ISNUMBER(L9942),ISNUMBER(M9942)),L9942-M9942,"")</f>
        <v/>
      </c>
    </row>
    <row r="9943">
      <c r="N9943">
        <f>IF(AND(ISNUMBER(L9943),ISNUMBER(M9943)),L9943-M9943,"")</f>
        <v/>
      </c>
    </row>
    <row r="9944">
      <c r="N9944">
        <f>IF(AND(ISNUMBER(L9944),ISNUMBER(M9944)),L9944-M9944,"")</f>
        <v/>
      </c>
    </row>
    <row r="9945">
      <c r="N9945">
        <f>IF(AND(ISNUMBER(L9945),ISNUMBER(M9945)),L9945-M9945,"")</f>
        <v/>
      </c>
    </row>
    <row r="9946">
      <c r="N9946">
        <f>IF(AND(ISNUMBER(L9946),ISNUMBER(M9946)),L9946-M9946,"")</f>
        <v/>
      </c>
    </row>
    <row r="9947">
      <c r="N9947">
        <f>IF(AND(ISNUMBER(L9947),ISNUMBER(M9947)),L9947-M9947,"")</f>
        <v/>
      </c>
    </row>
    <row r="9948">
      <c r="N9948">
        <f>IF(AND(ISNUMBER(L9948),ISNUMBER(M9948)),L9948-M9948,"")</f>
        <v/>
      </c>
    </row>
    <row r="9949">
      <c r="N9949">
        <f>IF(AND(ISNUMBER(L9949),ISNUMBER(M9949)),L9949-M9949,"")</f>
        <v/>
      </c>
    </row>
    <row r="9950">
      <c r="N9950">
        <f>IF(AND(ISNUMBER(L9950),ISNUMBER(M9950)),L9950-M9950,"")</f>
        <v/>
      </c>
    </row>
    <row r="9951">
      <c r="N9951">
        <f>IF(AND(ISNUMBER(L9951),ISNUMBER(M9951)),L9951-M9951,"")</f>
        <v/>
      </c>
    </row>
    <row r="9952">
      <c r="N9952">
        <f>IF(AND(ISNUMBER(L9952),ISNUMBER(M9952)),L9952-M9952,"")</f>
        <v/>
      </c>
    </row>
    <row r="9953">
      <c r="N9953">
        <f>IF(AND(ISNUMBER(L9953),ISNUMBER(M9953)),L9953-M9953,"")</f>
        <v/>
      </c>
    </row>
    <row r="9954">
      <c r="N9954">
        <f>IF(AND(ISNUMBER(L9954),ISNUMBER(M9954)),L9954-M9954,"")</f>
        <v/>
      </c>
    </row>
    <row r="9955">
      <c r="N9955">
        <f>IF(AND(ISNUMBER(L9955),ISNUMBER(M9955)),L9955-M9955,"")</f>
        <v/>
      </c>
    </row>
    <row r="9956">
      <c r="N9956">
        <f>IF(AND(ISNUMBER(L9956),ISNUMBER(M9956)),L9956-M9956,"")</f>
        <v/>
      </c>
    </row>
    <row r="9957">
      <c r="N9957">
        <f>IF(AND(ISNUMBER(L9957),ISNUMBER(M9957)),L9957-M9957,"")</f>
        <v/>
      </c>
    </row>
    <row r="9958">
      <c r="N9958">
        <f>IF(AND(ISNUMBER(L9958),ISNUMBER(M9958)),L9958-M9958,"")</f>
        <v/>
      </c>
    </row>
    <row r="9959">
      <c r="N9959">
        <f>IF(AND(ISNUMBER(L9959),ISNUMBER(M9959)),L9959-M9959,"")</f>
        <v/>
      </c>
    </row>
    <row r="9960">
      <c r="N9960">
        <f>IF(AND(ISNUMBER(L9960),ISNUMBER(M9960)),L9960-M9960,"")</f>
        <v/>
      </c>
    </row>
    <row r="9961">
      <c r="N9961">
        <f>IF(AND(ISNUMBER(L9961),ISNUMBER(M9961)),L9961-M9961,"")</f>
        <v/>
      </c>
    </row>
    <row r="9962">
      <c r="N9962">
        <f>IF(AND(ISNUMBER(L9962),ISNUMBER(M9962)),L9962-M9962,"")</f>
        <v/>
      </c>
    </row>
    <row r="9963">
      <c r="N9963">
        <f>IF(AND(ISNUMBER(L9963),ISNUMBER(M9963)),L9963-M9963,"")</f>
        <v/>
      </c>
    </row>
    <row r="9964">
      <c r="N9964">
        <f>IF(AND(ISNUMBER(L9964),ISNUMBER(M9964)),L9964-M9964,"")</f>
        <v/>
      </c>
    </row>
    <row r="9965">
      <c r="N9965">
        <f>IF(AND(ISNUMBER(L9965),ISNUMBER(M9965)),L9965-M9965,"")</f>
        <v/>
      </c>
    </row>
    <row r="9966">
      <c r="N9966">
        <f>IF(AND(ISNUMBER(L9966),ISNUMBER(M9966)),L9966-M9966,"")</f>
        <v/>
      </c>
    </row>
    <row r="9967">
      <c r="N9967">
        <f>IF(AND(ISNUMBER(L9967),ISNUMBER(M9967)),L9967-M9967,"")</f>
        <v/>
      </c>
    </row>
    <row r="9968">
      <c r="N9968">
        <f>IF(AND(ISNUMBER(L9968),ISNUMBER(M9968)),L9968-M9968,"")</f>
        <v/>
      </c>
    </row>
    <row r="9969">
      <c r="N9969">
        <f>IF(AND(ISNUMBER(L9969),ISNUMBER(M9969)),L9969-M9969,"")</f>
        <v/>
      </c>
    </row>
    <row r="9970">
      <c r="N9970">
        <f>IF(AND(ISNUMBER(L9970),ISNUMBER(M9970)),L9970-M9970,"")</f>
        <v/>
      </c>
    </row>
    <row r="9971">
      <c r="N9971">
        <f>IF(AND(ISNUMBER(L9971),ISNUMBER(M9971)),L9971-M9971,"")</f>
        <v/>
      </c>
    </row>
    <row r="9972">
      <c r="N9972">
        <f>IF(AND(ISNUMBER(L9972),ISNUMBER(M9972)),L9972-M9972,"")</f>
        <v/>
      </c>
    </row>
    <row r="9973">
      <c r="N9973">
        <f>IF(AND(ISNUMBER(L9973),ISNUMBER(M9973)),L9973-M9973,"")</f>
        <v/>
      </c>
    </row>
    <row r="9974">
      <c r="N9974">
        <f>IF(AND(ISNUMBER(L9974),ISNUMBER(M9974)),L9974-M9974,"")</f>
        <v/>
      </c>
    </row>
    <row r="9975">
      <c r="N9975">
        <f>IF(AND(ISNUMBER(L9975),ISNUMBER(M9975)),L9975-M9975,"")</f>
        <v/>
      </c>
    </row>
    <row r="9976">
      <c r="N9976">
        <f>IF(AND(ISNUMBER(L9976),ISNUMBER(M9976)),L9976-M9976,"")</f>
        <v/>
      </c>
    </row>
    <row r="9977">
      <c r="N9977">
        <f>IF(AND(ISNUMBER(L9977),ISNUMBER(M9977)),L9977-M9977,"")</f>
        <v/>
      </c>
    </row>
    <row r="9978">
      <c r="N9978">
        <f>IF(AND(ISNUMBER(L9978),ISNUMBER(M9978)),L9978-M9978,"")</f>
        <v/>
      </c>
    </row>
    <row r="9979">
      <c r="N9979">
        <f>IF(AND(ISNUMBER(L9979),ISNUMBER(M9979)),L9979-M9979,"")</f>
        <v/>
      </c>
    </row>
    <row r="9980">
      <c r="N9980">
        <f>IF(AND(ISNUMBER(L9980),ISNUMBER(M9980)),L9980-M9980,"")</f>
        <v/>
      </c>
    </row>
    <row r="9981">
      <c r="N9981">
        <f>IF(AND(ISNUMBER(L9981),ISNUMBER(M9981)),L9981-M9981,"")</f>
        <v/>
      </c>
    </row>
    <row r="9982">
      <c r="N9982">
        <f>IF(AND(ISNUMBER(L9982),ISNUMBER(M9982)),L9982-M9982,"")</f>
        <v/>
      </c>
    </row>
    <row r="9983">
      <c r="N9983">
        <f>IF(AND(ISNUMBER(L9983),ISNUMBER(M9983)),L9983-M9983,"")</f>
        <v/>
      </c>
    </row>
    <row r="9984">
      <c r="N9984">
        <f>IF(AND(ISNUMBER(L9984),ISNUMBER(M9984)),L9984-M9984,"")</f>
        <v/>
      </c>
    </row>
    <row r="9985">
      <c r="N9985">
        <f>IF(AND(ISNUMBER(L9985),ISNUMBER(M9985)),L9985-M9985,"")</f>
        <v/>
      </c>
    </row>
    <row r="9986">
      <c r="N9986">
        <f>IF(AND(ISNUMBER(L9986),ISNUMBER(M9986)),L9986-M9986,"")</f>
        <v/>
      </c>
    </row>
    <row r="9987">
      <c r="N9987">
        <f>IF(AND(ISNUMBER(L9987),ISNUMBER(M9987)),L9987-M9987,"")</f>
        <v/>
      </c>
    </row>
    <row r="9988">
      <c r="N9988">
        <f>IF(AND(ISNUMBER(L9988),ISNUMBER(M9988)),L9988-M9988,"")</f>
        <v/>
      </c>
    </row>
    <row r="9989">
      <c r="N9989">
        <f>IF(AND(ISNUMBER(L9989),ISNUMBER(M9989)),L9989-M9989,"")</f>
        <v/>
      </c>
    </row>
    <row r="9990">
      <c r="N9990">
        <f>IF(AND(ISNUMBER(L9990),ISNUMBER(M9990)),L9990-M9990,"")</f>
        <v/>
      </c>
    </row>
    <row r="9991">
      <c r="N9991">
        <f>IF(AND(ISNUMBER(L9991),ISNUMBER(M9991)),L9991-M9991,"")</f>
        <v/>
      </c>
    </row>
    <row r="9992">
      <c r="N9992">
        <f>IF(AND(ISNUMBER(L9992),ISNUMBER(M9992)),L9992-M9992,"")</f>
        <v/>
      </c>
    </row>
    <row r="9993">
      <c r="N9993">
        <f>IF(AND(ISNUMBER(L9993),ISNUMBER(M9993)),L9993-M9993,"")</f>
        <v/>
      </c>
    </row>
    <row r="9994">
      <c r="N9994">
        <f>IF(AND(ISNUMBER(L9994),ISNUMBER(M9994)),L9994-M9994,"")</f>
        <v/>
      </c>
    </row>
    <row r="9995">
      <c r="N9995">
        <f>IF(AND(ISNUMBER(L9995),ISNUMBER(M9995)),L9995-M9995,"")</f>
        <v/>
      </c>
    </row>
    <row r="9996">
      <c r="N9996">
        <f>IF(AND(ISNUMBER(L9996),ISNUMBER(M9996)),L9996-M9996,"")</f>
        <v/>
      </c>
    </row>
    <row r="9997">
      <c r="N9997">
        <f>IF(AND(ISNUMBER(L9997),ISNUMBER(M9997)),L9997-M9997,"")</f>
        <v/>
      </c>
    </row>
    <row r="9998">
      <c r="N9998">
        <f>IF(AND(ISNUMBER(L9998),ISNUMBER(M9998)),L9998-M9998,"")</f>
        <v/>
      </c>
    </row>
    <row r="9999">
      <c r="N9999">
        <f>IF(AND(ISNUMBER(L9999),ISNUMBER(M9999)),L9999-M9999,"")</f>
        <v/>
      </c>
    </row>
    <row r="10000">
      <c r="N10000">
        <f>IF(AND(ISNUMBER(L10000),ISNUMBER(M10000)),L10000-M10000,"")</f>
        <v/>
      </c>
    </row>
    <row r="10001">
      <c r="N10001">
        <f>IF(AND(ISNUMBER(L10001),ISNUMBER(M10001)),L10001-M10001,"")</f>
        <v/>
      </c>
    </row>
    <row r="10002">
      <c r="N10002">
        <f>IF(AND(ISNUMBER(L10002),ISNUMBER(M10002)),L10002-M10002,"")</f>
        <v/>
      </c>
    </row>
    <row r="10003">
      <c r="N10003">
        <f>IF(AND(ISNUMBER(L10003),ISNUMBER(M10003)),L10003-M10003,"")</f>
        <v/>
      </c>
    </row>
    <row r="10004">
      <c r="N10004">
        <f>IF(AND(ISNUMBER(L10004),ISNUMBER(M10004)),L10004-M10004,"")</f>
        <v/>
      </c>
    </row>
    <row r="10005">
      <c r="N10005">
        <f>IF(AND(ISNUMBER(L10005),ISNUMBER(M10005)),L10005-M10005,"")</f>
        <v/>
      </c>
    </row>
    <row r="10006">
      <c r="N10006">
        <f>IF(AND(ISNUMBER(L10006),ISNUMBER(M10006)),L10006-M10006,"")</f>
        <v/>
      </c>
    </row>
    <row r="10007">
      <c r="N10007">
        <f>IF(AND(ISNUMBER(L10007),ISNUMBER(M10007)),L10007-M10007,"")</f>
        <v/>
      </c>
    </row>
    <row r="10008">
      <c r="N10008">
        <f>IF(AND(ISNUMBER(L10008),ISNUMBER(M10008)),L10008-M10008,"")</f>
        <v/>
      </c>
    </row>
    <row r="10009">
      <c r="N10009">
        <f>IF(AND(ISNUMBER(L10009),ISNUMBER(M10009)),L10009-M10009,"")</f>
        <v/>
      </c>
    </row>
  </sheetData>
  <dataValidations count="1">
    <dataValidation sqref="B9 B97" showDropDown="0" showInputMessage="0" showErrorMessage="1" allowBlank="1" errorTitle="Fractie" error="Typ een fractie, bv. 0,05." type="decimal" operator="between">
      <formula1>0.0000001</formula1>
      <formula2>0.9999999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051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30" customWidth="1" min="38" max="38"/>
  </cols>
  <sheetData>
    <row r="1">
      <c r="A1" s="1" t="inlineStr">
        <is>
          <t>Regelkaarten (control charts): X̄-R- en X̄-s-kaart uit subgroepen, met markering van punten buiten de grenzen</t>
        </is>
      </c>
    </row>
    <row r="2">
      <c r="A2" s="2" t="inlineStr">
        <is>
          <t>Bron in de cursus</t>
        </is>
      </c>
      <c r="B2" s="3" t="inlineStr">
        <is>
          <t>source/course/Les 4/2026 Lean - Six Sigma v13 - Capabiliteit - SPC.pdf p. 54-58, 62-74; ___4.1 tabellen SPC.pdf p. 1-2; Les 5/20260619_ottoy_Rheostat Knob Data.xls</t>
        </is>
      </c>
    </row>
    <row r="3">
      <c r="A3" s="2" t="inlineStr">
        <is>
          <t>Gebruikte conventie</t>
        </is>
      </c>
      <c r="B3" s="3" t="inlineStr">
        <is>
          <t>Beslissing 4: constanten uit Table 18 (A2, D3, D4, B3, B4, d2), Table A (c4), Six Sigma Demystified (A3); 3σ-grenzen. I-MR-, p- en u-kaart: blad Extra (boeken), niet te kennen.</t>
        </is>
      </c>
    </row>
    <row r="4">
      <c r="A4" s="2" t="inlineStr">
        <is>
          <t>Status</t>
        </is>
      </c>
      <c r="B4" s="4" t="inlineStr">
        <is>
          <t>GEVERIFIEERD (VERIFIED): getest tegen de uitgewerkte voorbeelden van de cursus S06-WE03, S06-WE05, S06-WE06, S10-WE04a, S10-WE04b (en S08-WE18 uit Dummies; extra, niet te kennen); enkele gedrukte waarden wijken af (resources/build/README.md)</t>
        </is>
      </c>
    </row>
    <row r="5">
      <c r="A5" s="2" t="inlineStr">
        <is>
          <t>Legende</t>
        </is>
      </c>
      <c r="B5" s="3" t="inlineStr">
        <is>
          <t>Gele cel = vul hier in (invoer).  Groene cel = resultaat, niet overtypen.  Oranje cel (Tabellen) = verschilt van een andere gedrukte bron.</t>
        </is>
      </c>
    </row>
    <row r="6">
      <c r="A6" s="2" t="inlineStr">
        <is>
          <t>Controle</t>
        </is>
      </c>
      <c r="B6" s="3" t="inlineStr">
        <is>
          <t>Blijft een groene cel leeg, dan ontbreekt nog een invoer die ze nodig heeft.</t>
        </is>
      </c>
    </row>
    <row r="8">
      <c r="A8" s="5" t="inlineStr">
        <is>
          <t>1. X̄-R- en X̄-s-kaart uit subgroepen (vul de tabel vanaf rij 52: ruwe waarden, of x̄ en R; uitleg rechts)</t>
        </is>
      </c>
      <c r="J8" s="20" t="inlineStr">
        <is>
          <t>Zo vul je de tabel in (vanaf rij 52)</t>
        </is>
      </c>
    </row>
    <row r="9">
      <c r="A9" s="6" t="inlineStr">
        <is>
          <t>n = subgroepgrootte, als je subgroepen als x̄ en R typt</t>
        </is>
      </c>
      <c r="B9" s="7" t="n"/>
      <c r="C9" s="8" t="inlineStr">
        <is>
          <t>ruwe waarden: n wordt per rij geteld</t>
        </is>
      </c>
      <c r="J9" s="8" t="inlineStr">
        <is>
          <t>• Eén subgroep per rij, alleen GETALLEN. Ruwe waarden: x1, x2, … naast elkaar in kolommen B tot Z (tot 25 per subgroep).</t>
        </is>
      </c>
    </row>
    <row r="10">
      <c r="J10" s="8" t="inlineStr">
        <is>
          <t>• Of typ per subgroep x̄ en R (en s) in kolommen AA-AC en de subgroepgrootte n in B9.</t>
        </is>
      </c>
    </row>
    <row r="11">
      <c r="A11" s="5" t="inlineStr">
        <is>
          <t>Samenvatting van de subgroepen</t>
        </is>
      </c>
      <c r="J11" s="8" t="inlineStr">
        <is>
          <t>• Tot 1000 subgroepen; lege rijen tellen niet mee. Kolom AL zegt per rij wat er mis is.</t>
        </is>
      </c>
    </row>
    <row r="12">
      <c r="A12" s="6" t="inlineStr">
        <is>
          <t>k = aantal subgroepen</t>
        </is>
      </c>
      <c r="B12" s="28">
        <f>IF(COUNT(AE52:AE1051)&gt;0,COUNT(AE52:AE1051),"")</f>
        <v/>
      </c>
      <c r="J12" s="8" t="inlineStr">
        <is>
          <t>• Plakken uit een ander bestand: Plakken speciaal → Waarden. Geen kop of tekst in de tabel.</t>
        </is>
      </c>
    </row>
    <row r="13">
      <c r="A13" s="6" t="inlineStr">
        <is>
          <t>gebruikte n (grootste subgroepgrootte)</t>
        </is>
      </c>
      <c r="B13" s="28">
        <f>IF(COUNT(AD52:AD1051)&gt;0,MAX(AD52:AD1051),"")</f>
        <v/>
      </c>
    </row>
    <row r="14">
      <c r="A14" s="6" t="inlineStr">
        <is>
          <t>Gelijke subgroepgroottes?</t>
        </is>
      </c>
      <c r="B14" s="13">
        <f>IF(COUNT(AD52:AD1051)&gt;0,IF(MIN(AD52:AD1051)=MAX(AD52:AD1051),"ja","NEE: de grenzen gebruiken de grootste n (deck p. 74: variable sample size)"),"")</f>
        <v/>
      </c>
      <c r="J14" s="20" t="inlineStr">
        <is>
          <t>De kaart lezen: Western Electric-regels (deck p. 68-69)</t>
        </is>
      </c>
    </row>
    <row r="15">
      <c r="A15" s="6" t="inlineStr">
        <is>
          <t>X̿ = gemiddelde van de subgroepgemiddelden</t>
        </is>
      </c>
      <c r="B15" s="29">
        <f>IF(COUNT(AE52:AE1051)&gt;0,AVERAGE(AE52:AE1051),"")</f>
        <v/>
      </c>
      <c r="J15" s="6" t="inlineStr">
        <is>
          <t>1. Eén of meer punten buiten de controlegrenzen (gemarkeerd in de tabel hieronder).</t>
        </is>
      </c>
    </row>
    <row r="16">
      <c r="A16" s="6" t="inlineStr">
        <is>
          <t>R̄ = gemiddelde spreidingsbreedte (range)</t>
        </is>
      </c>
      <c r="B16" s="29">
        <f>IF(COUNT(AF52:AF1051)&gt;0,AVERAGE(AF52:AF1051),"")</f>
        <v/>
      </c>
      <c r="J16" s="6" t="inlineStr">
        <is>
          <t>2. Twee van drie opeenvolgende punten buiten de 2σ-waarschuwingsgrenzen maar nog binnen de controlegrenzen.</t>
        </is>
      </c>
    </row>
    <row r="17">
      <c r="A17" s="6" t="inlineStr">
        <is>
          <t>s̄ = gemiddelde standaardafwijking</t>
        </is>
      </c>
      <c r="B17" s="29">
        <f>IF(COUNT(AG52:AG1051)&gt;0,AVERAGE(AG52:AG1051),"")</f>
        <v/>
      </c>
      <c r="J17" s="6" t="inlineStr">
        <is>
          <t>3. Vier van vijf opeenvolgende punten voorbij de 1σ-grenzen.</t>
        </is>
      </c>
    </row>
    <row r="18">
      <c r="A18" s="6" t="inlineStr">
        <is>
          <t>σ̂ = R̄ / d2  (d2 in kolom C)</t>
        </is>
      </c>
      <c r="B18" s="29">
        <f>IF(AND(ISNUMBER(B16),ISNUMBER(C18)),B16/C18,"")</f>
        <v/>
      </c>
      <c r="C18" s="12">
        <f>IF(ISNUMBER(B13),IFERROR(INDEX(T18_d2,MATCH(B13,T18_n,0)),"n niet in de tabel"),"")</f>
        <v/>
      </c>
      <c r="D18" s="8" t="inlineStr">
        <is>
          <t>deck p. 64 (sprekersnotities)</t>
        </is>
      </c>
      <c r="J18" s="6" t="inlineStr">
        <is>
          <t>4. Acht opeenvolgende punten aan één kant van de centrale lijn.</t>
        </is>
      </c>
    </row>
    <row r="19">
      <c r="A19" s="6" t="inlineStr">
        <is>
          <t>σ̂ = s̄ / c4  (c4 in kolom C)</t>
        </is>
      </c>
      <c r="B19" s="29">
        <f>IF(AND(ISNUMBER(B17),ISNUMBER(C19)),B17/C19,"")</f>
        <v/>
      </c>
      <c r="C19" s="11">
        <f>IF(ISNUMBER(B13),IFERROR(INDEX(TA_c4,MATCH(B13,TA_n,0)),"n niet in de tabel"),"")</f>
        <v/>
      </c>
      <c r="D19" s="8" t="inlineStr">
        <is>
          <t>___4.1 tabellen SPC.pdf p. 1</t>
        </is>
      </c>
      <c r="J19" s="8" t="inlineStr">
        <is>
          <t>Bij regels 2 en 3 zegt deck p. 68 niet of de punten aan dezelfde kant van de centrale lijn moeten liggen.</t>
        </is>
      </c>
    </row>
    <row r="20">
      <c r="A20" s="6" t="inlineStr">
        <is>
          <t>σ(x̄) = σ̂ / √n  (met R̄/d2)</t>
        </is>
      </c>
      <c r="B20" s="29">
        <f>IF(AND(ISNUMBER(B18),ISNUMBER(B13)),B18/SQRT(B13),"")</f>
        <v/>
      </c>
      <c r="C20" s="8" t="inlineStr">
        <is>
          <t>deck p. 64 (notities)</t>
        </is>
      </c>
      <c r="J20" s="8" t="inlineStr">
        <is>
          <t>Meer regels, zones A/B/C en overreageren (tampering) tegenover te laat reageren: deck p. 65-70.</t>
        </is>
      </c>
    </row>
    <row r="22">
      <c r="A22" s="10" t="inlineStr">
        <is>
          <t>Kaart</t>
        </is>
      </c>
      <c r="B22" s="10" t="inlineStr">
        <is>
          <t>LCL</t>
        </is>
      </c>
      <c r="C22" s="10" t="inlineStr">
        <is>
          <t>CL</t>
        </is>
      </c>
      <c r="D22" s="10" t="inlineStr">
        <is>
          <t>UCL</t>
        </is>
      </c>
      <c r="E22" s="10" t="inlineStr">
        <is>
          <t>Constanten</t>
        </is>
      </c>
      <c r="F22" s="10" t="inlineStr">
        <is>
          <t>waarde</t>
        </is>
      </c>
      <c r="G22" s="10" t="inlineStr">
        <is>
          <t>waarde</t>
        </is>
      </c>
      <c r="H22" s="10" t="inlineStr">
        <is>
          <t>Bron in de cursus</t>
        </is>
      </c>
      <c r="J22" s="20" t="inlineStr">
        <is>
          <t>Constanten die dit blad gebruikt (X̄-R- en X̄-s-kaart)</t>
        </is>
      </c>
    </row>
    <row r="23">
      <c r="A23" s="6" t="inlineStr">
        <is>
          <t>X̄-kaart met R̄: X̿ ± A2·R̄</t>
        </is>
      </c>
      <c r="B23" s="29">
        <f>IF(AND(AND(ISNUMBER(B15),ISNUMBER(F23)),ISNUMBER(B16)),B15-F23*B16,"")</f>
        <v/>
      </c>
      <c r="C23" s="29">
        <f>IF(ISNUMBER(B15),B15,"")</f>
        <v/>
      </c>
      <c r="D23" s="29">
        <f>IF(AND(AND(ISNUMBER(B15),ISNUMBER(F23)),ISNUMBER(B16)),B15+F23*B16,"")</f>
        <v/>
      </c>
      <c r="E23" s="6" t="inlineStr">
        <is>
          <t>A2</t>
        </is>
      </c>
      <c r="F23" s="12">
        <f>IF(ISNUMBER($B$13),IFERROR(INDEX(T18_A2,MATCH($B$13,T18_n,0)),"n niet in de tabel"),"")</f>
        <v/>
      </c>
      <c r="H23" s="8" t="inlineStr">
        <is>
          <t>deck p. 74</t>
        </is>
      </c>
      <c r="J23" s="8" t="inlineStr">
        <is>
          <t>Bron: A2, D3, D4, B3, B4, d2 uit Table 18 (___4.1 tabellen SPC.pdf p. 2); c4 uit Table A (___4.1 tabellen SPC.pdf p. 1); A3 uit Six Sigma Demystified (Control charts - constants.pdf p. 1). Alle bronnen naast elkaar: blad Tabellen.</t>
        </is>
      </c>
    </row>
    <row r="24">
      <c r="A24" s="6" t="inlineStr">
        <is>
          <t>R-kaart: D3·R̄ … D4·R̄</t>
        </is>
      </c>
      <c r="B24" s="29">
        <f>IF(AND(ISNUMBER(B16),ISNUMBER(F24),ISNUMBER(G24)),F24*B16,"")</f>
        <v/>
      </c>
      <c r="C24" s="29">
        <f>IF(ISNUMBER(B16),B16,"")</f>
        <v/>
      </c>
      <c r="D24" s="29">
        <f>IF(AND(ISNUMBER(B16),ISNUMBER(F24),ISNUMBER(G24)),G24*B16,"")</f>
        <v/>
      </c>
      <c r="E24" s="6" t="inlineStr">
        <is>
          <t>D3, D4</t>
        </is>
      </c>
      <c r="F24" s="12">
        <f>IF(ISNUMBER($B$13),IFERROR(INDEX(T18_D3,MATCH($B$13,T18_n,0)),"n niet in de tabel"),"")</f>
        <v/>
      </c>
      <c r="G24" s="12">
        <f>IF(ISNUMBER($B$13),IFERROR(INDEX(T18_D4,MATCH($B$13,T18_n,0)),"n niet in de tabel"),"")</f>
        <v/>
      </c>
      <c r="H24" s="8" t="inlineStr">
        <is>
          <t>deck p. 74</t>
        </is>
      </c>
      <c r="J24" s="10" t="inlineStr">
        <is>
          <t>n</t>
        </is>
      </c>
      <c r="K24" s="10" t="inlineStr">
        <is>
          <t>A2</t>
        </is>
      </c>
      <c r="L24" s="10" t="inlineStr">
        <is>
          <t>D3</t>
        </is>
      </c>
      <c r="M24" s="10" t="inlineStr">
        <is>
          <t>D4</t>
        </is>
      </c>
      <c r="N24" s="10" t="inlineStr">
        <is>
          <t>A3</t>
        </is>
      </c>
      <c r="O24" s="10" t="inlineStr">
        <is>
          <t>B3</t>
        </is>
      </c>
      <c r="P24" s="10" t="inlineStr">
        <is>
          <t>B4</t>
        </is>
      </c>
      <c r="Q24" s="10" t="inlineStr">
        <is>
          <t>d2</t>
        </is>
      </c>
      <c r="R24" s="10" t="inlineStr">
        <is>
          <t>c4</t>
        </is>
      </c>
    </row>
    <row r="25">
      <c r="A25" s="6" t="inlineStr">
        <is>
          <t>X̄-kaart met s̄: X̿ ± A3·s̄</t>
        </is>
      </c>
      <c r="B25" s="29">
        <f>IF(AND(AND(ISNUMBER(B15),ISNUMBER(F25)),ISNUMBER(B17)),B15-F25*B17,"")</f>
        <v/>
      </c>
      <c r="C25" s="29">
        <f>IF(ISNUMBER(B15),B15,"")</f>
        <v/>
      </c>
      <c r="D25" s="29">
        <f>IF(AND(AND(ISNUMBER(B15),ISNUMBER(F25)),ISNUMBER(B17)),B15+F25*B17,"")</f>
        <v/>
      </c>
      <c r="E25" s="6" t="inlineStr">
        <is>
          <t>A3</t>
        </is>
      </c>
      <c r="F25" s="12">
        <f>IF(ISNUMBER($B$13),IFERROR(INDEX(SSD1_A3,MATCH($B$13,SSD1_n,0)),"n niet in de tabel"),"")</f>
        <v/>
      </c>
      <c r="H25" s="8" t="inlineStr">
        <is>
          <t>deck p. 74; notities p. 73: s beter voor n &gt; 10</t>
        </is>
      </c>
      <c r="J25" s="19" t="n">
        <v>2</v>
      </c>
      <c r="K25" s="21">
        <f>IFERROR(INDEX(T18_A2,MATCH(J25,T18_n,0)),"")</f>
        <v/>
      </c>
      <c r="L25" s="21">
        <f>IFERROR(INDEX(T18_D3,MATCH(J25,T18_n,0)),"")</f>
        <v/>
      </c>
      <c r="M25" s="21">
        <f>IFERROR(INDEX(T18_D4,MATCH(J25,T18_n,0)),"")</f>
        <v/>
      </c>
      <c r="N25" s="21">
        <f>IFERROR(INDEX(SSD1_A3,MATCH(J25,SSD1_n,0)),"")</f>
        <v/>
      </c>
      <c r="O25" s="21">
        <f>IFERROR(INDEX(T18_B3,MATCH(J25,T18_n,0)),"")</f>
        <v/>
      </c>
      <c r="P25" s="21">
        <f>IFERROR(INDEX(T18_B4,MATCH(J25,T18_n,0)),"")</f>
        <v/>
      </c>
      <c r="Q25" s="21">
        <f>IFERROR(INDEX(T18_d2,MATCH(J25,T18_n,0)),"")</f>
        <v/>
      </c>
      <c r="R25" s="21">
        <f>IFERROR(INDEX(TA_c4,MATCH(J25,TA_n,0)),"")</f>
        <v/>
      </c>
    </row>
    <row r="26">
      <c r="A26" s="6" t="inlineStr">
        <is>
          <t>s-kaart: B3·s̄ … B4·s̄</t>
        </is>
      </c>
      <c r="B26" s="29">
        <f>IF(AND(ISNUMBER(B17),ISNUMBER(F26),ISNUMBER(G26)),F26*B17,"")</f>
        <v/>
      </c>
      <c r="C26" s="29">
        <f>IF(ISNUMBER(B17),B17,"")</f>
        <v/>
      </c>
      <c r="D26" s="29">
        <f>IF(AND(ISNUMBER(B17),ISNUMBER(F26),ISNUMBER(G26)),G26*B17,"")</f>
        <v/>
      </c>
      <c r="E26" s="6" t="inlineStr">
        <is>
          <t>B3, B4</t>
        </is>
      </c>
      <c r="F26" s="12">
        <f>IF(ISNUMBER($B$13),IFERROR(INDEX(T18_B3,MATCH($B$13,T18_n,0)),"n niet in de tabel"),"")</f>
        <v/>
      </c>
      <c r="G26" s="12">
        <f>IF(ISNUMBER($B$13),IFERROR(INDEX(T18_B4,MATCH($B$13,T18_n,0)),"n niet in de tabel"),"")</f>
        <v/>
      </c>
      <c r="H26" s="8" t="inlineStr">
        <is>
          <t>deck p. 74</t>
        </is>
      </c>
      <c r="J26" s="19" t="n">
        <v>3</v>
      </c>
      <c r="K26" s="21">
        <f>IFERROR(INDEX(T18_A2,MATCH(J26,T18_n,0)),"")</f>
        <v/>
      </c>
      <c r="L26" s="21">
        <f>IFERROR(INDEX(T18_D3,MATCH(J26,T18_n,0)),"")</f>
        <v/>
      </c>
      <c r="M26" s="21">
        <f>IFERROR(INDEX(T18_D4,MATCH(J26,T18_n,0)),"")</f>
        <v/>
      </c>
      <c r="N26" s="21">
        <f>IFERROR(INDEX(SSD1_A3,MATCH(J26,SSD1_n,0)),"")</f>
        <v/>
      </c>
      <c r="O26" s="21">
        <f>IFERROR(INDEX(T18_B3,MATCH(J26,T18_n,0)),"")</f>
        <v/>
      </c>
      <c r="P26" s="21">
        <f>IFERROR(INDEX(T18_B4,MATCH(J26,T18_n,0)),"")</f>
        <v/>
      </c>
      <c r="Q26" s="21">
        <f>IFERROR(INDEX(T18_d2,MATCH(J26,T18_n,0)),"")</f>
        <v/>
      </c>
      <c r="R26" s="21">
        <f>IFERROR(INDEX(TA_c4,MATCH(J26,TA_n,0)),"")</f>
        <v/>
      </c>
    </row>
    <row r="27">
      <c r="J27" s="19" t="n">
        <v>4</v>
      </c>
      <c r="K27" s="21">
        <f>IFERROR(INDEX(T18_A2,MATCH(J27,T18_n,0)),"")</f>
        <v/>
      </c>
      <c r="L27" s="21">
        <f>IFERROR(INDEX(T18_D3,MATCH(J27,T18_n,0)),"")</f>
        <v/>
      </c>
      <c r="M27" s="21">
        <f>IFERROR(INDEX(T18_D4,MATCH(J27,T18_n,0)),"")</f>
        <v/>
      </c>
      <c r="N27" s="21">
        <f>IFERROR(INDEX(SSD1_A3,MATCH(J27,SSD1_n,0)),"")</f>
        <v/>
      </c>
      <c r="O27" s="21">
        <f>IFERROR(INDEX(T18_B3,MATCH(J27,T18_n,0)),"")</f>
        <v/>
      </c>
      <c r="P27" s="21">
        <f>IFERROR(INDEX(T18_B4,MATCH(J27,T18_n,0)),"")</f>
        <v/>
      </c>
      <c r="Q27" s="21">
        <f>IFERROR(INDEX(T18_d2,MATCH(J27,T18_n,0)),"")</f>
        <v/>
      </c>
      <c r="R27" s="21">
        <f>IFERROR(INDEX(TA_c4,MATCH(J27,TA_n,0)),"")</f>
        <v/>
      </c>
    </row>
    <row r="28">
      <c r="J28" s="19" t="n">
        <v>5</v>
      </c>
      <c r="K28" s="21">
        <f>IFERROR(INDEX(T18_A2,MATCH(J28,T18_n,0)),"")</f>
        <v/>
      </c>
      <c r="L28" s="21">
        <f>IFERROR(INDEX(T18_D3,MATCH(J28,T18_n,0)),"")</f>
        <v/>
      </c>
      <c r="M28" s="21">
        <f>IFERROR(INDEX(T18_D4,MATCH(J28,T18_n,0)),"")</f>
        <v/>
      </c>
      <c r="N28" s="21">
        <f>IFERROR(INDEX(SSD1_A3,MATCH(J28,SSD1_n,0)),"")</f>
        <v/>
      </c>
      <c r="O28" s="21">
        <f>IFERROR(INDEX(T18_B3,MATCH(J28,T18_n,0)),"")</f>
        <v/>
      </c>
      <c r="P28" s="21">
        <f>IFERROR(INDEX(T18_B4,MATCH(J28,T18_n,0)),"")</f>
        <v/>
      </c>
      <c r="Q28" s="21">
        <f>IFERROR(INDEX(T18_d2,MATCH(J28,T18_n,0)),"")</f>
        <v/>
      </c>
      <c r="R28" s="21">
        <f>IFERROR(INDEX(TA_c4,MATCH(J28,TA_n,0)),"")</f>
        <v/>
      </c>
    </row>
    <row r="29">
      <c r="J29" s="19" t="n">
        <v>6</v>
      </c>
      <c r="K29" s="21">
        <f>IFERROR(INDEX(T18_A2,MATCH(J29,T18_n,0)),"")</f>
        <v/>
      </c>
      <c r="L29" s="21">
        <f>IFERROR(INDEX(T18_D3,MATCH(J29,T18_n,0)),"")</f>
        <v/>
      </c>
      <c r="M29" s="21">
        <f>IFERROR(INDEX(T18_D4,MATCH(J29,T18_n,0)),"")</f>
        <v/>
      </c>
      <c r="N29" s="21">
        <f>IFERROR(INDEX(SSD1_A3,MATCH(J29,SSD1_n,0)),"")</f>
        <v/>
      </c>
      <c r="O29" s="21">
        <f>IFERROR(INDEX(T18_B3,MATCH(J29,T18_n,0)),"")</f>
        <v/>
      </c>
      <c r="P29" s="21">
        <f>IFERROR(INDEX(T18_B4,MATCH(J29,T18_n,0)),"")</f>
        <v/>
      </c>
      <c r="Q29" s="21">
        <f>IFERROR(INDEX(T18_d2,MATCH(J29,T18_n,0)),"")</f>
        <v/>
      </c>
      <c r="R29" s="21">
        <f>IFERROR(INDEX(TA_c4,MATCH(J29,TA_n,0)),"")</f>
        <v/>
      </c>
    </row>
    <row r="30">
      <c r="J30" s="19" t="n">
        <v>7</v>
      </c>
      <c r="K30" s="21">
        <f>IFERROR(INDEX(T18_A2,MATCH(J30,T18_n,0)),"")</f>
        <v/>
      </c>
      <c r="L30" s="21">
        <f>IFERROR(INDEX(T18_D3,MATCH(J30,T18_n,0)),"")</f>
        <v/>
      </c>
      <c r="M30" s="21">
        <f>IFERROR(INDEX(T18_D4,MATCH(J30,T18_n,0)),"")</f>
        <v/>
      </c>
      <c r="N30" s="21">
        <f>IFERROR(INDEX(SSD1_A3,MATCH(J30,SSD1_n,0)),"")</f>
        <v/>
      </c>
      <c r="O30" s="21">
        <f>IFERROR(INDEX(T18_B3,MATCH(J30,T18_n,0)),"")</f>
        <v/>
      </c>
      <c r="P30" s="21">
        <f>IFERROR(INDEX(T18_B4,MATCH(J30,T18_n,0)),"")</f>
        <v/>
      </c>
      <c r="Q30" s="21">
        <f>IFERROR(INDEX(T18_d2,MATCH(J30,T18_n,0)),"")</f>
        <v/>
      </c>
      <c r="R30" s="21">
        <f>IFERROR(INDEX(TA_c4,MATCH(J30,TA_n,0)),"")</f>
        <v/>
      </c>
    </row>
    <row r="31">
      <c r="J31" s="19" t="n">
        <v>8</v>
      </c>
      <c r="K31" s="21">
        <f>IFERROR(INDEX(T18_A2,MATCH(J31,T18_n,0)),"")</f>
        <v/>
      </c>
      <c r="L31" s="21">
        <f>IFERROR(INDEX(T18_D3,MATCH(J31,T18_n,0)),"")</f>
        <v/>
      </c>
      <c r="M31" s="21">
        <f>IFERROR(INDEX(T18_D4,MATCH(J31,T18_n,0)),"")</f>
        <v/>
      </c>
      <c r="N31" s="21">
        <f>IFERROR(INDEX(SSD1_A3,MATCH(J31,SSD1_n,0)),"")</f>
        <v/>
      </c>
      <c r="O31" s="21">
        <f>IFERROR(INDEX(T18_B3,MATCH(J31,T18_n,0)),"")</f>
        <v/>
      </c>
      <c r="P31" s="21">
        <f>IFERROR(INDEX(T18_B4,MATCH(J31,T18_n,0)),"")</f>
        <v/>
      </c>
      <c r="Q31" s="21">
        <f>IFERROR(INDEX(T18_d2,MATCH(J31,T18_n,0)),"")</f>
        <v/>
      </c>
      <c r="R31" s="21">
        <f>IFERROR(INDEX(TA_c4,MATCH(J31,TA_n,0)),"")</f>
        <v/>
      </c>
    </row>
    <row r="32">
      <c r="J32" s="19" t="n">
        <v>9</v>
      </c>
      <c r="K32" s="21">
        <f>IFERROR(INDEX(T18_A2,MATCH(J32,T18_n,0)),"")</f>
        <v/>
      </c>
      <c r="L32" s="21">
        <f>IFERROR(INDEX(T18_D3,MATCH(J32,T18_n,0)),"")</f>
        <v/>
      </c>
      <c r="M32" s="21">
        <f>IFERROR(INDEX(T18_D4,MATCH(J32,T18_n,0)),"")</f>
        <v/>
      </c>
      <c r="N32" s="21">
        <f>IFERROR(INDEX(SSD1_A3,MATCH(J32,SSD1_n,0)),"")</f>
        <v/>
      </c>
      <c r="O32" s="21">
        <f>IFERROR(INDEX(T18_B3,MATCH(J32,T18_n,0)),"")</f>
        <v/>
      </c>
      <c r="P32" s="21">
        <f>IFERROR(INDEX(T18_B4,MATCH(J32,T18_n,0)),"")</f>
        <v/>
      </c>
      <c r="Q32" s="21">
        <f>IFERROR(INDEX(T18_d2,MATCH(J32,T18_n,0)),"")</f>
        <v/>
      </c>
      <c r="R32" s="21">
        <f>IFERROR(INDEX(TA_c4,MATCH(J32,TA_n,0)),"")</f>
        <v/>
      </c>
    </row>
    <row r="33">
      <c r="J33" s="19" t="n">
        <v>10</v>
      </c>
      <c r="K33" s="21">
        <f>IFERROR(INDEX(T18_A2,MATCH(J33,T18_n,0)),"")</f>
        <v/>
      </c>
      <c r="L33" s="21">
        <f>IFERROR(INDEX(T18_D3,MATCH(J33,T18_n,0)),"")</f>
        <v/>
      </c>
      <c r="M33" s="21">
        <f>IFERROR(INDEX(T18_D4,MATCH(J33,T18_n,0)),"")</f>
        <v/>
      </c>
      <c r="N33" s="21">
        <f>IFERROR(INDEX(SSD1_A3,MATCH(J33,SSD1_n,0)),"")</f>
        <v/>
      </c>
      <c r="O33" s="21">
        <f>IFERROR(INDEX(T18_B3,MATCH(J33,T18_n,0)),"")</f>
        <v/>
      </c>
      <c r="P33" s="21">
        <f>IFERROR(INDEX(T18_B4,MATCH(J33,T18_n,0)),"")</f>
        <v/>
      </c>
      <c r="Q33" s="21">
        <f>IFERROR(INDEX(T18_d2,MATCH(J33,T18_n,0)),"")</f>
        <v/>
      </c>
      <c r="R33" s="21">
        <f>IFERROR(INDEX(TA_c4,MATCH(J33,TA_n,0)),"")</f>
        <v/>
      </c>
    </row>
    <row r="34">
      <c r="J34" s="19" t="n">
        <v>11</v>
      </c>
      <c r="K34" s="21">
        <f>IFERROR(INDEX(T18_A2,MATCH(J34,T18_n,0)),"")</f>
        <v/>
      </c>
      <c r="L34" s="21">
        <f>IFERROR(INDEX(T18_D3,MATCH(J34,T18_n,0)),"")</f>
        <v/>
      </c>
      <c r="M34" s="21">
        <f>IFERROR(INDEX(T18_D4,MATCH(J34,T18_n,0)),"")</f>
        <v/>
      </c>
      <c r="N34" s="21">
        <f>IFERROR(INDEX(SSD1_A3,MATCH(J34,SSD1_n,0)),"")</f>
        <v/>
      </c>
      <c r="O34" s="21">
        <f>IFERROR(INDEX(T18_B3,MATCH(J34,T18_n,0)),"")</f>
        <v/>
      </c>
      <c r="P34" s="21">
        <f>IFERROR(INDEX(T18_B4,MATCH(J34,T18_n,0)),"")</f>
        <v/>
      </c>
      <c r="Q34" s="21">
        <f>IFERROR(INDEX(T18_d2,MATCH(J34,T18_n,0)),"")</f>
        <v/>
      </c>
      <c r="R34" s="21">
        <f>IFERROR(INDEX(TA_c4,MATCH(J34,TA_n,0)),"")</f>
        <v/>
      </c>
    </row>
    <row r="35">
      <c r="J35" s="19" t="n">
        <v>12</v>
      </c>
      <c r="K35" s="21">
        <f>IFERROR(INDEX(T18_A2,MATCH(J35,T18_n,0)),"")</f>
        <v/>
      </c>
      <c r="L35" s="21">
        <f>IFERROR(INDEX(T18_D3,MATCH(J35,T18_n,0)),"")</f>
        <v/>
      </c>
      <c r="M35" s="21">
        <f>IFERROR(INDEX(T18_D4,MATCH(J35,T18_n,0)),"")</f>
        <v/>
      </c>
      <c r="N35" s="21">
        <f>IFERROR(INDEX(SSD1_A3,MATCH(J35,SSD1_n,0)),"")</f>
        <v/>
      </c>
      <c r="O35" s="21">
        <f>IFERROR(INDEX(T18_B3,MATCH(J35,T18_n,0)),"")</f>
        <v/>
      </c>
      <c r="P35" s="21">
        <f>IFERROR(INDEX(T18_B4,MATCH(J35,T18_n,0)),"")</f>
        <v/>
      </c>
      <c r="Q35" s="21">
        <f>IFERROR(INDEX(T18_d2,MATCH(J35,T18_n,0)),"")</f>
        <v/>
      </c>
      <c r="R35" s="21">
        <f>IFERROR(INDEX(TA_c4,MATCH(J35,TA_n,0)),"")</f>
        <v/>
      </c>
    </row>
    <row r="36">
      <c r="J36" s="19" t="n">
        <v>13</v>
      </c>
      <c r="K36" s="21">
        <f>IFERROR(INDEX(T18_A2,MATCH(J36,T18_n,0)),"")</f>
        <v/>
      </c>
      <c r="L36" s="21">
        <f>IFERROR(INDEX(T18_D3,MATCH(J36,T18_n,0)),"")</f>
        <v/>
      </c>
      <c r="M36" s="21">
        <f>IFERROR(INDEX(T18_D4,MATCH(J36,T18_n,0)),"")</f>
        <v/>
      </c>
      <c r="N36" s="21">
        <f>IFERROR(INDEX(SSD1_A3,MATCH(J36,SSD1_n,0)),"")</f>
        <v/>
      </c>
      <c r="O36" s="21">
        <f>IFERROR(INDEX(T18_B3,MATCH(J36,T18_n,0)),"")</f>
        <v/>
      </c>
      <c r="P36" s="21">
        <f>IFERROR(INDEX(T18_B4,MATCH(J36,T18_n,0)),"")</f>
        <v/>
      </c>
      <c r="Q36" s="21">
        <f>IFERROR(INDEX(T18_d2,MATCH(J36,T18_n,0)),"")</f>
        <v/>
      </c>
      <c r="R36" s="21">
        <f>IFERROR(INDEX(TA_c4,MATCH(J36,TA_n,0)),"")</f>
        <v/>
      </c>
    </row>
    <row r="37">
      <c r="J37" s="19" t="n">
        <v>14</v>
      </c>
      <c r="K37" s="21">
        <f>IFERROR(INDEX(T18_A2,MATCH(J37,T18_n,0)),"")</f>
        <v/>
      </c>
      <c r="L37" s="21">
        <f>IFERROR(INDEX(T18_D3,MATCH(J37,T18_n,0)),"")</f>
        <v/>
      </c>
      <c r="M37" s="21">
        <f>IFERROR(INDEX(T18_D4,MATCH(J37,T18_n,0)),"")</f>
        <v/>
      </c>
      <c r="N37" s="21">
        <f>IFERROR(INDEX(SSD1_A3,MATCH(J37,SSD1_n,0)),"")</f>
        <v/>
      </c>
      <c r="O37" s="21">
        <f>IFERROR(INDEX(T18_B3,MATCH(J37,T18_n,0)),"")</f>
        <v/>
      </c>
      <c r="P37" s="21">
        <f>IFERROR(INDEX(T18_B4,MATCH(J37,T18_n,0)),"")</f>
        <v/>
      </c>
      <c r="Q37" s="21">
        <f>IFERROR(INDEX(T18_d2,MATCH(J37,T18_n,0)),"")</f>
        <v/>
      </c>
      <c r="R37" s="21">
        <f>IFERROR(INDEX(TA_c4,MATCH(J37,TA_n,0)),"")</f>
        <v/>
      </c>
    </row>
    <row r="38">
      <c r="J38" s="19" t="n">
        <v>15</v>
      </c>
      <c r="K38" s="21">
        <f>IFERROR(INDEX(T18_A2,MATCH(J38,T18_n,0)),"")</f>
        <v/>
      </c>
      <c r="L38" s="21">
        <f>IFERROR(INDEX(T18_D3,MATCH(J38,T18_n,0)),"")</f>
        <v/>
      </c>
      <c r="M38" s="21">
        <f>IFERROR(INDEX(T18_D4,MATCH(J38,T18_n,0)),"")</f>
        <v/>
      </c>
      <c r="N38" s="21">
        <f>IFERROR(INDEX(SSD1_A3,MATCH(J38,SSD1_n,0)),"")</f>
        <v/>
      </c>
      <c r="O38" s="21">
        <f>IFERROR(INDEX(T18_B3,MATCH(J38,T18_n,0)),"")</f>
        <v/>
      </c>
      <c r="P38" s="21">
        <f>IFERROR(INDEX(T18_B4,MATCH(J38,T18_n,0)),"")</f>
        <v/>
      </c>
      <c r="Q38" s="21">
        <f>IFERROR(INDEX(T18_d2,MATCH(J38,T18_n,0)),"")</f>
        <v/>
      </c>
      <c r="R38" s="21">
        <f>IFERROR(INDEX(TA_c4,MATCH(J38,TA_n,0)),"")</f>
        <v/>
      </c>
    </row>
    <row r="39">
      <c r="J39" s="19" t="n">
        <v>16</v>
      </c>
      <c r="K39" s="21">
        <f>IFERROR(INDEX(T18_A2,MATCH(J39,T18_n,0)),"")</f>
        <v/>
      </c>
      <c r="L39" s="21">
        <f>IFERROR(INDEX(T18_D3,MATCH(J39,T18_n,0)),"")</f>
        <v/>
      </c>
      <c r="M39" s="21">
        <f>IFERROR(INDEX(T18_D4,MATCH(J39,T18_n,0)),"")</f>
        <v/>
      </c>
      <c r="N39" s="21">
        <f>IFERROR(INDEX(SSD1_A3,MATCH(J39,SSD1_n,0)),"")</f>
        <v/>
      </c>
      <c r="O39" s="21">
        <f>IFERROR(INDEX(T18_B3,MATCH(J39,T18_n,0)),"")</f>
        <v/>
      </c>
      <c r="P39" s="21">
        <f>IFERROR(INDEX(T18_B4,MATCH(J39,T18_n,0)),"")</f>
        <v/>
      </c>
      <c r="Q39" s="21">
        <f>IFERROR(INDEX(T18_d2,MATCH(J39,T18_n,0)),"")</f>
        <v/>
      </c>
      <c r="R39" s="21">
        <f>IFERROR(INDEX(TA_c4,MATCH(J39,TA_n,0)),"")</f>
        <v/>
      </c>
    </row>
    <row r="40">
      <c r="J40" s="19" t="n">
        <v>17</v>
      </c>
      <c r="K40" s="21">
        <f>IFERROR(INDEX(T18_A2,MATCH(J40,T18_n,0)),"")</f>
        <v/>
      </c>
      <c r="L40" s="21">
        <f>IFERROR(INDEX(T18_D3,MATCH(J40,T18_n,0)),"")</f>
        <v/>
      </c>
      <c r="M40" s="21">
        <f>IFERROR(INDEX(T18_D4,MATCH(J40,T18_n,0)),"")</f>
        <v/>
      </c>
      <c r="N40" s="21">
        <f>IFERROR(INDEX(SSD1_A3,MATCH(J40,SSD1_n,0)),"")</f>
        <v/>
      </c>
      <c r="O40" s="21">
        <f>IFERROR(INDEX(T18_B3,MATCH(J40,T18_n,0)),"")</f>
        <v/>
      </c>
      <c r="P40" s="21">
        <f>IFERROR(INDEX(T18_B4,MATCH(J40,T18_n,0)),"")</f>
        <v/>
      </c>
      <c r="Q40" s="21">
        <f>IFERROR(INDEX(T18_d2,MATCH(J40,T18_n,0)),"")</f>
        <v/>
      </c>
      <c r="R40" s="21">
        <f>IFERROR(INDEX(TA_c4,MATCH(J40,TA_n,0)),"")</f>
        <v/>
      </c>
    </row>
    <row r="41">
      <c r="J41" s="19" t="n">
        <v>18</v>
      </c>
      <c r="K41" s="21">
        <f>IFERROR(INDEX(T18_A2,MATCH(J41,T18_n,0)),"")</f>
        <v/>
      </c>
      <c r="L41" s="21">
        <f>IFERROR(INDEX(T18_D3,MATCH(J41,T18_n,0)),"")</f>
        <v/>
      </c>
      <c r="M41" s="21">
        <f>IFERROR(INDEX(T18_D4,MATCH(J41,T18_n,0)),"")</f>
        <v/>
      </c>
      <c r="N41" s="21">
        <f>IFERROR(INDEX(SSD1_A3,MATCH(J41,SSD1_n,0)),"")</f>
        <v/>
      </c>
      <c r="O41" s="21">
        <f>IFERROR(INDEX(T18_B3,MATCH(J41,T18_n,0)),"")</f>
        <v/>
      </c>
      <c r="P41" s="21">
        <f>IFERROR(INDEX(T18_B4,MATCH(J41,T18_n,0)),"")</f>
        <v/>
      </c>
      <c r="Q41" s="21">
        <f>IFERROR(INDEX(T18_d2,MATCH(J41,T18_n,0)),"")</f>
        <v/>
      </c>
      <c r="R41" s="21">
        <f>IFERROR(INDEX(TA_c4,MATCH(J41,TA_n,0)),"")</f>
        <v/>
      </c>
    </row>
    <row r="42">
      <c r="J42" s="19" t="n">
        <v>19</v>
      </c>
      <c r="K42" s="21">
        <f>IFERROR(INDEX(T18_A2,MATCH(J42,T18_n,0)),"")</f>
        <v/>
      </c>
      <c r="L42" s="21">
        <f>IFERROR(INDEX(T18_D3,MATCH(J42,T18_n,0)),"")</f>
        <v/>
      </c>
      <c r="M42" s="21">
        <f>IFERROR(INDEX(T18_D4,MATCH(J42,T18_n,0)),"")</f>
        <v/>
      </c>
      <c r="N42" s="21">
        <f>IFERROR(INDEX(SSD1_A3,MATCH(J42,SSD1_n,0)),"")</f>
        <v/>
      </c>
      <c r="O42" s="21">
        <f>IFERROR(INDEX(T18_B3,MATCH(J42,T18_n,0)),"")</f>
        <v/>
      </c>
      <c r="P42" s="21">
        <f>IFERROR(INDEX(T18_B4,MATCH(J42,T18_n,0)),"")</f>
        <v/>
      </c>
      <c r="Q42" s="21">
        <f>IFERROR(INDEX(T18_d2,MATCH(J42,T18_n,0)),"")</f>
        <v/>
      </c>
      <c r="R42" s="21">
        <f>IFERROR(INDEX(TA_c4,MATCH(J42,TA_n,0)),"")</f>
        <v/>
      </c>
    </row>
    <row r="43">
      <c r="J43" s="19" t="n">
        <v>20</v>
      </c>
      <c r="K43" s="21">
        <f>IFERROR(INDEX(T18_A2,MATCH(J43,T18_n,0)),"")</f>
        <v/>
      </c>
      <c r="L43" s="21">
        <f>IFERROR(INDEX(T18_D3,MATCH(J43,T18_n,0)),"")</f>
        <v/>
      </c>
      <c r="M43" s="21">
        <f>IFERROR(INDEX(T18_D4,MATCH(J43,T18_n,0)),"")</f>
        <v/>
      </c>
      <c r="N43" s="21">
        <f>IFERROR(INDEX(SSD1_A3,MATCH(J43,SSD1_n,0)),"")</f>
        <v/>
      </c>
      <c r="O43" s="21">
        <f>IFERROR(INDEX(T18_B3,MATCH(J43,T18_n,0)),"")</f>
        <v/>
      </c>
      <c r="P43" s="21">
        <f>IFERROR(INDEX(T18_B4,MATCH(J43,T18_n,0)),"")</f>
        <v/>
      </c>
      <c r="Q43" s="21">
        <f>IFERROR(INDEX(T18_d2,MATCH(J43,T18_n,0)),"")</f>
        <v/>
      </c>
      <c r="R43" s="21">
        <f>IFERROR(INDEX(TA_c4,MATCH(J43,TA_n,0)),"")</f>
        <v/>
      </c>
    </row>
    <row r="44">
      <c r="J44" s="19" t="n">
        <v>21</v>
      </c>
      <c r="K44" s="21">
        <f>IFERROR(INDEX(T18_A2,MATCH(J44,T18_n,0)),"")</f>
        <v/>
      </c>
      <c r="L44" s="21">
        <f>IFERROR(INDEX(T18_D3,MATCH(J44,T18_n,0)),"")</f>
        <v/>
      </c>
      <c r="M44" s="21">
        <f>IFERROR(INDEX(T18_D4,MATCH(J44,T18_n,0)),"")</f>
        <v/>
      </c>
      <c r="N44" s="21">
        <f>IFERROR(INDEX(SSD1_A3,MATCH(J44,SSD1_n,0)),"")</f>
        <v/>
      </c>
      <c r="O44" s="21">
        <f>IFERROR(INDEX(T18_B3,MATCH(J44,T18_n,0)),"")</f>
        <v/>
      </c>
      <c r="P44" s="21">
        <f>IFERROR(INDEX(T18_B4,MATCH(J44,T18_n,0)),"")</f>
        <v/>
      </c>
      <c r="Q44" s="21">
        <f>IFERROR(INDEX(T18_d2,MATCH(J44,T18_n,0)),"")</f>
        <v/>
      </c>
      <c r="R44" s="21">
        <f>IFERROR(INDEX(TA_c4,MATCH(J44,TA_n,0)),"")</f>
        <v/>
      </c>
    </row>
    <row r="45">
      <c r="J45" s="19" t="n">
        <v>22</v>
      </c>
      <c r="K45" s="21">
        <f>IFERROR(INDEX(T18_A2,MATCH(J45,T18_n,0)),"")</f>
        <v/>
      </c>
      <c r="L45" s="21">
        <f>IFERROR(INDEX(T18_D3,MATCH(J45,T18_n,0)),"")</f>
        <v/>
      </c>
      <c r="M45" s="21">
        <f>IFERROR(INDEX(T18_D4,MATCH(J45,T18_n,0)),"")</f>
        <v/>
      </c>
      <c r="N45" s="21">
        <f>IFERROR(INDEX(SSD1_A3,MATCH(J45,SSD1_n,0)),"")</f>
        <v/>
      </c>
      <c r="O45" s="21">
        <f>IFERROR(INDEX(T18_B3,MATCH(J45,T18_n,0)),"")</f>
        <v/>
      </c>
      <c r="P45" s="21">
        <f>IFERROR(INDEX(T18_B4,MATCH(J45,T18_n,0)),"")</f>
        <v/>
      </c>
      <c r="Q45" s="21">
        <f>IFERROR(INDEX(T18_d2,MATCH(J45,T18_n,0)),"")</f>
        <v/>
      </c>
      <c r="R45" s="21">
        <f>IFERROR(INDEX(TA_c4,MATCH(J45,TA_n,0)),"")</f>
        <v/>
      </c>
    </row>
    <row r="46">
      <c r="J46" s="19" t="n">
        <v>23</v>
      </c>
      <c r="K46" s="21">
        <f>IFERROR(INDEX(T18_A2,MATCH(J46,T18_n,0)),"")</f>
        <v/>
      </c>
      <c r="L46" s="21">
        <f>IFERROR(INDEX(T18_D3,MATCH(J46,T18_n,0)),"")</f>
        <v/>
      </c>
      <c r="M46" s="21">
        <f>IFERROR(INDEX(T18_D4,MATCH(J46,T18_n,0)),"")</f>
        <v/>
      </c>
      <c r="N46" s="21">
        <f>IFERROR(INDEX(SSD1_A3,MATCH(J46,SSD1_n,0)),"")</f>
        <v/>
      </c>
      <c r="O46" s="21">
        <f>IFERROR(INDEX(T18_B3,MATCH(J46,T18_n,0)),"")</f>
        <v/>
      </c>
      <c r="P46" s="21">
        <f>IFERROR(INDEX(T18_B4,MATCH(J46,T18_n,0)),"")</f>
        <v/>
      </c>
      <c r="Q46" s="21">
        <f>IFERROR(INDEX(T18_d2,MATCH(J46,T18_n,0)),"")</f>
        <v/>
      </c>
      <c r="R46" s="21">
        <f>IFERROR(INDEX(TA_c4,MATCH(J46,TA_n,0)),"")</f>
        <v/>
      </c>
    </row>
    <row r="47">
      <c r="J47" s="19" t="n">
        <v>24</v>
      </c>
      <c r="K47" s="21">
        <f>IFERROR(INDEX(T18_A2,MATCH(J47,T18_n,0)),"")</f>
        <v/>
      </c>
      <c r="L47" s="21">
        <f>IFERROR(INDEX(T18_D3,MATCH(J47,T18_n,0)),"")</f>
        <v/>
      </c>
      <c r="M47" s="21">
        <f>IFERROR(INDEX(T18_D4,MATCH(J47,T18_n,0)),"")</f>
        <v/>
      </c>
      <c r="N47" s="21">
        <f>IFERROR(INDEX(SSD1_A3,MATCH(J47,SSD1_n,0)),"")</f>
        <v/>
      </c>
      <c r="O47" s="21">
        <f>IFERROR(INDEX(T18_B3,MATCH(J47,T18_n,0)),"")</f>
        <v/>
      </c>
      <c r="P47" s="21">
        <f>IFERROR(INDEX(T18_B4,MATCH(J47,T18_n,0)),"")</f>
        <v/>
      </c>
      <c r="Q47" s="21">
        <f>IFERROR(INDEX(T18_d2,MATCH(J47,T18_n,0)),"")</f>
        <v/>
      </c>
      <c r="R47" s="21">
        <f>IFERROR(INDEX(TA_c4,MATCH(J47,TA_n,0)),"")</f>
        <v/>
      </c>
    </row>
    <row r="48">
      <c r="J48" s="19" t="n">
        <v>25</v>
      </c>
      <c r="K48" s="21">
        <f>IFERROR(INDEX(T18_A2,MATCH(J48,T18_n,0)),"")</f>
        <v/>
      </c>
      <c r="L48" s="21">
        <f>IFERROR(INDEX(T18_D3,MATCH(J48,T18_n,0)),"")</f>
        <v/>
      </c>
      <c r="M48" s="21">
        <f>IFERROR(INDEX(T18_D4,MATCH(J48,T18_n,0)),"")</f>
        <v/>
      </c>
      <c r="N48" s="21">
        <f>IFERROR(INDEX(SSD1_A3,MATCH(J48,SSD1_n,0)),"")</f>
        <v/>
      </c>
      <c r="O48" s="21">
        <f>IFERROR(INDEX(T18_B3,MATCH(J48,T18_n,0)),"")</f>
        <v/>
      </c>
      <c r="P48" s="21">
        <f>IFERROR(INDEX(T18_B4,MATCH(J48,T18_n,0)),"")</f>
        <v/>
      </c>
      <c r="Q48" s="21">
        <f>IFERROR(INDEX(T18_d2,MATCH(J48,T18_n,0)),"")</f>
        <v/>
      </c>
      <c r="R48" s="21">
        <f>IFERROR(INDEX(TA_c4,MATCH(J48,TA_n,0)),"")</f>
        <v/>
      </c>
    </row>
    <row r="51">
      <c r="A51" s="10" t="inlineStr">
        <is>
          <t>Subgroep</t>
        </is>
      </c>
      <c r="B51" s="10" t="inlineStr">
        <is>
          <t>x1</t>
        </is>
      </c>
      <c r="C51" s="10" t="inlineStr">
        <is>
          <t>x2</t>
        </is>
      </c>
      <c r="D51" s="10" t="inlineStr">
        <is>
          <t>x3</t>
        </is>
      </c>
      <c r="E51" s="10" t="inlineStr">
        <is>
          <t>x4</t>
        </is>
      </c>
      <c r="F51" s="10" t="inlineStr">
        <is>
          <t>x5</t>
        </is>
      </c>
      <c r="G51" s="10" t="inlineStr">
        <is>
          <t>x6</t>
        </is>
      </c>
      <c r="H51" s="10" t="inlineStr">
        <is>
          <t>x7</t>
        </is>
      </c>
      <c r="I51" s="10" t="inlineStr">
        <is>
          <t>x8</t>
        </is>
      </c>
      <c r="J51" s="10" t="inlineStr">
        <is>
          <t>x9</t>
        </is>
      </c>
      <c r="K51" s="10" t="inlineStr">
        <is>
          <t>x10</t>
        </is>
      </c>
      <c r="L51" s="10" t="inlineStr">
        <is>
          <t>x11</t>
        </is>
      </c>
      <c r="M51" s="10" t="inlineStr">
        <is>
          <t>x12</t>
        </is>
      </c>
      <c r="N51" s="10" t="inlineStr">
        <is>
          <t>x13</t>
        </is>
      </c>
      <c r="O51" s="10" t="inlineStr">
        <is>
          <t>x14</t>
        </is>
      </c>
      <c r="P51" s="10" t="inlineStr">
        <is>
          <t>x15</t>
        </is>
      </c>
      <c r="Q51" s="10" t="inlineStr">
        <is>
          <t>x16</t>
        </is>
      </c>
      <c r="R51" s="10" t="inlineStr">
        <is>
          <t>x17</t>
        </is>
      </c>
      <c r="S51" s="10" t="inlineStr">
        <is>
          <t>x18</t>
        </is>
      </c>
      <c r="T51" s="10" t="inlineStr">
        <is>
          <t>x19</t>
        </is>
      </c>
      <c r="U51" s="10" t="inlineStr">
        <is>
          <t>x20</t>
        </is>
      </c>
      <c r="V51" s="10" t="inlineStr">
        <is>
          <t>x21</t>
        </is>
      </c>
      <c r="W51" s="10" t="inlineStr">
        <is>
          <t>x22</t>
        </is>
      </c>
      <c r="X51" s="10" t="inlineStr">
        <is>
          <t>x23</t>
        </is>
      </c>
      <c r="Y51" s="10" t="inlineStr">
        <is>
          <t>x24</t>
        </is>
      </c>
      <c r="Z51" s="10" t="inlineStr">
        <is>
          <t>x25</t>
        </is>
      </c>
      <c r="AA51" s="10" t="inlineStr">
        <is>
          <t>of: x̄ getypt</t>
        </is>
      </c>
      <c r="AB51" s="10" t="inlineStr">
        <is>
          <t>R getypt</t>
        </is>
      </c>
      <c r="AC51" s="10" t="inlineStr">
        <is>
          <t>s getypt</t>
        </is>
      </c>
      <c r="AD51" s="10" t="inlineStr">
        <is>
          <t>n</t>
        </is>
      </c>
      <c r="AE51" s="10" t="inlineStr">
        <is>
          <t>x̄</t>
        </is>
      </c>
      <c r="AF51" s="10" t="inlineStr">
        <is>
          <t>R</t>
        </is>
      </c>
      <c r="AG51" s="10" t="inlineStr">
        <is>
          <t>s</t>
        </is>
      </c>
      <c r="AH51" s="10" t="inlineStr">
        <is>
          <t>x̄ t.o.v. X̄-R</t>
        </is>
      </c>
      <c r="AI51" s="10" t="inlineStr">
        <is>
          <t>R t.o.v. R</t>
        </is>
      </c>
      <c r="AJ51" s="10" t="inlineStr">
        <is>
          <t>x̄ t.o.v. X̄-s</t>
        </is>
      </c>
      <c r="AK51" s="10" t="inlineStr">
        <is>
          <t>s t.o.v. s</t>
        </is>
      </c>
      <c r="AL51" s="10" t="inlineStr">
        <is>
          <t>controle</t>
        </is>
      </c>
    </row>
    <row r="52">
      <c r="A52" t="n">
        <v>1</v>
      </c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28">
        <f>IF(COUNT(B52:Z52)&gt;0,COUNT(B52:Z52),IF(OR(ISNUMBER(AA52),ISNUMBER(AB52)),$B$9,""))</f>
        <v/>
      </c>
      <c r="AE52" s="29">
        <f>IF(COUNT(B52:Z52)&gt;0,AVERAGE(B52:Z52),IF(ISNUMBER(AA52),AA52,""))</f>
        <v/>
      </c>
      <c r="AF52" s="29">
        <f>IF(COUNT(B52:Z52)&gt;1,MAX(B52:Z52)-MIN(B52:Z52),IF(ISNUMBER(AB52),AB52,""))</f>
        <v/>
      </c>
      <c r="AG52" s="29">
        <f>IF(COUNT(B52:Z52)&gt;1,_xlfn.STDEV.S(B52:Z52),IF(ISNUMBER(AC52),AC52,""))</f>
        <v/>
      </c>
      <c r="AH52" s="13">
        <f>IF(AND(ISNUMBER(AE52),ISNUMBER($B$23),ISNUMBER($D$23)),IF(AE52&gt;$D$23,"boven UCL",IF(AE52&lt;$B$23,"onder LCL","")),"")</f>
        <v/>
      </c>
      <c r="AI52" s="13">
        <f>IF(AND(ISNUMBER(AF52),ISNUMBER($B$24),ISNUMBER($D$24)),IF(AF52&gt;$D$24,"boven UCL",IF(AF52&lt;$B$24,"onder LCL","")),"")</f>
        <v/>
      </c>
      <c r="AJ52" s="13">
        <f>IF(AND(ISNUMBER(AE52),ISNUMBER($B$25),ISNUMBER($D$25)),IF(AE52&gt;$D$25,"boven UCL",IF(AE52&lt;$B$25,"onder LCL","")),"")</f>
        <v/>
      </c>
      <c r="AK52" s="13">
        <f>IF(AND(ISNUMBER(AG52),ISNUMBER($B$26),ISNUMBER($D$26)),IF(AG52&gt;$D$26,"boven UCL",IF(AG52&lt;$B$26,"onder LCL","")),"")</f>
        <v/>
      </c>
      <c r="AL52" s="13">
        <f>IF(AND(COUNT(B52:Z52)&gt;0,COUNT(AA52:AC52)&gt;0),"ruwe waarden én getypt: getypte genegeerd",IF(COUNTA(B52:Z52,AA52:AC52)&gt;COUNT(B52:Z52,AA52:AC52),"tekst telt niet mee",IF(COUNT(B52:Z52)=1,"1 waarde: geen R of s","")))</f>
        <v/>
      </c>
    </row>
    <row r="53">
      <c r="A53" t="n">
        <v>2</v>
      </c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28">
        <f>IF(COUNT(B53:Z53)&gt;0,COUNT(B53:Z53),IF(OR(ISNUMBER(AA53),ISNUMBER(AB53)),$B$9,""))</f>
        <v/>
      </c>
      <c r="AE53" s="29">
        <f>IF(COUNT(B53:Z53)&gt;0,AVERAGE(B53:Z53),IF(ISNUMBER(AA53),AA53,""))</f>
        <v/>
      </c>
      <c r="AF53" s="29">
        <f>IF(COUNT(B53:Z53)&gt;1,MAX(B53:Z53)-MIN(B53:Z53),IF(ISNUMBER(AB53),AB53,""))</f>
        <v/>
      </c>
      <c r="AG53" s="29">
        <f>IF(COUNT(B53:Z53)&gt;1,_xlfn.STDEV.S(B53:Z53),IF(ISNUMBER(AC53),AC53,""))</f>
        <v/>
      </c>
      <c r="AH53" s="13">
        <f>IF(AND(ISNUMBER(AE53),ISNUMBER($B$23),ISNUMBER($D$23)),IF(AE53&gt;$D$23,"boven UCL",IF(AE53&lt;$B$23,"onder LCL","")),"")</f>
        <v/>
      </c>
      <c r="AI53" s="13">
        <f>IF(AND(ISNUMBER(AF53),ISNUMBER($B$24),ISNUMBER($D$24)),IF(AF53&gt;$D$24,"boven UCL",IF(AF53&lt;$B$24,"onder LCL","")),"")</f>
        <v/>
      </c>
      <c r="AJ53" s="13">
        <f>IF(AND(ISNUMBER(AE53),ISNUMBER($B$25),ISNUMBER($D$25)),IF(AE53&gt;$D$25,"boven UCL",IF(AE53&lt;$B$25,"onder LCL","")),"")</f>
        <v/>
      </c>
      <c r="AK53" s="13">
        <f>IF(AND(ISNUMBER(AG53),ISNUMBER($B$26),ISNUMBER($D$26)),IF(AG53&gt;$D$26,"boven UCL",IF(AG53&lt;$B$26,"onder LCL","")),"")</f>
        <v/>
      </c>
      <c r="AL53" s="13">
        <f>IF(AND(COUNT(B53:Z53)&gt;0,COUNT(AA53:AC53)&gt;0),"ruwe waarden én getypt: getypte genegeerd",IF(COUNTA(B53:Z53,AA53:AC53)&gt;COUNT(B53:Z53,AA53:AC53),"tekst telt niet mee",IF(COUNT(B53:Z53)=1,"1 waarde: geen R of s","")))</f>
        <v/>
      </c>
    </row>
    <row r="54">
      <c r="A54" t="n">
        <v>3</v>
      </c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28">
        <f>IF(COUNT(B54:Z54)&gt;0,COUNT(B54:Z54),IF(OR(ISNUMBER(AA54),ISNUMBER(AB54)),$B$9,""))</f>
        <v/>
      </c>
      <c r="AE54" s="29">
        <f>IF(COUNT(B54:Z54)&gt;0,AVERAGE(B54:Z54),IF(ISNUMBER(AA54),AA54,""))</f>
        <v/>
      </c>
      <c r="AF54" s="29">
        <f>IF(COUNT(B54:Z54)&gt;1,MAX(B54:Z54)-MIN(B54:Z54),IF(ISNUMBER(AB54),AB54,""))</f>
        <v/>
      </c>
      <c r="AG54" s="29">
        <f>IF(COUNT(B54:Z54)&gt;1,_xlfn.STDEV.S(B54:Z54),IF(ISNUMBER(AC54),AC54,""))</f>
        <v/>
      </c>
      <c r="AH54" s="13">
        <f>IF(AND(ISNUMBER(AE54),ISNUMBER($B$23),ISNUMBER($D$23)),IF(AE54&gt;$D$23,"boven UCL",IF(AE54&lt;$B$23,"onder LCL","")),"")</f>
        <v/>
      </c>
      <c r="AI54" s="13">
        <f>IF(AND(ISNUMBER(AF54),ISNUMBER($B$24),ISNUMBER($D$24)),IF(AF54&gt;$D$24,"boven UCL",IF(AF54&lt;$B$24,"onder LCL","")),"")</f>
        <v/>
      </c>
      <c r="AJ54" s="13">
        <f>IF(AND(ISNUMBER(AE54),ISNUMBER($B$25),ISNUMBER($D$25)),IF(AE54&gt;$D$25,"boven UCL",IF(AE54&lt;$B$25,"onder LCL","")),"")</f>
        <v/>
      </c>
      <c r="AK54" s="13">
        <f>IF(AND(ISNUMBER(AG54),ISNUMBER($B$26),ISNUMBER($D$26)),IF(AG54&gt;$D$26,"boven UCL",IF(AG54&lt;$B$26,"onder LCL","")),"")</f>
        <v/>
      </c>
      <c r="AL54" s="13">
        <f>IF(AND(COUNT(B54:Z54)&gt;0,COUNT(AA54:AC54)&gt;0),"ruwe waarden én getypt: getypte genegeerd",IF(COUNTA(B54:Z54,AA54:AC54)&gt;COUNT(B54:Z54,AA54:AC54),"tekst telt niet mee",IF(COUNT(B54:Z54)=1,"1 waarde: geen R of s","")))</f>
        <v/>
      </c>
    </row>
    <row r="55">
      <c r="A55" t="n">
        <v>4</v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28">
        <f>IF(COUNT(B55:Z55)&gt;0,COUNT(B55:Z55),IF(OR(ISNUMBER(AA55),ISNUMBER(AB55)),$B$9,""))</f>
        <v/>
      </c>
      <c r="AE55" s="29">
        <f>IF(COUNT(B55:Z55)&gt;0,AVERAGE(B55:Z55),IF(ISNUMBER(AA55),AA55,""))</f>
        <v/>
      </c>
      <c r="AF55" s="29">
        <f>IF(COUNT(B55:Z55)&gt;1,MAX(B55:Z55)-MIN(B55:Z55),IF(ISNUMBER(AB55),AB55,""))</f>
        <v/>
      </c>
      <c r="AG55" s="29">
        <f>IF(COUNT(B55:Z55)&gt;1,_xlfn.STDEV.S(B55:Z55),IF(ISNUMBER(AC55),AC55,""))</f>
        <v/>
      </c>
      <c r="AH55" s="13">
        <f>IF(AND(ISNUMBER(AE55),ISNUMBER($B$23),ISNUMBER($D$23)),IF(AE55&gt;$D$23,"boven UCL",IF(AE55&lt;$B$23,"onder LCL","")),"")</f>
        <v/>
      </c>
      <c r="AI55" s="13">
        <f>IF(AND(ISNUMBER(AF55),ISNUMBER($B$24),ISNUMBER($D$24)),IF(AF55&gt;$D$24,"boven UCL",IF(AF55&lt;$B$24,"onder LCL","")),"")</f>
        <v/>
      </c>
      <c r="AJ55" s="13">
        <f>IF(AND(ISNUMBER(AE55),ISNUMBER($B$25),ISNUMBER($D$25)),IF(AE55&gt;$D$25,"boven UCL",IF(AE55&lt;$B$25,"onder LCL","")),"")</f>
        <v/>
      </c>
      <c r="AK55" s="13">
        <f>IF(AND(ISNUMBER(AG55),ISNUMBER($B$26),ISNUMBER($D$26)),IF(AG55&gt;$D$26,"boven UCL",IF(AG55&lt;$B$26,"onder LCL","")),"")</f>
        <v/>
      </c>
      <c r="AL55" s="13">
        <f>IF(AND(COUNT(B55:Z55)&gt;0,COUNT(AA55:AC55)&gt;0),"ruwe waarden én getypt: getypte genegeerd",IF(COUNTA(B55:Z55,AA55:AC55)&gt;COUNT(B55:Z55,AA55:AC55),"tekst telt niet mee",IF(COUNT(B55:Z55)=1,"1 waarde: geen R of s","")))</f>
        <v/>
      </c>
    </row>
    <row r="56">
      <c r="A56" t="n">
        <v>5</v>
      </c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28">
        <f>IF(COUNT(B56:Z56)&gt;0,COUNT(B56:Z56),IF(OR(ISNUMBER(AA56),ISNUMBER(AB56)),$B$9,""))</f>
        <v/>
      </c>
      <c r="AE56" s="29">
        <f>IF(COUNT(B56:Z56)&gt;0,AVERAGE(B56:Z56),IF(ISNUMBER(AA56),AA56,""))</f>
        <v/>
      </c>
      <c r="AF56" s="29">
        <f>IF(COUNT(B56:Z56)&gt;1,MAX(B56:Z56)-MIN(B56:Z56),IF(ISNUMBER(AB56),AB56,""))</f>
        <v/>
      </c>
      <c r="AG56" s="29">
        <f>IF(COUNT(B56:Z56)&gt;1,_xlfn.STDEV.S(B56:Z56),IF(ISNUMBER(AC56),AC56,""))</f>
        <v/>
      </c>
      <c r="AH56" s="13">
        <f>IF(AND(ISNUMBER(AE56),ISNUMBER($B$23),ISNUMBER($D$23)),IF(AE56&gt;$D$23,"boven UCL",IF(AE56&lt;$B$23,"onder LCL","")),"")</f>
        <v/>
      </c>
      <c r="AI56" s="13">
        <f>IF(AND(ISNUMBER(AF56),ISNUMBER($B$24),ISNUMBER($D$24)),IF(AF56&gt;$D$24,"boven UCL",IF(AF56&lt;$B$24,"onder LCL","")),"")</f>
        <v/>
      </c>
      <c r="AJ56" s="13">
        <f>IF(AND(ISNUMBER(AE56),ISNUMBER($B$25),ISNUMBER($D$25)),IF(AE56&gt;$D$25,"boven UCL",IF(AE56&lt;$B$25,"onder LCL","")),"")</f>
        <v/>
      </c>
      <c r="AK56" s="13">
        <f>IF(AND(ISNUMBER(AG56),ISNUMBER($B$26),ISNUMBER($D$26)),IF(AG56&gt;$D$26,"boven UCL",IF(AG56&lt;$B$26,"onder LCL","")),"")</f>
        <v/>
      </c>
      <c r="AL56" s="13">
        <f>IF(AND(COUNT(B56:Z56)&gt;0,COUNT(AA56:AC56)&gt;0),"ruwe waarden én getypt: getypte genegeerd",IF(COUNTA(B56:Z56,AA56:AC56)&gt;COUNT(B56:Z56,AA56:AC56),"tekst telt niet mee",IF(COUNT(B56:Z56)=1,"1 waarde: geen R of s","")))</f>
        <v/>
      </c>
    </row>
    <row r="57">
      <c r="A57" t="n">
        <v>6</v>
      </c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28">
        <f>IF(COUNT(B57:Z57)&gt;0,COUNT(B57:Z57),IF(OR(ISNUMBER(AA57),ISNUMBER(AB57)),$B$9,""))</f>
        <v/>
      </c>
      <c r="AE57" s="29">
        <f>IF(COUNT(B57:Z57)&gt;0,AVERAGE(B57:Z57),IF(ISNUMBER(AA57),AA57,""))</f>
        <v/>
      </c>
      <c r="AF57" s="29">
        <f>IF(COUNT(B57:Z57)&gt;1,MAX(B57:Z57)-MIN(B57:Z57),IF(ISNUMBER(AB57),AB57,""))</f>
        <v/>
      </c>
      <c r="AG57" s="29">
        <f>IF(COUNT(B57:Z57)&gt;1,_xlfn.STDEV.S(B57:Z57),IF(ISNUMBER(AC57),AC57,""))</f>
        <v/>
      </c>
      <c r="AH57" s="13">
        <f>IF(AND(ISNUMBER(AE57),ISNUMBER($B$23),ISNUMBER($D$23)),IF(AE57&gt;$D$23,"boven UCL",IF(AE57&lt;$B$23,"onder LCL","")),"")</f>
        <v/>
      </c>
      <c r="AI57" s="13">
        <f>IF(AND(ISNUMBER(AF57),ISNUMBER($B$24),ISNUMBER($D$24)),IF(AF57&gt;$D$24,"boven UCL",IF(AF57&lt;$B$24,"onder LCL","")),"")</f>
        <v/>
      </c>
      <c r="AJ57" s="13">
        <f>IF(AND(ISNUMBER(AE57),ISNUMBER($B$25),ISNUMBER($D$25)),IF(AE57&gt;$D$25,"boven UCL",IF(AE57&lt;$B$25,"onder LCL","")),"")</f>
        <v/>
      </c>
      <c r="AK57" s="13">
        <f>IF(AND(ISNUMBER(AG57),ISNUMBER($B$26),ISNUMBER($D$26)),IF(AG57&gt;$D$26,"boven UCL",IF(AG57&lt;$B$26,"onder LCL","")),"")</f>
        <v/>
      </c>
      <c r="AL57" s="13">
        <f>IF(AND(COUNT(B57:Z57)&gt;0,COUNT(AA57:AC57)&gt;0),"ruwe waarden én getypt: getypte genegeerd",IF(COUNTA(B57:Z57,AA57:AC57)&gt;COUNT(B57:Z57,AA57:AC57),"tekst telt niet mee",IF(COUNT(B57:Z57)=1,"1 waarde: geen R of s","")))</f>
        <v/>
      </c>
    </row>
    <row r="58">
      <c r="A58" t="n">
        <v>7</v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28">
        <f>IF(COUNT(B58:Z58)&gt;0,COUNT(B58:Z58),IF(OR(ISNUMBER(AA58),ISNUMBER(AB58)),$B$9,""))</f>
        <v/>
      </c>
      <c r="AE58" s="29">
        <f>IF(COUNT(B58:Z58)&gt;0,AVERAGE(B58:Z58),IF(ISNUMBER(AA58),AA58,""))</f>
        <v/>
      </c>
      <c r="AF58" s="29">
        <f>IF(COUNT(B58:Z58)&gt;1,MAX(B58:Z58)-MIN(B58:Z58),IF(ISNUMBER(AB58),AB58,""))</f>
        <v/>
      </c>
      <c r="AG58" s="29">
        <f>IF(COUNT(B58:Z58)&gt;1,_xlfn.STDEV.S(B58:Z58),IF(ISNUMBER(AC58),AC58,""))</f>
        <v/>
      </c>
      <c r="AH58" s="13">
        <f>IF(AND(ISNUMBER(AE58),ISNUMBER($B$23),ISNUMBER($D$23)),IF(AE58&gt;$D$23,"boven UCL",IF(AE58&lt;$B$23,"onder LCL","")),"")</f>
        <v/>
      </c>
      <c r="AI58" s="13">
        <f>IF(AND(ISNUMBER(AF58),ISNUMBER($B$24),ISNUMBER($D$24)),IF(AF58&gt;$D$24,"boven UCL",IF(AF58&lt;$B$24,"onder LCL","")),"")</f>
        <v/>
      </c>
      <c r="AJ58" s="13">
        <f>IF(AND(ISNUMBER(AE58),ISNUMBER($B$25),ISNUMBER($D$25)),IF(AE58&gt;$D$25,"boven UCL",IF(AE58&lt;$B$25,"onder LCL","")),"")</f>
        <v/>
      </c>
      <c r="AK58" s="13">
        <f>IF(AND(ISNUMBER(AG58),ISNUMBER($B$26),ISNUMBER($D$26)),IF(AG58&gt;$D$26,"boven UCL",IF(AG58&lt;$B$26,"onder LCL","")),"")</f>
        <v/>
      </c>
      <c r="AL58" s="13">
        <f>IF(AND(COUNT(B58:Z58)&gt;0,COUNT(AA58:AC58)&gt;0),"ruwe waarden én getypt: getypte genegeerd",IF(COUNTA(B58:Z58,AA58:AC58)&gt;COUNT(B58:Z58,AA58:AC58),"tekst telt niet mee",IF(COUNT(B58:Z58)=1,"1 waarde: geen R of s","")))</f>
        <v/>
      </c>
    </row>
    <row r="59">
      <c r="A59" t="n">
        <v>8</v>
      </c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28">
        <f>IF(COUNT(B59:Z59)&gt;0,COUNT(B59:Z59),IF(OR(ISNUMBER(AA59),ISNUMBER(AB59)),$B$9,""))</f>
        <v/>
      </c>
      <c r="AE59" s="29">
        <f>IF(COUNT(B59:Z59)&gt;0,AVERAGE(B59:Z59),IF(ISNUMBER(AA59),AA59,""))</f>
        <v/>
      </c>
      <c r="AF59" s="29">
        <f>IF(COUNT(B59:Z59)&gt;1,MAX(B59:Z59)-MIN(B59:Z59),IF(ISNUMBER(AB59),AB59,""))</f>
        <v/>
      </c>
      <c r="AG59" s="29">
        <f>IF(COUNT(B59:Z59)&gt;1,_xlfn.STDEV.S(B59:Z59),IF(ISNUMBER(AC59),AC59,""))</f>
        <v/>
      </c>
      <c r="AH59" s="13">
        <f>IF(AND(ISNUMBER(AE59),ISNUMBER($B$23),ISNUMBER($D$23)),IF(AE59&gt;$D$23,"boven UCL",IF(AE59&lt;$B$23,"onder LCL","")),"")</f>
        <v/>
      </c>
      <c r="AI59" s="13">
        <f>IF(AND(ISNUMBER(AF59),ISNUMBER($B$24),ISNUMBER($D$24)),IF(AF59&gt;$D$24,"boven UCL",IF(AF59&lt;$B$24,"onder LCL","")),"")</f>
        <v/>
      </c>
      <c r="AJ59" s="13">
        <f>IF(AND(ISNUMBER(AE59),ISNUMBER($B$25),ISNUMBER($D$25)),IF(AE59&gt;$D$25,"boven UCL",IF(AE59&lt;$B$25,"onder LCL","")),"")</f>
        <v/>
      </c>
      <c r="AK59" s="13">
        <f>IF(AND(ISNUMBER(AG59),ISNUMBER($B$26),ISNUMBER($D$26)),IF(AG59&gt;$D$26,"boven UCL",IF(AG59&lt;$B$26,"onder LCL","")),"")</f>
        <v/>
      </c>
      <c r="AL59" s="13">
        <f>IF(AND(COUNT(B59:Z59)&gt;0,COUNT(AA59:AC59)&gt;0),"ruwe waarden én getypt: getypte genegeerd",IF(COUNTA(B59:Z59,AA59:AC59)&gt;COUNT(B59:Z59,AA59:AC59),"tekst telt niet mee",IF(COUNT(B59:Z59)=1,"1 waarde: geen R of s","")))</f>
        <v/>
      </c>
    </row>
    <row r="60">
      <c r="A60" t="n">
        <v>9</v>
      </c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28">
        <f>IF(COUNT(B60:Z60)&gt;0,COUNT(B60:Z60),IF(OR(ISNUMBER(AA60),ISNUMBER(AB60)),$B$9,""))</f>
        <v/>
      </c>
      <c r="AE60" s="29">
        <f>IF(COUNT(B60:Z60)&gt;0,AVERAGE(B60:Z60),IF(ISNUMBER(AA60),AA60,""))</f>
        <v/>
      </c>
      <c r="AF60" s="29">
        <f>IF(COUNT(B60:Z60)&gt;1,MAX(B60:Z60)-MIN(B60:Z60),IF(ISNUMBER(AB60),AB60,""))</f>
        <v/>
      </c>
      <c r="AG60" s="29">
        <f>IF(COUNT(B60:Z60)&gt;1,_xlfn.STDEV.S(B60:Z60),IF(ISNUMBER(AC60),AC60,""))</f>
        <v/>
      </c>
      <c r="AH60" s="13">
        <f>IF(AND(ISNUMBER(AE60),ISNUMBER($B$23),ISNUMBER($D$23)),IF(AE60&gt;$D$23,"boven UCL",IF(AE60&lt;$B$23,"onder LCL","")),"")</f>
        <v/>
      </c>
      <c r="AI60" s="13">
        <f>IF(AND(ISNUMBER(AF60),ISNUMBER($B$24),ISNUMBER($D$24)),IF(AF60&gt;$D$24,"boven UCL",IF(AF60&lt;$B$24,"onder LCL","")),"")</f>
        <v/>
      </c>
      <c r="AJ60" s="13">
        <f>IF(AND(ISNUMBER(AE60),ISNUMBER($B$25),ISNUMBER($D$25)),IF(AE60&gt;$D$25,"boven UCL",IF(AE60&lt;$B$25,"onder LCL","")),"")</f>
        <v/>
      </c>
      <c r="AK60" s="13">
        <f>IF(AND(ISNUMBER(AG60),ISNUMBER($B$26),ISNUMBER($D$26)),IF(AG60&gt;$D$26,"boven UCL",IF(AG60&lt;$B$26,"onder LCL","")),"")</f>
        <v/>
      </c>
      <c r="AL60" s="13">
        <f>IF(AND(COUNT(B60:Z60)&gt;0,COUNT(AA60:AC60)&gt;0),"ruwe waarden én getypt: getypte genegeerd",IF(COUNTA(B60:Z60,AA60:AC60)&gt;COUNT(B60:Z60,AA60:AC60),"tekst telt niet mee",IF(COUNT(B60:Z60)=1,"1 waarde: geen R of s","")))</f>
        <v/>
      </c>
    </row>
    <row r="61">
      <c r="A61" t="n">
        <v>10</v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28">
        <f>IF(COUNT(B61:Z61)&gt;0,COUNT(B61:Z61),IF(OR(ISNUMBER(AA61),ISNUMBER(AB61)),$B$9,""))</f>
        <v/>
      </c>
      <c r="AE61" s="29">
        <f>IF(COUNT(B61:Z61)&gt;0,AVERAGE(B61:Z61),IF(ISNUMBER(AA61),AA61,""))</f>
        <v/>
      </c>
      <c r="AF61" s="29">
        <f>IF(COUNT(B61:Z61)&gt;1,MAX(B61:Z61)-MIN(B61:Z61),IF(ISNUMBER(AB61),AB61,""))</f>
        <v/>
      </c>
      <c r="AG61" s="29">
        <f>IF(COUNT(B61:Z61)&gt;1,_xlfn.STDEV.S(B61:Z61),IF(ISNUMBER(AC61),AC61,""))</f>
        <v/>
      </c>
      <c r="AH61" s="13">
        <f>IF(AND(ISNUMBER(AE61),ISNUMBER($B$23),ISNUMBER($D$23)),IF(AE61&gt;$D$23,"boven UCL",IF(AE61&lt;$B$23,"onder LCL","")),"")</f>
        <v/>
      </c>
      <c r="AI61" s="13">
        <f>IF(AND(ISNUMBER(AF61),ISNUMBER($B$24),ISNUMBER($D$24)),IF(AF61&gt;$D$24,"boven UCL",IF(AF61&lt;$B$24,"onder LCL","")),"")</f>
        <v/>
      </c>
      <c r="AJ61" s="13">
        <f>IF(AND(ISNUMBER(AE61),ISNUMBER($B$25),ISNUMBER($D$25)),IF(AE61&gt;$D$25,"boven UCL",IF(AE61&lt;$B$25,"onder LCL","")),"")</f>
        <v/>
      </c>
      <c r="AK61" s="13">
        <f>IF(AND(ISNUMBER(AG61),ISNUMBER($B$26),ISNUMBER($D$26)),IF(AG61&gt;$D$26,"boven UCL",IF(AG61&lt;$B$26,"onder LCL","")),"")</f>
        <v/>
      </c>
      <c r="AL61" s="13">
        <f>IF(AND(COUNT(B61:Z61)&gt;0,COUNT(AA61:AC61)&gt;0),"ruwe waarden én getypt: getypte genegeerd",IF(COUNTA(B61:Z61,AA61:AC61)&gt;COUNT(B61:Z61,AA61:AC61),"tekst telt niet mee",IF(COUNT(B61:Z61)=1,"1 waarde: geen R of s","")))</f>
        <v/>
      </c>
    </row>
    <row r="62">
      <c r="A62" t="n">
        <v>11</v>
      </c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28">
        <f>IF(COUNT(B62:Z62)&gt;0,COUNT(B62:Z62),IF(OR(ISNUMBER(AA62),ISNUMBER(AB62)),$B$9,""))</f>
        <v/>
      </c>
      <c r="AE62" s="29">
        <f>IF(COUNT(B62:Z62)&gt;0,AVERAGE(B62:Z62),IF(ISNUMBER(AA62),AA62,""))</f>
        <v/>
      </c>
      <c r="AF62" s="29">
        <f>IF(COUNT(B62:Z62)&gt;1,MAX(B62:Z62)-MIN(B62:Z62),IF(ISNUMBER(AB62),AB62,""))</f>
        <v/>
      </c>
      <c r="AG62" s="29">
        <f>IF(COUNT(B62:Z62)&gt;1,_xlfn.STDEV.S(B62:Z62),IF(ISNUMBER(AC62),AC62,""))</f>
        <v/>
      </c>
      <c r="AH62" s="13">
        <f>IF(AND(ISNUMBER(AE62),ISNUMBER($B$23),ISNUMBER($D$23)),IF(AE62&gt;$D$23,"boven UCL",IF(AE62&lt;$B$23,"onder LCL","")),"")</f>
        <v/>
      </c>
      <c r="AI62" s="13">
        <f>IF(AND(ISNUMBER(AF62),ISNUMBER($B$24),ISNUMBER($D$24)),IF(AF62&gt;$D$24,"boven UCL",IF(AF62&lt;$B$24,"onder LCL","")),"")</f>
        <v/>
      </c>
      <c r="AJ62" s="13">
        <f>IF(AND(ISNUMBER(AE62),ISNUMBER($B$25),ISNUMBER($D$25)),IF(AE62&gt;$D$25,"boven UCL",IF(AE62&lt;$B$25,"onder LCL","")),"")</f>
        <v/>
      </c>
      <c r="AK62" s="13">
        <f>IF(AND(ISNUMBER(AG62),ISNUMBER($B$26),ISNUMBER($D$26)),IF(AG62&gt;$D$26,"boven UCL",IF(AG62&lt;$B$26,"onder LCL","")),"")</f>
        <v/>
      </c>
      <c r="AL62" s="13">
        <f>IF(AND(COUNT(B62:Z62)&gt;0,COUNT(AA62:AC62)&gt;0),"ruwe waarden én getypt: getypte genegeerd",IF(COUNTA(B62:Z62,AA62:AC62)&gt;COUNT(B62:Z62,AA62:AC62),"tekst telt niet mee",IF(COUNT(B62:Z62)=1,"1 waarde: geen R of s","")))</f>
        <v/>
      </c>
    </row>
    <row r="63">
      <c r="A63" t="n">
        <v>12</v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28">
        <f>IF(COUNT(B63:Z63)&gt;0,COUNT(B63:Z63),IF(OR(ISNUMBER(AA63),ISNUMBER(AB63)),$B$9,""))</f>
        <v/>
      </c>
      <c r="AE63" s="29">
        <f>IF(COUNT(B63:Z63)&gt;0,AVERAGE(B63:Z63),IF(ISNUMBER(AA63),AA63,""))</f>
        <v/>
      </c>
      <c r="AF63" s="29">
        <f>IF(COUNT(B63:Z63)&gt;1,MAX(B63:Z63)-MIN(B63:Z63),IF(ISNUMBER(AB63),AB63,""))</f>
        <v/>
      </c>
      <c r="AG63" s="29">
        <f>IF(COUNT(B63:Z63)&gt;1,_xlfn.STDEV.S(B63:Z63),IF(ISNUMBER(AC63),AC63,""))</f>
        <v/>
      </c>
      <c r="AH63" s="13">
        <f>IF(AND(ISNUMBER(AE63),ISNUMBER($B$23),ISNUMBER($D$23)),IF(AE63&gt;$D$23,"boven UCL",IF(AE63&lt;$B$23,"onder LCL","")),"")</f>
        <v/>
      </c>
      <c r="AI63" s="13">
        <f>IF(AND(ISNUMBER(AF63),ISNUMBER($B$24),ISNUMBER($D$24)),IF(AF63&gt;$D$24,"boven UCL",IF(AF63&lt;$B$24,"onder LCL","")),"")</f>
        <v/>
      </c>
      <c r="AJ63" s="13">
        <f>IF(AND(ISNUMBER(AE63),ISNUMBER($B$25),ISNUMBER($D$25)),IF(AE63&gt;$D$25,"boven UCL",IF(AE63&lt;$B$25,"onder LCL","")),"")</f>
        <v/>
      </c>
      <c r="AK63" s="13">
        <f>IF(AND(ISNUMBER(AG63),ISNUMBER($B$26),ISNUMBER($D$26)),IF(AG63&gt;$D$26,"boven UCL",IF(AG63&lt;$B$26,"onder LCL","")),"")</f>
        <v/>
      </c>
      <c r="AL63" s="13">
        <f>IF(AND(COUNT(B63:Z63)&gt;0,COUNT(AA63:AC63)&gt;0),"ruwe waarden én getypt: getypte genegeerd",IF(COUNTA(B63:Z63,AA63:AC63)&gt;COUNT(B63:Z63,AA63:AC63),"tekst telt niet mee",IF(COUNT(B63:Z63)=1,"1 waarde: geen R of s","")))</f>
        <v/>
      </c>
    </row>
    <row r="64">
      <c r="A64" t="n">
        <v>13</v>
      </c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28">
        <f>IF(COUNT(B64:Z64)&gt;0,COUNT(B64:Z64),IF(OR(ISNUMBER(AA64),ISNUMBER(AB64)),$B$9,""))</f>
        <v/>
      </c>
      <c r="AE64" s="29">
        <f>IF(COUNT(B64:Z64)&gt;0,AVERAGE(B64:Z64),IF(ISNUMBER(AA64),AA64,""))</f>
        <v/>
      </c>
      <c r="AF64" s="29">
        <f>IF(COUNT(B64:Z64)&gt;1,MAX(B64:Z64)-MIN(B64:Z64),IF(ISNUMBER(AB64),AB64,""))</f>
        <v/>
      </c>
      <c r="AG64" s="29">
        <f>IF(COUNT(B64:Z64)&gt;1,_xlfn.STDEV.S(B64:Z64),IF(ISNUMBER(AC64),AC64,""))</f>
        <v/>
      </c>
      <c r="AH64" s="13">
        <f>IF(AND(ISNUMBER(AE64),ISNUMBER($B$23),ISNUMBER($D$23)),IF(AE64&gt;$D$23,"boven UCL",IF(AE64&lt;$B$23,"onder LCL","")),"")</f>
        <v/>
      </c>
      <c r="AI64" s="13">
        <f>IF(AND(ISNUMBER(AF64),ISNUMBER($B$24),ISNUMBER($D$24)),IF(AF64&gt;$D$24,"boven UCL",IF(AF64&lt;$B$24,"onder LCL","")),"")</f>
        <v/>
      </c>
      <c r="AJ64" s="13">
        <f>IF(AND(ISNUMBER(AE64),ISNUMBER($B$25),ISNUMBER($D$25)),IF(AE64&gt;$D$25,"boven UCL",IF(AE64&lt;$B$25,"onder LCL","")),"")</f>
        <v/>
      </c>
      <c r="AK64" s="13">
        <f>IF(AND(ISNUMBER(AG64),ISNUMBER($B$26),ISNUMBER($D$26)),IF(AG64&gt;$D$26,"boven UCL",IF(AG64&lt;$B$26,"onder LCL","")),"")</f>
        <v/>
      </c>
      <c r="AL64" s="13">
        <f>IF(AND(COUNT(B64:Z64)&gt;0,COUNT(AA64:AC64)&gt;0),"ruwe waarden én getypt: getypte genegeerd",IF(COUNTA(B64:Z64,AA64:AC64)&gt;COUNT(B64:Z64,AA64:AC64),"tekst telt niet mee",IF(COUNT(B64:Z64)=1,"1 waarde: geen R of s","")))</f>
        <v/>
      </c>
    </row>
    <row r="65">
      <c r="A65" t="n">
        <v>14</v>
      </c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28">
        <f>IF(COUNT(B65:Z65)&gt;0,COUNT(B65:Z65),IF(OR(ISNUMBER(AA65),ISNUMBER(AB65)),$B$9,""))</f>
        <v/>
      </c>
      <c r="AE65" s="29">
        <f>IF(COUNT(B65:Z65)&gt;0,AVERAGE(B65:Z65),IF(ISNUMBER(AA65),AA65,""))</f>
        <v/>
      </c>
      <c r="AF65" s="29">
        <f>IF(COUNT(B65:Z65)&gt;1,MAX(B65:Z65)-MIN(B65:Z65),IF(ISNUMBER(AB65),AB65,""))</f>
        <v/>
      </c>
      <c r="AG65" s="29">
        <f>IF(COUNT(B65:Z65)&gt;1,_xlfn.STDEV.S(B65:Z65),IF(ISNUMBER(AC65),AC65,""))</f>
        <v/>
      </c>
      <c r="AH65" s="13">
        <f>IF(AND(ISNUMBER(AE65),ISNUMBER($B$23),ISNUMBER($D$23)),IF(AE65&gt;$D$23,"boven UCL",IF(AE65&lt;$B$23,"onder LCL","")),"")</f>
        <v/>
      </c>
      <c r="AI65" s="13">
        <f>IF(AND(ISNUMBER(AF65),ISNUMBER($B$24),ISNUMBER($D$24)),IF(AF65&gt;$D$24,"boven UCL",IF(AF65&lt;$B$24,"onder LCL","")),"")</f>
        <v/>
      </c>
      <c r="AJ65" s="13">
        <f>IF(AND(ISNUMBER(AE65),ISNUMBER($B$25),ISNUMBER($D$25)),IF(AE65&gt;$D$25,"boven UCL",IF(AE65&lt;$B$25,"onder LCL","")),"")</f>
        <v/>
      </c>
      <c r="AK65" s="13">
        <f>IF(AND(ISNUMBER(AG65),ISNUMBER($B$26),ISNUMBER($D$26)),IF(AG65&gt;$D$26,"boven UCL",IF(AG65&lt;$B$26,"onder LCL","")),"")</f>
        <v/>
      </c>
      <c r="AL65" s="13">
        <f>IF(AND(COUNT(B65:Z65)&gt;0,COUNT(AA65:AC65)&gt;0),"ruwe waarden én getypt: getypte genegeerd",IF(COUNTA(B65:Z65,AA65:AC65)&gt;COUNT(B65:Z65,AA65:AC65),"tekst telt niet mee",IF(COUNT(B65:Z65)=1,"1 waarde: geen R of s","")))</f>
        <v/>
      </c>
    </row>
    <row r="66">
      <c r="A66" t="n">
        <v>15</v>
      </c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28">
        <f>IF(COUNT(B66:Z66)&gt;0,COUNT(B66:Z66),IF(OR(ISNUMBER(AA66),ISNUMBER(AB66)),$B$9,""))</f>
        <v/>
      </c>
      <c r="AE66" s="29">
        <f>IF(COUNT(B66:Z66)&gt;0,AVERAGE(B66:Z66),IF(ISNUMBER(AA66),AA66,""))</f>
        <v/>
      </c>
      <c r="AF66" s="29">
        <f>IF(COUNT(B66:Z66)&gt;1,MAX(B66:Z66)-MIN(B66:Z66),IF(ISNUMBER(AB66),AB66,""))</f>
        <v/>
      </c>
      <c r="AG66" s="29">
        <f>IF(COUNT(B66:Z66)&gt;1,_xlfn.STDEV.S(B66:Z66),IF(ISNUMBER(AC66),AC66,""))</f>
        <v/>
      </c>
      <c r="AH66" s="13">
        <f>IF(AND(ISNUMBER(AE66),ISNUMBER($B$23),ISNUMBER($D$23)),IF(AE66&gt;$D$23,"boven UCL",IF(AE66&lt;$B$23,"onder LCL","")),"")</f>
        <v/>
      </c>
      <c r="AI66" s="13">
        <f>IF(AND(ISNUMBER(AF66),ISNUMBER($B$24),ISNUMBER($D$24)),IF(AF66&gt;$D$24,"boven UCL",IF(AF66&lt;$B$24,"onder LCL","")),"")</f>
        <v/>
      </c>
      <c r="AJ66" s="13">
        <f>IF(AND(ISNUMBER(AE66),ISNUMBER($B$25),ISNUMBER($D$25)),IF(AE66&gt;$D$25,"boven UCL",IF(AE66&lt;$B$25,"onder LCL","")),"")</f>
        <v/>
      </c>
      <c r="AK66" s="13">
        <f>IF(AND(ISNUMBER(AG66),ISNUMBER($B$26),ISNUMBER($D$26)),IF(AG66&gt;$D$26,"boven UCL",IF(AG66&lt;$B$26,"onder LCL","")),"")</f>
        <v/>
      </c>
      <c r="AL66" s="13">
        <f>IF(AND(COUNT(B66:Z66)&gt;0,COUNT(AA66:AC66)&gt;0),"ruwe waarden én getypt: getypte genegeerd",IF(COUNTA(B66:Z66,AA66:AC66)&gt;COUNT(B66:Z66,AA66:AC66),"tekst telt niet mee",IF(COUNT(B66:Z66)=1,"1 waarde: geen R of s","")))</f>
        <v/>
      </c>
    </row>
    <row r="67">
      <c r="A67" t="n">
        <v>16</v>
      </c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28">
        <f>IF(COUNT(B67:Z67)&gt;0,COUNT(B67:Z67),IF(OR(ISNUMBER(AA67),ISNUMBER(AB67)),$B$9,""))</f>
        <v/>
      </c>
      <c r="AE67" s="29">
        <f>IF(COUNT(B67:Z67)&gt;0,AVERAGE(B67:Z67),IF(ISNUMBER(AA67),AA67,""))</f>
        <v/>
      </c>
      <c r="AF67" s="29">
        <f>IF(COUNT(B67:Z67)&gt;1,MAX(B67:Z67)-MIN(B67:Z67),IF(ISNUMBER(AB67),AB67,""))</f>
        <v/>
      </c>
      <c r="AG67" s="29">
        <f>IF(COUNT(B67:Z67)&gt;1,_xlfn.STDEV.S(B67:Z67),IF(ISNUMBER(AC67),AC67,""))</f>
        <v/>
      </c>
      <c r="AH67" s="13">
        <f>IF(AND(ISNUMBER(AE67),ISNUMBER($B$23),ISNUMBER($D$23)),IF(AE67&gt;$D$23,"boven UCL",IF(AE67&lt;$B$23,"onder LCL","")),"")</f>
        <v/>
      </c>
      <c r="AI67" s="13">
        <f>IF(AND(ISNUMBER(AF67),ISNUMBER($B$24),ISNUMBER($D$24)),IF(AF67&gt;$D$24,"boven UCL",IF(AF67&lt;$B$24,"onder LCL","")),"")</f>
        <v/>
      </c>
      <c r="AJ67" s="13">
        <f>IF(AND(ISNUMBER(AE67),ISNUMBER($B$25),ISNUMBER($D$25)),IF(AE67&gt;$D$25,"boven UCL",IF(AE67&lt;$B$25,"onder LCL","")),"")</f>
        <v/>
      </c>
      <c r="AK67" s="13">
        <f>IF(AND(ISNUMBER(AG67),ISNUMBER($B$26),ISNUMBER($D$26)),IF(AG67&gt;$D$26,"boven UCL",IF(AG67&lt;$B$26,"onder LCL","")),"")</f>
        <v/>
      </c>
      <c r="AL67" s="13">
        <f>IF(AND(COUNT(B67:Z67)&gt;0,COUNT(AA67:AC67)&gt;0),"ruwe waarden én getypt: getypte genegeerd",IF(COUNTA(B67:Z67,AA67:AC67)&gt;COUNT(B67:Z67,AA67:AC67),"tekst telt niet mee",IF(COUNT(B67:Z67)=1,"1 waarde: geen R of s","")))</f>
        <v/>
      </c>
    </row>
    <row r="68">
      <c r="A68" t="n">
        <v>17</v>
      </c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28">
        <f>IF(COUNT(B68:Z68)&gt;0,COUNT(B68:Z68),IF(OR(ISNUMBER(AA68),ISNUMBER(AB68)),$B$9,""))</f>
        <v/>
      </c>
      <c r="AE68" s="29">
        <f>IF(COUNT(B68:Z68)&gt;0,AVERAGE(B68:Z68),IF(ISNUMBER(AA68),AA68,""))</f>
        <v/>
      </c>
      <c r="AF68" s="29">
        <f>IF(COUNT(B68:Z68)&gt;1,MAX(B68:Z68)-MIN(B68:Z68),IF(ISNUMBER(AB68),AB68,""))</f>
        <v/>
      </c>
      <c r="AG68" s="29">
        <f>IF(COUNT(B68:Z68)&gt;1,_xlfn.STDEV.S(B68:Z68),IF(ISNUMBER(AC68),AC68,""))</f>
        <v/>
      </c>
      <c r="AH68" s="13">
        <f>IF(AND(ISNUMBER(AE68),ISNUMBER($B$23),ISNUMBER($D$23)),IF(AE68&gt;$D$23,"boven UCL",IF(AE68&lt;$B$23,"onder LCL","")),"")</f>
        <v/>
      </c>
      <c r="AI68" s="13">
        <f>IF(AND(ISNUMBER(AF68),ISNUMBER($B$24),ISNUMBER($D$24)),IF(AF68&gt;$D$24,"boven UCL",IF(AF68&lt;$B$24,"onder LCL","")),"")</f>
        <v/>
      </c>
      <c r="AJ68" s="13">
        <f>IF(AND(ISNUMBER(AE68),ISNUMBER($B$25),ISNUMBER($D$25)),IF(AE68&gt;$D$25,"boven UCL",IF(AE68&lt;$B$25,"onder LCL","")),"")</f>
        <v/>
      </c>
      <c r="AK68" s="13">
        <f>IF(AND(ISNUMBER(AG68),ISNUMBER($B$26),ISNUMBER($D$26)),IF(AG68&gt;$D$26,"boven UCL",IF(AG68&lt;$B$26,"onder LCL","")),"")</f>
        <v/>
      </c>
      <c r="AL68" s="13">
        <f>IF(AND(COUNT(B68:Z68)&gt;0,COUNT(AA68:AC68)&gt;0),"ruwe waarden én getypt: getypte genegeerd",IF(COUNTA(B68:Z68,AA68:AC68)&gt;COUNT(B68:Z68,AA68:AC68),"tekst telt niet mee",IF(COUNT(B68:Z68)=1,"1 waarde: geen R of s","")))</f>
        <v/>
      </c>
    </row>
    <row r="69">
      <c r="A69" t="n">
        <v>18</v>
      </c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28">
        <f>IF(COUNT(B69:Z69)&gt;0,COUNT(B69:Z69),IF(OR(ISNUMBER(AA69),ISNUMBER(AB69)),$B$9,""))</f>
        <v/>
      </c>
      <c r="AE69" s="29">
        <f>IF(COUNT(B69:Z69)&gt;0,AVERAGE(B69:Z69),IF(ISNUMBER(AA69),AA69,""))</f>
        <v/>
      </c>
      <c r="AF69" s="29">
        <f>IF(COUNT(B69:Z69)&gt;1,MAX(B69:Z69)-MIN(B69:Z69),IF(ISNUMBER(AB69),AB69,""))</f>
        <v/>
      </c>
      <c r="AG69" s="29">
        <f>IF(COUNT(B69:Z69)&gt;1,_xlfn.STDEV.S(B69:Z69),IF(ISNUMBER(AC69),AC69,""))</f>
        <v/>
      </c>
      <c r="AH69" s="13">
        <f>IF(AND(ISNUMBER(AE69),ISNUMBER($B$23),ISNUMBER($D$23)),IF(AE69&gt;$D$23,"boven UCL",IF(AE69&lt;$B$23,"onder LCL","")),"")</f>
        <v/>
      </c>
      <c r="AI69" s="13">
        <f>IF(AND(ISNUMBER(AF69),ISNUMBER($B$24),ISNUMBER($D$24)),IF(AF69&gt;$D$24,"boven UCL",IF(AF69&lt;$B$24,"onder LCL","")),"")</f>
        <v/>
      </c>
      <c r="AJ69" s="13">
        <f>IF(AND(ISNUMBER(AE69),ISNUMBER($B$25),ISNUMBER($D$25)),IF(AE69&gt;$D$25,"boven UCL",IF(AE69&lt;$B$25,"onder LCL","")),"")</f>
        <v/>
      </c>
      <c r="AK69" s="13">
        <f>IF(AND(ISNUMBER(AG69),ISNUMBER($B$26),ISNUMBER($D$26)),IF(AG69&gt;$D$26,"boven UCL",IF(AG69&lt;$B$26,"onder LCL","")),"")</f>
        <v/>
      </c>
      <c r="AL69" s="13">
        <f>IF(AND(COUNT(B69:Z69)&gt;0,COUNT(AA69:AC69)&gt;0),"ruwe waarden én getypt: getypte genegeerd",IF(COUNTA(B69:Z69,AA69:AC69)&gt;COUNT(B69:Z69,AA69:AC69),"tekst telt niet mee",IF(COUNT(B69:Z69)=1,"1 waarde: geen R of s","")))</f>
        <v/>
      </c>
    </row>
    <row r="70">
      <c r="A70" t="n">
        <v>19</v>
      </c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28">
        <f>IF(COUNT(B70:Z70)&gt;0,COUNT(B70:Z70),IF(OR(ISNUMBER(AA70),ISNUMBER(AB70)),$B$9,""))</f>
        <v/>
      </c>
      <c r="AE70" s="29">
        <f>IF(COUNT(B70:Z70)&gt;0,AVERAGE(B70:Z70),IF(ISNUMBER(AA70),AA70,""))</f>
        <v/>
      </c>
      <c r="AF70" s="29">
        <f>IF(COUNT(B70:Z70)&gt;1,MAX(B70:Z70)-MIN(B70:Z70),IF(ISNUMBER(AB70),AB70,""))</f>
        <v/>
      </c>
      <c r="AG70" s="29">
        <f>IF(COUNT(B70:Z70)&gt;1,_xlfn.STDEV.S(B70:Z70),IF(ISNUMBER(AC70),AC70,""))</f>
        <v/>
      </c>
      <c r="AH70" s="13">
        <f>IF(AND(ISNUMBER(AE70),ISNUMBER($B$23),ISNUMBER($D$23)),IF(AE70&gt;$D$23,"boven UCL",IF(AE70&lt;$B$23,"onder LCL","")),"")</f>
        <v/>
      </c>
      <c r="AI70" s="13">
        <f>IF(AND(ISNUMBER(AF70),ISNUMBER($B$24),ISNUMBER($D$24)),IF(AF70&gt;$D$24,"boven UCL",IF(AF70&lt;$B$24,"onder LCL","")),"")</f>
        <v/>
      </c>
      <c r="AJ70" s="13">
        <f>IF(AND(ISNUMBER(AE70),ISNUMBER($B$25),ISNUMBER($D$25)),IF(AE70&gt;$D$25,"boven UCL",IF(AE70&lt;$B$25,"onder LCL","")),"")</f>
        <v/>
      </c>
      <c r="AK70" s="13">
        <f>IF(AND(ISNUMBER(AG70),ISNUMBER($B$26),ISNUMBER($D$26)),IF(AG70&gt;$D$26,"boven UCL",IF(AG70&lt;$B$26,"onder LCL","")),"")</f>
        <v/>
      </c>
      <c r="AL70" s="13">
        <f>IF(AND(COUNT(B70:Z70)&gt;0,COUNT(AA70:AC70)&gt;0),"ruwe waarden én getypt: getypte genegeerd",IF(COUNTA(B70:Z70,AA70:AC70)&gt;COUNT(B70:Z70,AA70:AC70),"tekst telt niet mee",IF(COUNT(B70:Z70)=1,"1 waarde: geen R of s","")))</f>
        <v/>
      </c>
    </row>
    <row r="71">
      <c r="A71" t="n">
        <v>20</v>
      </c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28">
        <f>IF(COUNT(B71:Z71)&gt;0,COUNT(B71:Z71),IF(OR(ISNUMBER(AA71),ISNUMBER(AB71)),$B$9,""))</f>
        <v/>
      </c>
      <c r="AE71" s="29">
        <f>IF(COUNT(B71:Z71)&gt;0,AVERAGE(B71:Z71),IF(ISNUMBER(AA71),AA71,""))</f>
        <v/>
      </c>
      <c r="AF71" s="29">
        <f>IF(COUNT(B71:Z71)&gt;1,MAX(B71:Z71)-MIN(B71:Z71),IF(ISNUMBER(AB71),AB71,""))</f>
        <v/>
      </c>
      <c r="AG71" s="29">
        <f>IF(COUNT(B71:Z71)&gt;1,_xlfn.STDEV.S(B71:Z71),IF(ISNUMBER(AC71),AC71,""))</f>
        <v/>
      </c>
      <c r="AH71" s="13">
        <f>IF(AND(ISNUMBER(AE71),ISNUMBER($B$23),ISNUMBER($D$23)),IF(AE71&gt;$D$23,"boven UCL",IF(AE71&lt;$B$23,"onder LCL","")),"")</f>
        <v/>
      </c>
      <c r="AI71" s="13">
        <f>IF(AND(ISNUMBER(AF71),ISNUMBER($B$24),ISNUMBER($D$24)),IF(AF71&gt;$D$24,"boven UCL",IF(AF71&lt;$B$24,"onder LCL","")),"")</f>
        <v/>
      </c>
      <c r="AJ71" s="13">
        <f>IF(AND(ISNUMBER(AE71),ISNUMBER($B$25),ISNUMBER($D$25)),IF(AE71&gt;$D$25,"boven UCL",IF(AE71&lt;$B$25,"onder LCL","")),"")</f>
        <v/>
      </c>
      <c r="AK71" s="13">
        <f>IF(AND(ISNUMBER(AG71),ISNUMBER($B$26),ISNUMBER($D$26)),IF(AG71&gt;$D$26,"boven UCL",IF(AG71&lt;$B$26,"onder LCL","")),"")</f>
        <v/>
      </c>
      <c r="AL71" s="13">
        <f>IF(AND(COUNT(B71:Z71)&gt;0,COUNT(AA71:AC71)&gt;0),"ruwe waarden én getypt: getypte genegeerd",IF(COUNTA(B71:Z71,AA71:AC71)&gt;COUNT(B71:Z71,AA71:AC71),"tekst telt niet mee",IF(COUNT(B71:Z71)=1,"1 waarde: geen R of s","")))</f>
        <v/>
      </c>
    </row>
    <row r="72">
      <c r="A72" t="n">
        <v>21</v>
      </c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28">
        <f>IF(COUNT(B72:Z72)&gt;0,COUNT(B72:Z72),IF(OR(ISNUMBER(AA72),ISNUMBER(AB72)),$B$9,""))</f>
        <v/>
      </c>
      <c r="AE72" s="29">
        <f>IF(COUNT(B72:Z72)&gt;0,AVERAGE(B72:Z72),IF(ISNUMBER(AA72),AA72,""))</f>
        <v/>
      </c>
      <c r="AF72" s="29">
        <f>IF(COUNT(B72:Z72)&gt;1,MAX(B72:Z72)-MIN(B72:Z72),IF(ISNUMBER(AB72),AB72,""))</f>
        <v/>
      </c>
      <c r="AG72" s="29">
        <f>IF(COUNT(B72:Z72)&gt;1,_xlfn.STDEV.S(B72:Z72),IF(ISNUMBER(AC72),AC72,""))</f>
        <v/>
      </c>
      <c r="AH72" s="13">
        <f>IF(AND(ISNUMBER(AE72),ISNUMBER($B$23),ISNUMBER($D$23)),IF(AE72&gt;$D$23,"boven UCL",IF(AE72&lt;$B$23,"onder LCL","")),"")</f>
        <v/>
      </c>
      <c r="AI72" s="13">
        <f>IF(AND(ISNUMBER(AF72),ISNUMBER($B$24),ISNUMBER($D$24)),IF(AF72&gt;$D$24,"boven UCL",IF(AF72&lt;$B$24,"onder LCL","")),"")</f>
        <v/>
      </c>
      <c r="AJ72" s="13">
        <f>IF(AND(ISNUMBER(AE72),ISNUMBER($B$25),ISNUMBER($D$25)),IF(AE72&gt;$D$25,"boven UCL",IF(AE72&lt;$B$25,"onder LCL","")),"")</f>
        <v/>
      </c>
      <c r="AK72" s="13">
        <f>IF(AND(ISNUMBER(AG72),ISNUMBER($B$26),ISNUMBER($D$26)),IF(AG72&gt;$D$26,"boven UCL",IF(AG72&lt;$B$26,"onder LCL","")),"")</f>
        <v/>
      </c>
      <c r="AL72" s="13">
        <f>IF(AND(COUNT(B72:Z72)&gt;0,COUNT(AA72:AC72)&gt;0),"ruwe waarden én getypt: getypte genegeerd",IF(COUNTA(B72:Z72,AA72:AC72)&gt;COUNT(B72:Z72,AA72:AC72),"tekst telt niet mee",IF(COUNT(B72:Z72)=1,"1 waarde: geen R of s","")))</f>
        <v/>
      </c>
    </row>
    <row r="73">
      <c r="A73" t="n">
        <v>22</v>
      </c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28">
        <f>IF(COUNT(B73:Z73)&gt;0,COUNT(B73:Z73),IF(OR(ISNUMBER(AA73),ISNUMBER(AB73)),$B$9,""))</f>
        <v/>
      </c>
      <c r="AE73" s="29">
        <f>IF(COUNT(B73:Z73)&gt;0,AVERAGE(B73:Z73),IF(ISNUMBER(AA73),AA73,""))</f>
        <v/>
      </c>
      <c r="AF73" s="29">
        <f>IF(COUNT(B73:Z73)&gt;1,MAX(B73:Z73)-MIN(B73:Z73),IF(ISNUMBER(AB73),AB73,""))</f>
        <v/>
      </c>
      <c r="AG73" s="29">
        <f>IF(COUNT(B73:Z73)&gt;1,_xlfn.STDEV.S(B73:Z73),IF(ISNUMBER(AC73),AC73,""))</f>
        <v/>
      </c>
      <c r="AH73" s="13">
        <f>IF(AND(ISNUMBER(AE73),ISNUMBER($B$23),ISNUMBER($D$23)),IF(AE73&gt;$D$23,"boven UCL",IF(AE73&lt;$B$23,"onder LCL","")),"")</f>
        <v/>
      </c>
      <c r="AI73" s="13">
        <f>IF(AND(ISNUMBER(AF73),ISNUMBER($B$24),ISNUMBER($D$24)),IF(AF73&gt;$D$24,"boven UCL",IF(AF73&lt;$B$24,"onder LCL","")),"")</f>
        <v/>
      </c>
      <c r="AJ73" s="13">
        <f>IF(AND(ISNUMBER(AE73),ISNUMBER($B$25),ISNUMBER($D$25)),IF(AE73&gt;$D$25,"boven UCL",IF(AE73&lt;$B$25,"onder LCL","")),"")</f>
        <v/>
      </c>
      <c r="AK73" s="13">
        <f>IF(AND(ISNUMBER(AG73),ISNUMBER($B$26),ISNUMBER($D$26)),IF(AG73&gt;$D$26,"boven UCL",IF(AG73&lt;$B$26,"onder LCL","")),"")</f>
        <v/>
      </c>
      <c r="AL73" s="13">
        <f>IF(AND(COUNT(B73:Z73)&gt;0,COUNT(AA73:AC73)&gt;0),"ruwe waarden én getypt: getypte genegeerd",IF(COUNTA(B73:Z73,AA73:AC73)&gt;COUNT(B73:Z73,AA73:AC73),"tekst telt niet mee",IF(COUNT(B73:Z73)=1,"1 waarde: geen R of s","")))</f>
        <v/>
      </c>
    </row>
    <row r="74">
      <c r="A74" t="n">
        <v>23</v>
      </c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28">
        <f>IF(COUNT(B74:Z74)&gt;0,COUNT(B74:Z74),IF(OR(ISNUMBER(AA74),ISNUMBER(AB74)),$B$9,""))</f>
        <v/>
      </c>
      <c r="AE74" s="29">
        <f>IF(COUNT(B74:Z74)&gt;0,AVERAGE(B74:Z74),IF(ISNUMBER(AA74),AA74,""))</f>
        <v/>
      </c>
      <c r="AF74" s="29">
        <f>IF(COUNT(B74:Z74)&gt;1,MAX(B74:Z74)-MIN(B74:Z74),IF(ISNUMBER(AB74),AB74,""))</f>
        <v/>
      </c>
      <c r="AG74" s="29">
        <f>IF(COUNT(B74:Z74)&gt;1,_xlfn.STDEV.S(B74:Z74),IF(ISNUMBER(AC74),AC74,""))</f>
        <v/>
      </c>
      <c r="AH74" s="13">
        <f>IF(AND(ISNUMBER(AE74),ISNUMBER($B$23),ISNUMBER($D$23)),IF(AE74&gt;$D$23,"boven UCL",IF(AE74&lt;$B$23,"onder LCL","")),"")</f>
        <v/>
      </c>
      <c r="AI74" s="13">
        <f>IF(AND(ISNUMBER(AF74),ISNUMBER($B$24),ISNUMBER($D$24)),IF(AF74&gt;$D$24,"boven UCL",IF(AF74&lt;$B$24,"onder LCL","")),"")</f>
        <v/>
      </c>
      <c r="AJ74" s="13">
        <f>IF(AND(ISNUMBER(AE74),ISNUMBER($B$25),ISNUMBER($D$25)),IF(AE74&gt;$D$25,"boven UCL",IF(AE74&lt;$B$25,"onder LCL","")),"")</f>
        <v/>
      </c>
      <c r="AK74" s="13">
        <f>IF(AND(ISNUMBER(AG74),ISNUMBER($B$26),ISNUMBER($D$26)),IF(AG74&gt;$D$26,"boven UCL",IF(AG74&lt;$B$26,"onder LCL","")),"")</f>
        <v/>
      </c>
      <c r="AL74" s="13">
        <f>IF(AND(COUNT(B74:Z74)&gt;0,COUNT(AA74:AC74)&gt;0),"ruwe waarden én getypt: getypte genegeerd",IF(COUNTA(B74:Z74,AA74:AC74)&gt;COUNT(B74:Z74,AA74:AC74),"tekst telt niet mee",IF(COUNT(B74:Z74)=1,"1 waarde: geen R of s","")))</f>
        <v/>
      </c>
    </row>
    <row r="75">
      <c r="A75" t="n">
        <v>24</v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28">
        <f>IF(COUNT(B75:Z75)&gt;0,COUNT(B75:Z75),IF(OR(ISNUMBER(AA75),ISNUMBER(AB75)),$B$9,""))</f>
        <v/>
      </c>
      <c r="AE75" s="29">
        <f>IF(COUNT(B75:Z75)&gt;0,AVERAGE(B75:Z75),IF(ISNUMBER(AA75),AA75,""))</f>
        <v/>
      </c>
      <c r="AF75" s="29">
        <f>IF(COUNT(B75:Z75)&gt;1,MAX(B75:Z75)-MIN(B75:Z75),IF(ISNUMBER(AB75),AB75,""))</f>
        <v/>
      </c>
      <c r="AG75" s="29">
        <f>IF(COUNT(B75:Z75)&gt;1,_xlfn.STDEV.S(B75:Z75),IF(ISNUMBER(AC75),AC75,""))</f>
        <v/>
      </c>
      <c r="AH75" s="13">
        <f>IF(AND(ISNUMBER(AE75),ISNUMBER($B$23),ISNUMBER($D$23)),IF(AE75&gt;$D$23,"boven UCL",IF(AE75&lt;$B$23,"onder LCL","")),"")</f>
        <v/>
      </c>
      <c r="AI75" s="13">
        <f>IF(AND(ISNUMBER(AF75),ISNUMBER($B$24),ISNUMBER($D$24)),IF(AF75&gt;$D$24,"boven UCL",IF(AF75&lt;$B$24,"onder LCL","")),"")</f>
        <v/>
      </c>
      <c r="AJ75" s="13">
        <f>IF(AND(ISNUMBER(AE75),ISNUMBER($B$25),ISNUMBER($D$25)),IF(AE75&gt;$D$25,"boven UCL",IF(AE75&lt;$B$25,"onder LCL","")),"")</f>
        <v/>
      </c>
      <c r="AK75" s="13">
        <f>IF(AND(ISNUMBER(AG75),ISNUMBER($B$26),ISNUMBER($D$26)),IF(AG75&gt;$D$26,"boven UCL",IF(AG75&lt;$B$26,"onder LCL","")),"")</f>
        <v/>
      </c>
      <c r="AL75" s="13">
        <f>IF(AND(COUNT(B75:Z75)&gt;0,COUNT(AA75:AC75)&gt;0),"ruwe waarden én getypt: getypte genegeerd",IF(COUNTA(B75:Z75,AA75:AC75)&gt;COUNT(B75:Z75,AA75:AC75),"tekst telt niet mee",IF(COUNT(B75:Z75)=1,"1 waarde: geen R of s","")))</f>
        <v/>
      </c>
    </row>
    <row r="76">
      <c r="A76" t="n">
        <v>25</v>
      </c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28">
        <f>IF(COUNT(B76:Z76)&gt;0,COUNT(B76:Z76),IF(OR(ISNUMBER(AA76),ISNUMBER(AB76)),$B$9,""))</f>
        <v/>
      </c>
      <c r="AE76" s="29">
        <f>IF(COUNT(B76:Z76)&gt;0,AVERAGE(B76:Z76),IF(ISNUMBER(AA76),AA76,""))</f>
        <v/>
      </c>
      <c r="AF76" s="29">
        <f>IF(COUNT(B76:Z76)&gt;1,MAX(B76:Z76)-MIN(B76:Z76),IF(ISNUMBER(AB76),AB76,""))</f>
        <v/>
      </c>
      <c r="AG76" s="29">
        <f>IF(COUNT(B76:Z76)&gt;1,_xlfn.STDEV.S(B76:Z76),IF(ISNUMBER(AC76),AC76,""))</f>
        <v/>
      </c>
      <c r="AH76" s="13">
        <f>IF(AND(ISNUMBER(AE76),ISNUMBER($B$23),ISNUMBER($D$23)),IF(AE76&gt;$D$23,"boven UCL",IF(AE76&lt;$B$23,"onder LCL","")),"")</f>
        <v/>
      </c>
      <c r="AI76" s="13">
        <f>IF(AND(ISNUMBER(AF76),ISNUMBER($B$24),ISNUMBER($D$24)),IF(AF76&gt;$D$24,"boven UCL",IF(AF76&lt;$B$24,"onder LCL","")),"")</f>
        <v/>
      </c>
      <c r="AJ76" s="13">
        <f>IF(AND(ISNUMBER(AE76),ISNUMBER($B$25),ISNUMBER($D$25)),IF(AE76&gt;$D$25,"boven UCL",IF(AE76&lt;$B$25,"onder LCL","")),"")</f>
        <v/>
      </c>
      <c r="AK76" s="13">
        <f>IF(AND(ISNUMBER(AG76),ISNUMBER($B$26),ISNUMBER($D$26)),IF(AG76&gt;$D$26,"boven UCL",IF(AG76&lt;$B$26,"onder LCL","")),"")</f>
        <v/>
      </c>
      <c r="AL76" s="13">
        <f>IF(AND(COUNT(B76:Z76)&gt;0,COUNT(AA76:AC76)&gt;0),"ruwe waarden én getypt: getypte genegeerd",IF(COUNTA(B76:Z76,AA76:AC76)&gt;COUNT(B76:Z76,AA76:AC76),"tekst telt niet mee",IF(COUNT(B76:Z76)=1,"1 waarde: geen R of s","")))</f>
        <v/>
      </c>
    </row>
    <row r="77">
      <c r="A77" t="n">
        <v>26</v>
      </c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28">
        <f>IF(COUNT(B77:Z77)&gt;0,COUNT(B77:Z77),IF(OR(ISNUMBER(AA77),ISNUMBER(AB77)),$B$9,""))</f>
        <v/>
      </c>
      <c r="AE77" s="29">
        <f>IF(COUNT(B77:Z77)&gt;0,AVERAGE(B77:Z77),IF(ISNUMBER(AA77),AA77,""))</f>
        <v/>
      </c>
      <c r="AF77" s="29">
        <f>IF(COUNT(B77:Z77)&gt;1,MAX(B77:Z77)-MIN(B77:Z77),IF(ISNUMBER(AB77),AB77,""))</f>
        <v/>
      </c>
      <c r="AG77" s="29">
        <f>IF(COUNT(B77:Z77)&gt;1,_xlfn.STDEV.S(B77:Z77),IF(ISNUMBER(AC77),AC77,""))</f>
        <v/>
      </c>
      <c r="AH77" s="13">
        <f>IF(AND(ISNUMBER(AE77),ISNUMBER($B$23),ISNUMBER($D$23)),IF(AE77&gt;$D$23,"boven UCL",IF(AE77&lt;$B$23,"onder LCL","")),"")</f>
        <v/>
      </c>
      <c r="AI77" s="13">
        <f>IF(AND(ISNUMBER(AF77),ISNUMBER($B$24),ISNUMBER($D$24)),IF(AF77&gt;$D$24,"boven UCL",IF(AF77&lt;$B$24,"onder LCL","")),"")</f>
        <v/>
      </c>
      <c r="AJ77" s="13">
        <f>IF(AND(ISNUMBER(AE77),ISNUMBER($B$25),ISNUMBER($D$25)),IF(AE77&gt;$D$25,"boven UCL",IF(AE77&lt;$B$25,"onder LCL","")),"")</f>
        <v/>
      </c>
      <c r="AK77" s="13">
        <f>IF(AND(ISNUMBER(AG77),ISNUMBER($B$26),ISNUMBER($D$26)),IF(AG77&gt;$D$26,"boven UCL",IF(AG77&lt;$B$26,"onder LCL","")),"")</f>
        <v/>
      </c>
      <c r="AL77" s="13">
        <f>IF(AND(COUNT(B77:Z77)&gt;0,COUNT(AA77:AC77)&gt;0),"ruwe waarden én getypt: getypte genegeerd",IF(COUNTA(B77:Z77,AA77:AC77)&gt;COUNT(B77:Z77,AA77:AC77),"tekst telt niet mee",IF(COUNT(B77:Z77)=1,"1 waarde: geen R of s","")))</f>
        <v/>
      </c>
    </row>
    <row r="78">
      <c r="A78" t="n">
        <v>27</v>
      </c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28">
        <f>IF(COUNT(B78:Z78)&gt;0,COUNT(B78:Z78),IF(OR(ISNUMBER(AA78),ISNUMBER(AB78)),$B$9,""))</f>
        <v/>
      </c>
      <c r="AE78" s="29">
        <f>IF(COUNT(B78:Z78)&gt;0,AVERAGE(B78:Z78),IF(ISNUMBER(AA78),AA78,""))</f>
        <v/>
      </c>
      <c r="AF78" s="29">
        <f>IF(COUNT(B78:Z78)&gt;1,MAX(B78:Z78)-MIN(B78:Z78),IF(ISNUMBER(AB78),AB78,""))</f>
        <v/>
      </c>
      <c r="AG78" s="29">
        <f>IF(COUNT(B78:Z78)&gt;1,_xlfn.STDEV.S(B78:Z78),IF(ISNUMBER(AC78),AC78,""))</f>
        <v/>
      </c>
      <c r="AH78" s="13">
        <f>IF(AND(ISNUMBER(AE78),ISNUMBER($B$23),ISNUMBER($D$23)),IF(AE78&gt;$D$23,"boven UCL",IF(AE78&lt;$B$23,"onder LCL","")),"")</f>
        <v/>
      </c>
      <c r="AI78" s="13">
        <f>IF(AND(ISNUMBER(AF78),ISNUMBER($B$24),ISNUMBER($D$24)),IF(AF78&gt;$D$24,"boven UCL",IF(AF78&lt;$B$24,"onder LCL","")),"")</f>
        <v/>
      </c>
      <c r="AJ78" s="13">
        <f>IF(AND(ISNUMBER(AE78),ISNUMBER($B$25),ISNUMBER($D$25)),IF(AE78&gt;$D$25,"boven UCL",IF(AE78&lt;$B$25,"onder LCL","")),"")</f>
        <v/>
      </c>
      <c r="AK78" s="13">
        <f>IF(AND(ISNUMBER(AG78),ISNUMBER($B$26),ISNUMBER($D$26)),IF(AG78&gt;$D$26,"boven UCL",IF(AG78&lt;$B$26,"onder LCL","")),"")</f>
        <v/>
      </c>
      <c r="AL78" s="13">
        <f>IF(AND(COUNT(B78:Z78)&gt;0,COUNT(AA78:AC78)&gt;0),"ruwe waarden én getypt: getypte genegeerd",IF(COUNTA(B78:Z78,AA78:AC78)&gt;COUNT(B78:Z78,AA78:AC78),"tekst telt niet mee",IF(COUNT(B78:Z78)=1,"1 waarde: geen R of s","")))</f>
        <v/>
      </c>
    </row>
    <row r="79">
      <c r="A79" t="n">
        <v>28</v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28">
        <f>IF(COUNT(B79:Z79)&gt;0,COUNT(B79:Z79),IF(OR(ISNUMBER(AA79),ISNUMBER(AB79)),$B$9,""))</f>
        <v/>
      </c>
      <c r="AE79" s="29">
        <f>IF(COUNT(B79:Z79)&gt;0,AVERAGE(B79:Z79),IF(ISNUMBER(AA79),AA79,""))</f>
        <v/>
      </c>
      <c r="AF79" s="29">
        <f>IF(COUNT(B79:Z79)&gt;1,MAX(B79:Z79)-MIN(B79:Z79),IF(ISNUMBER(AB79),AB79,""))</f>
        <v/>
      </c>
      <c r="AG79" s="29">
        <f>IF(COUNT(B79:Z79)&gt;1,_xlfn.STDEV.S(B79:Z79),IF(ISNUMBER(AC79),AC79,""))</f>
        <v/>
      </c>
      <c r="AH79" s="13">
        <f>IF(AND(ISNUMBER(AE79),ISNUMBER($B$23),ISNUMBER($D$23)),IF(AE79&gt;$D$23,"boven UCL",IF(AE79&lt;$B$23,"onder LCL","")),"")</f>
        <v/>
      </c>
      <c r="AI79" s="13">
        <f>IF(AND(ISNUMBER(AF79),ISNUMBER($B$24),ISNUMBER($D$24)),IF(AF79&gt;$D$24,"boven UCL",IF(AF79&lt;$B$24,"onder LCL","")),"")</f>
        <v/>
      </c>
      <c r="AJ79" s="13">
        <f>IF(AND(ISNUMBER(AE79),ISNUMBER($B$25),ISNUMBER($D$25)),IF(AE79&gt;$D$25,"boven UCL",IF(AE79&lt;$B$25,"onder LCL","")),"")</f>
        <v/>
      </c>
      <c r="AK79" s="13">
        <f>IF(AND(ISNUMBER(AG79),ISNUMBER($B$26),ISNUMBER($D$26)),IF(AG79&gt;$D$26,"boven UCL",IF(AG79&lt;$B$26,"onder LCL","")),"")</f>
        <v/>
      </c>
      <c r="AL79" s="13">
        <f>IF(AND(COUNT(B79:Z79)&gt;0,COUNT(AA79:AC79)&gt;0),"ruwe waarden én getypt: getypte genegeerd",IF(COUNTA(B79:Z79,AA79:AC79)&gt;COUNT(B79:Z79,AA79:AC79),"tekst telt niet mee",IF(COUNT(B79:Z79)=1,"1 waarde: geen R of s","")))</f>
        <v/>
      </c>
    </row>
    <row r="80">
      <c r="A80" t="n">
        <v>29</v>
      </c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28">
        <f>IF(COUNT(B80:Z80)&gt;0,COUNT(B80:Z80),IF(OR(ISNUMBER(AA80),ISNUMBER(AB80)),$B$9,""))</f>
        <v/>
      </c>
      <c r="AE80" s="29">
        <f>IF(COUNT(B80:Z80)&gt;0,AVERAGE(B80:Z80),IF(ISNUMBER(AA80),AA80,""))</f>
        <v/>
      </c>
      <c r="AF80" s="29">
        <f>IF(COUNT(B80:Z80)&gt;1,MAX(B80:Z80)-MIN(B80:Z80),IF(ISNUMBER(AB80),AB80,""))</f>
        <v/>
      </c>
      <c r="AG80" s="29">
        <f>IF(COUNT(B80:Z80)&gt;1,_xlfn.STDEV.S(B80:Z80),IF(ISNUMBER(AC80),AC80,""))</f>
        <v/>
      </c>
      <c r="AH80" s="13">
        <f>IF(AND(ISNUMBER(AE80),ISNUMBER($B$23),ISNUMBER($D$23)),IF(AE80&gt;$D$23,"boven UCL",IF(AE80&lt;$B$23,"onder LCL","")),"")</f>
        <v/>
      </c>
      <c r="AI80" s="13">
        <f>IF(AND(ISNUMBER(AF80),ISNUMBER($B$24),ISNUMBER($D$24)),IF(AF80&gt;$D$24,"boven UCL",IF(AF80&lt;$B$24,"onder LCL","")),"")</f>
        <v/>
      </c>
      <c r="AJ80" s="13">
        <f>IF(AND(ISNUMBER(AE80),ISNUMBER($B$25),ISNUMBER($D$25)),IF(AE80&gt;$D$25,"boven UCL",IF(AE80&lt;$B$25,"onder LCL","")),"")</f>
        <v/>
      </c>
      <c r="AK80" s="13">
        <f>IF(AND(ISNUMBER(AG80),ISNUMBER($B$26),ISNUMBER($D$26)),IF(AG80&gt;$D$26,"boven UCL",IF(AG80&lt;$B$26,"onder LCL","")),"")</f>
        <v/>
      </c>
      <c r="AL80" s="13">
        <f>IF(AND(COUNT(B80:Z80)&gt;0,COUNT(AA80:AC80)&gt;0),"ruwe waarden én getypt: getypte genegeerd",IF(COUNTA(B80:Z80,AA80:AC80)&gt;COUNT(B80:Z80,AA80:AC80),"tekst telt niet mee",IF(COUNT(B80:Z80)=1,"1 waarde: geen R of s","")))</f>
        <v/>
      </c>
    </row>
    <row r="81">
      <c r="A81" t="n">
        <v>30</v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28">
        <f>IF(COUNT(B81:Z81)&gt;0,COUNT(B81:Z81),IF(OR(ISNUMBER(AA81),ISNUMBER(AB81)),$B$9,""))</f>
        <v/>
      </c>
      <c r="AE81" s="29">
        <f>IF(COUNT(B81:Z81)&gt;0,AVERAGE(B81:Z81),IF(ISNUMBER(AA81),AA81,""))</f>
        <v/>
      </c>
      <c r="AF81" s="29">
        <f>IF(COUNT(B81:Z81)&gt;1,MAX(B81:Z81)-MIN(B81:Z81),IF(ISNUMBER(AB81),AB81,""))</f>
        <v/>
      </c>
      <c r="AG81" s="29">
        <f>IF(COUNT(B81:Z81)&gt;1,_xlfn.STDEV.S(B81:Z81),IF(ISNUMBER(AC81),AC81,""))</f>
        <v/>
      </c>
      <c r="AH81" s="13">
        <f>IF(AND(ISNUMBER(AE81),ISNUMBER($B$23),ISNUMBER($D$23)),IF(AE81&gt;$D$23,"boven UCL",IF(AE81&lt;$B$23,"onder LCL","")),"")</f>
        <v/>
      </c>
      <c r="AI81" s="13">
        <f>IF(AND(ISNUMBER(AF81),ISNUMBER($B$24),ISNUMBER($D$24)),IF(AF81&gt;$D$24,"boven UCL",IF(AF81&lt;$B$24,"onder LCL","")),"")</f>
        <v/>
      </c>
      <c r="AJ81" s="13">
        <f>IF(AND(ISNUMBER(AE81),ISNUMBER($B$25),ISNUMBER($D$25)),IF(AE81&gt;$D$25,"boven UCL",IF(AE81&lt;$B$25,"onder LCL","")),"")</f>
        <v/>
      </c>
      <c r="AK81" s="13">
        <f>IF(AND(ISNUMBER(AG81),ISNUMBER($B$26),ISNUMBER($D$26)),IF(AG81&gt;$D$26,"boven UCL",IF(AG81&lt;$B$26,"onder LCL","")),"")</f>
        <v/>
      </c>
      <c r="AL81" s="13">
        <f>IF(AND(COUNT(B81:Z81)&gt;0,COUNT(AA81:AC81)&gt;0),"ruwe waarden én getypt: getypte genegeerd",IF(COUNTA(B81:Z81,AA81:AC81)&gt;COUNT(B81:Z81,AA81:AC81),"tekst telt niet mee",IF(COUNT(B81:Z81)=1,"1 waarde: geen R of s","")))</f>
        <v/>
      </c>
    </row>
    <row r="82">
      <c r="A82" t="n">
        <v>31</v>
      </c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28">
        <f>IF(COUNT(B82:Z82)&gt;0,COUNT(B82:Z82),IF(OR(ISNUMBER(AA82),ISNUMBER(AB82)),$B$9,""))</f>
        <v/>
      </c>
      <c r="AE82" s="29">
        <f>IF(COUNT(B82:Z82)&gt;0,AVERAGE(B82:Z82),IF(ISNUMBER(AA82),AA82,""))</f>
        <v/>
      </c>
      <c r="AF82" s="29">
        <f>IF(COUNT(B82:Z82)&gt;1,MAX(B82:Z82)-MIN(B82:Z82),IF(ISNUMBER(AB82),AB82,""))</f>
        <v/>
      </c>
      <c r="AG82" s="29">
        <f>IF(COUNT(B82:Z82)&gt;1,_xlfn.STDEV.S(B82:Z82),IF(ISNUMBER(AC82),AC82,""))</f>
        <v/>
      </c>
      <c r="AH82" s="13">
        <f>IF(AND(ISNUMBER(AE82),ISNUMBER($B$23),ISNUMBER($D$23)),IF(AE82&gt;$D$23,"boven UCL",IF(AE82&lt;$B$23,"onder LCL","")),"")</f>
        <v/>
      </c>
      <c r="AI82" s="13">
        <f>IF(AND(ISNUMBER(AF82),ISNUMBER($B$24),ISNUMBER($D$24)),IF(AF82&gt;$D$24,"boven UCL",IF(AF82&lt;$B$24,"onder LCL","")),"")</f>
        <v/>
      </c>
      <c r="AJ82" s="13">
        <f>IF(AND(ISNUMBER(AE82),ISNUMBER($B$25),ISNUMBER($D$25)),IF(AE82&gt;$D$25,"boven UCL",IF(AE82&lt;$B$25,"onder LCL","")),"")</f>
        <v/>
      </c>
      <c r="AK82" s="13">
        <f>IF(AND(ISNUMBER(AG82),ISNUMBER($B$26),ISNUMBER($D$26)),IF(AG82&gt;$D$26,"boven UCL",IF(AG82&lt;$B$26,"onder LCL","")),"")</f>
        <v/>
      </c>
      <c r="AL82" s="13">
        <f>IF(AND(COUNT(B82:Z82)&gt;0,COUNT(AA82:AC82)&gt;0),"ruwe waarden én getypt: getypte genegeerd",IF(COUNTA(B82:Z82,AA82:AC82)&gt;COUNT(B82:Z82,AA82:AC82),"tekst telt niet mee",IF(COUNT(B82:Z82)=1,"1 waarde: geen R of s","")))</f>
        <v/>
      </c>
    </row>
    <row r="83">
      <c r="A83" t="n">
        <v>32</v>
      </c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28">
        <f>IF(COUNT(B83:Z83)&gt;0,COUNT(B83:Z83),IF(OR(ISNUMBER(AA83),ISNUMBER(AB83)),$B$9,""))</f>
        <v/>
      </c>
      <c r="AE83" s="29">
        <f>IF(COUNT(B83:Z83)&gt;0,AVERAGE(B83:Z83),IF(ISNUMBER(AA83),AA83,""))</f>
        <v/>
      </c>
      <c r="AF83" s="29">
        <f>IF(COUNT(B83:Z83)&gt;1,MAX(B83:Z83)-MIN(B83:Z83),IF(ISNUMBER(AB83),AB83,""))</f>
        <v/>
      </c>
      <c r="AG83" s="29">
        <f>IF(COUNT(B83:Z83)&gt;1,_xlfn.STDEV.S(B83:Z83),IF(ISNUMBER(AC83),AC83,""))</f>
        <v/>
      </c>
      <c r="AH83" s="13">
        <f>IF(AND(ISNUMBER(AE83),ISNUMBER($B$23),ISNUMBER($D$23)),IF(AE83&gt;$D$23,"boven UCL",IF(AE83&lt;$B$23,"onder LCL","")),"")</f>
        <v/>
      </c>
      <c r="AI83" s="13">
        <f>IF(AND(ISNUMBER(AF83),ISNUMBER($B$24),ISNUMBER($D$24)),IF(AF83&gt;$D$24,"boven UCL",IF(AF83&lt;$B$24,"onder LCL","")),"")</f>
        <v/>
      </c>
      <c r="AJ83" s="13">
        <f>IF(AND(ISNUMBER(AE83),ISNUMBER($B$25),ISNUMBER($D$25)),IF(AE83&gt;$D$25,"boven UCL",IF(AE83&lt;$B$25,"onder LCL","")),"")</f>
        <v/>
      </c>
      <c r="AK83" s="13">
        <f>IF(AND(ISNUMBER(AG83),ISNUMBER($B$26),ISNUMBER($D$26)),IF(AG83&gt;$D$26,"boven UCL",IF(AG83&lt;$B$26,"onder LCL","")),"")</f>
        <v/>
      </c>
      <c r="AL83" s="13">
        <f>IF(AND(COUNT(B83:Z83)&gt;0,COUNT(AA83:AC83)&gt;0),"ruwe waarden én getypt: getypte genegeerd",IF(COUNTA(B83:Z83,AA83:AC83)&gt;COUNT(B83:Z83,AA83:AC83),"tekst telt niet mee",IF(COUNT(B83:Z83)=1,"1 waarde: geen R of s","")))</f>
        <v/>
      </c>
    </row>
    <row r="84">
      <c r="A84" t="n">
        <v>33</v>
      </c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28">
        <f>IF(COUNT(B84:Z84)&gt;0,COUNT(B84:Z84),IF(OR(ISNUMBER(AA84),ISNUMBER(AB84)),$B$9,""))</f>
        <v/>
      </c>
      <c r="AE84" s="29">
        <f>IF(COUNT(B84:Z84)&gt;0,AVERAGE(B84:Z84),IF(ISNUMBER(AA84),AA84,""))</f>
        <v/>
      </c>
      <c r="AF84" s="29">
        <f>IF(COUNT(B84:Z84)&gt;1,MAX(B84:Z84)-MIN(B84:Z84),IF(ISNUMBER(AB84),AB84,""))</f>
        <v/>
      </c>
      <c r="AG84" s="29">
        <f>IF(COUNT(B84:Z84)&gt;1,_xlfn.STDEV.S(B84:Z84),IF(ISNUMBER(AC84),AC84,""))</f>
        <v/>
      </c>
      <c r="AH84" s="13">
        <f>IF(AND(ISNUMBER(AE84),ISNUMBER($B$23),ISNUMBER($D$23)),IF(AE84&gt;$D$23,"boven UCL",IF(AE84&lt;$B$23,"onder LCL","")),"")</f>
        <v/>
      </c>
      <c r="AI84" s="13">
        <f>IF(AND(ISNUMBER(AF84),ISNUMBER($B$24),ISNUMBER($D$24)),IF(AF84&gt;$D$24,"boven UCL",IF(AF84&lt;$B$24,"onder LCL","")),"")</f>
        <v/>
      </c>
      <c r="AJ84" s="13">
        <f>IF(AND(ISNUMBER(AE84),ISNUMBER($B$25),ISNUMBER($D$25)),IF(AE84&gt;$D$25,"boven UCL",IF(AE84&lt;$B$25,"onder LCL","")),"")</f>
        <v/>
      </c>
      <c r="AK84" s="13">
        <f>IF(AND(ISNUMBER(AG84),ISNUMBER($B$26),ISNUMBER($D$26)),IF(AG84&gt;$D$26,"boven UCL",IF(AG84&lt;$B$26,"onder LCL","")),"")</f>
        <v/>
      </c>
      <c r="AL84" s="13">
        <f>IF(AND(COUNT(B84:Z84)&gt;0,COUNT(AA84:AC84)&gt;0),"ruwe waarden én getypt: getypte genegeerd",IF(COUNTA(B84:Z84,AA84:AC84)&gt;COUNT(B84:Z84,AA84:AC84),"tekst telt niet mee",IF(COUNT(B84:Z84)=1,"1 waarde: geen R of s","")))</f>
        <v/>
      </c>
    </row>
    <row r="85">
      <c r="A85" t="n">
        <v>34</v>
      </c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28">
        <f>IF(COUNT(B85:Z85)&gt;0,COUNT(B85:Z85),IF(OR(ISNUMBER(AA85),ISNUMBER(AB85)),$B$9,""))</f>
        <v/>
      </c>
      <c r="AE85" s="29">
        <f>IF(COUNT(B85:Z85)&gt;0,AVERAGE(B85:Z85),IF(ISNUMBER(AA85),AA85,""))</f>
        <v/>
      </c>
      <c r="AF85" s="29">
        <f>IF(COUNT(B85:Z85)&gt;1,MAX(B85:Z85)-MIN(B85:Z85),IF(ISNUMBER(AB85),AB85,""))</f>
        <v/>
      </c>
      <c r="AG85" s="29">
        <f>IF(COUNT(B85:Z85)&gt;1,_xlfn.STDEV.S(B85:Z85),IF(ISNUMBER(AC85),AC85,""))</f>
        <v/>
      </c>
      <c r="AH85" s="13">
        <f>IF(AND(ISNUMBER(AE85),ISNUMBER($B$23),ISNUMBER($D$23)),IF(AE85&gt;$D$23,"boven UCL",IF(AE85&lt;$B$23,"onder LCL","")),"")</f>
        <v/>
      </c>
      <c r="AI85" s="13">
        <f>IF(AND(ISNUMBER(AF85),ISNUMBER($B$24),ISNUMBER($D$24)),IF(AF85&gt;$D$24,"boven UCL",IF(AF85&lt;$B$24,"onder LCL","")),"")</f>
        <v/>
      </c>
      <c r="AJ85" s="13">
        <f>IF(AND(ISNUMBER(AE85),ISNUMBER($B$25),ISNUMBER($D$25)),IF(AE85&gt;$D$25,"boven UCL",IF(AE85&lt;$B$25,"onder LCL","")),"")</f>
        <v/>
      </c>
      <c r="AK85" s="13">
        <f>IF(AND(ISNUMBER(AG85),ISNUMBER($B$26),ISNUMBER($D$26)),IF(AG85&gt;$D$26,"boven UCL",IF(AG85&lt;$B$26,"onder LCL","")),"")</f>
        <v/>
      </c>
      <c r="AL85" s="13">
        <f>IF(AND(COUNT(B85:Z85)&gt;0,COUNT(AA85:AC85)&gt;0),"ruwe waarden én getypt: getypte genegeerd",IF(COUNTA(B85:Z85,AA85:AC85)&gt;COUNT(B85:Z85,AA85:AC85),"tekst telt niet mee",IF(COUNT(B85:Z85)=1,"1 waarde: geen R of s","")))</f>
        <v/>
      </c>
    </row>
    <row r="86">
      <c r="A86" t="n">
        <v>35</v>
      </c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28">
        <f>IF(COUNT(B86:Z86)&gt;0,COUNT(B86:Z86),IF(OR(ISNUMBER(AA86),ISNUMBER(AB86)),$B$9,""))</f>
        <v/>
      </c>
      <c r="AE86" s="29">
        <f>IF(COUNT(B86:Z86)&gt;0,AVERAGE(B86:Z86),IF(ISNUMBER(AA86),AA86,""))</f>
        <v/>
      </c>
      <c r="AF86" s="29">
        <f>IF(COUNT(B86:Z86)&gt;1,MAX(B86:Z86)-MIN(B86:Z86),IF(ISNUMBER(AB86),AB86,""))</f>
        <v/>
      </c>
      <c r="AG86" s="29">
        <f>IF(COUNT(B86:Z86)&gt;1,_xlfn.STDEV.S(B86:Z86),IF(ISNUMBER(AC86),AC86,""))</f>
        <v/>
      </c>
      <c r="AH86" s="13">
        <f>IF(AND(ISNUMBER(AE86),ISNUMBER($B$23),ISNUMBER($D$23)),IF(AE86&gt;$D$23,"boven UCL",IF(AE86&lt;$B$23,"onder LCL","")),"")</f>
        <v/>
      </c>
      <c r="AI86" s="13">
        <f>IF(AND(ISNUMBER(AF86),ISNUMBER($B$24),ISNUMBER($D$24)),IF(AF86&gt;$D$24,"boven UCL",IF(AF86&lt;$B$24,"onder LCL","")),"")</f>
        <v/>
      </c>
      <c r="AJ86" s="13">
        <f>IF(AND(ISNUMBER(AE86),ISNUMBER($B$25),ISNUMBER($D$25)),IF(AE86&gt;$D$25,"boven UCL",IF(AE86&lt;$B$25,"onder LCL","")),"")</f>
        <v/>
      </c>
      <c r="AK86" s="13">
        <f>IF(AND(ISNUMBER(AG86),ISNUMBER($B$26),ISNUMBER($D$26)),IF(AG86&gt;$D$26,"boven UCL",IF(AG86&lt;$B$26,"onder LCL","")),"")</f>
        <v/>
      </c>
      <c r="AL86" s="13">
        <f>IF(AND(COUNT(B86:Z86)&gt;0,COUNT(AA86:AC86)&gt;0),"ruwe waarden én getypt: getypte genegeerd",IF(COUNTA(B86:Z86,AA86:AC86)&gt;COUNT(B86:Z86,AA86:AC86),"tekst telt niet mee",IF(COUNT(B86:Z86)=1,"1 waarde: geen R of s","")))</f>
        <v/>
      </c>
    </row>
    <row r="87">
      <c r="A87" t="n">
        <v>36</v>
      </c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28">
        <f>IF(COUNT(B87:Z87)&gt;0,COUNT(B87:Z87),IF(OR(ISNUMBER(AA87),ISNUMBER(AB87)),$B$9,""))</f>
        <v/>
      </c>
      <c r="AE87" s="29">
        <f>IF(COUNT(B87:Z87)&gt;0,AVERAGE(B87:Z87),IF(ISNUMBER(AA87),AA87,""))</f>
        <v/>
      </c>
      <c r="AF87" s="29">
        <f>IF(COUNT(B87:Z87)&gt;1,MAX(B87:Z87)-MIN(B87:Z87),IF(ISNUMBER(AB87),AB87,""))</f>
        <v/>
      </c>
      <c r="AG87" s="29">
        <f>IF(COUNT(B87:Z87)&gt;1,_xlfn.STDEV.S(B87:Z87),IF(ISNUMBER(AC87),AC87,""))</f>
        <v/>
      </c>
      <c r="AH87" s="13">
        <f>IF(AND(ISNUMBER(AE87),ISNUMBER($B$23),ISNUMBER($D$23)),IF(AE87&gt;$D$23,"boven UCL",IF(AE87&lt;$B$23,"onder LCL","")),"")</f>
        <v/>
      </c>
      <c r="AI87" s="13">
        <f>IF(AND(ISNUMBER(AF87),ISNUMBER($B$24),ISNUMBER($D$24)),IF(AF87&gt;$D$24,"boven UCL",IF(AF87&lt;$B$24,"onder LCL","")),"")</f>
        <v/>
      </c>
      <c r="AJ87" s="13">
        <f>IF(AND(ISNUMBER(AE87),ISNUMBER($B$25),ISNUMBER($D$25)),IF(AE87&gt;$D$25,"boven UCL",IF(AE87&lt;$B$25,"onder LCL","")),"")</f>
        <v/>
      </c>
      <c r="AK87" s="13">
        <f>IF(AND(ISNUMBER(AG87),ISNUMBER($B$26),ISNUMBER($D$26)),IF(AG87&gt;$D$26,"boven UCL",IF(AG87&lt;$B$26,"onder LCL","")),"")</f>
        <v/>
      </c>
      <c r="AL87" s="13">
        <f>IF(AND(COUNT(B87:Z87)&gt;0,COUNT(AA87:AC87)&gt;0),"ruwe waarden én getypt: getypte genegeerd",IF(COUNTA(B87:Z87,AA87:AC87)&gt;COUNT(B87:Z87,AA87:AC87),"tekst telt niet mee",IF(COUNT(B87:Z87)=1,"1 waarde: geen R of s","")))</f>
        <v/>
      </c>
    </row>
    <row r="88">
      <c r="A88" t="n">
        <v>37</v>
      </c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28">
        <f>IF(COUNT(B88:Z88)&gt;0,COUNT(B88:Z88),IF(OR(ISNUMBER(AA88),ISNUMBER(AB88)),$B$9,""))</f>
        <v/>
      </c>
      <c r="AE88" s="29">
        <f>IF(COUNT(B88:Z88)&gt;0,AVERAGE(B88:Z88),IF(ISNUMBER(AA88),AA88,""))</f>
        <v/>
      </c>
      <c r="AF88" s="29">
        <f>IF(COUNT(B88:Z88)&gt;1,MAX(B88:Z88)-MIN(B88:Z88),IF(ISNUMBER(AB88),AB88,""))</f>
        <v/>
      </c>
      <c r="AG88" s="29">
        <f>IF(COUNT(B88:Z88)&gt;1,_xlfn.STDEV.S(B88:Z88),IF(ISNUMBER(AC88),AC88,""))</f>
        <v/>
      </c>
      <c r="AH88" s="13">
        <f>IF(AND(ISNUMBER(AE88),ISNUMBER($B$23),ISNUMBER($D$23)),IF(AE88&gt;$D$23,"boven UCL",IF(AE88&lt;$B$23,"onder LCL","")),"")</f>
        <v/>
      </c>
      <c r="AI88" s="13">
        <f>IF(AND(ISNUMBER(AF88),ISNUMBER($B$24),ISNUMBER($D$24)),IF(AF88&gt;$D$24,"boven UCL",IF(AF88&lt;$B$24,"onder LCL","")),"")</f>
        <v/>
      </c>
      <c r="AJ88" s="13">
        <f>IF(AND(ISNUMBER(AE88),ISNUMBER($B$25),ISNUMBER($D$25)),IF(AE88&gt;$D$25,"boven UCL",IF(AE88&lt;$B$25,"onder LCL","")),"")</f>
        <v/>
      </c>
      <c r="AK88" s="13">
        <f>IF(AND(ISNUMBER(AG88),ISNUMBER($B$26),ISNUMBER($D$26)),IF(AG88&gt;$D$26,"boven UCL",IF(AG88&lt;$B$26,"onder LCL","")),"")</f>
        <v/>
      </c>
      <c r="AL88" s="13">
        <f>IF(AND(COUNT(B88:Z88)&gt;0,COUNT(AA88:AC88)&gt;0),"ruwe waarden én getypt: getypte genegeerd",IF(COUNTA(B88:Z88,AA88:AC88)&gt;COUNT(B88:Z88,AA88:AC88),"tekst telt niet mee",IF(COUNT(B88:Z88)=1,"1 waarde: geen R of s","")))</f>
        <v/>
      </c>
    </row>
    <row r="89">
      <c r="A89" t="n">
        <v>38</v>
      </c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28">
        <f>IF(COUNT(B89:Z89)&gt;0,COUNT(B89:Z89),IF(OR(ISNUMBER(AA89),ISNUMBER(AB89)),$B$9,""))</f>
        <v/>
      </c>
      <c r="AE89" s="29">
        <f>IF(COUNT(B89:Z89)&gt;0,AVERAGE(B89:Z89),IF(ISNUMBER(AA89),AA89,""))</f>
        <v/>
      </c>
      <c r="AF89" s="29">
        <f>IF(COUNT(B89:Z89)&gt;1,MAX(B89:Z89)-MIN(B89:Z89),IF(ISNUMBER(AB89),AB89,""))</f>
        <v/>
      </c>
      <c r="AG89" s="29">
        <f>IF(COUNT(B89:Z89)&gt;1,_xlfn.STDEV.S(B89:Z89),IF(ISNUMBER(AC89),AC89,""))</f>
        <v/>
      </c>
      <c r="AH89" s="13">
        <f>IF(AND(ISNUMBER(AE89),ISNUMBER($B$23),ISNUMBER($D$23)),IF(AE89&gt;$D$23,"boven UCL",IF(AE89&lt;$B$23,"onder LCL","")),"")</f>
        <v/>
      </c>
      <c r="AI89" s="13">
        <f>IF(AND(ISNUMBER(AF89),ISNUMBER($B$24),ISNUMBER($D$24)),IF(AF89&gt;$D$24,"boven UCL",IF(AF89&lt;$B$24,"onder LCL","")),"")</f>
        <v/>
      </c>
      <c r="AJ89" s="13">
        <f>IF(AND(ISNUMBER(AE89),ISNUMBER($B$25),ISNUMBER($D$25)),IF(AE89&gt;$D$25,"boven UCL",IF(AE89&lt;$B$25,"onder LCL","")),"")</f>
        <v/>
      </c>
      <c r="AK89" s="13">
        <f>IF(AND(ISNUMBER(AG89),ISNUMBER($B$26),ISNUMBER($D$26)),IF(AG89&gt;$D$26,"boven UCL",IF(AG89&lt;$B$26,"onder LCL","")),"")</f>
        <v/>
      </c>
      <c r="AL89" s="13">
        <f>IF(AND(COUNT(B89:Z89)&gt;0,COUNT(AA89:AC89)&gt;0),"ruwe waarden én getypt: getypte genegeerd",IF(COUNTA(B89:Z89,AA89:AC89)&gt;COUNT(B89:Z89,AA89:AC89),"tekst telt niet mee",IF(COUNT(B89:Z89)=1,"1 waarde: geen R of s","")))</f>
        <v/>
      </c>
    </row>
    <row r="90">
      <c r="A90" t="n">
        <v>39</v>
      </c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28">
        <f>IF(COUNT(B90:Z90)&gt;0,COUNT(B90:Z90),IF(OR(ISNUMBER(AA90),ISNUMBER(AB90)),$B$9,""))</f>
        <v/>
      </c>
      <c r="AE90" s="29">
        <f>IF(COUNT(B90:Z90)&gt;0,AVERAGE(B90:Z90),IF(ISNUMBER(AA90),AA90,""))</f>
        <v/>
      </c>
      <c r="AF90" s="29">
        <f>IF(COUNT(B90:Z90)&gt;1,MAX(B90:Z90)-MIN(B90:Z90),IF(ISNUMBER(AB90),AB90,""))</f>
        <v/>
      </c>
      <c r="AG90" s="29">
        <f>IF(COUNT(B90:Z90)&gt;1,_xlfn.STDEV.S(B90:Z90),IF(ISNUMBER(AC90),AC90,""))</f>
        <v/>
      </c>
      <c r="AH90" s="13">
        <f>IF(AND(ISNUMBER(AE90),ISNUMBER($B$23),ISNUMBER($D$23)),IF(AE90&gt;$D$23,"boven UCL",IF(AE90&lt;$B$23,"onder LCL","")),"")</f>
        <v/>
      </c>
      <c r="AI90" s="13">
        <f>IF(AND(ISNUMBER(AF90),ISNUMBER($B$24),ISNUMBER($D$24)),IF(AF90&gt;$D$24,"boven UCL",IF(AF90&lt;$B$24,"onder LCL","")),"")</f>
        <v/>
      </c>
      <c r="AJ90" s="13">
        <f>IF(AND(ISNUMBER(AE90),ISNUMBER($B$25),ISNUMBER($D$25)),IF(AE90&gt;$D$25,"boven UCL",IF(AE90&lt;$B$25,"onder LCL","")),"")</f>
        <v/>
      </c>
      <c r="AK90" s="13">
        <f>IF(AND(ISNUMBER(AG90),ISNUMBER($B$26),ISNUMBER($D$26)),IF(AG90&gt;$D$26,"boven UCL",IF(AG90&lt;$B$26,"onder LCL","")),"")</f>
        <v/>
      </c>
      <c r="AL90" s="13">
        <f>IF(AND(COUNT(B90:Z90)&gt;0,COUNT(AA90:AC90)&gt;0),"ruwe waarden én getypt: getypte genegeerd",IF(COUNTA(B90:Z90,AA90:AC90)&gt;COUNT(B90:Z90,AA90:AC90),"tekst telt niet mee",IF(COUNT(B90:Z90)=1,"1 waarde: geen R of s","")))</f>
        <v/>
      </c>
    </row>
    <row r="91">
      <c r="A91" t="n">
        <v>40</v>
      </c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28">
        <f>IF(COUNT(B91:Z91)&gt;0,COUNT(B91:Z91),IF(OR(ISNUMBER(AA91),ISNUMBER(AB91)),$B$9,""))</f>
        <v/>
      </c>
      <c r="AE91" s="29">
        <f>IF(COUNT(B91:Z91)&gt;0,AVERAGE(B91:Z91),IF(ISNUMBER(AA91),AA91,""))</f>
        <v/>
      </c>
      <c r="AF91" s="29">
        <f>IF(COUNT(B91:Z91)&gt;1,MAX(B91:Z91)-MIN(B91:Z91),IF(ISNUMBER(AB91),AB91,""))</f>
        <v/>
      </c>
      <c r="AG91" s="29">
        <f>IF(COUNT(B91:Z91)&gt;1,_xlfn.STDEV.S(B91:Z91),IF(ISNUMBER(AC91),AC91,""))</f>
        <v/>
      </c>
      <c r="AH91" s="13">
        <f>IF(AND(ISNUMBER(AE91),ISNUMBER($B$23),ISNUMBER($D$23)),IF(AE91&gt;$D$23,"boven UCL",IF(AE91&lt;$B$23,"onder LCL","")),"")</f>
        <v/>
      </c>
      <c r="AI91" s="13">
        <f>IF(AND(ISNUMBER(AF91),ISNUMBER($B$24),ISNUMBER($D$24)),IF(AF91&gt;$D$24,"boven UCL",IF(AF91&lt;$B$24,"onder LCL","")),"")</f>
        <v/>
      </c>
      <c r="AJ91" s="13">
        <f>IF(AND(ISNUMBER(AE91),ISNUMBER($B$25),ISNUMBER($D$25)),IF(AE91&gt;$D$25,"boven UCL",IF(AE91&lt;$B$25,"onder LCL","")),"")</f>
        <v/>
      </c>
      <c r="AK91" s="13">
        <f>IF(AND(ISNUMBER(AG91),ISNUMBER($B$26),ISNUMBER($D$26)),IF(AG91&gt;$D$26,"boven UCL",IF(AG91&lt;$B$26,"onder LCL","")),"")</f>
        <v/>
      </c>
      <c r="AL91" s="13">
        <f>IF(AND(COUNT(B91:Z91)&gt;0,COUNT(AA91:AC91)&gt;0),"ruwe waarden én getypt: getypte genegeerd",IF(COUNTA(B91:Z91,AA91:AC91)&gt;COUNT(B91:Z91,AA91:AC91),"tekst telt niet mee",IF(COUNT(B91:Z91)=1,"1 waarde: geen R of s","")))</f>
        <v/>
      </c>
    </row>
    <row r="92">
      <c r="A92" t="n">
        <v>41</v>
      </c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28">
        <f>IF(COUNT(B92:Z92)&gt;0,COUNT(B92:Z92),IF(OR(ISNUMBER(AA92),ISNUMBER(AB92)),$B$9,""))</f>
        <v/>
      </c>
      <c r="AE92" s="29">
        <f>IF(COUNT(B92:Z92)&gt;0,AVERAGE(B92:Z92),IF(ISNUMBER(AA92),AA92,""))</f>
        <v/>
      </c>
      <c r="AF92" s="29">
        <f>IF(COUNT(B92:Z92)&gt;1,MAX(B92:Z92)-MIN(B92:Z92),IF(ISNUMBER(AB92),AB92,""))</f>
        <v/>
      </c>
      <c r="AG92" s="29">
        <f>IF(COUNT(B92:Z92)&gt;1,_xlfn.STDEV.S(B92:Z92),IF(ISNUMBER(AC92),AC92,""))</f>
        <v/>
      </c>
      <c r="AH92" s="13">
        <f>IF(AND(ISNUMBER(AE92),ISNUMBER($B$23),ISNUMBER($D$23)),IF(AE92&gt;$D$23,"boven UCL",IF(AE92&lt;$B$23,"onder LCL","")),"")</f>
        <v/>
      </c>
      <c r="AI92" s="13">
        <f>IF(AND(ISNUMBER(AF92),ISNUMBER($B$24),ISNUMBER($D$24)),IF(AF92&gt;$D$24,"boven UCL",IF(AF92&lt;$B$24,"onder LCL","")),"")</f>
        <v/>
      </c>
      <c r="AJ92" s="13">
        <f>IF(AND(ISNUMBER(AE92),ISNUMBER($B$25),ISNUMBER($D$25)),IF(AE92&gt;$D$25,"boven UCL",IF(AE92&lt;$B$25,"onder LCL","")),"")</f>
        <v/>
      </c>
      <c r="AK92" s="13">
        <f>IF(AND(ISNUMBER(AG92),ISNUMBER($B$26),ISNUMBER($D$26)),IF(AG92&gt;$D$26,"boven UCL",IF(AG92&lt;$B$26,"onder LCL","")),"")</f>
        <v/>
      </c>
      <c r="AL92" s="13">
        <f>IF(AND(COUNT(B92:Z92)&gt;0,COUNT(AA92:AC92)&gt;0),"ruwe waarden én getypt: getypte genegeerd",IF(COUNTA(B92:Z92,AA92:AC92)&gt;COUNT(B92:Z92,AA92:AC92),"tekst telt niet mee",IF(COUNT(B92:Z92)=1,"1 waarde: geen R of s","")))</f>
        <v/>
      </c>
    </row>
    <row r="93">
      <c r="A93" t="n">
        <v>42</v>
      </c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28">
        <f>IF(COUNT(B93:Z93)&gt;0,COUNT(B93:Z93),IF(OR(ISNUMBER(AA93),ISNUMBER(AB93)),$B$9,""))</f>
        <v/>
      </c>
      <c r="AE93" s="29">
        <f>IF(COUNT(B93:Z93)&gt;0,AVERAGE(B93:Z93),IF(ISNUMBER(AA93),AA93,""))</f>
        <v/>
      </c>
      <c r="AF93" s="29">
        <f>IF(COUNT(B93:Z93)&gt;1,MAX(B93:Z93)-MIN(B93:Z93),IF(ISNUMBER(AB93),AB93,""))</f>
        <v/>
      </c>
      <c r="AG93" s="29">
        <f>IF(COUNT(B93:Z93)&gt;1,_xlfn.STDEV.S(B93:Z93),IF(ISNUMBER(AC93),AC93,""))</f>
        <v/>
      </c>
      <c r="AH93" s="13">
        <f>IF(AND(ISNUMBER(AE93),ISNUMBER($B$23),ISNUMBER($D$23)),IF(AE93&gt;$D$23,"boven UCL",IF(AE93&lt;$B$23,"onder LCL","")),"")</f>
        <v/>
      </c>
      <c r="AI93" s="13">
        <f>IF(AND(ISNUMBER(AF93),ISNUMBER($B$24),ISNUMBER($D$24)),IF(AF93&gt;$D$24,"boven UCL",IF(AF93&lt;$B$24,"onder LCL","")),"")</f>
        <v/>
      </c>
      <c r="AJ93" s="13">
        <f>IF(AND(ISNUMBER(AE93),ISNUMBER($B$25),ISNUMBER($D$25)),IF(AE93&gt;$D$25,"boven UCL",IF(AE93&lt;$B$25,"onder LCL","")),"")</f>
        <v/>
      </c>
      <c r="AK93" s="13">
        <f>IF(AND(ISNUMBER(AG93),ISNUMBER($B$26),ISNUMBER($D$26)),IF(AG93&gt;$D$26,"boven UCL",IF(AG93&lt;$B$26,"onder LCL","")),"")</f>
        <v/>
      </c>
      <c r="AL93" s="13">
        <f>IF(AND(COUNT(B93:Z93)&gt;0,COUNT(AA93:AC93)&gt;0),"ruwe waarden én getypt: getypte genegeerd",IF(COUNTA(B93:Z93,AA93:AC93)&gt;COUNT(B93:Z93,AA93:AC93),"tekst telt niet mee",IF(COUNT(B93:Z93)=1,"1 waarde: geen R of s","")))</f>
        <v/>
      </c>
    </row>
    <row r="94">
      <c r="A94" t="n">
        <v>43</v>
      </c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28">
        <f>IF(COUNT(B94:Z94)&gt;0,COUNT(B94:Z94),IF(OR(ISNUMBER(AA94),ISNUMBER(AB94)),$B$9,""))</f>
        <v/>
      </c>
      <c r="AE94" s="29">
        <f>IF(COUNT(B94:Z94)&gt;0,AVERAGE(B94:Z94),IF(ISNUMBER(AA94),AA94,""))</f>
        <v/>
      </c>
      <c r="AF94" s="29">
        <f>IF(COUNT(B94:Z94)&gt;1,MAX(B94:Z94)-MIN(B94:Z94),IF(ISNUMBER(AB94),AB94,""))</f>
        <v/>
      </c>
      <c r="AG94" s="29">
        <f>IF(COUNT(B94:Z94)&gt;1,_xlfn.STDEV.S(B94:Z94),IF(ISNUMBER(AC94),AC94,""))</f>
        <v/>
      </c>
      <c r="AH94" s="13">
        <f>IF(AND(ISNUMBER(AE94),ISNUMBER($B$23),ISNUMBER($D$23)),IF(AE94&gt;$D$23,"boven UCL",IF(AE94&lt;$B$23,"onder LCL","")),"")</f>
        <v/>
      </c>
      <c r="AI94" s="13">
        <f>IF(AND(ISNUMBER(AF94),ISNUMBER($B$24),ISNUMBER($D$24)),IF(AF94&gt;$D$24,"boven UCL",IF(AF94&lt;$B$24,"onder LCL","")),"")</f>
        <v/>
      </c>
      <c r="AJ94" s="13">
        <f>IF(AND(ISNUMBER(AE94),ISNUMBER($B$25),ISNUMBER($D$25)),IF(AE94&gt;$D$25,"boven UCL",IF(AE94&lt;$B$25,"onder LCL","")),"")</f>
        <v/>
      </c>
      <c r="AK94" s="13">
        <f>IF(AND(ISNUMBER(AG94),ISNUMBER($B$26),ISNUMBER($D$26)),IF(AG94&gt;$D$26,"boven UCL",IF(AG94&lt;$B$26,"onder LCL","")),"")</f>
        <v/>
      </c>
      <c r="AL94" s="13">
        <f>IF(AND(COUNT(B94:Z94)&gt;0,COUNT(AA94:AC94)&gt;0),"ruwe waarden én getypt: getypte genegeerd",IF(COUNTA(B94:Z94,AA94:AC94)&gt;COUNT(B94:Z94,AA94:AC94),"tekst telt niet mee",IF(COUNT(B94:Z94)=1,"1 waarde: geen R of s","")))</f>
        <v/>
      </c>
    </row>
    <row r="95">
      <c r="A95" t="n">
        <v>44</v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28">
        <f>IF(COUNT(B95:Z95)&gt;0,COUNT(B95:Z95),IF(OR(ISNUMBER(AA95),ISNUMBER(AB95)),$B$9,""))</f>
        <v/>
      </c>
      <c r="AE95" s="29">
        <f>IF(COUNT(B95:Z95)&gt;0,AVERAGE(B95:Z95),IF(ISNUMBER(AA95),AA95,""))</f>
        <v/>
      </c>
      <c r="AF95" s="29">
        <f>IF(COUNT(B95:Z95)&gt;1,MAX(B95:Z95)-MIN(B95:Z95),IF(ISNUMBER(AB95),AB95,""))</f>
        <v/>
      </c>
      <c r="AG95" s="29">
        <f>IF(COUNT(B95:Z95)&gt;1,_xlfn.STDEV.S(B95:Z95),IF(ISNUMBER(AC95),AC95,""))</f>
        <v/>
      </c>
      <c r="AH95" s="13">
        <f>IF(AND(ISNUMBER(AE95),ISNUMBER($B$23),ISNUMBER($D$23)),IF(AE95&gt;$D$23,"boven UCL",IF(AE95&lt;$B$23,"onder LCL","")),"")</f>
        <v/>
      </c>
      <c r="AI95" s="13">
        <f>IF(AND(ISNUMBER(AF95),ISNUMBER($B$24),ISNUMBER($D$24)),IF(AF95&gt;$D$24,"boven UCL",IF(AF95&lt;$B$24,"onder LCL","")),"")</f>
        <v/>
      </c>
      <c r="AJ95" s="13">
        <f>IF(AND(ISNUMBER(AE95),ISNUMBER($B$25),ISNUMBER($D$25)),IF(AE95&gt;$D$25,"boven UCL",IF(AE95&lt;$B$25,"onder LCL","")),"")</f>
        <v/>
      </c>
      <c r="AK95" s="13">
        <f>IF(AND(ISNUMBER(AG95),ISNUMBER($B$26),ISNUMBER($D$26)),IF(AG95&gt;$D$26,"boven UCL",IF(AG95&lt;$B$26,"onder LCL","")),"")</f>
        <v/>
      </c>
      <c r="AL95" s="13">
        <f>IF(AND(COUNT(B95:Z95)&gt;0,COUNT(AA95:AC95)&gt;0),"ruwe waarden én getypt: getypte genegeerd",IF(COUNTA(B95:Z95,AA95:AC95)&gt;COUNT(B95:Z95,AA95:AC95),"tekst telt niet mee",IF(COUNT(B95:Z95)=1,"1 waarde: geen R of s","")))</f>
        <v/>
      </c>
    </row>
    <row r="96">
      <c r="A96" t="n">
        <v>45</v>
      </c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28">
        <f>IF(COUNT(B96:Z96)&gt;0,COUNT(B96:Z96),IF(OR(ISNUMBER(AA96),ISNUMBER(AB96)),$B$9,""))</f>
        <v/>
      </c>
      <c r="AE96" s="29">
        <f>IF(COUNT(B96:Z96)&gt;0,AVERAGE(B96:Z96),IF(ISNUMBER(AA96),AA96,""))</f>
        <v/>
      </c>
      <c r="AF96" s="29">
        <f>IF(COUNT(B96:Z96)&gt;1,MAX(B96:Z96)-MIN(B96:Z96),IF(ISNUMBER(AB96),AB96,""))</f>
        <v/>
      </c>
      <c r="AG96" s="29">
        <f>IF(COUNT(B96:Z96)&gt;1,_xlfn.STDEV.S(B96:Z96),IF(ISNUMBER(AC96),AC96,""))</f>
        <v/>
      </c>
      <c r="AH96" s="13">
        <f>IF(AND(ISNUMBER(AE96),ISNUMBER($B$23),ISNUMBER($D$23)),IF(AE96&gt;$D$23,"boven UCL",IF(AE96&lt;$B$23,"onder LCL","")),"")</f>
        <v/>
      </c>
      <c r="AI96" s="13">
        <f>IF(AND(ISNUMBER(AF96),ISNUMBER($B$24),ISNUMBER($D$24)),IF(AF96&gt;$D$24,"boven UCL",IF(AF96&lt;$B$24,"onder LCL","")),"")</f>
        <v/>
      </c>
      <c r="AJ96" s="13">
        <f>IF(AND(ISNUMBER(AE96),ISNUMBER($B$25),ISNUMBER($D$25)),IF(AE96&gt;$D$25,"boven UCL",IF(AE96&lt;$B$25,"onder LCL","")),"")</f>
        <v/>
      </c>
      <c r="AK96" s="13">
        <f>IF(AND(ISNUMBER(AG96),ISNUMBER($B$26),ISNUMBER($D$26)),IF(AG96&gt;$D$26,"boven UCL",IF(AG96&lt;$B$26,"onder LCL","")),"")</f>
        <v/>
      </c>
      <c r="AL96" s="13">
        <f>IF(AND(COUNT(B96:Z96)&gt;0,COUNT(AA96:AC96)&gt;0),"ruwe waarden én getypt: getypte genegeerd",IF(COUNTA(B96:Z96,AA96:AC96)&gt;COUNT(B96:Z96,AA96:AC96),"tekst telt niet mee",IF(COUNT(B96:Z96)=1,"1 waarde: geen R of s","")))</f>
        <v/>
      </c>
    </row>
    <row r="97">
      <c r="A97" t="n">
        <v>46</v>
      </c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28">
        <f>IF(COUNT(B97:Z97)&gt;0,COUNT(B97:Z97),IF(OR(ISNUMBER(AA97),ISNUMBER(AB97)),$B$9,""))</f>
        <v/>
      </c>
      <c r="AE97" s="29">
        <f>IF(COUNT(B97:Z97)&gt;0,AVERAGE(B97:Z97),IF(ISNUMBER(AA97),AA97,""))</f>
        <v/>
      </c>
      <c r="AF97" s="29">
        <f>IF(COUNT(B97:Z97)&gt;1,MAX(B97:Z97)-MIN(B97:Z97),IF(ISNUMBER(AB97),AB97,""))</f>
        <v/>
      </c>
      <c r="AG97" s="29">
        <f>IF(COUNT(B97:Z97)&gt;1,_xlfn.STDEV.S(B97:Z97),IF(ISNUMBER(AC97),AC97,""))</f>
        <v/>
      </c>
      <c r="AH97" s="13">
        <f>IF(AND(ISNUMBER(AE97),ISNUMBER($B$23),ISNUMBER($D$23)),IF(AE97&gt;$D$23,"boven UCL",IF(AE97&lt;$B$23,"onder LCL","")),"")</f>
        <v/>
      </c>
      <c r="AI97" s="13">
        <f>IF(AND(ISNUMBER(AF97),ISNUMBER($B$24),ISNUMBER($D$24)),IF(AF97&gt;$D$24,"boven UCL",IF(AF97&lt;$B$24,"onder LCL","")),"")</f>
        <v/>
      </c>
      <c r="AJ97" s="13">
        <f>IF(AND(ISNUMBER(AE97),ISNUMBER($B$25),ISNUMBER($D$25)),IF(AE97&gt;$D$25,"boven UCL",IF(AE97&lt;$B$25,"onder LCL","")),"")</f>
        <v/>
      </c>
      <c r="AK97" s="13">
        <f>IF(AND(ISNUMBER(AG97),ISNUMBER($B$26),ISNUMBER($D$26)),IF(AG97&gt;$D$26,"boven UCL",IF(AG97&lt;$B$26,"onder LCL","")),"")</f>
        <v/>
      </c>
      <c r="AL97" s="13">
        <f>IF(AND(COUNT(B97:Z97)&gt;0,COUNT(AA97:AC97)&gt;0),"ruwe waarden én getypt: getypte genegeerd",IF(COUNTA(B97:Z97,AA97:AC97)&gt;COUNT(B97:Z97,AA97:AC97),"tekst telt niet mee",IF(COUNT(B97:Z97)=1,"1 waarde: geen R of s","")))</f>
        <v/>
      </c>
    </row>
    <row r="98">
      <c r="A98" t="n">
        <v>47</v>
      </c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28">
        <f>IF(COUNT(B98:Z98)&gt;0,COUNT(B98:Z98),IF(OR(ISNUMBER(AA98),ISNUMBER(AB98)),$B$9,""))</f>
        <v/>
      </c>
      <c r="AE98" s="29">
        <f>IF(COUNT(B98:Z98)&gt;0,AVERAGE(B98:Z98),IF(ISNUMBER(AA98),AA98,""))</f>
        <v/>
      </c>
      <c r="AF98" s="29">
        <f>IF(COUNT(B98:Z98)&gt;1,MAX(B98:Z98)-MIN(B98:Z98),IF(ISNUMBER(AB98),AB98,""))</f>
        <v/>
      </c>
      <c r="AG98" s="29">
        <f>IF(COUNT(B98:Z98)&gt;1,_xlfn.STDEV.S(B98:Z98),IF(ISNUMBER(AC98),AC98,""))</f>
        <v/>
      </c>
      <c r="AH98" s="13">
        <f>IF(AND(ISNUMBER(AE98),ISNUMBER($B$23),ISNUMBER($D$23)),IF(AE98&gt;$D$23,"boven UCL",IF(AE98&lt;$B$23,"onder LCL","")),"")</f>
        <v/>
      </c>
      <c r="AI98" s="13">
        <f>IF(AND(ISNUMBER(AF98),ISNUMBER($B$24),ISNUMBER($D$24)),IF(AF98&gt;$D$24,"boven UCL",IF(AF98&lt;$B$24,"onder LCL","")),"")</f>
        <v/>
      </c>
      <c r="AJ98" s="13">
        <f>IF(AND(ISNUMBER(AE98),ISNUMBER($B$25),ISNUMBER($D$25)),IF(AE98&gt;$D$25,"boven UCL",IF(AE98&lt;$B$25,"onder LCL","")),"")</f>
        <v/>
      </c>
      <c r="AK98" s="13">
        <f>IF(AND(ISNUMBER(AG98),ISNUMBER($B$26),ISNUMBER($D$26)),IF(AG98&gt;$D$26,"boven UCL",IF(AG98&lt;$B$26,"onder LCL","")),"")</f>
        <v/>
      </c>
      <c r="AL98" s="13">
        <f>IF(AND(COUNT(B98:Z98)&gt;0,COUNT(AA98:AC98)&gt;0),"ruwe waarden én getypt: getypte genegeerd",IF(COUNTA(B98:Z98,AA98:AC98)&gt;COUNT(B98:Z98,AA98:AC98),"tekst telt niet mee",IF(COUNT(B98:Z98)=1,"1 waarde: geen R of s","")))</f>
        <v/>
      </c>
    </row>
    <row r="99">
      <c r="A99" t="n">
        <v>48</v>
      </c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28">
        <f>IF(COUNT(B99:Z99)&gt;0,COUNT(B99:Z99),IF(OR(ISNUMBER(AA99),ISNUMBER(AB99)),$B$9,""))</f>
        <v/>
      </c>
      <c r="AE99" s="29">
        <f>IF(COUNT(B99:Z99)&gt;0,AVERAGE(B99:Z99),IF(ISNUMBER(AA99),AA99,""))</f>
        <v/>
      </c>
      <c r="AF99" s="29">
        <f>IF(COUNT(B99:Z99)&gt;1,MAX(B99:Z99)-MIN(B99:Z99),IF(ISNUMBER(AB99),AB99,""))</f>
        <v/>
      </c>
      <c r="AG99" s="29">
        <f>IF(COUNT(B99:Z99)&gt;1,_xlfn.STDEV.S(B99:Z99),IF(ISNUMBER(AC99),AC99,""))</f>
        <v/>
      </c>
      <c r="AH99" s="13">
        <f>IF(AND(ISNUMBER(AE99),ISNUMBER($B$23),ISNUMBER($D$23)),IF(AE99&gt;$D$23,"boven UCL",IF(AE99&lt;$B$23,"onder LCL","")),"")</f>
        <v/>
      </c>
      <c r="AI99" s="13">
        <f>IF(AND(ISNUMBER(AF99),ISNUMBER($B$24),ISNUMBER($D$24)),IF(AF99&gt;$D$24,"boven UCL",IF(AF99&lt;$B$24,"onder LCL","")),"")</f>
        <v/>
      </c>
      <c r="AJ99" s="13">
        <f>IF(AND(ISNUMBER(AE99),ISNUMBER($B$25),ISNUMBER($D$25)),IF(AE99&gt;$D$25,"boven UCL",IF(AE99&lt;$B$25,"onder LCL","")),"")</f>
        <v/>
      </c>
      <c r="AK99" s="13">
        <f>IF(AND(ISNUMBER(AG99),ISNUMBER($B$26),ISNUMBER($D$26)),IF(AG99&gt;$D$26,"boven UCL",IF(AG99&lt;$B$26,"onder LCL","")),"")</f>
        <v/>
      </c>
      <c r="AL99" s="13">
        <f>IF(AND(COUNT(B99:Z99)&gt;0,COUNT(AA99:AC99)&gt;0),"ruwe waarden én getypt: getypte genegeerd",IF(COUNTA(B99:Z99,AA99:AC99)&gt;COUNT(B99:Z99,AA99:AC99),"tekst telt niet mee",IF(COUNT(B99:Z99)=1,"1 waarde: geen R of s","")))</f>
        <v/>
      </c>
    </row>
    <row r="100">
      <c r="A100" t="n">
        <v>49</v>
      </c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28">
        <f>IF(COUNT(B100:Z100)&gt;0,COUNT(B100:Z100),IF(OR(ISNUMBER(AA100),ISNUMBER(AB100)),$B$9,""))</f>
        <v/>
      </c>
      <c r="AE100" s="29">
        <f>IF(COUNT(B100:Z100)&gt;0,AVERAGE(B100:Z100),IF(ISNUMBER(AA100),AA100,""))</f>
        <v/>
      </c>
      <c r="AF100" s="29">
        <f>IF(COUNT(B100:Z100)&gt;1,MAX(B100:Z100)-MIN(B100:Z100),IF(ISNUMBER(AB100),AB100,""))</f>
        <v/>
      </c>
      <c r="AG100" s="29">
        <f>IF(COUNT(B100:Z100)&gt;1,_xlfn.STDEV.S(B100:Z100),IF(ISNUMBER(AC100),AC100,""))</f>
        <v/>
      </c>
      <c r="AH100" s="13">
        <f>IF(AND(ISNUMBER(AE100),ISNUMBER($B$23),ISNUMBER($D$23)),IF(AE100&gt;$D$23,"boven UCL",IF(AE100&lt;$B$23,"onder LCL","")),"")</f>
        <v/>
      </c>
      <c r="AI100" s="13">
        <f>IF(AND(ISNUMBER(AF100),ISNUMBER($B$24),ISNUMBER($D$24)),IF(AF100&gt;$D$24,"boven UCL",IF(AF100&lt;$B$24,"onder LCL","")),"")</f>
        <v/>
      </c>
      <c r="AJ100" s="13">
        <f>IF(AND(ISNUMBER(AE100),ISNUMBER($B$25),ISNUMBER($D$25)),IF(AE100&gt;$D$25,"boven UCL",IF(AE100&lt;$B$25,"onder LCL","")),"")</f>
        <v/>
      </c>
      <c r="AK100" s="13">
        <f>IF(AND(ISNUMBER(AG100),ISNUMBER($B$26),ISNUMBER($D$26)),IF(AG100&gt;$D$26,"boven UCL",IF(AG100&lt;$B$26,"onder LCL","")),"")</f>
        <v/>
      </c>
      <c r="AL100" s="13">
        <f>IF(AND(COUNT(B100:Z100)&gt;0,COUNT(AA100:AC100)&gt;0),"ruwe waarden én getypt: getypte genegeerd",IF(COUNTA(B100:Z100,AA100:AC100)&gt;COUNT(B100:Z100,AA100:AC100),"tekst telt niet mee",IF(COUNT(B100:Z100)=1,"1 waarde: geen R of s","")))</f>
        <v/>
      </c>
    </row>
    <row r="101">
      <c r="A101" t="n">
        <v>50</v>
      </c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28">
        <f>IF(COUNT(B101:Z101)&gt;0,COUNT(B101:Z101),IF(OR(ISNUMBER(AA101),ISNUMBER(AB101)),$B$9,""))</f>
        <v/>
      </c>
      <c r="AE101" s="29">
        <f>IF(COUNT(B101:Z101)&gt;0,AVERAGE(B101:Z101),IF(ISNUMBER(AA101),AA101,""))</f>
        <v/>
      </c>
      <c r="AF101" s="29">
        <f>IF(COUNT(B101:Z101)&gt;1,MAX(B101:Z101)-MIN(B101:Z101),IF(ISNUMBER(AB101),AB101,""))</f>
        <v/>
      </c>
      <c r="AG101" s="29">
        <f>IF(COUNT(B101:Z101)&gt;1,_xlfn.STDEV.S(B101:Z101),IF(ISNUMBER(AC101),AC101,""))</f>
        <v/>
      </c>
      <c r="AH101" s="13">
        <f>IF(AND(ISNUMBER(AE101),ISNUMBER($B$23),ISNUMBER($D$23)),IF(AE101&gt;$D$23,"boven UCL",IF(AE101&lt;$B$23,"onder LCL","")),"")</f>
        <v/>
      </c>
      <c r="AI101" s="13">
        <f>IF(AND(ISNUMBER(AF101),ISNUMBER($B$24),ISNUMBER($D$24)),IF(AF101&gt;$D$24,"boven UCL",IF(AF101&lt;$B$24,"onder LCL","")),"")</f>
        <v/>
      </c>
      <c r="AJ101" s="13">
        <f>IF(AND(ISNUMBER(AE101),ISNUMBER($B$25),ISNUMBER($D$25)),IF(AE101&gt;$D$25,"boven UCL",IF(AE101&lt;$B$25,"onder LCL","")),"")</f>
        <v/>
      </c>
      <c r="AK101" s="13">
        <f>IF(AND(ISNUMBER(AG101),ISNUMBER($B$26),ISNUMBER($D$26)),IF(AG101&gt;$D$26,"boven UCL",IF(AG101&lt;$B$26,"onder LCL","")),"")</f>
        <v/>
      </c>
      <c r="AL101" s="13">
        <f>IF(AND(COUNT(B101:Z101)&gt;0,COUNT(AA101:AC101)&gt;0),"ruwe waarden én getypt: getypte genegeerd",IF(COUNTA(B101:Z101,AA101:AC101)&gt;COUNT(B101:Z101,AA101:AC101),"tekst telt niet mee",IF(COUNT(B101:Z101)=1,"1 waarde: geen R of s","")))</f>
        <v/>
      </c>
    </row>
    <row r="102">
      <c r="A102" t="n">
        <v>51</v>
      </c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28">
        <f>IF(COUNT(B102:Z102)&gt;0,COUNT(B102:Z102),IF(OR(ISNUMBER(AA102),ISNUMBER(AB102)),$B$9,""))</f>
        <v/>
      </c>
      <c r="AE102" s="29">
        <f>IF(COUNT(B102:Z102)&gt;0,AVERAGE(B102:Z102),IF(ISNUMBER(AA102),AA102,""))</f>
        <v/>
      </c>
      <c r="AF102" s="29">
        <f>IF(COUNT(B102:Z102)&gt;1,MAX(B102:Z102)-MIN(B102:Z102),IF(ISNUMBER(AB102),AB102,""))</f>
        <v/>
      </c>
      <c r="AG102" s="29">
        <f>IF(COUNT(B102:Z102)&gt;1,_xlfn.STDEV.S(B102:Z102),IF(ISNUMBER(AC102),AC102,""))</f>
        <v/>
      </c>
      <c r="AH102" s="13">
        <f>IF(AND(ISNUMBER(AE102),ISNUMBER($B$23),ISNUMBER($D$23)),IF(AE102&gt;$D$23,"boven UCL",IF(AE102&lt;$B$23,"onder LCL","")),"")</f>
        <v/>
      </c>
      <c r="AI102" s="13">
        <f>IF(AND(ISNUMBER(AF102),ISNUMBER($B$24),ISNUMBER($D$24)),IF(AF102&gt;$D$24,"boven UCL",IF(AF102&lt;$B$24,"onder LCL","")),"")</f>
        <v/>
      </c>
      <c r="AJ102" s="13">
        <f>IF(AND(ISNUMBER(AE102),ISNUMBER($B$25),ISNUMBER($D$25)),IF(AE102&gt;$D$25,"boven UCL",IF(AE102&lt;$B$25,"onder LCL","")),"")</f>
        <v/>
      </c>
      <c r="AK102" s="13">
        <f>IF(AND(ISNUMBER(AG102),ISNUMBER($B$26),ISNUMBER($D$26)),IF(AG102&gt;$D$26,"boven UCL",IF(AG102&lt;$B$26,"onder LCL","")),"")</f>
        <v/>
      </c>
      <c r="AL102" s="13">
        <f>IF(AND(COUNT(B102:Z102)&gt;0,COUNT(AA102:AC102)&gt;0),"ruwe waarden én getypt: getypte genegeerd",IF(COUNTA(B102:Z102,AA102:AC102)&gt;COUNT(B102:Z102,AA102:AC102),"tekst telt niet mee",IF(COUNT(B102:Z102)=1,"1 waarde: geen R of s","")))</f>
        <v/>
      </c>
    </row>
    <row r="103">
      <c r="A103" t="n">
        <v>52</v>
      </c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28">
        <f>IF(COUNT(B103:Z103)&gt;0,COUNT(B103:Z103),IF(OR(ISNUMBER(AA103),ISNUMBER(AB103)),$B$9,""))</f>
        <v/>
      </c>
      <c r="AE103" s="29">
        <f>IF(COUNT(B103:Z103)&gt;0,AVERAGE(B103:Z103),IF(ISNUMBER(AA103),AA103,""))</f>
        <v/>
      </c>
      <c r="AF103" s="29">
        <f>IF(COUNT(B103:Z103)&gt;1,MAX(B103:Z103)-MIN(B103:Z103),IF(ISNUMBER(AB103),AB103,""))</f>
        <v/>
      </c>
      <c r="AG103" s="29">
        <f>IF(COUNT(B103:Z103)&gt;1,_xlfn.STDEV.S(B103:Z103),IF(ISNUMBER(AC103),AC103,""))</f>
        <v/>
      </c>
      <c r="AH103" s="13">
        <f>IF(AND(ISNUMBER(AE103),ISNUMBER($B$23),ISNUMBER($D$23)),IF(AE103&gt;$D$23,"boven UCL",IF(AE103&lt;$B$23,"onder LCL","")),"")</f>
        <v/>
      </c>
      <c r="AI103" s="13">
        <f>IF(AND(ISNUMBER(AF103),ISNUMBER($B$24),ISNUMBER($D$24)),IF(AF103&gt;$D$24,"boven UCL",IF(AF103&lt;$B$24,"onder LCL","")),"")</f>
        <v/>
      </c>
      <c r="AJ103" s="13">
        <f>IF(AND(ISNUMBER(AE103),ISNUMBER($B$25),ISNUMBER($D$25)),IF(AE103&gt;$D$25,"boven UCL",IF(AE103&lt;$B$25,"onder LCL","")),"")</f>
        <v/>
      </c>
      <c r="AK103" s="13">
        <f>IF(AND(ISNUMBER(AG103),ISNUMBER($B$26),ISNUMBER($D$26)),IF(AG103&gt;$D$26,"boven UCL",IF(AG103&lt;$B$26,"onder LCL","")),"")</f>
        <v/>
      </c>
      <c r="AL103" s="13">
        <f>IF(AND(COUNT(B103:Z103)&gt;0,COUNT(AA103:AC103)&gt;0),"ruwe waarden én getypt: getypte genegeerd",IF(COUNTA(B103:Z103,AA103:AC103)&gt;COUNT(B103:Z103,AA103:AC103),"tekst telt niet mee",IF(COUNT(B103:Z103)=1,"1 waarde: geen R of s","")))</f>
        <v/>
      </c>
    </row>
    <row r="104">
      <c r="A104" t="n">
        <v>53</v>
      </c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28">
        <f>IF(COUNT(B104:Z104)&gt;0,COUNT(B104:Z104),IF(OR(ISNUMBER(AA104),ISNUMBER(AB104)),$B$9,""))</f>
        <v/>
      </c>
      <c r="AE104" s="29">
        <f>IF(COUNT(B104:Z104)&gt;0,AVERAGE(B104:Z104),IF(ISNUMBER(AA104),AA104,""))</f>
        <v/>
      </c>
      <c r="AF104" s="29">
        <f>IF(COUNT(B104:Z104)&gt;1,MAX(B104:Z104)-MIN(B104:Z104),IF(ISNUMBER(AB104),AB104,""))</f>
        <v/>
      </c>
      <c r="AG104" s="29">
        <f>IF(COUNT(B104:Z104)&gt;1,_xlfn.STDEV.S(B104:Z104),IF(ISNUMBER(AC104),AC104,""))</f>
        <v/>
      </c>
      <c r="AH104" s="13">
        <f>IF(AND(ISNUMBER(AE104),ISNUMBER($B$23),ISNUMBER($D$23)),IF(AE104&gt;$D$23,"boven UCL",IF(AE104&lt;$B$23,"onder LCL","")),"")</f>
        <v/>
      </c>
      <c r="AI104" s="13">
        <f>IF(AND(ISNUMBER(AF104),ISNUMBER($B$24),ISNUMBER($D$24)),IF(AF104&gt;$D$24,"boven UCL",IF(AF104&lt;$B$24,"onder LCL","")),"")</f>
        <v/>
      </c>
      <c r="AJ104" s="13">
        <f>IF(AND(ISNUMBER(AE104),ISNUMBER($B$25),ISNUMBER($D$25)),IF(AE104&gt;$D$25,"boven UCL",IF(AE104&lt;$B$25,"onder LCL","")),"")</f>
        <v/>
      </c>
      <c r="AK104" s="13">
        <f>IF(AND(ISNUMBER(AG104),ISNUMBER($B$26),ISNUMBER($D$26)),IF(AG104&gt;$D$26,"boven UCL",IF(AG104&lt;$B$26,"onder LCL","")),"")</f>
        <v/>
      </c>
      <c r="AL104" s="13">
        <f>IF(AND(COUNT(B104:Z104)&gt;0,COUNT(AA104:AC104)&gt;0),"ruwe waarden én getypt: getypte genegeerd",IF(COUNTA(B104:Z104,AA104:AC104)&gt;COUNT(B104:Z104,AA104:AC104),"tekst telt niet mee",IF(COUNT(B104:Z104)=1,"1 waarde: geen R of s","")))</f>
        <v/>
      </c>
    </row>
    <row r="105">
      <c r="A105" t="n">
        <v>54</v>
      </c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28">
        <f>IF(COUNT(B105:Z105)&gt;0,COUNT(B105:Z105),IF(OR(ISNUMBER(AA105),ISNUMBER(AB105)),$B$9,""))</f>
        <v/>
      </c>
      <c r="AE105" s="29">
        <f>IF(COUNT(B105:Z105)&gt;0,AVERAGE(B105:Z105),IF(ISNUMBER(AA105),AA105,""))</f>
        <v/>
      </c>
      <c r="AF105" s="29">
        <f>IF(COUNT(B105:Z105)&gt;1,MAX(B105:Z105)-MIN(B105:Z105),IF(ISNUMBER(AB105),AB105,""))</f>
        <v/>
      </c>
      <c r="AG105" s="29">
        <f>IF(COUNT(B105:Z105)&gt;1,_xlfn.STDEV.S(B105:Z105),IF(ISNUMBER(AC105),AC105,""))</f>
        <v/>
      </c>
      <c r="AH105" s="13">
        <f>IF(AND(ISNUMBER(AE105),ISNUMBER($B$23),ISNUMBER($D$23)),IF(AE105&gt;$D$23,"boven UCL",IF(AE105&lt;$B$23,"onder LCL","")),"")</f>
        <v/>
      </c>
      <c r="AI105" s="13">
        <f>IF(AND(ISNUMBER(AF105),ISNUMBER($B$24),ISNUMBER($D$24)),IF(AF105&gt;$D$24,"boven UCL",IF(AF105&lt;$B$24,"onder LCL","")),"")</f>
        <v/>
      </c>
      <c r="AJ105" s="13">
        <f>IF(AND(ISNUMBER(AE105),ISNUMBER($B$25),ISNUMBER($D$25)),IF(AE105&gt;$D$25,"boven UCL",IF(AE105&lt;$B$25,"onder LCL","")),"")</f>
        <v/>
      </c>
      <c r="AK105" s="13">
        <f>IF(AND(ISNUMBER(AG105),ISNUMBER($B$26),ISNUMBER($D$26)),IF(AG105&gt;$D$26,"boven UCL",IF(AG105&lt;$B$26,"onder LCL","")),"")</f>
        <v/>
      </c>
      <c r="AL105" s="13">
        <f>IF(AND(COUNT(B105:Z105)&gt;0,COUNT(AA105:AC105)&gt;0),"ruwe waarden én getypt: getypte genegeerd",IF(COUNTA(B105:Z105,AA105:AC105)&gt;COUNT(B105:Z105,AA105:AC105),"tekst telt niet mee",IF(COUNT(B105:Z105)=1,"1 waarde: geen R of s","")))</f>
        <v/>
      </c>
    </row>
    <row r="106">
      <c r="A106" t="n">
        <v>55</v>
      </c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28">
        <f>IF(COUNT(B106:Z106)&gt;0,COUNT(B106:Z106),IF(OR(ISNUMBER(AA106),ISNUMBER(AB106)),$B$9,""))</f>
        <v/>
      </c>
      <c r="AE106" s="29">
        <f>IF(COUNT(B106:Z106)&gt;0,AVERAGE(B106:Z106),IF(ISNUMBER(AA106),AA106,""))</f>
        <v/>
      </c>
      <c r="AF106" s="29">
        <f>IF(COUNT(B106:Z106)&gt;1,MAX(B106:Z106)-MIN(B106:Z106),IF(ISNUMBER(AB106),AB106,""))</f>
        <v/>
      </c>
      <c r="AG106" s="29">
        <f>IF(COUNT(B106:Z106)&gt;1,_xlfn.STDEV.S(B106:Z106),IF(ISNUMBER(AC106),AC106,""))</f>
        <v/>
      </c>
      <c r="AH106" s="13">
        <f>IF(AND(ISNUMBER(AE106),ISNUMBER($B$23),ISNUMBER($D$23)),IF(AE106&gt;$D$23,"boven UCL",IF(AE106&lt;$B$23,"onder LCL","")),"")</f>
        <v/>
      </c>
      <c r="AI106" s="13">
        <f>IF(AND(ISNUMBER(AF106),ISNUMBER($B$24),ISNUMBER($D$24)),IF(AF106&gt;$D$24,"boven UCL",IF(AF106&lt;$B$24,"onder LCL","")),"")</f>
        <v/>
      </c>
      <c r="AJ106" s="13">
        <f>IF(AND(ISNUMBER(AE106),ISNUMBER($B$25),ISNUMBER($D$25)),IF(AE106&gt;$D$25,"boven UCL",IF(AE106&lt;$B$25,"onder LCL","")),"")</f>
        <v/>
      </c>
      <c r="AK106" s="13">
        <f>IF(AND(ISNUMBER(AG106),ISNUMBER($B$26),ISNUMBER($D$26)),IF(AG106&gt;$D$26,"boven UCL",IF(AG106&lt;$B$26,"onder LCL","")),"")</f>
        <v/>
      </c>
      <c r="AL106" s="13">
        <f>IF(AND(COUNT(B106:Z106)&gt;0,COUNT(AA106:AC106)&gt;0),"ruwe waarden én getypt: getypte genegeerd",IF(COUNTA(B106:Z106,AA106:AC106)&gt;COUNT(B106:Z106,AA106:AC106),"tekst telt niet mee",IF(COUNT(B106:Z106)=1,"1 waarde: geen R of s","")))</f>
        <v/>
      </c>
    </row>
    <row r="107">
      <c r="A107" t="n">
        <v>56</v>
      </c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28">
        <f>IF(COUNT(B107:Z107)&gt;0,COUNT(B107:Z107),IF(OR(ISNUMBER(AA107),ISNUMBER(AB107)),$B$9,""))</f>
        <v/>
      </c>
      <c r="AE107" s="29">
        <f>IF(COUNT(B107:Z107)&gt;0,AVERAGE(B107:Z107),IF(ISNUMBER(AA107),AA107,""))</f>
        <v/>
      </c>
      <c r="AF107" s="29">
        <f>IF(COUNT(B107:Z107)&gt;1,MAX(B107:Z107)-MIN(B107:Z107),IF(ISNUMBER(AB107),AB107,""))</f>
        <v/>
      </c>
      <c r="AG107" s="29">
        <f>IF(COUNT(B107:Z107)&gt;1,_xlfn.STDEV.S(B107:Z107),IF(ISNUMBER(AC107),AC107,""))</f>
        <v/>
      </c>
      <c r="AH107" s="13">
        <f>IF(AND(ISNUMBER(AE107),ISNUMBER($B$23),ISNUMBER($D$23)),IF(AE107&gt;$D$23,"boven UCL",IF(AE107&lt;$B$23,"onder LCL","")),"")</f>
        <v/>
      </c>
      <c r="AI107" s="13">
        <f>IF(AND(ISNUMBER(AF107),ISNUMBER($B$24),ISNUMBER($D$24)),IF(AF107&gt;$D$24,"boven UCL",IF(AF107&lt;$B$24,"onder LCL","")),"")</f>
        <v/>
      </c>
      <c r="AJ107" s="13">
        <f>IF(AND(ISNUMBER(AE107),ISNUMBER($B$25),ISNUMBER($D$25)),IF(AE107&gt;$D$25,"boven UCL",IF(AE107&lt;$B$25,"onder LCL","")),"")</f>
        <v/>
      </c>
      <c r="AK107" s="13">
        <f>IF(AND(ISNUMBER(AG107),ISNUMBER($B$26),ISNUMBER($D$26)),IF(AG107&gt;$D$26,"boven UCL",IF(AG107&lt;$B$26,"onder LCL","")),"")</f>
        <v/>
      </c>
      <c r="AL107" s="13">
        <f>IF(AND(COUNT(B107:Z107)&gt;0,COUNT(AA107:AC107)&gt;0),"ruwe waarden én getypt: getypte genegeerd",IF(COUNTA(B107:Z107,AA107:AC107)&gt;COUNT(B107:Z107,AA107:AC107),"tekst telt niet mee",IF(COUNT(B107:Z107)=1,"1 waarde: geen R of s","")))</f>
        <v/>
      </c>
    </row>
    <row r="108">
      <c r="A108" t="n">
        <v>57</v>
      </c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28">
        <f>IF(COUNT(B108:Z108)&gt;0,COUNT(B108:Z108),IF(OR(ISNUMBER(AA108),ISNUMBER(AB108)),$B$9,""))</f>
        <v/>
      </c>
      <c r="AE108" s="29">
        <f>IF(COUNT(B108:Z108)&gt;0,AVERAGE(B108:Z108),IF(ISNUMBER(AA108),AA108,""))</f>
        <v/>
      </c>
      <c r="AF108" s="29">
        <f>IF(COUNT(B108:Z108)&gt;1,MAX(B108:Z108)-MIN(B108:Z108),IF(ISNUMBER(AB108),AB108,""))</f>
        <v/>
      </c>
      <c r="AG108" s="29">
        <f>IF(COUNT(B108:Z108)&gt;1,_xlfn.STDEV.S(B108:Z108),IF(ISNUMBER(AC108),AC108,""))</f>
        <v/>
      </c>
      <c r="AH108" s="13">
        <f>IF(AND(ISNUMBER(AE108),ISNUMBER($B$23),ISNUMBER($D$23)),IF(AE108&gt;$D$23,"boven UCL",IF(AE108&lt;$B$23,"onder LCL","")),"")</f>
        <v/>
      </c>
      <c r="AI108" s="13">
        <f>IF(AND(ISNUMBER(AF108),ISNUMBER($B$24),ISNUMBER($D$24)),IF(AF108&gt;$D$24,"boven UCL",IF(AF108&lt;$B$24,"onder LCL","")),"")</f>
        <v/>
      </c>
      <c r="AJ108" s="13">
        <f>IF(AND(ISNUMBER(AE108),ISNUMBER($B$25),ISNUMBER($D$25)),IF(AE108&gt;$D$25,"boven UCL",IF(AE108&lt;$B$25,"onder LCL","")),"")</f>
        <v/>
      </c>
      <c r="AK108" s="13">
        <f>IF(AND(ISNUMBER(AG108),ISNUMBER($B$26),ISNUMBER($D$26)),IF(AG108&gt;$D$26,"boven UCL",IF(AG108&lt;$B$26,"onder LCL","")),"")</f>
        <v/>
      </c>
      <c r="AL108" s="13">
        <f>IF(AND(COUNT(B108:Z108)&gt;0,COUNT(AA108:AC108)&gt;0),"ruwe waarden én getypt: getypte genegeerd",IF(COUNTA(B108:Z108,AA108:AC108)&gt;COUNT(B108:Z108,AA108:AC108),"tekst telt niet mee",IF(COUNT(B108:Z108)=1,"1 waarde: geen R of s","")))</f>
        <v/>
      </c>
    </row>
    <row r="109">
      <c r="A109" t="n">
        <v>58</v>
      </c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28">
        <f>IF(COUNT(B109:Z109)&gt;0,COUNT(B109:Z109),IF(OR(ISNUMBER(AA109),ISNUMBER(AB109)),$B$9,""))</f>
        <v/>
      </c>
      <c r="AE109" s="29">
        <f>IF(COUNT(B109:Z109)&gt;0,AVERAGE(B109:Z109),IF(ISNUMBER(AA109),AA109,""))</f>
        <v/>
      </c>
      <c r="AF109" s="29">
        <f>IF(COUNT(B109:Z109)&gt;1,MAX(B109:Z109)-MIN(B109:Z109),IF(ISNUMBER(AB109),AB109,""))</f>
        <v/>
      </c>
      <c r="AG109" s="29">
        <f>IF(COUNT(B109:Z109)&gt;1,_xlfn.STDEV.S(B109:Z109),IF(ISNUMBER(AC109),AC109,""))</f>
        <v/>
      </c>
      <c r="AH109" s="13">
        <f>IF(AND(ISNUMBER(AE109),ISNUMBER($B$23),ISNUMBER($D$23)),IF(AE109&gt;$D$23,"boven UCL",IF(AE109&lt;$B$23,"onder LCL","")),"")</f>
        <v/>
      </c>
      <c r="AI109" s="13">
        <f>IF(AND(ISNUMBER(AF109),ISNUMBER($B$24),ISNUMBER($D$24)),IF(AF109&gt;$D$24,"boven UCL",IF(AF109&lt;$B$24,"onder LCL","")),"")</f>
        <v/>
      </c>
      <c r="AJ109" s="13">
        <f>IF(AND(ISNUMBER(AE109),ISNUMBER($B$25),ISNUMBER($D$25)),IF(AE109&gt;$D$25,"boven UCL",IF(AE109&lt;$B$25,"onder LCL","")),"")</f>
        <v/>
      </c>
      <c r="AK109" s="13">
        <f>IF(AND(ISNUMBER(AG109),ISNUMBER($B$26),ISNUMBER($D$26)),IF(AG109&gt;$D$26,"boven UCL",IF(AG109&lt;$B$26,"onder LCL","")),"")</f>
        <v/>
      </c>
      <c r="AL109" s="13">
        <f>IF(AND(COUNT(B109:Z109)&gt;0,COUNT(AA109:AC109)&gt;0),"ruwe waarden én getypt: getypte genegeerd",IF(COUNTA(B109:Z109,AA109:AC109)&gt;COUNT(B109:Z109,AA109:AC109),"tekst telt niet mee",IF(COUNT(B109:Z109)=1,"1 waarde: geen R of s","")))</f>
        <v/>
      </c>
    </row>
    <row r="110">
      <c r="A110" t="n">
        <v>59</v>
      </c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28">
        <f>IF(COUNT(B110:Z110)&gt;0,COUNT(B110:Z110),IF(OR(ISNUMBER(AA110),ISNUMBER(AB110)),$B$9,""))</f>
        <v/>
      </c>
      <c r="AE110" s="29">
        <f>IF(COUNT(B110:Z110)&gt;0,AVERAGE(B110:Z110),IF(ISNUMBER(AA110),AA110,""))</f>
        <v/>
      </c>
      <c r="AF110" s="29">
        <f>IF(COUNT(B110:Z110)&gt;1,MAX(B110:Z110)-MIN(B110:Z110),IF(ISNUMBER(AB110),AB110,""))</f>
        <v/>
      </c>
      <c r="AG110" s="29">
        <f>IF(COUNT(B110:Z110)&gt;1,_xlfn.STDEV.S(B110:Z110),IF(ISNUMBER(AC110),AC110,""))</f>
        <v/>
      </c>
      <c r="AH110" s="13">
        <f>IF(AND(ISNUMBER(AE110),ISNUMBER($B$23),ISNUMBER($D$23)),IF(AE110&gt;$D$23,"boven UCL",IF(AE110&lt;$B$23,"onder LCL","")),"")</f>
        <v/>
      </c>
      <c r="AI110" s="13">
        <f>IF(AND(ISNUMBER(AF110),ISNUMBER($B$24),ISNUMBER($D$24)),IF(AF110&gt;$D$24,"boven UCL",IF(AF110&lt;$B$24,"onder LCL","")),"")</f>
        <v/>
      </c>
      <c r="AJ110" s="13">
        <f>IF(AND(ISNUMBER(AE110),ISNUMBER($B$25),ISNUMBER($D$25)),IF(AE110&gt;$D$25,"boven UCL",IF(AE110&lt;$B$25,"onder LCL","")),"")</f>
        <v/>
      </c>
      <c r="AK110" s="13">
        <f>IF(AND(ISNUMBER(AG110),ISNUMBER($B$26),ISNUMBER($D$26)),IF(AG110&gt;$D$26,"boven UCL",IF(AG110&lt;$B$26,"onder LCL","")),"")</f>
        <v/>
      </c>
      <c r="AL110" s="13">
        <f>IF(AND(COUNT(B110:Z110)&gt;0,COUNT(AA110:AC110)&gt;0),"ruwe waarden én getypt: getypte genegeerd",IF(COUNTA(B110:Z110,AA110:AC110)&gt;COUNT(B110:Z110,AA110:AC110),"tekst telt niet mee",IF(COUNT(B110:Z110)=1,"1 waarde: geen R of s","")))</f>
        <v/>
      </c>
    </row>
    <row r="111">
      <c r="A111" t="n">
        <v>60</v>
      </c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28">
        <f>IF(COUNT(B111:Z111)&gt;0,COUNT(B111:Z111),IF(OR(ISNUMBER(AA111),ISNUMBER(AB111)),$B$9,""))</f>
        <v/>
      </c>
      <c r="AE111" s="29">
        <f>IF(COUNT(B111:Z111)&gt;0,AVERAGE(B111:Z111),IF(ISNUMBER(AA111),AA111,""))</f>
        <v/>
      </c>
      <c r="AF111" s="29">
        <f>IF(COUNT(B111:Z111)&gt;1,MAX(B111:Z111)-MIN(B111:Z111),IF(ISNUMBER(AB111),AB111,""))</f>
        <v/>
      </c>
      <c r="AG111" s="29">
        <f>IF(COUNT(B111:Z111)&gt;1,_xlfn.STDEV.S(B111:Z111),IF(ISNUMBER(AC111),AC111,""))</f>
        <v/>
      </c>
      <c r="AH111" s="13">
        <f>IF(AND(ISNUMBER(AE111),ISNUMBER($B$23),ISNUMBER($D$23)),IF(AE111&gt;$D$23,"boven UCL",IF(AE111&lt;$B$23,"onder LCL","")),"")</f>
        <v/>
      </c>
      <c r="AI111" s="13">
        <f>IF(AND(ISNUMBER(AF111),ISNUMBER($B$24),ISNUMBER($D$24)),IF(AF111&gt;$D$24,"boven UCL",IF(AF111&lt;$B$24,"onder LCL","")),"")</f>
        <v/>
      </c>
      <c r="AJ111" s="13">
        <f>IF(AND(ISNUMBER(AE111),ISNUMBER($B$25),ISNUMBER($D$25)),IF(AE111&gt;$D$25,"boven UCL",IF(AE111&lt;$B$25,"onder LCL","")),"")</f>
        <v/>
      </c>
      <c r="AK111" s="13">
        <f>IF(AND(ISNUMBER(AG111),ISNUMBER($B$26),ISNUMBER($D$26)),IF(AG111&gt;$D$26,"boven UCL",IF(AG111&lt;$B$26,"onder LCL","")),"")</f>
        <v/>
      </c>
      <c r="AL111" s="13">
        <f>IF(AND(COUNT(B111:Z111)&gt;0,COUNT(AA111:AC111)&gt;0),"ruwe waarden én getypt: getypte genegeerd",IF(COUNTA(B111:Z111,AA111:AC111)&gt;COUNT(B111:Z111,AA111:AC111),"tekst telt niet mee",IF(COUNT(B111:Z111)=1,"1 waarde: geen R of s","")))</f>
        <v/>
      </c>
    </row>
    <row r="112">
      <c r="A112" t="n">
        <v>61</v>
      </c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28">
        <f>IF(COUNT(B112:Z112)&gt;0,COUNT(B112:Z112),IF(OR(ISNUMBER(AA112),ISNUMBER(AB112)),$B$9,""))</f>
        <v/>
      </c>
      <c r="AE112" s="29">
        <f>IF(COUNT(B112:Z112)&gt;0,AVERAGE(B112:Z112),IF(ISNUMBER(AA112),AA112,""))</f>
        <v/>
      </c>
      <c r="AF112" s="29">
        <f>IF(COUNT(B112:Z112)&gt;1,MAX(B112:Z112)-MIN(B112:Z112),IF(ISNUMBER(AB112),AB112,""))</f>
        <v/>
      </c>
      <c r="AG112" s="29">
        <f>IF(COUNT(B112:Z112)&gt;1,_xlfn.STDEV.S(B112:Z112),IF(ISNUMBER(AC112),AC112,""))</f>
        <v/>
      </c>
      <c r="AH112" s="13">
        <f>IF(AND(ISNUMBER(AE112),ISNUMBER($B$23),ISNUMBER($D$23)),IF(AE112&gt;$D$23,"boven UCL",IF(AE112&lt;$B$23,"onder LCL","")),"")</f>
        <v/>
      </c>
      <c r="AI112" s="13">
        <f>IF(AND(ISNUMBER(AF112),ISNUMBER($B$24),ISNUMBER($D$24)),IF(AF112&gt;$D$24,"boven UCL",IF(AF112&lt;$B$24,"onder LCL","")),"")</f>
        <v/>
      </c>
      <c r="AJ112" s="13">
        <f>IF(AND(ISNUMBER(AE112),ISNUMBER($B$25),ISNUMBER($D$25)),IF(AE112&gt;$D$25,"boven UCL",IF(AE112&lt;$B$25,"onder LCL","")),"")</f>
        <v/>
      </c>
      <c r="AK112" s="13">
        <f>IF(AND(ISNUMBER(AG112),ISNUMBER($B$26),ISNUMBER($D$26)),IF(AG112&gt;$D$26,"boven UCL",IF(AG112&lt;$B$26,"onder LCL","")),"")</f>
        <v/>
      </c>
      <c r="AL112" s="13">
        <f>IF(AND(COUNT(B112:Z112)&gt;0,COUNT(AA112:AC112)&gt;0),"ruwe waarden én getypt: getypte genegeerd",IF(COUNTA(B112:Z112,AA112:AC112)&gt;COUNT(B112:Z112,AA112:AC112),"tekst telt niet mee",IF(COUNT(B112:Z112)=1,"1 waarde: geen R of s","")))</f>
        <v/>
      </c>
    </row>
    <row r="113">
      <c r="A113" t="n">
        <v>62</v>
      </c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28">
        <f>IF(COUNT(B113:Z113)&gt;0,COUNT(B113:Z113),IF(OR(ISNUMBER(AA113),ISNUMBER(AB113)),$B$9,""))</f>
        <v/>
      </c>
      <c r="AE113" s="29">
        <f>IF(COUNT(B113:Z113)&gt;0,AVERAGE(B113:Z113),IF(ISNUMBER(AA113),AA113,""))</f>
        <v/>
      </c>
      <c r="AF113" s="29">
        <f>IF(COUNT(B113:Z113)&gt;1,MAX(B113:Z113)-MIN(B113:Z113),IF(ISNUMBER(AB113),AB113,""))</f>
        <v/>
      </c>
      <c r="AG113" s="29">
        <f>IF(COUNT(B113:Z113)&gt;1,_xlfn.STDEV.S(B113:Z113),IF(ISNUMBER(AC113),AC113,""))</f>
        <v/>
      </c>
      <c r="AH113" s="13">
        <f>IF(AND(ISNUMBER(AE113),ISNUMBER($B$23),ISNUMBER($D$23)),IF(AE113&gt;$D$23,"boven UCL",IF(AE113&lt;$B$23,"onder LCL","")),"")</f>
        <v/>
      </c>
      <c r="AI113" s="13">
        <f>IF(AND(ISNUMBER(AF113),ISNUMBER($B$24),ISNUMBER($D$24)),IF(AF113&gt;$D$24,"boven UCL",IF(AF113&lt;$B$24,"onder LCL","")),"")</f>
        <v/>
      </c>
      <c r="AJ113" s="13">
        <f>IF(AND(ISNUMBER(AE113),ISNUMBER($B$25),ISNUMBER($D$25)),IF(AE113&gt;$D$25,"boven UCL",IF(AE113&lt;$B$25,"onder LCL","")),"")</f>
        <v/>
      </c>
      <c r="AK113" s="13">
        <f>IF(AND(ISNUMBER(AG113),ISNUMBER($B$26),ISNUMBER($D$26)),IF(AG113&gt;$D$26,"boven UCL",IF(AG113&lt;$B$26,"onder LCL","")),"")</f>
        <v/>
      </c>
      <c r="AL113" s="13">
        <f>IF(AND(COUNT(B113:Z113)&gt;0,COUNT(AA113:AC113)&gt;0),"ruwe waarden én getypt: getypte genegeerd",IF(COUNTA(B113:Z113,AA113:AC113)&gt;COUNT(B113:Z113,AA113:AC113),"tekst telt niet mee",IF(COUNT(B113:Z113)=1,"1 waarde: geen R of s","")))</f>
        <v/>
      </c>
    </row>
    <row r="114">
      <c r="A114" t="n">
        <v>63</v>
      </c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28">
        <f>IF(COUNT(B114:Z114)&gt;0,COUNT(B114:Z114),IF(OR(ISNUMBER(AA114),ISNUMBER(AB114)),$B$9,""))</f>
        <v/>
      </c>
      <c r="AE114" s="29">
        <f>IF(COUNT(B114:Z114)&gt;0,AVERAGE(B114:Z114),IF(ISNUMBER(AA114),AA114,""))</f>
        <v/>
      </c>
      <c r="AF114" s="29">
        <f>IF(COUNT(B114:Z114)&gt;1,MAX(B114:Z114)-MIN(B114:Z114),IF(ISNUMBER(AB114),AB114,""))</f>
        <v/>
      </c>
      <c r="AG114" s="29">
        <f>IF(COUNT(B114:Z114)&gt;1,_xlfn.STDEV.S(B114:Z114),IF(ISNUMBER(AC114),AC114,""))</f>
        <v/>
      </c>
      <c r="AH114" s="13">
        <f>IF(AND(ISNUMBER(AE114),ISNUMBER($B$23),ISNUMBER($D$23)),IF(AE114&gt;$D$23,"boven UCL",IF(AE114&lt;$B$23,"onder LCL","")),"")</f>
        <v/>
      </c>
      <c r="AI114" s="13">
        <f>IF(AND(ISNUMBER(AF114),ISNUMBER($B$24),ISNUMBER($D$24)),IF(AF114&gt;$D$24,"boven UCL",IF(AF114&lt;$B$24,"onder LCL","")),"")</f>
        <v/>
      </c>
      <c r="AJ114" s="13">
        <f>IF(AND(ISNUMBER(AE114),ISNUMBER($B$25),ISNUMBER($D$25)),IF(AE114&gt;$D$25,"boven UCL",IF(AE114&lt;$B$25,"onder LCL","")),"")</f>
        <v/>
      </c>
      <c r="AK114" s="13">
        <f>IF(AND(ISNUMBER(AG114),ISNUMBER($B$26),ISNUMBER($D$26)),IF(AG114&gt;$D$26,"boven UCL",IF(AG114&lt;$B$26,"onder LCL","")),"")</f>
        <v/>
      </c>
      <c r="AL114" s="13">
        <f>IF(AND(COUNT(B114:Z114)&gt;0,COUNT(AA114:AC114)&gt;0),"ruwe waarden én getypt: getypte genegeerd",IF(COUNTA(B114:Z114,AA114:AC114)&gt;COUNT(B114:Z114,AA114:AC114),"tekst telt niet mee",IF(COUNT(B114:Z114)=1,"1 waarde: geen R of s","")))</f>
        <v/>
      </c>
    </row>
    <row r="115">
      <c r="A115" t="n">
        <v>64</v>
      </c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28">
        <f>IF(COUNT(B115:Z115)&gt;0,COUNT(B115:Z115),IF(OR(ISNUMBER(AA115),ISNUMBER(AB115)),$B$9,""))</f>
        <v/>
      </c>
      <c r="AE115" s="29">
        <f>IF(COUNT(B115:Z115)&gt;0,AVERAGE(B115:Z115),IF(ISNUMBER(AA115),AA115,""))</f>
        <v/>
      </c>
      <c r="AF115" s="29">
        <f>IF(COUNT(B115:Z115)&gt;1,MAX(B115:Z115)-MIN(B115:Z115),IF(ISNUMBER(AB115),AB115,""))</f>
        <v/>
      </c>
      <c r="AG115" s="29">
        <f>IF(COUNT(B115:Z115)&gt;1,_xlfn.STDEV.S(B115:Z115),IF(ISNUMBER(AC115),AC115,""))</f>
        <v/>
      </c>
      <c r="AH115" s="13">
        <f>IF(AND(ISNUMBER(AE115),ISNUMBER($B$23),ISNUMBER($D$23)),IF(AE115&gt;$D$23,"boven UCL",IF(AE115&lt;$B$23,"onder LCL","")),"")</f>
        <v/>
      </c>
      <c r="AI115" s="13">
        <f>IF(AND(ISNUMBER(AF115),ISNUMBER($B$24),ISNUMBER($D$24)),IF(AF115&gt;$D$24,"boven UCL",IF(AF115&lt;$B$24,"onder LCL","")),"")</f>
        <v/>
      </c>
      <c r="AJ115" s="13">
        <f>IF(AND(ISNUMBER(AE115),ISNUMBER($B$25),ISNUMBER($D$25)),IF(AE115&gt;$D$25,"boven UCL",IF(AE115&lt;$B$25,"onder LCL","")),"")</f>
        <v/>
      </c>
      <c r="AK115" s="13">
        <f>IF(AND(ISNUMBER(AG115),ISNUMBER($B$26),ISNUMBER($D$26)),IF(AG115&gt;$D$26,"boven UCL",IF(AG115&lt;$B$26,"onder LCL","")),"")</f>
        <v/>
      </c>
      <c r="AL115" s="13">
        <f>IF(AND(COUNT(B115:Z115)&gt;0,COUNT(AA115:AC115)&gt;0),"ruwe waarden én getypt: getypte genegeerd",IF(COUNTA(B115:Z115,AA115:AC115)&gt;COUNT(B115:Z115,AA115:AC115),"tekst telt niet mee",IF(COUNT(B115:Z115)=1,"1 waarde: geen R of s","")))</f>
        <v/>
      </c>
    </row>
    <row r="116">
      <c r="A116" t="n">
        <v>65</v>
      </c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28">
        <f>IF(COUNT(B116:Z116)&gt;0,COUNT(B116:Z116),IF(OR(ISNUMBER(AA116),ISNUMBER(AB116)),$B$9,""))</f>
        <v/>
      </c>
      <c r="AE116" s="29">
        <f>IF(COUNT(B116:Z116)&gt;0,AVERAGE(B116:Z116),IF(ISNUMBER(AA116),AA116,""))</f>
        <v/>
      </c>
      <c r="AF116" s="29">
        <f>IF(COUNT(B116:Z116)&gt;1,MAX(B116:Z116)-MIN(B116:Z116),IF(ISNUMBER(AB116),AB116,""))</f>
        <v/>
      </c>
      <c r="AG116" s="29">
        <f>IF(COUNT(B116:Z116)&gt;1,_xlfn.STDEV.S(B116:Z116),IF(ISNUMBER(AC116),AC116,""))</f>
        <v/>
      </c>
      <c r="AH116" s="13">
        <f>IF(AND(ISNUMBER(AE116),ISNUMBER($B$23),ISNUMBER($D$23)),IF(AE116&gt;$D$23,"boven UCL",IF(AE116&lt;$B$23,"onder LCL","")),"")</f>
        <v/>
      </c>
      <c r="AI116" s="13">
        <f>IF(AND(ISNUMBER(AF116),ISNUMBER($B$24),ISNUMBER($D$24)),IF(AF116&gt;$D$24,"boven UCL",IF(AF116&lt;$B$24,"onder LCL","")),"")</f>
        <v/>
      </c>
      <c r="AJ116" s="13">
        <f>IF(AND(ISNUMBER(AE116),ISNUMBER($B$25),ISNUMBER($D$25)),IF(AE116&gt;$D$25,"boven UCL",IF(AE116&lt;$B$25,"onder LCL","")),"")</f>
        <v/>
      </c>
      <c r="AK116" s="13">
        <f>IF(AND(ISNUMBER(AG116),ISNUMBER($B$26),ISNUMBER($D$26)),IF(AG116&gt;$D$26,"boven UCL",IF(AG116&lt;$B$26,"onder LCL","")),"")</f>
        <v/>
      </c>
      <c r="AL116" s="13">
        <f>IF(AND(COUNT(B116:Z116)&gt;0,COUNT(AA116:AC116)&gt;0),"ruwe waarden én getypt: getypte genegeerd",IF(COUNTA(B116:Z116,AA116:AC116)&gt;COUNT(B116:Z116,AA116:AC116),"tekst telt niet mee",IF(COUNT(B116:Z116)=1,"1 waarde: geen R of s","")))</f>
        <v/>
      </c>
    </row>
    <row r="117">
      <c r="A117" t="n">
        <v>66</v>
      </c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28">
        <f>IF(COUNT(B117:Z117)&gt;0,COUNT(B117:Z117),IF(OR(ISNUMBER(AA117),ISNUMBER(AB117)),$B$9,""))</f>
        <v/>
      </c>
      <c r="AE117" s="29">
        <f>IF(COUNT(B117:Z117)&gt;0,AVERAGE(B117:Z117),IF(ISNUMBER(AA117),AA117,""))</f>
        <v/>
      </c>
      <c r="AF117" s="29">
        <f>IF(COUNT(B117:Z117)&gt;1,MAX(B117:Z117)-MIN(B117:Z117),IF(ISNUMBER(AB117),AB117,""))</f>
        <v/>
      </c>
      <c r="AG117" s="29">
        <f>IF(COUNT(B117:Z117)&gt;1,_xlfn.STDEV.S(B117:Z117),IF(ISNUMBER(AC117),AC117,""))</f>
        <v/>
      </c>
      <c r="AH117" s="13">
        <f>IF(AND(ISNUMBER(AE117),ISNUMBER($B$23),ISNUMBER($D$23)),IF(AE117&gt;$D$23,"boven UCL",IF(AE117&lt;$B$23,"onder LCL","")),"")</f>
        <v/>
      </c>
      <c r="AI117" s="13">
        <f>IF(AND(ISNUMBER(AF117),ISNUMBER($B$24),ISNUMBER($D$24)),IF(AF117&gt;$D$24,"boven UCL",IF(AF117&lt;$B$24,"onder LCL","")),"")</f>
        <v/>
      </c>
      <c r="AJ117" s="13">
        <f>IF(AND(ISNUMBER(AE117),ISNUMBER($B$25),ISNUMBER($D$25)),IF(AE117&gt;$D$25,"boven UCL",IF(AE117&lt;$B$25,"onder LCL","")),"")</f>
        <v/>
      </c>
      <c r="AK117" s="13">
        <f>IF(AND(ISNUMBER(AG117),ISNUMBER($B$26),ISNUMBER($D$26)),IF(AG117&gt;$D$26,"boven UCL",IF(AG117&lt;$B$26,"onder LCL","")),"")</f>
        <v/>
      </c>
      <c r="AL117" s="13">
        <f>IF(AND(COUNT(B117:Z117)&gt;0,COUNT(AA117:AC117)&gt;0),"ruwe waarden én getypt: getypte genegeerd",IF(COUNTA(B117:Z117,AA117:AC117)&gt;COUNT(B117:Z117,AA117:AC117),"tekst telt niet mee",IF(COUNT(B117:Z117)=1,"1 waarde: geen R of s","")))</f>
        <v/>
      </c>
    </row>
    <row r="118">
      <c r="A118" t="n">
        <v>67</v>
      </c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28">
        <f>IF(COUNT(B118:Z118)&gt;0,COUNT(B118:Z118),IF(OR(ISNUMBER(AA118),ISNUMBER(AB118)),$B$9,""))</f>
        <v/>
      </c>
      <c r="AE118" s="29">
        <f>IF(COUNT(B118:Z118)&gt;0,AVERAGE(B118:Z118),IF(ISNUMBER(AA118),AA118,""))</f>
        <v/>
      </c>
      <c r="AF118" s="29">
        <f>IF(COUNT(B118:Z118)&gt;1,MAX(B118:Z118)-MIN(B118:Z118),IF(ISNUMBER(AB118),AB118,""))</f>
        <v/>
      </c>
      <c r="AG118" s="29">
        <f>IF(COUNT(B118:Z118)&gt;1,_xlfn.STDEV.S(B118:Z118),IF(ISNUMBER(AC118),AC118,""))</f>
        <v/>
      </c>
      <c r="AH118" s="13">
        <f>IF(AND(ISNUMBER(AE118),ISNUMBER($B$23),ISNUMBER($D$23)),IF(AE118&gt;$D$23,"boven UCL",IF(AE118&lt;$B$23,"onder LCL","")),"")</f>
        <v/>
      </c>
      <c r="AI118" s="13">
        <f>IF(AND(ISNUMBER(AF118),ISNUMBER($B$24),ISNUMBER($D$24)),IF(AF118&gt;$D$24,"boven UCL",IF(AF118&lt;$B$24,"onder LCL","")),"")</f>
        <v/>
      </c>
      <c r="AJ118" s="13">
        <f>IF(AND(ISNUMBER(AE118),ISNUMBER($B$25),ISNUMBER($D$25)),IF(AE118&gt;$D$25,"boven UCL",IF(AE118&lt;$B$25,"onder LCL","")),"")</f>
        <v/>
      </c>
      <c r="AK118" s="13">
        <f>IF(AND(ISNUMBER(AG118),ISNUMBER($B$26),ISNUMBER($D$26)),IF(AG118&gt;$D$26,"boven UCL",IF(AG118&lt;$B$26,"onder LCL","")),"")</f>
        <v/>
      </c>
      <c r="AL118" s="13">
        <f>IF(AND(COUNT(B118:Z118)&gt;0,COUNT(AA118:AC118)&gt;0),"ruwe waarden én getypt: getypte genegeerd",IF(COUNTA(B118:Z118,AA118:AC118)&gt;COUNT(B118:Z118,AA118:AC118),"tekst telt niet mee",IF(COUNT(B118:Z118)=1,"1 waarde: geen R of s","")))</f>
        <v/>
      </c>
    </row>
    <row r="119">
      <c r="A119" t="n">
        <v>68</v>
      </c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28">
        <f>IF(COUNT(B119:Z119)&gt;0,COUNT(B119:Z119),IF(OR(ISNUMBER(AA119),ISNUMBER(AB119)),$B$9,""))</f>
        <v/>
      </c>
      <c r="AE119" s="29">
        <f>IF(COUNT(B119:Z119)&gt;0,AVERAGE(B119:Z119),IF(ISNUMBER(AA119),AA119,""))</f>
        <v/>
      </c>
      <c r="AF119" s="29">
        <f>IF(COUNT(B119:Z119)&gt;1,MAX(B119:Z119)-MIN(B119:Z119),IF(ISNUMBER(AB119),AB119,""))</f>
        <v/>
      </c>
      <c r="AG119" s="29">
        <f>IF(COUNT(B119:Z119)&gt;1,_xlfn.STDEV.S(B119:Z119),IF(ISNUMBER(AC119),AC119,""))</f>
        <v/>
      </c>
      <c r="AH119" s="13">
        <f>IF(AND(ISNUMBER(AE119),ISNUMBER($B$23),ISNUMBER($D$23)),IF(AE119&gt;$D$23,"boven UCL",IF(AE119&lt;$B$23,"onder LCL","")),"")</f>
        <v/>
      </c>
      <c r="AI119" s="13">
        <f>IF(AND(ISNUMBER(AF119),ISNUMBER($B$24),ISNUMBER($D$24)),IF(AF119&gt;$D$24,"boven UCL",IF(AF119&lt;$B$24,"onder LCL","")),"")</f>
        <v/>
      </c>
      <c r="AJ119" s="13">
        <f>IF(AND(ISNUMBER(AE119),ISNUMBER($B$25),ISNUMBER($D$25)),IF(AE119&gt;$D$25,"boven UCL",IF(AE119&lt;$B$25,"onder LCL","")),"")</f>
        <v/>
      </c>
      <c r="AK119" s="13">
        <f>IF(AND(ISNUMBER(AG119),ISNUMBER($B$26),ISNUMBER($D$26)),IF(AG119&gt;$D$26,"boven UCL",IF(AG119&lt;$B$26,"onder LCL","")),"")</f>
        <v/>
      </c>
      <c r="AL119" s="13">
        <f>IF(AND(COUNT(B119:Z119)&gt;0,COUNT(AA119:AC119)&gt;0),"ruwe waarden én getypt: getypte genegeerd",IF(COUNTA(B119:Z119,AA119:AC119)&gt;COUNT(B119:Z119,AA119:AC119),"tekst telt niet mee",IF(COUNT(B119:Z119)=1,"1 waarde: geen R of s","")))</f>
        <v/>
      </c>
    </row>
    <row r="120">
      <c r="A120" t="n">
        <v>69</v>
      </c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28">
        <f>IF(COUNT(B120:Z120)&gt;0,COUNT(B120:Z120),IF(OR(ISNUMBER(AA120),ISNUMBER(AB120)),$B$9,""))</f>
        <v/>
      </c>
      <c r="AE120" s="29">
        <f>IF(COUNT(B120:Z120)&gt;0,AVERAGE(B120:Z120),IF(ISNUMBER(AA120),AA120,""))</f>
        <v/>
      </c>
      <c r="AF120" s="29">
        <f>IF(COUNT(B120:Z120)&gt;1,MAX(B120:Z120)-MIN(B120:Z120),IF(ISNUMBER(AB120),AB120,""))</f>
        <v/>
      </c>
      <c r="AG120" s="29">
        <f>IF(COUNT(B120:Z120)&gt;1,_xlfn.STDEV.S(B120:Z120),IF(ISNUMBER(AC120),AC120,""))</f>
        <v/>
      </c>
      <c r="AH120" s="13">
        <f>IF(AND(ISNUMBER(AE120),ISNUMBER($B$23),ISNUMBER($D$23)),IF(AE120&gt;$D$23,"boven UCL",IF(AE120&lt;$B$23,"onder LCL","")),"")</f>
        <v/>
      </c>
      <c r="AI120" s="13">
        <f>IF(AND(ISNUMBER(AF120),ISNUMBER($B$24),ISNUMBER($D$24)),IF(AF120&gt;$D$24,"boven UCL",IF(AF120&lt;$B$24,"onder LCL","")),"")</f>
        <v/>
      </c>
      <c r="AJ120" s="13">
        <f>IF(AND(ISNUMBER(AE120),ISNUMBER($B$25),ISNUMBER($D$25)),IF(AE120&gt;$D$25,"boven UCL",IF(AE120&lt;$B$25,"onder LCL","")),"")</f>
        <v/>
      </c>
      <c r="AK120" s="13">
        <f>IF(AND(ISNUMBER(AG120),ISNUMBER($B$26),ISNUMBER($D$26)),IF(AG120&gt;$D$26,"boven UCL",IF(AG120&lt;$B$26,"onder LCL","")),"")</f>
        <v/>
      </c>
      <c r="AL120" s="13">
        <f>IF(AND(COUNT(B120:Z120)&gt;0,COUNT(AA120:AC120)&gt;0),"ruwe waarden én getypt: getypte genegeerd",IF(COUNTA(B120:Z120,AA120:AC120)&gt;COUNT(B120:Z120,AA120:AC120),"tekst telt niet mee",IF(COUNT(B120:Z120)=1,"1 waarde: geen R of s","")))</f>
        <v/>
      </c>
    </row>
    <row r="121">
      <c r="A121" t="n">
        <v>70</v>
      </c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28">
        <f>IF(COUNT(B121:Z121)&gt;0,COUNT(B121:Z121),IF(OR(ISNUMBER(AA121),ISNUMBER(AB121)),$B$9,""))</f>
        <v/>
      </c>
      <c r="AE121" s="29">
        <f>IF(COUNT(B121:Z121)&gt;0,AVERAGE(B121:Z121),IF(ISNUMBER(AA121),AA121,""))</f>
        <v/>
      </c>
      <c r="AF121" s="29">
        <f>IF(COUNT(B121:Z121)&gt;1,MAX(B121:Z121)-MIN(B121:Z121),IF(ISNUMBER(AB121),AB121,""))</f>
        <v/>
      </c>
      <c r="AG121" s="29">
        <f>IF(COUNT(B121:Z121)&gt;1,_xlfn.STDEV.S(B121:Z121),IF(ISNUMBER(AC121),AC121,""))</f>
        <v/>
      </c>
      <c r="AH121" s="13">
        <f>IF(AND(ISNUMBER(AE121),ISNUMBER($B$23),ISNUMBER($D$23)),IF(AE121&gt;$D$23,"boven UCL",IF(AE121&lt;$B$23,"onder LCL","")),"")</f>
        <v/>
      </c>
      <c r="AI121" s="13">
        <f>IF(AND(ISNUMBER(AF121),ISNUMBER($B$24),ISNUMBER($D$24)),IF(AF121&gt;$D$24,"boven UCL",IF(AF121&lt;$B$24,"onder LCL","")),"")</f>
        <v/>
      </c>
      <c r="AJ121" s="13">
        <f>IF(AND(ISNUMBER(AE121),ISNUMBER($B$25),ISNUMBER($D$25)),IF(AE121&gt;$D$25,"boven UCL",IF(AE121&lt;$B$25,"onder LCL","")),"")</f>
        <v/>
      </c>
      <c r="AK121" s="13">
        <f>IF(AND(ISNUMBER(AG121),ISNUMBER($B$26),ISNUMBER($D$26)),IF(AG121&gt;$D$26,"boven UCL",IF(AG121&lt;$B$26,"onder LCL","")),"")</f>
        <v/>
      </c>
      <c r="AL121" s="13">
        <f>IF(AND(COUNT(B121:Z121)&gt;0,COUNT(AA121:AC121)&gt;0),"ruwe waarden én getypt: getypte genegeerd",IF(COUNTA(B121:Z121,AA121:AC121)&gt;COUNT(B121:Z121,AA121:AC121),"tekst telt niet mee",IF(COUNT(B121:Z121)=1,"1 waarde: geen R of s","")))</f>
        <v/>
      </c>
    </row>
    <row r="122">
      <c r="A122" t="n">
        <v>71</v>
      </c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28">
        <f>IF(COUNT(B122:Z122)&gt;0,COUNT(B122:Z122),IF(OR(ISNUMBER(AA122),ISNUMBER(AB122)),$B$9,""))</f>
        <v/>
      </c>
      <c r="AE122" s="29">
        <f>IF(COUNT(B122:Z122)&gt;0,AVERAGE(B122:Z122),IF(ISNUMBER(AA122),AA122,""))</f>
        <v/>
      </c>
      <c r="AF122" s="29">
        <f>IF(COUNT(B122:Z122)&gt;1,MAX(B122:Z122)-MIN(B122:Z122),IF(ISNUMBER(AB122),AB122,""))</f>
        <v/>
      </c>
      <c r="AG122" s="29">
        <f>IF(COUNT(B122:Z122)&gt;1,_xlfn.STDEV.S(B122:Z122),IF(ISNUMBER(AC122),AC122,""))</f>
        <v/>
      </c>
      <c r="AH122" s="13">
        <f>IF(AND(ISNUMBER(AE122),ISNUMBER($B$23),ISNUMBER($D$23)),IF(AE122&gt;$D$23,"boven UCL",IF(AE122&lt;$B$23,"onder LCL","")),"")</f>
        <v/>
      </c>
      <c r="AI122" s="13">
        <f>IF(AND(ISNUMBER(AF122),ISNUMBER($B$24),ISNUMBER($D$24)),IF(AF122&gt;$D$24,"boven UCL",IF(AF122&lt;$B$24,"onder LCL","")),"")</f>
        <v/>
      </c>
      <c r="AJ122" s="13">
        <f>IF(AND(ISNUMBER(AE122),ISNUMBER($B$25),ISNUMBER($D$25)),IF(AE122&gt;$D$25,"boven UCL",IF(AE122&lt;$B$25,"onder LCL","")),"")</f>
        <v/>
      </c>
      <c r="AK122" s="13">
        <f>IF(AND(ISNUMBER(AG122),ISNUMBER($B$26),ISNUMBER($D$26)),IF(AG122&gt;$D$26,"boven UCL",IF(AG122&lt;$B$26,"onder LCL","")),"")</f>
        <v/>
      </c>
      <c r="AL122" s="13">
        <f>IF(AND(COUNT(B122:Z122)&gt;0,COUNT(AA122:AC122)&gt;0),"ruwe waarden én getypt: getypte genegeerd",IF(COUNTA(B122:Z122,AA122:AC122)&gt;COUNT(B122:Z122,AA122:AC122),"tekst telt niet mee",IF(COUNT(B122:Z122)=1,"1 waarde: geen R of s","")))</f>
        <v/>
      </c>
    </row>
    <row r="123">
      <c r="A123" t="n">
        <v>72</v>
      </c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28">
        <f>IF(COUNT(B123:Z123)&gt;0,COUNT(B123:Z123),IF(OR(ISNUMBER(AA123),ISNUMBER(AB123)),$B$9,""))</f>
        <v/>
      </c>
      <c r="AE123" s="29">
        <f>IF(COUNT(B123:Z123)&gt;0,AVERAGE(B123:Z123),IF(ISNUMBER(AA123),AA123,""))</f>
        <v/>
      </c>
      <c r="AF123" s="29">
        <f>IF(COUNT(B123:Z123)&gt;1,MAX(B123:Z123)-MIN(B123:Z123),IF(ISNUMBER(AB123),AB123,""))</f>
        <v/>
      </c>
      <c r="AG123" s="29">
        <f>IF(COUNT(B123:Z123)&gt;1,_xlfn.STDEV.S(B123:Z123),IF(ISNUMBER(AC123),AC123,""))</f>
        <v/>
      </c>
      <c r="AH123" s="13">
        <f>IF(AND(ISNUMBER(AE123),ISNUMBER($B$23),ISNUMBER($D$23)),IF(AE123&gt;$D$23,"boven UCL",IF(AE123&lt;$B$23,"onder LCL","")),"")</f>
        <v/>
      </c>
      <c r="AI123" s="13">
        <f>IF(AND(ISNUMBER(AF123),ISNUMBER($B$24),ISNUMBER($D$24)),IF(AF123&gt;$D$24,"boven UCL",IF(AF123&lt;$B$24,"onder LCL","")),"")</f>
        <v/>
      </c>
      <c r="AJ123" s="13">
        <f>IF(AND(ISNUMBER(AE123),ISNUMBER($B$25),ISNUMBER($D$25)),IF(AE123&gt;$D$25,"boven UCL",IF(AE123&lt;$B$25,"onder LCL","")),"")</f>
        <v/>
      </c>
      <c r="AK123" s="13">
        <f>IF(AND(ISNUMBER(AG123),ISNUMBER($B$26),ISNUMBER($D$26)),IF(AG123&gt;$D$26,"boven UCL",IF(AG123&lt;$B$26,"onder LCL","")),"")</f>
        <v/>
      </c>
      <c r="AL123" s="13">
        <f>IF(AND(COUNT(B123:Z123)&gt;0,COUNT(AA123:AC123)&gt;0),"ruwe waarden én getypt: getypte genegeerd",IF(COUNTA(B123:Z123,AA123:AC123)&gt;COUNT(B123:Z123,AA123:AC123),"tekst telt niet mee",IF(COUNT(B123:Z123)=1,"1 waarde: geen R of s","")))</f>
        <v/>
      </c>
    </row>
    <row r="124">
      <c r="A124" t="n">
        <v>73</v>
      </c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28">
        <f>IF(COUNT(B124:Z124)&gt;0,COUNT(B124:Z124),IF(OR(ISNUMBER(AA124),ISNUMBER(AB124)),$B$9,""))</f>
        <v/>
      </c>
      <c r="AE124" s="29">
        <f>IF(COUNT(B124:Z124)&gt;0,AVERAGE(B124:Z124),IF(ISNUMBER(AA124),AA124,""))</f>
        <v/>
      </c>
      <c r="AF124" s="29">
        <f>IF(COUNT(B124:Z124)&gt;1,MAX(B124:Z124)-MIN(B124:Z124),IF(ISNUMBER(AB124),AB124,""))</f>
        <v/>
      </c>
      <c r="AG124" s="29">
        <f>IF(COUNT(B124:Z124)&gt;1,_xlfn.STDEV.S(B124:Z124),IF(ISNUMBER(AC124),AC124,""))</f>
        <v/>
      </c>
      <c r="AH124" s="13">
        <f>IF(AND(ISNUMBER(AE124),ISNUMBER($B$23),ISNUMBER($D$23)),IF(AE124&gt;$D$23,"boven UCL",IF(AE124&lt;$B$23,"onder LCL","")),"")</f>
        <v/>
      </c>
      <c r="AI124" s="13">
        <f>IF(AND(ISNUMBER(AF124),ISNUMBER($B$24),ISNUMBER($D$24)),IF(AF124&gt;$D$24,"boven UCL",IF(AF124&lt;$B$24,"onder LCL","")),"")</f>
        <v/>
      </c>
      <c r="AJ124" s="13">
        <f>IF(AND(ISNUMBER(AE124),ISNUMBER($B$25),ISNUMBER($D$25)),IF(AE124&gt;$D$25,"boven UCL",IF(AE124&lt;$B$25,"onder LCL","")),"")</f>
        <v/>
      </c>
      <c r="AK124" s="13">
        <f>IF(AND(ISNUMBER(AG124),ISNUMBER($B$26),ISNUMBER($D$26)),IF(AG124&gt;$D$26,"boven UCL",IF(AG124&lt;$B$26,"onder LCL","")),"")</f>
        <v/>
      </c>
      <c r="AL124" s="13">
        <f>IF(AND(COUNT(B124:Z124)&gt;0,COUNT(AA124:AC124)&gt;0),"ruwe waarden én getypt: getypte genegeerd",IF(COUNTA(B124:Z124,AA124:AC124)&gt;COUNT(B124:Z124,AA124:AC124),"tekst telt niet mee",IF(COUNT(B124:Z124)=1,"1 waarde: geen R of s","")))</f>
        <v/>
      </c>
    </row>
    <row r="125">
      <c r="A125" t="n">
        <v>74</v>
      </c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28">
        <f>IF(COUNT(B125:Z125)&gt;0,COUNT(B125:Z125),IF(OR(ISNUMBER(AA125),ISNUMBER(AB125)),$B$9,""))</f>
        <v/>
      </c>
      <c r="AE125" s="29">
        <f>IF(COUNT(B125:Z125)&gt;0,AVERAGE(B125:Z125),IF(ISNUMBER(AA125),AA125,""))</f>
        <v/>
      </c>
      <c r="AF125" s="29">
        <f>IF(COUNT(B125:Z125)&gt;1,MAX(B125:Z125)-MIN(B125:Z125),IF(ISNUMBER(AB125),AB125,""))</f>
        <v/>
      </c>
      <c r="AG125" s="29">
        <f>IF(COUNT(B125:Z125)&gt;1,_xlfn.STDEV.S(B125:Z125),IF(ISNUMBER(AC125),AC125,""))</f>
        <v/>
      </c>
      <c r="AH125" s="13">
        <f>IF(AND(ISNUMBER(AE125),ISNUMBER($B$23),ISNUMBER($D$23)),IF(AE125&gt;$D$23,"boven UCL",IF(AE125&lt;$B$23,"onder LCL","")),"")</f>
        <v/>
      </c>
      <c r="AI125" s="13">
        <f>IF(AND(ISNUMBER(AF125),ISNUMBER($B$24),ISNUMBER($D$24)),IF(AF125&gt;$D$24,"boven UCL",IF(AF125&lt;$B$24,"onder LCL","")),"")</f>
        <v/>
      </c>
      <c r="AJ125" s="13">
        <f>IF(AND(ISNUMBER(AE125),ISNUMBER($B$25),ISNUMBER($D$25)),IF(AE125&gt;$D$25,"boven UCL",IF(AE125&lt;$B$25,"onder LCL","")),"")</f>
        <v/>
      </c>
      <c r="AK125" s="13">
        <f>IF(AND(ISNUMBER(AG125),ISNUMBER($B$26),ISNUMBER($D$26)),IF(AG125&gt;$D$26,"boven UCL",IF(AG125&lt;$B$26,"onder LCL","")),"")</f>
        <v/>
      </c>
      <c r="AL125" s="13">
        <f>IF(AND(COUNT(B125:Z125)&gt;0,COUNT(AA125:AC125)&gt;0),"ruwe waarden én getypt: getypte genegeerd",IF(COUNTA(B125:Z125,AA125:AC125)&gt;COUNT(B125:Z125,AA125:AC125),"tekst telt niet mee",IF(COUNT(B125:Z125)=1,"1 waarde: geen R of s","")))</f>
        <v/>
      </c>
    </row>
    <row r="126">
      <c r="A126" t="n">
        <v>75</v>
      </c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28">
        <f>IF(COUNT(B126:Z126)&gt;0,COUNT(B126:Z126),IF(OR(ISNUMBER(AA126),ISNUMBER(AB126)),$B$9,""))</f>
        <v/>
      </c>
      <c r="AE126" s="29">
        <f>IF(COUNT(B126:Z126)&gt;0,AVERAGE(B126:Z126),IF(ISNUMBER(AA126),AA126,""))</f>
        <v/>
      </c>
      <c r="AF126" s="29">
        <f>IF(COUNT(B126:Z126)&gt;1,MAX(B126:Z126)-MIN(B126:Z126),IF(ISNUMBER(AB126),AB126,""))</f>
        <v/>
      </c>
      <c r="AG126" s="29">
        <f>IF(COUNT(B126:Z126)&gt;1,_xlfn.STDEV.S(B126:Z126),IF(ISNUMBER(AC126),AC126,""))</f>
        <v/>
      </c>
      <c r="AH126" s="13">
        <f>IF(AND(ISNUMBER(AE126),ISNUMBER($B$23),ISNUMBER($D$23)),IF(AE126&gt;$D$23,"boven UCL",IF(AE126&lt;$B$23,"onder LCL","")),"")</f>
        <v/>
      </c>
      <c r="AI126" s="13">
        <f>IF(AND(ISNUMBER(AF126),ISNUMBER($B$24),ISNUMBER($D$24)),IF(AF126&gt;$D$24,"boven UCL",IF(AF126&lt;$B$24,"onder LCL","")),"")</f>
        <v/>
      </c>
      <c r="AJ126" s="13">
        <f>IF(AND(ISNUMBER(AE126),ISNUMBER($B$25),ISNUMBER($D$25)),IF(AE126&gt;$D$25,"boven UCL",IF(AE126&lt;$B$25,"onder LCL","")),"")</f>
        <v/>
      </c>
      <c r="AK126" s="13">
        <f>IF(AND(ISNUMBER(AG126),ISNUMBER($B$26),ISNUMBER($D$26)),IF(AG126&gt;$D$26,"boven UCL",IF(AG126&lt;$B$26,"onder LCL","")),"")</f>
        <v/>
      </c>
      <c r="AL126" s="13">
        <f>IF(AND(COUNT(B126:Z126)&gt;0,COUNT(AA126:AC126)&gt;0),"ruwe waarden én getypt: getypte genegeerd",IF(COUNTA(B126:Z126,AA126:AC126)&gt;COUNT(B126:Z126,AA126:AC126),"tekst telt niet mee",IF(COUNT(B126:Z126)=1,"1 waarde: geen R of s","")))</f>
        <v/>
      </c>
    </row>
    <row r="127">
      <c r="A127" t="n">
        <v>76</v>
      </c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28">
        <f>IF(COUNT(B127:Z127)&gt;0,COUNT(B127:Z127),IF(OR(ISNUMBER(AA127),ISNUMBER(AB127)),$B$9,""))</f>
        <v/>
      </c>
      <c r="AE127" s="29">
        <f>IF(COUNT(B127:Z127)&gt;0,AVERAGE(B127:Z127),IF(ISNUMBER(AA127),AA127,""))</f>
        <v/>
      </c>
      <c r="AF127" s="29">
        <f>IF(COUNT(B127:Z127)&gt;1,MAX(B127:Z127)-MIN(B127:Z127),IF(ISNUMBER(AB127),AB127,""))</f>
        <v/>
      </c>
      <c r="AG127" s="29">
        <f>IF(COUNT(B127:Z127)&gt;1,_xlfn.STDEV.S(B127:Z127),IF(ISNUMBER(AC127),AC127,""))</f>
        <v/>
      </c>
      <c r="AH127" s="13">
        <f>IF(AND(ISNUMBER(AE127),ISNUMBER($B$23),ISNUMBER($D$23)),IF(AE127&gt;$D$23,"boven UCL",IF(AE127&lt;$B$23,"onder LCL","")),"")</f>
        <v/>
      </c>
      <c r="AI127" s="13">
        <f>IF(AND(ISNUMBER(AF127),ISNUMBER($B$24),ISNUMBER($D$24)),IF(AF127&gt;$D$24,"boven UCL",IF(AF127&lt;$B$24,"onder LCL","")),"")</f>
        <v/>
      </c>
      <c r="AJ127" s="13">
        <f>IF(AND(ISNUMBER(AE127),ISNUMBER($B$25),ISNUMBER($D$25)),IF(AE127&gt;$D$25,"boven UCL",IF(AE127&lt;$B$25,"onder LCL","")),"")</f>
        <v/>
      </c>
      <c r="AK127" s="13">
        <f>IF(AND(ISNUMBER(AG127),ISNUMBER($B$26),ISNUMBER($D$26)),IF(AG127&gt;$D$26,"boven UCL",IF(AG127&lt;$B$26,"onder LCL","")),"")</f>
        <v/>
      </c>
      <c r="AL127" s="13">
        <f>IF(AND(COUNT(B127:Z127)&gt;0,COUNT(AA127:AC127)&gt;0),"ruwe waarden én getypt: getypte genegeerd",IF(COUNTA(B127:Z127,AA127:AC127)&gt;COUNT(B127:Z127,AA127:AC127),"tekst telt niet mee",IF(COUNT(B127:Z127)=1,"1 waarde: geen R of s","")))</f>
        <v/>
      </c>
    </row>
    <row r="128">
      <c r="A128" t="n">
        <v>77</v>
      </c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28">
        <f>IF(COUNT(B128:Z128)&gt;0,COUNT(B128:Z128),IF(OR(ISNUMBER(AA128),ISNUMBER(AB128)),$B$9,""))</f>
        <v/>
      </c>
      <c r="AE128" s="29">
        <f>IF(COUNT(B128:Z128)&gt;0,AVERAGE(B128:Z128),IF(ISNUMBER(AA128),AA128,""))</f>
        <v/>
      </c>
      <c r="AF128" s="29">
        <f>IF(COUNT(B128:Z128)&gt;1,MAX(B128:Z128)-MIN(B128:Z128),IF(ISNUMBER(AB128),AB128,""))</f>
        <v/>
      </c>
      <c r="AG128" s="29">
        <f>IF(COUNT(B128:Z128)&gt;1,_xlfn.STDEV.S(B128:Z128),IF(ISNUMBER(AC128),AC128,""))</f>
        <v/>
      </c>
      <c r="AH128" s="13">
        <f>IF(AND(ISNUMBER(AE128),ISNUMBER($B$23),ISNUMBER($D$23)),IF(AE128&gt;$D$23,"boven UCL",IF(AE128&lt;$B$23,"onder LCL","")),"")</f>
        <v/>
      </c>
      <c r="AI128" s="13">
        <f>IF(AND(ISNUMBER(AF128),ISNUMBER($B$24),ISNUMBER($D$24)),IF(AF128&gt;$D$24,"boven UCL",IF(AF128&lt;$B$24,"onder LCL","")),"")</f>
        <v/>
      </c>
      <c r="AJ128" s="13">
        <f>IF(AND(ISNUMBER(AE128),ISNUMBER($B$25),ISNUMBER($D$25)),IF(AE128&gt;$D$25,"boven UCL",IF(AE128&lt;$B$25,"onder LCL","")),"")</f>
        <v/>
      </c>
      <c r="AK128" s="13">
        <f>IF(AND(ISNUMBER(AG128),ISNUMBER($B$26),ISNUMBER($D$26)),IF(AG128&gt;$D$26,"boven UCL",IF(AG128&lt;$B$26,"onder LCL","")),"")</f>
        <v/>
      </c>
      <c r="AL128" s="13">
        <f>IF(AND(COUNT(B128:Z128)&gt;0,COUNT(AA128:AC128)&gt;0),"ruwe waarden én getypt: getypte genegeerd",IF(COUNTA(B128:Z128,AA128:AC128)&gt;COUNT(B128:Z128,AA128:AC128),"tekst telt niet mee",IF(COUNT(B128:Z128)=1,"1 waarde: geen R of s","")))</f>
        <v/>
      </c>
    </row>
    <row r="129">
      <c r="A129" t="n">
        <v>78</v>
      </c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28">
        <f>IF(COUNT(B129:Z129)&gt;0,COUNT(B129:Z129),IF(OR(ISNUMBER(AA129),ISNUMBER(AB129)),$B$9,""))</f>
        <v/>
      </c>
      <c r="AE129" s="29">
        <f>IF(COUNT(B129:Z129)&gt;0,AVERAGE(B129:Z129),IF(ISNUMBER(AA129),AA129,""))</f>
        <v/>
      </c>
      <c r="AF129" s="29">
        <f>IF(COUNT(B129:Z129)&gt;1,MAX(B129:Z129)-MIN(B129:Z129),IF(ISNUMBER(AB129),AB129,""))</f>
        <v/>
      </c>
      <c r="AG129" s="29">
        <f>IF(COUNT(B129:Z129)&gt;1,_xlfn.STDEV.S(B129:Z129),IF(ISNUMBER(AC129),AC129,""))</f>
        <v/>
      </c>
      <c r="AH129" s="13">
        <f>IF(AND(ISNUMBER(AE129),ISNUMBER($B$23),ISNUMBER($D$23)),IF(AE129&gt;$D$23,"boven UCL",IF(AE129&lt;$B$23,"onder LCL","")),"")</f>
        <v/>
      </c>
      <c r="AI129" s="13">
        <f>IF(AND(ISNUMBER(AF129),ISNUMBER($B$24),ISNUMBER($D$24)),IF(AF129&gt;$D$24,"boven UCL",IF(AF129&lt;$B$24,"onder LCL","")),"")</f>
        <v/>
      </c>
      <c r="AJ129" s="13">
        <f>IF(AND(ISNUMBER(AE129),ISNUMBER($B$25),ISNUMBER($D$25)),IF(AE129&gt;$D$25,"boven UCL",IF(AE129&lt;$B$25,"onder LCL","")),"")</f>
        <v/>
      </c>
      <c r="AK129" s="13">
        <f>IF(AND(ISNUMBER(AG129),ISNUMBER($B$26),ISNUMBER($D$26)),IF(AG129&gt;$D$26,"boven UCL",IF(AG129&lt;$B$26,"onder LCL","")),"")</f>
        <v/>
      </c>
      <c r="AL129" s="13">
        <f>IF(AND(COUNT(B129:Z129)&gt;0,COUNT(AA129:AC129)&gt;0),"ruwe waarden én getypt: getypte genegeerd",IF(COUNTA(B129:Z129,AA129:AC129)&gt;COUNT(B129:Z129,AA129:AC129),"tekst telt niet mee",IF(COUNT(B129:Z129)=1,"1 waarde: geen R of s","")))</f>
        <v/>
      </c>
    </row>
    <row r="130">
      <c r="A130" t="n">
        <v>79</v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28">
        <f>IF(COUNT(B130:Z130)&gt;0,COUNT(B130:Z130),IF(OR(ISNUMBER(AA130),ISNUMBER(AB130)),$B$9,""))</f>
        <v/>
      </c>
      <c r="AE130" s="29">
        <f>IF(COUNT(B130:Z130)&gt;0,AVERAGE(B130:Z130),IF(ISNUMBER(AA130),AA130,""))</f>
        <v/>
      </c>
      <c r="AF130" s="29">
        <f>IF(COUNT(B130:Z130)&gt;1,MAX(B130:Z130)-MIN(B130:Z130),IF(ISNUMBER(AB130),AB130,""))</f>
        <v/>
      </c>
      <c r="AG130" s="29">
        <f>IF(COUNT(B130:Z130)&gt;1,_xlfn.STDEV.S(B130:Z130),IF(ISNUMBER(AC130),AC130,""))</f>
        <v/>
      </c>
      <c r="AH130" s="13">
        <f>IF(AND(ISNUMBER(AE130),ISNUMBER($B$23),ISNUMBER($D$23)),IF(AE130&gt;$D$23,"boven UCL",IF(AE130&lt;$B$23,"onder LCL","")),"")</f>
        <v/>
      </c>
      <c r="AI130" s="13">
        <f>IF(AND(ISNUMBER(AF130),ISNUMBER($B$24),ISNUMBER($D$24)),IF(AF130&gt;$D$24,"boven UCL",IF(AF130&lt;$B$24,"onder LCL","")),"")</f>
        <v/>
      </c>
      <c r="AJ130" s="13">
        <f>IF(AND(ISNUMBER(AE130),ISNUMBER($B$25),ISNUMBER($D$25)),IF(AE130&gt;$D$25,"boven UCL",IF(AE130&lt;$B$25,"onder LCL","")),"")</f>
        <v/>
      </c>
      <c r="AK130" s="13">
        <f>IF(AND(ISNUMBER(AG130),ISNUMBER($B$26),ISNUMBER($D$26)),IF(AG130&gt;$D$26,"boven UCL",IF(AG130&lt;$B$26,"onder LCL","")),"")</f>
        <v/>
      </c>
      <c r="AL130" s="13">
        <f>IF(AND(COUNT(B130:Z130)&gt;0,COUNT(AA130:AC130)&gt;0),"ruwe waarden én getypt: getypte genegeerd",IF(COUNTA(B130:Z130,AA130:AC130)&gt;COUNT(B130:Z130,AA130:AC130),"tekst telt niet mee",IF(COUNT(B130:Z130)=1,"1 waarde: geen R of s","")))</f>
        <v/>
      </c>
    </row>
    <row r="131">
      <c r="A131" t="n">
        <v>80</v>
      </c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28">
        <f>IF(COUNT(B131:Z131)&gt;0,COUNT(B131:Z131),IF(OR(ISNUMBER(AA131),ISNUMBER(AB131)),$B$9,""))</f>
        <v/>
      </c>
      <c r="AE131" s="29">
        <f>IF(COUNT(B131:Z131)&gt;0,AVERAGE(B131:Z131),IF(ISNUMBER(AA131),AA131,""))</f>
        <v/>
      </c>
      <c r="AF131" s="29">
        <f>IF(COUNT(B131:Z131)&gt;1,MAX(B131:Z131)-MIN(B131:Z131),IF(ISNUMBER(AB131),AB131,""))</f>
        <v/>
      </c>
      <c r="AG131" s="29">
        <f>IF(COUNT(B131:Z131)&gt;1,_xlfn.STDEV.S(B131:Z131),IF(ISNUMBER(AC131),AC131,""))</f>
        <v/>
      </c>
      <c r="AH131" s="13">
        <f>IF(AND(ISNUMBER(AE131),ISNUMBER($B$23),ISNUMBER($D$23)),IF(AE131&gt;$D$23,"boven UCL",IF(AE131&lt;$B$23,"onder LCL","")),"")</f>
        <v/>
      </c>
      <c r="AI131" s="13">
        <f>IF(AND(ISNUMBER(AF131),ISNUMBER($B$24),ISNUMBER($D$24)),IF(AF131&gt;$D$24,"boven UCL",IF(AF131&lt;$B$24,"onder LCL","")),"")</f>
        <v/>
      </c>
      <c r="AJ131" s="13">
        <f>IF(AND(ISNUMBER(AE131),ISNUMBER($B$25),ISNUMBER($D$25)),IF(AE131&gt;$D$25,"boven UCL",IF(AE131&lt;$B$25,"onder LCL","")),"")</f>
        <v/>
      </c>
      <c r="AK131" s="13">
        <f>IF(AND(ISNUMBER(AG131),ISNUMBER($B$26),ISNUMBER($D$26)),IF(AG131&gt;$D$26,"boven UCL",IF(AG131&lt;$B$26,"onder LCL","")),"")</f>
        <v/>
      </c>
      <c r="AL131" s="13">
        <f>IF(AND(COUNT(B131:Z131)&gt;0,COUNT(AA131:AC131)&gt;0),"ruwe waarden én getypt: getypte genegeerd",IF(COUNTA(B131:Z131,AA131:AC131)&gt;COUNT(B131:Z131,AA131:AC131),"tekst telt niet mee",IF(COUNT(B131:Z131)=1,"1 waarde: geen R of s","")))</f>
        <v/>
      </c>
    </row>
    <row r="132">
      <c r="A132" t="n">
        <v>81</v>
      </c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28">
        <f>IF(COUNT(B132:Z132)&gt;0,COUNT(B132:Z132),IF(OR(ISNUMBER(AA132),ISNUMBER(AB132)),$B$9,""))</f>
        <v/>
      </c>
      <c r="AE132" s="29">
        <f>IF(COUNT(B132:Z132)&gt;0,AVERAGE(B132:Z132),IF(ISNUMBER(AA132),AA132,""))</f>
        <v/>
      </c>
      <c r="AF132" s="29">
        <f>IF(COUNT(B132:Z132)&gt;1,MAX(B132:Z132)-MIN(B132:Z132),IF(ISNUMBER(AB132),AB132,""))</f>
        <v/>
      </c>
      <c r="AG132" s="29">
        <f>IF(COUNT(B132:Z132)&gt;1,_xlfn.STDEV.S(B132:Z132),IF(ISNUMBER(AC132),AC132,""))</f>
        <v/>
      </c>
      <c r="AH132" s="13">
        <f>IF(AND(ISNUMBER(AE132),ISNUMBER($B$23),ISNUMBER($D$23)),IF(AE132&gt;$D$23,"boven UCL",IF(AE132&lt;$B$23,"onder LCL","")),"")</f>
        <v/>
      </c>
      <c r="AI132" s="13">
        <f>IF(AND(ISNUMBER(AF132),ISNUMBER($B$24),ISNUMBER($D$24)),IF(AF132&gt;$D$24,"boven UCL",IF(AF132&lt;$B$24,"onder LCL","")),"")</f>
        <v/>
      </c>
      <c r="AJ132" s="13">
        <f>IF(AND(ISNUMBER(AE132),ISNUMBER($B$25),ISNUMBER($D$25)),IF(AE132&gt;$D$25,"boven UCL",IF(AE132&lt;$B$25,"onder LCL","")),"")</f>
        <v/>
      </c>
      <c r="AK132" s="13">
        <f>IF(AND(ISNUMBER(AG132),ISNUMBER($B$26),ISNUMBER($D$26)),IF(AG132&gt;$D$26,"boven UCL",IF(AG132&lt;$B$26,"onder LCL","")),"")</f>
        <v/>
      </c>
      <c r="AL132" s="13">
        <f>IF(AND(COUNT(B132:Z132)&gt;0,COUNT(AA132:AC132)&gt;0),"ruwe waarden én getypt: getypte genegeerd",IF(COUNTA(B132:Z132,AA132:AC132)&gt;COUNT(B132:Z132,AA132:AC132),"tekst telt niet mee",IF(COUNT(B132:Z132)=1,"1 waarde: geen R of s","")))</f>
        <v/>
      </c>
    </row>
    <row r="133">
      <c r="A133" t="n">
        <v>82</v>
      </c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28">
        <f>IF(COUNT(B133:Z133)&gt;0,COUNT(B133:Z133),IF(OR(ISNUMBER(AA133),ISNUMBER(AB133)),$B$9,""))</f>
        <v/>
      </c>
      <c r="AE133" s="29">
        <f>IF(COUNT(B133:Z133)&gt;0,AVERAGE(B133:Z133),IF(ISNUMBER(AA133),AA133,""))</f>
        <v/>
      </c>
      <c r="AF133" s="29">
        <f>IF(COUNT(B133:Z133)&gt;1,MAX(B133:Z133)-MIN(B133:Z133),IF(ISNUMBER(AB133),AB133,""))</f>
        <v/>
      </c>
      <c r="AG133" s="29">
        <f>IF(COUNT(B133:Z133)&gt;1,_xlfn.STDEV.S(B133:Z133),IF(ISNUMBER(AC133),AC133,""))</f>
        <v/>
      </c>
      <c r="AH133" s="13">
        <f>IF(AND(ISNUMBER(AE133),ISNUMBER($B$23),ISNUMBER($D$23)),IF(AE133&gt;$D$23,"boven UCL",IF(AE133&lt;$B$23,"onder LCL","")),"")</f>
        <v/>
      </c>
      <c r="AI133" s="13">
        <f>IF(AND(ISNUMBER(AF133),ISNUMBER($B$24),ISNUMBER($D$24)),IF(AF133&gt;$D$24,"boven UCL",IF(AF133&lt;$B$24,"onder LCL","")),"")</f>
        <v/>
      </c>
      <c r="AJ133" s="13">
        <f>IF(AND(ISNUMBER(AE133),ISNUMBER($B$25),ISNUMBER($D$25)),IF(AE133&gt;$D$25,"boven UCL",IF(AE133&lt;$B$25,"onder LCL","")),"")</f>
        <v/>
      </c>
      <c r="AK133" s="13">
        <f>IF(AND(ISNUMBER(AG133),ISNUMBER($B$26),ISNUMBER($D$26)),IF(AG133&gt;$D$26,"boven UCL",IF(AG133&lt;$B$26,"onder LCL","")),"")</f>
        <v/>
      </c>
      <c r="AL133" s="13">
        <f>IF(AND(COUNT(B133:Z133)&gt;0,COUNT(AA133:AC133)&gt;0),"ruwe waarden én getypt: getypte genegeerd",IF(COUNTA(B133:Z133,AA133:AC133)&gt;COUNT(B133:Z133,AA133:AC133),"tekst telt niet mee",IF(COUNT(B133:Z133)=1,"1 waarde: geen R of s","")))</f>
        <v/>
      </c>
    </row>
    <row r="134">
      <c r="A134" t="n">
        <v>83</v>
      </c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28">
        <f>IF(COUNT(B134:Z134)&gt;0,COUNT(B134:Z134),IF(OR(ISNUMBER(AA134),ISNUMBER(AB134)),$B$9,""))</f>
        <v/>
      </c>
      <c r="AE134" s="29">
        <f>IF(COUNT(B134:Z134)&gt;0,AVERAGE(B134:Z134),IF(ISNUMBER(AA134),AA134,""))</f>
        <v/>
      </c>
      <c r="AF134" s="29">
        <f>IF(COUNT(B134:Z134)&gt;1,MAX(B134:Z134)-MIN(B134:Z134),IF(ISNUMBER(AB134),AB134,""))</f>
        <v/>
      </c>
      <c r="AG134" s="29">
        <f>IF(COUNT(B134:Z134)&gt;1,_xlfn.STDEV.S(B134:Z134),IF(ISNUMBER(AC134),AC134,""))</f>
        <v/>
      </c>
      <c r="AH134" s="13">
        <f>IF(AND(ISNUMBER(AE134),ISNUMBER($B$23),ISNUMBER($D$23)),IF(AE134&gt;$D$23,"boven UCL",IF(AE134&lt;$B$23,"onder LCL","")),"")</f>
        <v/>
      </c>
      <c r="AI134" s="13">
        <f>IF(AND(ISNUMBER(AF134),ISNUMBER($B$24),ISNUMBER($D$24)),IF(AF134&gt;$D$24,"boven UCL",IF(AF134&lt;$B$24,"onder LCL","")),"")</f>
        <v/>
      </c>
      <c r="AJ134" s="13">
        <f>IF(AND(ISNUMBER(AE134),ISNUMBER($B$25),ISNUMBER($D$25)),IF(AE134&gt;$D$25,"boven UCL",IF(AE134&lt;$B$25,"onder LCL","")),"")</f>
        <v/>
      </c>
      <c r="AK134" s="13">
        <f>IF(AND(ISNUMBER(AG134),ISNUMBER($B$26),ISNUMBER($D$26)),IF(AG134&gt;$D$26,"boven UCL",IF(AG134&lt;$B$26,"onder LCL","")),"")</f>
        <v/>
      </c>
      <c r="AL134" s="13">
        <f>IF(AND(COUNT(B134:Z134)&gt;0,COUNT(AA134:AC134)&gt;0),"ruwe waarden én getypt: getypte genegeerd",IF(COUNTA(B134:Z134,AA134:AC134)&gt;COUNT(B134:Z134,AA134:AC134),"tekst telt niet mee",IF(COUNT(B134:Z134)=1,"1 waarde: geen R of s","")))</f>
        <v/>
      </c>
    </row>
    <row r="135">
      <c r="A135" t="n">
        <v>84</v>
      </c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28">
        <f>IF(COUNT(B135:Z135)&gt;0,COUNT(B135:Z135),IF(OR(ISNUMBER(AA135),ISNUMBER(AB135)),$B$9,""))</f>
        <v/>
      </c>
      <c r="AE135" s="29">
        <f>IF(COUNT(B135:Z135)&gt;0,AVERAGE(B135:Z135),IF(ISNUMBER(AA135),AA135,""))</f>
        <v/>
      </c>
      <c r="AF135" s="29">
        <f>IF(COUNT(B135:Z135)&gt;1,MAX(B135:Z135)-MIN(B135:Z135),IF(ISNUMBER(AB135),AB135,""))</f>
        <v/>
      </c>
      <c r="AG135" s="29">
        <f>IF(COUNT(B135:Z135)&gt;1,_xlfn.STDEV.S(B135:Z135),IF(ISNUMBER(AC135),AC135,""))</f>
        <v/>
      </c>
      <c r="AH135" s="13">
        <f>IF(AND(ISNUMBER(AE135),ISNUMBER($B$23),ISNUMBER($D$23)),IF(AE135&gt;$D$23,"boven UCL",IF(AE135&lt;$B$23,"onder LCL","")),"")</f>
        <v/>
      </c>
      <c r="AI135" s="13">
        <f>IF(AND(ISNUMBER(AF135),ISNUMBER($B$24),ISNUMBER($D$24)),IF(AF135&gt;$D$24,"boven UCL",IF(AF135&lt;$B$24,"onder LCL","")),"")</f>
        <v/>
      </c>
      <c r="AJ135" s="13">
        <f>IF(AND(ISNUMBER(AE135),ISNUMBER($B$25),ISNUMBER($D$25)),IF(AE135&gt;$D$25,"boven UCL",IF(AE135&lt;$B$25,"onder LCL","")),"")</f>
        <v/>
      </c>
      <c r="AK135" s="13">
        <f>IF(AND(ISNUMBER(AG135),ISNUMBER($B$26),ISNUMBER($D$26)),IF(AG135&gt;$D$26,"boven UCL",IF(AG135&lt;$B$26,"onder LCL","")),"")</f>
        <v/>
      </c>
      <c r="AL135" s="13">
        <f>IF(AND(COUNT(B135:Z135)&gt;0,COUNT(AA135:AC135)&gt;0),"ruwe waarden én getypt: getypte genegeerd",IF(COUNTA(B135:Z135,AA135:AC135)&gt;COUNT(B135:Z135,AA135:AC135),"tekst telt niet mee",IF(COUNT(B135:Z135)=1,"1 waarde: geen R of s","")))</f>
        <v/>
      </c>
    </row>
    <row r="136">
      <c r="A136" t="n">
        <v>85</v>
      </c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28">
        <f>IF(COUNT(B136:Z136)&gt;0,COUNT(B136:Z136),IF(OR(ISNUMBER(AA136),ISNUMBER(AB136)),$B$9,""))</f>
        <v/>
      </c>
      <c r="AE136" s="29">
        <f>IF(COUNT(B136:Z136)&gt;0,AVERAGE(B136:Z136),IF(ISNUMBER(AA136),AA136,""))</f>
        <v/>
      </c>
      <c r="AF136" s="29">
        <f>IF(COUNT(B136:Z136)&gt;1,MAX(B136:Z136)-MIN(B136:Z136),IF(ISNUMBER(AB136),AB136,""))</f>
        <v/>
      </c>
      <c r="AG136" s="29">
        <f>IF(COUNT(B136:Z136)&gt;1,_xlfn.STDEV.S(B136:Z136),IF(ISNUMBER(AC136),AC136,""))</f>
        <v/>
      </c>
      <c r="AH136" s="13">
        <f>IF(AND(ISNUMBER(AE136),ISNUMBER($B$23),ISNUMBER($D$23)),IF(AE136&gt;$D$23,"boven UCL",IF(AE136&lt;$B$23,"onder LCL","")),"")</f>
        <v/>
      </c>
      <c r="AI136" s="13">
        <f>IF(AND(ISNUMBER(AF136),ISNUMBER($B$24),ISNUMBER($D$24)),IF(AF136&gt;$D$24,"boven UCL",IF(AF136&lt;$B$24,"onder LCL","")),"")</f>
        <v/>
      </c>
      <c r="AJ136" s="13">
        <f>IF(AND(ISNUMBER(AE136),ISNUMBER($B$25),ISNUMBER($D$25)),IF(AE136&gt;$D$25,"boven UCL",IF(AE136&lt;$B$25,"onder LCL","")),"")</f>
        <v/>
      </c>
      <c r="AK136" s="13">
        <f>IF(AND(ISNUMBER(AG136),ISNUMBER($B$26),ISNUMBER($D$26)),IF(AG136&gt;$D$26,"boven UCL",IF(AG136&lt;$B$26,"onder LCL","")),"")</f>
        <v/>
      </c>
      <c r="AL136" s="13">
        <f>IF(AND(COUNT(B136:Z136)&gt;0,COUNT(AA136:AC136)&gt;0),"ruwe waarden én getypt: getypte genegeerd",IF(COUNTA(B136:Z136,AA136:AC136)&gt;COUNT(B136:Z136,AA136:AC136),"tekst telt niet mee",IF(COUNT(B136:Z136)=1,"1 waarde: geen R of s","")))</f>
        <v/>
      </c>
    </row>
    <row r="137">
      <c r="A137" t="n">
        <v>86</v>
      </c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28">
        <f>IF(COUNT(B137:Z137)&gt;0,COUNT(B137:Z137),IF(OR(ISNUMBER(AA137),ISNUMBER(AB137)),$B$9,""))</f>
        <v/>
      </c>
      <c r="AE137" s="29">
        <f>IF(COUNT(B137:Z137)&gt;0,AVERAGE(B137:Z137),IF(ISNUMBER(AA137),AA137,""))</f>
        <v/>
      </c>
      <c r="AF137" s="29">
        <f>IF(COUNT(B137:Z137)&gt;1,MAX(B137:Z137)-MIN(B137:Z137),IF(ISNUMBER(AB137),AB137,""))</f>
        <v/>
      </c>
      <c r="AG137" s="29">
        <f>IF(COUNT(B137:Z137)&gt;1,_xlfn.STDEV.S(B137:Z137),IF(ISNUMBER(AC137),AC137,""))</f>
        <v/>
      </c>
      <c r="AH137" s="13">
        <f>IF(AND(ISNUMBER(AE137),ISNUMBER($B$23),ISNUMBER($D$23)),IF(AE137&gt;$D$23,"boven UCL",IF(AE137&lt;$B$23,"onder LCL","")),"")</f>
        <v/>
      </c>
      <c r="AI137" s="13">
        <f>IF(AND(ISNUMBER(AF137),ISNUMBER($B$24),ISNUMBER($D$24)),IF(AF137&gt;$D$24,"boven UCL",IF(AF137&lt;$B$24,"onder LCL","")),"")</f>
        <v/>
      </c>
      <c r="AJ137" s="13">
        <f>IF(AND(ISNUMBER(AE137),ISNUMBER($B$25),ISNUMBER($D$25)),IF(AE137&gt;$D$25,"boven UCL",IF(AE137&lt;$B$25,"onder LCL","")),"")</f>
        <v/>
      </c>
      <c r="AK137" s="13">
        <f>IF(AND(ISNUMBER(AG137),ISNUMBER($B$26),ISNUMBER($D$26)),IF(AG137&gt;$D$26,"boven UCL",IF(AG137&lt;$B$26,"onder LCL","")),"")</f>
        <v/>
      </c>
      <c r="AL137" s="13">
        <f>IF(AND(COUNT(B137:Z137)&gt;0,COUNT(AA137:AC137)&gt;0),"ruwe waarden én getypt: getypte genegeerd",IF(COUNTA(B137:Z137,AA137:AC137)&gt;COUNT(B137:Z137,AA137:AC137),"tekst telt niet mee",IF(COUNT(B137:Z137)=1,"1 waarde: geen R of s","")))</f>
        <v/>
      </c>
    </row>
    <row r="138">
      <c r="A138" t="n">
        <v>87</v>
      </c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28">
        <f>IF(COUNT(B138:Z138)&gt;0,COUNT(B138:Z138),IF(OR(ISNUMBER(AA138),ISNUMBER(AB138)),$B$9,""))</f>
        <v/>
      </c>
      <c r="AE138" s="29">
        <f>IF(COUNT(B138:Z138)&gt;0,AVERAGE(B138:Z138),IF(ISNUMBER(AA138),AA138,""))</f>
        <v/>
      </c>
      <c r="AF138" s="29">
        <f>IF(COUNT(B138:Z138)&gt;1,MAX(B138:Z138)-MIN(B138:Z138),IF(ISNUMBER(AB138),AB138,""))</f>
        <v/>
      </c>
      <c r="AG138" s="29">
        <f>IF(COUNT(B138:Z138)&gt;1,_xlfn.STDEV.S(B138:Z138),IF(ISNUMBER(AC138),AC138,""))</f>
        <v/>
      </c>
      <c r="AH138" s="13">
        <f>IF(AND(ISNUMBER(AE138),ISNUMBER($B$23),ISNUMBER($D$23)),IF(AE138&gt;$D$23,"boven UCL",IF(AE138&lt;$B$23,"onder LCL","")),"")</f>
        <v/>
      </c>
      <c r="AI138" s="13">
        <f>IF(AND(ISNUMBER(AF138),ISNUMBER($B$24),ISNUMBER($D$24)),IF(AF138&gt;$D$24,"boven UCL",IF(AF138&lt;$B$24,"onder LCL","")),"")</f>
        <v/>
      </c>
      <c r="AJ138" s="13">
        <f>IF(AND(ISNUMBER(AE138),ISNUMBER($B$25),ISNUMBER($D$25)),IF(AE138&gt;$D$25,"boven UCL",IF(AE138&lt;$B$25,"onder LCL","")),"")</f>
        <v/>
      </c>
      <c r="AK138" s="13">
        <f>IF(AND(ISNUMBER(AG138),ISNUMBER($B$26),ISNUMBER($D$26)),IF(AG138&gt;$D$26,"boven UCL",IF(AG138&lt;$B$26,"onder LCL","")),"")</f>
        <v/>
      </c>
      <c r="AL138" s="13">
        <f>IF(AND(COUNT(B138:Z138)&gt;0,COUNT(AA138:AC138)&gt;0),"ruwe waarden én getypt: getypte genegeerd",IF(COUNTA(B138:Z138,AA138:AC138)&gt;COUNT(B138:Z138,AA138:AC138),"tekst telt niet mee",IF(COUNT(B138:Z138)=1,"1 waarde: geen R of s","")))</f>
        <v/>
      </c>
    </row>
    <row r="139">
      <c r="A139" t="n">
        <v>88</v>
      </c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28">
        <f>IF(COUNT(B139:Z139)&gt;0,COUNT(B139:Z139),IF(OR(ISNUMBER(AA139),ISNUMBER(AB139)),$B$9,""))</f>
        <v/>
      </c>
      <c r="AE139" s="29">
        <f>IF(COUNT(B139:Z139)&gt;0,AVERAGE(B139:Z139),IF(ISNUMBER(AA139),AA139,""))</f>
        <v/>
      </c>
      <c r="AF139" s="29">
        <f>IF(COUNT(B139:Z139)&gt;1,MAX(B139:Z139)-MIN(B139:Z139),IF(ISNUMBER(AB139),AB139,""))</f>
        <v/>
      </c>
      <c r="AG139" s="29">
        <f>IF(COUNT(B139:Z139)&gt;1,_xlfn.STDEV.S(B139:Z139),IF(ISNUMBER(AC139),AC139,""))</f>
        <v/>
      </c>
      <c r="AH139" s="13">
        <f>IF(AND(ISNUMBER(AE139),ISNUMBER($B$23),ISNUMBER($D$23)),IF(AE139&gt;$D$23,"boven UCL",IF(AE139&lt;$B$23,"onder LCL","")),"")</f>
        <v/>
      </c>
      <c r="AI139" s="13">
        <f>IF(AND(ISNUMBER(AF139),ISNUMBER($B$24),ISNUMBER($D$24)),IF(AF139&gt;$D$24,"boven UCL",IF(AF139&lt;$B$24,"onder LCL","")),"")</f>
        <v/>
      </c>
      <c r="AJ139" s="13">
        <f>IF(AND(ISNUMBER(AE139),ISNUMBER($B$25),ISNUMBER($D$25)),IF(AE139&gt;$D$25,"boven UCL",IF(AE139&lt;$B$25,"onder LCL","")),"")</f>
        <v/>
      </c>
      <c r="AK139" s="13">
        <f>IF(AND(ISNUMBER(AG139),ISNUMBER($B$26),ISNUMBER($D$26)),IF(AG139&gt;$D$26,"boven UCL",IF(AG139&lt;$B$26,"onder LCL","")),"")</f>
        <v/>
      </c>
      <c r="AL139" s="13">
        <f>IF(AND(COUNT(B139:Z139)&gt;0,COUNT(AA139:AC139)&gt;0),"ruwe waarden én getypt: getypte genegeerd",IF(COUNTA(B139:Z139,AA139:AC139)&gt;COUNT(B139:Z139,AA139:AC139),"tekst telt niet mee",IF(COUNT(B139:Z139)=1,"1 waarde: geen R of s","")))</f>
        <v/>
      </c>
    </row>
    <row r="140">
      <c r="A140" t="n">
        <v>89</v>
      </c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28">
        <f>IF(COUNT(B140:Z140)&gt;0,COUNT(B140:Z140),IF(OR(ISNUMBER(AA140),ISNUMBER(AB140)),$B$9,""))</f>
        <v/>
      </c>
      <c r="AE140" s="29">
        <f>IF(COUNT(B140:Z140)&gt;0,AVERAGE(B140:Z140),IF(ISNUMBER(AA140),AA140,""))</f>
        <v/>
      </c>
      <c r="AF140" s="29">
        <f>IF(COUNT(B140:Z140)&gt;1,MAX(B140:Z140)-MIN(B140:Z140),IF(ISNUMBER(AB140),AB140,""))</f>
        <v/>
      </c>
      <c r="AG140" s="29">
        <f>IF(COUNT(B140:Z140)&gt;1,_xlfn.STDEV.S(B140:Z140),IF(ISNUMBER(AC140),AC140,""))</f>
        <v/>
      </c>
      <c r="AH140" s="13">
        <f>IF(AND(ISNUMBER(AE140),ISNUMBER($B$23),ISNUMBER($D$23)),IF(AE140&gt;$D$23,"boven UCL",IF(AE140&lt;$B$23,"onder LCL","")),"")</f>
        <v/>
      </c>
      <c r="AI140" s="13">
        <f>IF(AND(ISNUMBER(AF140),ISNUMBER($B$24),ISNUMBER($D$24)),IF(AF140&gt;$D$24,"boven UCL",IF(AF140&lt;$B$24,"onder LCL","")),"")</f>
        <v/>
      </c>
      <c r="AJ140" s="13">
        <f>IF(AND(ISNUMBER(AE140),ISNUMBER($B$25),ISNUMBER($D$25)),IF(AE140&gt;$D$25,"boven UCL",IF(AE140&lt;$B$25,"onder LCL","")),"")</f>
        <v/>
      </c>
      <c r="AK140" s="13">
        <f>IF(AND(ISNUMBER(AG140),ISNUMBER($B$26),ISNUMBER($D$26)),IF(AG140&gt;$D$26,"boven UCL",IF(AG140&lt;$B$26,"onder LCL","")),"")</f>
        <v/>
      </c>
      <c r="AL140" s="13">
        <f>IF(AND(COUNT(B140:Z140)&gt;0,COUNT(AA140:AC140)&gt;0),"ruwe waarden én getypt: getypte genegeerd",IF(COUNTA(B140:Z140,AA140:AC140)&gt;COUNT(B140:Z140,AA140:AC140),"tekst telt niet mee",IF(COUNT(B140:Z140)=1,"1 waarde: geen R of s","")))</f>
        <v/>
      </c>
    </row>
    <row r="141">
      <c r="A141" t="n">
        <v>90</v>
      </c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28">
        <f>IF(COUNT(B141:Z141)&gt;0,COUNT(B141:Z141),IF(OR(ISNUMBER(AA141),ISNUMBER(AB141)),$B$9,""))</f>
        <v/>
      </c>
      <c r="AE141" s="29">
        <f>IF(COUNT(B141:Z141)&gt;0,AVERAGE(B141:Z141),IF(ISNUMBER(AA141),AA141,""))</f>
        <v/>
      </c>
      <c r="AF141" s="29">
        <f>IF(COUNT(B141:Z141)&gt;1,MAX(B141:Z141)-MIN(B141:Z141),IF(ISNUMBER(AB141),AB141,""))</f>
        <v/>
      </c>
      <c r="AG141" s="29">
        <f>IF(COUNT(B141:Z141)&gt;1,_xlfn.STDEV.S(B141:Z141),IF(ISNUMBER(AC141),AC141,""))</f>
        <v/>
      </c>
      <c r="AH141" s="13">
        <f>IF(AND(ISNUMBER(AE141),ISNUMBER($B$23),ISNUMBER($D$23)),IF(AE141&gt;$D$23,"boven UCL",IF(AE141&lt;$B$23,"onder LCL","")),"")</f>
        <v/>
      </c>
      <c r="AI141" s="13">
        <f>IF(AND(ISNUMBER(AF141),ISNUMBER($B$24),ISNUMBER($D$24)),IF(AF141&gt;$D$24,"boven UCL",IF(AF141&lt;$B$24,"onder LCL","")),"")</f>
        <v/>
      </c>
      <c r="AJ141" s="13">
        <f>IF(AND(ISNUMBER(AE141),ISNUMBER($B$25),ISNUMBER($D$25)),IF(AE141&gt;$D$25,"boven UCL",IF(AE141&lt;$B$25,"onder LCL","")),"")</f>
        <v/>
      </c>
      <c r="AK141" s="13">
        <f>IF(AND(ISNUMBER(AG141),ISNUMBER($B$26),ISNUMBER($D$26)),IF(AG141&gt;$D$26,"boven UCL",IF(AG141&lt;$B$26,"onder LCL","")),"")</f>
        <v/>
      </c>
      <c r="AL141" s="13">
        <f>IF(AND(COUNT(B141:Z141)&gt;0,COUNT(AA141:AC141)&gt;0),"ruwe waarden én getypt: getypte genegeerd",IF(COUNTA(B141:Z141,AA141:AC141)&gt;COUNT(B141:Z141,AA141:AC141),"tekst telt niet mee",IF(COUNT(B141:Z141)=1,"1 waarde: geen R of s","")))</f>
        <v/>
      </c>
    </row>
    <row r="142">
      <c r="A142" t="n">
        <v>91</v>
      </c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28">
        <f>IF(COUNT(B142:Z142)&gt;0,COUNT(B142:Z142),IF(OR(ISNUMBER(AA142),ISNUMBER(AB142)),$B$9,""))</f>
        <v/>
      </c>
      <c r="AE142" s="29">
        <f>IF(COUNT(B142:Z142)&gt;0,AVERAGE(B142:Z142),IF(ISNUMBER(AA142),AA142,""))</f>
        <v/>
      </c>
      <c r="AF142" s="29">
        <f>IF(COUNT(B142:Z142)&gt;1,MAX(B142:Z142)-MIN(B142:Z142),IF(ISNUMBER(AB142),AB142,""))</f>
        <v/>
      </c>
      <c r="AG142" s="29">
        <f>IF(COUNT(B142:Z142)&gt;1,_xlfn.STDEV.S(B142:Z142),IF(ISNUMBER(AC142),AC142,""))</f>
        <v/>
      </c>
      <c r="AH142" s="13">
        <f>IF(AND(ISNUMBER(AE142),ISNUMBER($B$23),ISNUMBER($D$23)),IF(AE142&gt;$D$23,"boven UCL",IF(AE142&lt;$B$23,"onder LCL","")),"")</f>
        <v/>
      </c>
      <c r="AI142" s="13">
        <f>IF(AND(ISNUMBER(AF142),ISNUMBER($B$24),ISNUMBER($D$24)),IF(AF142&gt;$D$24,"boven UCL",IF(AF142&lt;$B$24,"onder LCL","")),"")</f>
        <v/>
      </c>
      <c r="AJ142" s="13">
        <f>IF(AND(ISNUMBER(AE142),ISNUMBER($B$25),ISNUMBER($D$25)),IF(AE142&gt;$D$25,"boven UCL",IF(AE142&lt;$B$25,"onder LCL","")),"")</f>
        <v/>
      </c>
      <c r="AK142" s="13">
        <f>IF(AND(ISNUMBER(AG142),ISNUMBER($B$26),ISNUMBER($D$26)),IF(AG142&gt;$D$26,"boven UCL",IF(AG142&lt;$B$26,"onder LCL","")),"")</f>
        <v/>
      </c>
      <c r="AL142" s="13">
        <f>IF(AND(COUNT(B142:Z142)&gt;0,COUNT(AA142:AC142)&gt;0),"ruwe waarden én getypt: getypte genegeerd",IF(COUNTA(B142:Z142,AA142:AC142)&gt;COUNT(B142:Z142,AA142:AC142),"tekst telt niet mee",IF(COUNT(B142:Z142)=1,"1 waarde: geen R of s","")))</f>
        <v/>
      </c>
    </row>
    <row r="143">
      <c r="A143" t="n">
        <v>92</v>
      </c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28">
        <f>IF(COUNT(B143:Z143)&gt;0,COUNT(B143:Z143),IF(OR(ISNUMBER(AA143),ISNUMBER(AB143)),$B$9,""))</f>
        <v/>
      </c>
      <c r="AE143" s="29">
        <f>IF(COUNT(B143:Z143)&gt;0,AVERAGE(B143:Z143),IF(ISNUMBER(AA143),AA143,""))</f>
        <v/>
      </c>
      <c r="AF143" s="29">
        <f>IF(COUNT(B143:Z143)&gt;1,MAX(B143:Z143)-MIN(B143:Z143),IF(ISNUMBER(AB143),AB143,""))</f>
        <v/>
      </c>
      <c r="AG143" s="29">
        <f>IF(COUNT(B143:Z143)&gt;1,_xlfn.STDEV.S(B143:Z143),IF(ISNUMBER(AC143),AC143,""))</f>
        <v/>
      </c>
      <c r="AH143" s="13">
        <f>IF(AND(ISNUMBER(AE143),ISNUMBER($B$23),ISNUMBER($D$23)),IF(AE143&gt;$D$23,"boven UCL",IF(AE143&lt;$B$23,"onder LCL","")),"")</f>
        <v/>
      </c>
      <c r="AI143" s="13">
        <f>IF(AND(ISNUMBER(AF143),ISNUMBER($B$24),ISNUMBER($D$24)),IF(AF143&gt;$D$24,"boven UCL",IF(AF143&lt;$B$24,"onder LCL","")),"")</f>
        <v/>
      </c>
      <c r="AJ143" s="13">
        <f>IF(AND(ISNUMBER(AE143),ISNUMBER($B$25),ISNUMBER($D$25)),IF(AE143&gt;$D$25,"boven UCL",IF(AE143&lt;$B$25,"onder LCL","")),"")</f>
        <v/>
      </c>
      <c r="AK143" s="13">
        <f>IF(AND(ISNUMBER(AG143),ISNUMBER($B$26),ISNUMBER($D$26)),IF(AG143&gt;$D$26,"boven UCL",IF(AG143&lt;$B$26,"onder LCL","")),"")</f>
        <v/>
      </c>
      <c r="AL143" s="13">
        <f>IF(AND(COUNT(B143:Z143)&gt;0,COUNT(AA143:AC143)&gt;0),"ruwe waarden én getypt: getypte genegeerd",IF(COUNTA(B143:Z143,AA143:AC143)&gt;COUNT(B143:Z143,AA143:AC143),"tekst telt niet mee",IF(COUNT(B143:Z143)=1,"1 waarde: geen R of s","")))</f>
        <v/>
      </c>
    </row>
    <row r="144">
      <c r="A144" t="n">
        <v>93</v>
      </c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28">
        <f>IF(COUNT(B144:Z144)&gt;0,COUNT(B144:Z144),IF(OR(ISNUMBER(AA144),ISNUMBER(AB144)),$B$9,""))</f>
        <v/>
      </c>
      <c r="AE144" s="29">
        <f>IF(COUNT(B144:Z144)&gt;0,AVERAGE(B144:Z144),IF(ISNUMBER(AA144),AA144,""))</f>
        <v/>
      </c>
      <c r="AF144" s="29">
        <f>IF(COUNT(B144:Z144)&gt;1,MAX(B144:Z144)-MIN(B144:Z144),IF(ISNUMBER(AB144),AB144,""))</f>
        <v/>
      </c>
      <c r="AG144" s="29">
        <f>IF(COUNT(B144:Z144)&gt;1,_xlfn.STDEV.S(B144:Z144),IF(ISNUMBER(AC144),AC144,""))</f>
        <v/>
      </c>
      <c r="AH144" s="13">
        <f>IF(AND(ISNUMBER(AE144),ISNUMBER($B$23),ISNUMBER($D$23)),IF(AE144&gt;$D$23,"boven UCL",IF(AE144&lt;$B$23,"onder LCL","")),"")</f>
        <v/>
      </c>
      <c r="AI144" s="13">
        <f>IF(AND(ISNUMBER(AF144),ISNUMBER($B$24),ISNUMBER($D$24)),IF(AF144&gt;$D$24,"boven UCL",IF(AF144&lt;$B$24,"onder LCL","")),"")</f>
        <v/>
      </c>
      <c r="AJ144" s="13">
        <f>IF(AND(ISNUMBER(AE144),ISNUMBER($B$25),ISNUMBER($D$25)),IF(AE144&gt;$D$25,"boven UCL",IF(AE144&lt;$B$25,"onder LCL","")),"")</f>
        <v/>
      </c>
      <c r="AK144" s="13">
        <f>IF(AND(ISNUMBER(AG144),ISNUMBER($B$26),ISNUMBER($D$26)),IF(AG144&gt;$D$26,"boven UCL",IF(AG144&lt;$B$26,"onder LCL","")),"")</f>
        <v/>
      </c>
      <c r="AL144" s="13">
        <f>IF(AND(COUNT(B144:Z144)&gt;0,COUNT(AA144:AC144)&gt;0),"ruwe waarden én getypt: getypte genegeerd",IF(COUNTA(B144:Z144,AA144:AC144)&gt;COUNT(B144:Z144,AA144:AC144),"tekst telt niet mee",IF(COUNT(B144:Z144)=1,"1 waarde: geen R of s","")))</f>
        <v/>
      </c>
    </row>
    <row r="145">
      <c r="A145" t="n">
        <v>94</v>
      </c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28">
        <f>IF(COUNT(B145:Z145)&gt;0,COUNT(B145:Z145),IF(OR(ISNUMBER(AA145),ISNUMBER(AB145)),$B$9,""))</f>
        <v/>
      </c>
      <c r="AE145" s="29">
        <f>IF(COUNT(B145:Z145)&gt;0,AVERAGE(B145:Z145),IF(ISNUMBER(AA145),AA145,""))</f>
        <v/>
      </c>
      <c r="AF145" s="29">
        <f>IF(COUNT(B145:Z145)&gt;1,MAX(B145:Z145)-MIN(B145:Z145),IF(ISNUMBER(AB145),AB145,""))</f>
        <v/>
      </c>
      <c r="AG145" s="29">
        <f>IF(COUNT(B145:Z145)&gt;1,_xlfn.STDEV.S(B145:Z145),IF(ISNUMBER(AC145),AC145,""))</f>
        <v/>
      </c>
      <c r="AH145" s="13">
        <f>IF(AND(ISNUMBER(AE145),ISNUMBER($B$23),ISNUMBER($D$23)),IF(AE145&gt;$D$23,"boven UCL",IF(AE145&lt;$B$23,"onder LCL","")),"")</f>
        <v/>
      </c>
      <c r="AI145" s="13">
        <f>IF(AND(ISNUMBER(AF145),ISNUMBER($B$24),ISNUMBER($D$24)),IF(AF145&gt;$D$24,"boven UCL",IF(AF145&lt;$B$24,"onder LCL","")),"")</f>
        <v/>
      </c>
      <c r="AJ145" s="13">
        <f>IF(AND(ISNUMBER(AE145),ISNUMBER($B$25),ISNUMBER($D$25)),IF(AE145&gt;$D$25,"boven UCL",IF(AE145&lt;$B$25,"onder LCL","")),"")</f>
        <v/>
      </c>
      <c r="AK145" s="13">
        <f>IF(AND(ISNUMBER(AG145),ISNUMBER($B$26),ISNUMBER($D$26)),IF(AG145&gt;$D$26,"boven UCL",IF(AG145&lt;$B$26,"onder LCL","")),"")</f>
        <v/>
      </c>
      <c r="AL145" s="13">
        <f>IF(AND(COUNT(B145:Z145)&gt;0,COUNT(AA145:AC145)&gt;0),"ruwe waarden én getypt: getypte genegeerd",IF(COUNTA(B145:Z145,AA145:AC145)&gt;COUNT(B145:Z145,AA145:AC145),"tekst telt niet mee",IF(COUNT(B145:Z145)=1,"1 waarde: geen R of s","")))</f>
        <v/>
      </c>
    </row>
    <row r="146">
      <c r="A146" t="n">
        <v>95</v>
      </c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28">
        <f>IF(COUNT(B146:Z146)&gt;0,COUNT(B146:Z146),IF(OR(ISNUMBER(AA146),ISNUMBER(AB146)),$B$9,""))</f>
        <v/>
      </c>
      <c r="AE146" s="29">
        <f>IF(COUNT(B146:Z146)&gt;0,AVERAGE(B146:Z146),IF(ISNUMBER(AA146),AA146,""))</f>
        <v/>
      </c>
      <c r="AF146" s="29">
        <f>IF(COUNT(B146:Z146)&gt;1,MAX(B146:Z146)-MIN(B146:Z146),IF(ISNUMBER(AB146),AB146,""))</f>
        <v/>
      </c>
      <c r="AG146" s="29">
        <f>IF(COUNT(B146:Z146)&gt;1,_xlfn.STDEV.S(B146:Z146),IF(ISNUMBER(AC146),AC146,""))</f>
        <v/>
      </c>
      <c r="AH146" s="13">
        <f>IF(AND(ISNUMBER(AE146),ISNUMBER($B$23),ISNUMBER($D$23)),IF(AE146&gt;$D$23,"boven UCL",IF(AE146&lt;$B$23,"onder LCL","")),"")</f>
        <v/>
      </c>
      <c r="AI146" s="13">
        <f>IF(AND(ISNUMBER(AF146),ISNUMBER($B$24),ISNUMBER($D$24)),IF(AF146&gt;$D$24,"boven UCL",IF(AF146&lt;$B$24,"onder LCL","")),"")</f>
        <v/>
      </c>
      <c r="AJ146" s="13">
        <f>IF(AND(ISNUMBER(AE146),ISNUMBER($B$25),ISNUMBER($D$25)),IF(AE146&gt;$D$25,"boven UCL",IF(AE146&lt;$B$25,"onder LCL","")),"")</f>
        <v/>
      </c>
      <c r="AK146" s="13">
        <f>IF(AND(ISNUMBER(AG146),ISNUMBER($B$26),ISNUMBER($D$26)),IF(AG146&gt;$D$26,"boven UCL",IF(AG146&lt;$B$26,"onder LCL","")),"")</f>
        <v/>
      </c>
      <c r="AL146" s="13">
        <f>IF(AND(COUNT(B146:Z146)&gt;0,COUNT(AA146:AC146)&gt;0),"ruwe waarden én getypt: getypte genegeerd",IF(COUNTA(B146:Z146,AA146:AC146)&gt;COUNT(B146:Z146,AA146:AC146),"tekst telt niet mee",IF(COUNT(B146:Z146)=1,"1 waarde: geen R of s","")))</f>
        <v/>
      </c>
    </row>
    <row r="147">
      <c r="A147" t="n">
        <v>96</v>
      </c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28">
        <f>IF(COUNT(B147:Z147)&gt;0,COUNT(B147:Z147),IF(OR(ISNUMBER(AA147),ISNUMBER(AB147)),$B$9,""))</f>
        <v/>
      </c>
      <c r="AE147" s="29">
        <f>IF(COUNT(B147:Z147)&gt;0,AVERAGE(B147:Z147),IF(ISNUMBER(AA147),AA147,""))</f>
        <v/>
      </c>
      <c r="AF147" s="29">
        <f>IF(COUNT(B147:Z147)&gt;1,MAX(B147:Z147)-MIN(B147:Z147),IF(ISNUMBER(AB147),AB147,""))</f>
        <v/>
      </c>
      <c r="AG147" s="29">
        <f>IF(COUNT(B147:Z147)&gt;1,_xlfn.STDEV.S(B147:Z147),IF(ISNUMBER(AC147),AC147,""))</f>
        <v/>
      </c>
      <c r="AH147" s="13">
        <f>IF(AND(ISNUMBER(AE147),ISNUMBER($B$23),ISNUMBER($D$23)),IF(AE147&gt;$D$23,"boven UCL",IF(AE147&lt;$B$23,"onder LCL","")),"")</f>
        <v/>
      </c>
      <c r="AI147" s="13">
        <f>IF(AND(ISNUMBER(AF147),ISNUMBER($B$24),ISNUMBER($D$24)),IF(AF147&gt;$D$24,"boven UCL",IF(AF147&lt;$B$24,"onder LCL","")),"")</f>
        <v/>
      </c>
      <c r="AJ147" s="13">
        <f>IF(AND(ISNUMBER(AE147),ISNUMBER($B$25),ISNUMBER($D$25)),IF(AE147&gt;$D$25,"boven UCL",IF(AE147&lt;$B$25,"onder LCL","")),"")</f>
        <v/>
      </c>
      <c r="AK147" s="13">
        <f>IF(AND(ISNUMBER(AG147),ISNUMBER($B$26),ISNUMBER($D$26)),IF(AG147&gt;$D$26,"boven UCL",IF(AG147&lt;$B$26,"onder LCL","")),"")</f>
        <v/>
      </c>
      <c r="AL147" s="13">
        <f>IF(AND(COUNT(B147:Z147)&gt;0,COUNT(AA147:AC147)&gt;0),"ruwe waarden én getypt: getypte genegeerd",IF(COUNTA(B147:Z147,AA147:AC147)&gt;COUNT(B147:Z147,AA147:AC147),"tekst telt niet mee",IF(COUNT(B147:Z147)=1,"1 waarde: geen R of s","")))</f>
        <v/>
      </c>
    </row>
    <row r="148">
      <c r="A148" t="n">
        <v>97</v>
      </c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28">
        <f>IF(COUNT(B148:Z148)&gt;0,COUNT(B148:Z148),IF(OR(ISNUMBER(AA148),ISNUMBER(AB148)),$B$9,""))</f>
        <v/>
      </c>
      <c r="AE148" s="29">
        <f>IF(COUNT(B148:Z148)&gt;0,AVERAGE(B148:Z148),IF(ISNUMBER(AA148),AA148,""))</f>
        <v/>
      </c>
      <c r="AF148" s="29">
        <f>IF(COUNT(B148:Z148)&gt;1,MAX(B148:Z148)-MIN(B148:Z148),IF(ISNUMBER(AB148),AB148,""))</f>
        <v/>
      </c>
      <c r="AG148" s="29">
        <f>IF(COUNT(B148:Z148)&gt;1,_xlfn.STDEV.S(B148:Z148),IF(ISNUMBER(AC148),AC148,""))</f>
        <v/>
      </c>
      <c r="AH148" s="13">
        <f>IF(AND(ISNUMBER(AE148),ISNUMBER($B$23),ISNUMBER($D$23)),IF(AE148&gt;$D$23,"boven UCL",IF(AE148&lt;$B$23,"onder LCL","")),"")</f>
        <v/>
      </c>
      <c r="AI148" s="13">
        <f>IF(AND(ISNUMBER(AF148),ISNUMBER($B$24),ISNUMBER($D$24)),IF(AF148&gt;$D$24,"boven UCL",IF(AF148&lt;$B$24,"onder LCL","")),"")</f>
        <v/>
      </c>
      <c r="AJ148" s="13">
        <f>IF(AND(ISNUMBER(AE148),ISNUMBER($B$25),ISNUMBER($D$25)),IF(AE148&gt;$D$25,"boven UCL",IF(AE148&lt;$B$25,"onder LCL","")),"")</f>
        <v/>
      </c>
      <c r="AK148" s="13">
        <f>IF(AND(ISNUMBER(AG148),ISNUMBER($B$26),ISNUMBER($D$26)),IF(AG148&gt;$D$26,"boven UCL",IF(AG148&lt;$B$26,"onder LCL","")),"")</f>
        <v/>
      </c>
      <c r="AL148" s="13">
        <f>IF(AND(COUNT(B148:Z148)&gt;0,COUNT(AA148:AC148)&gt;0),"ruwe waarden én getypt: getypte genegeerd",IF(COUNTA(B148:Z148,AA148:AC148)&gt;COUNT(B148:Z148,AA148:AC148),"tekst telt niet mee",IF(COUNT(B148:Z148)=1,"1 waarde: geen R of s","")))</f>
        <v/>
      </c>
    </row>
    <row r="149">
      <c r="A149" t="n">
        <v>98</v>
      </c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28">
        <f>IF(COUNT(B149:Z149)&gt;0,COUNT(B149:Z149),IF(OR(ISNUMBER(AA149),ISNUMBER(AB149)),$B$9,""))</f>
        <v/>
      </c>
      <c r="AE149" s="29">
        <f>IF(COUNT(B149:Z149)&gt;0,AVERAGE(B149:Z149),IF(ISNUMBER(AA149),AA149,""))</f>
        <v/>
      </c>
      <c r="AF149" s="29">
        <f>IF(COUNT(B149:Z149)&gt;1,MAX(B149:Z149)-MIN(B149:Z149),IF(ISNUMBER(AB149),AB149,""))</f>
        <v/>
      </c>
      <c r="AG149" s="29">
        <f>IF(COUNT(B149:Z149)&gt;1,_xlfn.STDEV.S(B149:Z149),IF(ISNUMBER(AC149),AC149,""))</f>
        <v/>
      </c>
      <c r="AH149" s="13">
        <f>IF(AND(ISNUMBER(AE149),ISNUMBER($B$23),ISNUMBER($D$23)),IF(AE149&gt;$D$23,"boven UCL",IF(AE149&lt;$B$23,"onder LCL","")),"")</f>
        <v/>
      </c>
      <c r="AI149" s="13">
        <f>IF(AND(ISNUMBER(AF149),ISNUMBER($B$24),ISNUMBER($D$24)),IF(AF149&gt;$D$24,"boven UCL",IF(AF149&lt;$B$24,"onder LCL","")),"")</f>
        <v/>
      </c>
      <c r="AJ149" s="13">
        <f>IF(AND(ISNUMBER(AE149),ISNUMBER($B$25),ISNUMBER($D$25)),IF(AE149&gt;$D$25,"boven UCL",IF(AE149&lt;$B$25,"onder LCL","")),"")</f>
        <v/>
      </c>
      <c r="AK149" s="13">
        <f>IF(AND(ISNUMBER(AG149),ISNUMBER($B$26),ISNUMBER($D$26)),IF(AG149&gt;$D$26,"boven UCL",IF(AG149&lt;$B$26,"onder LCL","")),"")</f>
        <v/>
      </c>
      <c r="AL149" s="13">
        <f>IF(AND(COUNT(B149:Z149)&gt;0,COUNT(AA149:AC149)&gt;0),"ruwe waarden én getypt: getypte genegeerd",IF(COUNTA(B149:Z149,AA149:AC149)&gt;COUNT(B149:Z149,AA149:AC149),"tekst telt niet mee",IF(COUNT(B149:Z149)=1,"1 waarde: geen R of s","")))</f>
        <v/>
      </c>
    </row>
    <row r="150">
      <c r="A150" t="n">
        <v>99</v>
      </c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28">
        <f>IF(COUNT(B150:Z150)&gt;0,COUNT(B150:Z150),IF(OR(ISNUMBER(AA150),ISNUMBER(AB150)),$B$9,""))</f>
        <v/>
      </c>
      <c r="AE150" s="29">
        <f>IF(COUNT(B150:Z150)&gt;0,AVERAGE(B150:Z150),IF(ISNUMBER(AA150),AA150,""))</f>
        <v/>
      </c>
      <c r="AF150" s="29">
        <f>IF(COUNT(B150:Z150)&gt;1,MAX(B150:Z150)-MIN(B150:Z150),IF(ISNUMBER(AB150),AB150,""))</f>
        <v/>
      </c>
      <c r="AG150" s="29">
        <f>IF(COUNT(B150:Z150)&gt;1,_xlfn.STDEV.S(B150:Z150),IF(ISNUMBER(AC150),AC150,""))</f>
        <v/>
      </c>
      <c r="AH150" s="13">
        <f>IF(AND(ISNUMBER(AE150),ISNUMBER($B$23),ISNUMBER($D$23)),IF(AE150&gt;$D$23,"boven UCL",IF(AE150&lt;$B$23,"onder LCL","")),"")</f>
        <v/>
      </c>
      <c r="AI150" s="13">
        <f>IF(AND(ISNUMBER(AF150),ISNUMBER($B$24),ISNUMBER($D$24)),IF(AF150&gt;$D$24,"boven UCL",IF(AF150&lt;$B$24,"onder LCL","")),"")</f>
        <v/>
      </c>
      <c r="AJ150" s="13">
        <f>IF(AND(ISNUMBER(AE150),ISNUMBER($B$25),ISNUMBER($D$25)),IF(AE150&gt;$D$25,"boven UCL",IF(AE150&lt;$B$25,"onder LCL","")),"")</f>
        <v/>
      </c>
      <c r="AK150" s="13">
        <f>IF(AND(ISNUMBER(AG150),ISNUMBER($B$26),ISNUMBER($D$26)),IF(AG150&gt;$D$26,"boven UCL",IF(AG150&lt;$B$26,"onder LCL","")),"")</f>
        <v/>
      </c>
      <c r="AL150" s="13">
        <f>IF(AND(COUNT(B150:Z150)&gt;0,COUNT(AA150:AC150)&gt;0),"ruwe waarden én getypt: getypte genegeerd",IF(COUNTA(B150:Z150,AA150:AC150)&gt;COUNT(B150:Z150,AA150:AC150),"tekst telt niet mee",IF(COUNT(B150:Z150)=1,"1 waarde: geen R of s","")))</f>
        <v/>
      </c>
    </row>
    <row r="151">
      <c r="A151" t="n">
        <v>100</v>
      </c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28">
        <f>IF(COUNT(B151:Z151)&gt;0,COUNT(B151:Z151),IF(OR(ISNUMBER(AA151),ISNUMBER(AB151)),$B$9,""))</f>
        <v/>
      </c>
      <c r="AE151" s="29">
        <f>IF(COUNT(B151:Z151)&gt;0,AVERAGE(B151:Z151),IF(ISNUMBER(AA151),AA151,""))</f>
        <v/>
      </c>
      <c r="AF151" s="29">
        <f>IF(COUNT(B151:Z151)&gt;1,MAX(B151:Z151)-MIN(B151:Z151),IF(ISNUMBER(AB151),AB151,""))</f>
        <v/>
      </c>
      <c r="AG151" s="29">
        <f>IF(COUNT(B151:Z151)&gt;1,_xlfn.STDEV.S(B151:Z151),IF(ISNUMBER(AC151),AC151,""))</f>
        <v/>
      </c>
      <c r="AH151" s="13">
        <f>IF(AND(ISNUMBER(AE151),ISNUMBER($B$23),ISNUMBER($D$23)),IF(AE151&gt;$D$23,"boven UCL",IF(AE151&lt;$B$23,"onder LCL","")),"")</f>
        <v/>
      </c>
      <c r="AI151" s="13">
        <f>IF(AND(ISNUMBER(AF151),ISNUMBER($B$24),ISNUMBER($D$24)),IF(AF151&gt;$D$24,"boven UCL",IF(AF151&lt;$B$24,"onder LCL","")),"")</f>
        <v/>
      </c>
      <c r="AJ151" s="13">
        <f>IF(AND(ISNUMBER(AE151),ISNUMBER($B$25),ISNUMBER($D$25)),IF(AE151&gt;$D$25,"boven UCL",IF(AE151&lt;$B$25,"onder LCL","")),"")</f>
        <v/>
      </c>
      <c r="AK151" s="13">
        <f>IF(AND(ISNUMBER(AG151),ISNUMBER($B$26),ISNUMBER($D$26)),IF(AG151&gt;$D$26,"boven UCL",IF(AG151&lt;$B$26,"onder LCL","")),"")</f>
        <v/>
      </c>
      <c r="AL151" s="13">
        <f>IF(AND(COUNT(B151:Z151)&gt;0,COUNT(AA151:AC151)&gt;0),"ruwe waarden én getypt: getypte genegeerd",IF(COUNTA(B151:Z151,AA151:AC151)&gt;COUNT(B151:Z151,AA151:AC151),"tekst telt niet mee",IF(COUNT(B151:Z151)=1,"1 waarde: geen R of s","")))</f>
        <v/>
      </c>
    </row>
    <row r="152">
      <c r="A152" t="n">
        <v>101</v>
      </c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28">
        <f>IF(COUNT(B152:Z152)&gt;0,COUNT(B152:Z152),IF(OR(ISNUMBER(AA152),ISNUMBER(AB152)),$B$9,""))</f>
        <v/>
      </c>
      <c r="AE152" s="29">
        <f>IF(COUNT(B152:Z152)&gt;0,AVERAGE(B152:Z152),IF(ISNUMBER(AA152),AA152,""))</f>
        <v/>
      </c>
      <c r="AF152" s="29">
        <f>IF(COUNT(B152:Z152)&gt;1,MAX(B152:Z152)-MIN(B152:Z152),IF(ISNUMBER(AB152),AB152,""))</f>
        <v/>
      </c>
      <c r="AG152" s="29">
        <f>IF(COUNT(B152:Z152)&gt;1,_xlfn.STDEV.S(B152:Z152),IF(ISNUMBER(AC152),AC152,""))</f>
        <v/>
      </c>
      <c r="AH152" s="13">
        <f>IF(AND(ISNUMBER(AE152),ISNUMBER($B$23),ISNUMBER($D$23)),IF(AE152&gt;$D$23,"boven UCL",IF(AE152&lt;$B$23,"onder LCL","")),"")</f>
        <v/>
      </c>
      <c r="AI152" s="13">
        <f>IF(AND(ISNUMBER(AF152),ISNUMBER($B$24),ISNUMBER($D$24)),IF(AF152&gt;$D$24,"boven UCL",IF(AF152&lt;$B$24,"onder LCL","")),"")</f>
        <v/>
      </c>
      <c r="AJ152" s="13">
        <f>IF(AND(ISNUMBER(AE152),ISNUMBER($B$25),ISNUMBER($D$25)),IF(AE152&gt;$D$25,"boven UCL",IF(AE152&lt;$B$25,"onder LCL","")),"")</f>
        <v/>
      </c>
      <c r="AK152" s="13">
        <f>IF(AND(ISNUMBER(AG152),ISNUMBER($B$26),ISNUMBER($D$26)),IF(AG152&gt;$D$26,"boven UCL",IF(AG152&lt;$B$26,"onder LCL","")),"")</f>
        <v/>
      </c>
      <c r="AL152" s="13">
        <f>IF(AND(COUNT(B152:Z152)&gt;0,COUNT(AA152:AC152)&gt;0),"ruwe waarden én getypt: getypte genegeerd",IF(COUNTA(B152:Z152,AA152:AC152)&gt;COUNT(B152:Z152,AA152:AC152),"tekst telt niet mee",IF(COUNT(B152:Z152)=1,"1 waarde: geen R of s","")))</f>
        <v/>
      </c>
    </row>
    <row r="153">
      <c r="A153" t="n">
        <v>102</v>
      </c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28">
        <f>IF(COUNT(B153:Z153)&gt;0,COUNT(B153:Z153),IF(OR(ISNUMBER(AA153),ISNUMBER(AB153)),$B$9,""))</f>
        <v/>
      </c>
      <c r="AE153" s="29">
        <f>IF(COUNT(B153:Z153)&gt;0,AVERAGE(B153:Z153),IF(ISNUMBER(AA153),AA153,""))</f>
        <v/>
      </c>
      <c r="AF153" s="29">
        <f>IF(COUNT(B153:Z153)&gt;1,MAX(B153:Z153)-MIN(B153:Z153),IF(ISNUMBER(AB153),AB153,""))</f>
        <v/>
      </c>
      <c r="AG153" s="29">
        <f>IF(COUNT(B153:Z153)&gt;1,_xlfn.STDEV.S(B153:Z153),IF(ISNUMBER(AC153),AC153,""))</f>
        <v/>
      </c>
      <c r="AH153" s="13">
        <f>IF(AND(ISNUMBER(AE153),ISNUMBER($B$23),ISNUMBER($D$23)),IF(AE153&gt;$D$23,"boven UCL",IF(AE153&lt;$B$23,"onder LCL","")),"")</f>
        <v/>
      </c>
      <c r="AI153" s="13">
        <f>IF(AND(ISNUMBER(AF153),ISNUMBER($B$24),ISNUMBER($D$24)),IF(AF153&gt;$D$24,"boven UCL",IF(AF153&lt;$B$24,"onder LCL","")),"")</f>
        <v/>
      </c>
      <c r="AJ153" s="13">
        <f>IF(AND(ISNUMBER(AE153),ISNUMBER($B$25),ISNUMBER($D$25)),IF(AE153&gt;$D$25,"boven UCL",IF(AE153&lt;$B$25,"onder LCL","")),"")</f>
        <v/>
      </c>
      <c r="AK153" s="13">
        <f>IF(AND(ISNUMBER(AG153),ISNUMBER($B$26),ISNUMBER($D$26)),IF(AG153&gt;$D$26,"boven UCL",IF(AG153&lt;$B$26,"onder LCL","")),"")</f>
        <v/>
      </c>
      <c r="AL153" s="13">
        <f>IF(AND(COUNT(B153:Z153)&gt;0,COUNT(AA153:AC153)&gt;0),"ruwe waarden én getypt: getypte genegeerd",IF(COUNTA(B153:Z153,AA153:AC153)&gt;COUNT(B153:Z153,AA153:AC153),"tekst telt niet mee",IF(COUNT(B153:Z153)=1,"1 waarde: geen R of s","")))</f>
        <v/>
      </c>
    </row>
    <row r="154">
      <c r="A154" t="n">
        <v>103</v>
      </c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28">
        <f>IF(COUNT(B154:Z154)&gt;0,COUNT(B154:Z154),IF(OR(ISNUMBER(AA154),ISNUMBER(AB154)),$B$9,""))</f>
        <v/>
      </c>
      <c r="AE154" s="29">
        <f>IF(COUNT(B154:Z154)&gt;0,AVERAGE(B154:Z154),IF(ISNUMBER(AA154),AA154,""))</f>
        <v/>
      </c>
      <c r="AF154" s="29">
        <f>IF(COUNT(B154:Z154)&gt;1,MAX(B154:Z154)-MIN(B154:Z154),IF(ISNUMBER(AB154),AB154,""))</f>
        <v/>
      </c>
      <c r="AG154" s="29">
        <f>IF(COUNT(B154:Z154)&gt;1,_xlfn.STDEV.S(B154:Z154),IF(ISNUMBER(AC154),AC154,""))</f>
        <v/>
      </c>
      <c r="AH154" s="13">
        <f>IF(AND(ISNUMBER(AE154),ISNUMBER($B$23),ISNUMBER($D$23)),IF(AE154&gt;$D$23,"boven UCL",IF(AE154&lt;$B$23,"onder LCL","")),"")</f>
        <v/>
      </c>
      <c r="AI154" s="13">
        <f>IF(AND(ISNUMBER(AF154),ISNUMBER($B$24),ISNUMBER($D$24)),IF(AF154&gt;$D$24,"boven UCL",IF(AF154&lt;$B$24,"onder LCL","")),"")</f>
        <v/>
      </c>
      <c r="AJ154" s="13">
        <f>IF(AND(ISNUMBER(AE154),ISNUMBER($B$25),ISNUMBER($D$25)),IF(AE154&gt;$D$25,"boven UCL",IF(AE154&lt;$B$25,"onder LCL","")),"")</f>
        <v/>
      </c>
      <c r="AK154" s="13">
        <f>IF(AND(ISNUMBER(AG154),ISNUMBER($B$26),ISNUMBER($D$26)),IF(AG154&gt;$D$26,"boven UCL",IF(AG154&lt;$B$26,"onder LCL","")),"")</f>
        <v/>
      </c>
      <c r="AL154" s="13">
        <f>IF(AND(COUNT(B154:Z154)&gt;0,COUNT(AA154:AC154)&gt;0),"ruwe waarden én getypt: getypte genegeerd",IF(COUNTA(B154:Z154,AA154:AC154)&gt;COUNT(B154:Z154,AA154:AC154),"tekst telt niet mee",IF(COUNT(B154:Z154)=1,"1 waarde: geen R of s","")))</f>
        <v/>
      </c>
    </row>
    <row r="155">
      <c r="A155" t="n">
        <v>104</v>
      </c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28">
        <f>IF(COUNT(B155:Z155)&gt;0,COUNT(B155:Z155),IF(OR(ISNUMBER(AA155),ISNUMBER(AB155)),$B$9,""))</f>
        <v/>
      </c>
      <c r="AE155" s="29">
        <f>IF(COUNT(B155:Z155)&gt;0,AVERAGE(B155:Z155),IF(ISNUMBER(AA155),AA155,""))</f>
        <v/>
      </c>
      <c r="AF155" s="29">
        <f>IF(COUNT(B155:Z155)&gt;1,MAX(B155:Z155)-MIN(B155:Z155),IF(ISNUMBER(AB155),AB155,""))</f>
        <v/>
      </c>
      <c r="AG155" s="29">
        <f>IF(COUNT(B155:Z155)&gt;1,_xlfn.STDEV.S(B155:Z155),IF(ISNUMBER(AC155),AC155,""))</f>
        <v/>
      </c>
      <c r="AH155" s="13">
        <f>IF(AND(ISNUMBER(AE155),ISNUMBER($B$23),ISNUMBER($D$23)),IF(AE155&gt;$D$23,"boven UCL",IF(AE155&lt;$B$23,"onder LCL","")),"")</f>
        <v/>
      </c>
      <c r="AI155" s="13">
        <f>IF(AND(ISNUMBER(AF155),ISNUMBER($B$24),ISNUMBER($D$24)),IF(AF155&gt;$D$24,"boven UCL",IF(AF155&lt;$B$24,"onder LCL","")),"")</f>
        <v/>
      </c>
      <c r="AJ155" s="13">
        <f>IF(AND(ISNUMBER(AE155),ISNUMBER($B$25),ISNUMBER($D$25)),IF(AE155&gt;$D$25,"boven UCL",IF(AE155&lt;$B$25,"onder LCL","")),"")</f>
        <v/>
      </c>
      <c r="AK155" s="13">
        <f>IF(AND(ISNUMBER(AG155),ISNUMBER($B$26),ISNUMBER($D$26)),IF(AG155&gt;$D$26,"boven UCL",IF(AG155&lt;$B$26,"onder LCL","")),"")</f>
        <v/>
      </c>
      <c r="AL155" s="13">
        <f>IF(AND(COUNT(B155:Z155)&gt;0,COUNT(AA155:AC155)&gt;0),"ruwe waarden én getypt: getypte genegeerd",IF(COUNTA(B155:Z155,AA155:AC155)&gt;COUNT(B155:Z155,AA155:AC155),"tekst telt niet mee",IF(COUNT(B155:Z155)=1,"1 waarde: geen R of s","")))</f>
        <v/>
      </c>
    </row>
    <row r="156">
      <c r="A156" t="n">
        <v>105</v>
      </c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28">
        <f>IF(COUNT(B156:Z156)&gt;0,COUNT(B156:Z156),IF(OR(ISNUMBER(AA156),ISNUMBER(AB156)),$B$9,""))</f>
        <v/>
      </c>
      <c r="AE156" s="29">
        <f>IF(COUNT(B156:Z156)&gt;0,AVERAGE(B156:Z156),IF(ISNUMBER(AA156),AA156,""))</f>
        <v/>
      </c>
      <c r="AF156" s="29">
        <f>IF(COUNT(B156:Z156)&gt;1,MAX(B156:Z156)-MIN(B156:Z156),IF(ISNUMBER(AB156),AB156,""))</f>
        <v/>
      </c>
      <c r="AG156" s="29">
        <f>IF(COUNT(B156:Z156)&gt;1,_xlfn.STDEV.S(B156:Z156),IF(ISNUMBER(AC156),AC156,""))</f>
        <v/>
      </c>
      <c r="AH156" s="13">
        <f>IF(AND(ISNUMBER(AE156),ISNUMBER($B$23),ISNUMBER($D$23)),IF(AE156&gt;$D$23,"boven UCL",IF(AE156&lt;$B$23,"onder LCL","")),"")</f>
        <v/>
      </c>
      <c r="AI156" s="13">
        <f>IF(AND(ISNUMBER(AF156),ISNUMBER($B$24),ISNUMBER($D$24)),IF(AF156&gt;$D$24,"boven UCL",IF(AF156&lt;$B$24,"onder LCL","")),"")</f>
        <v/>
      </c>
      <c r="AJ156" s="13">
        <f>IF(AND(ISNUMBER(AE156),ISNUMBER($B$25),ISNUMBER($D$25)),IF(AE156&gt;$D$25,"boven UCL",IF(AE156&lt;$B$25,"onder LCL","")),"")</f>
        <v/>
      </c>
      <c r="AK156" s="13">
        <f>IF(AND(ISNUMBER(AG156),ISNUMBER($B$26),ISNUMBER($D$26)),IF(AG156&gt;$D$26,"boven UCL",IF(AG156&lt;$B$26,"onder LCL","")),"")</f>
        <v/>
      </c>
      <c r="AL156" s="13">
        <f>IF(AND(COUNT(B156:Z156)&gt;0,COUNT(AA156:AC156)&gt;0),"ruwe waarden én getypt: getypte genegeerd",IF(COUNTA(B156:Z156,AA156:AC156)&gt;COUNT(B156:Z156,AA156:AC156),"tekst telt niet mee",IF(COUNT(B156:Z156)=1,"1 waarde: geen R of s","")))</f>
        <v/>
      </c>
    </row>
    <row r="157">
      <c r="A157" t="n">
        <v>106</v>
      </c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28">
        <f>IF(COUNT(B157:Z157)&gt;0,COUNT(B157:Z157),IF(OR(ISNUMBER(AA157),ISNUMBER(AB157)),$B$9,""))</f>
        <v/>
      </c>
      <c r="AE157" s="29">
        <f>IF(COUNT(B157:Z157)&gt;0,AVERAGE(B157:Z157),IF(ISNUMBER(AA157),AA157,""))</f>
        <v/>
      </c>
      <c r="AF157" s="29">
        <f>IF(COUNT(B157:Z157)&gt;1,MAX(B157:Z157)-MIN(B157:Z157),IF(ISNUMBER(AB157),AB157,""))</f>
        <v/>
      </c>
      <c r="AG157" s="29">
        <f>IF(COUNT(B157:Z157)&gt;1,_xlfn.STDEV.S(B157:Z157),IF(ISNUMBER(AC157),AC157,""))</f>
        <v/>
      </c>
      <c r="AH157" s="13">
        <f>IF(AND(ISNUMBER(AE157),ISNUMBER($B$23),ISNUMBER($D$23)),IF(AE157&gt;$D$23,"boven UCL",IF(AE157&lt;$B$23,"onder LCL","")),"")</f>
        <v/>
      </c>
      <c r="AI157" s="13">
        <f>IF(AND(ISNUMBER(AF157),ISNUMBER($B$24),ISNUMBER($D$24)),IF(AF157&gt;$D$24,"boven UCL",IF(AF157&lt;$B$24,"onder LCL","")),"")</f>
        <v/>
      </c>
      <c r="AJ157" s="13">
        <f>IF(AND(ISNUMBER(AE157),ISNUMBER($B$25),ISNUMBER($D$25)),IF(AE157&gt;$D$25,"boven UCL",IF(AE157&lt;$B$25,"onder LCL","")),"")</f>
        <v/>
      </c>
      <c r="AK157" s="13">
        <f>IF(AND(ISNUMBER(AG157),ISNUMBER($B$26),ISNUMBER($D$26)),IF(AG157&gt;$D$26,"boven UCL",IF(AG157&lt;$B$26,"onder LCL","")),"")</f>
        <v/>
      </c>
      <c r="AL157" s="13">
        <f>IF(AND(COUNT(B157:Z157)&gt;0,COUNT(AA157:AC157)&gt;0),"ruwe waarden én getypt: getypte genegeerd",IF(COUNTA(B157:Z157,AA157:AC157)&gt;COUNT(B157:Z157,AA157:AC157),"tekst telt niet mee",IF(COUNT(B157:Z157)=1,"1 waarde: geen R of s","")))</f>
        <v/>
      </c>
    </row>
    <row r="158">
      <c r="A158" t="n">
        <v>107</v>
      </c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28">
        <f>IF(COUNT(B158:Z158)&gt;0,COUNT(B158:Z158),IF(OR(ISNUMBER(AA158),ISNUMBER(AB158)),$B$9,""))</f>
        <v/>
      </c>
      <c r="AE158" s="29">
        <f>IF(COUNT(B158:Z158)&gt;0,AVERAGE(B158:Z158),IF(ISNUMBER(AA158),AA158,""))</f>
        <v/>
      </c>
      <c r="AF158" s="29">
        <f>IF(COUNT(B158:Z158)&gt;1,MAX(B158:Z158)-MIN(B158:Z158),IF(ISNUMBER(AB158),AB158,""))</f>
        <v/>
      </c>
      <c r="AG158" s="29">
        <f>IF(COUNT(B158:Z158)&gt;1,_xlfn.STDEV.S(B158:Z158),IF(ISNUMBER(AC158),AC158,""))</f>
        <v/>
      </c>
      <c r="AH158" s="13">
        <f>IF(AND(ISNUMBER(AE158),ISNUMBER($B$23),ISNUMBER($D$23)),IF(AE158&gt;$D$23,"boven UCL",IF(AE158&lt;$B$23,"onder LCL","")),"")</f>
        <v/>
      </c>
      <c r="AI158" s="13">
        <f>IF(AND(ISNUMBER(AF158),ISNUMBER($B$24),ISNUMBER($D$24)),IF(AF158&gt;$D$24,"boven UCL",IF(AF158&lt;$B$24,"onder LCL","")),"")</f>
        <v/>
      </c>
      <c r="AJ158" s="13">
        <f>IF(AND(ISNUMBER(AE158),ISNUMBER($B$25),ISNUMBER($D$25)),IF(AE158&gt;$D$25,"boven UCL",IF(AE158&lt;$B$25,"onder LCL","")),"")</f>
        <v/>
      </c>
      <c r="AK158" s="13">
        <f>IF(AND(ISNUMBER(AG158),ISNUMBER($B$26),ISNUMBER($D$26)),IF(AG158&gt;$D$26,"boven UCL",IF(AG158&lt;$B$26,"onder LCL","")),"")</f>
        <v/>
      </c>
      <c r="AL158" s="13">
        <f>IF(AND(COUNT(B158:Z158)&gt;0,COUNT(AA158:AC158)&gt;0),"ruwe waarden én getypt: getypte genegeerd",IF(COUNTA(B158:Z158,AA158:AC158)&gt;COUNT(B158:Z158,AA158:AC158),"tekst telt niet mee",IF(COUNT(B158:Z158)=1,"1 waarde: geen R of s","")))</f>
        <v/>
      </c>
    </row>
    <row r="159">
      <c r="A159" t="n">
        <v>108</v>
      </c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28">
        <f>IF(COUNT(B159:Z159)&gt;0,COUNT(B159:Z159),IF(OR(ISNUMBER(AA159),ISNUMBER(AB159)),$B$9,""))</f>
        <v/>
      </c>
      <c r="AE159" s="29">
        <f>IF(COUNT(B159:Z159)&gt;0,AVERAGE(B159:Z159),IF(ISNUMBER(AA159),AA159,""))</f>
        <v/>
      </c>
      <c r="AF159" s="29">
        <f>IF(COUNT(B159:Z159)&gt;1,MAX(B159:Z159)-MIN(B159:Z159),IF(ISNUMBER(AB159),AB159,""))</f>
        <v/>
      </c>
      <c r="AG159" s="29">
        <f>IF(COUNT(B159:Z159)&gt;1,_xlfn.STDEV.S(B159:Z159),IF(ISNUMBER(AC159),AC159,""))</f>
        <v/>
      </c>
      <c r="AH159" s="13">
        <f>IF(AND(ISNUMBER(AE159),ISNUMBER($B$23),ISNUMBER($D$23)),IF(AE159&gt;$D$23,"boven UCL",IF(AE159&lt;$B$23,"onder LCL","")),"")</f>
        <v/>
      </c>
      <c r="AI159" s="13">
        <f>IF(AND(ISNUMBER(AF159),ISNUMBER($B$24),ISNUMBER($D$24)),IF(AF159&gt;$D$24,"boven UCL",IF(AF159&lt;$B$24,"onder LCL","")),"")</f>
        <v/>
      </c>
      <c r="AJ159" s="13">
        <f>IF(AND(ISNUMBER(AE159),ISNUMBER($B$25),ISNUMBER($D$25)),IF(AE159&gt;$D$25,"boven UCL",IF(AE159&lt;$B$25,"onder LCL","")),"")</f>
        <v/>
      </c>
      <c r="AK159" s="13">
        <f>IF(AND(ISNUMBER(AG159),ISNUMBER($B$26),ISNUMBER($D$26)),IF(AG159&gt;$D$26,"boven UCL",IF(AG159&lt;$B$26,"onder LCL","")),"")</f>
        <v/>
      </c>
      <c r="AL159" s="13">
        <f>IF(AND(COUNT(B159:Z159)&gt;0,COUNT(AA159:AC159)&gt;0),"ruwe waarden én getypt: getypte genegeerd",IF(COUNTA(B159:Z159,AA159:AC159)&gt;COUNT(B159:Z159,AA159:AC159),"tekst telt niet mee",IF(COUNT(B159:Z159)=1,"1 waarde: geen R of s","")))</f>
        <v/>
      </c>
    </row>
    <row r="160">
      <c r="A160" t="n">
        <v>109</v>
      </c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28">
        <f>IF(COUNT(B160:Z160)&gt;0,COUNT(B160:Z160),IF(OR(ISNUMBER(AA160),ISNUMBER(AB160)),$B$9,""))</f>
        <v/>
      </c>
      <c r="AE160" s="29">
        <f>IF(COUNT(B160:Z160)&gt;0,AVERAGE(B160:Z160),IF(ISNUMBER(AA160),AA160,""))</f>
        <v/>
      </c>
      <c r="AF160" s="29">
        <f>IF(COUNT(B160:Z160)&gt;1,MAX(B160:Z160)-MIN(B160:Z160),IF(ISNUMBER(AB160),AB160,""))</f>
        <v/>
      </c>
      <c r="AG160" s="29">
        <f>IF(COUNT(B160:Z160)&gt;1,_xlfn.STDEV.S(B160:Z160),IF(ISNUMBER(AC160),AC160,""))</f>
        <v/>
      </c>
      <c r="AH160" s="13">
        <f>IF(AND(ISNUMBER(AE160),ISNUMBER($B$23),ISNUMBER($D$23)),IF(AE160&gt;$D$23,"boven UCL",IF(AE160&lt;$B$23,"onder LCL","")),"")</f>
        <v/>
      </c>
      <c r="AI160" s="13">
        <f>IF(AND(ISNUMBER(AF160),ISNUMBER($B$24),ISNUMBER($D$24)),IF(AF160&gt;$D$24,"boven UCL",IF(AF160&lt;$B$24,"onder LCL","")),"")</f>
        <v/>
      </c>
      <c r="AJ160" s="13">
        <f>IF(AND(ISNUMBER(AE160),ISNUMBER($B$25),ISNUMBER($D$25)),IF(AE160&gt;$D$25,"boven UCL",IF(AE160&lt;$B$25,"onder LCL","")),"")</f>
        <v/>
      </c>
      <c r="AK160" s="13">
        <f>IF(AND(ISNUMBER(AG160),ISNUMBER($B$26),ISNUMBER($D$26)),IF(AG160&gt;$D$26,"boven UCL",IF(AG160&lt;$B$26,"onder LCL","")),"")</f>
        <v/>
      </c>
      <c r="AL160" s="13">
        <f>IF(AND(COUNT(B160:Z160)&gt;0,COUNT(AA160:AC160)&gt;0),"ruwe waarden én getypt: getypte genegeerd",IF(COUNTA(B160:Z160,AA160:AC160)&gt;COUNT(B160:Z160,AA160:AC160),"tekst telt niet mee",IF(COUNT(B160:Z160)=1,"1 waarde: geen R of s","")))</f>
        <v/>
      </c>
    </row>
    <row r="161">
      <c r="A161" t="n">
        <v>110</v>
      </c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28">
        <f>IF(COUNT(B161:Z161)&gt;0,COUNT(B161:Z161),IF(OR(ISNUMBER(AA161),ISNUMBER(AB161)),$B$9,""))</f>
        <v/>
      </c>
      <c r="AE161" s="29">
        <f>IF(COUNT(B161:Z161)&gt;0,AVERAGE(B161:Z161),IF(ISNUMBER(AA161),AA161,""))</f>
        <v/>
      </c>
      <c r="AF161" s="29">
        <f>IF(COUNT(B161:Z161)&gt;1,MAX(B161:Z161)-MIN(B161:Z161),IF(ISNUMBER(AB161),AB161,""))</f>
        <v/>
      </c>
      <c r="AG161" s="29">
        <f>IF(COUNT(B161:Z161)&gt;1,_xlfn.STDEV.S(B161:Z161),IF(ISNUMBER(AC161),AC161,""))</f>
        <v/>
      </c>
      <c r="AH161" s="13">
        <f>IF(AND(ISNUMBER(AE161),ISNUMBER($B$23),ISNUMBER($D$23)),IF(AE161&gt;$D$23,"boven UCL",IF(AE161&lt;$B$23,"onder LCL","")),"")</f>
        <v/>
      </c>
      <c r="AI161" s="13">
        <f>IF(AND(ISNUMBER(AF161),ISNUMBER($B$24),ISNUMBER($D$24)),IF(AF161&gt;$D$24,"boven UCL",IF(AF161&lt;$B$24,"onder LCL","")),"")</f>
        <v/>
      </c>
      <c r="AJ161" s="13">
        <f>IF(AND(ISNUMBER(AE161),ISNUMBER($B$25),ISNUMBER($D$25)),IF(AE161&gt;$D$25,"boven UCL",IF(AE161&lt;$B$25,"onder LCL","")),"")</f>
        <v/>
      </c>
      <c r="AK161" s="13">
        <f>IF(AND(ISNUMBER(AG161),ISNUMBER($B$26),ISNUMBER($D$26)),IF(AG161&gt;$D$26,"boven UCL",IF(AG161&lt;$B$26,"onder LCL","")),"")</f>
        <v/>
      </c>
      <c r="AL161" s="13">
        <f>IF(AND(COUNT(B161:Z161)&gt;0,COUNT(AA161:AC161)&gt;0),"ruwe waarden én getypt: getypte genegeerd",IF(COUNTA(B161:Z161,AA161:AC161)&gt;COUNT(B161:Z161,AA161:AC161),"tekst telt niet mee",IF(COUNT(B161:Z161)=1,"1 waarde: geen R of s","")))</f>
        <v/>
      </c>
    </row>
    <row r="162">
      <c r="A162" t="n">
        <v>111</v>
      </c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28">
        <f>IF(COUNT(B162:Z162)&gt;0,COUNT(B162:Z162),IF(OR(ISNUMBER(AA162),ISNUMBER(AB162)),$B$9,""))</f>
        <v/>
      </c>
      <c r="AE162" s="29">
        <f>IF(COUNT(B162:Z162)&gt;0,AVERAGE(B162:Z162),IF(ISNUMBER(AA162),AA162,""))</f>
        <v/>
      </c>
      <c r="AF162" s="29">
        <f>IF(COUNT(B162:Z162)&gt;1,MAX(B162:Z162)-MIN(B162:Z162),IF(ISNUMBER(AB162),AB162,""))</f>
        <v/>
      </c>
      <c r="AG162" s="29">
        <f>IF(COUNT(B162:Z162)&gt;1,_xlfn.STDEV.S(B162:Z162),IF(ISNUMBER(AC162),AC162,""))</f>
        <v/>
      </c>
      <c r="AH162" s="13">
        <f>IF(AND(ISNUMBER(AE162),ISNUMBER($B$23),ISNUMBER($D$23)),IF(AE162&gt;$D$23,"boven UCL",IF(AE162&lt;$B$23,"onder LCL","")),"")</f>
        <v/>
      </c>
      <c r="AI162" s="13">
        <f>IF(AND(ISNUMBER(AF162),ISNUMBER($B$24),ISNUMBER($D$24)),IF(AF162&gt;$D$24,"boven UCL",IF(AF162&lt;$B$24,"onder LCL","")),"")</f>
        <v/>
      </c>
      <c r="AJ162" s="13">
        <f>IF(AND(ISNUMBER(AE162),ISNUMBER($B$25),ISNUMBER($D$25)),IF(AE162&gt;$D$25,"boven UCL",IF(AE162&lt;$B$25,"onder LCL","")),"")</f>
        <v/>
      </c>
      <c r="AK162" s="13">
        <f>IF(AND(ISNUMBER(AG162),ISNUMBER($B$26),ISNUMBER($D$26)),IF(AG162&gt;$D$26,"boven UCL",IF(AG162&lt;$B$26,"onder LCL","")),"")</f>
        <v/>
      </c>
      <c r="AL162" s="13">
        <f>IF(AND(COUNT(B162:Z162)&gt;0,COUNT(AA162:AC162)&gt;0),"ruwe waarden én getypt: getypte genegeerd",IF(COUNTA(B162:Z162,AA162:AC162)&gt;COUNT(B162:Z162,AA162:AC162),"tekst telt niet mee",IF(COUNT(B162:Z162)=1,"1 waarde: geen R of s","")))</f>
        <v/>
      </c>
    </row>
    <row r="163">
      <c r="A163" t="n">
        <v>112</v>
      </c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28">
        <f>IF(COUNT(B163:Z163)&gt;0,COUNT(B163:Z163),IF(OR(ISNUMBER(AA163),ISNUMBER(AB163)),$B$9,""))</f>
        <v/>
      </c>
      <c r="AE163" s="29">
        <f>IF(COUNT(B163:Z163)&gt;0,AVERAGE(B163:Z163),IF(ISNUMBER(AA163),AA163,""))</f>
        <v/>
      </c>
      <c r="AF163" s="29">
        <f>IF(COUNT(B163:Z163)&gt;1,MAX(B163:Z163)-MIN(B163:Z163),IF(ISNUMBER(AB163),AB163,""))</f>
        <v/>
      </c>
      <c r="AG163" s="29">
        <f>IF(COUNT(B163:Z163)&gt;1,_xlfn.STDEV.S(B163:Z163),IF(ISNUMBER(AC163),AC163,""))</f>
        <v/>
      </c>
      <c r="AH163" s="13">
        <f>IF(AND(ISNUMBER(AE163),ISNUMBER($B$23),ISNUMBER($D$23)),IF(AE163&gt;$D$23,"boven UCL",IF(AE163&lt;$B$23,"onder LCL","")),"")</f>
        <v/>
      </c>
      <c r="AI163" s="13">
        <f>IF(AND(ISNUMBER(AF163),ISNUMBER($B$24),ISNUMBER($D$24)),IF(AF163&gt;$D$24,"boven UCL",IF(AF163&lt;$B$24,"onder LCL","")),"")</f>
        <v/>
      </c>
      <c r="AJ163" s="13">
        <f>IF(AND(ISNUMBER(AE163),ISNUMBER($B$25),ISNUMBER($D$25)),IF(AE163&gt;$D$25,"boven UCL",IF(AE163&lt;$B$25,"onder LCL","")),"")</f>
        <v/>
      </c>
      <c r="AK163" s="13">
        <f>IF(AND(ISNUMBER(AG163),ISNUMBER($B$26),ISNUMBER($D$26)),IF(AG163&gt;$D$26,"boven UCL",IF(AG163&lt;$B$26,"onder LCL","")),"")</f>
        <v/>
      </c>
      <c r="AL163" s="13">
        <f>IF(AND(COUNT(B163:Z163)&gt;0,COUNT(AA163:AC163)&gt;0),"ruwe waarden én getypt: getypte genegeerd",IF(COUNTA(B163:Z163,AA163:AC163)&gt;COUNT(B163:Z163,AA163:AC163),"tekst telt niet mee",IF(COUNT(B163:Z163)=1,"1 waarde: geen R of s","")))</f>
        <v/>
      </c>
    </row>
    <row r="164">
      <c r="A164" t="n">
        <v>113</v>
      </c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28">
        <f>IF(COUNT(B164:Z164)&gt;0,COUNT(B164:Z164),IF(OR(ISNUMBER(AA164),ISNUMBER(AB164)),$B$9,""))</f>
        <v/>
      </c>
      <c r="AE164" s="29">
        <f>IF(COUNT(B164:Z164)&gt;0,AVERAGE(B164:Z164),IF(ISNUMBER(AA164),AA164,""))</f>
        <v/>
      </c>
      <c r="AF164" s="29">
        <f>IF(COUNT(B164:Z164)&gt;1,MAX(B164:Z164)-MIN(B164:Z164),IF(ISNUMBER(AB164),AB164,""))</f>
        <v/>
      </c>
      <c r="AG164" s="29">
        <f>IF(COUNT(B164:Z164)&gt;1,_xlfn.STDEV.S(B164:Z164),IF(ISNUMBER(AC164),AC164,""))</f>
        <v/>
      </c>
      <c r="AH164" s="13">
        <f>IF(AND(ISNUMBER(AE164),ISNUMBER($B$23),ISNUMBER($D$23)),IF(AE164&gt;$D$23,"boven UCL",IF(AE164&lt;$B$23,"onder LCL","")),"")</f>
        <v/>
      </c>
      <c r="AI164" s="13">
        <f>IF(AND(ISNUMBER(AF164),ISNUMBER($B$24),ISNUMBER($D$24)),IF(AF164&gt;$D$24,"boven UCL",IF(AF164&lt;$B$24,"onder LCL","")),"")</f>
        <v/>
      </c>
      <c r="AJ164" s="13">
        <f>IF(AND(ISNUMBER(AE164),ISNUMBER($B$25),ISNUMBER($D$25)),IF(AE164&gt;$D$25,"boven UCL",IF(AE164&lt;$B$25,"onder LCL","")),"")</f>
        <v/>
      </c>
      <c r="AK164" s="13">
        <f>IF(AND(ISNUMBER(AG164),ISNUMBER($B$26),ISNUMBER($D$26)),IF(AG164&gt;$D$26,"boven UCL",IF(AG164&lt;$B$26,"onder LCL","")),"")</f>
        <v/>
      </c>
      <c r="AL164" s="13">
        <f>IF(AND(COUNT(B164:Z164)&gt;0,COUNT(AA164:AC164)&gt;0),"ruwe waarden én getypt: getypte genegeerd",IF(COUNTA(B164:Z164,AA164:AC164)&gt;COUNT(B164:Z164,AA164:AC164),"tekst telt niet mee",IF(COUNT(B164:Z164)=1,"1 waarde: geen R of s","")))</f>
        <v/>
      </c>
    </row>
    <row r="165">
      <c r="A165" t="n">
        <v>114</v>
      </c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28">
        <f>IF(COUNT(B165:Z165)&gt;0,COUNT(B165:Z165),IF(OR(ISNUMBER(AA165),ISNUMBER(AB165)),$B$9,""))</f>
        <v/>
      </c>
      <c r="AE165" s="29">
        <f>IF(COUNT(B165:Z165)&gt;0,AVERAGE(B165:Z165),IF(ISNUMBER(AA165),AA165,""))</f>
        <v/>
      </c>
      <c r="AF165" s="29">
        <f>IF(COUNT(B165:Z165)&gt;1,MAX(B165:Z165)-MIN(B165:Z165),IF(ISNUMBER(AB165),AB165,""))</f>
        <v/>
      </c>
      <c r="AG165" s="29">
        <f>IF(COUNT(B165:Z165)&gt;1,_xlfn.STDEV.S(B165:Z165),IF(ISNUMBER(AC165),AC165,""))</f>
        <v/>
      </c>
      <c r="AH165" s="13">
        <f>IF(AND(ISNUMBER(AE165),ISNUMBER($B$23),ISNUMBER($D$23)),IF(AE165&gt;$D$23,"boven UCL",IF(AE165&lt;$B$23,"onder LCL","")),"")</f>
        <v/>
      </c>
      <c r="AI165" s="13">
        <f>IF(AND(ISNUMBER(AF165),ISNUMBER($B$24),ISNUMBER($D$24)),IF(AF165&gt;$D$24,"boven UCL",IF(AF165&lt;$B$24,"onder LCL","")),"")</f>
        <v/>
      </c>
      <c r="AJ165" s="13">
        <f>IF(AND(ISNUMBER(AE165),ISNUMBER($B$25),ISNUMBER($D$25)),IF(AE165&gt;$D$25,"boven UCL",IF(AE165&lt;$B$25,"onder LCL","")),"")</f>
        <v/>
      </c>
      <c r="AK165" s="13">
        <f>IF(AND(ISNUMBER(AG165),ISNUMBER($B$26),ISNUMBER($D$26)),IF(AG165&gt;$D$26,"boven UCL",IF(AG165&lt;$B$26,"onder LCL","")),"")</f>
        <v/>
      </c>
      <c r="AL165" s="13">
        <f>IF(AND(COUNT(B165:Z165)&gt;0,COUNT(AA165:AC165)&gt;0),"ruwe waarden én getypt: getypte genegeerd",IF(COUNTA(B165:Z165,AA165:AC165)&gt;COUNT(B165:Z165,AA165:AC165),"tekst telt niet mee",IF(COUNT(B165:Z165)=1,"1 waarde: geen R of s","")))</f>
        <v/>
      </c>
    </row>
    <row r="166">
      <c r="A166" t="n">
        <v>115</v>
      </c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28">
        <f>IF(COUNT(B166:Z166)&gt;0,COUNT(B166:Z166),IF(OR(ISNUMBER(AA166),ISNUMBER(AB166)),$B$9,""))</f>
        <v/>
      </c>
      <c r="AE166" s="29">
        <f>IF(COUNT(B166:Z166)&gt;0,AVERAGE(B166:Z166),IF(ISNUMBER(AA166),AA166,""))</f>
        <v/>
      </c>
      <c r="AF166" s="29">
        <f>IF(COUNT(B166:Z166)&gt;1,MAX(B166:Z166)-MIN(B166:Z166),IF(ISNUMBER(AB166),AB166,""))</f>
        <v/>
      </c>
      <c r="AG166" s="29">
        <f>IF(COUNT(B166:Z166)&gt;1,_xlfn.STDEV.S(B166:Z166),IF(ISNUMBER(AC166),AC166,""))</f>
        <v/>
      </c>
      <c r="AH166" s="13">
        <f>IF(AND(ISNUMBER(AE166),ISNUMBER($B$23),ISNUMBER($D$23)),IF(AE166&gt;$D$23,"boven UCL",IF(AE166&lt;$B$23,"onder LCL","")),"")</f>
        <v/>
      </c>
      <c r="AI166" s="13">
        <f>IF(AND(ISNUMBER(AF166),ISNUMBER($B$24),ISNUMBER($D$24)),IF(AF166&gt;$D$24,"boven UCL",IF(AF166&lt;$B$24,"onder LCL","")),"")</f>
        <v/>
      </c>
      <c r="AJ166" s="13">
        <f>IF(AND(ISNUMBER(AE166),ISNUMBER($B$25),ISNUMBER($D$25)),IF(AE166&gt;$D$25,"boven UCL",IF(AE166&lt;$B$25,"onder LCL","")),"")</f>
        <v/>
      </c>
      <c r="AK166" s="13">
        <f>IF(AND(ISNUMBER(AG166),ISNUMBER($B$26),ISNUMBER($D$26)),IF(AG166&gt;$D$26,"boven UCL",IF(AG166&lt;$B$26,"onder LCL","")),"")</f>
        <v/>
      </c>
      <c r="AL166" s="13">
        <f>IF(AND(COUNT(B166:Z166)&gt;0,COUNT(AA166:AC166)&gt;0),"ruwe waarden én getypt: getypte genegeerd",IF(COUNTA(B166:Z166,AA166:AC166)&gt;COUNT(B166:Z166,AA166:AC166),"tekst telt niet mee",IF(COUNT(B166:Z166)=1,"1 waarde: geen R of s","")))</f>
        <v/>
      </c>
    </row>
    <row r="167">
      <c r="A167" t="n">
        <v>116</v>
      </c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28">
        <f>IF(COUNT(B167:Z167)&gt;0,COUNT(B167:Z167),IF(OR(ISNUMBER(AA167),ISNUMBER(AB167)),$B$9,""))</f>
        <v/>
      </c>
      <c r="AE167" s="29">
        <f>IF(COUNT(B167:Z167)&gt;0,AVERAGE(B167:Z167),IF(ISNUMBER(AA167),AA167,""))</f>
        <v/>
      </c>
      <c r="AF167" s="29">
        <f>IF(COUNT(B167:Z167)&gt;1,MAX(B167:Z167)-MIN(B167:Z167),IF(ISNUMBER(AB167),AB167,""))</f>
        <v/>
      </c>
      <c r="AG167" s="29">
        <f>IF(COUNT(B167:Z167)&gt;1,_xlfn.STDEV.S(B167:Z167),IF(ISNUMBER(AC167),AC167,""))</f>
        <v/>
      </c>
      <c r="AH167" s="13">
        <f>IF(AND(ISNUMBER(AE167),ISNUMBER($B$23),ISNUMBER($D$23)),IF(AE167&gt;$D$23,"boven UCL",IF(AE167&lt;$B$23,"onder LCL","")),"")</f>
        <v/>
      </c>
      <c r="AI167" s="13">
        <f>IF(AND(ISNUMBER(AF167),ISNUMBER($B$24),ISNUMBER($D$24)),IF(AF167&gt;$D$24,"boven UCL",IF(AF167&lt;$B$24,"onder LCL","")),"")</f>
        <v/>
      </c>
      <c r="AJ167" s="13">
        <f>IF(AND(ISNUMBER(AE167),ISNUMBER($B$25),ISNUMBER($D$25)),IF(AE167&gt;$D$25,"boven UCL",IF(AE167&lt;$B$25,"onder LCL","")),"")</f>
        <v/>
      </c>
      <c r="AK167" s="13">
        <f>IF(AND(ISNUMBER(AG167),ISNUMBER($B$26),ISNUMBER($D$26)),IF(AG167&gt;$D$26,"boven UCL",IF(AG167&lt;$B$26,"onder LCL","")),"")</f>
        <v/>
      </c>
      <c r="AL167" s="13">
        <f>IF(AND(COUNT(B167:Z167)&gt;0,COUNT(AA167:AC167)&gt;0),"ruwe waarden én getypt: getypte genegeerd",IF(COUNTA(B167:Z167,AA167:AC167)&gt;COUNT(B167:Z167,AA167:AC167),"tekst telt niet mee",IF(COUNT(B167:Z167)=1,"1 waarde: geen R of s","")))</f>
        <v/>
      </c>
    </row>
    <row r="168">
      <c r="A168" t="n">
        <v>117</v>
      </c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28">
        <f>IF(COUNT(B168:Z168)&gt;0,COUNT(B168:Z168),IF(OR(ISNUMBER(AA168),ISNUMBER(AB168)),$B$9,""))</f>
        <v/>
      </c>
      <c r="AE168" s="29">
        <f>IF(COUNT(B168:Z168)&gt;0,AVERAGE(B168:Z168),IF(ISNUMBER(AA168),AA168,""))</f>
        <v/>
      </c>
      <c r="AF168" s="29">
        <f>IF(COUNT(B168:Z168)&gt;1,MAX(B168:Z168)-MIN(B168:Z168),IF(ISNUMBER(AB168),AB168,""))</f>
        <v/>
      </c>
      <c r="AG168" s="29">
        <f>IF(COUNT(B168:Z168)&gt;1,_xlfn.STDEV.S(B168:Z168),IF(ISNUMBER(AC168),AC168,""))</f>
        <v/>
      </c>
      <c r="AH168" s="13">
        <f>IF(AND(ISNUMBER(AE168),ISNUMBER($B$23),ISNUMBER($D$23)),IF(AE168&gt;$D$23,"boven UCL",IF(AE168&lt;$B$23,"onder LCL","")),"")</f>
        <v/>
      </c>
      <c r="AI168" s="13">
        <f>IF(AND(ISNUMBER(AF168),ISNUMBER($B$24),ISNUMBER($D$24)),IF(AF168&gt;$D$24,"boven UCL",IF(AF168&lt;$B$24,"onder LCL","")),"")</f>
        <v/>
      </c>
      <c r="AJ168" s="13">
        <f>IF(AND(ISNUMBER(AE168),ISNUMBER($B$25),ISNUMBER($D$25)),IF(AE168&gt;$D$25,"boven UCL",IF(AE168&lt;$B$25,"onder LCL","")),"")</f>
        <v/>
      </c>
      <c r="AK168" s="13">
        <f>IF(AND(ISNUMBER(AG168),ISNUMBER($B$26),ISNUMBER($D$26)),IF(AG168&gt;$D$26,"boven UCL",IF(AG168&lt;$B$26,"onder LCL","")),"")</f>
        <v/>
      </c>
      <c r="AL168" s="13">
        <f>IF(AND(COUNT(B168:Z168)&gt;0,COUNT(AA168:AC168)&gt;0),"ruwe waarden én getypt: getypte genegeerd",IF(COUNTA(B168:Z168,AA168:AC168)&gt;COUNT(B168:Z168,AA168:AC168),"tekst telt niet mee",IF(COUNT(B168:Z168)=1,"1 waarde: geen R of s","")))</f>
        <v/>
      </c>
    </row>
    <row r="169">
      <c r="A169" t="n">
        <v>118</v>
      </c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28">
        <f>IF(COUNT(B169:Z169)&gt;0,COUNT(B169:Z169),IF(OR(ISNUMBER(AA169),ISNUMBER(AB169)),$B$9,""))</f>
        <v/>
      </c>
      <c r="AE169" s="29">
        <f>IF(COUNT(B169:Z169)&gt;0,AVERAGE(B169:Z169),IF(ISNUMBER(AA169),AA169,""))</f>
        <v/>
      </c>
      <c r="AF169" s="29">
        <f>IF(COUNT(B169:Z169)&gt;1,MAX(B169:Z169)-MIN(B169:Z169),IF(ISNUMBER(AB169),AB169,""))</f>
        <v/>
      </c>
      <c r="AG169" s="29">
        <f>IF(COUNT(B169:Z169)&gt;1,_xlfn.STDEV.S(B169:Z169),IF(ISNUMBER(AC169),AC169,""))</f>
        <v/>
      </c>
      <c r="AH169" s="13">
        <f>IF(AND(ISNUMBER(AE169),ISNUMBER($B$23),ISNUMBER($D$23)),IF(AE169&gt;$D$23,"boven UCL",IF(AE169&lt;$B$23,"onder LCL","")),"")</f>
        <v/>
      </c>
      <c r="AI169" s="13">
        <f>IF(AND(ISNUMBER(AF169),ISNUMBER($B$24),ISNUMBER($D$24)),IF(AF169&gt;$D$24,"boven UCL",IF(AF169&lt;$B$24,"onder LCL","")),"")</f>
        <v/>
      </c>
      <c r="AJ169" s="13">
        <f>IF(AND(ISNUMBER(AE169),ISNUMBER($B$25),ISNUMBER($D$25)),IF(AE169&gt;$D$25,"boven UCL",IF(AE169&lt;$B$25,"onder LCL","")),"")</f>
        <v/>
      </c>
      <c r="AK169" s="13">
        <f>IF(AND(ISNUMBER(AG169),ISNUMBER($B$26),ISNUMBER($D$26)),IF(AG169&gt;$D$26,"boven UCL",IF(AG169&lt;$B$26,"onder LCL","")),"")</f>
        <v/>
      </c>
      <c r="AL169" s="13">
        <f>IF(AND(COUNT(B169:Z169)&gt;0,COUNT(AA169:AC169)&gt;0),"ruwe waarden én getypt: getypte genegeerd",IF(COUNTA(B169:Z169,AA169:AC169)&gt;COUNT(B169:Z169,AA169:AC169),"tekst telt niet mee",IF(COUNT(B169:Z169)=1,"1 waarde: geen R of s","")))</f>
        <v/>
      </c>
    </row>
    <row r="170">
      <c r="A170" t="n">
        <v>119</v>
      </c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28">
        <f>IF(COUNT(B170:Z170)&gt;0,COUNT(B170:Z170),IF(OR(ISNUMBER(AA170),ISNUMBER(AB170)),$B$9,""))</f>
        <v/>
      </c>
      <c r="AE170" s="29">
        <f>IF(COUNT(B170:Z170)&gt;0,AVERAGE(B170:Z170),IF(ISNUMBER(AA170),AA170,""))</f>
        <v/>
      </c>
      <c r="AF170" s="29">
        <f>IF(COUNT(B170:Z170)&gt;1,MAX(B170:Z170)-MIN(B170:Z170),IF(ISNUMBER(AB170),AB170,""))</f>
        <v/>
      </c>
      <c r="AG170" s="29">
        <f>IF(COUNT(B170:Z170)&gt;1,_xlfn.STDEV.S(B170:Z170),IF(ISNUMBER(AC170),AC170,""))</f>
        <v/>
      </c>
      <c r="AH170" s="13">
        <f>IF(AND(ISNUMBER(AE170),ISNUMBER($B$23),ISNUMBER($D$23)),IF(AE170&gt;$D$23,"boven UCL",IF(AE170&lt;$B$23,"onder LCL","")),"")</f>
        <v/>
      </c>
      <c r="AI170" s="13">
        <f>IF(AND(ISNUMBER(AF170),ISNUMBER($B$24),ISNUMBER($D$24)),IF(AF170&gt;$D$24,"boven UCL",IF(AF170&lt;$B$24,"onder LCL","")),"")</f>
        <v/>
      </c>
      <c r="AJ170" s="13">
        <f>IF(AND(ISNUMBER(AE170),ISNUMBER($B$25),ISNUMBER($D$25)),IF(AE170&gt;$D$25,"boven UCL",IF(AE170&lt;$B$25,"onder LCL","")),"")</f>
        <v/>
      </c>
      <c r="AK170" s="13">
        <f>IF(AND(ISNUMBER(AG170),ISNUMBER($B$26),ISNUMBER($D$26)),IF(AG170&gt;$D$26,"boven UCL",IF(AG170&lt;$B$26,"onder LCL","")),"")</f>
        <v/>
      </c>
      <c r="AL170" s="13">
        <f>IF(AND(COUNT(B170:Z170)&gt;0,COUNT(AA170:AC170)&gt;0),"ruwe waarden én getypt: getypte genegeerd",IF(COUNTA(B170:Z170,AA170:AC170)&gt;COUNT(B170:Z170,AA170:AC170),"tekst telt niet mee",IF(COUNT(B170:Z170)=1,"1 waarde: geen R of s","")))</f>
        <v/>
      </c>
    </row>
    <row r="171">
      <c r="A171" t="n">
        <v>120</v>
      </c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28">
        <f>IF(COUNT(B171:Z171)&gt;0,COUNT(B171:Z171),IF(OR(ISNUMBER(AA171),ISNUMBER(AB171)),$B$9,""))</f>
        <v/>
      </c>
      <c r="AE171" s="29">
        <f>IF(COUNT(B171:Z171)&gt;0,AVERAGE(B171:Z171),IF(ISNUMBER(AA171),AA171,""))</f>
        <v/>
      </c>
      <c r="AF171" s="29">
        <f>IF(COUNT(B171:Z171)&gt;1,MAX(B171:Z171)-MIN(B171:Z171),IF(ISNUMBER(AB171),AB171,""))</f>
        <v/>
      </c>
      <c r="AG171" s="29">
        <f>IF(COUNT(B171:Z171)&gt;1,_xlfn.STDEV.S(B171:Z171),IF(ISNUMBER(AC171),AC171,""))</f>
        <v/>
      </c>
      <c r="AH171" s="13">
        <f>IF(AND(ISNUMBER(AE171),ISNUMBER($B$23),ISNUMBER($D$23)),IF(AE171&gt;$D$23,"boven UCL",IF(AE171&lt;$B$23,"onder LCL","")),"")</f>
        <v/>
      </c>
      <c r="AI171" s="13">
        <f>IF(AND(ISNUMBER(AF171),ISNUMBER($B$24),ISNUMBER($D$24)),IF(AF171&gt;$D$24,"boven UCL",IF(AF171&lt;$B$24,"onder LCL","")),"")</f>
        <v/>
      </c>
      <c r="AJ171" s="13">
        <f>IF(AND(ISNUMBER(AE171),ISNUMBER($B$25),ISNUMBER($D$25)),IF(AE171&gt;$D$25,"boven UCL",IF(AE171&lt;$B$25,"onder LCL","")),"")</f>
        <v/>
      </c>
      <c r="AK171" s="13">
        <f>IF(AND(ISNUMBER(AG171),ISNUMBER($B$26),ISNUMBER($D$26)),IF(AG171&gt;$D$26,"boven UCL",IF(AG171&lt;$B$26,"onder LCL","")),"")</f>
        <v/>
      </c>
      <c r="AL171" s="13">
        <f>IF(AND(COUNT(B171:Z171)&gt;0,COUNT(AA171:AC171)&gt;0),"ruwe waarden én getypt: getypte genegeerd",IF(COUNTA(B171:Z171,AA171:AC171)&gt;COUNT(B171:Z171,AA171:AC171),"tekst telt niet mee",IF(COUNT(B171:Z171)=1,"1 waarde: geen R of s","")))</f>
        <v/>
      </c>
    </row>
    <row r="172">
      <c r="A172" t="n">
        <v>121</v>
      </c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28">
        <f>IF(COUNT(B172:Z172)&gt;0,COUNT(B172:Z172),IF(OR(ISNUMBER(AA172),ISNUMBER(AB172)),$B$9,""))</f>
        <v/>
      </c>
      <c r="AE172" s="29">
        <f>IF(COUNT(B172:Z172)&gt;0,AVERAGE(B172:Z172),IF(ISNUMBER(AA172),AA172,""))</f>
        <v/>
      </c>
      <c r="AF172" s="29">
        <f>IF(COUNT(B172:Z172)&gt;1,MAX(B172:Z172)-MIN(B172:Z172),IF(ISNUMBER(AB172),AB172,""))</f>
        <v/>
      </c>
      <c r="AG172" s="29">
        <f>IF(COUNT(B172:Z172)&gt;1,_xlfn.STDEV.S(B172:Z172),IF(ISNUMBER(AC172),AC172,""))</f>
        <v/>
      </c>
      <c r="AH172" s="13">
        <f>IF(AND(ISNUMBER(AE172),ISNUMBER($B$23),ISNUMBER($D$23)),IF(AE172&gt;$D$23,"boven UCL",IF(AE172&lt;$B$23,"onder LCL","")),"")</f>
        <v/>
      </c>
      <c r="AI172" s="13">
        <f>IF(AND(ISNUMBER(AF172),ISNUMBER($B$24),ISNUMBER($D$24)),IF(AF172&gt;$D$24,"boven UCL",IF(AF172&lt;$B$24,"onder LCL","")),"")</f>
        <v/>
      </c>
      <c r="AJ172" s="13">
        <f>IF(AND(ISNUMBER(AE172),ISNUMBER($B$25),ISNUMBER($D$25)),IF(AE172&gt;$D$25,"boven UCL",IF(AE172&lt;$B$25,"onder LCL","")),"")</f>
        <v/>
      </c>
      <c r="AK172" s="13">
        <f>IF(AND(ISNUMBER(AG172),ISNUMBER($B$26),ISNUMBER($D$26)),IF(AG172&gt;$D$26,"boven UCL",IF(AG172&lt;$B$26,"onder LCL","")),"")</f>
        <v/>
      </c>
      <c r="AL172" s="13">
        <f>IF(AND(COUNT(B172:Z172)&gt;0,COUNT(AA172:AC172)&gt;0),"ruwe waarden én getypt: getypte genegeerd",IF(COUNTA(B172:Z172,AA172:AC172)&gt;COUNT(B172:Z172,AA172:AC172),"tekst telt niet mee",IF(COUNT(B172:Z172)=1,"1 waarde: geen R of s","")))</f>
        <v/>
      </c>
    </row>
    <row r="173">
      <c r="A173" t="n">
        <v>122</v>
      </c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28">
        <f>IF(COUNT(B173:Z173)&gt;0,COUNT(B173:Z173),IF(OR(ISNUMBER(AA173),ISNUMBER(AB173)),$B$9,""))</f>
        <v/>
      </c>
      <c r="AE173" s="29">
        <f>IF(COUNT(B173:Z173)&gt;0,AVERAGE(B173:Z173),IF(ISNUMBER(AA173),AA173,""))</f>
        <v/>
      </c>
      <c r="AF173" s="29">
        <f>IF(COUNT(B173:Z173)&gt;1,MAX(B173:Z173)-MIN(B173:Z173),IF(ISNUMBER(AB173),AB173,""))</f>
        <v/>
      </c>
      <c r="AG173" s="29">
        <f>IF(COUNT(B173:Z173)&gt;1,_xlfn.STDEV.S(B173:Z173),IF(ISNUMBER(AC173),AC173,""))</f>
        <v/>
      </c>
      <c r="AH173" s="13">
        <f>IF(AND(ISNUMBER(AE173),ISNUMBER($B$23),ISNUMBER($D$23)),IF(AE173&gt;$D$23,"boven UCL",IF(AE173&lt;$B$23,"onder LCL","")),"")</f>
        <v/>
      </c>
      <c r="AI173" s="13">
        <f>IF(AND(ISNUMBER(AF173),ISNUMBER($B$24),ISNUMBER($D$24)),IF(AF173&gt;$D$24,"boven UCL",IF(AF173&lt;$B$24,"onder LCL","")),"")</f>
        <v/>
      </c>
      <c r="AJ173" s="13">
        <f>IF(AND(ISNUMBER(AE173),ISNUMBER($B$25),ISNUMBER($D$25)),IF(AE173&gt;$D$25,"boven UCL",IF(AE173&lt;$B$25,"onder LCL","")),"")</f>
        <v/>
      </c>
      <c r="AK173" s="13">
        <f>IF(AND(ISNUMBER(AG173),ISNUMBER($B$26),ISNUMBER($D$26)),IF(AG173&gt;$D$26,"boven UCL",IF(AG173&lt;$B$26,"onder LCL","")),"")</f>
        <v/>
      </c>
      <c r="AL173" s="13">
        <f>IF(AND(COUNT(B173:Z173)&gt;0,COUNT(AA173:AC173)&gt;0),"ruwe waarden én getypt: getypte genegeerd",IF(COUNTA(B173:Z173,AA173:AC173)&gt;COUNT(B173:Z173,AA173:AC173),"tekst telt niet mee",IF(COUNT(B173:Z173)=1,"1 waarde: geen R of s","")))</f>
        <v/>
      </c>
    </row>
    <row r="174">
      <c r="A174" t="n">
        <v>123</v>
      </c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28">
        <f>IF(COUNT(B174:Z174)&gt;0,COUNT(B174:Z174),IF(OR(ISNUMBER(AA174),ISNUMBER(AB174)),$B$9,""))</f>
        <v/>
      </c>
      <c r="AE174" s="29">
        <f>IF(COUNT(B174:Z174)&gt;0,AVERAGE(B174:Z174),IF(ISNUMBER(AA174),AA174,""))</f>
        <v/>
      </c>
      <c r="AF174" s="29">
        <f>IF(COUNT(B174:Z174)&gt;1,MAX(B174:Z174)-MIN(B174:Z174),IF(ISNUMBER(AB174),AB174,""))</f>
        <v/>
      </c>
      <c r="AG174" s="29">
        <f>IF(COUNT(B174:Z174)&gt;1,_xlfn.STDEV.S(B174:Z174),IF(ISNUMBER(AC174),AC174,""))</f>
        <v/>
      </c>
      <c r="AH174" s="13">
        <f>IF(AND(ISNUMBER(AE174),ISNUMBER($B$23),ISNUMBER($D$23)),IF(AE174&gt;$D$23,"boven UCL",IF(AE174&lt;$B$23,"onder LCL","")),"")</f>
        <v/>
      </c>
      <c r="AI174" s="13">
        <f>IF(AND(ISNUMBER(AF174),ISNUMBER($B$24),ISNUMBER($D$24)),IF(AF174&gt;$D$24,"boven UCL",IF(AF174&lt;$B$24,"onder LCL","")),"")</f>
        <v/>
      </c>
      <c r="AJ174" s="13">
        <f>IF(AND(ISNUMBER(AE174),ISNUMBER($B$25),ISNUMBER($D$25)),IF(AE174&gt;$D$25,"boven UCL",IF(AE174&lt;$B$25,"onder LCL","")),"")</f>
        <v/>
      </c>
      <c r="AK174" s="13">
        <f>IF(AND(ISNUMBER(AG174),ISNUMBER($B$26),ISNUMBER($D$26)),IF(AG174&gt;$D$26,"boven UCL",IF(AG174&lt;$B$26,"onder LCL","")),"")</f>
        <v/>
      </c>
      <c r="AL174" s="13">
        <f>IF(AND(COUNT(B174:Z174)&gt;0,COUNT(AA174:AC174)&gt;0),"ruwe waarden én getypt: getypte genegeerd",IF(COUNTA(B174:Z174,AA174:AC174)&gt;COUNT(B174:Z174,AA174:AC174),"tekst telt niet mee",IF(COUNT(B174:Z174)=1,"1 waarde: geen R of s","")))</f>
        <v/>
      </c>
    </row>
    <row r="175">
      <c r="A175" t="n">
        <v>124</v>
      </c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28">
        <f>IF(COUNT(B175:Z175)&gt;0,COUNT(B175:Z175),IF(OR(ISNUMBER(AA175),ISNUMBER(AB175)),$B$9,""))</f>
        <v/>
      </c>
      <c r="AE175" s="29">
        <f>IF(COUNT(B175:Z175)&gt;0,AVERAGE(B175:Z175),IF(ISNUMBER(AA175),AA175,""))</f>
        <v/>
      </c>
      <c r="AF175" s="29">
        <f>IF(COUNT(B175:Z175)&gt;1,MAX(B175:Z175)-MIN(B175:Z175),IF(ISNUMBER(AB175),AB175,""))</f>
        <v/>
      </c>
      <c r="AG175" s="29">
        <f>IF(COUNT(B175:Z175)&gt;1,_xlfn.STDEV.S(B175:Z175),IF(ISNUMBER(AC175),AC175,""))</f>
        <v/>
      </c>
      <c r="AH175" s="13">
        <f>IF(AND(ISNUMBER(AE175),ISNUMBER($B$23),ISNUMBER($D$23)),IF(AE175&gt;$D$23,"boven UCL",IF(AE175&lt;$B$23,"onder LCL","")),"")</f>
        <v/>
      </c>
      <c r="AI175" s="13">
        <f>IF(AND(ISNUMBER(AF175),ISNUMBER($B$24),ISNUMBER($D$24)),IF(AF175&gt;$D$24,"boven UCL",IF(AF175&lt;$B$24,"onder LCL","")),"")</f>
        <v/>
      </c>
      <c r="AJ175" s="13">
        <f>IF(AND(ISNUMBER(AE175),ISNUMBER($B$25),ISNUMBER($D$25)),IF(AE175&gt;$D$25,"boven UCL",IF(AE175&lt;$B$25,"onder LCL","")),"")</f>
        <v/>
      </c>
      <c r="AK175" s="13">
        <f>IF(AND(ISNUMBER(AG175),ISNUMBER($B$26),ISNUMBER($D$26)),IF(AG175&gt;$D$26,"boven UCL",IF(AG175&lt;$B$26,"onder LCL","")),"")</f>
        <v/>
      </c>
      <c r="AL175" s="13">
        <f>IF(AND(COUNT(B175:Z175)&gt;0,COUNT(AA175:AC175)&gt;0),"ruwe waarden én getypt: getypte genegeerd",IF(COUNTA(B175:Z175,AA175:AC175)&gt;COUNT(B175:Z175,AA175:AC175),"tekst telt niet mee",IF(COUNT(B175:Z175)=1,"1 waarde: geen R of s","")))</f>
        <v/>
      </c>
    </row>
    <row r="176">
      <c r="A176" t="n">
        <v>125</v>
      </c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28">
        <f>IF(COUNT(B176:Z176)&gt;0,COUNT(B176:Z176),IF(OR(ISNUMBER(AA176),ISNUMBER(AB176)),$B$9,""))</f>
        <v/>
      </c>
      <c r="AE176" s="29">
        <f>IF(COUNT(B176:Z176)&gt;0,AVERAGE(B176:Z176),IF(ISNUMBER(AA176),AA176,""))</f>
        <v/>
      </c>
      <c r="AF176" s="29">
        <f>IF(COUNT(B176:Z176)&gt;1,MAX(B176:Z176)-MIN(B176:Z176),IF(ISNUMBER(AB176),AB176,""))</f>
        <v/>
      </c>
      <c r="AG176" s="29">
        <f>IF(COUNT(B176:Z176)&gt;1,_xlfn.STDEV.S(B176:Z176),IF(ISNUMBER(AC176),AC176,""))</f>
        <v/>
      </c>
      <c r="AH176" s="13">
        <f>IF(AND(ISNUMBER(AE176),ISNUMBER($B$23),ISNUMBER($D$23)),IF(AE176&gt;$D$23,"boven UCL",IF(AE176&lt;$B$23,"onder LCL","")),"")</f>
        <v/>
      </c>
      <c r="AI176" s="13">
        <f>IF(AND(ISNUMBER(AF176),ISNUMBER($B$24),ISNUMBER($D$24)),IF(AF176&gt;$D$24,"boven UCL",IF(AF176&lt;$B$24,"onder LCL","")),"")</f>
        <v/>
      </c>
      <c r="AJ176" s="13">
        <f>IF(AND(ISNUMBER(AE176),ISNUMBER($B$25),ISNUMBER($D$25)),IF(AE176&gt;$D$25,"boven UCL",IF(AE176&lt;$B$25,"onder LCL","")),"")</f>
        <v/>
      </c>
      <c r="AK176" s="13">
        <f>IF(AND(ISNUMBER(AG176),ISNUMBER($B$26),ISNUMBER($D$26)),IF(AG176&gt;$D$26,"boven UCL",IF(AG176&lt;$B$26,"onder LCL","")),"")</f>
        <v/>
      </c>
      <c r="AL176" s="13">
        <f>IF(AND(COUNT(B176:Z176)&gt;0,COUNT(AA176:AC176)&gt;0),"ruwe waarden én getypt: getypte genegeerd",IF(COUNTA(B176:Z176,AA176:AC176)&gt;COUNT(B176:Z176,AA176:AC176),"tekst telt niet mee",IF(COUNT(B176:Z176)=1,"1 waarde: geen R of s","")))</f>
        <v/>
      </c>
    </row>
    <row r="177">
      <c r="A177" t="n">
        <v>126</v>
      </c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28">
        <f>IF(COUNT(B177:Z177)&gt;0,COUNT(B177:Z177),IF(OR(ISNUMBER(AA177),ISNUMBER(AB177)),$B$9,""))</f>
        <v/>
      </c>
      <c r="AE177" s="29">
        <f>IF(COUNT(B177:Z177)&gt;0,AVERAGE(B177:Z177),IF(ISNUMBER(AA177),AA177,""))</f>
        <v/>
      </c>
      <c r="AF177" s="29">
        <f>IF(COUNT(B177:Z177)&gt;1,MAX(B177:Z177)-MIN(B177:Z177),IF(ISNUMBER(AB177),AB177,""))</f>
        <v/>
      </c>
      <c r="AG177" s="29">
        <f>IF(COUNT(B177:Z177)&gt;1,_xlfn.STDEV.S(B177:Z177),IF(ISNUMBER(AC177),AC177,""))</f>
        <v/>
      </c>
      <c r="AH177" s="13">
        <f>IF(AND(ISNUMBER(AE177),ISNUMBER($B$23),ISNUMBER($D$23)),IF(AE177&gt;$D$23,"boven UCL",IF(AE177&lt;$B$23,"onder LCL","")),"")</f>
        <v/>
      </c>
      <c r="AI177" s="13">
        <f>IF(AND(ISNUMBER(AF177),ISNUMBER($B$24),ISNUMBER($D$24)),IF(AF177&gt;$D$24,"boven UCL",IF(AF177&lt;$B$24,"onder LCL","")),"")</f>
        <v/>
      </c>
      <c r="AJ177" s="13">
        <f>IF(AND(ISNUMBER(AE177),ISNUMBER($B$25),ISNUMBER($D$25)),IF(AE177&gt;$D$25,"boven UCL",IF(AE177&lt;$B$25,"onder LCL","")),"")</f>
        <v/>
      </c>
      <c r="AK177" s="13">
        <f>IF(AND(ISNUMBER(AG177),ISNUMBER($B$26),ISNUMBER($D$26)),IF(AG177&gt;$D$26,"boven UCL",IF(AG177&lt;$B$26,"onder LCL","")),"")</f>
        <v/>
      </c>
      <c r="AL177" s="13">
        <f>IF(AND(COUNT(B177:Z177)&gt;0,COUNT(AA177:AC177)&gt;0),"ruwe waarden én getypt: getypte genegeerd",IF(COUNTA(B177:Z177,AA177:AC177)&gt;COUNT(B177:Z177,AA177:AC177),"tekst telt niet mee",IF(COUNT(B177:Z177)=1,"1 waarde: geen R of s","")))</f>
        <v/>
      </c>
    </row>
    <row r="178">
      <c r="A178" t="n">
        <v>127</v>
      </c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28">
        <f>IF(COUNT(B178:Z178)&gt;0,COUNT(B178:Z178),IF(OR(ISNUMBER(AA178),ISNUMBER(AB178)),$B$9,""))</f>
        <v/>
      </c>
      <c r="AE178" s="29">
        <f>IF(COUNT(B178:Z178)&gt;0,AVERAGE(B178:Z178),IF(ISNUMBER(AA178),AA178,""))</f>
        <v/>
      </c>
      <c r="AF178" s="29">
        <f>IF(COUNT(B178:Z178)&gt;1,MAX(B178:Z178)-MIN(B178:Z178),IF(ISNUMBER(AB178),AB178,""))</f>
        <v/>
      </c>
      <c r="AG178" s="29">
        <f>IF(COUNT(B178:Z178)&gt;1,_xlfn.STDEV.S(B178:Z178),IF(ISNUMBER(AC178),AC178,""))</f>
        <v/>
      </c>
      <c r="AH178" s="13">
        <f>IF(AND(ISNUMBER(AE178),ISNUMBER($B$23),ISNUMBER($D$23)),IF(AE178&gt;$D$23,"boven UCL",IF(AE178&lt;$B$23,"onder LCL","")),"")</f>
        <v/>
      </c>
      <c r="AI178" s="13">
        <f>IF(AND(ISNUMBER(AF178),ISNUMBER($B$24),ISNUMBER($D$24)),IF(AF178&gt;$D$24,"boven UCL",IF(AF178&lt;$B$24,"onder LCL","")),"")</f>
        <v/>
      </c>
      <c r="AJ178" s="13">
        <f>IF(AND(ISNUMBER(AE178),ISNUMBER($B$25),ISNUMBER($D$25)),IF(AE178&gt;$D$25,"boven UCL",IF(AE178&lt;$B$25,"onder LCL","")),"")</f>
        <v/>
      </c>
      <c r="AK178" s="13">
        <f>IF(AND(ISNUMBER(AG178),ISNUMBER($B$26),ISNUMBER($D$26)),IF(AG178&gt;$D$26,"boven UCL",IF(AG178&lt;$B$26,"onder LCL","")),"")</f>
        <v/>
      </c>
      <c r="AL178" s="13">
        <f>IF(AND(COUNT(B178:Z178)&gt;0,COUNT(AA178:AC178)&gt;0),"ruwe waarden én getypt: getypte genegeerd",IF(COUNTA(B178:Z178,AA178:AC178)&gt;COUNT(B178:Z178,AA178:AC178),"tekst telt niet mee",IF(COUNT(B178:Z178)=1,"1 waarde: geen R of s","")))</f>
        <v/>
      </c>
    </row>
    <row r="179">
      <c r="A179" t="n">
        <v>128</v>
      </c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28">
        <f>IF(COUNT(B179:Z179)&gt;0,COUNT(B179:Z179),IF(OR(ISNUMBER(AA179),ISNUMBER(AB179)),$B$9,""))</f>
        <v/>
      </c>
      <c r="AE179" s="29">
        <f>IF(COUNT(B179:Z179)&gt;0,AVERAGE(B179:Z179),IF(ISNUMBER(AA179),AA179,""))</f>
        <v/>
      </c>
      <c r="AF179" s="29">
        <f>IF(COUNT(B179:Z179)&gt;1,MAX(B179:Z179)-MIN(B179:Z179),IF(ISNUMBER(AB179),AB179,""))</f>
        <v/>
      </c>
      <c r="AG179" s="29">
        <f>IF(COUNT(B179:Z179)&gt;1,_xlfn.STDEV.S(B179:Z179),IF(ISNUMBER(AC179),AC179,""))</f>
        <v/>
      </c>
      <c r="AH179" s="13">
        <f>IF(AND(ISNUMBER(AE179),ISNUMBER($B$23),ISNUMBER($D$23)),IF(AE179&gt;$D$23,"boven UCL",IF(AE179&lt;$B$23,"onder LCL","")),"")</f>
        <v/>
      </c>
      <c r="AI179" s="13">
        <f>IF(AND(ISNUMBER(AF179),ISNUMBER($B$24),ISNUMBER($D$24)),IF(AF179&gt;$D$24,"boven UCL",IF(AF179&lt;$B$24,"onder LCL","")),"")</f>
        <v/>
      </c>
      <c r="AJ179" s="13">
        <f>IF(AND(ISNUMBER(AE179),ISNUMBER($B$25),ISNUMBER($D$25)),IF(AE179&gt;$D$25,"boven UCL",IF(AE179&lt;$B$25,"onder LCL","")),"")</f>
        <v/>
      </c>
      <c r="AK179" s="13">
        <f>IF(AND(ISNUMBER(AG179),ISNUMBER($B$26),ISNUMBER($D$26)),IF(AG179&gt;$D$26,"boven UCL",IF(AG179&lt;$B$26,"onder LCL","")),"")</f>
        <v/>
      </c>
      <c r="AL179" s="13">
        <f>IF(AND(COUNT(B179:Z179)&gt;0,COUNT(AA179:AC179)&gt;0),"ruwe waarden én getypt: getypte genegeerd",IF(COUNTA(B179:Z179,AA179:AC179)&gt;COUNT(B179:Z179,AA179:AC179),"tekst telt niet mee",IF(COUNT(B179:Z179)=1,"1 waarde: geen R of s","")))</f>
        <v/>
      </c>
    </row>
    <row r="180">
      <c r="A180" t="n">
        <v>129</v>
      </c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28">
        <f>IF(COUNT(B180:Z180)&gt;0,COUNT(B180:Z180),IF(OR(ISNUMBER(AA180),ISNUMBER(AB180)),$B$9,""))</f>
        <v/>
      </c>
      <c r="AE180" s="29">
        <f>IF(COUNT(B180:Z180)&gt;0,AVERAGE(B180:Z180),IF(ISNUMBER(AA180),AA180,""))</f>
        <v/>
      </c>
      <c r="AF180" s="29">
        <f>IF(COUNT(B180:Z180)&gt;1,MAX(B180:Z180)-MIN(B180:Z180),IF(ISNUMBER(AB180),AB180,""))</f>
        <v/>
      </c>
      <c r="AG180" s="29">
        <f>IF(COUNT(B180:Z180)&gt;1,_xlfn.STDEV.S(B180:Z180),IF(ISNUMBER(AC180),AC180,""))</f>
        <v/>
      </c>
      <c r="AH180" s="13">
        <f>IF(AND(ISNUMBER(AE180),ISNUMBER($B$23),ISNUMBER($D$23)),IF(AE180&gt;$D$23,"boven UCL",IF(AE180&lt;$B$23,"onder LCL","")),"")</f>
        <v/>
      </c>
      <c r="AI180" s="13">
        <f>IF(AND(ISNUMBER(AF180),ISNUMBER($B$24),ISNUMBER($D$24)),IF(AF180&gt;$D$24,"boven UCL",IF(AF180&lt;$B$24,"onder LCL","")),"")</f>
        <v/>
      </c>
      <c r="AJ180" s="13">
        <f>IF(AND(ISNUMBER(AE180),ISNUMBER($B$25),ISNUMBER($D$25)),IF(AE180&gt;$D$25,"boven UCL",IF(AE180&lt;$B$25,"onder LCL","")),"")</f>
        <v/>
      </c>
      <c r="AK180" s="13">
        <f>IF(AND(ISNUMBER(AG180),ISNUMBER($B$26),ISNUMBER($D$26)),IF(AG180&gt;$D$26,"boven UCL",IF(AG180&lt;$B$26,"onder LCL","")),"")</f>
        <v/>
      </c>
      <c r="AL180" s="13">
        <f>IF(AND(COUNT(B180:Z180)&gt;0,COUNT(AA180:AC180)&gt;0),"ruwe waarden én getypt: getypte genegeerd",IF(COUNTA(B180:Z180,AA180:AC180)&gt;COUNT(B180:Z180,AA180:AC180),"tekst telt niet mee",IF(COUNT(B180:Z180)=1,"1 waarde: geen R of s","")))</f>
        <v/>
      </c>
    </row>
    <row r="181">
      <c r="A181" t="n">
        <v>130</v>
      </c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28">
        <f>IF(COUNT(B181:Z181)&gt;0,COUNT(B181:Z181),IF(OR(ISNUMBER(AA181),ISNUMBER(AB181)),$B$9,""))</f>
        <v/>
      </c>
      <c r="AE181" s="29">
        <f>IF(COUNT(B181:Z181)&gt;0,AVERAGE(B181:Z181),IF(ISNUMBER(AA181),AA181,""))</f>
        <v/>
      </c>
      <c r="AF181" s="29">
        <f>IF(COUNT(B181:Z181)&gt;1,MAX(B181:Z181)-MIN(B181:Z181),IF(ISNUMBER(AB181),AB181,""))</f>
        <v/>
      </c>
      <c r="AG181" s="29">
        <f>IF(COUNT(B181:Z181)&gt;1,_xlfn.STDEV.S(B181:Z181),IF(ISNUMBER(AC181),AC181,""))</f>
        <v/>
      </c>
      <c r="AH181" s="13">
        <f>IF(AND(ISNUMBER(AE181),ISNUMBER($B$23),ISNUMBER($D$23)),IF(AE181&gt;$D$23,"boven UCL",IF(AE181&lt;$B$23,"onder LCL","")),"")</f>
        <v/>
      </c>
      <c r="AI181" s="13">
        <f>IF(AND(ISNUMBER(AF181),ISNUMBER($B$24),ISNUMBER($D$24)),IF(AF181&gt;$D$24,"boven UCL",IF(AF181&lt;$B$24,"onder LCL","")),"")</f>
        <v/>
      </c>
      <c r="AJ181" s="13">
        <f>IF(AND(ISNUMBER(AE181),ISNUMBER($B$25),ISNUMBER($D$25)),IF(AE181&gt;$D$25,"boven UCL",IF(AE181&lt;$B$25,"onder LCL","")),"")</f>
        <v/>
      </c>
      <c r="AK181" s="13">
        <f>IF(AND(ISNUMBER(AG181),ISNUMBER($B$26),ISNUMBER($D$26)),IF(AG181&gt;$D$26,"boven UCL",IF(AG181&lt;$B$26,"onder LCL","")),"")</f>
        <v/>
      </c>
      <c r="AL181" s="13">
        <f>IF(AND(COUNT(B181:Z181)&gt;0,COUNT(AA181:AC181)&gt;0),"ruwe waarden én getypt: getypte genegeerd",IF(COUNTA(B181:Z181,AA181:AC181)&gt;COUNT(B181:Z181,AA181:AC181),"tekst telt niet mee",IF(COUNT(B181:Z181)=1,"1 waarde: geen R of s","")))</f>
        <v/>
      </c>
    </row>
    <row r="182">
      <c r="A182" t="n">
        <v>131</v>
      </c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28">
        <f>IF(COUNT(B182:Z182)&gt;0,COUNT(B182:Z182),IF(OR(ISNUMBER(AA182),ISNUMBER(AB182)),$B$9,""))</f>
        <v/>
      </c>
      <c r="AE182" s="29">
        <f>IF(COUNT(B182:Z182)&gt;0,AVERAGE(B182:Z182),IF(ISNUMBER(AA182),AA182,""))</f>
        <v/>
      </c>
      <c r="AF182" s="29">
        <f>IF(COUNT(B182:Z182)&gt;1,MAX(B182:Z182)-MIN(B182:Z182),IF(ISNUMBER(AB182),AB182,""))</f>
        <v/>
      </c>
      <c r="AG182" s="29">
        <f>IF(COUNT(B182:Z182)&gt;1,_xlfn.STDEV.S(B182:Z182),IF(ISNUMBER(AC182),AC182,""))</f>
        <v/>
      </c>
      <c r="AH182" s="13">
        <f>IF(AND(ISNUMBER(AE182),ISNUMBER($B$23),ISNUMBER($D$23)),IF(AE182&gt;$D$23,"boven UCL",IF(AE182&lt;$B$23,"onder LCL","")),"")</f>
        <v/>
      </c>
      <c r="AI182" s="13">
        <f>IF(AND(ISNUMBER(AF182),ISNUMBER($B$24),ISNUMBER($D$24)),IF(AF182&gt;$D$24,"boven UCL",IF(AF182&lt;$B$24,"onder LCL","")),"")</f>
        <v/>
      </c>
      <c r="AJ182" s="13">
        <f>IF(AND(ISNUMBER(AE182),ISNUMBER($B$25),ISNUMBER($D$25)),IF(AE182&gt;$D$25,"boven UCL",IF(AE182&lt;$B$25,"onder LCL","")),"")</f>
        <v/>
      </c>
      <c r="AK182" s="13">
        <f>IF(AND(ISNUMBER(AG182),ISNUMBER($B$26),ISNUMBER($D$26)),IF(AG182&gt;$D$26,"boven UCL",IF(AG182&lt;$B$26,"onder LCL","")),"")</f>
        <v/>
      </c>
      <c r="AL182" s="13">
        <f>IF(AND(COUNT(B182:Z182)&gt;0,COUNT(AA182:AC182)&gt;0),"ruwe waarden én getypt: getypte genegeerd",IF(COUNTA(B182:Z182,AA182:AC182)&gt;COUNT(B182:Z182,AA182:AC182),"tekst telt niet mee",IF(COUNT(B182:Z182)=1,"1 waarde: geen R of s","")))</f>
        <v/>
      </c>
    </row>
    <row r="183">
      <c r="A183" t="n">
        <v>132</v>
      </c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28">
        <f>IF(COUNT(B183:Z183)&gt;0,COUNT(B183:Z183),IF(OR(ISNUMBER(AA183),ISNUMBER(AB183)),$B$9,""))</f>
        <v/>
      </c>
      <c r="AE183" s="29">
        <f>IF(COUNT(B183:Z183)&gt;0,AVERAGE(B183:Z183),IF(ISNUMBER(AA183),AA183,""))</f>
        <v/>
      </c>
      <c r="AF183" s="29">
        <f>IF(COUNT(B183:Z183)&gt;1,MAX(B183:Z183)-MIN(B183:Z183),IF(ISNUMBER(AB183),AB183,""))</f>
        <v/>
      </c>
      <c r="AG183" s="29">
        <f>IF(COUNT(B183:Z183)&gt;1,_xlfn.STDEV.S(B183:Z183),IF(ISNUMBER(AC183),AC183,""))</f>
        <v/>
      </c>
      <c r="AH183" s="13">
        <f>IF(AND(ISNUMBER(AE183),ISNUMBER($B$23),ISNUMBER($D$23)),IF(AE183&gt;$D$23,"boven UCL",IF(AE183&lt;$B$23,"onder LCL","")),"")</f>
        <v/>
      </c>
      <c r="AI183" s="13">
        <f>IF(AND(ISNUMBER(AF183),ISNUMBER($B$24),ISNUMBER($D$24)),IF(AF183&gt;$D$24,"boven UCL",IF(AF183&lt;$B$24,"onder LCL","")),"")</f>
        <v/>
      </c>
      <c r="AJ183" s="13">
        <f>IF(AND(ISNUMBER(AE183),ISNUMBER($B$25),ISNUMBER($D$25)),IF(AE183&gt;$D$25,"boven UCL",IF(AE183&lt;$B$25,"onder LCL","")),"")</f>
        <v/>
      </c>
      <c r="AK183" s="13">
        <f>IF(AND(ISNUMBER(AG183),ISNUMBER($B$26),ISNUMBER($D$26)),IF(AG183&gt;$D$26,"boven UCL",IF(AG183&lt;$B$26,"onder LCL","")),"")</f>
        <v/>
      </c>
      <c r="AL183" s="13">
        <f>IF(AND(COUNT(B183:Z183)&gt;0,COUNT(AA183:AC183)&gt;0),"ruwe waarden én getypt: getypte genegeerd",IF(COUNTA(B183:Z183,AA183:AC183)&gt;COUNT(B183:Z183,AA183:AC183),"tekst telt niet mee",IF(COUNT(B183:Z183)=1,"1 waarde: geen R of s","")))</f>
        <v/>
      </c>
    </row>
    <row r="184">
      <c r="A184" t="n">
        <v>133</v>
      </c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28">
        <f>IF(COUNT(B184:Z184)&gt;0,COUNT(B184:Z184),IF(OR(ISNUMBER(AA184),ISNUMBER(AB184)),$B$9,""))</f>
        <v/>
      </c>
      <c r="AE184" s="29">
        <f>IF(COUNT(B184:Z184)&gt;0,AVERAGE(B184:Z184),IF(ISNUMBER(AA184),AA184,""))</f>
        <v/>
      </c>
      <c r="AF184" s="29">
        <f>IF(COUNT(B184:Z184)&gt;1,MAX(B184:Z184)-MIN(B184:Z184),IF(ISNUMBER(AB184),AB184,""))</f>
        <v/>
      </c>
      <c r="AG184" s="29">
        <f>IF(COUNT(B184:Z184)&gt;1,_xlfn.STDEV.S(B184:Z184),IF(ISNUMBER(AC184),AC184,""))</f>
        <v/>
      </c>
      <c r="AH184" s="13">
        <f>IF(AND(ISNUMBER(AE184),ISNUMBER($B$23),ISNUMBER($D$23)),IF(AE184&gt;$D$23,"boven UCL",IF(AE184&lt;$B$23,"onder LCL","")),"")</f>
        <v/>
      </c>
      <c r="AI184" s="13">
        <f>IF(AND(ISNUMBER(AF184),ISNUMBER($B$24),ISNUMBER($D$24)),IF(AF184&gt;$D$24,"boven UCL",IF(AF184&lt;$B$24,"onder LCL","")),"")</f>
        <v/>
      </c>
      <c r="AJ184" s="13">
        <f>IF(AND(ISNUMBER(AE184),ISNUMBER($B$25),ISNUMBER($D$25)),IF(AE184&gt;$D$25,"boven UCL",IF(AE184&lt;$B$25,"onder LCL","")),"")</f>
        <v/>
      </c>
      <c r="AK184" s="13">
        <f>IF(AND(ISNUMBER(AG184),ISNUMBER($B$26),ISNUMBER($D$26)),IF(AG184&gt;$D$26,"boven UCL",IF(AG184&lt;$B$26,"onder LCL","")),"")</f>
        <v/>
      </c>
      <c r="AL184" s="13">
        <f>IF(AND(COUNT(B184:Z184)&gt;0,COUNT(AA184:AC184)&gt;0),"ruwe waarden én getypt: getypte genegeerd",IF(COUNTA(B184:Z184,AA184:AC184)&gt;COUNT(B184:Z184,AA184:AC184),"tekst telt niet mee",IF(COUNT(B184:Z184)=1,"1 waarde: geen R of s","")))</f>
        <v/>
      </c>
    </row>
    <row r="185">
      <c r="A185" t="n">
        <v>134</v>
      </c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28">
        <f>IF(COUNT(B185:Z185)&gt;0,COUNT(B185:Z185),IF(OR(ISNUMBER(AA185),ISNUMBER(AB185)),$B$9,""))</f>
        <v/>
      </c>
      <c r="AE185" s="29">
        <f>IF(COUNT(B185:Z185)&gt;0,AVERAGE(B185:Z185),IF(ISNUMBER(AA185),AA185,""))</f>
        <v/>
      </c>
      <c r="AF185" s="29">
        <f>IF(COUNT(B185:Z185)&gt;1,MAX(B185:Z185)-MIN(B185:Z185),IF(ISNUMBER(AB185),AB185,""))</f>
        <v/>
      </c>
      <c r="AG185" s="29">
        <f>IF(COUNT(B185:Z185)&gt;1,_xlfn.STDEV.S(B185:Z185),IF(ISNUMBER(AC185),AC185,""))</f>
        <v/>
      </c>
      <c r="AH185" s="13">
        <f>IF(AND(ISNUMBER(AE185),ISNUMBER($B$23),ISNUMBER($D$23)),IF(AE185&gt;$D$23,"boven UCL",IF(AE185&lt;$B$23,"onder LCL","")),"")</f>
        <v/>
      </c>
      <c r="AI185" s="13">
        <f>IF(AND(ISNUMBER(AF185),ISNUMBER($B$24),ISNUMBER($D$24)),IF(AF185&gt;$D$24,"boven UCL",IF(AF185&lt;$B$24,"onder LCL","")),"")</f>
        <v/>
      </c>
      <c r="AJ185" s="13">
        <f>IF(AND(ISNUMBER(AE185),ISNUMBER($B$25),ISNUMBER($D$25)),IF(AE185&gt;$D$25,"boven UCL",IF(AE185&lt;$B$25,"onder LCL","")),"")</f>
        <v/>
      </c>
      <c r="AK185" s="13">
        <f>IF(AND(ISNUMBER(AG185),ISNUMBER($B$26),ISNUMBER($D$26)),IF(AG185&gt;$D$26,"boven UCL",IF(AG185&lt;$B$26,"onder LCL","")),"")</f>
        <v/>
      </c>
      <c r="AL185" s="13">
        <f>IF(AND(COUNT(B185:Z185)&gt;0,COUNT(AA185:AC185)&gt;0),"ruwe waarden én getypt: getypte genegeerd",IF(COUNTA(B185:Z185,AA185:AC185)&gt;COUNT(B185:Z185,AA185:AC185),"tekst telt niet mee",IF(COUNT(B185:Z185)=1,"1 waarde: geen R of s","")))</f>
        <v/>
      </c>
    </row>
    <row r="186">
      <c r="A186" t="n">
        <v>135</v>
      </c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28">
        <f>IF(COUNT(B186:Z186)&gt;0,COUNT(B186:Z186),IF(OR(ISNUMBER(AA186),ISNUMBER(AB186)),$B$9,""))</f>
        <v/>
      </c>
      <c r="AE186" s="29">
        <f>IF(COUNT(B186:Z186)&gt;0,AVERAGE(B186:Z186),IF(ISNUMBER(AA186),AA186,""))</f>
        <v/>
      </c>
      <c r="AF186" s="29">
        <f>IF(COUNT(B186:Z186)&gt;1,MAX(B186:Z186)-MIN(B186:Z186),IF(ISNUMBER(AB186),AB186,""))</f>
        <v/>
      </c>
      <c r="AG186" s="29">
        <f>IF(COUNT(B186:Z186)&gt;1,_xlfn.STDEV.S(B186:Z186),IF(ISNUMBER(AC186),AC186,""))</f>
        <v/>
      </c>
      <c r="AH186" s="13">
        <f>IF(AND(ISNUMBER(AE186),ISNUMBER($B$23),ISNUMBER($D$23)),IF(AE186&gt;$D$23,"boven UCL",IF(AE186&lt;$B$23,"onder LCL","")),"")</f>
        <v/>
      </c>
      <c r="AI186" s="13">
        <f>IF(AND(ISNUMBER(AF186),ISNUMBER($B$24),ISNUMBER($D$24)),IF(AF186&gt;$D$24,"boven UCL",IF(AF186&lt;$B$24,"onder LCL","")),"")</f>
        <v/>
      </c>
      <c r="AJ186" s="13">
        <f>IF(AND(ISNUMBER(AE186),ISNUMBER($B$25),ISNUMBER($D$25)),IF(AE186&gt;$D$25,"boven UCL",IF(AE186&lt;$B$25,"onder LCL","")),"")</f>
        <v/>
      </c>
      <c r="AK186" s="13">
        <f>IF(AND(ISNUMBER(AG186),ISNUMBER($B$26),ISNUMBER($D$26)),IF(AG186&gt;$D$26,"boven UCL",IF(AG186&lt;$B$26,"onder LCL","")),"")</f>
        <v/>
      </c>
      <c r="AL186" s="13">
        <f>IF(AND(COUNT(B186:Z186)&gt;0,COUNT(AA186:AC186)&gt;0),"ruwe waarden én getypt: getypte genegeerd",IF(COUNTA(B186:Z186,AA186:AC186)&gt;COUNT(B186:Z186,AA186:AC186),"tekst telt niet mee",IF(COUNT(B186:Z186)=1,"1 waarde: geen R of s","")))</f>
        <v/>
      </c>
    </row>
    <row r="187">
      <c r="A187" t="n">
        <v>136</v>
      </c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28">
        <f>IF(COUNT(B187:Z187)&gt;0,COUNT(B187:Z187),IF(OR(ISNUMBER(AA187),ISNUMBER(AB187)),$B$9,""))</f>
        <v/>
      </c>
      <c r="AE187" s="29">
        <f>IF(COUNT(B187:Z187)&gt;0,AVERAGE(B187:Z187),IF(ISNUMBER(AA187),AA187,""))</f>
        <v/>
      </c>
      <c r="AF187" s="29">
        <f>IF(COUNT(B187:Z187)&gt;1,MAX(B187:Z187)-MIN(B187:Z187),IF(ISNUMBER(AB187),AB187,""))</f>
        <v/>
      </c>
      <c r="AG187" s="29">
        <f>IF(COUNT(B187:Z187)&gt;1,_xlfn.STDEV.S(B187:Z187),IF(ISNUMBER(AC187),AC187,""))</f>
        <v/>
      </c>
      <c r="AH187" s="13">
        <f>IF(AND(ISNUMBER(AE187),ISNUMBER($B$23),ISNUMBER($D$23)),IF(AE187&gt;$D$23,"boven UCL",IF(AE187&lt;$B$23,"onder LCL","")),"")</f>
        <v/>
      </c>
      <c r="AI187" s="13">
        <f>IF(AND(ISNUMBER(AF187),ISNUMBER($B$24),ISNUMBER($D$24)),IF(AF187&gt;$D$24,"boven UCL",IF(AF187&lt;$B$24,"onder LCL","")),"")</f>
        <v/>
      </c>
      <c r="AJ187" s="13">
        <f>IF(AND(ISNUMBER(AE187),ISNUMBER($B$25),ISNUMBER($D$25)),IF(AE187&gt;$D$25,"boven UCL",IF(AE187&lt;$B$25,"onder LCL","")),"")</f>
        <v/>
      </c>
      <c r="AK187" s="13">
        <f>IF(AND(ISNUMBER(AG187),ISNUMBER($B$26),ISNUMBER($D$26)),IF(AG187&gt;$D$26,"boven UCL",IF(AG187&lt;$B$26,"onder LCL","")),"")</f>
        <v/>
      </c>
      <c r="AL187" s="13">
        <f>IF(AND(COUNT(B187:Z187)&gt;0,COUNT(AA187:AC187)&gt;0),"ruwe waarden én getypt: getypte genegeerd",IF(COUNTA(B187:Z187,AA187:AC187)&gt;COUNT(B187:Z187,AA187:AC187),"tekst telt niet mee",IF(COUNT(B187:Z187)=1,"1 waarde: geen R of s","")))</f>
        <v/>
      </c>
    </row>
    <row r="188">
      <c r="A188" t="n">
        <v>137</v>
      </c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28">
        <f>IF(COUNT(B188:Z188)&gt;0,COUNT(B188:Z188),IF(OR(ISNUMBER(AA188),ISNUMBER(AB188)),$B$9,""))</f>
        <v/>
      </c>
      <c r="AE188" s="29">
        <f>IF(COUNT(B188:Z188)&gt;0,AVERAGE(B188:Z188),IF(ISNUMBER(AA188),AA188,""))</f>
        <v/>
      </c>
      <c r="AF188" s="29">
        <f>IF(COUNT(B188:Z188)&gt;1,MAX(B188:Z188)-MIN(B188:Z188),IF(ISNUMBER(AB188),AB188,""))</f>
        <v/>
      </c>
      <c r="AG188" s="29">
        <f>IF(COUNT(B188:Z188)&gt;1,_xlfn.STDEV.S(B188:Z188),IF(ISNUMBER(AC188),AC188,""))</f>
        <v/>
      </c>
      <c r="AH188" s="13">
        <f>IF(AND(ISNUMBER(AE188),ISNUMBER($B$23),ISNUMBER($D$23)),IF(AE188&gt;$D$23,"boven UCL",IF(AE188&lt;$B$23,"onder LCL","")),"")</f>
        <v/>
      </c>
      <c r="AI188" s="13">
        <f>IF(AND(ISNUMBER(AF188),ISNUMBER($B$24),ISNUMBER($D$24)),IF(AF188&gt;$D$24,"boven UCL",IF(AF188&lt;$B$24,"onder LCL","")),"")</f>
        <v/>
      </c>
      <c r="AJ188" s="13">
        <f>IF(AND(ISNUMBER(AE188),ISNUMBER($B$25),ISNUMBER($D$25)),IF(AE188&gt;$D$25,"boven UCL",IF(AE188&lt;$B$25,"onder LCL","")),"")</f>
        <v/>
      </c>
      <c r="AK188" s="13">
        <f>IF(AND(ISNUMBER(AG188),ISNUMBER($B$26),ISNUMBER($D$26)),IF(AG188&gt;$D$26,"boven UCL",IF(AG188&lt;$B$26,"onder LCL","")),"")</f>
        <v/>
      </c>
      <c r="AL188" s="13">
        <f>IF(AND(COUNT(B188:Z188)&gt;0,COUNT(AA188:AC188)&gt;0),"ruwe waarden én getypt: getypte genegeerd",IF(COUNTA(B188:Z188,AA188:AC188)&gt;COUNT(B188:Z188,AA188:AC188),"tekst telt niet mee",IF(COUNT(B188:Z188)=1,"1 waarde: geen R of s","")))</f>
        <v/>
      </c>
    </row>
    <row r="189">
      <c r="A189" t="n">
        <v>138</v>
      </c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28">
        <f>IF(COUNT(B189:Z189)&gt;0,COUNT(B189:Z189),IF(OR(ISNUMBER(AA189),ISNUMBER(AB189)),$B$9,""))</f>
        <v/>
      </c>
      <c r="AE189" s="29">
        <f>IF(COUNT(B189:Z189)&gt;0,AVERAGE(B189:Z189),IF(ISNUMBER(AA189),AA189,""))</f>
        <v/>
      </c>
      <c r="AF189" s="29">
        <f>IF(COUNT(B189:Z189)&gt;1,MAX(B189:Z189)-MIN(B189:Z189),IF(ISNUMBER(AB189),AB189,""))</f>
        <v/>
      </c>
      <c r="AG189" s="29">
        <f>IF(COUNT(B189:Z189)&gt;1,_xlfn.STDEV.S(B189:Z189),IF(ISNUMBER(AC189),AC189,""))</f>
        <v/>
      </c>
      <c r="AH189" s="13">
        <f>IF(AND(ISNUMBER(AE189),ISNUMBER($B$23),ISNUMBER($D$23)),IF(AE189&gt;$D$23,"boven UCL",IF(AE189&lt;$B$23,"onder LCL","")),"")</f>
        <v/>
      </c>
      <c r="AI189" s="13">
        <f>IF(AND(ISNUMBER(AF189),ISNUMBER($B$24),ISNUMBER($D$24)),IF(AF189&gt;$D$24,"boven UCL",IF(AF189&lt;$B$24,"onder LCL","")),"")</f>
        <v/>
      </c>
      <c r="AJ189" s="13">
        <f>IF(AND(ISNUMBER(AE189),ISNUMBER($B$25),ISNUMBER($D$25)),IF(AE189&gt;$D$25,"boven UCL",IF(AE189&lt;$B$25,"onder LCL","")),"")</f>
        <v/>
      </c>
      <c r="AK189" s="13">
        <f>IF(AND(ISNUMBER(AG189),ISNUMBER($B$26),ISNUMBER($D$26)),IF(AG189&gt;$D$26,"boven UCL",IF(AG189&lt;$B$26,"onder LCL","")),"")</f>
        <v/>
      </c>
      <c r="AL189" s="13">
        <f>IF(AND(COUNT(B189:Z189)&gt;0,COUNT(AA189:AC189)&gt;0),"ruwe waarden én getypt: getypte genegeerd",IF(COUNTA(B189:Z189,AA189:AC189)&gt;COUNT(B189:Z189,AA189:AC189),"tekst telt niet mee",IF(COUNT(B189:Z189)=1,"1 waarde: geen R of s","")))</f>
        <v/>
      </c>
    </row>
    <row r="190">
      <c r="A190" t="n">
        <v>139</v>
      </c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28">
        <f>IF(COUNT(B190:Z190)&gt;0,COUNT(B190:Z190),IF(OR(ISNUMBER(AA190),ISNUMBER(AB190)),$B$9,""))</f>
        <v/>
      </c>
      <c r="AE190" s="29">
        <f>IF(COUNT(B190:Z190)&gt;0,AVERAGE(B190:Z190),IF(ISNUMBER(AA190),AA190,""))</f>
        <v/>
      </c>
      <c r="AF190" s="29">
        <f>IF(COUNT(B190:Z190)&gt;1,MAX(B190:Z190)-MIN(B190:Z190),IF(ISNUMBER(AB190),AB190,""))</f>
        <v/>
      </c>
      <c r="AG190" s="29">
        <f>IF(COUNT(B190:Z190)&gt;1,_xlfn.STDEV.S(B190:Z190),IF(ISNUMBER(AC190),AC190,""))</f>
        <v/>
      </c>
      <c r="AH190" s="13">
        <f>IF(AND(ISNUMBER(AE190),ISNUMBER($B$23),ISNUMBER($D$23)),IF(AE190&gt;$D$23,"boven UCL",IF(AE190&lt;$B$23,"onder LCL","")),"")</f>
        <v/>
      </c>
      <c r="AI190" s="13">
        <f>IF(AND(ISNUMBER(AF190),ISNUMBER($B$24),ISNUMBER($D$24)),IF(AF190&gt;$D$24,"boven UCL",IF(AF190&lt;$B$24,"onder LCL","")),"")</f>
        <v/>
      </c>
      <c r="AJ190" s="13">
        <f>IF(AND(ISNUMBER(AE190),ISNUMBER($B$25),ISNUMBER($D$25)),IF(AE190&gt;$D$25,"boven UCL",IF(AE190&lt;$B$25,"onder LCL","")),"")</f>
        <v/>
      </c>
      <c r="AK190" s="13">
        <f>IF(AND(ISNUMBER(AG190),ISNUMBER($B$26),ISNUMBER($D$26)),IF(AG190&gt;$D$26,"boven UCL",IF(AG190&lt;$B$26,"onder LCL","")),"")</f>
        <v/>
      </c>
      <c r="AL190" s="13">
        <f>IF(AND(COUNT(B190:Z190)&gt;0,COUNT(AA190:AC190)&gt;0),"ruwe waarden én getypt: getypte genegeerd",IF(COUNTA(B190:Z190,AA190:AC190)&gt;COUNT(B190:Z190,AA190:AC190),"tekst telt niet mee",IF(COUNT(B190:Z190)=1,"1 waarde: geen R of s","")))</f>
        <v/>
      </c>
    </row>
    <row r="191">
      <c r="A191" t="n">
        <v>140</v>
      </c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28">
        <f>IF(COUNT(B191:Z191)&gt;0,COUNT(B191:Z191),IF(OR(ISNUMBER(AA191),ISNUMBER(AB191)),$B$9,""))</f>
        <v/>
      </c>
      <c r="AE191" s="29">
        <f>IF(COUNT(B191:Z191)&gt;0,AVERAGE(B191:Z191),IF(ISNUMBER(AA191),AA191,""))</f>
        <v/>
      </c>
      <c r="AF191" s="29">
        <f>IF(COUNT(B191:Z191)&gt;1,MAX(B191:Z191)-MIN(B191:Z191),IF(ISNUMBER(AB191),AB191,""))</f>
        <v/>
      </c>
      <c r="AG191" s="29">
        <f>IF(COUNT(B191:Z191)&gt;1,_xlfn.STDEV.S(B191:Z191),IF(ISNUMBER(AC191),AC191,""))</f>
        <v/>
      </c>
      <c r="AH191" s="13">
        <f>IF(AND(ISNUMBER(AE191),ISNUMBER($B$23),ISNUMBER($D$23)),IF(AE191&gt;$D$23,"boven UCL",IF(AE191&lt;$B$23,"onder LCL","")),"")</f>
        <v/>
      </c>
      <c r="AI191" s="13">
        <f>IF(AND(ISNUMBER(AF191),ISNUMBER($B$24),ISNUMBER($D$24)),IF(AF191&gt;$D$24,"boven UCL",IF(AF191&lt;$B$24,"onder LCL","")),"")</f>
        <v/>
      </c>
      <c r="AJ191" s="13">
        <f>IF(AND(ISNUMBER(AE191),ISNUMBER($B$25),ISNUMBER($D$25)),IF(AE191&gt;$D$25,"boven UCL",IF(AE191&lt;$B$25,"onder LCL","")),"")</f>
        <v/>
      </c>
      <c r="AK191" s="13">
        <f>IF(AND(ISNUMBER(AG191),ISNUMBER($B$26),ISNUMBER($D$26)),IF(AG191&gt;$D$26,"boven UCL",IF(AG191&lt;$B$26,"onder LCL","")),"")</f>
        <v/>
      </c>
      <c r="AL191" s="13">
        <f>IF(AND(COUNT(B191:Z191)&gt;0,COUNT(AA191:AC191)&gt;0),"ruwe waarden én getypt: getypte genegeerd",IF(COUNTA(B191:Z191,AA191:AC191)&gt;COUNT(B191:Z191,AA191:AC191),"tekst telt niet mee",IF(COUNT(B191:Z191)=1,"1 waarde: geen R of s","")))</f>
        <v/>
      </c>
    </row>
    <row r="192">
      <c r="A192" t="n">
        <v>141</v>
      </c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28">
        <f>IF(COUNT(B192:Z192)&gt;0,COUNT(B192:Z192),IF(OR(ISNUMBER(AA192),ISNUMBER(AB192)),$B$9,""))</f>
        <v/>
      </c>
      <c r="AE192" s="29">
        <f>IF(COUNT(B192:Z192)&gt;0,AVERAGE(B192:Z192),IF(ISNUMBER(AA192),AA192,""))</f>
        <v/>
      </c>
      <c r="AF192" s="29">
        <f>IF(COUNT(B192:Z192)&gt;1,MAX(B192:Z192)-MIN(B192:Z192),IF(ISNUMBER(AB192),AB192,""))</f>
        <v/>
      </c>
      <c r="AG192" s="29">
        <f>IF(COUNT(B192:Z192)&gt;1,_xlfn.STDEV.S(B192:Z192),IF(ISNUMBER(AC192),AC192,""))</f>
        <v/>
      </c>
      <c r="AH192" s="13">
        <f>IF(AND(ISNUMBER(AE192),ISNUMBER($B$23),ISNUMBER($D$23)),IF(AE192&gt;$D$23,"boven UCL",IF(AE192&lt;$B$23,"onder LCL","")),"")</f>
        <v/>
      </c>
      <c r="AI192" s="13">
        <f>IF(AND(ISNUMBER(AF192),ISNUMBER($B$24),ISNUMBER($D$24)),IF(AF192&gt;$D$24,"boven UCL",IF(AF192&lt;$B$24,"onder LCL","")),"")</f>
        <v/>
      </c>
      <c r="AJ192" s="13">
        <f>IF(AND(ISNUMBER(AE192),ISNUMBER($B$25),ISNUMBER($D$25)),IF(AE192&gt;$D$25,"boven UCL",IF(AE192&lt;$B$25,"onder LCL","")),"")</f>
        <v/>
      </c>
      <c r="AK192" s="13">
        <f>IF(AND(ISNUMBER(AG192),ISNUMBER($B$26),ISNUMBER($D$26)),IF(AG192&gt;$D$26,"boven UCL",IF(AG192&lt;$B$26,"onder LCL","")),"")</f>
        <v/>
      </c>
      <c r="AL192" s="13">
        <f>IF(AND(COUNT(B192:Z192)&gt;0,COUNT(AA192:AC192)&gt;0),"ruwe waarden én getypt: getypte genegeerd",IF(COUNTA(B192:Z192,AA192:AC192)&gt;COUNT(B192:Z192,AA192:AC192),"tekst telt niet mee",IF(COUNT(B192:Z192)=1,"1 waarde: geen R of s","")))</f>
        <v/>
      </c>
    </row>
    <row r="193">
      <c r="A193" t="n">
        <v>142</v>
      </c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28">
        <f>IF(COUNT(B193:Z193)&gt;0,COUNT(B193:Z193),IF(OR(ISNUMBER(AA193),ISNUMBER(AB193)),$B$9,""))</f>
        <v/>
      </c>
      <c r="AE193" s="29">
        <f>IF(COUNT(B193:Z193)&gt;0,AVERAGE(B193:Z193),IF(ISNUMBER(AA193),AA193,""))</f>
        <v/>
      </c>
      <c r="AF193" s="29">
        <f>IF(COUNT(B193:Z193)&gt;1,MAX(B193:Z193)-MIN(B193:Z193),IF(ISNUMBER(AB193),AB193,""))</f>
        <v/>
      </c>
      <c r="AG193" s="29">
        <f>IF(COUNT(B193:Z193)&gt;1,_xlfn.STDEV.S(B193:Z193),IF(ISNUMBER(AC193),AC193,""))</f>
        <v/>
      </c>
      <c r="AH193" s="13">
        <f>IF(AND(ISNUMBER(AE193),ISNUMBER($B$23),ISNUMBER($D$23)),IF(AE193&gt;$D$23,"boven UCL",IF(AE193&lt;$B$23,"onder LCL","")),"")</f>
        <v/>
      </c>
      <c r="AI193" s="13">
        <f>IF(AND(ISNUMBER(AF193),ISNUMBER($B$24),ISNUMBER($D$24)),IF(AF193&gt;$D$24,"boven UCL",IF(AF193&lt;$B$24,"onder LCL","")),"")</f>
        <v/>
      </c>
      <c r="AJ193" s="13">
        <f>IF(AND(ISNUMBER(AE193),ISNUMBER($B$25),ISNUMBER($D$25)),IF(AE193&gt;$D$25,"boven UCL",IF(AE193&lt;$B$25,"onder LCL","")),"")</f>
        <v/>
      </c>
      <c r="AK193" s="13">
        <f>IF(AND(ISNUMBER(AG193),ISNUMBER($B$26),ISNUMBER($D$26)),IF(AG193&gt;$D$26,"boven UCL",IF(AG193&lt;$B$26,"onder LCL","")),"")</f>
        <v/>
      </c>
      <c r="AL193" s="13">
        <f>IF(AND(COUNT(B193:Z193)&gt;0,COUNT(AA193:AC193)&gt;0),"ruwe waarden én getypt: getypte genegeerd",IF(COUNTA(B193:Z193,AA193:AC193)&gt;COUNT(B193:Z193,AA193:AC193),"tekst telt niet mee",IF(COUNT(B193:Z193)=1,"1 waarde: geen R of s","")))</f>
        <v/>
      </c>
    </row>
    <row r="194">
      <c r="A194" t="n">
        <v>143</v>
      </c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28">
        <f>IF(COUNT(B194:Z194)&gt;0,COUNT(B194:Z194),IF(OR(ISNUMBER(AA194),ISNUMBER(AB194)),$B$9,""))</f>
        <v/>
      </c>
      <c r="AE194" s="29">
        <f>IF(COUNT(B194:Z194)&gt;0,AVERAGE(B194:Z194),IF(ISNUMBER(AA194),AA194,""))</f>
        <v/>
      </c>
      <c r="AF194" s="29">
        <f>IF(COUNT(B194:Z194)&gt;1,MAX(B194:Z194)-MIN(B194:Z194),IF(ISNUMBER(AB194),AB194,""))</f>
        <v/>
      </c>
      <c r="AG194" s="29">
        <f>IF(COUNT(B194:Z194)&gt;1,_xlfn.STDEV.S(B194:Z194),IF(ISNUMBER(AC194),AC194,""))</f>
        <v/>
      </c>
      <c r="AH194" s="13">
        <f>IF(AND(ISNUMBER(AE194),ISNUMBER($B$23),ISNUMBER($D$23)),IF(AE194&gt;$D$23,"boven UCL",IF(AE194&lt;$B$23,"onder LCL","")),"")</f>
        <v/>
      </c>
      <c r="AI194" s="13">
        <f>IF(AND(ISNUMBER(AF194),ISNUMBER($B$24),ISNUMBER($D$24)),IF(AF194&gt;$D$24,"boven UCL",IF(AF194&lt;$B$24,"onder LCL","")),"")</f>
        <v/>
      </c>
      <c r="AJ194" s="13">
        <f>IF(AND(ISNUMBER(AE194),ISNUMBER($B$25),ISNUMBER($D$25)),IF(AE194&gt;$D$25,"boven UCL",IF(AE194&lt;$B$25,"onder LCL","")),"")</f>
        <v/>
      </c>
      <c r="AK194" s="13">
        <f>IF(AND(ISNUMBER(AG194),ISNUMBER($B$26),ISNUMBER($D$26)),IF(AG194&gt;$D$26,"boven UCL",IF(AG194&lt;$B$26,"onder LCL","")),"")</f>
        <v/>
      </c>
      <c r="AL194" s="13">
        <f>IF(AND(COUNT(B194:Z194)&gt;0,COUNT(AA194:AC194)&gt;0),"ruwe waarden én getypt: getypte genegeerd",IF(COUNTA(B194:Z194,AA194:AC194)&gt;COUNT(B194:Z194,AA194:AC194),"tekst telt niet mee",IF(COUNT(B194:Z194)=1,"1 waarde: geen R of s","")))</f>
        <v/>
      </c>
    </row>
    <row r="195">
      <c r="A195" t="n">
        <v>144</v>
      </c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28">
        <f>IF(COUNT(B195:Z195)&gt;0,COUNT(B195:Z195),IF(OR(ISNUMBER(AA195),ISNUMBER(AB195)),$B$9,""))</f>
        <v/>
      </c>
      <c r="AE195" s="29">
        <f>IF(COUNT(B195:Z195)&gt;0,AVERAGE(B195:Z195),IF(ISNUMBER(AA195),AA195,""))</f>
        <v/>
      </c>
      <c r="AF195" s="29">
        <f>IF(COUNT(B195:Z195)&gt;1,MAX(B195:Z195)-MIN(B195:Z195),IF(ISNUMBER(AB195),AB195,""))</f>
        <v/>
      </c>
      <c r="AG195" s="29">
        <f>IF(COUNT(B195:Z195)&gt;1,_xlfn.STDEV.S(B195:Z195),IF(ISNUMBER(AC195),AC195,""))</f>
        <v/>
      </c>
      <c r="AH195" s="13">
        <f>IF(AND(ISNUMBER(AE195),ISNUMBER($B$23),ISNUMBER($D$23)),IF(AE195&gt;$D$23,"boven UCL",IF(AE195&lt;$B$23,"onder LCL","")),"")</f>
        <v/>
      </c>
      <c r="AI195" s="13">
        <f>IF(AND(ISNUMBER(AF195),ISNUMBER($B$24),ISNUMBER($D$24)),IF(AF195&gt;$D$24,"boven UCL",IF(AF195&lt;$B$24,"onder LCL","")),"")</f>
        <v/>
      </c>
      <c r="AJ195" s="13">
        <f>IF(AND(ISNUMBER(AE195),ISNUMBER($B$25),ISNUMBER($D$25)),IF(AE195&gt;$D$25,"boven UCL",IF(AE195&lt;$B$25,"onder LCL","")),"")</f>
        <v/>
      </c>
      <c r="AK195" s="13">
        <f>IF(AND(ISNUMBER(AG195),ISNUMBER($B$26),ISNUMBER($D$26)),IF(AG195&gt;$D$26,"boven UCL",IF(AG195&lt;$B$26,"onder LCL","")),"")</f>
        <v/>
      </c>
      <c r="AL195" s="13">
        <f>IF(AND(COUNT(B195:Z195)&gt;0,COUNT(AA195:AC195)&gt;0),"ruwe waarden én getypt: getypte genegeerd",IF(COUNTA(B195:Z195,AA195:AC195)&gt;COUNT(B195:Z195,AA195:AC195),"tekst telt niet mee",IF(COUNT(B195:Z195)=1,"1 waarde: geen R of s","")))</f>
        <v/>
      </c>
    </row>
    <row r="196">
      <c r="A196" t="n">
        <v>145</v>
      </c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28">
        <f>IF(COUNT(B196:Z196)&gt;0,COUNT(B196:Z196),IF(OR(ISNUMBER(AA196),ISNUMBER(AB196)),$B$9,""))</f>
        <v/>
      </c>
      <c r="AE196" s="29">
        <f>IF(COUNT(B196:Z196)&gt;0,AVERAGE(B196:Z196),IF(ISNUMBER(AA196),AA196,""))</f>
        <v/>
      </c>
      <c r="AF196" s="29">
        <f>IF(COUNT(B196:Z196)&gt;1,MAX(B196:Z196)-MIN(B196:Z196),IF(ISNUMBER(AB196),AB196,""))</f>
        <v/>
      </c>
      <c r="AG196" s="29">
        <f>IF(COUNT(B196:Z196)&gt;1,_xlfn.STDEV.S(B196:Z196),IF(ISNUMBER(AC196),AC196,""))</f>
        <v/>
      </c>
      <c r="AH196" s="13">
        <f>IF(AND(ISNUMBER(AE196),ISNUMBER($B$23),ISNUMBER($D$23)),IF(AE196&gt;$D$23,"boven UCL",IF(AE196&lt;$B$23,"onder LCL","")),"")</f>
        <v/>
      </c>
      <c r="AI196" s="13">
        <f>IF(AND(ISNUMBER(AF196),ISNUMBER($B$24),ISNUMBER($D$24)),IF(AF196&gt;$D$24,"boven UCL",IF(AF196&lt;$B$24,"onder LCL","")),"")</f>
        <v/>
      </c>
      <c r="AJ196" s="13">
        <f>IF(AND(ISNUMBER(AE196),ISNUMBER($B$25),ISNUMBER($D$25)),IF(AE196&gt;$D$25,"boven UCL",IF(AE196&lt;$B$25,"onder LCL","")),"")</f>
        <v/>
      </c>
      <c r="AK196" s="13">
        <f>IF(AND(ISNUMBER(AG196),ISNUMBER($B$26),ISNUMBER($D$26)),IF(AG196&gt;$D$26,"boven UCL",IF(AG196&lt;$B$26,"onder LCL","")),"")</f>
        <v/>
      </c>
      <c r="AL196" s="13">
        <f>IF(AND(COUNT(B196:Z196)&gt;0,COUNT(AA196:AC196)&gt;0),"ruwe waarden én getypt: getypte genegeerd",IF(COUNTA(B196:Z196,AA196:AC196)&gt;COUNT(B196:Z196,AA196:AC196),"tekst telt niet mee",IF(COUNT(B196:Z196)=1,"1 waarde: geen R of s","")))</f>
        <v/>
      </c>
    </row>
    <row r="197">
      <c r="A197" t="n">
        <v>146</v>
      </c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28">
        <f>IF(COUNT(B197:Z197)&gt;0,COUNT(B197:Z197),IF(OR(ISNUMBER(AA197),ISNUMBER(AB197)),$B$9,""))</f>
        <v/>
      </c>
      <c r="AE197" s="29">
        <f>IF(COUNT(B197:Z197)&gt;0,AVERAGE(B197:Z197),IF(ISNUMBER(AA197),AA197,""))</f>
        <v/>
      </c>
      <c r="AF197" s="29">
        <f>IF(COUNT(B197:Z197)&gt;1,MAX(B197:Z197)-MIN(B197:Z197),IF(ISNUMBER(AB197),AB197,""))</f>
        <v/>
      </c>
      <c r="AG197" s="29">
        <f>IF(COUNT(B197:Z197)&gt;1,_xlfn.STDEV.S(B197:Z197),IF(ISNUMBER(AC197),AC197,""))</f>
        <v/>
      </c>
      <c r="AH197" s="13">
        <f>IF(AND(ISNUMBER(AE197),ISNUMBER($B$23),ISNUMBER($D$23)),IF(AE197&gt;$D$23,"boven UCL",IF(AE197&lt;$B$23,"onder LCL","")),"")</f>
        <v/>
      </c>
      <c r="AI197" s="13">
        <f>IF(AND(ISNUMBER(AF197),ISNUMBER($B$24),ISNUMBER($D$24)),IF(AF197&gt;$D$24,"boven UCL",IF(AF197&lt;$B$24,"onder LCL","")),"")</f>
        <v/>
      </c>
      <c r="AJ197" s="13">
        <f>IF(AND(ISNUMBER(AE197),ISNUMBER($B$25),ISNUMBER($D$25)),IF(AE197&gt;$D$25,"boven UCL",IF(AE197&lt;$B$25,"onder LCL","")),"")</f>
        <v/>
      </c>
      <c r="AK197" s="13">
        <f>IF(AND(ISNUMBER(AG197),ISNUMBER($B$26),ISNUMBER($D$26)),IF(AG197&gt;$D$26,"boven UCL",IF(AG197&lt;$B$26,"onder LCL","")),"")</f>
        <v/>
      </c>
      <c r="AL197" s="13">
        <f>IF(AND(COUNT(B197:Z197)&gt;0,COUNT(AA197:AC197)&gt;0),"ruwe waarden én getypt: getypte genegeerd",IF(COUNTA(B197:Z197,AA197:AC197)&gt;COUNT(B197:Z197,AA197:AC197),"tekst telt niet mee",IF(COUNT(B197:Z197)=1,"1 waarde: geen R of s","")))</f>
        <v/>
      </c>
    </row>
    <row r="198">
      <c r="A198" t="n">
        <v>147</v>
      </c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28">
        <f>IF(COUNT(B198:Z198)&gt;0,COUNT(B198:Z198),IF(OR(ISNUMBER(AA198),ISNUMBER(AB198)),$B$9,""))</f>
        <v/>
      </c>
      <c r="AE198" s="29">
        <f>IF(COUNT(B198:Z198)&gt;0,AVERAGE(B198:Z198),IF(ISNUMBER(AA198),AA198,""))</f>
        <v/>
      </c>
      <c r="AF198" s="29">
        <f>IF(COUNT(B198:Z198)&gt;1,MAX(B198:Z198)-MIN(B198:Z198),IF(ISNUMBER(AB198),AB198,""))</f>
        <v/>
      </c>
      <c r="AG198" s="29">
        <f>IF(COUNT(B198:Z198)&gt;1,_xlfn.STDEV.S(B198:Z198),IF(ISNUMBER(AC198),AC198,""))</f>
        <v/>
      </c>
      <c r="AH198" s="13">
        <f>IF(AND(ISNUMBER(AE198),ISNUMBER($B$23),ISNUMBER($D$23)),IF(AE198&gt;$D$23,"boven UCL",IF(AE198&lt;$B$23,"onder LCL","")),"")</f>
        <v/>
      </c>
      <c r="AI198" s="13">
        <f>IF(AND(ISNUMBER(AF198),ISNUMBER($B$24),ISNUMBER($D$24)),IF(AF198&gt;$D$24,"boven UCL",IF(AF198&lt;$B$24,"onder LCL","")),"")</f>
        <v/>
      </c>
      <c r="AJ198" s="13">
        <f>IF(AND(ISNUMBER(AE198),ISNUMBER($B$25),ISNUMBER($D$25)),IF(AE198&gt;$D$25,"boven UCL",IF(AE198&lt;$B$25,"onder LCL","")),"")</f>
        <v/>
      </c>
      <c r="AK198" s="13">
        <f>IF(AND(ISNUMBER(AG198),ISNUMBER($B$26),ISNUMBER($D$26)),IF(AG198&gt;$D$26,"boven UCL",IF(AG198&lt;$B$26,"onder LCL","")),"")</f>
        <v/>
      </c>
      <c r="AL198" s="13">
        <f>IF(AND(COUNT(B198:Z198)&gt;0,COUNT(AA198:AC198)&gt;0),"ruwe waarden én getypt: getypte genegeerd",IF(COUNTA(B198:Z198,AA198:AC198)&gt;COUNT(B198:Z198,AA198:AC198),"tekst telt niet mee",IF(COUNT(B198:Z198)=1,"1 waarde: geen R of s","")))</f>
        <v/>
      </c>
    </row>
    <row r="199">
      <c r="A199" t="n">
        <v>148</v>
      </c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28">
        <f>IF(COUNT(B199:Z199)&gt;0,COUNT(B199:Z199),IF(OR(ISNUMBER(AA199),ISNUMBER(AB199)),$B$9,""))</f>
        <v/>
      </c>
      <c r="AE199" s="29">
        <f>IF(COUNT(B199:Z199)&gt;0,AVERAGE(B199:Z199),IF(ISNUMBER(AA199),AA199,""))</f>
        <v/>
      </c>
      <c r="AF199" s="29">
        <f>IF(COUNT(B199:Z199)&gt;1,MAX(B199:Z199)-MIN(B199:Z199),IF(ISNUMBER(AB199),AB199,""))</f>
        <v/>
      </c>
      <c r="AG199" s="29">
        <f>IF(COUNT(B199:Z199)&gt;1,_xlfn.STDEV.S(B199:Z199),IF(ISNUMBER(AC199),AC199,""))</f>
        <v/>
      </c>
      <c r="AH199" s="13">
        <f>IF(AND(ISNUMBER(AE199),ISNUMBER($B$23),ISNUMBER($D$23)),IF(AE199&gt;$D$23,"boven UCL",IF(AE199&lt;$B$23,"onder LCL","")),"")</f>
        <v/>
      </c>
      <c r="AI199" s="13">
        <f>IF(AND(ISNUMBER(AF199),ISNUMBER($B$24),ISNUMBER($D$24)),IF(AF199&gt;$D$24,"boven UCL",IF(AF199&lt;$B$24,"onder LCL","")),"")</f>
        <v/>
      </c>
      <c r="AJ199" s="13">
        <f>IF(AND(ISNUMBER(AE199),ISNUMBER($B$25),ISNUMBER($D$25)),IF(AE199&gt;$D$25,"boven UCL",IF(AE199&lt;$B$25,"onder LCL","")),"")</f>
        <v/>
      </c>
      <c r="AK199" s="13">
        <f>IF(AND(ISNUMBER(AG199),ISNUMBER($B$26),ISNUMBER($D$26)),IF(AG199&gt;$D$26,"boven UCL",IF(AG199&lt;$B$26,"onder LCL","")),"")</f>
        <v/>
      </c>
      <c r="AL199" s="13">
        <f>IF(AND(COUNT(B199:Z199)&gt;0,COUNT(AA199:AC199)&gt;0),"ruwe waarden én getypt: getypte genegeerd",IF(COUNTA(B199:Z199,AA199:AC199)&gt;COUNT(B199:Z199,AA199:AC199),"tekst telt niet mee",IF(COUNT(B199:Z199)=1,"1 waarde: geen R of s","")))</f>
        <v/>
      </c>
    </row>
    <row r="200">
      <c r="A200" t="n">
        <v>149</v>
      </c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28">
        <f>IF(COUNT(B200:Z200)&gt;0,COUNT(B200:Z200),IF(OR(ISNUMBER(AA200),ISNUMBER(AB200)),$B$9,""))</f>
        <v/>
      </c>
      <c r="AE200" s="29">
        <f>IF(COUNT(B200:Z200)&gt;0,AVERAGE(B200:Z200),IF(ISNUMBER(AA200),AA200,""))</f>
        <v/>
      </c>
      <c r="AF200" s="29">
        <f>IF(COUNT(B200:Z200)&gt;1,MAX(B200:Z200)-MIN(B200:Z200),IF(ISNUMBER(AB200),AB200,""))</f>
        <v/>
      </c>
      <c r="AG200" s="29">
        <f>IF(COUNT(B200:Z200)&gt;1,_xlfn.STDEV.S(B200:Z200),IF(ISNUMBER(AC200),AC200,""))</f>
        <v/>
      </c>
      <c r="AH200" s="13">
        <f>IF(AND(ISNUMBER(AE200),ISNUMBER($B$23),ISNUMBER($D$23)),IF(AE200&gt;$D$23,"boven UCL",IF(AE200&lt;$B$23,"onder LCL","")),"")</f>
        <v/>
      </c>
      <c r="AI200" s="13">
        <f>IF(AND(ISNUMBER(AF200),ISNUMBER($B$24),ISNUMBER($D$24)),IF(AF200&gt;$D$24,"boven UCL",IF(AF200&lt;$B$24,"onder LCL","")),"")</f>
        <v/>
      </c>
      <c r="AJ200" s="13">
        <f>IF(AND(ISNUMBER(AE200),ISNUMBER($B$25),ISNUMBER($D$25)),IF(AE200&gt;$D$25,"boven UCL",IF(AE200&lt;$B$25,"onder LCL","")),"")</f>
        <v/>
      </c>
      <c r="AK200" s="13">
        <f>IF(AND(ISNUMBER(AG200),ISNUMBER($B$26),ISNUMBER($D$26)),IF(AG200&gt;$D$26,"boven UCL",IF(AG200&lt;$B$26,"onder LCL","")),"")</f>
        <v/>
      </c>
      <c r="AL200" s="13">
        <f>IF(AND(COUNT(B200:Z200)&gt;0,COUNT(AA200:AC200)&gt;0),"ruwe waarden én getypt: getypte genegeerd",IF(COUNTA(B200:Z200,AA200:AC200)&gt;COUNT(B200:Z200,AA200:AC200),"tekst telt niet mee",IF(COUNT(B200:Z200)=1,"1 waarde: geen R of s","")))</f>
        <v/>
      </c>
    </row>
    <row r="201">
      <c r="A201" t="n">
        <v>150</v>
      </c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28">
        <f>IF(COUNT(B201:Z201)&gt;0,COUNT(B201:Z201),IF(OR(ISNUMBER(AA201),ISNUMBER(AB201)),$B$9,""))</f>
        <v/>
      </c>
      <c r="AE201" s="29">
        <f>IF(COUNT(B201:Z201)&gt;0,AVERAGE(B201:Z201),IF(ISNUMBER(AA201),AA201,""))</f>
        <v/>
      </c>
      <c r="AF201" s="29">
        <f>IF(COUNT(B201:Z201)&gt;1,MAX(B201:Z201)-MIN(B201:Z201),IF(ISNUMBER(AB201),AB201,""))</f>
        <v/>
      </c>
      <c r="AG201" s="29">
        <f>IF(COUNT(B201:Z201)&gt;1,_xlfn.STDEV.S(B201:Z201),IF(ISNUMBER(AC201),AC201,""))</f>
        <v/>
      </c>
      <c r="AH201" s="13">
        <f>IF(AND(ISNUMBER(AE201),ISNUMBER($B$23),ISNUMBER($D$23)),IF(AE201&gt;$D$23,"boven UCL",IF(AE201&lt;$B$23,"onder LCL","")),"")</f>
        <v/>
      </c>
      <c r="AI201" s="13">
        <f>IF(AND(ISNUMBER(AF201),ISNUMBER($B$24),ISNUMBER($D$24)),IF(AF201&gt;$D$24,"boven UCL",IF(AF201&lt;$B$24,"onder LCL","")),"")</f>
        <v/>
      </c>
      <c r="AJ201" s="13">
        <f>IF(AND(ISNUMBER(AE201),ISNUMBER($B$25),ISNUMBER($D$25)),IF(AE201&gt;$D$25,"boven UCL",IF(AE201&lt;$B$25,"onder LCL","")),"")</f>
        <v/>
      </c>
      <c r="AK201" s="13">
        <f>IF(AND(ISNUMBER(AG201),ISNUMBER($B$26),ISNUMBER($D$26)),IF(AG201&gt;$D$26,"boven UCL",IF(AG201&lt;$B$26,"onder LCL","")),"")</f>
        <v/>
      </c>
      <c r="AL201" s="13">
        <f>IF(AND(COUNT(B201:Z201)&gt;0,COUNT(AA201:AC201)&gt;0),"ruwe waarden én getypt: getypte genegeerd",IF(COUNTA(B201:Z201,AA201:AC201)&gt;COUNT(B201:Z201,AA201:AC201),"tekst telt niet mee",IF(COUNT(B201:Z201)=1,"1 waarde: geen R of s","")))</f>
        <v/>
      </c>
    </row>
    <row r="202">
      <c r="A202" t="n">
        <v>151</v>
      </c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28">
        <f>IF(COUNT(B202:Z202)&gt;0,COUNT(B202:Z202),IF(OR(ISNUMBER(AA202),ISNUMBER(AB202)),$B$9,""))</f>
        <v/>
      </c>
      <c r="AE202" s="29">
        <f>IF(COUNT(B202:Z202)&gt;0,AVERAGE(B202:Z202),IF(ISNUMBER(AA202),AA202,""))</f>
        <v/>
      </c>
      <c r="AF202" s="29">
        <f>IF(COUNT(B202:Z202)&gt;1,MAX(B202:Z202)-MIN(B202:Z202),IF(ISNUMBER(AB202),AB202,""))</f>
        <v/>
      </c>
      <c r="AG202" s="29">
        <f>IF(COUNT(B202:Z202)&gt;1,_xlfn.STDEV.S(B202:Z202),IF(ISNUMBER(AC202),AC202,""))</f>
        <v/>
      </c>
      <c r="AH202" s="13">
        <f>IF(AND(ISNUMBER(AE202),ISNUMBER($B$23),ISNUMBER($D$23)),IF(AE202&gt;$D$23,"boven UCL",IF(AE202&lt;$B$23,"onder LCL","")),"")</f>
        <v/>
      </c>
      <c r="AI202" s="13">
        <f>IF(AND(ISNUMBER(AF202),ISNUMBER($B$24),ISNUMBER($D$24)),IF(AF202&gt;$D$24,"boven UCL",IF(AF202&lt;$B$24,"onder LCL","")),"")</f>
        <v/>
      </c>
      <c r="AJ202" s="13">
        <f>IF(AND(ISNUMBER(AE202),ISNUMBER($B$25),ISNUMBER($D$25)),IF(AE202&gt;$D$25,"boven UCL",IF(AE202&lt;$B$25,"onder LCL","")),"")</f>
        <v/>
      </c>
      <c r="AK202" s="13">
        <f>IF(AND(ISNUMBER(AG202),ISNUMBER($B$26),ISNUMBER($D$26)),IF(AG202&gt;$D$26,"boven UCL",IF(AG202&lt;$B$26,"onder LCL","")),"")</f>
        <v/>
      </c>
      <c r="AL202" s="13">
        <f>IF(AND(COUNT(B202:Z202)&gt;0,COUNT(AA202:AC202)&gt;0),"ruwe waarden én getypt: getypte genegeerd",IF(COUNTA(B202:Z202,AA202:AC202)&gt;COUNT(B202:Z202,AA202:AC202),"tekst telt niet mee",IF(COUNT(B202:Z202)=1,"1 waarde: geen R of s","")))</f>
        <v/>
      </c>
    </row>
    <row r="203">
      <c r="A203" t="n">
        <v>152</v>
      </c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28">
        <f>IF(COUNT(B203:Z203)&gt;0,COUNT(B203:Z203),IF(OR(ISNUMBER(AA203),ISNUMBER(AB203)),$B$9,""))</f>
        <v/>
      </c>
      <c r="AE203" s="29">
        <f>IF(COUNT(B203:Z203)&gt;0,AVERAGE(B203:Z203),IF(ISNUMBER(AA203),AA203,""))</f>
        <v/>
      </c>
      <c r="AF203" s="29">
        <f>IF(COUNT(B203:Z203)&gt;1,MAX(B203:Z203)-MIN(B203:Z203),IF(ISNUMBER(AB203),AB203,""))</f>
        <v/>
      </c>
      <c r="AG203" s="29">
        <f>IF(COUNT(B203:Z203)&gt;1,_xlfn.STDEV.S(B203:Z203),IF(ISNUMBER(AC203),AC203,""))</f>
        <v/>
      </c>
      <c r="AH203" s="13">
        <f>IF(AND(ISNUMBER(AE203),ISNUMBER($B$23),ISNUMBER($D$23)),IF(AE203&gt;$D$23,"boven UCL",IF(AE203&lt;$B$23,"onder LCL","")),"")</f>
        <v/>
      </c>
      <c r="AI203" s="13">
        <f>IF(AND(ISNUMBER(AF203),ISNUMBER($B$24),ISNUMBER($D$24)),IF(AF203&gt;$D$24,"boven UCL",IF(AF203&lt;$B$24,"onder LCL","")),"")</f>
        <v/>
      </c>
      <c r="AJ203" s="13">
        <f>IF(AND(ISNUMBER(AE203),ISNUMBER($B$25),ISNUMBER($D$25)),IF(AE203&gt;$D$25,"boven UCL",IF(AE203&lt;$B$25,"onder LCL","")),"")</f>
        <v/>
      </c>
      <c r="AK203" s="13">
        <f>IF(AND(ISNUMBER(AG203),ISNUMBER($B$26),ISNUMBER($D$26)),IF(AG203&gt;$D$26,"boven UCL",IF(AG203&lt;$B$26,"onder LCL","")),"")</f>
        <v/>
      </c>
      <c r="AL203" s="13">
        <f>IF(AND(COUNT(B203:Z203)&gt;0,COUNT(AA203:AC203)&gt;0),"ruwe waarden én getypt: getypte genegeerd",IF(COUNTA(B203:Z203,AA203:AC203)&gt;COUNT(B203:Z203,AA203:AC203),"tekst telt niet mee",IF(COUNT(B203:Z203)=1,"1 waarde: geen R of s","")))</f>
        <v/>
      </c>
    </row>
    <row r="204">
      <c r="A204" t="n">
        <v>153</v>
      </c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28">
        <f>IF(COUNT(B204:Z204)&gt;0,COUNT(B204:Z204),IF(OR(ISNUMBER(AA204),ISNUMBER(AB204)),$B$9,""))</f>
        <v/>
      </c>
      <c r="AE204" s="29">
        <f>IF(COUNT(B204:Z204)&gt;0,AVERAGE(B204:Z204),IF(ISNUMBER(AA204),AA204,""))</f>
        <v/>
      </c>
      <c r="AF204" s="29">
        <f>IF(COUNT(B204:Z204)&gt;1,MAX(B204:Z204)-MIN(B204:Z204),IF(ISNUMBER(AB204),AB204,""))</f>
        <v/>
      </c>
      <c r="AG204" s="29">
        <f>IF(COUNT(B204:Z204)&gt;1,_xlfn.STDEV.S(B204:Z204),IF(ISNUMBER(AC204),AC204,""))</f>
        <v/>
      </c>
      <c r="AH204" s="13">
        <f>IF(AND(ISNUMBER(AE204),ISNUMBER($B$23),ISNUMBER($D$23)),IF(AE204&gt;$D$23,"boven UCL",IF(AE204&lt;$B$23,"onder LCL","")),"")</f>
        <v/>
      </c>
      <c r="AI204" s="13">
        <f>IF(AND(ISNUMBER(AF204),ISNUMBER($B$24),ISNUMBER($D$24)),IF(AF204&gt;$D$24,"boven UCL",IF(AF204&lt;$B$24,"onder LCL","")),"")</f>
        <v/>
      </c>
      <c r="AJ204" s="13">
        <f>IF(AND(ISNUMBER(AE204),ISNUMBER($B$25),ISNUMBER($D$25)),IF(AE204&gt;$D$25,"boven UCL",IF(AE204&lt;$B$25,"onder LCL","")),"")</f>
        <v/>
      </c>
      <c r="AK204" s="13">
        <f>IF(AND(ISNUMBER(AG204),ISNUMBER($B$26),ISNUMBER($D$26)),IF(AG204&gt;$D$26,"boven UCL",IF(AG204&lt;$B$26,"onder LCL","")),"")</f>
        <v/>
      </c>
      <c r="AL204" s="13">
        <f>IF(AND(COUNT(B204:Z204)&gt;0,COUNT(AA204:AC204)&gt;0),"ruwe waarden én getypt: getypte genegeerd",IF(COUNTA(B204:Z204,AA204:AC204)&gt;COUNT(B204:Z204,AA204:AC204),"tekst telt niet mee",IF(COUNT(B204:Z204)=1,"1 waarde: geen R of s","")))</f>
        <v/>
      </c>
    </row>
    <row r="205">
      <c r="A205" t="n">
        <v>154</v>
      </c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28">
        <f>IF(COUNT(B205:Z205)&gt;0,COUNT(B205:Z205),IF(OR(ISNUMBER(AA205),ISNUMBER(AB205)),$B$9,""))</f>
        <v/>
      </c>
      <c r="AE205" s="29">
        <f>IF(COUNT(B205:Z205)&gt;0,AVERAGE(B205:Z205),IF(ISNUMBER(AA205),AA205,""))</f>
        <v/>
      </c>
      <c r="AF205" s="29">
        <f>IF(COUNT(B205:Z205)&gt;1,MAX(B205:Z205)-MIN(B205:Z205),IF(ISNUMBER(AB205),AB205,""))</f>
        <v/>
      </c>
      <c r="AG205" s="29">
        <f>IF(COUNT(B205:Z205)&gt;1,_xlfn.STDEV.S(B205:Z205),IF(ISNUMBER(AC205),AC205,""))</f>
        <v/>
      </c>
      <c r="AH205" s="13">
        <f>IF(AND(ISNUMBER(AE205),ISNUMBER($B$23),ISNUMBER($D$23)),IF(AE205&gt;$D$23,"boven UCL",IF(AE205&lt;$B$23,"onder LCL","")),"")</f>
        <v/>
      </c>
      <c r="AI205" s="13">
        <f>IF(AND(ISNUMBER(AF205),ISNUMBER($B$24),ISNUMBER($D$24)),IF(AF205&gt;$D$24,"boven UCL",IF(AF205&lt;$B$24,"onder LCL","")),"")</f>
        <v/>
      </c>
      <c r="AJ205" s="13">
        <f>IF(AND(ISNUMBER(AE205),ISNUMBER($B$25),ISNUMBER($D$25)),IF(AE205&gt;$D$25,"boven UCL",IF(AE205&lt;$B$25,"onder LCL","")),"")</f>
        <v/>
      </c>
      <c r="AK205" s="13">
        <f>IF(AND(ISNUMBER(AG205),ISNUMBER($B$26),ISNUMBER($D$26)),IF(AG205&gt;$D$26,"boven UCL",IF(AG205&lt;$B$26,"onder LCL","")),"")</f>
        <v/>
      </c>
      <c r="AL205" s="13">
        <f>IF(AND(COUNT(B205:Z205)&gt;0,COUNT(AA205:AC205)&gt;0),"ruwe waarden én getypt: getypte genegeerd",IF(COUNTA(B205:Z205,AA205:AC205)&gt;COUNT(B205:Z205,AA205:AC205),"tekst telt niet mee",IF(COUNT(B205:Z205)=1,"1 waarde: geen R of s","")))</f>
        <v/>
      </c>
    </row>
    <row r="206">
      <c r="A206" t="n">
        <v>155</v>
      </c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28">
        <f>IF(COUNT(B206:Z206)&gt;0,COUNT(B206:Z206),IF(OR(ISNUMBER(AA206),ISNUMBER(AB206)),$B$9,""))</f>
        <v/>
      </c>
      <c r="AE206" s="29">
        <f>IF(COUNT(B206:Z206)&gt;0,AVERAGE(B206:Z206),IF(ISNUMBER(AA206),AA206,""))</f>
        <v/>
      </c>
      <c r="AF206" s="29">
        <f>IF(COUNT(B206:Z206)&gt;1,MAX(B206:Z206)-MIN(B206:Z206),IF(ISNUMBER(AB206),AB206,""))</f>
        <v/>
      </c>
      <c r="AG206" s="29">
        <f>IF(COUNT(B206:Z206)&gt;1,_xlfn.STDEV.S(B206:Z206),IF(ISNUMBER(AC206),AC206,""))</f>
        <v/>
      </c>
      <c r="AH206" s="13">
        <f>IF(AND(ISNUMBER(AE206),ISNUMBER($B$23),ISNUMBER($D$23)),IF(AE206&gt;$D$23,"boven UCL",IF(AE206&lt;$B$23,"onder LCL","")),"")</f>
        <v/>
      </c>
      <c r="AI206" s="13">
        <f>IF(AND(ISNUMBER(AF206),ISNUMBER($B$24),ISNUMBER($D$24)),IF(AF206&gt;$D$24,"boven UCL",IF(AF206&lt;$B$24,"onder LCL","")),"")</f>
        <v/>
      </c>
      <c r="AJ206" s="13">
        <f>IF(AND(ISNUMBER(AE206),ISNUMBER($B$25),ISNUMBER($D$25)),IF(AE206&gt;$D$25,"boven UCL",IF(AE206&lt;$B$25,"onder LCL","")),"")</f>
        <v/>
      </c>
      <c r="AK206" s="13">
        <f>IF(AND(ISNUMBER(AG206),ISNUMBER($B$26),ISNUMBER($D$26)),IF(AG206&gt;$D$26,"boven UCL",IF(AG206&lt;$B$26,"onder LCL","")),"")</f>
        <v/>
      </c>
      <c r="AL206" s="13">
        <f>IF(AND(COUNT(B206:Z206)&gt;0,COUNT(AA206:AC206)&gt;0),"ruwe waarden én getypt: getypte genegeerd",IF(COUNTA(B206:Z206,AA206:AC206)&gt;COUNT(B206:Z206,AA206:AC206),"tekst telt niet mee",IF(COUNT(B206:Z206)=1,"1 waarde: geen R of s","")))</f>
        <v/>
      </c>
    </row>
    <row r="207">
      <c r="A207" t="n">
        <v>156</v>
      </c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28">
        <f>IF(COUNT(B207:Z207)&gt;0,COUNT(B207:Z207),IF(OR(ISNUMBER(AA207),ISNUMBER(AB207)),$B$9,""))</f>
        <v/>
      </c>
      <c r="AE207" s="29">
        <f>IF(COUNT(B207:Z207)&gt;0,AVERAGE(B207:Z207),IF(ISNUMBER(AA207),AA207,""))</f>
        <v/>
      </c>
      <c r="AF207" s="29">
        <f>IF(COUNT(B207:Z207)&gt;1,MAX(B207:Z207)-MIN(B207:Z207),IF(ISNUMBER(AB207),AB207,""))</f>
        <v/>
      </c>
      <c r="AG207" s="29">
        <f>IF(COUNT(B207:Z207)&gt;1,_xlfn.STDEV.S(B207:Z207),IF(ISNUMBER(AC207),AC207,""))</f>
        <v/>
      </c>
      <c r="AH207" s="13">
        <f>IF(AND(ISNUMBER(AE207),ISNUMBER($B$23),ISNUMBER($D$23)),IF(AE207&gt;$D$23,"boven UCL",IF(AE207&lt;$B$23,"onder LCL","")),"")</f>
        <v/>
      </c>
      <c r="AI207" s="13">
        <f>IF(AND(ISNUMBER(AF207),ISNUMBER($B$24),ISNUMBER($D$24)),IF(AF207&gt;$D$24,"boven UCL",IF(AF207&lt;$B$24,"onder LCL","")),"")</f>
        <v/>
      </c>
      <c r="AJ207" s="13">
        <f>IF(AND(ISNUMBER(AE207),ISNUMBER($B$25),ISNUMBER($D$25)),IF(AE207&gt;$D$25,"boven UCL",IF(AE207&lt;$B$25,"onder LCL","")),"")</f>
        <v/>
      </c>
      <c r="AK207" s="13">
        <f>IF(AND(ISNUMBER(AG207),ISNUMBER($B$26),ISNUMBER($D$26)),IF(AG207&gt;$D$26,"boven UCL",IF(AG207&lt;$B$26,"onder LCL","")),"")</f>
        <v/>
      </c>
      <c r="AL207" s="13">
        <f>IF(AND(COUNT(B207:Z207)&gt;0,COUNT(AA207:AC207)&gt;0),"ruwe waarden én getypt: getypte genegeerd",IF(COUNTA(B207:Z207,AA207:AC207)&gt;COUNT(B207:Z207,AA207:AC207),"tekst telt niet mee",IF(COUNT(B207:Z207)=1,"1 waarde: geen R of s","")))</f>
        <v/>
      </c>
    </row>
    <row r="208">
      <c r="A208" t="n">
        <v>157</v>
      </c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28">
        <f>IF(COUNT(B208:Z208)&gt;0,COUNT(B208:Z208),IF(OR(ISNUMBER(AA208),ISNUMBER(AB208)),$B$9,""))</f>
        <v/>
      </c>
      <c r="AE208" s="29">
        <f>IF(COUNT(B208:Z208)&gt;0,AVERAGE(B208:Z208),IF(ISNUMBER(AA208),AA208,""))</f>
        <v/>
      </c>
      <c r="AF208" s="29">
        <f>IF(COUNT(B208:Z208)&gt;1,MAX(B208:Z208)-MIN(B208:Z208),IF(ISNUMBER(AB208),AB208,""))</f>
        <v/>
      </c>
      <c r="AG208" s="29">
        <f>IF(COUNT(B208:Z208)&gt;1,_xlfn.STDEV.S(B208:Z208),IF(ISNUMBER(AC208),AC208,""))</f>
        <v/>
      </c>
      <c r="AH208" s="13">
        <f>IF(AND(ISNUMBER(AE208),ISNUMBER($B$23),ISNUMBER($D$23)),IF(AE208&gt;$D$23,"boven UCL",IF(AE208&lt;$B$23,"onder LCL","")),"")</f>
        <v/>
      </c>
      <c r="AI208" s="13">
        <f>IF(AND(ISNUMBER(AF208),ISNUMBER($B$24),ISNUMBER($D$24)),IF(AF208&gt;$D$24,"boven UCL",IF(AF208&lt;$B$24,"onder LCL","")),"")</f>
        <v/>
      </c>
      <c r="AJ208" s="13">
        <f>IF(AND(ISNUMBER(AE208),ISNUMBER($B$25),ISNUMBER($D$25)),IF(AE208&gt;$D$25,"boven UCL",IF(AE208&lt;$B$25,"onder LCL","")),"")</f>
        <v/>
      </c>
      <c r="AK208" s="13">
        <f>IF(AND(ISNUMBER(AG208),ISNUMBER($B$26),ISNUMBER($D$26)),IF(AG208&gt;$D$26,"boven UCL",IF(AG208&lt;$B$26,"onder LCL","")),"")</f>
        <v/>
      </c>
      <c r="AL208" s="13">
        <f>IF(AND(COUNT(B208:Z208)&gt;0,COUNT(AA208:AC208)&gt;0),"ruwe waarden én getypt: getypte genegeerd",IF(COUNTA(B208:Z208,AA208:AC208)&gt;COUNT(B208:Z208,AA208:AC208),"tekst telt niet mee",IF(COUNT(B208:Z208)=1,"1 waarde: geen R of s","")))</f>
        <v/>
      </c>
    </row>
    <row r="209">
      <c r="A209" t="n">
        <v>158</v>
      </c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28">
        <f>IF(COUNT(B209:Z209)&gt;0,COUNT(B209:Z209),IF(OR(ISNUMBER(AA209),ISNUMBER(AB209)),$B$9,""))</f>
        <v/>
      </c>
      <c r="AE209" s="29">
        <f>IF(COUNT(B209:Z209)&gt;0,AVERAGE(B209:Z209),IF(ISNUMBER(AA209),AA209,""))</f>
        <v/>
      </c>
      <c r="AF209" s="29">
        <f>IF(COUNT(B209:Z209)&gt;1,MAX(B209:Z209)-MIN(B209:Z209),IF(ISNUMBER(AB209),AB209,""))</f>
        <v/>
      </c>
      <c r="AG209" s="29">
        <f>IF(COUNT(B209:Z209)&gt;1,_xlfn.STDEV.S(B209:Z209),IF(ISNUMBER(AC209),AC209,""))</f>
        <v/>
      </c>
      <c r="AH209" s="13">
        <f>IF(AND(ISNUMBER(AE209),ISNUMBER($B$23),ISNUMBER($D$23)),IF(AE209&gt;$D$23,"boven UCL",IF(AE209&lt;$B$23,"onder LCL","")),"")</f>
        <v/>
      </c>
      <c r="AI209" s="13">
        <f>IF(AND(ISNUMBER(AF209),ISNUMBER($B$24),ISNUMBER($D$24)),IF(AF209&gt;$D$24,"boven UCL",IF(AF209&lt;$B$24,"onder LCL","")),"")</f>
        <v/>
      </c>
      <c r="AJ209" s="13">
        <f>IF(AND(ISNUMBER(AE209),ISNUMBER($B$25),ISNUMBER($D$25)),IF(AE209&gt;$D$25,"boven UCL",IF(AE209&lt;$B$25,"onder LCL","")),"")</f>
        <v/>
      </c>
      <c r="AK209" s="13">
        <f>IF(AND(ISNUMBER(AG209),ISNUMBER($B$26),ISNUMBER($D$26)),IF(AG209&gt;$D$26,"boven UCL",IF(AG209&lt;$B$26,"onder LCL","")),"")</f>
        <v/>
      </c>
      <c r="AL209" s="13">
        <f>IF(AND(COUNT(B209:Z209)&gt;0,COUNT(AA209:AC209)&gt;0),"ruwe waarden én getypt: getypte genegeerd",IF(COUNTA(B209:Z209,AA209:AC209)&gt;COUNT(B209:Z209,AA209:AC209),"tekst telt niet mee",IF(COUNT(B209:Z209)=1,"1 waarde: geen R of s","")))</f>
        <v/>
      </c>
    </row>
    <row r="210">
      <c r="A210" t="n">
        <v>159</v>
      </c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28">
        <f>IF(COUNT(B210:Z210)&gt;0,COUNT(B210:Z210),IF(OR(ISNUMBER(AA210),ISNUMBER(AB210)),$B$9,""))</f>
        <v/>
      </c>
      <c r="AE210" s="29">
        <f>IF(COUNT(B210:Z210)&gt;0,AVERAGE(B210:Z210),IF(ISNUMBER(AA210),AA210,""))</f>
        <v/>
      </c>
      <c r="AF210" s="29">
        <f>IF(COUNT(B210:Z210)&gt;1,MAX(B210:Z210)-MIN(B210:Z210),IF(ISNUMBER(AB210),AB210,""))</f>
        <v/>
      </c>
      <c r="AG210" s="29">
        <f>IF(COUNT(B210:Z210)&gt;1,_xlfn.STDEV.S(B210:Z210),IF(ISNUMBER(AC210),AC210,""))</f>
        <v/>
      </c>
      <c r="AH210" s="13">
        <f>IF(AND(ISNUMBER(AE210),ISNUMBER($B$23),ISNUMBER($D$23)),IF(AE210&gt;$D$23,"boven UCL",IF(AE210&lt;$B$23,"onder LCL","")),"")</f>
        <v/>
      </c>
      <c r="AI210" s="13">
        <f>IF(AND(ISNUMBER(AF210),ISNUMBER($B$24),ISNUMBER($D$24)),IF(AF210&gt;$D$24,"boven UCL",IF(AF210&lt;$B$24,"onder LCL","")),"")</f>
        <v/>
      </c>
      <c r="AJ210" s="13">
        <f>IF(AND(ISNUMBER(AE210),ISNUMBER($B$25),ISNUMBER($D$25)),IF(AE210&gt;$D$25,"boven UCL",IF(AE210&lt;$B$25,"onder LCL","")),"")</f>
        <v/>
      </c>
      <c r="AK210" s="13">
        <f>IF(AND(ISNUMBER(AG210),ISNUMBER($B$26),ISNUMBER($D$26)),IF(AG210&gt;$D$26,"boven UCL",IF(AG210&lt;$B$26,"onder LCL","")),"")</f>
        <v/>
      </c>
      <c r="AL210" s="13">
        <f>IF(AND(COUNT(B210:Z210)&gt;0,COUNT(AA210:AC210)&gt;0),"ruwe waarden én getypt: getypte genegeerd",IF(COUNTA(B210:Z210,AA210:AC210)&gt;COUNT(B210:Z210,AA210:AC210),"tekst telt niet mee",IF(COUNT(B210:Z210)=1,"1 waarde: geen R of s","")))</f>
        <v/>
      </c>
    </row>
    <row r="211">
      <c r="A211" t="n">
        <v>160</v>
      </c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28">
        <f>IF(COUNT(B211:Z211)&gt;0,COUNT(B211:Z211),IF(OR(ISNUMBER(AA211),ISNUMBER(AB211)),$B$9,""))</f>
        <v/>
      </c>
      <c r="AE211" s="29">
        <f>IF(COUNT(B211:Z211)&gt;0,AVERAGE(B211:Z211),IF(ISNUMBER(AA211),AA211,""))</f>
        <v/>
      </c>
      <c r="AF211" s="29">
        <f>IF(COUNT(B211:Z211)&gt;1,MAX(B211:Z211)-MIN(B211:Z211),IF(ISNUMBER(AB211),AB211,""))</f>
        <v/>
      </c>
      <c r="AG211" s="29">
        <f>IF(COUNT(B211:Z211)&gt;1,_xlfn.STDEV.S(B211:Z211),IF(ISNUMBER(AC211),AC211,""))</f>
        <v/>
      </c>
      <c r="AH211" s="13">
        <f>IF(AND(ISNUMBER(AE211),ISNUMBER($B$23),ISNUMBER($D$23)),IF(AE211&gt;$D$23,"boven UCL",IF(AE211&lt;$B$23,"onder LCL","")),"")</f>
        <v/>
      </c>
      <c r="AI211" s="13">
        <f>IF(AND(ISNUMBER(AF211),ISNUMBER($B$24),ISNUMBER($D$24)),IF(AF211&gt;$D$24,"boven UCL",IF(AF211&lt;$B$24,"onder LCL","")),"")</f>
        <v/>
      </c>
      <c r="AJ211" s="13">
        <f>IF(AND(ISNUMBER(AE211),ISNUMBER($B$25),ISNUMBER($D$25)),IF(AE211&gt;$D$25,"boven UCL",IF(AE211&lt;$B$25,"onder LCL","")),"")</f>
        <v/>
      </c>
      <c r="AK211" s="13">
        <f>IF(AND(ISNUMBER(AG211),ISNUMBER($B$26),ISNUMBER($D$26)),IF(AG211&gt;$D$26,"boven UCL",IF(AG211&lt;$B$26,"onder LCL","")),"")</f>
        <v/>
      </c>
      <c r="AL211" s="13">
        <f>IF(AND(COUNT(B211:Z211)&gt;0,COUNT(AA211:AC211)&gt;0),"ruwe waarden én getypt: getypte genegeerd",IF(COUNTA(B211:Z211,AA211:AC211)&gt;COUNT(B211:Z211,AA211:AC211),"tekst telt niet mee",IF(COUNT(B211:Z211)=1,"1 waarde: geen R of s","")))</f>
        <v/>
      </c>
    </row>
    <row r="212">
      <c r="A212" t="n">
        <v>161</v>
      </c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28">
        <f>IF(COUNT(B212:Z212)&gt;0,COUNT(B212:Z212),IF(OR(ISNUMBER(AA212),ISNUMBER(AB212)),$B$9,""))</f>
        <v/>
      </c>
      <c r="AE212" s="29">
        <f>IF(COUNT(B212:Z212)&gt;0,AVERAGE(B212:Z212),IF(ISNUMBER(AA212),AA212,""))</f>
        <v/>
      </c>
      <c r="AF212" s="29">
        <f>IF(COUNT(B212:Z212)&gt;1,MAX(B212:Z212)-MIN(B212:Z212),IF(ISNUMBER(AB212),AB212,""))</f>
        <v/>
      </c>
      <c r="AG212" s="29">
        <f>IF(COUNT(B212:Z212)&gt;1,_xlfn.STDEV.S(B212:Z212),IF(ISNUMBER(AC212),AC212,""))</f>
        <v/>
      </c>
      <c r="AH212" s="13">
        <f>IF(AND(ISNUMBER(AE212),ISNUMBER($B$23),ISNUMBER($D$23)),IF(AE212&gt;$D$23,"boven UCL",IF(AE212&lt;$B$23,"onder LCL","")),"")</f>
        <v/>
      </c>
      <c r="AI212" s="13">
        <f>IF(AND(ISNUMBER(AF212),ISNUMBER($B$24),ISNUMBER($D$24)),IF(AF212&gt;$D$24,"boven UCL",IF(AF212&lt;$B$24,"onder LCL","")),"")</f>
        <v/>
      </c>
      <c r="AJ212" s="13">
        <f>IF(AND(ISNUMBER(AE212),ISNUMBER($B$25),ISNUMBER($D$25)),IF(AE212&gt;$D$25,"boven UCL",IF(AE212&lt;$B$25,"onder LCL","")),"")</f>
        <v/>
      </c>
      <c r="AK212" s="13">
        <f>IF(AND(ISNUMBER(AG212),ISNUMBER($B$26),ISNUMBER($D$26)),IF(AG212&gt;$D$26,"boven UCL",IF(AG212&lt;$B$26,"onder LCL","")),"")</f>
        <v/>
      </c>
      <c r="AL212" s="13">
        <f>IF(AND(COUNT(B212:Z212)&gt;0,COUNT(AA212:AC212)&gt;0),"ruwe waarden én getypt: getypte genegeerd",IF(COUNTA(B212:Z212,AA212:AC212)&gt;COUNT(B212:Z212,AA212:AC212),"tekst telt niet mee",IF(COUNT(B212:Z212)=1,"1 waarde: geen R of s","")))</f>
        <v/>
      </c>
    </row>
    <row r="213">
      <c r="A213" t="n">
        <v>162</v>
      </c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28">
        <f>IF(COUNT(B213:Z213)&gt;0,COUNT(B213:Z213),IF(OR(ISNUMBER(AA213),ISNUMBER(AB213)),$B$9,""))</f>
        <v/>
      </c>
      <c r="AE213" s="29">
        <f>IF(COUNT(B213:Z213)&gt;0,AVERAGE(B213:Z213),IF(ISNUMBER(AA213),AA213,""))</f>
        <v/>
      </c>
      <c r="AF213" s="29">
        <f>IF(COUNT(B213:Z213)&gt;1,MAX(B213:Z213)-MIN(B213:Z213),IF(ISNUMBER(AB213),AB213,""))</f>
        <v/>
      </c>
      <c r="AG213" s="29">
        <f>IF(COUNT(B213:Z213)&gt;1,_xlfn.STDEV.S(B213:Z213),IF(ISNUMBER(AC213),AC213,""))</f>
        <v/>
      </c>
      <c r="AH213" s="13">
        <f>IF(AND(ISNUMBER(AE213),ISNUMBER($B$23),ISNUMBER($D$23)),IF(AE213&gt;$D$23,"boven UCL",IF(AE213&lt;$B$23,"onder LCL","")),"")</f>
        <v/>
      </c>
      <c r="AI213" s="13">
        <f>IF(AND(ISNUMBER(AF213),ISNUMBER($B$24),ISNUMBER($D$24)),IF(AF213&gt;$D$24,"boven UCL",IF(AF213&lt;$B$24,"onder LCL","")),"")</f>
        <v/>
      </c>
      <c r="AJ213" s="13">
        <f>IF(AND(ISNUMBER(AE213),ISNUMBER($B$25),ISNUMBER($D$25)),IF(AE213&gt;$D$25,"boven UCL",IF(AE213&lt;$B$25,"onder LCL","")),"")</f>
        <v/>
      </c>
      <c r="AK213" s="13">
        <f>IF(AND(ISNUMBER(AG213),ISNUMBER($B$26),ISNUMBER($D$26)),IF(AG213&gt;$D$26,"boven UCL",IF(AG213&lt;$B$26,"onder LCL","")),"")</f>
        <v/>
      </c>
      <c r="AL213" s="13">
        <f>IF(AND(COUNT(B213:Z213)&gt;0,COUNT(AA213:AC213)&gt;0),"ruwe waarden én getypt: getypte genegeerd",IF(COUNTA(B213:Z213,AA213:AC213)&gt;COUNT(B213:Z213,AA213:AC213),"tekst telt niet mee",IF(COUNT(B213:Z213)=1,"1 waarde: geen R of s","")))</f>
        <v/>
      </c>
    </row>
    <row r="214">
      <c r="A214" t="n">
        <v>163</v>
      </c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28">
        <f>IF(COUNT(B214:Z214)&gt;0,COUNT(B214:Z214),IF(OR(ISNUMBER(AA214),ISNUMBER(AB214)),$B$9,""))</f>
        <v/>
      </c>
      <c r="AE214" s="29">
        <f>IF(COUNT(B214:Z214)&gt;0,AVERAGE(B214:Z214),IF(ISNUMBER(AA214),AA214,""))</f>
        <v/>
      </c>
      <c r="AF214" s="29">
        <f>IF(COUNT(B214:Z214)&gt;1,MAX(B214:Z214)-MIN(B214:Z214),IF(ISNUMBER(AB214),AB214,""))</f>
        <v/>
      </c>
      <c r="AG214" s="29">
        <f>IF(COUNT(B214:Z214)&gt;1,_xlfn.STDEV.S(B214:Z214),IF(ISNUMBER(AC214),AC214,""))</f>
        <v/>
      </c>
      <c r="AH214" s="13">
        <f>IF(AND(ISNUMBER(AE214),ISNUMBER($B$23),ISNUMBER($D$23)),IF(AE214&gt;$D$23,"boven UCL",IF(AE214&lt;$B$23,"onder LCL","")),"")</f>
        <v/>
      </c>
      <c r="AI214" s="13">
        <f>IF(AND(ISNUMBER(AF214),ISNUMBER($B$24),ISNUMBER($D$24)),IF(AF214&gt;$D$24,"boven UCL",IF(AF214&lt;$B$24,"onder LCL","")),"")</f>
        <v/>
      </c>
      <c r="AJ214" s="13">
        <f>IF(AND(ISNUMBER(AE214),ISNUMBER($B$25),ISNUMBER($D$25)),IF(AE214&gt;$D$25,"boven UCL",IF(AE214&lt;$B$25,"onder LCL","")),"")</f>
        <v/>
      </c>
      <c r="AK214" s="13">
        <f>IF(AND(ISNUMBER(AG214),ISNUMBER($B$26),ISNUMBER($D$26)),IF(AG214&gt;$D$26,"boven UCL",IF(AG214&lt;$B$26,"onder LCL","")),"")</f>
        <v/>
      </c>
      <c r="AL214" s="13">
        <f>IF(AND(COUNT(B214:Z214)&gt;0,COUNT(AA214:AC214)&gt;0),"ruwe waarden én getypt: getypte genegeerd",IF(COUNTA(B214:Z214,AA214:AC214)&gt;COUNT(B214:Z214,AA214:AC214),"tekst telt niet mee",IF(COUNT(B214:Z214)=1,"1 waarde: geen R of s","")))</f>
        <v/>
      </c>
    </row>
    <row r="215">
      <c r="A215" t="n">
        <v>164</v>
      </c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28">
        <f>IF(COUNT(B215:Z215)&gt;0,COUNT(B215:Z215),IF(OR(ISNUMBER(AA215),ISNUMBER(AB215)),$B$9,""))</f>
        <v/>
      </c>
      <c r="AE215" s="29">
        <f>IF(COUNT(B215:Z215)&gt;0,AVERAGE(B215:Z215),IF(ISNUMBER(AA215),AA215,""))</f>
        <v/>
      </c>
      <c r="AF215" s="29">
        <f>IF(COUNT(B215:Z215)&gt;1,MAX(B215:Z215)-MIN(B215:Z215),IF(ISNUMBER(AB215),AB215,""))</f>
        <v/>
      </c>
      <c r="AG215" s="29">
        <f>IF(COUNT(B215:Z215)&gt;1,_xlfn.STDEV.S(B215:Z215),IF(ISNUMBER(AC215),AC215,""))</f>
        <v/>
      </c>
      <c r="AH215" s="13">
        <f>IF(AND(ISNUMBER(AE215),ISNUMBER($B$23),ISNUMBER($D$23)),IF(AE215&gt;$D$23,"boven UCL",IF(AE215&lt;$B$23,"onder LCL","")),"")</f>
        <v/>
      </c>
      <c r="AI215" s="13">
        <f>IF(AND(ISNUMBER(AF215),ISNUMBER($B$24),ISNUMBER($D$24)),IF(AF215&gt;$D$24,"boven UCL",IF(AF215&lt;$B$24,"onder LCL","")),"")</f>
        <v/>
      </c>
      <c r="AJ215" s="13">
        <f>IF(AND(ISNUMBER(AE215),ISNUMBER($B$25),ISNUMBER($D$25)),IF(AE215&gt;$D$25,"boven UCL",IF(AE215&lt;$B$25,"onder LCL","")),"")</f>
        <v/>
      </c>
      <c r="AK215" s="13">
        <f>IF(AND(ISNUMBER(AG215),ISNUMBER($B$26),ISNUMBER($D$26)),IF(AG215&gt;$D$26,"boven UCL",IF(AG215&lt;$B$26,"onder LCL","")),"")</f>
        <v/>
      </c>
      <c r="AL215" s="13">
        <f>IF(AND(COUNT(B215:Z215)&gt;0,COUNT(AA215:AC215)&gt;0),"ruwe waarden én getypt: getypte genegeerd",IF(COUNTA(B215:Z215,AA215:AC215)&gt;COUNT(B215:Z215,AA215:AC215),"tekst telt niet mee",IF(COUNT(B215:Z215)=1,"1 waarde: geen R of s","")))</f>
        <v/>
      </c>
    </row>
    <row r="216">
      <c r="A216" t="n">
        <v>165</v>
      </c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28">
        <f>IF(COUNT(B216:Z216)&gt;0,COUNT(B216:Z216),IF(OR(ISNUMBER(AA216),ISNUMBER(AB216)),$B$9,""))</f>
        <v/>
      </c>
      <c r="AE216" s="29">
        <f>IF(COUNT(B216:Z216)&gt;0,AVERAGE(B216:Z216),IF(ISNUMBER(AA216),AA216,""))</f>
        <v/>
      </c>
      <c r="AF216" s="29">
        <f>IF(COUNT(B216:Z216)&gt;1,MAX(B216:Z216)-MIN(B216:Z216),IF(ISNUMBER(AB216),AB216,""))</f>
        <v/>
      </c>
      <c r="AG216" s="29">
        <f>IF(COUNT(B216:Z216)&gt;1,_xlfn.STDEV.S(B216:Z216),IF(ISNUMBER(AC216),AC216,""))</f>
        <v/>
      </c>
      <c r="AH216" s="13">
        <f>IF(AND(ISNUMBER(AE216),ISNUMBER($B$23),ISNUMBER($D$23)),IF(AE216&gt;$D$23,"boven UCL",IF(AE216&lt;$B$23,"onder LCL","")),"")</f>
        <v/>
      </c>
      <c r="AI216" s="13">
        <f>IF(AND(ISNUMBER(AF216),ISNUMBER($B$24),ISNUMBER($D$24)),IF(AF216&gt;$D$24,"boven UCL",IF(AF216&lt;$B$24,"onder LCL","")),"")</f>
        <v/>
      </c>
      <c r="AJ216" s="13">
        <f>IF(AND(ISNUMBER(AE216),ISNUMBER($B$25),ISNUMBER($D$25)),IF(AE216&gt;$D$25,"boven UCL",IF(AE216&lt;$B$25,"onder LCL","")),"")</f>
        <v/>
      </c>
      <c r="AK216" s="13">
        <f>IF(AND(ISNUMBER(AG216),ISNUMBER($B$26),ISNUMBER($D$26)),IF(AG216&gt;$D$26,"boven UCL",IF(AG216&lt;$B$26,"onder LCL","")),"")</f>
        <v/>
      </c>
      <c r="AL216" s="13">
        <f>IF(AND(COUNT(B216:Z216)&gt;0,COUNT(AA216:AC216)&gt;0),"ruwe waarden én getypt: getypte genegeerd",IF(COUNTA(B216:Z216,AA216:AC216)&gt;COUNT(B216:Z216,AA216:AC216),"tekst telt niet mee",IF(COUNT(B216:Z216)=1,"1 waarde: geen R of s","")))</f>
        <v/>
      </c>
    </row>
    <row r="217">
      <c r="A217" t="n">
        <v>166</v>
      </c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28">
        <f>IF(COUNT(B217:Z217)&gt;0,COUNT(B217:Z217),IF(OR(ISNUMBER(AA217),ISNUMBER(AB217)),$B$9,""))</f>
        <v/>
      </c>
      <c r="AE217" s="29">
        <f>IF(COUNT(B217:Z217)&gt;0,AVERAGE(B217:Z217),IF(ISNUMBER(AA217),AA217,""))</f>
        <v/>
      </c>
      <c r="AF217" s="29">
        <f>IF(COUNT(B217:Z217)&gt;1,MAX(B217:Z217)-MIN(B217:Z217),IF(ISNUMBER(AB217),AB217,""))</f>
        <v/>
      </c>
      <c r="AG217" s="29">
        <f>IF(COUNT(B217:Z217)&gt;1,_xlfn.STDEV.S(B217:Z217),IF(ISNUMBER(AC217),AC217,""))</f>
        <v/>
      </c>
      <c r="AH217" s="13">
        <f>IF(AND(ISNUMBER(AE217),ISNUMBER($B$23),ISNUMBER($D$23)),IF(AE217&gt;$D$23,"boven UCL",IF(AE217&lt;$B$23,"onder LCL","")),"")</f>
        <v/>
      </c>
      <c r="AI217" s="13">
        <f>IF(AND(ISNUMBER(AF217),ISNUMBER($B$24),ISNUMBER($D$24)),IF(AF217&gt;$D$24,"boven UCL",IF(AF217&lt;$B$24,"onder LCL","")),"")</f>
        <v/>
      </c>
      <c r="AJ217" s="13">
        <f>IF(AND(ISNUMBER(AE217),ISNUMBER($B$25),ISNUMBER($D$25)),IF(AE217&gt;$D$25,"boven UCL",IF(AE217&lt;$B$25,"onder LCL","")),"")</f>
        <v/>
      </c>
      <c r="AK217" s="13">
        <f>IF(AND(ISNUMBER(AG217),ISNUMBER($B$26),ISNUMBER($D$26)),IF(AG217&gt;$D$26,"boven UCL",IF(AG217&lt;$B$26,"onder LCL","")),"")</f>
        <v/>
      </c>
      <c r="AL217" s="13">
        <f>IF(AND(COUNT(B217:Z217)&gt;0,COUNT(AA217:AC217)&gt;0),"ruwe waarden én getypt: getypte genegeerd",IF(COUNTA(B217:Z217,AA217:AC217)&gt;COUNT(B217:Z217,AA217:AC217),"tekst telt niet mee",IF(COUNT(B217:Z217)=1,"1 waarde: geen R of s","")))</f>
        <v/>
      </c>
    </row>
    <row r="218">
      <c r="A218" t="n">
        <v>167</v>
      </c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28">
        <f>IF(COUNT(B218:Z218)&gt;0,COUNT(B218:Z218),IF(OR(ISNUMBER(AA218),ISNUMBER(AB218)),$B$9,""))</f>
        <v/>
      </c>
      <c r="AE218" s="29">
        <f>IF(COUNT(B218:Z218)&gt;0,AVERAGE(B218:Z218),IF(ISNUMBER(AA218),AA218,""))</f>
        <v/>
      </c>
      <c r="AF218" s="29">
        <f>IF(COUNT(B218:Z218)&gt;1,MAX(B218:Z218)-MIN(B218:Z218),IF(ISNUMBER(AB218),AB218,""))</f>
        <v/>
      </c>
      <c r="AG218" s="29">
        <f>IF(COUNT(B218:Z218)&gt;1,_xlfn.STDEV.S(B218:Z218),IF(ISNUMBER(AC218),AC218,""))</f>
        <v/>
      </c>
      <c r="AH218" s="13">
        <f>IF(AND(ISNUMBER(AE218),ISNUMBER($B$23),ISNUMBER($D$23)),IF(AE218&gt;$D$23,"boven UCL",IF(AE218&lt;$B$23,"onder LCL","")),"")</f>
        <v/>
      </c>
      <c r="AI218" s="13">
        <f>IF(AND(ISNUMBER(AF218),ISNUMBER($B$24),ISNUMBER($D$24)),IF(AF218&gt;$D$24,"boven UCL",IF(AF218&lt;$B$24,"onder LCL","")),"")</f>
        <v/>
      </c>
      <c r="AJ218" s="13">
        <f>IF(AND(ISNUMBER(AE218),ISNUMBER($B$25),ISNUMBER($D$25)),IF(AE218&gt;$D$25,"boven UCL",IF(AE218&lt;$B$25,"onder LCL","")),"")</f>
        <v/>
      </c>
      <c r="AK218" s="13">
        <f>IF(AND(ISNUMBER(AG218),ISNUMBER($B$26),ISNUMBER($D$26)),IF(AG218&gt;$D$26,"boven UCL",IF(AG218&lt;$B$26,"onder LCL","")),"")</f>
        <v/>
      </c>
      <c r="AL218" s="13">
        <f>IF(AND(COUNT(B218:Z218)&gt;0,COUNT(AA218:AC218)&gt;0),"ruwe waarden én getypt: getypte genegeerd",IF(COUNTA(B218:Z218,AA218:AC218)&gt;COUNT(B218:Z218,AA218:AC218),"tekst telt niet mee",IF(COUNT(B218:Z218)=1,"1 waarde: geen R of s","")))</f>
        <v/>
      </c>
    </row>
    <row r="219">
      <c r="A219" t="n">
        <v>168</v>
      </c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28">
        <f>IF(COUNT(B219:Z219)&gt;0,COUNT(B219:Z219),IF(OR(ISNUMBER(AA219),ISNUMBER(AB219)),$B$9,""))</f>
        <v/>
      </c>
      <c r="AE219" s="29">
        <f>IF(COUNT(B219:Z219)&gt;0,AVERAGE(B219:Z219),IF(ISNUMBER(AA219),AA219,""))</f>
        <v/>
      </c>
      <c r="AF219" s="29">
        <f>IF(COUNT(B219:Z219)&gt;1,MAX(B219:Z219)-MIN(B219:Z219),IF(ISNUMBER(AB219),AB219,""))</f>
        <v/>
      </c>
      <c r="AG219" s="29">
        <f>IF(COUNT(B219:Z219)&gt;1,_xlfn.STDEV.S(B219:Z219),IF(ISNUMBER(AC219),AC219,""))</f>
        <v/>
      </c>
      <c r="AH219" s="13">
        <f>IF(AND(ISNUMBER(AE219),ISNUMBER($B$23),ISNUMBER($D$23)),IF(AE219&gt;$D$23,"boven UCL",IF(AE219&lt;$B$23,"onder LCL","")),"")</f>
        <v/>
      </c>
      <c r="AI219" s="13">
        <f>IF(AND(ISNUMBER(AF219),ISNUMBER($B$24),ISNUMBER($D$24)),IF(AF219&gt;$D$24,"boven UCL",IF(AF219&lt;$B$24,"onder LCL","")),"")</f>
        <v/>
      </c>
      <c r="AJ219" s="13">
        <f>IF(AND(ISNUMBER(AE219),ISNUMBER($B$25),ISNUMBER($D$25)),IF(AE219&gt;$D$25,"boven UCL",IF(AE219&lt;$B$25,"onder LCL","")),"")</f>
        <v/>
      </c>
      <c r="AK219" s="13">
        <f>IF(AND(ISNUMBER(AG219),ISNUMBER($B$26),ISNUMBER($D$26)),IF(AG219&gt;$D$26,"boven UCL",IF(AG219&lt;$B$26,"onder LCL","")),"")</f>
        <v/>
      </c>
      <c r="AL219" s="13">
        <f>IF(AND(COUNT(B219:Z219)&gt;0,COUNT(AA219:AC219)&gt;0),"ruwe waarden én getypt: getypte genegeerd",IF(COUNTA(B219:Z219,AA219:AC219)&gt;COUNT(B219:Z219,AA219:AC219),"tekst telt niet mee",IF(COUNT(B219:Z219)=1,"1 waarde: geen R of s","")))</f>
        <v/>
      </c>
    </row>
    <row r="220">
      <c r="A220" t="n">
        <v>169</v>
      </c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28">
        <f>IF(COUNT(B220:Z220)&gt;0,COUNT(B220:Z220),IF(OR(ISNUMBER(AA220),ISNUMBER(AB220)),$B$9,""))</f>
        <v/>
      </c>
      <c r="AE220" s="29">
        <f>IF(COUNT(B220:Z220)&gt;0,AVERAGE(B220:Z220),IF(ISNUMBER(AA220),AA220,""))</f>
        <v/>
      </c>
      <c r="AF220" s="29">
        <f>IF(COUNT(B220:Z220)&gt;1,MAX(B220:Z220)-MIN(B220:Z220),IF(ISNUMBER(AB220),AB220,""))</f>
        <v/>
      </c>
      <c r="AG220" s="29">
        <f>IF(COUNT(B220:Z220)&gt;1,_xlfn.STDEV.S(B220:Z220),IF(ISNUMBER(AC220),AC220,""))</f>
        <v/>
      </c>
      <c r="AH220" s="13">
        <f>IF(AND(ISNUMBER(AE220),ISNUMBER($B$23),ISNUMBER($D$23)),IF(AE220&gt;$D$23,"boven UCL",IF(AE220&lt;$B$23,"onder LCL","")),"")</f>
        <v/>
      </c>
      <c r="AI220" s="13">
        <f>IF(AND(ISNUMBER(AF220),ISNUMBER($B$24),ISNUMBER($D$24)),IF(AF220&gt;$D$24,"boven UCL",IF(AF220&lt;$B$24,"onder LCL","")),"")</f>
        <v/>
      </c>
      <c r="AJ220" s="13">
        <f>IF(AND(ISNUMBER(AE220),ISNUMBER($B$25),ISNUMBER($D$25)),IF(AE220&gt;$D$25,"boven UCL",IF(AE220&lt;$B$25,"onder LCL","")),"")</f>
        <v/>
      </c>
      <c r="AK220" s="13">
        <f>IF(AND(ISNUMBER(AG220),ISNUMBER($B$26),ISNUMBER($D$26)),IF(AG220&gt;$D$26,"boven UCL",IF(AG220&lt;$B$26,"onder LCL","")),"")</f>
        <v/>
      </c>
      <c r="AL220" s="13">
        <f>IF(AND(COUNT(B220:Z220)&gt;0,COUNT(AA220:AC220)&gt;0),"ruwe waarden én getypt: getypte genegeerd",IF(COUNTA(B220:Z220,AA220:AC220)&gt;COUNT(B220:Z220,AA220:AC220),"tekst telt niet mee",IF(COUNT(B220:Z220)=1,"1 waarde: geen R of s","")))</f>
        <v/>
      </c>
    </row>
    <row r="221">
      <c r="A221" t="n">
        <v>170</v>
      </c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28">
        <f>IF(COUNT(B221:Z221)&gt;0,COUNT(B221:Z221),IF(OR(ISNUMBER(AA221),ISNUMBER(AB221)),$B$9,""))</f>
        <v/>
      </c>
      <c r="AE221" s="29">
        <f>IF(COUNT(B221:Z221)&gt;0,AVERAGE(B221:Z221),IF(ISNUMBER(AA221),AA221,""))</f>
        <v/>
      </c>
      <c r="AF221" s="29">
        <f>IF(COUNT(B221:Z221)&gt;1,MAX(B221:Z221)-MIN(B221:Z221),IF(ISNUMBER(AB221),AB221,""))</f>
        <v/>
      </c>
      <c r="AG221" s="29">
        <f>IF(COUNT(B221:Z221)&gt;1,_xlfn.STDEV.S(B221:Z221),IF(ISNUMBER(AC221),AC221,""))</f>
        <v/>
      </c>
      <c r="AH221" s="13">
        <f>IF(AND(ISNUMBER(AE221),ISNUMBER($B$23),ISNUMBER($D$23)),IF(AE221&gt;$D$23,"boven UCL",IF(AE221&lt;$B$23,"onder LCL","")),"")</f>
        <v/>
      </c>
      <c r="AI221" s="13">
        <f>IF(AND(ISNUMBER(AF221),ISNUMBER($B$24),ISNUMBER($D$24)),IF(AF221&gt;$D$24,"boven UCL",IF(AF221&lt;$B$24,"onder LCL","")),"")</f>
        <v/>
      </c>
      <c r="AJ221" s="13">
        <f>IF(AND(ISNUMBER(AE221),ISNUMBER($B$25),ISNUMBER($D$25)),IF(AE221&gt;$D$25,"boven UCL",IF(AE221&lt;$B$25,"onder LCL","")),"")</f>
        <v/>
      </c>
      <c r="AK221" s="13">
        <f>IF(AND(ISNUMBER(AG221),ISNUMBER($B$26),ISNUMBER($D$26)),IF(AG221&gt;$D$26,"boven UCL",IF(AG221&lt;$B$26,"onder LCL","")),"")</f>
        <v/>
      </c>
      <c r="AL221" s="13">
        <f>IF(AND(COUNT(B221:Z221)&gt;0,COUNT(AA221:AC221)&gt;0),"ruwe waarden én getypt: getypte genegeerd",IF(COUNTA(B221:Z221,AA221:AC221)&gt;COUNT(B221:Z221,AA221:AC221),"tekst telt niet mee",IF(COUNT(B221:Z221)=1,"1 waarde: geen R of s","")))</f>
        <v/>
      </c>
    </row>
    <row r="222">
      <c r="A222" t="n">
        <v>171</v>
      </c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28">
        <f>IF(COUNT(B222:Z222)&gt;0,COUNT(B222:Z222),IF(OR(ISNUMBER(AA222),ISNUMBER(AB222)),$B$9,""))</f>
        <v/>
      </c>
      <c r="AE222" s="29">
        <f>IF(COUNT(B222:Z222)&gt;0,AVERAGE(B222:Z222),IF(ISNUMBER(AA222),AA222,""))</f>
        <v/>
      </c>
      <c r="AF222" s="29">
        <f>IF(COUNT(B222:Z222)&gt;1,MAX(B222:Z222)-MIN(B222:Z222),IF(ISNUMBER(AB222),AB222,""))</f>
        <v/>
      </c>
      <c r="AG222" s="29">
        <f>IF(COUNT(B222:Z222)&gt;1,_xlfn.STDEV.S(B222:Z222),IF(ISNUMBER(AC222),AC222,""))</f>
        <v/>
      </c>
      <c r="AH222" s="13">
        <f>IF(AND(ISNUMBER(AE222),ISNUMBER($B$23),ISNUMBER($D$23)),IF(AE222&gt;$D$23,"boven UCL",IF(AE222&lt;$B$23,"onder LCL","")),"")</f>
        <v/>
      </c>
      <c r="AI222" s="13">
        <f>IF(AND(ISNUMBER(AF222),ISNUMBER($B$24),ISNUMBER($D$24)),IF(AF222&gt;$D$24,"boven UCL",IF(AF222&lt;$B$24,"onder LCL","")),"")</f>
        <v/>
      </c>
      <c r="AJ222" s="13">
        <f>IF(AND(ISNUMBER(AE222),ISNUMBER($B$25),ISNUMBER($D$25)),IF(AE222&gt;$D$25,"boven UCL",IF(AE222&lt;$B$25,"onder LCL","")),"")</f>
        <v/>
      </c>
      <c r="AK222" s="13">
        <f>IF(AND(ISNUMBER(AG222),ISNUMBER($B$26),ISNUMBER($D$26)),IF(AG222&gt;$D$26,"boven UCL",IF(AG222&lt;$B$26,"onder LCL","")),"")</f>
        <v/>
      </c>
      <c r="AL222" s="13">
        <f>IF(AND(COUNT(B222:Z222)&gt;0,COUNT(AA222:AC222)&gt;0),"ruwe waarden én getypt: getypte genegeerd",IF(COUNTA(B222:Z222,AA222:AC222)&gt;COUNT(B222:Z222,AA222:AC222),"tekst telt niet mee",IF(COUNT(B222:Z222)=1,"1 waarde: geen R of s","")))</f>
        <v/>
      </c>
    </row>
    <row r="223">
      <c r="A223" t="n">
        <v>172</v>
      </c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28">
        <f>IF(COUNT(B223:Z223)&gt;0,COUNT(B223:Z223),IF(OR(ISNUMBER(AA223),ISNUMBER(AB223)),$B$9,""))</f>
        <v/>
      </c>
      <c r="AE223" s="29">
        <f>IF(COUNT(B223:Z223)&gt;0,AVERAGE(B223:Z223),IF(ISNUMBER(AA223),AA223,""))</f>
        <v/>
      </c>
      <c r="AF223" s="29">
        <f>IF(COUNT(B223:Z223)&gt;1,MAX(B223:Z223)-MIN(B223:Z223),IF(ISNUMBER(AB223),AB223,""))</f>
        <v/>
      </c>
      <c r="AG223" s="29">
        <f>IF(COUNT(B223:Z223)&gt;1,_xlfn.STDEV.S(B223:Z223),IF(ISNUMBER(AC223),AC223,""))</f>
        <v/>
      </c>
      <c r="AH223" s="13">
        <f>IF(AND(ISNUMBER(AE223),ISNUMBER($B$23),ISNUMBER($D$23)),IF(AE223&gt;$D$23,"boven UCL",IF(AE223&lt;$B$23,"onder LCL","")),"")</f>
        <v/>
      </c>
      <c r="AI223" s="13">
        <f>IF(AND(ISNUMBER(AF223),ISNUMBER($B$24),ISNUMBER($D$24)),IF(AF223&gt;$D$24,"boven UCL",IF(AF223&lt;$B$24,"onder LCL","")),"")</f>
        <v/>
      </c>
      <c r="AJ223" s="13">
        <f>IF(AND(ISNUMBER(AE223),ISNUMBER($B$25),ISNUMBER($D$25)),IF(AE223&gt;$D$25,"boven UCL",IF(AE223&lt;$B$25,"onder LCL","")),"")</f>
        <v/>
      </c>
      <c r="AK223" s="13">
        <f>IF(AND(ISNUMBER(AG223),ISNUMBER($B$26),ISNUMBER($D$26)),IF(AG223&gt;$D$26,"boven UCL",IF(AG223&lt;$B$26,"onder LCL","")),"")</f>
        <v/>
      </c>
      <c r="AL223" s="13">
        <f>IF(AND(COUNT(B223:Z223)&gt;0,COUNT(AA223:AC223)&gt;0),"ruwe waarden én getypt: getypte genegeerd",IF(COUNTA(B223:Z223,AA223:AC223)&gt;COUNT(B223:Z223,AA223:AC223),"tekst telt niet mee",IF(COUNT(B223:Z223)=1,"1 waarde: geen R of s","")))</f>
        <v/>
      </c>
    </row>
    <row r="224">
      <c r="A224" t="n">
        <v>173</v>
      </c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28">
        <f>IF(COUNT(B224:Z224)&gt;0,COUNT(B224:Z224),IF(OR(ISNUMBER(AA224),ISNUMBER(AB224)),$B$9,""))</f>
        <v/>
      </c>
      <c r="AE224" s="29">
        <f>IF(COUNT(B224:Z224)&gt;0,AVERAGE(B224:Z224),IF(ISNUMBER(AA224),AA224,""))</f>
        <v/>
      </c>
      <c r="AF224" s="29">
        <f>IF(COUNT(B224:Z224)&gt;1,MAX(B224:Z224)-MIN(B224:Z224),IF(ISNUMBER(AB224),AB224,""))</f>
        <v/>
      </c>
      <c r="AG224" s="29">
        <f>IF(COUNT(B224:Z224)&gt;1,_xlfn.STDEV.S(B224:Z224),IF(ISNUMBER(AC224),AC224,""))</f>
        <v/>
      </c>
      <c r="AH224" s="13">
        <f>IF(AND(ISNUMBER(AE224),ISNUMBER($B$23),ISNUMBER($D$23)),IF(AE224&gt;$D$23,"boven UCL",IF(AE224&lt;$B$23,"onder LCL","")),"")</f>
        <v/>
      </c>
      <c r="AI224" s="13">
        <f>IF(AND(ISNUMBER(AF224),ISNUMBER($B$24),ISNUMBER($D$24)),IF(AF224&gt;$D$24,"boven UCL",IF(AF224&lt;$B$24,"onder LCL","")),"")</f>
        <v/>
      </c>
      <c r="AJ224" s="13">
        <f>IF(AND(ISNUMBER(AE224),ISNUMBER($B$25),ISNUMBER($D$25)),IF(AE224&gt;$D$25,"boven UCL",IF(AE224&lt;$B$25,"onder LCL","")),"")</f>
        <v/>
      </c>
      <c r="AK224" s="13">
        <f>IF(AND(ISNUMBER(AG224),ISNUMBER($B$26),ISNUMBER($D$26)),IF(AG224&gt;$D$26,"boven UCL",IF(AG224&lt;$B$26,"onder LCL","")),"")</f>
        <v/>
      </c>
      <c r="AL224" s="13">
        <f>IF(AND(COUNT(B224:Z224)&gt;0,COUNT(AA224:AC224)&gt;0),"ruwe waarden én getypt: getypte genegeerd",IF(COUNTA(B224:Z224,AA224:AC224)&gt;COUNT(B224:Z224,AA224:AC224),"tekst telt niet mee",IF(COUNT(B224:Z224)=1,"1 waarde: geen R of s","")))</f>
        <v/>
      </c>
    </row>
    <row r="225">
      <c r="A225" t="n">
        <v>174</v>
      </c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28">
        <f>IF(COUNT(B225:Z225)&gt;0,COUNT(B225:Z225),IF(OR(ISNUMBER(AA225),ISNUMBER(AB225)),$B$9,""))</f>
        <v/>
      </c>
      <c r="AE225" s="29">
        <f>IF(COUNT(B225:Z225)&gt;0,AVERAGE(B225:Z225),IF(ISNUMBER(AA225),AA225,""))</f>
        <v/>
      </c>
      <c r="AF225" s="29">
        <f>IF(COUNT(B225:Z225)&gt;1,MAX(B225:Z225)-MIN(B225:Z225),IF(ISNUMBER(AB225),AB225,""))</f>
        <v/>
      </c>
      <c r="AG225" s="29">
        <f>IF(COUNT(B225:Z225)&gt;1,_xlfn.STDEV.S(B225:Z225),IF(ISNUMBER(AC225),AC225,""))</f>
        <v/>
      </c>
      <c r="AH225" s="13">
        <f>IF(AND(ISNUMBER(AE225),ISNUMBER($B$23),ISNUMBER($D$23)),IF(AE225&gt;$D$23,"boven UCL",IF(AE225&lt;$B$23,"onder LCL","")),"")</f>
        <v/>
      </c>
      <c r="AI225" s="13">
        <f>IF(AND(ISNUMBER(AF225),ISNUMBER($B$24),ISNUMBER($D$24)),IF(AF225&gt;$D$24,"boven UCL",IF(AF225&lt;$B$24,"onder LCL","")),"")</f>
        <v/>
      </c>
      <c r="AJ225" s="13">
        <f>IF(AND(ISNUMBER(AE225),ISNUMBER($B$25),ISNUMBER($D$25)),IF(AE225&gt;$D$25,"boven UCL",IF(AE225&lt;$B$25,"onder LCL","")),"")</f>
        <v/>
      </c>
      <c r="AK225" s="13">
        <f>IF(AND(ISNUMBER(AG225),ISNUMBER($B$26),ISNUMBER($D$26)),IF(AG225&gt;$D$26,"boven UCL",IF(AG225&lt;$B$26,"onder LCL","")),"")</f>
        <v/>
      </c>
      <c r="AL225" s="13">
        <f>IF(AND(COUNT(B225:Z225)&gt;0,COUNT(AA225:AC225)&gt;0),"ruwe waarden én getypt: getypte genegeerd",IF(COUNTA(B225:Z225,AA225:AC225)&gt;COUNT(B225:Z225,AA225:AC225),"tekst telt niet mee",IF(COUNT(B225:Z225)=1,"1 waarde: geen R of s","")))</f>
        <v/>
      </c>
    </row>
    <row r="226">
      <c r="A226" t="n">
        <v>175</v>
      </c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28">
        <f>IF(COUNT(B226:Z226)&gt;0,COUNT(B226:Z226),IF(OR(ISNUMBER(AA226),ISNUMBER(AB226)),$B$9,""))</f>
        <v/>
      </c>
      <c r="AE226" s="29">
        <f>IF(COUNT(B226:Z226)&gt;0,AVERAGE(B226:Z226),IF(ISNUMBER(AA226),AA226,""))</f>
        <v/>
      </c>
      <c r="AF226" s="29">
        <f>IF(COUNT(B226:Z226)&gt;1,MAX(B226:Z226)-MIN(B226:Z226),IF(ISNUMBER(AB226),AB226,""))</f>
        <v/>
      </c>
      <c r="AG226" s="29">
        <f>IF(COUNT(B226:Z226)&gt;1,_xlfn.STDEV.S(B226:Z226),IF(ISNUMBER(AC226),AC226,""))</f>
        <v/>
      </c>
      <c r="AH226" s="13">
        <f>IF(AND(ISNUMBER(AE226),ISNUMBER($B$23),ISNUMBER($D$23)),IF(AE226&gt;$D$23,"boven UCL",IF(AE226&lt;$B$23,"onder LCL","")),"")</f>
        <v/>
      </c>
      <c r="AI226" s="13">
        <f>IF(AND(ISNUMBER(AF226),ISNUMBER($B$24),ISNUMBER($D$24)),IF(AF226&gt;$D$24,"boven UCL",IF(AF226&lt;$B$24,"onder LCL","")),"")</f>
        <v/>
      </c>
      <c r="AJ226" s="13">
        <f>IF(AND(ISNUMBER(AE226),ISNUMBER($B$25),ISNUMBER($D$25)),IF(AE226&gt;$D$25,"boven UCL",IF(AE226&lt;$B$25,"onder LCL","")),"")</f>
        <v/>
      </c>
      <c r="AK226" s="13">
        <f>IF(AND(ISNUMBER(AG226),ISNUMBER($B$26),ISNUMBER($D$26)),IF(AG226&gt;$D$26,"boven UCL",IF(AG226&lt;$B$26,"onder LCL","")),"")</f>
        <v/>
      </c>
      <c r="AL226" s="13">
        <f>IF(AND(COUNT(B226:Z226)&gt;0,COUNT(AA226:AC226)&gt;0),"ruwe waarden én getypt: getypte genegeerd",IF(COUNTA(B226:Z226,AA226:AC226)&gt;COUNT(B226:Z226,AA226:AC226),"tekst telt niet mee",IF(COUNT(B226:Z226)=1,"1 waarde: geen R of s","")))</f>
        <v/>
      </c>
    </row>
    <row r="227">
      <c r="A227" t="n">
        <v>176</v>
      </c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28">
        <f>IF(COUNT(B227:Z227)&gt;0,COUNT(B227:Z227),IF(OR(ISNUMBER(AA227),ISNUMBER(AB227)),$B$9,""))</f>
        <v/>
      </c>
      <c r="AE227" s="29">
        <f>IF(COUNT(B227:Z227)&gt;0,AVERAGE(B227:Z227),IF(ISNUMBER(AA227),AA227,""))</f>
        <v/>
      </c>
      <c r="AF227" s="29">
        <f>IF(COUNT(B227:Z227)&gt;1,MAX(B227:Z227)-MIN(B227:Z227),IF(ISNUMBER(AB227),AB227,""))</f>
        <v/>
      </c>
      <c r="AG227" s="29">
        <f>IF(COUNT(B227:Z227)&gt;1,_xlfn.STDEV.S(B227:Z227),IF(ISNUMBER(AC227),AC227,""))</f>
        <v/>
      </c>
      <c r="AH227" s="13">
        <f>IF(AND(ISNUMBER(AE227),ISNUMBER($B$23),ISNUMBER($D$23)),IF(AE227&gt;$D$23,"boven UCL",IF(AE227&lt;$B$23,"onder LCL","")),"")</f>
        <v/>
      </c>
      <c r="AI227" s="13">
        <f>IF(AND(ISNUMBER(AF227),ISNUMBER($B$24),ISNUMBER($D$24)),IF(AF227&gt;$D$24,"boven UCL",IF(AF227&lt;$B$24,"onder LCL","")),"")</f>
        <v/>
      </c>
      <c r="AJ227" s="13">
        <f>IF(AND(ISNUMBER(AE227),ISNUMBER($B$25),ISNUMBER($D$25)),IF(AE227&gt;$D$25,"boven UCL",IF(AE227&lt;$B$25,"onder LCL","")),"")</f>
        <v/>
      </c>
      <c r="AK227" s="13">
        <f>IF(AND(ISNUMBER(AG227),ISNUMBER($B$26),ISNUMBER($D$26)),IF(AG227&gt;$D$26,"boven UCL",IF(AG227&lt;$B$26,"onder LCL","")),"")</f>
        <v/>
      </c>
      <c r="AL227" s="13">
        <f>IF(AND(COUNT(B227:Z227)&gt;0,COUNT(AA227:AC227)&gt;0),"ruwe waarden én getypt: getypte genegeerd",IF(COUNTA(B227:Z227,AA227:AC227)&gt;COUNT(B227:Z227,AA227:AC227),"tekst telt niet mee",IF(COUNT(B227:Z227)=1,"1 waarde: geen R of s","")))</f>
        <v/>
      </c>
    </row>
    <row r="228">
      <c r="A228" t="n">
        <v>177</v>
      </c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28">
        <f>IF(COUNT(B228:Z228)&gt;0,COUNT(B228:Z228),IF(OR(ISNUMBER(AA228),ISNUMBER(AB228)),$B$9,""))</f>
        <v/>
      </c>
      <c r="AE228" s="29">
        <f>IF(COUNT(B228:Z228)&gt;0,AVERAGE(B228:Z228),IF(ISNUMBER(AA228),AA228,""))</f>
        <v/>
      </c>
      <c r="AF228" s="29">
        <f>IF(COUNT(B228:Z228)&gt;1,MAX(B228:Z228)-MIN(B228:Z228),IF(ISNUMBER(AB228),AB228,""))</f>
        <v/>
      </c>
      <c r="AG228" s="29">
        <f>IF(COUNT(B228:Z228)&gt;1,_xlfn.STDEV.S(B228:Z228),IF(ISNUMBER(AC228),AC228,""))</f>
        <v/>
      </c>
      <c r="AH228" s="13">
        <f>IF(AND(ISNUMBER(AE228),ISNUMBER($B$23),ISNUMBER($D$23)),IF(AE228&gt;$D$23,"boven UCL",IF(AE228&lt;$B$23,"onder LCL","")),"")</f>
        <v/>
      </c>
      <c r="AI228" s="13">
        <f>IF(AND(ISNUMBER(AF228),ISNUMBER($B$24),ISNUMBER($D$24)),IF(AF228&gt;$D$24,"boven UCL",IF(AF228&lt;$B$24,"onder LCL","")),"")</f>
        <v/>
      </c>
      <c r="AJ228" s="13">
        <f>IF(AND(ISNUMBER(AE228),ISNUMBER($B$25),ISNUMBER($D$25)),IF(AE228&gt;$D$25,"boven UCL",IF(AE228&lt;$B$25,"onder LCL","")),"")</f>
        <v/>
      </c>
      <c r="AK228" s="13">
        <f>IF(AND(ISNUMBER(AG228),ISNUMBER($B$26),ISNUMBER($D$26)),IF(AG228&gt;$D$26,"boven UCL",IF(AG228&lt;$B$26,"onder LCL","")),"")</f>
        <v/>
      </c>
      <c r="AL228" s="13">
        <f>IF(AND(COUNT(B228:Z228)&gt;0,COUNT(AA228:AC228)&gt;0),"ruwe waarden én getypt: getypte genegeerd",IF(COUNTA(B228:Z228,AA228:AC228)&gt;COUNT(B228:Z228,AA228:AC228),"tekst telt niet mee",IF(COUNT(B228:Z228)=1,"1 waarde: geen R of s","")))</f>
        <v/>
      </c>
    </row>
    <row r="229">
      <c r="A229" t="n">
        <v>178</v>
      </c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28">
        <f>IF(COUNT(B229:Z229)&gt;0,COUNT(B229:Z229),IF(OR(ISNUMBER(AA229),ISNUMBER(AB229)),$B$9,""))</f>
        <v/>
      </c>
      <c r="AE229" s="29">
        <f>IF(COUNT(B229:Z229)&gt;0,AVERAGE(B229:Z229),IF(ISNUMBER(AA229),AA229,""))</f>
        <v/>
      </c>
      <c r="AF229" s="29">
        <f>IF(COUNT(B229:Z229)&gt;1,MAX(B229:Z229)-MIN(B229:Z229),IF(ISNUMBER(AB229),AB229,""))</f>
        <v/>
      </c>
      <c r="AG229" s="29">
        <f>IF(COUNT(B229:Z229)&gt;1,_xlfn.STDEV.S(B229:Z229),IF(ISNUMBER(AC229),AC229,""))</f>
        <v/>
      </c>
      <c r="AH229" s="13">
        <f>IF(AND(ISNUMBER(AE229),ISNUMBER($B$23),ISNUMBER($D$23)),IF(AE229&gt;$D$23,"boven UCL",IF(AE229&lt;$B$23,"onder LCL","")),"")</f>
        <v/>
      </c>
      <c r="AI229" s="13">
        <f>IF(AND(ISNUMBER(AF229),ISNUMBER($B$24),ISNUMBER($D$24)),IF(AF229&gt;$D$24,"boven UCL",IF(AF229&lt;$B$24,"onder LCL","")),"")</f>
        <v/>
      </c>
      <c r="AJ229" s="13">
        <f>IF(AND(ISNUMBER(AE229),ISNUMBER($B$25),ISNUMBER($D$25)),IF(AE229&gt;$D$25,"boven UCL",IF(AE229&lt;$B$25,"onder LCL","")),"")</f>
        <v/>
      </c>
      <c r="AK229" s="13">
        <f>IF(AND(ISNUMBER(AG229),ISNUMBER($B$26),ISNUMBER($D$26)),IF(AG229&gt;$D$26,"boven UCL",IF(AG229&lt;$B$26,"onder LCL","")),"")</f>
        <v/>
      </c>
      <c r="AL229" s="13">
        <f>IF(AND(COUNT(B229:Z229)&gt;0,COUNT(AA229:AC229)&gt;0),"ruwe waarden én getypt: getypte genegeerd",IF(COUNTA(B229:Z229,AA229:AC229)&gt;COUNT(B229:Z229,AA229:AC229),"tekst telt niet mee",IF(COUNT(B229:Z229)=1,"1 waarde: geen R of s","")))</f>
        <v/>
      </c>
    </row>
    <row r="230">
      <c r="A230" t="n">
        <v>179</v>
      </c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28">
        <f>IF(COUNT(B230:Z230)&gt;0,COUNT(B230:Z230),IF(OR(ISNUMBER(AA230),ISNUMBER(AB230)),$B$9,""))</f>
        <v/>
      </c>
      <c r="AE230" s="29">
        <f>IF(COUNT(B230:Z230)&gt;0,AVERAGE(B230:Z230),IF(ISNUMBER(AA230),AA230,""))</f>
        <v/>
      </c>
      <c r="AF230" s="29">
        <f>IF(COUNT(B230:Z230)&gt;1,MAX(B230:Z230)-MIN(B230:Z230),IF(ISNUMBER(AB230),AB230,""))</f>
        <v/>
      </c>
      <c r="AG230" s="29">
        <f>IF(COUNT(B230:Z230)&gt;1,_xlfn.STDEV.S(B230:Z230),IF(ISNUMBER(AC230),AC230,""))</f>
        <v/>
      </c>
      <c r="AH230" s="13">
        <f>IF(AND(ISNUMBER(AE230),ISNUMBER($B$23),ISNUMBER($D$23)),IF(AE230&gt;$D$23,"boven UCL",IF(AE230&lt;$B$23,"onder LCL","")),"")</f>
        <v/>
      </c>
      <c r="AI230" s="13">
        <f>IF(AND(ISNUMBER(AF230),ISNUMBER($B$24),ISNUMBER($D$24)),IF(AF230&gt;$D$24,"boven UCL",IF(AF230&lt;$B$24,"onder LCL","")),"")</f>
        <v/>
      </c>
      <c r="AJ230" s="13">
        <f>IF(AND(ISNUMBER(AE230),ISNUMBER($B$25),ISNUMBER($D$25)),IF(AE230&gt;$D$25,"boven UCL",IF(AE230&lt;$B$25,"onder LCL","")),"")</f>
        <v/>
      </c>
      <c r="AK230" s="13">
        <f>IF(AND(ISNUMBER(AG230),ISNUMBER($B$26),ISNUMBER($D$26)),IF(AG230&gt;$D$26,"boven UCL",IF(AG230&lt;$B$26,"onder LCL","")),"")</f>
        <v/>
      </c>
      <c r="AL230" s="13">
        <f>IF(AND(COUNT(B230:Z230)&gt;0,COUNT(AA230:AC230)&gt;0),"ruwe waarden én getypt: getypte genegeerd",IF(COUNTA(B230:Z230,AA230:AC230)&gt;COUNT(B230:Z230,AA230:AC230),"tekst telt niet mee",IF(COUNT(B230:Z230)=1,"1 waarde: geen R of s","")))</f>
        <v/>
      </c>
    </row>
    <row r="231">
      <c r="A231" t="n">
        <v>180</v>
      </c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28">
        <f>IF(COUNT(B231:Z231)&gt;0,COUNT(B231:Z231),IF(OR(ISNUMBER(AA231),ISNUMBER(AB231)),$B$9,""))</f>
        <v/>
      </c>
      <c r="AE231" s="29">
        <f>IF(COUNT(B231:Z231)&gt;0,AVERAGE(B231:Z231),IF(ISNUMBER(AA231),AA231,""))</f>
        <v/>
      </c>
      <c r="AF231" s="29">
        <f>IF(COUNT(B231:Z231)&gt;1,MAX(B231:Z231)-MIN(B231:Z231),IF(ISNUMBER(AB231),AB231,""))</f>
        <v/>
      </c>
      <c r="AG231" s="29">
        <f>IF(COUNT(B231:Z231)&gt;1,_xlfn.STDEV.S(B231:Z231),IF(ISNUMBER(AC231),AC231,""))</f>
        <v/>
      </c>
      <c r="AH231" s="13">
        <f>IF(AND(ISNUMBER(AE231),ISNUMBER($B$23),ISNUMBER($D$23)),IF(AE231&gt;$D$23,"boven UCL",IF(AE231&lt;$B$23,"onder LCL","")),"")</f>
        <v/>
      </c>
      <c r="AI231" s="13">
        <f>IF(AND(ISNUMBER(AF231),ISNUMBER($B$24),ISNUMBER($D$24)),IF(AF231&gt;$D$24,"boven UCL",IF(AF231&lt;$B$24,"onder LCL","")),"")</f>
        <v/>
      </c>
      <c r="AJ231" s="13">
        <f>IF(AND(ISNUMBER(AE231),ISNUMBER($B$25),ISNUMBER($D$25)),IF(AE231&gt;$D$25,"boven UCL",IF(AE231&lt;$B$25,"onder LCL","")),"")</f>
        <v/>
      </c>
      <c r="AK231" s="13">
        <f>IF(AND(ISNUMBER(AG231),ISNUMBER($B$26),ISNUMBER($D$26)),IF(AG231&gt;$D$26,"boven UCL",IF(AG231&lt;$B$26,"onder LCL","")),"")</f>
        <v/>
      </c>
      <c r="AL231" s="13">
        <f>IF(AND(COUNT(B231:Z231)&gt;0,COUNT(AA231:AC231)&gt;0),"ruwe waarden én getypt: getypte genegeerd",IF(COUNTA(B231:Z231,AA231:AC231)&gt;COUNT(B231:Z231,AA231:AC231),"tekst telt niet mee",IF(COUNT(B231:Z231)=1,"1 waarde: geen R of s","")))</f>
        <v/>
      </c>
    </row>
    <row r="232">
      <c r="A232" t="n">
        <v>181</v>
      </c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28">
        <f>IF(COUNT(B232:Z232)&gt;0,COUNT(B232:Z232),IF(OR(ISNUMBER(AA232),ISNUMBER(AB232)),$B$9,""))</f>
        <v/>
      </c>
      <c r="AE232" s="29">
        <f>IF(COUNT(B232:Z232)&gt;0,AVERAGE(B232:Z232),IF(ISNUMBER(AA232),AA232,""))</f>
        <v/>
      </c>
      <c r="AF232" s="29">
        <f>IF(COUNT(B232:Z232)&gt;1,MAX(B232:Z232)-MIN(B232:Z232),IF(ISNUMBER(AB232),AB232,""))</f>
        <v/>
      </c>
      <c r="AG232" s="29">
        <f>IF(COUNT(B232:Z232)&gt;1,_xlfn.STDEV.S(B232:Z232),IF(ISNUMBER(AC232),AC232,""))</f>
        <v/>
      </c>
      <c r="AH232" s="13">
        <f>IF(AND(ISNUMBER(AE232),ISNUMBER($B$23),ISNUMBER($D$23)),IF(AE232&gt;$D$23,"boven UCL",IF(AE232&lt;$B$23,"onder LCL","")),"")</f>
        <v/>
      </c>
      <c r="AI232" s="13">
        <f>IF(AND(ISNUMBER(AF232),ISNUMBER($B$24),ISNUMBER($D$24)),IF(AF232&gt;$D$24,"boven UCL",IF(AF232&lt;$B$24,"onder LCL","")),"")</f>
        <v/>
      </c>
      <c r="AJ232" s="13">
        <f>IF(AND(ISNUMBER(AE232),ISNUMBER($B$25),ISNUMBER($D$25)),IF(AE232&gt;$D$25,"boven UCL",IF(AE232&lt;$B$25,"onder LCL","")),"")</f>
        <v/>
      </c>
      <c r="AK232" s="13">
        <f>IF(AND(ISNUMBER(AG232),ISNUMBER($B$26),ISNUMBER($D$26)),IF(AG232&gt;$D$26,"boven UCL",IF(AG232&lt;$B$26,"onder LCL","")),"")</f>
        <v/>
      </c>
      <c r="AL232" s="13">
        <f>IF(AND(COUNT(B232:Z232)&gt;0,COUNT(AA232:AC232)&gt;0),"ruwe waarden én getypt: getypte genegeerd",IF(COUNTA(B232:Z232,AA232:AC232)&gt;COUNT(B232:Z232,AA232:AC232),"tekst telt niet mee",IF(COUNT(B232:Z232)=1,"1 waarde: geen R of s","")))</f>
        <v/>
      </c>
    </row>
    <row r="233">
      <c r="A233" t="n">
        <v>182</v>
      </c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28">
        <f>IF(COUNT(B233:Z233)&gt;0,COUNT(B233:Z233),IF(OR(ISNUMBER(AA233),ISNUMBER(AB233)),$B$9,""))</f>
        <v/>
      </c>
      <c r="AE233" s="29">
        <f>IF(COUNT(B233:Z233)&gt;0,AVERAGE(B233:Z233),IF(ISNUMBER(AA233),AA233,""))</f>
        <v/>
      </c>
      <c r="AF233" s="29">
        <f>IF(COUNT(B233:Z233)&gt;1,MAX(B233:Z233)-MIN(B233:Z233),IF(ISNUMBER(AB233),AB233,""))</f>
        <v/>
      </c>
      <c r="AG233" s="29">
        <f>IF(COUNT(B233:Z233)&gt;1,_xlfn.STDEV.S(B233:Z233),IF(ISNUMBER(AC233),AC233,""))</f>
        <v/>
      </c>
      <c r="AH233" s="13">
        <f>IF(AND(ISNUMBER(AE233),ISNUMBER($B$23),ISNUMBER($D$23)),IF(AE233&gt;$D$23,"boven UCL",IF(AE233&lt;$B$23,"onder LCL","")),"")</f>
        <v/>
      </c>
      <c r="AI233" s="13">
        <f>IF(AND(ISNUMBER(AF233),ISNUMBER($B$24),ISNUMBER($D$24)),IF(AF233&gt;$D$24,"boven UCL",IF(AF233&lt;$B$24,"onder LCL","")),"")</f>
        <v/>
      </c>
      <c r="AJ233" s="13">
        <f>IF(AND(ISNUMBER(AE233),ISNUMBER($B$25),ISNUMBER($D$25)),IF(AE233&gt;$D$25,"boven UCL",IF(AE233&lt;$B$25,"onder LCL","")),"")</f>
        <v/>
      </c>
      <c r="AK233" s="13">
        <f>IF(AND(ISNUMBER(AG233),ISNUMBER($B$26),ISNUMBER($D$26)),IF(AG233&gt;$D$26,"boven UCL",IF(AG233&lt;$B$26,"onder LCL","")),"")</f>
        <v/>
      </c>
      <c r="AL233" s="13">
        <f>IF(AND(COUNT(B233:Z233)&gt;0,COUNT(AA233:AC233)&gt;0),"ruwe waarden én getypt: getypte genegeerd",IF(COUNTA(B233:Z233,AA233:AC233)&gt;COUNT(B233:Z233,AA233:AC233),"tekst telt niet mee",IF(COUNT(B233:Z233)=1,"1 waarde: geen R of s","")))</f>
        <v/>
      </c>
    </row>
    <row r="234">
      <c r="A234" t="n">
        <v>183</v>
      </c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28">
        <f>IF(COUNT(B234:Z234)&gt;0,COUNT(B234:Z234),IF(OR(ISNUMBER(AA234),ISNUMBER(AB234)),$B$9,""))</f>
        <v/>
      </c>
      <c r="AE234" s="29">
        <f>IF(COUNT(B234:Z234)&gt;0,AVERAGE(B234:Z234),IF(ISNUMBER(AA234),AA234,""))</f>
        <v/>
      </c>
      <c r="AF234" s="29">
        <f>IF(COUNT(B234:Z234)&gt;1,MAX(B234:Z234)-MIN(B234:Z234),IF(ISNUMBER(AB234),AB234,""))</f>
        <v/>
      </c>
      <c r="AG234" s="29">
        <f>IF(COUNT(B234:Z234)&gt;1,_xlfn.STDEV.S(B234:Z234),IF(ISNUMBER(AC234),AC234,""))</f>
        <v/>
      </c>
      <c r="AH234" s="13">
        <f>IF(AND(ISNUMBER(AE234),ISNUMBER($B$23),ISNUMBER($D$23)),IF(AE234&gt;$D$23,"boven UCL",IF(AE234&lt;$B$23,"onder LCL","")),"")</f>
        <v/>
      </c>
      <c r="AI234" s="13">
        <f>IF(AND(ISNUMBER(AF234),ISNUMBER($B$24),ISNUMBER($D$24)),IF(AF234&gt;$D$24,"boven UCL",IF(AF234&lt;$B$24,"onder LCL","")),"")</f>
        <v/>
      </c>
      <c r="AJ234" s="13">
        <f>IF(AND(ISNUMBER(AE234),ISNUMBER($B$25),ISNUMBER($D$25)),IF(AE234&gt;$D$25,"boven UCL",IF(AE234&lt;$B$25,"onder LCL","")),"")</f>
        <v/>
      </c>
      <c r="AK234" s="13">
        <f>IF(AND(ISNUMBER(AG234),ISNUMBER($B$26),ISNUMBER($D$26)),IF(AG234&gt;$D$26,"boven UCL",IF(AG234&lt;$B$26,"onder LCL","")),"")</f>
        <v/>
      </c>
      <c r="AL234" s="13">
        <f>IF(AND(COUNT(B234:Z234)&gt;0,COUNT(AA234:AC234)&gt;0),"ruwe waarden én getypt: getypte genegeerd",IF(COUNTA(B234:Z234,AA234:AC234)&gt;COUNT(B234:Z234,AA234:AC234),"tekst telt niet mee",IF(COUNT(B234:Z234)=1,"1 waarde: geen R of s","")))</f>
        <v/>
      </c>
    </row>
    <row r="235">
      <c r="A235" t="n">
        <v>184</v>
      </c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28">
        <f>IF(COUNT(B235:Z235)&gt;0,COUNT(B235:Z235),IF(OR(ISNUMBER(AA235),ISNUMBER(AB235)),$B$9,""))</f>
        <v/>
      </c>
      <c r="AE235" s="29">
        <f>IF(COUNT(B235:Z235)&gt;0,AVERAGE(B235:Z235),IF(ISNUMBER(AA235),AA235,""))</f>
        <v/>
      </c>
      <c r="AF235" s="29">
        <f>IF(COUNT(B235:Z235)&gt;1,MAX(B235:Z235)-MIN(B235:Z235),IF(ISNUMBER(AB235),AB235,""))</f>
        <v/>
      </c>
      <c r="AG235" s="29">
        <f>IF(COUNT(B235:Z235)&gt;1,_xlfn.STDEV.S(B235:Z235),IF(ISNUMBER(AC235),AC235,""))</f>
        <v/>
      </c>
      <c r="AH235" s="13">
        <f>IF(AND(ISNUMBER(AE235),ISNUMBER($B$23),ISNUMBER($D$23)),IF(AE235&gt;$D$23,"boven UCL",IF(AE235&lt;$B$23,"onder LCL","")),"")</f>
        <v/>
      </c>
      <c r="AI235" s="13">
        <f>IF(AND(ISNUMBER(AF235),ISNUMBER($B$24),ISNUMBER($D$24)),IF(AF235&gt;$D$24,"boven UCL",IF(AF235&lt;$B$24,"onder LCL","")),"")</f>
        <v/>
      </c>
      <c r="AJ235" s="13">
        <f>IF(AND(ISNUMBER(AE235),ISNUMBER($B$25),ISNUMBER($D$25)),IF(AE235&gt;$D$25,"boven UCL",IF(AE235&lt;$B$25,"onder LCL","")),"")</f>
        <v/>
      </c>
      <c r="AK235" s="13">
        <f>IF(AND(ISNUMBER(AG235),ISNUMBER($B$26),ISNUMBER($D$26)),IF(AG235&gt;$D$26,"boven UCL",IF(AG235&lt;$B$26,"onder LCL","")),"")</f>
        <v/>
      </c>
      <c r="AL235" s="13">
        <f>IF(AND(COUNT(B235:Z235)&gt;0,COUNT(AA235:AC235)&gt;0),"ruwe waarden én getypt: getypte genegeerd",IF(COUNTA(B235:Z235,AA235:AC235)&gt;COUNT(B235:Z235,AA235:AC235),"tekst telt niet mee",IF(COUNT(B235:Z235)=1,"1 waarde: geen R of s","")))</f>
        <v/>
      </c>
    </row>
    <row r="236">
      <c r="A236" t="n">
        <v>185</v>
      </c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28">
        <f>IF(COUNT(B236:Z236)&gt;0,COUNT(B236:Z236),IF(OR(ISNUMBER(AA236),ISNUMBER(AB236)),$B$9,""))</f>
        <v/>
      </c>
      <c r="AE236" s="29">
        <f>IF(COUNT(B236:Z236)&gt;0,AVERAGE(B236:Z236),IF(ISNUMBER(AA236),AA236,""))</f>
        <v/>
      </c>
      <c r="AF236" s="29">
        <f>IF(COUNT(B236:Z236)&gt;1,MAX(B236:Z236)-MIN(B236:Z236),IF(ISNUMBER(AB236),AB236,""))</f>
        <v/>
      </c>
      <c r="AG236" s="29">
        <f>IF(COUNT(B236:Z236)&gt;1,_xlfn.STDEV.S(B236:Z236),IF(ISNUMBER(AC236),AC236,""))</f>
        <v/>
      </c>
      <c r="AH236" s="13">
        <f>IF(AND(ISNUMBER(AE236),ISNUMBER($B$23),ISNUMBER($D$23)),IF(AE236&gt;$D$23,"boven UCL",IF(AE236&lt;$B$23,"onder LCL","")),"")</f>
        <v/>
      </c>
      <c r="AI236" s="13">
        <f>IF(AND(ISNUMBER(AF236),ISNUMBER($B$24),ISNUMBER($D$24)),IF(AF236&gt;$D$24,"boven UCL",IF(AF236&lt;$B$24,"onder LCL","")),"")</f>
        <v/>
      </c>
      <c r="AJ236" s="13">
        <f>IF(AND(ISNUMBER(AE236),ISNUMBER($B$25),ISNUMBER($D$25)),IF(AE236&gt;$D$25,"boven UCL",IF(AE236&lt;$B$25,"onder LCL","")),"")</f>
        <v/>
      </c>
      <c r="AK236" s="13">
        <f>IF(AND(ISNUMBER(AG236),ISNUMBER($B$26),ISNUMBER($D$26)),IF(AG236&gt;$D$26,"boven UCL",IF(AG236&lt;$B$26,"onder LCL","")),"")</f>
        <v/>
      </c>
      <c r="AL236" s="13">
        <f>IF(AND(COUNT(B236:Z236)&gt;0,COUNT(AA236:AC236)&gt;0),"ruwe waarden én getypt: getypte genegeerd",IF(COUNTA(B236:Z236,AA236:AC236)&gt;COUNT(B236:Z236,AA236:AC236),"tekst telt niet mee",IF(COUNT(B236:Z236)=1,"1 waarde: geen R of s","")))</f>
        <v/>
      </c>
    </row>
    <row r="237">
      <c r="A237" t="n">
        <v>186</v>
      </c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28">
        <f>IF(COUNT(B237:Z237)&gt;0,COUNT(B237:Z237),IF(OR(ISNUMBER(AA237),ISNUMBER(AB237)),$B$9,""))</f>
        <v/>
      </c>
      <c r="AE237" s="29">
        <f>IF(COUNT(B237:Z237)&gt;0,AVERAGE(B237:Z237),IF(ISNUMBER(AA237),AA237,""))</f>
        <v/>
      </c>
      <c r="AF237" s="29">
        <f>IF(COUNT(B237:Z237)&gt;1,MAX(B237:Z237)-MIN(B237:Z237),IF(ISNUMBER(AB237),AB237,""))</f>
        <v/>
      </c>
      <c r="AG237" s="29">
        <f>IF(COUNT(B237:Z237)&gt;1,_xlfn.STDEV.S(B237:Z237),IF(ISNUMBER(AC237),AC237,""))</f>
        <v/>
      </c>
      <c r="AH237" s="13">
        <f>IF(AND(ISNUMBER(AE237),ISNUMBER($B$23),ISNUMBER($D$23)),IF(AE237&gt;$D$23,"boven UCL",IF(AE237&lt;$B$23,"onder LCL","")),"")</f>
        <v/>
      </c>
      <c r="AI237" s="13">
        <f>IF(AND(ISNUMBER(AF237),ISNUMBER($B$24),ISNUMBER($D$24)),IF(AF237&gt;$D$24,"boven UCL",IF(AF237&lt;$B$24,"onder LCL","")),"")</f>
        <v/>
      </c>
      <c r="AJ237" s="13">
        <f>IF(AND(ISNUMBER(AE237),ISNUMBER($B$25),ISNUMBER($D$25)),IF(AE237&gt;$D$25,"boven UCL",IF(AE237&lt;$B$25,"onder LCL","")),"")</f>
        <v/>
      </c>
      <c r="AK237" s="13">
        <f>IF(AND(ISNUMBER(AG237),ISNUMBER($B$26),ISNUMBER($D$26)),IF(AG237&gt;$D$26,"boven UCL",IF(AG237&lt;$B$26,"onder LCL","")),"")</f>
        <v/>
      </c>
      <c r="AL237" s="13">
        <f>IF(AND(COUNT(B237:Z237)&gt;0,COUNT(AA237:AC237)&gt;0),"ruwe waarden én getypt: getypte genegeerd",IF(COUNTA(B237:Z237,AA237:AC237)&gt;COUNT(B237:Z237,AA237:AC237),"tekst telt niet mee",IF(COUNT(B237:Z237)=1,"1 waarde: geen R of s","")))</f>
        <v/>
      </c>
    </row>
    <row r="238">
      <c r="A238" t="n">
        <v>187</v>
      </c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28">
        <f>IF(COUNT(B238:Z238)&gt;0,COUNT(B238:Z238),IF(OR(ISNUMBER(AA238),ISNUMBER(AB238)),$B$9,""))</f>
        <v/>
      </c>
      <c r="AE238" s="29">
        <f>IF(COUNT(B238:Z238)&gt;0,AVERAGE(B238:Z238),IF(ISNUMBER(AA238),AA238,""))</f>
        <v/>
      </c>
      <c r="AF238" s="29">
        <f>IF(COUNT(B238:Z238)&gt;1,MAX(B238:Z238)-MIN(B238:Z238),IF(ISNUMBER(AB238),AB238,""))</f>
        <v/>
      </c>
      <c r="AG238" s="29">
        <f>IF(COUNT(B238:Z238)&gt;1,_xlfn.STDEV.S(B238:Z238),IF(ISNUMBER(AC238),AC238,""))</f>
        <v/>
      </c>
      <c r="AH238" s="13">
        <f>IF(AND(ISNUMBER(AE238),ISNUMBER($B$23),ISNUMBER($D$23)),IF(AE238&gt;$D$23,"boven UCL",IF(AE238&lt;$B$23,"onder LCL","")),"")</f>
        <v/>
      </c>
      <c r="AI238" s="13">
        <f>IF(AND(ISNUMBER(AF238),ISNUMBER($B$24),ISNUMBER($D$24)),IF(AF238&gt;$D$24,"boven UCL",IF(AF238&lt;$B$24,"onder LCL","")),"")</f>
        <v/>
      </c>
      <c r="AJ238" s="13">
        <f>IF(AND(ISNUMBER(AE238),ISNUMBER($B$25),ISNUMBER($D$25)),IF(AE238&gt;$D$25,"boven UCL",IF(AE238&lt;$B$25,"onder LCL","")),"")</f>
        <v/>
      </c>
      <c r="AK238" s="13">
        <f>IF(AND(ISNUMBER(AG238),ISNUMBER($B$26),ISNUMBER($D$26)),IF(AG238&gt;$D$26,"boven UCL",IF(AG238&lt;$B$26,"onder LCL","")),"")</f>
        <v/>
      </c>
      <c r="AL238" s="13">
        <f>IF(AND(COUNT(B238:Z238)&gt;0,COUNT(AA238:AC238)&gt;0),"ruwe waarden én getypt: getypte genegeerd",IF(COUNTA(B238:Z238,AA238:AC238)&gt;COUNT(B238:Z238,AA238:AC238),"tekst telt niet mee",IF(COUNT(B238:Z238)=1,"1 waarde: geen R of s","")))</f>
        <v/>
      </c>
    </row>
    <row r="239">
      <c r="A239" t="n">
        <v>188</v>
      </c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28">
        <f>IF(COUNT(B239:Z239)&gt;0,COUNT(B239:Z239),IF(OR(ISNUMBER(AA239),ISNUMBER(AB239)),$B$9,""))</f>
        <v/>
      </c>
      <c r="AE239" s="29">
        <f>IF(COUNT(B239:Z239)&gt;0,AVERAGE(B239:Z239),IF(ISNUMBER(AA239),AA239,""))</f>
        <v/>
      </c>
      <c r="AF239" s="29">
        <f>IF(COUNT(B239:Z239)&gt;1,MAX(B239:Z239)-MIN(B239:Z239),IF(ISNUMBER(AB239),AB239,""))</f>
        <v/>
      </c>
      <c r="AG239" s="29">
        <f>IF(COUNT(B239:Z239)&gt;1,_xlfn.STDEV.S(B239:Z239),IF(ISNUMBER(AC239),AC239,""))</f>
        <v/>
      </c>
      <c r="AH239" s="13">
        <f>IF(AND(ISNUMBER(AE239),ISNUMBER($B$23),ISNUMBER($D$23)),IF(AE239&gt;$D$23,"boven UCL",IF(AE239&lt;$B$23,"onder LCL","")),"")</f>
        <v/>
      </c>
      <c r="AI239" s="13">
        <f>IF(AND(ISNUMBER(AF239),ISNUMBER($B$24),ISNUMBER($D$24)),IF(AF239&gt;$D$24,"boven UCL",IF(AF239&lt;$B$24,"onder LCL","")),"")</f>
        <v/>
      </c>
      <c r="AJ239" s="13">
        <f>IF(AND(ISNUMBER(AE239),ISNUMBER($B$25),ISNUMBER($D$25)),IF(AE239&gt;$D$25,"boven UCL",IF(AE239&lt;$B$25,"onder LCL","")),"")</f>
        <v/>
      </c>
      <c r="AK239" s="13">
        <f>IF(AND(ISNUMBER(AG239),ISNUMBER($B$26),ISNUMBER($D$26)),IF(AG239&gt;$D$26,"boven UCL",IF(AG239&lt;$B$26,"onder LCL","")),"")</f>
        <v/>
      </c>
      <c r="AL239" s="13">
        <f>IF(AND(COUNT(B239:Z239)&gt;0,COUNT(AA239:AC239)&gt;0),"ruwe waarden én getypt: getypte genegeerd",IF(COUNTA(B239:Z239,AA239:AC239)&gt;COUNT(B239:Z239,AA239:AC239),"tekst telt niet mee",IF(COUNT(B239:Z239)=1,"1 waarde: geen R of s","")))</f>
        <v/>
      </c>
    </row>
    <row r="240">
      <c r="A240" t="n">
        <v>189</v>
      </c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28">
        <f>IF(COUNT(B240:Z240)&gt;0,COUNT(B240:Z240),IF(OR(ISNUMBER(AA240),ISNUMBER(AB240)),$B$9,""))</f>
        <v/>
      </c>
      <c r="AE240" s="29">
        <f>IF(COUNT(B240:Z240)&gt;0,AVERAGE(B240:Z240),IF(ISNUMBER(AA240),AA240,""))</f>
        <v/>
      </c>
      <c r="AF240" s="29">
        <f>IF(COUNT(B240:Z240)&gt;1,MAX(B240:Z240)-MIN(B240:Z240),IF(ISNUMBER(AB240),AB240,""))</f>
        <v/>
      </c>
      <c r="AG240" s="29">
        <f>IF(COUNT(B240:Z240)&gt;1,_xlfn.STDEV.S(B240:Z240),IF(ISNUMBER(AC240),AC240,""))</f>
        <v/>
      </c>
      <c r="AH240" s="13">
        <f>IF(AND(ISNUMBER(AE240),ISNUMBER($B$23),ISNUMBER($D$23)),IF(AE240&gt;$D$23,"boven UCL",IF(AE240&lt;$B$23,"onder LCL","")),"")</f>
        <v/>
      </c>
      <c r="AI240" s="13">
        <f>IF(AND(ISNUMBER(AF240),ISNUMBER($B$24),ISNUMBER($D$24)),IF(AF240&gt;$D$24,"boven UCL",IF(AF240&lt;$B$24,"onder LCL","")),"")</f>
        <v/>
      </c>
      <c r="AJ240" s="13">
        <f>IF(AND(ISNUMBER(AE240),ISNUMBER($B$25),ISNUMBER($D$25)),IF(AE240&gt;$D$25,"boven UCL",IF(AE240&lt;$B$25,"onder LCL","")),"")</f>
        <v/>
      </c>
      <c r="AK240" s="13">
        <f>IF(AND(ISNUMBER(AG240),ISNUMBER($B$26),ISNUMBER($D$26)),IF(AG240&gt;$D$26,"boven UCL",IF(AG240&lt;$B$26,"onder LCL","")),"")</f>
        <v/>
      </c>
      <c r="AL240" s="13">
        <f>IF(AND(COUNT(B240:Z240)&gt;0,COUNT(AA240:AC240)&gt;0),"ruwe waarden én getypt: getypte genegeerd",IF(COUNTA(B240:Z240,AA240:AC240)&gt;COUNT(B240:Z240,AA240:AC240),"tekst telt niet mee",IF(COUNT(B240:Z240)=1,"1 waarde: geen R of s","")))</f>
        <v/>
      </c>
    </row>
    <row r="241">
      <c r="A241" t="n">
        <v>190</v>
      </c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28">
        <f>IF(COUNT(B241:Z241)&gt;0,COUNT(B241:Z241),IF(OR(ISNUMBER(AA241),ISNUMBER(AB241)),$B$9,""))</f>
        <v/>
      </c>
      <c r="AE241" s="29">
        <f>IF(COUNT(B241:Z241)&gt;0,AVERAGE(B241:Z241),IF(ISNUMBER(AA241),AA241,""))</f>
        <v/>
      </c>
      <c r="AF241" s="29">
        <f>IF(COUNT(B241:Z241)&gt;1,MAX(B241:Z241)-MIN(B241:Z241),IF(ISNUMBER(AB241),AB241,""))</f>
        <v/>
      </c>
      <c r="AG241" s="29">
        <f>IF(COUNT(B241:Z241)&gt;1,_xlfn.STDEV.S(B241:Z241),IF(ISNUMBER(AC241),AC241,""))</f>
        <v/>
      </c>
      <c r="AH241" s="13">
        <f>IF(AND(ISNUMBER(AE241),ISNUMBER($B$23),ISNUMBER($D$23)),IF(AE241&gt;$D$23,"boven UCL",IF(AE241&lt;$B$23,"onder LCL","")),"")</f>
        <v/>
      </c>
      <c r="AI241" s="13">
        <f>IF(AND(ISNUMBER(AF241),ISNUMBER($B$24),ISNUMBER($D$24)),IF(AF241&gt;$D$24,"boven UCL",IF(AF241&lt;$B$24,"onder LCL","")),"")</f>
        <v/>
      </c>
      <c r="AJ241" s="13">
        <f>IF(AND(ISNUMBER(AE241),ISNUMBER($B$25),ISNUMBER($D$25)),IF(AE241&gt;$D$25,"boven UCL",IF(AE241&lt;$B$25,"onder LCL","")),"")</f>
        <v/>
      </c>
      <c r="AK241" s="13">
        <f>IF(AND(ISNUMBER(AG241),ISNUMBER($B$26),ISNUMBER($D$26)),IF(AG241&gt;$D$26,"boven UCL",IF(AG241&lt;$B$26,"onder LCL","")),"")</f>
        <v/>
      </c>
      <c r="AL241" s="13">
        <f>IF(AND(COUNT(B241:Z241)&gt;0,COUNT(AA241:AC241)&gt;0),"ruwe waarden én getypt: getypte genegeerd",IF(COUNTA(B241:Z241,AA241:AC241)&gt;COUNT(B241:Z241,AA241:AC241),"tekst telt niet mee",IF(COUNT(B241:Z241)=1,"1 waarde: geen R of s","")))</f>
        <v/>
      </c>
    </row>
    <row r="242">
      <c r="A242" t="n">
        <v>191</v>
      </c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28">
        <f>IF(COUNT(B242:Z242)&gt;0,COUNT(B242:Z242),IF(OR(ISNUMBER(AA242),ISNUMBER(AB242)),$B$9,""))</f>
        <v/>
      </c>
      <c r="AE242" s="29">
        <f>IF(COUNT(B242:Z242)&gt;0,AVERAGE(B242:Z242),IF(ISNUMBER(AA242),AA242,""))</f>
        <v/>
      </c>
      <c r="AF242" s="29">
        <f>IF(COUNT(B242:Z242)&gt;1,MAX(B242:Z242)-MIN(B242:Z242),IF(ISNUMBER(AB242),AB242,""))</f>
        <v/>
      </c>
      <c r="AG242" s="29">
        <f>IF(COUNT(B242:Z242)&gt;1,_xlfn.STDEV.S(B242:Z242),IF(ISNUMBER(AC242),AC242,""))</f>
        <v/>
      </c>
      <c r="AH242" s="13">
        <f>IF(AND(ISNUMBER(AE242),ISNUMBER($B$23),ISNUMBER($D$23)),IF(AE242&gt;$D$23,"boven UCL",IF(AE242&lt;$B$23,"onder LCL","")),"")</f>
        <v/>
      </c>
      <c r="AI242" s="13">
        <f>IF(AND(ISNUMBER(AF242),ISNUMBER($B$24),ISNUMBER($D$24)),IF(AF242&gt;$D$24,"boven UCL",IF(AF242&lt;$B$24,"onder LCL","")),"")</f>
        <v/>
      </c>
      <c r="AJ242" s="13">
        <f>IF(AND(ISNUMBER(AE242),ISNUMBER($B$25),ISNUMBER($D$25)),IF(AE242&gt;$D$25,"boven UCL",IF(AE242&lt;$B$25,"onder LCL","")),"")</f>
        <v/>
      </c>
      <c r="AK242" s="13">
        <f>IF(AND(ISNUMBER(AG242),ISNUMBER($B$26),ISNUMBER($D$26)),IF(AG242&gt;$D$26,"boven UCL",IF(AG242&lt;$B$26,"onder LCL","")),"")</f>
        <v/>
      </c>
      <c r="AL242" s="13">
        <f>IF(AND(COUNT(B242:Z242)&gt;0,COUNT(AA242:AC242)&gt;0),"ruwe waarden én getypt: getypte genegeerd",IF(COUNTA(B242:Z242,AA242:AC242)&gt;COUNT(B242:Z242,AA242:AC242),"tekst telt niet mee",IF(COUNT(B242:Z242)=1,"1 waarde: geen R of s","")))</f>
        <v/>
      </c>
    </row>
    <row r="243">
      <c r="A243" t="n">
        <v>192</v>
      </c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28">
        <f>IF(COUNT(B243:Z243)&gt;0,COUNT(B243:Z243),IF(OR(ISNUMBER(AA243),ISNUMBER(AB243)),$B$9,""))</f>
        <v/>
      </c>
      <c r="AE243" s="29">
        <f>IF(COUNT(B243:Z243)&gt;0,AVERAGE(B243:Z243),IF(ISNUMBER(AA243),AA243,""))</f>
        <v/>
      </c>
      <c r="AF243" s="29">
        <f>IF(COUNT(B243:Z243)&gt;1,MAX(B243:Z243)-MIN(B243:Z243),IF(ISNUMBER(AB243),AB243,""))</f>
        <v/>
      </c>
      <c r="AG243" s="29">
        <f>IF(COUNT(B243:Z243)&gt;1,_xlfn.STDEV.S(B243:Z243),IF(ISNUMBER(AC243),AC243,""))</f>
        <v/>
      </c>
      <c r="AH243" s="13">
        <f>IF(AND(ISNUMBER(AE243),ISNUMBER($B$23),ISNUMBER($D$23)),IF(AE243&gt;$D$23,"boven UCL",IF(AE243&lt;$B$23,"onder LCL","")),"")</f>
        <v/>
      </c>
      <c r="AI243" s="13">
        <f>IF(AND(ISNUMBER(AF243),ISNUMBER($B$24),ISNUMBER($D$24)),IF(AF243&gt;$D$24,"boven UCL",IF(AF243&lt;$B$24,"onder LCL","")),"")</f>
        <v/>
      </c>
      <c r="AJ243" s="13">
        <f>IF(AND(ISNUMBER(AE243),ISNUMBER($B$25),ISNUMBER($D$25)),IF(AE243&gt;$D$25,"boven UCL",IF(AE243&lt;$B$25,"onder LCL","")),"")</f>
        <v/>
      </c>
      <c r="AK243" s="13">
        <f>IF(AND(ISNUMBER(AG243),ISNUMBER($B$26),ISNUMBER($D$26)),IF(AG243&gt;$D$26,"boven UCL",IF(AG243&lt;$B$26,"onder LCL","")),"")</f>
        <v/>
      </c>
      <c r="AL243" s="13">
        <f>IF(AND(COUNT(B243:Z243)&gt;0,COUNT(AA243:AC243)&gt;0),"ruwe waarden én getypt: getypte genegeerd",IF(COUNTA(B243:Z243,AA243:AC243)&gt;COUNT(B243:Z243,AA243:AC243),"tekst telt niet mee",IF(COUNT(B243:Z243)=1,"1 waarde: geen R of s","")))</f>
        <v/>
      </c>
    </row>
    <row r="244">
      <c r="A244" t="n">
        <v>193</v>
      </c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28">
        <f>IF(COUNT(B244:Z244)&gt;0,COUNT(B244:Z244),IF(OR(ISNUMBER(AA244),ISNUMBER(AB244)),$B$9,""))</f>
        <v/>
      </c>
      <c r="AE244" s="29">
        <f>IF(COUNT(B244:Z244)&gt;0,AVERAGE(B244:Z244),IF(ISNUMBER(AA244),AA244,""))</f>
        <v/>
      </c>
      <c r="AF244" s="29">
        <f>IF(COUNT(B244:Z244)&gt;1,MAX(B244:Z244)-MIN(B244:Z244),IF(ISNUMBER(AB244),AB244,""))</f>
        <v/>
      </c>
      <c r="AG244" s="29">
        <f>IF(COUNT(B244:Z244)&gt;1,_xlfn.STDEV.S(B244:Z244),IF(ISNUMBER(AC244),AC244,""))</f>
        <v/>
      </c>
      <c r="AH244" s="13">
        <f>IF(AND(ISNUMBER(AE244),ISNUMBER($B$23),ISNUMBER($D$23)),IF(AE244&gt;$D$23,"boven UCL",IF(AE244&lt;$B$23,"onder LCL","")),"")</f>
        <v/>
      </c>
      <c r="AI244" s="13">
        <f>IF(AND(ISNUMBER(AF244),ISNUMBER($B$24),ISNUMBER($D$24)),IF(AF244&gt;$D$24,"boven UCL",IF(AF244&lt;$B$24,"onder LCL","")),"")</f>
        <v/>
      </c>
      <c r="AJ244" s="13">
        <f>IF(AND(ISNUMBER(AE244),ISNUMBER($B$25),ISNUMBER($D$25)),IF(AE244&gt;$D$25,"boven UCL",IF(AE244&lt;$B$25,"onder LCL","")),"")</f>
        <v/>
      </c>
      <c r="AK244" s="13">
        <f>IF(AND(ISNUMBER(AG244),ISNUMBER($B$26),ISNUMBER($D$26)),IF(AG244&gt;$D$26,"boven UCL",IF(AG244&lt;$B$26,"onder LCL","")),"")</f>
        <v/>
      </c>
      <c r="AL244" s="13">
        <f>IF(AND(COUNT(B244:Z244)&gt;0,COUNT(AA244:AC244)&gt;0),"ruwe waarden én getypt: getypte genegeerd",IF(COUNTA(B244:Z244,AA244:AC244)&gt;COUNT(B244:Z244,AA244:AC244),"tekst telt niet mee",IF(COUNT(B244:Z244)=1,"1 waarde: geen R of s","")))</f>
        <v/>
      </c>
    </row>
    <row r="245">
      <c r="A245" t="n">
        <v>194</v>
      </c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28">
        <f>IF(COUNT(B245:Z245)&gt;0,COUNT(B245:Z245),IF(OR(ISNUMBER(AA245),ISNUMBER(AB245)),$B$9,""))</f>
        <v/>
      </c>
      <c r="AE245" s="29">
        <f>IF(COUNT(B245:Z245)&gt;0,AVERAGE(B245:Z245),IF(ISNUMBER(AA245),AA245,""))</f>
        <v/>
      </c>
      <c r="AF245" s="29">
        <f>IF(COUNT(B245:Z245)&gt;1,MAX(B245:Z245)-MIN(B245:Z245),IF(ISNUMBER(AB245),AB245,""))</f>
        <v/>
      </c>
      <c r="AG245" s="29">
        <f>IF(COUNT(B245:Z245)&gt;1,_xlfn.STDEV.S(B245:Z245),IF(ISNUMBER(AC245),AC245,""))</f>
        <v/>
      </c>
      <c r="AH245" s="13">
        <f>IF(AND(ISNUMBER(AE245),ISNUMBER($B$23),ISNUMBER($D$23)),IF(AE245&gt;$D$23,"boven UCL",IF(AE245&lt;$B$23,"onder LCL","")),"")</f>
        <v/>
      </c>
      <c r="AI245" s="13">
        <f>IF(AND(ISNUMBER(AF245),ISNUMBER($B$24),ISNUMBER($D$24)),IF(AF245&gt;$D$24,"boven UCL",IF(AF245&lt;$B$24,"onder LCL","")),"")</f>
        <v/>
      </c>
      <c r="AJ245" s="13">
        <f>IF(AND(ISNUMBER(AE245),ISNUMBER($B$25),ISNUMBER($D$25)),IF(AE245&gt;$D$25,"boven UCL",IF(AE245&lt;$B$25,"onder LCL","")),"")</f>
        <v/>
      </c>
      <c r="AK245" s="13">
        <f>IF(AND(ISNUMBER(AG245),ISNUMBER($B$26),ISNUMBER($D$26)),IF(AG245&gt;$D$26,"boven UCL",IF(AG245&lt;$B$26,"onder LCL","")),"")</f>
        <v/>
      </c>
      <c r="AL245" s="13">
        <f>IF(AND(COUNT(B245:Z245)&gt;0,COUNT(AA245:AC245)&gt;0),"ruwe waarden én getypt: getypte genegeerd",IF(COUNTA(B245:Z245,AA245:AC245)&gt;COUNT(B245:Z245,AA245:AC245),"tekst telt niet mee",IF(COUNT(B245:Z245)=1,"1 waarde: geen R of s","")))</f>
        <v/>
      </c>
    </row>
    <row r="246">
      <c r="A246" t="n">
        <v>195</v>
      </c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28">
        <f>IF(COUNT(B246:Z246)&gt;0,COUNT(B246:Z246),IF(OR(ISNUMBER(AA246),ISNUMBER(AB246)),$B$9,""))</f>
        <v/>
      </c>
      <c r="AE246" s="29">
        <f>IF(COUNT(B246:Z246)&gt;0,AVERAGE(B246:Z246),IF(ISNUMBER(AA246),AA246,""))</f>
        <v/>
      </c>
      <c r="AF246" s="29">
        <f>IF(COUNT(B246:Z246)&gt;1,MAX(B246:Z246)-MIN(B246:Z246),IF(ISNUMBER(AB246),AB246,""))</f>
        <v/>
      </c>
      <c r="AG246" s="29">
        <f>IF(COUNT(B246:Z246)&gt;1,_xlfn.STDEV.S(B246:Z246),IF(ISNUMBER(AC246),AC246,""))</f>
        <v/>
      </c>
      <c r="AH246" s="13">
        <f>IF(AND(ISNUMBER(AE246),ISNUMBER($B$23),ISNUMBER($D$23)),IF(AE246&gt;$D$23,"boven UCL",IF(AE246&lt;$B$23,"onder LCL","")),"")</f>
        <v/>
      </c>
      <c r="AI246" s="13">
        <f>IF(AND(ISNUMBER(AF246),ISNUMBER($B$24),ISNUMBER($D$24)),IF(AF246&gt;$D$24,"boven UCL",IF(AF246&lt;$B$24,"onder LCL","")),"")</f>
        <v/>
      </c>
      <c r="AJ246" s="13">
        <f>IF(AND(ISNUMBER(AE246),ISNUMBER($B$25),ISNUMBER($D$25)),IF(AE246&gt;$D$25,"boven UCL",IF(AE246&lt;$B$25,"onder LCL","")),"")</f>
        <v/>
      </c>
      <c r="AK246" s="13">
        <f>IF(AND(ISNUMBER(AG246),ISNUMBER($B$26),ISNUMBER($D$26)),IF(AG246&gt;$D$26,"boven UCL",IF(AG246&lt;$B$26,"onder LCL","")),"")</f>
        <v/>
      </c>
      <c r="AL246" s="13">
        <f>IF(AND(COUNT(B246:Z246)&gt;0,COUNT(AA246:AC246)&gt;0),"ruwe waarden én getypt: getypte genegeerd",IF(COUNTA(B246:Z246,AA246:AC246)&gt;COUNT(B246:Z246,AA246:AC246),"tekst telt niet mee",IF(COUNT(B246:Z246)=1,"1 waarde: geen R of s","")))</f>
        <v/>
      </c>
    </row>
    <row r="247">
      <c r="A247" t="n">
        <v>196</v>
      </c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28">
        <f>IF(COUNT(B247:Z247)&gt;0,COUNT(B247:Z247),IF(OR(ISNUMBER(AA247),ISNUMBER(AB247)),$B$9,""))</f>
        <v/>
      </c>
      <c r="AE247" s="29">
        <f>IF(COUNT(B247:Z247)&gt;0,AVERAGE(B247:Z247),IF(ISNUMBER(AA247),AA247,""))</f>
        <v/>
      </c>
      <c r="AF247" s="29">
        <f>IF(COUNT(B247:Z247)&gt;1,MAX(B247:Z247)-MIN(B247:Z247),IF(ISNUMBER(AB247),AB247,""))</f>
        <v/>
      </c>
      <c r="AG247" s="29">
        <f>IF(COUNT(B247:Z247)&gt;1,_xlfn.STDEV.S(B247:Z247),IF(ISNUMBER(AC247),AC247,""))</f>
        <v/>
      </c>
      <c r="AH247" s="13">
        <f>IF(AND(ISNUMBER(AE247),ISNUMBER($B$23),ISNUMBER($D$23)),IF(AE247&gt;$D$23,"boven UCL",IF(AE247&lt;$B$23,"onder LCL","")),"")</f>
        <v/>
      </c>
      <c r="AI247" s="13">
        <f>IF(AND(ISNUMBER(AF247),ISNUMBER($B$24),ISNUMBER($D$24)),IF(AF247&gt;$D$24,"boven UCL",IF(AF247&lt;$B$24,"onder LCL","")),"")</f>
        <v/>
      </c>
      <c r="AJ247" s="13">
        <f>IF(AND(ISNUMBER(AE247),ISNUMBER($B$25),ISNUMBER($D$25)),IF(AE247&gt;$D$25,"boven UCL",IF(AE247&lt;$B$25,"onder LCL","")),"")</f>
        <v/>
      </c>
      <c r="AK247" s="13">
        <f>IF(AND(ISNUMBER(AG247),ISNUMBER($B$26),ISNUMBER($D$26)),IF(AG247&gt;$D$26,"boven UCL",IF(AG247&lt;$B$26,"onder LCL","")),"")</f>
        <v/>
      </c>
      <c r="AL247" s="13">
        <f>IF(AND(COUNT(B247:Z247)&gt;0,COUNT(AA247:AC247)&gt;0),"ruwe waarden én getypt: getypte genegeerd",IF(COUNTA(B247:Z247,AA247:AC247)&gt;COUNT(B247:Z247,AA247:AC247),"tekst telt niet mee",IF(COUNT(B247:Z247)=1,"1 waarde: geen R of s","")))</f>
        <v/>
      </c>
    </row>
    <row r="248">
      <c r="A248" t="n">
        <v>197</v>
      </c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28">
        <f>IF(COUNT(B248:Z248)&gt;0,COUNT(B248:Z248),IF(OR(ISNUMBER(AA248),ISNUMBER(AB248)),$B$9,""))</f>
        <v/>
      </c>
      <c r="AE248" s="29">
        <f>IF(COUNT(B248:Z248)&gt;0,AVERAGE(B248:Z248),IF(ISNUMBER(AA248),AA248,""))</f>
        <v/>
      </c>
      <c r="AF248" s="29">
        <f>IF(COUNT(B248:Z248)&gt;1,MAX(B248:Z248)-MIN(B248:Z248),IF(ISNUMBER(AB248),AB248,""))</f>
        <v/>
      </c>
      <c r="AG248" s="29">
        <f>IF(COUNT(B248:Z248)&gt;1,_xlfn.STDEV.S(B248:Z248),IF(ISNUMBER(AC248),AC248,""))</f>
        <v/>
      </c>
      <c r="AH248" s="13">
        <f>IF(AND(ISNUMBER(AE248),ISNUMBER($B$23),ISNUMBER($D$23)),IF(AE248&gt;$D$23,"boven UCL",IF(AE248&lt;$B$23,"onder LCL","")),"")</f>
        <v/>
      </c>
      <c r="AI248" s="13">
        <f>IF(AND(ISNUMBER(AF248),ISNUMBER($B$24),ISNUMBER($D$24)),IF(AF248&gt;$D$24,"boven UCL",IF(AF248&lt;$B$24,"onder LCL","")),"")</f>
        <v/>
      </c>
      <c r="AJ248" s="13">
        <f>IF(AND(ISNUMBER(AE248),ISNUMBER($B$25),ISNUMBER($D$25)),IF(AE248&gt;$D$25,"boven UCL",IF(AE248&lt;$B$25,"onder LCL","")),"")</f>
        <v/>
      </c>
      <c r="AK248" s="13">
        <f>IF(AND(ISNUMBER(AG248),ISNUMBER($B$26),ISNUMBER($D$26)),IF(AG248&gt;$D$26,"boven UCL",IF(AG248&lt;$B$26,"onder LCL","")),"")</f>
        <v/>
      </c>
      <c r="AL248" s="13">
        <f>IF(AND(COUNT(B248:Z248)&gt;0,COUNT(AA248:AC248)&gt;0),"ruwe waarden én getypt: getypte genegeerd",IF(COUNTA(B248:Z248,AA248:AC248)&gt;COUNT(B248:Z248,AA248:AC248),"tekst telt niet mee",IF(COUNT(B248:Z248)=1,"1 waarde: geen R of s","")))</f>
        <v/>
      </c>
    </row>
    <row r="249">
      <c r="A249" t="n">
        <v>198</v>
      </c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28">
        <f>IF(COUNT(B249:Z249)&gt;0,COUNT(B249:Z249),IF(OR(ISNUMBER(AA249),ISNUMBER(AB249)),$B$9,""))</f>
        <v/>
      </c>
      <c r="AE249" s="29">
        <f>IF(COUNT(B249:Z249)&gt;0,AVERAGE(B249:Z249),IF(ISNUMBER(AA249),AA249,""))</f>
        <v/>
      </c>
      <c r="AF249" s="29">
        <f>IF(COUNT(B249:Z249)&gt;1,MAX(B249:Z249)-MIN(B249:Z249),IF(ISNUMBER(AB249),AB249,""))</f>
        <v/>
      </c>
      <c r="AG249" s="29">
        <f>IF(COUNT(B249:Z249)&gt;1,_xlfn.STDEV.S(B249:Z249),IF(ISNUMBER(AC249),AC249,""))</f>
        <v/>
      </c>
      <c r="AH249" s="13">
        <f>IF(AND(ISNUMBER(AE249),ISNUMBER($B$23),ISNUMBER($D$23)),IF(AE249&gt;$D$23,"boven UCL",IF(AE249&lt;$B$23,"onder LCL","")),"")</f>
        <v/>
      </c>
      <c r="AI249" s="13">
        <f>IF(AND(ISNUMBER(AF249),ISNUMBER($B$24),ISNUMBER($D$24)),IF(AF249&gt;$D$24,"boven UCL",IF(AF249&lt;$B$24,"onder LCL","")),"")</f>
        <v/>
      </c>
      <c r="AJ249" s="13">
        <f>IF(AND(ISNUMBER(AE249),ISNUMBER($B$25),ISNUMBER($D$25)),IF(AE249&gt;$D$25,"boven UCL",IF(AE249&lt;$B$25,"onder LCL","")),"")</f>
        <v/>
      </c>
      <c r="AK249" s="13">
        <f>IF(AND(ISNUMBER(AG249),ISNUMBER($B$26),ISNUMBER($D$26)),IF(AG249&gt;$D$26,"boven UCL",IF(AG249&lt;$B$26,"onder LCL","")),"")</f>
        <v/>
      </c>
      <c r="AL249" s="13">
        <f>IF(AND(COUNT(B249:Z249)&gt;0,COUNT(AA249:AC249)&gt;0),"ruwe waarden én getypt: getypte genegeerd",IF(COUNTA(B249:Z249,AA249:AC249)&gt;COUNT(B249:Z249,AA249:AC249),"tekst telt niet mee",IF(COUNT(B249:Z249)=1,"1 waarde: geen R of s","")))</f>
        <v/>
      </c>
    </row>
    <row r="250">
      <c r="A250" t="n">
        <v>199</v>
      </c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28">
        <f>IF(COUNT(B250:Z250)&gt;0,COUNT(B250:Z250),IF(OR(ISNUMBER(AA250),ISNUMBER(AB250)),$B$9,""))</f>
        <v/>
      </c>
      <c r="AE250" s="29">
        <f>IF(COUNT(B250:Z250)&gt;0,AVERAGE(B250:Z250),IF(ISNUMBER(AA250),AA250,""))</f>
        <v/>
      </c>
      <c r="AF250" s="29">
        <f>IF(COUNT(B250:Z250)&gt;1,MAX(B250:Z250)-MIN(B250:Z250),IF(ISNUMBER(AB250),AB250,""))</f>
        <v/>
      </c>
      <c r="AG250" s="29">
        <f>IF(COUNT(B250:Z250)&gt;1,_xlfn.STDEV.S(B250:Z250),IF(ISNUMBER(AC250),AC250,""))</f>
        <v/>
      </c>
      <c r="AH250" s="13">
        <f>IF(AND(ISNUMBER(AE250),ISNUMBER($B$23),ISNUMBER($D$23)),IF(AE250&gt;$D$23,"boven UCL",IF(AE250&lt;$B$23,"onder LCL","")),"")</f>
        <v/>
      </c>
      <c r="AI250" s="13">
        <f>IF(AND(ISNUMBER(AF250),ISNUMBER($B$24),ISNUMBER($D$24)),IF(AF250&gt;$D$24,"boven UCL",IF(AF250&lt;$B$24,"onder LCL","")),"")</f>
        <v/>
      </c>
      <c r="AJ250" s="13">
        <f>IF(AND(ISNUMBER(AE250),ISNUMBER($B$25),ISNUMBER($D$25)),IF(AE250&gt;$D$25,"boven UCL",IF(AE250&lt;$B$25,"onder LCL","")),"")</f>
        <v/>
      </c>
      <c r="AK250" s="13">
        <f>IF(AND(ISNUMBER(AG250),ISNUMBER($B$26),ISNUMBER($D$26)),IF(AG250&gt;$D$26,"boven UCL",IF(AG250&lt;$B$26,"onder LCL","")),"")</f>
        <v/>
      </c>
      <c r="AL250" s="13">
        <f>IF(AND(COUNT(B250:Z250)&gt;0,COUNT(AA250:AC250)&gt;0),"ruwe waarden én getypt: getypte genegeerd",IF(COUNTA(B250:Z250,AA250:AC250)&gt;COUNT(B250:Z250,AA250:AC250),"tekst telt niet mee",IF(COUNT(B250:Z250)=1,"1 waarde: geen R of s","")))</f>
        <v/>
      </c>
    </row>
    <row r="251">
      <c r="A251" t="n">
        <v>200</v>
      </c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28">
        <f>IF(COUNT(B251:Z251)&gt;0,COUNT(B251:Z251),IF(OR(ISNUMBER(AA251),ISNUMBER(AB251)),$B$9,""))</f>
        <v/>
      </c>
      <c r="AE251" s="29">
        <f>IF(COUNT(B251:Z251)&gt;0,AVERAGE(B251:Z251),IF(ISNUMBER(AA251),AA251,""))</f>
        <v/>
      </c>
      <c r="AF251" s="29">
        <f>IF(COUNT(B251:Z251)&gt;1,MAX(B251:Z251)-MIN(B251:Z251),IF(ISNUMBER(AB251),AB251,""))</f>
        <v/>
      </c>
      <c r="AG251" s="29">
        <f>IF(COUNT(B251:Z251)&gt;1,_xlfn.STDEV.S(B251:Z251),IF(ISNUMBER(AC251),AC251,""))</f>
        <v/>
      </c>
      <c r="AH251" s="13">
        <f>IF(AND(ISNUMBER(AE251),ISNUMBER($B$23),ISNUMBER($D$23)),IF(AE251&gt;$D$23,"boven UCL",IF(AE251&lt;$B$23,"onder LCL","")),"")</f>
        <v/>
      </c>
      <c r="AI251" s="13">
        <f>IF(AND(ISNUMBER(AF251),ISNUMBER($B$24),ISNUMBER($D$24)),IF(AF251&gt;$D$24,"boven UCL",IF(AF251&lt;$B$24,"onder LCL","")),"")</f>
        <v/>
      </c>
      <c r="AJ251" s="13">
        <f>IF(AND(ISNUMBER(AE251),ISNUMBER($B$25),ISNUMBER($D$25)),IF(AE251&gt;$D$25,"boven UCL",IF(AE251&lt;$B$25,"onder LCL","")),"")</f>
        <v/>
      </c>
      <c r="AK251" s="13">
        <f>IF(AND(ISNUMBER(AG251),ISNUMBER($B$26),ISNUMBER($D$26)),IF(AG251&gt;$D$26,"boven UCL",IF(AG251&lt;$B$26,"onder LCL","")),"")</f>
        <v/>
      </c>
      <c r="AL251" s="13">
        <f>IF(AND(COUNT(B251:Z251)&gt;0,COUNT(AA251:AC251)&gt;0),"ruwe waarden én getypt: getypte genegeerd",IF(COUNTA(B251:Z251,AA251:AC251)&gt;COUNT(B251:Z251,AA251:AC251),"tekst telt niet mee",IF(COUNT(B251:Z251)=1,"1 waarde: geen R of s","")))</f>
        <v/>
      </c>
    </row>
    <row r="252">
      <c r="A252" t="n">
        <v>201</v>
      </c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28">
        <f>IF(COUNT(B252:Z252)&gt;0,COUNT(B252:Z252),IF(OR(ISNUMBER(AA252),ISNUMBER(AB252)),$B$9,""))</f>
        <v/>
      </c>
      <c r="AE252" s="29">
        <f>IF(COUNT(B252:Z252)&gt;0,AVERAGE(B252:Z252),IF(ISNUMBER(AA252),AA252,""))</f>
        <v/>
      </c>
      <c r="AF252" s="29">
        <f>IF(COUNT(B252:Z252)&gt;1,MAX(B252:Z252)-MIN(B252:Z252),IF(ISNUMBER(AB252),AB252,""))</f>
        <v/>
      </c>
      <c r="AG252" s="29">
        <f>IF(COUNT(B252:Z252)&gt;1,_xlfn.STDEV.S(B252:Z252),IF(ISNUMBER(AC252),AC252,""))</f>
        <v/>
      </c>
      <c r="AH252" s="13">
        <f>IF(AND(ISNUMBER(AE252),ISNUMBER($B$23),ISNUMBER($D$23)),IF(AE252&gt;$D$23,"boven UCL",IF(AE252&lt;$B$23,"onder LCL","")),"")</f>
        <v/>
      </c>
      <c r="AI252" s="13">
        <f>IF(AND(ISNUMBER(AF252),ISNUMBER($B$24),ISNUMBER($D$24)),IF(AF252&gt;$D$24,"boven UCL",IF(AF252&lt;$B$24,"onder LCL","")),"")</f>
        <v/>
      </c>
      <c r="AJ252" s="13">
        <f>IF(AND(ISNUMBER(AE252),ISNUMBER($B$25),ISNUMBER($D$25)),IF(AE252&gt;$D$25,"boven UCL",IF(AE252&lt;$B$25,"onder LCL","")),"")</f>
        <v/>
      </c>
      <c r="AK252" s="13">
        <f>IF(AND(ISNUMBER(AG252),ISNUMBER($B$26),ISNUMBER($D$26)),IF(AG252&gt;$D$26,"boven UCL",IF(AG252&lt;$B$26,"onder LCL","")),"")</f>
        <v/>
      </c>
      <c r="AL252" s="13">
        <f>IF(AND(COUNT(B252:Z252)&gt;0,COUNT(AA252:AC252)&gt;0),"ruwe waarden én getypt: getypte genegeerd",IF(COUNTA(B252:Z252,AA252:AC252)&gt;COUNT(B252:Z252,AA252:AC252),"tekst telt niet mee",IF(COUNT(B252:Z252)=1,"1 waarde: geen R of s","")))</f>
        <v/>
      </c>
    </row>
    <row r="253">
      <c r="A253" t="n">
        <v>202</v>
      </c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28">
        <f>IF(COUNT(B253:Z253)&gt;0,COUNT(B253:Z253),IF(OR(ISNUMBER(AA253),ISNUMBER(AB253)),$B$9,""))</f>
        <v/>
      </c>
      <c r="AE253" s="29">
        <f>IF(COUNT(B253:Z253)&gt;0,AVERAGE(B253:Z253),IF(ISNUMBER(AA253),AA253,""))</f>
        <v/>
      </c>
      <c r="AF253" s="29">
        <f>IF(COUNT(B253:Z253)&gt;1,MAX(B253:Z253)-MIN(B253:Z253),IF(ISNUMBER(AB253),AB253,""))</f>
        <v/>
      </c>
      <c r="AG253" s="29">
        <f>IF(COUNT(B253:Z253)&gt;1,_xlfn.STDEV.S(B253:Z253),IF(ISNUMBER(AC253),AC253,""))</f>
        <v/>
      </c>
      <c r="AH253" s="13">
        <f>IF(AND(ISNUMBER(AE253),ISNUMBER($B$23),ISNUMBER($D$23)),IF(AE253&gt;$D$23,"boven UCL",IF(AE253&lt;$B$23,"onder LCL","")),"")</f>
        <v/>
      </c>
      <c r="AI253" s="13">
        <f>IF(AND(ISNUMBER(AF253),ISNUMBER($B$24),ISNUMBER($D$24)),IF(AF253&gt;$D$24,"boven UCL",IF(AF253&lt;$B$24,"onder LCL","")),"")</f>
        <v/>
      </c>
      <c r="AJ253" s="13">
        <f>IF(AND(ISNUMBER(AE253),ISNUMBER($B$25),ISNUMBER($D$25)),IF(AE253&gt;$D$25,"boven UCL",IF(AE253&lt;$B$25,"onder LCL","")),"")</f>
        <v/>
      </c>
      <c r="AK253" s="13">
        <f>IF(AND(ISNUMBER(AG253),ISNUMBER($B$26),ISNUMBER($D$26)),IF(AG253&gt;$D$26,"boven UCL",IF(AG253&lt;$B$26,"onder LCL","")),"")</f>
        <v/>
      </c>
      <c r="AL253" s="13">
        <f>IF(AND(COUNT(B253:Z253)&gt;0,COUNT(AA253:AC253)&gt;0),"ruwe waarden én getypt: getypte genegeerd",IF(COUNTA(B253:Z253,AA253:AC253)&gt;COUNT(B253:Z253,AA253:AC253),"tekst telt niet mee",IF(COUNT(B253:Z253)=1,"1 waarde: geen R of s","")))</f>
        <v/>
      </c>
    </row>
    <row r="254">
      <c r="A254" t="n">
        <v>203</v>
      </c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28">
        <f>IF(COUNT(B254:Z254)&gt;0,COUNT(B254:Z254),IF(OR(ISNUMBER(AA254),ISNUMBER(AB254)),$B$9,""))</f>
        <v/>
      </c>
      <c r="AE254" s="29">
        <f>IF(COUNT(B254:Z254)&gt;0,AVERAGE(B254:Z254),IF(ISNUMBER(AA254),AA254,""))</f>
        <v/>
      </c>
      <c r="AF254" s="29">
        <f>IF(COUNT(B254:Z254)&gt;1,MAX(B254:Z254)-MIN(B254:Z254),IF(ISNUMBER(AB254),AB254,""))</f>
        <v/>
      </c>
      <c r="AG254" s="29">
        <f>IF(COUNT(B254:Z254)&gt;1,_xlfn.STDEV.S(B254:Z254),IF(ISNUMBER(AC254),AC254,""))</f>
        <v/>
      </c>
      <c r="AH254" s="13">
        <f>IF(AND(ISNUMBER(AE254),ISNUMBER($B$23),ISNUMBER($D$23)),IF(AE254&gt;$D$23,"boven UCL",IF(AE254&lt;$B$23,"onder LCL","")),"")</f>
        <v/>
      </c>
      <c r="AI254" s="13">
        <f>IF(AND(ISNUMBER(AF254),ISNUMBER($B$24),ISNUMBER($D$24)),IF(AF254&gt;$D$24,"boven UCL",IF(AF254&lt;$B$24,"onder LCL","")),"")</f>
        <v/>
      </c>
      <c r="AJ254" s="13">
        <f>IF(AND(ISNUMBER(AE254),ISNUMBER($B$25),ISNUMBER($D$25)),IF(AE254&gt;$D$25,"boven UCL",IF(AE254&lt;$B$25,"onder LCL","")),"")</f>
        <v/>
      </c>
      <c r="AK254" s="13">
        <f>IF(AND(ISNUMBER(AG254),ISNUMBER($B$26),ISNUMBER($D$26)),IF(AG254&gt;$D$26,"boven UCL",IF(AG254&lt;$B$26,"onder LCL","")),"")</f>
        <v/>
      </c>
      <c r="AL254" s="13">
        <f>IF(AND(COUNT(B254:Z254)&gt;0,COUNT(AA254:AC254)&gt;0),"ruwe waarden én getypt: getypte genegeerd",IF(COUNTA(B254:Z254,AA254:AC254)&gt;COUNT(B254:Z254,AA254:AC254),"tekst telt niet mee",IF(COUNT(B254:Z254)=1,"1 waarde: geen R of s","")))</f>
        <v/>
      </c>
    </row>
    <row r="255">
      <c r="A255" t="n">
        <v>204</v>
      </c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28">
        <f>IF(COUNT(B255:Z255)&gt;0,COUNT(B255:Z255),IF(OR(ISNUMBER(AA255),ISNUMBER(AB255)),$B$9,""))</f>
        <v/>
      </c>
      <c r="AE255" s="29">
        <f>IF(COUNT(B255:Z255)&gt;0,AVERAGE(B255:Z255),IF(ISNUMBER(AA255),AA255,""))</f>
        <v/>
      </c>
      <c r="AF255" s="29">
        <f>IF(COUNT(B255:Z255)&gt;1,MAX(B255:Z255)-MIN(B255:Z255),IF(ISNUMBER(AB255),AB255,""))</f>
        <v/>
      </c>
      <c r="AG255" s="29">
        <f>IF(COUNT(B255:Z255)&gt;1,_xlfn.STDEV.S(B255:Z255),IF(ISNUMBER(AC255),AC255,""))</f>
        <v/>
      </c>
      <c r="AH255" s="13">
        <f>IF(AND(ISNUMBER(AE255),ISNUMBER($B$23),ISNUMBER($D$23)),IF(AE255&gt;$D$23,"boven UCL",IF(AE255&lt;$B$23,"onder LCL","")),"")</f>
        <v/>
      </c>
      <c r="AI255" s="13">
        <f>IF(AND(ISNUMBER(AF255),ISNUMBER($B$24),ISNUMBER($D$24)),IF(AF255&gt;$D$24,"boven UCL",IF(AF255&lt;$B$24,"onder LCL","")),"")</f>
        <v/>
      </c>
      <c r="AJ255" s="13">
        <f>IF(AND(ISNUMBER(AE255),ISNUMBER($B$25),ISNUMBER($D$25)),IF(AE255&gt;$D$25,"boven UCL",IF(AE255&lt;$B$25,"onder LCL","")),"")</f>
        <v/>
      </c>
      <c r="AK255" s="13">
        <f>IF(AND(ISNUMBER(AG255),ISNUMBER($B$26),ISNUMBER($D$26)),IF(AG255&gt;$D$26,"boven UCL",IF(AG255&lt;$B$26,"onder LCL","")),"")</f>
        <v/>
      </c>
      <c r="AL255" s="13">
        <f>IF(AND(COUNT(B255:Z255)&gt;0,COUNT(AA255:AC255)&gt;0),"ruwe waarden én getypt: getypte genegeerd",IF(COUNTA(B255:Z255,AA255:AC255)&gt;COUNT(B255:Z255,AA255:AC255),"tekst telt niet mee",IF(COUNT(B255:Z255)=1,"1 waarde: geen R of s","")))</f>
        <v/>
      </c>
    </row>
    <row r="256">
      <c r="A256" t="n">
        <v>205</v>
      </c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28">
        <f>IF(COUNT(B256:Z256)&gt;0,COUNT(B256:Z256),IF(OR(ISNUMBER(AA256),ISNUMBER(AB256)),$B$9,""))</f>
        <v/>
      </c>
      <c r="AE256" s="29">
        <f>IF(COUNT(B256:Z256)&gt;0,AVERAGE(B256:Z256),IF(ISNUMBER(AA256),AA256,""))</f>
        <v/>
      </c>
      <c r="AF256" s="29">
        <f>IF(COUNT(B256:Z256)&gt;1,MAX(B256:Z256)-MIN(B256:Z256),IF(ISNUMBER(AB256),AB256,""))</f>
        <v/>
      </c>
      <c r="AG256" s="29">
        <f>IF(COUNT(B256:Z256)&gt;1,_xlfn.STDEV.S(B256:Z256),IF(ISNUMBER(AC256),AC256,""))</f>
        <v/>
      </c>
      <c r="AH256" s="13">
        <f>IF(AND(ISNUMBER(AE256),ISNUMBER($B$23),ISNUMBER($D$23)),IF(AE256&gt;$D$23,"boven UCL",IF(AE256&lt;$B$23,"onder LCL","")),"")</f>
        <v/>
      </c>
      <c r="AI256" s="13">
        <f>IF(AND(ISNUMBER(AF256),ISNUMBER($B$24),ISNUMBER($D$24)),IF(AF256&gt;$D$24,"boven UCL",IF(AF256&lt;$B$24,"onder LCL","")),"")</f>
        <v/>
      </c>
      <c r="AJ256" s="13">
        <f>IF(AND(ISNUMBER(AE256),ISNUMBER($B$25),ISNUMBER($D$25)),IF(AE256&gt;$D$25,"boven UCL",IF(AE256&lt;$B$25,"onder LCL","")),"")</f>
        <v/>
      </c>
      <c r="AK256" s="13">
        <f>IF(AND(ISNUMBER(AG256),ISNUMBER($B$26),ISNUMBER($D$26)),IF(AG256&gt;$D$26,"boven UCL",IF(AG256&lt;$B$26,"onder LCL","")),"")</f>
        <v/>
      </c>
      <c r="AL256" s="13">
        <f>IF(AND(COUNT(B256:Z256)&gt;0,COUNT(AA256:AC256)&gt;0),"ruwe waarden én getypt: getypte genegeerd",IF(COUNTA(B256:Z256,AA256:AC256)&gt;COUNT(B256:Z256,AA256:AC256),"tekst telt niet mee",IF(COUNT(B256:Z256)=1,"1 waarde: geen R of s","")))</f>
        <v/>
      </c>
    </row>
    <row r="257">
      <c r="A257" t="n">
        <v>206</v>
      </c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28">
        <f>IF(COUNT(B257:Z257)&gt;0,COUNT(B257:Z257),IF(OR(ISNUMBER(AA257),ISNUMBER(AB257)),$B$9,""))</f>
        <v/>
      </c>
      <c r="AE257" s="29">
        <f>IF(COUNT(B257:Z257)&gt;0,AVERAGE(B257:Z257),IF(ISNUMBER(AA257),AA257,""))</f>
        <v/>
      </c>
      <c r="AF257" s="29">
        <f>IF(COUNT(B257:Z257)&gt;1,MAX(B257:Z257)-MIN(B257:Z257),IF(ISNUMBER(AB257),AB257,""))</f>
        <v/>
      </c>
      <c r="AG257" s="29">
        <f>IF(COUNT(B257:Z257)&gt;1,_xlfn.STDEV.S(B257:Z257),IF(ISNUMBER(AC257),AC257,""))</f>
        <v/>
      </c>
      <c r="AH257" s="13">
        <f>IF(AND(ISNUMBER(AE257),ISNUMBER($B$23),ISNUMBER($D$23)),IF(AE257&gt;$D$23,"boven UCL",IF(AE257&lt;$B$23,"onder LCL","")),"")</f>
        <v/>
      </c>
      <c r="AI257" s="13">
        <f>IF(AND(ISNUMBER(AF257),ISNUMBER($B$24),ISNUMBER($D$24)),IF(AF257&gt;$D$24,"boven UCL",IF(AF257&lt;$B$24,"onder LCL","")),"")</f>
        <v/>
      </c>
      <c r="AJ257" s="13">
        <f>IF(AND(ISNUMBER(AE257),ISNUMBER($B$25),ISNUMBER($D$25)),IF(AE257&gt;$D$25,"boven UCL",IF(AE257&lt;$B$25,"onder LCL","")),"")</f>
        <v/>
      </c>
      <c r="AK257" s="13">
        <f>IF(AND(ISNUMBER(AG257),ISNUMBER($B$26),ISNUMBER($D$26)),IF(AG257&gt;$D$26,"boven UCL",IF(AG257&lt;$B$26,"onder LCL","")),"")</f>
        <v/>
      </c>
      <c r="AL257" s="13">
        <f>IF(AND(COUNT(B257:Z257)&gt;0,COUNT(AA257:AC257)&gt;0),"ruwe waarden én getypt: getypte genegeerd",IF(COUNTA(B257:Z257,AA257:AC257)&gt;COUNT(B257:Z257,AA257:AC257),"tekst telt niet mee",IF(COUNT(B257:Z257)=1,"1 waarde: geen R of s","")))</f>
        <v/>
      </c>
    </row>
    <row r="258">
      <c r="A258" t="n">
        <v>207</v>
      </c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28">
        <f>IF(COUNT(B258:Z258)&gt;0,COUNT(B258:Z258),IF(OR(ISNUMBER(AA258),ISNUMBER(AB258)),$B$9,""))</f>
        <v/>
      </c>
      <c r="AE258" s="29">
        <f>IF(COUNT(B258:Z258)&gt;0,AVERAGE(B258:Z258),IF(ISNUMBER(AA258),AA258,""))</f>
        <v/>
      </c>
      <c r="AF258" s="29">
        <f>IF(COUNT(B258:Z258)&gt;1,MAX(B258:Z258)-MIN(B258:Z258),IF(ISNUMBER(AB258),AB258,""))</f>
        <v/>
      </c>
      <c r="AG258" s="29">
        <f>IF(COUNT(B258:Z258)&gt;1,_xlfn.STDEV.S(B258:Z258),IF(ISNUMBER(AC258),AC258,""))</f>
        <v/>
      </c>
      <c r="AH258" s="13">
        <f>IF(AND(ISNUMBER(AE258),ISNUMBER($B$23),ISNUMBER($D$23)),IF(AE258&gt;$D$23,"boven UCL",IF(AE258&lt;$B$23,"onder LCL","")),"")</f>
        <v/>
      </c>
      <c r="AI258" s="13">
        <f>IF(AND(ISNUMBER(AF258),ISNUMBER($B$24),ISNUMBER($D$24)),IF(AF258&gt;$D$24,"boven UCL",IF(AF258&lt;$B$24,"onder LCL","")),"")</f>
        <v/>
      </c>
      <c r="AJ258" s="13">
        <f>IF(AND(ISNUMBER(AE258),ISNUMBER($B$25),ISNUMBER($D$25)),IF(AE258&gt;$D$25,"boven UCL",IF(AE258&lt;$B$25,"onder LCL","")),"")</f>
        <v/>
      </c>
      <c r="AK258" s="13">
        <f>IF(AND(ISNUMBER(AG258),ISNUMBER($B$26),ISNUMBER($D$26)),IF(AG258&gt;$D$26,"boven UCL",IF(AG258&lt;$B$26,"onder LCL","")),"")</f>
        <v/>
      </c>
      <c r="AL258" s="13">
        <f>IF(AND(COUNT(B258:Z258)&gt;0,COUNT(AA258:AC258)&gt;0),"ruwe waarden én getypt: getypte genegeerd",IF(COUNTA(B258:Z258,AA258:AC258)&gt;COUNT(B258:Z258,AA258:AC258),"tekst telt niet mee",IF(COUNT(B258:Z258)=1,"1 waarde: geen R of s","")))</f>
        <v/>
      </c>
    </row>
    <row r="259">
      <c r="A259" t="n">
        <v>208</v>
      </c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28">
        <f>IF(COUNT(B259:Z259)&gt;0,COUNT(B259:Z259),IF(OR(ISNUMBER(AA259),ISNUMBER(AB259)),$B$9,""))</f>
        <v/>
      </c>
      <c r="AE259" s="29">
        <f>IF(COUNT(B259:Z259)&gt;0,AVERAGE(B259:Z259),IF(ISNUMBER(AA259),AA259,""))</f>
        <v/>
      </c>
      <c r="AF259" s="29">
        <f>IF(COUNT(B259:Z259)&gt;1,MAX(B259:Z259)-MIN(B259:Z259),IF(ISNUMBER(AB259),AB259,""))</f>
        <v/>
      </c>
      <c r="AG259" s="29">
        <f>IF(COUNT(B259:Z259)&gt;1,_xlfn.STDEV.S(B259:Z259),IF(ISNUMBER(AC259),AC259,""))</f>
        <v/>
      </c>
      <c r="AH259" s="13">
        <f>IF(AND(ISNUMBER(AE259),ISNUMBER($B$23),ISNUMBER($D$23)),IF(AE259&gt;$D$23,"boven UCL",IF(AE259&lt;$B$23,"onder LCL","")),"")</f>
        <v/>
      </c>
      <c r="AI259" s="13">
        <f>IF(AND(ISNUMBER(AF259),ISNUMBER($B$24),ISNUMBER($D$24)),IF(AF259&gt;$D$24,"boven UCL",IF(AF259&lt;$B$24,"onder LCL","")),"")</f>
        <v/>
      </c>
      <c r="AJ259" s="13">
        <f>IF(AND(ISNUMBER(AE259),ISNUMBER($B$25),ISNUMBER($D$25)),IF(AE259&gt;$D$25,"boven UCL",IF(AE259&lt;$B$25,"onder LCL","")),"")</f>
        <v/>
      </c>
      <c r="AK259" s="13">
        <f>IF(AND(ISNUMBER(AG259),ISNUMBER($B$26),ISNUMBER($D$26)),IF(AG259&gt;$D$26,"boven UCL",IF(AG259&lt;$B$26,"onder LCL","")),"")</f>
        <v/>
      </c>
      <c r="AL259" s="13">
        <f>IF(AND(COUNT(B259:Z259)&gt;0,COUNT(AA259:AC259)&gt;0),"ruwe waarden én getypt: getypte genegeerd",IF(COUNTA(B259:Z259,AA259:AC259)&gt;COUNT(B259:Z259,AA259:AC259),"tekst telt niet mee",IF(COUNT(B259:Z259)=1,"1 waarde: geen R of s","")))</f>
        <v/>
      </c>
    </row>
    <row r="260">
      <c r="A260" t="n">
        <v>209</v>
      </c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28">
        <f>IF(COUNT(B260:Z260)&gt;0,COUNT(B260:Z260),IF(OR(ISNUMBER(AA260),ISNUMBER(AB260)),$B$9,""))</f>
        <v/>
      </c>
      <c r="AE260" s="29">
        <f>IF(COUNT(B260:Z260)&gt;0,AVERAGE(B260:Z260),IF(ISNUMBER(AA260),AA260,""))</f>
        <v/>
      </c>
      <c r="AF260" s="29">
        <f>IF(COUNT(B260:Z260)&gt;1,MAX(B260:Z260)-MIN(B260:Z260),IF(ISNUMBER(AB260),AB260,""))</f>
        <v/>
      </c>
      <c r="AG260" s="29">
        <f>IF(COUNT(B260:Z260)&gt;1,_xlfn.STDEV.S(B260:Z260),IF(ISNUMBER(AC260),AC260,""))</f>
        <v/>
      </c>
      <c r="AH260" s="13">
        <f>IF(AND(ISNUMBER(AE260),ISNUMBER($B$23),ISNUMBER($D$23)),IF(AE260&gt;$D$23,"boven UCL",IF(AE260&lt;$B$23,"onder LCL","")),"")</f>
        <v/>
      </c>
      <c r="AI260" s="13">
        <f>IF(AND(ISNUMBER(AF260),ISNUMBER($B$24),ISNUMBER($D$24)),IF(AF260&gt;$D$24,"boven UCL",IF(AF260&lt;$B$24,"onder LCL","")),"")</f>
        <v/>
      </c>
      <c r="AJ260" s="13">
        <f>IF(AND(ISNUMBER(AE260),ISNUMBER($B$25),ISNUMBER($D$25)),IF(AE260&gt;$D$25,"boven UCL",IF(AE260&lt;$B$25,"onder LCL","")),"")</f>
        <v/>
      </c>
      <c r="AK260" s="13">
        <f>IF(AND(ISNUMBER(AG260),ISNUMBER($B$26),ISNUMBER($D$26)),IF(AG260&gt;$D$26,"boven UCL",IF(AG260&lt;$B$26,"onder LCL","")),"")</f>
        <v/>
      </c>
      <c r="AL260" s="13">
        <f>IF(AND(COUNT(B260:Z260)&gt;0,COUNT(AA260:AC260)&gt;0),"ruwe waarden én getypt: getypte genegeerd",IF(COUNTA(B260:Z260,AA260:AC260)&gt;COUNT(B260:Z260,AA260:AC260),"tekst telt niet mee",IF(COUNT(B260:Z260)=1,"1 waarde: geen R of s","")))</f>
        <v/>
      </c>
    </row>
    <row r="261">
      <c r="A261" t="n">
        <v>210</v>
      </c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28">
        <f>IF(COUNT(B261:Z261)&gt;0,COUNT(B261:Z261),IF(OR(ISNUMBER(AA261),ISNUMBER(AB261)),$B$9,""))</f>
        <v/>
      </c>
      <c r="AE261" s="29">
        <f>IF(COUNT(B261:Z261)&gt;0,AVERAGE(B261:Z261),IF(ISNUMBER(AA261),AA261,""))</f>
        <v/>
      </c>
      <c r="AF261" s="29">
        <f>IF(COUNT(B261:Z261)&gt;1,MAX(B261:Z261)-MIN(B261:Z261),IF(ISNUMBER(AB261),AB261,""))</f>
        <v/>
      </c>
      <c r="AG261" s="29">
        <f>IF(COUNT(B261:Z261)&gt;1,_xlfn.STDEV.S(B261:Z261),IF(ISNUMBER(AC261),AC261,""))</f>
        <v/>
      </c>
      <c r="AH261" s="13">
        <f>IF(AND(ISNUMBER(AE261),ISNUMBER($B$23),ISNUMBER($D$23)),IF(AE261&gt;$D$23,"boven UCL",IF(AE261&lt;$B$23,"onder LCL","")),"")</f>
        <v/>
      </c>
      <c r="AI261" s="13">
        <f>IF(AND(ISNUMBER(AF261),ISNUMBER($B$24),ISNUMBER($D$24)),IF(AF261&gt;$D$24,"boven UCL",IF(AF261&lt;$B$24,"onder LCL","")),"")</f>
        <v/>
      </c>
      <c r="AJ261" s="13">
        <f>IF(AND(ISNUMBER(AE261),ISNUMBER($B$25),ISNUMBER($D$25)),IF(AE261&gt;$D$25,"boven UCL",IF(AE261&lt;$B$25,"onder LCL","")),"")</f>
        <v/>
      </c>
      <c r="AK261" s="13">
        <f>IF(AND(ISNUMBER(AG261),ISNUMBER($B$26),ISNUMBER($D$26)),IF(AG261&gt;$D$26,"boven UCL",IF(AG261&lt;$B$26,"onder LCL","")),"")</f>
        <v/>
      </c>
      <c r="AL261" s="13">
        <f>IF(AND(COUNT(B261:Z261)&gt;0,COUNT(AA261:AC261)&gt;0),"ruwe waarden én getypt: getypte genegeerd",IF(COUNTA(B261:Z261,AA261:AC261)&gt;COUNT(B261:Z261,AA261:AC261),"tekst telt niet mee",IF(COUNT(B261:Z261)=1,"1 waarde: geen R of s","")))</f>
        <v/>
      </c>
    </row>
    <row r="262">
      <c r="A262" t="n">
        <v>211</v>
      </c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28">
        <f>IF(COUNT(B262:Z262)&gt;0,COUNT(B262:Z262),IF(OR(ISNUMBER(AA262),ISNUMBER(AB262)),$B$9,""))</f>
        <v/>
      </c>
      <c r="AE262" s="29">
        <f>IF(COUNT(B262:Z262)&gt;0,AVERAGE(B262:Z262),IF(ISNUMBER(AA262),AA262,""))</f>
        <v/>
      </c>
      <c r="AF262" s="29">
        <f>IF(COUNT(B262:Z262)&gt;1,MAX(B262:Z262)-MIN(B262:Z262),IF(ISNUMBER(AB262),AB262,""))</f>
        <v/>
      </c>
      <c r="AG262" s="29">
        <f>IF(COUNT(B262:Z262)&gt;1,_xlfn.STDEV.S(B262:Z262),IF(ISNUMBER(AC262),AC262,""))</f>
        <v/>
      </c>
      <c r="AH262" s="13">
        <f>IF(AND(ISNUMBER(AE262),ISNUMBER($B$23),ISNUMBER($D$23)),IF(AE262&gt;$D$23,"boven UCL",IF(AE262&lt;$B$23,"onder LCL","")),"")</f>
        <v/>
      </c>
      <c r="AI262" s="13">
        <f>IF(AND(ISNUMBER(AF262),ISNUMBER($B$24),ISNUMBER($D$24)),IF(AF262&gt;$D$24,"boven UCL",IF(AF262&lt;$B$24,"onder LCL","")),"")</f>
        <v/>
      </c>
      <c r="AJ262" s="13">
        <f>IF(AND(ISNUMBER(AE262),ISNUMBER($B$25),ISNUMBER($D$25)),IF(AE262&gt;$D$25,"boven UCL",IF(AE262&lt;$B$25,"onder LCL","")),"")</f>
        <v/>
      </c>
      <c r="AK262" s="13">
        <f>IF(AND(ISNUMBER(AG262),ISNUMBER($B$26),ISNUMBER($D$26)),IF(AG262&gt;$D$26,"boven UCL",IF(AG262&lt;$B$26,"onder LCL","")),"")</f>
        <v/>
      </c>
      <c r="AL262" s="13">
        <f>IF(AND(COUNT(B262:Z262)&gt;0,COUNT(AA262:AC262)&gt;0),"ruwe waarden én getypt: getypte genegeerd",IF(COUNTA(B262:Z262,AA262:AC262)&gt;COUNT(B262:Z262,AA262:AC262),"tekst telt niet mee",IF(COUNT(B262:Z262)=1,"1 waarde: geen R of s","")))</f>
        <v/>
      </c>
    </row>
    <row r="263">
      <c r="A263" t="n">
        <v>212</v>
      </c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28">
        <f>IF(COUNT(B263:Z263)&gt;0,COUNT(B263:Z263),IF(OR(ISNUMBER(AA263),ISNUMBER(AB263)),$B$9,""))</f>
        <v/>
      </c>
      <c r="AE263" s="29">
        <f>IF(COUNT(B263:Z263)&gt;0,AVERAGE(B263:Z263),IF(ISNUMBER(AA263),AA263,""))</f>
        <v/>
      </c>
      <c r="AF263" s="29">
        <f>IF(COUNT(B263:Z263)&gt;1,MAX(B263:Z263)-MIN(B263:Z263),IF(ISNUMBER(AB263),AB263,""))</f>
        <v/>
      </c>
      <c r="AG263" s="29">
        <f>IF(COUNT(B263:Z263)&gt;1,_xlfn.STDEV.S(B263:Z263),IF(ISNUMBER(AC263),AC263,""))</f>
        <v/>
      </c>
      <c r="AH263" s="13">
        <f>IF(AND(ISNUMBER(AE263),ISNUMBER($B$23),ISNUMBER($D$23)),IF(AE263&gt;$D$23,"boven UCL",IF(AE263&lt;$B$23,"onder LCL","")),"")</f>
        <v/>
      </c>
      <c r="AI263" s="13">
        <f>IF(AND(ISNUMBER(AF263),ISNUMBER($B$24),ISNUMBER($D$24)),IF(AF263&gt;$D$24,"boven UCL",IF(AF263&lt;$B$24,"onder LCL","")),"")</f>
        <v/>
      </c>
      <c r="AJ263" s="13">
        <f>IF(AND(ISNUMBER(AE263),ISNUMBER($B$25),ISNUMBER($D$25)),IF(AE263&gt;$D$25,"boven UCL",IF(AE263&lt;$B$25,"onder LCL","")),"")</f>
        <v/>
      </c>
      <c r="AK263" s="13">
        <f>IF(AND(ISNUMBER(AG263),ISNUMBER($B$26),ISNUMBER($D$26)),IF(AG263&gt;$D$26,"boven UCL",IF(AG263&lt;$B$26,"onder LCL","")),"")</f>
        <v/>
      </c>
      <c r="AL263" s="13">
        <f>IF(AND(COUNT(B263:Z263)&gt;0,COUNT(AA263:AC263)&gt;0),"ruwe waarden én getypt: getypte genegeerd",IF(COUNTA(B263:Z263,AA263:AC263)&gt;COUNT(B263:Z263,AA263:AC263),"tekst telt niet mee",IF(COUNT(B263:Z263)=1,"1 waarde: geen R of s","")))</f>
        <v/>
      </c>
    </row>
    <row r="264">
      <c r="A264" t="n">
        <v>213</v>
      </c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28">
        <f>IF(COUNT(B264:Z264)&gt;0,COUNT(B264:Z264),IF(OR(ISNUMBER(AA264),ISNUMBER(AB264)),$B$9,""))</f>
        <v/>
      </c>
      <c r="AE264" s="29">
        <f>IF(COUNT(B264:Z264)&gt;0,AVERAGE(B264:Z264),IF(ISNUMBER(AA264),AA264,""))</f>
        <v/>
      </c>
      <c r="AF264" s="29">
        <f>IF(COUNT(B264:Z264)&gt;1,MAX(B264:Z264)-MIN(B264:Z264),IF(ISNUMBER(AB264),AB264,""))</f>
        <v/>
      </c>
      <c r="AG264" s="29">
        <f>IF(COUNT(B264:Z264)&gt;1,_xlfn.STDEV.S(B264:Z264),IF(ISNUMBER(AC264),AC264,""))</f>
        <v/>
      </c>
      <c r="AH264" s="13">
        <f>IF(AND(ISNUMBER(AE264),ISNUMBER($B$23),ISNUMBER($D$23)),IF(AE264&gt;$D$23,"boven UCL",IF(AE264&lt;$B$23,"onder LCL","")),"")</f>
        <v/>
      </c>
      <c r="AI264" s="13">
        <f>IF(AND(ISNUMBER(AF264),ISNUMBER($B$24),ISNUMBER($D$24)),IF(AF264&gt;$D$24,"boven UCL",IF(AF264&lt;$B$24,"onder LCL","")),"")</f>
        <v/>
      </c>
      <c r="AJ264" s="13">
        <f>IF(AND(ISNUMBER(AE264),ISNUMBER($B$25),ISNUMBER($D$25)),IF(AE264&gt;$D$25,"boven UCL",IF(AE264&lt;$B$25,"onder LCL","")),"")</f>
        <v/>
      </c>
      <c r="AK264" s="13">
        <f>IF(AND(ISNUMBER(AG264),ISNUMBER($B$26),ISNUMBER($D$26)),IF(AG264&gt;$D$26,"boven UCL",IF(AG264&lt;$B$26,"onder LCL","")),"")</f>
        <v/>
      </c>
      <c r="AL264" s="13">
        <f>IF(AND(COUNT(B264:Z264)&gt;0,COUNT(AA264:AC264)&gt;0),"ruwe waarden én getypt: getypte genegeerd",IF(COUNTA(B264:Z264,AA264:AC264)&gt;COUNT(B264:Z264,AA264:AC264),"tekst telt niet mee",IF(COUNT(B264:Z264)=1,"1 waarde: geen R of s","")))</f>
        <v/>
      </c>
    </row>
    <row r="265">
      <c r="A265" t="n">
        <v>214</v>
      </c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28">
        <f>IF(COUNT(B265:Z265)&gt;0,COUNT(B265:Z265),IF(OR(ISNUMBER(AA265),ISNUMBER(AB265)),$B$9,""))</f>
        <v/>
      </c>
      <c r="AE265" s="29">
        <f>IF(COUNT(B265:Z265)&gt;0,AVERAGE(B265:Z265),IF(ISNUMBER(AA265),AA265,""))</f>
        <v/>
      </c>
      <c r="AF265" s="29">
        <f>IF(COUNT(B265:Z265)&gt;1,MAX(B265:Z265)-MIN(B265:Z265),IF(ISNUMBER(AB265),AB265,""))</f>
        <v/>
      </c>
      <c r="AG265" s="29">
        <f>IF(COUNT(B265:Z265)&gt;1,_xlfn.STDEV.S(B265:Z265),IF(ISNUMBER(AC265),AC265,""))</f>
        <v/>
      </c>
      <c r="AH265" s="13">
        <f>IF(AND(ISNUMBER(AE265),ISNUMBER($B$23),ISNUMBER($D$23)),IF(AE265&gt;$D$23,"boven UCL",IF(AE265&lt;$B$23,"onder LCL","")),"")</f>
        <v/>
      </c>
      <c r="AI265" s="13">
        <f>IF(AND(ISNUMBER(AF265),ISNUMBER($B$24),ISNUMBER($D$24)),IF(AF265&gt;$D$24,"boven UCL",IF(AF265&lt;$B$24,"onder LCL","")),"")</f>
        <v/>
      </c>
      <c r="AJ265" s="13">
        <f>IF(AND(ISNUMBER(AE265),ISNUMBER($B$25),ISNUMBER($D$25)),IF(AE265&gt;$D$25,"boven UCL",IF(AE265&lt;$B$25,"onder LCL","")),"")</f>
        <v/>
      </c>
      <c r="AK265" s="13">
        <f>IF(AND(ISNUMBER(AG265),ISNUMBER($B$26),ISNUMBER($D$26)),IF(AG265&gt;$D$26,"boven UCL",IF(AG265&lt;$B$26,"onder LCL","")),"")</f>
        <v/>
      </c>
      <c r="AL265" s="13">
        <f>IF(AND(COUNT(B265:Z265)&gt;0,COUNT(AA265:AC265)&gt;0),"ruwe waarden én getypt: getypte genegeerd",IF(COUNTA(B265:Z265,AA265:AC265)&gt;COUNT(B265:Z265,AA265:AC265),"tekst telt niet mee",IF(COUNT(B265:Z265)=1,"1 waarde: geen R of s","")))</f>
        <v/>
      </c>
    </row>
    <row r="266">
      <c r="A266" t="n">
        <v>215</v>
      </c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28">
        <f>IF(COUNT(B266:Z266)&gt;0,COUNT(B266:Z266),IF(OR(ISNUMBER(AA266),ISNUMBER(AB266)),$B$9,""))</f>
        <v/>
      </c>
      <c r="AE266" s="29">
        <f>IF(COUNT(B266:Z266)&gt;0,AVERAGE(B266:Z266),IF(ISNUMBER(AA266),AA266,""))</f>
        <v/>
      </c>
      <c r="AF266" s="29">
        <f>IF(COUNT(B266:Z266)&gt;1,MAX(B266:Z266)-MIN(B266:Z266),IF(ISNUMBER(AB266),AB266,""))</f>
        <v/>
      </c>
      <c r="AG266" s="29">
        <f>IF(COUNT(B266:Z266)&gt;1,_xlfn.STDEV.S(B266:Z266),IF(ISNUMBER(AC266),AC266,""))</f>
        <v/>
      </c>
      <c r="AH266" s="13">
        <f>IF(AND(ISNUMBER(AE266),ISNUMBER($B$23),ISNUMBER($D$23)),IF(AE266&gt;$D$23,"boven UCL",IF(AE266&lt;$B$23,"onder LCL","")),"")</f>
        <v/>
      </c>
      <c r="AI266" s="13">
        <f>IF(AND(ISNUMBER(AF266),ISNUMBER($B$24),ISNUMBER($D$24)),IF(AF266&gt;$D$24,"boven UCL",IF(AF266&lt;$B$24,"onder LCL","")),"")</f>
        <v/>
      </c>
      <c r="AJ266" s="13">
        <f>IF(AND(ISNUMBER(AE266),ISNUMBER($B$25),ISNUMBER($D$25)),IF(AE266&gt;$D$25,"boven UCL",IF(AE266&lt;$B$25,"onder LCL","")),"")</f>
        <v/>
      </c>
      <c r="AK266" s="13">
        <f>IF(AND(ISNUMBER(AG266),ISNUMBER($B$26),ISNUMBER($D$26)),IF(AG266&gt;$D$26,"boven UCL",IF(AG266&lt;$B$26,"onder LCL","")),"")</f>
        <v/>
      </c>
      <c r="AL266" s="13">
        <f>IF(AND(COUNT(B266:Z266)&gt;0,COUNT(AA266:AC266)&gt;0),"ruwe waarden én getypt: getypte genegeerd",IF(COUNTA(B266:Z266,AA266:AC266)&gt;COUNT(B266:Z266,AA266:AC266),"tekst telt niet mee",IF(COUNT(B266:Z266)=1,"1 waarde: geen R of s","")))</f>
        <v/>
      </c>
    </row>
    <row r="267">
      <c r="A267" t="n">
        <v>216</v>
      </c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28">
        <f>IF(COUNT(B267:Z267)&gt;0,COUNT(B267:Z267),IF(OR(ISNUMBER(AA267),ISNUMBER(AB267)),$B$9,""))</f>
        <v/>
      </c>
      <c r="AE267" s="29">
        <f>IF(COUNT(B267:Z267)&gt;0,AVERAGE(B267:Z267),IF(ISNUMBER(AA267),AA267,""))</f>
        <v/>
      </c>
      <c r="AF267" s="29">
        <f>IF(COUNT(B267:Z267)&gt;1,MAX(B267:Z267)-MIN(B267:Z267),IF(ISNUMBER(AB267),AB267,""))</f>
        <v/>
      </c>
      <c r="AG267" s="29">
        <f>IF(COUNT(B267:Z267)&gt;1,_xlfn.STDEV.S(B267:Z267),IF(ISNUMBER(AC267),AC267,""))</f>
        <v/>
      </c>
      <c r="AH267" s="13">
        <f>IF(AND(ISNUMBER(AE267),ISNUMBER($B$23),ISNUMBER($D$23)),IF(AE267&gt;$D$23,"boven UCL",IF(AE267&lt;$B$23,"onder LCL","")),"")</f>
        <v/>
      </c>
      <c r="AI267" s="13">
        <f>IF(AND(ISNUMBER(AF267),ISNUMBER($B$24),ISNUMBER($D$24)),IF(AF267&gt;$D$24,"boven UCL",IF(AF267&lt;$B$24,"onder LCL","")),"")</f>
        <v/>
      </c>
      <c r="AJ267" s="13">
        <f>IF(AND(ISNUMBER(AE267),ISNUMBER($B$25),ISNUMBER($D$25)),IF(AE267&gt;$D$25,"boven UCL",IF(AE267&lt;$B$25,"onder LCL","")),"")</f>
        <v/>
      </c>
      <c r="AK267" s="13">
        <f>IF(AND(ISNUMBER(AG267),ISNUMBER($B$26),ISNUMBER($D$26)),IF(AG267&gt;$D$26,"boven UCL",IF(AG267&lt;$B$26,"onder LCL","")),"")</f>
        <v/>
      </c>
      <c r="AL267" s="13">
        <f>IF(AND(COUNT(B267:Z267)&gt;0,COUNT(AA267:AC267)&gt;0),"ruwe waarden én getypt: getypte genegeerd",IF(COUNTA(B267:Z267,AA267:AC267)&gt;COUNT(B267:Z267,AA267:AC267),"tekst telt niet mee",IF(COUNT(B267:Z267)=1,"1 waarde: geen R of s","")))</f>
        <v/>
      </c>
    </row>
    <row r="268">
      <c r="A268" t="n">
        <v>217</v>
      </c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28">
        <f>IF(COUNT(B268:Z268)&gt;0,COUNT(B268:Z268),IF(OR(ISNUMBER(AA268),ISNUMBER(AB268)),$B$9,""))</f>
        <v/>
      </c>
      <c r="AE268" s="29">
        <f>IF(COUNT(B268:Z268)&gt;0,AVERAGE(B268:Z268),IF(ISNUMBER(AA268),AA268,""))</f>
        <v/>
      </c>
      <c r="AF268" s="29">
        <f>IF(COUNT(B268:Z268)&gt;1,MAX(B268:Z268)-MIN(B268:Z268),IF(ISNUMBER(AB268),AB268,""))</f>
        <v/>
      </c>
      <c r="AG268" s="29">
        <f>IF(COUNT(B268:Z268)&gt;1,_xlfn.STDEV.S(B268:Z268),IF(ISNUMBER(AC268),AC268,""))</f>
        <v/>
      </c>
      <c r="AH268" s="13">
        <f>IF(AND(ISNUMBER(AE268),ISNUMBER($B$23),ISNUMBER($D$23)),IF(AE268&gt;$D$23,"boven UCL",IF(AE268&lt;$B$23,"onder LCL","")),"")</f>
        <v/>
      </c>
      <c r="AI268" s="13">
        <f>IF(AND(ISNUMBER(AF268),ISNUMBER($B$24),ISNUMBER($D$24)),IF(AF268&gt;$D$24,"boven UCL",IF(AF268&lt;$B$24,"onder LCL","")),"")</f>
        <v/>
      </c>
      <c r="AJ268" s="13">
        <f>IF(AND(ISNUMBER(AE268),ISNUMBER($B$25),ISNUMBER($D$25)),IF(AE268&gt;$D$25,"boven UCL",IF(AE268&lt;$B$25,"onder LCL","")),"")</f>
        <v/>
      </c>
      <c r="AK268" s="13">
        <f>IF(AND(ISNUMBER(AG268),ISNUMBER($B$26),ISNUMBER($D$26)),IF(AG268&gt;$D$26,"boven UCL",IF(AG268&lt;$B$26,"onder LCL","")),"")</f>
        <v/>
      </c>
      <c r="AL268" s="13">
        <f>IF(AND(COUNT(B268:Z268)&gt;0,COUNT(AA268:AC268)&gt;0),"ruwe waarden én getypt: getypte genegeerd",IF(COUNTA(B268:Z268,AA268:AC268)&gt;COUNT(B268:Z268,AA268:AC268),"tekst telt niet mee",IF(COUNT(B268:Z268)=1,"1 waarde: geen R of s","")))</f>
        <v/>
      </c>
    </row>
    <row r="269">
      <c r="A269" t="n">
        <v>218</v>
      </c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28">
        <f>IF(COUNT(B269:Z269)&gt;0,COUNT(B269:Z269),IF(OR(ISNUMBER(AA269),ISNUMBER(AB269)),$B$9,""))</f>
        <v/>
      </c>
      <c r="AE269" s="29">
        <f>IF(COUNT(B269:Z269)&gt;0,AVERAGE(B269:Z269),IF(ISNUMBER(AA269),AA269,""))</f>
        <v/>
      </c>
      <c r="AF269" s="29">
        <f>IF(COUNT(B269:Z269)&gt;1,MAX(B269:Z269)-MIN(B269:Z269),IF(ISNUMBER(AB269),AB269,""))</f>
        <v/>
      </c>
      <c r="AG269" s="29">
        <f>IF(COUNT(B269:Z269)&gt;1,_xlfn.STDEV.S(B269:Z269),IF(ISNUMBER(AC269),AC269,""))</f>
        <v/>
      </c>
      <c r="AH269" s="13">
        <f>IF(AND(ISNUMBER(AE269),ISNUMBER($B$23),ISNUMBER($D$23)),IF(AE269&gt;$D$23,"boven UCL",IF(AE269&lt;$B$23,"onder LCL","")),"")</f>
        <v/>
      </c>
      <c r="AI269" s="13">
        <f>IF(AND(ISNUMBER(AF269),ISNUMBER($B$24),ISNUMBER($D$24)),IF(AF269&gt;$D$24,"boven UCL",IF(AF269&lt;$B$24,"onder LCL","")),"")</f>
        <v/>
      </c>
      <c r="AJ269" s="13">
        <f>IF(AND(ISNUMBER(AE269),ISNUMBER($B$25),ISNUMBER($D$25)),IF(AE269&gt;$D$25,"boven UCL",IF(AE269&lt;$B$25,"onder LCL","")),"")</f>
        <v/>
      </c>
      <c r="AK269" s="13">
        <f>IF(AND(ISNUMBER(AG269),ISNUMBER($B$26),ISNUMBER($D$26)),IF(AG269&gt;$D$26,"boven UCL",IF(AG269&lt;$B$26,"onder LCL","")),"")</f>
        <v/>
      </c>
      <c r="AL269" s="13">
        <f>IF(AND(COUNT(B269:Z269)&gt;0,COUNT(AA269:AC269)&gt;0),"ruwe waarden én getypt: getypte genegeerd",IF(COUNTA(B269:Z269,AA269:AC269)&gt;COUNT(B269:Z269,AA269:AC269),"tekst telt niet mee",IF(COUNT(B269:Z269)=1,"1 waarde: geen R of s","")))</f>
        <v/>
      </c>
    </row>
    <row r="270">
      <c r="A270" t="n">
        <v>219</v>
      </c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28">
        <f>IF(COUNT(B270:Z270)&gt;0,COUNT(B270:Z270),IF(OR(ISNUMBER(AA270),ISNUMBER(AB270)),$B$9,""))</f>
        <v/>
      </c>
      <c r="AE270" s="29">
        <f>IF(COUNT(B270:Z270)&gt;0,AVERAGE(B270:Z270),IF(ISNUMBER(AA270),AA270,""))</f>
        <v/>
      </c>
      <c r="AF270" s="29">
        <f>IF(COUNT(B270:Z270)&gt;1,MAX(B270:Z270)-MIN(B270:Z270),IF(ISNUMBER(AB270),AB270,""))</f>
        <v/>
      </c>
      <c r="AG270" s="29">
        <f>IF(COUNT(B270:Z270)&gt;1,_xlfn.STDEV.S(B270:Z270),IF(ISNUMBER(AC270),AC270,""))</f>
        <v/>
      </c>
      <c r="AH270" s="13">
        <f>IF(AND(ISNUMBER(AE270),ISNUMBER($B$23),ISNUMBER($D$23)),IF(AE270&gt;$D$23,"boven UCL",IF(AE270&lt;$B$23,"onder LCL","")),"")</f>
        <v/>
      </c>
      <c r="AI270" s="13">
        <f>IF(AND(ISNUMBER(AF270),ISNUMBER($B$24),ISNUMBER($D$24)),IF(AF270&gt;$D$24,"boven UCL",IF(AF270&lt;$B$24,"onder LCL","")),"")</f>
        <v/>
      </c>
      <c r="AJ270" s="13">
        <f>IF(AND(ISNUMBER(AE270),ISNUMBER($B$25),ISNUMBER($D$25)),IF(AE270&gt;$D$25,"boven UCL",IF(AE270&lt;$B$25,"onder LCL","")),"")</f>
        <v/>
      </c>
      <c r="AK270" s="13">
        <f>IF(AND(ISNUMBER(AG270),ISNUMBER($B$26),ISNUMBER($D$26)),IF(AG270&gt;$D$26,"boven UCL",IF(AG270&lt;$B$26,"onder LCL","")),"")</f>
        <v/>
      </c>
      <c r="AL270" s="13">
        <f>IF(AND(COUNT(B270:Z270)&gt;0,COUNT(AA270:AC270)&gt;0),"ruwe waarden én getypt: getypte genegeerd",IF(COUNTA(B270:Z270,AA270:AC270)&gt;COUNT(B270:Z270,AA270:AC270),"tekst telt niet mee",IF(COUNT(B270:Z270)=1,"1 waarde: geen R of s","")))</f>
        <v/>
      </c>
    </row>
    <row r="271">
      <c r="A271" t="n">
        <v>220</v>
      </c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28">
        <f>IF(COUNT(B271:Z271)&gt;0,COUNT(B271:Z271),IF(OR(ISNUMBER(AA271),ISNUMBER(AB271)),$B$9,""))</f>
        <v/>
      </c>
      <c r="AE271" s="29">
        <f>IF(COUNT(B271:Z271)&gt;0,AVERAGE(B271:Z271),IF(ISNUMBER(AA271),AA271,""))</f>
        <v/>
      </c>
      <c r="AF271" s="29">
        <f>IF(COUNT(B271:Z271)&gt;1,MAX(B271:Z271)-MIN(B271:Z271),IF(ISNUMBER(AB271),AB271,""))</f>
        <v/>
      </c>
      <c r="AG271" s="29">
        <f>IF(COUNT(B271:Z271)&gt;1,_xlfn.STDEV.S(B271:Z271),IF(ISNUMBER(AC271),AC271,""))</f>
        <v/>
      </c>
      <c r="AH271" s="13">
        <f>IF(AND(ISNUMBER(AE271),ISNUMBER($B$23),ISNUMBER($D$23)),IF(AE271&gt;$D$23,"boven UCL",IF(AE271&lt;$B$23,"onder LCL","")),"")</f>
        <v/>
      </c>
      <c r="AI271" s="13">
        <f>IF(AND(ISNUMBER(AF271),ISNUMBER($B$24),ISNUMBER($D$24)),IF(AF271&gt;$D$24,"boven UCL",IF(AF271&lt;$B$24,"onder LCL","")),"")</f>
        <v/>
      </c>
      <c r="AJ271" s="13">
        <f>IF(AND(ISNUMBER(AE271),ISNUMBER($B$25),ISNUMBER($D$25)),IF(AE271&gt;$D$25,"boven UCL",IF(AE271&lt;$B$25,"onder LCL","")),"")</f>
        <v/>
      </c>
      <c r="AK271" s="13">
        <f>IF(AND(ISNUMBER(AG271),ISNUMBER($B$26),ISNUMBER($D$26)),IF(AG271&gt;$D$26,"boven UCL",IF(AG271&lt;$B$26,"onder LCL","")),"")</f>
        <v/>
      </c>
      <c r="AL271" s="13">
        <f>IF(AND(COUNT(B271:Z271)&gt;0,COUNT(AA271:AC271)&gt;0),"ruwe waarden én getypt: getypte genegeerd",IF(COUNTA(B271:Z271,AA271:AC271)&gt;COUNT(B271:Z271,AA271:AC271),"tekst telt niet mee",IF(COUNT(B271:Z271)=1,"1 waarde: geen R of s","")))</f>
        <v/>
      </c>
    </row>
    <row r="272">
      <c r="A272" t="n">
        <v>221</v>
      </c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28">
        <f>IF(COUNT(B272:Z272)&gt;0,COUNT(B272:Z272),IF(OR(ISNUMBER(AA272),ISNUMBER(AB272)),$B$9,""))</f>
        <v/>
      </c>
      <c r="AE272" s="29">
        <f>IF(COUNT(B272:Z272)&gt;0,AVERAGE(B272:Z272),IF(ISNUMBER(AA272),AA272,""))</f>
        <v/>
      </c>
      <c r="AF272" s="29">
        <f>IF(COUNT(B272:Z272)&gt;1,MAX(B272:Z272)-MIN(B272:Z272),IF(ISNUMBER(AB272),AB272,""))</f>
        <v/>
      </c>
      <c r="AG272" s="29">
        <f>IF(COUNT(B272:Z272)&gt;1,_xlfn.STDEV.S(B272:Z272),IF(ISNUMBER(AC272),AC272,""))</f>
        <v/>
      </c>
      <c r="AH272" s="13">
        <f>IF(AND(ISNUMBER(AE272),ISNUMBER($B$23),ISNUMBER($D$23)),IF(AE272&gt;$D$23,"boven UCL",IF(AE272&lt;$B$23,"onder LCL","")),"")</f>
        <v/>
      </c>
      <c r="AI272" s="13">
        <f>IF(AND(ISNUMBER(AF272),ISNUMBER($B$24),ISNUMBER($D$24)),IF(AF272&gt;$D$24,"boven UCL",IF(AF272&lt;$B$24,"onder LCL","")),"")</f>
        <v/>
      </c>
      <c r="AJ272" s="13">
        <f>IF(AND(ISNUMBER(AE272),ISNUMBER($B$25),ISNUMBER($D$25)),IF(AE272&gt;$D$25,"boven UCL",IF(AE272&lt;$B$25,"onder LCL","")),"")</f>
        <v/>
      </c>
      <c r="AK272" s="13">
        <f>IF(AND(ISNUMBER(AG272),ISNUMBER($B$26),ISNUMBER($D$26)),IF(AG272&gt;$D$26,"boven UCL",IF(AG272&lt;$B$26,"onder LCL","")),"")</f>
        <v/>
      </c>
      <c r="AL272" s="13">
        <f>IF(AND(COUNT(B272:Z272)&gt;0,COUNT(AA272:AC272)&gt;0),"ruwe waarden én getypt: getypte genegeerd",IF(COUNTA(B272:Z272,AA272:AC272)&gt;COUNT(B272:Z272,AA272:AC272),"tekst telt niet mee",IF(COUNT(B272:Z272)=1,"1 waarde: geen R of s","")))</f>
        <v/>
      </c>
    </row>
    <row r="273">
      <c r="A273" t="n">
        <v>222</v>
      </c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28">
        <f>IF(COUNT(B273:Z273)&gt;0,COUNT(B273:Z273),IF(OR(ISNUMBER(AA273),ISNUMBER(AB273)),$B$9,""))</f>
        <v/>
      </c>
      <c r="AE273" s="29">
        <f>IF(COUNT(B273:Z273)&gt;0,AVERAGE(B273:Z273),IF(ISNUMBER(AA273),AA273,""))</f>
        <v/>
      </c>
      <c r="AF273" s="29">
        <f>IF(COUNT(B273:Z273)&gt;1,MAX(B273:Z273)-MIN(B273:Z273),IF(ISNUMBER(AB273),AB273,""))</f>
        <v/>
      </c>
      <c r="AG273" s="29">
        <f>IF(COUNT(B273:Z273)&gt;1,_xlfn.STDEV.S(B273:Z273),IF(ISNUMBER(AC273),AC273,""))</f>
        <v/>
      </c>
      <c r="AH273" s="13">
        <f>IF(AND(ISNUMBER(AE273),ISNUMBER($B$23),ISNUMBER($D$23)),IF(AE273&gt;$D$23,"boven UCL",IF(AE273&lt;$B$23,"onder LCL","")),"")</f>
        <v/>
      </c>
      <c r="AI273" s="13">
        <f>IF(AND(ISNUMBER(AF273),ISNUMBER($B$24),ISNUMBER($D$24)),IF(AF273&gt;$D$24,"boven UCL",IF(AF273&lt;$B$24,"onder LCL","")),"")</f>
        <v/>
      </c>
      <c r="AJ273" s="13">
        <f>IF(AND(ISNUMBER(AE273),ISNUMBER($B$25),ISNUMBER($D$25)),IF(AE273&gt;$D$25,"boven UCL",IF(AE273&lt;$B$25,"onder LCL","")),"")</f>
        <v/>
      </c>
      <c r="AK273" s="13">
        <f>IF(AND(ISNUMBER(AG273),ISNUMBER($B$26),ISNUMBER($D$26)),IF(AG273&gt;$D$26,"boven UCL",IF(AG273&lt;$B$26,"onder LCL","")),"")</f>
        <v/>
      </c>
      <c r="AL273" s="13">
        <f>IF(AND(COUNT(B273:Z273)&gt;0,COUNT(AA273:AC273)&gt;0),"ruwe waarden én getypt: getypte genegeerd",IF(COUNTA(B273:Z273,AA273:AC273)&gt;COUNT(B273:Z273,AA273:AC273),"tekst telt niet mee",IF(COUNT(B273:Z273)=1,"1 waarde: geen R of s","")))</f>
        <v/>
      </c>
    </row>
    <row r="274">
      <c r="A274" t="n">
        <v>223</v>
      </c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28">
        <f>IF(COUNT(B274:Z274)&gt;0,COUNT(B274:Z274),IF(OR(ISNUMBER(AA274),ISNUMBER(AB274)),$B$9,""))</f>
        <v/>
      </c>
      <c r="AE274" s="29">
        <f>IF(COUNT(B274:Z274)&gt;0,AVERAGE(B274:Z274),IF(ISNUMBER(AA274),AA274,""))</f>
        <v/>
      </c>
      <c r="AF274" s="29">
        <f>IF(COUNT(B274:Z274)&gt;1,MAX(B274:Z274)-MIN(B274:Z274),IF(ISNUMBER(AB274),AB274,""))</f>
        <v/>
      </c>
      <c r="AG274" s="29">
        <f>IF(COUNT(B274:Z274)&gt;1,_xlfn.STDEV.S(B274:Z274),IF(ISNUMBER(AC274),AC274,""))</f>
        <v/>
      </c>
      <c r="AH274" s="13">
        <f>IF(AND(ISNUMBER(AE274),ISNUMBER($B$23),ISNUMBER($D$23)),IF(AE274&gt;$D$23,"boven UCL",IF(AE274&lt;$B$23,"onder LCL","")),"")</f>
        <v/>
      </c>
      <c r="AI274" s="13">
        <f>IF(AND(ISNUMBER(AF274),ISNUMBER($B$24),ISNUMBER($D$24)),IF(AF274&gt;$D$24,"boven UCL",IF(AF274&lt;$B$24,"onder LCL","")),"")</f>
        <v/>
      </c>
      <c r="AJ274" s="13">
        <f>IF(AND(ISNUMBER(AE274),ISNUMBER($B$25),ISNUMBER($D$25)),IF(AE274&gt;$D$25,"boven UCL",IF(AE274&lt;$B$25,"onder LCL","")),"")</f>
        <v/>
      </c>
      <c r="AK274" s="13">
        <f>IF(AND(ISNUMBER(AG274),ISNUMBER($B$26),ISNUMBER($D$26)),IF(AG274&gt;$D$26,"boven UCL",IF(AG274&lt;$B$26,"onder LCL","")),"")</f>
        <v/>
      </c>
      <c r="AL274" s="13">
        <f>IF(AND(COUNT(B274:Z274)&gt;0,COUNT(AA274:AC274)&gt;0),"ruwe waarden én getypt: getypte genegeerd",IF(COUNTA(B274:Z274,AA274:AC274)&gt;COUNT(B274:Z274,AA274:AC274),"tekst telt niet mee",IF(COUNT(B274:Z274)=1,"1 waarde: geen R of s","")))</f>
        <v/>
      </c>
    </row>
    <row r="275">
      <c r="A275" t="n">
        <v>224</v>
      </c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28">
        <f>IF(COUNT(B275:Z275)&gt;0,COUNT(B275:Z275),IF(OR(ISNUMBER(AA275),ISNUMBER(AB275)),$B$9,""))</f>
        <v/>
      </c>
      <c r="AE275" s="29">
        <f>IF(COUNT(B275:Z275)&gt;0,AVERAGE(B275:Z275),IF(ISNUMBER(AA275),AA275,""))</f>
        <v/>
      </c>
      <c r="AF275" s="29">
        <f>IF(COUNT(B275:Z275)&gt;1,MAX(B275:Z275)-MIN(B275:Z275),IF(ISNUMBER(AB275),AB275,""))</f>
        <v/>
      </c>
      <c r="AG275" s="29">
        <f>IF(COUNT(B275:Z275)&gt;1,_xlfn.STDEV.S(B275:Z275),IF(ISNUMBER(AC275),AC275,""))</f>
        <v/>
      </c>
      <c r="AH275" s="13">
        <f>IF(AND(ISNUMBER(AE275),ISNUMBER($B$23),ISNUMBER($D$23)),IF(AE275&gt;$D$23,"boven UCL",IF(AE275&lt;$B$23,"onder LCL","")),"")</f>
        <v/>
      </c>
      <c r="AI275" s="13">
        <f>IF(AND(ISNUMBER(AF275),ISNUMBER($B$24),ISNUMBER($D$24)),IF(AF275&gt;$D$24,"boven UCL",IF(AF275&lt;$B$24,"onder LCL","")),"")</f>
        <v/>
      </c>
      <c r="AJ275" s="13">
        <f>IF(AND(ISNUMBER(AE275),ISNUMBER($B$25),ISNUMBER($D$25)),IF(AE275&gt;$D$25,"boven UCL",IF(AE275&lt;$B$25,"onder LCL","")),"")</f>
        <v/>
      </c>
      <c r="AK275" s="13">
        <f>IF(AND(ISNUMBER(AG275),ISNUMBER($B$26),ISNUMBER($D$26)),IF(AG275&gt;$D$26,"boven UCL",IF(AG275&lt;$B$26,"onder LCL","")),"")</f>
        <v/>
      </c>
      <c r="AL275" s="13">
        <f>IF(AND(COUNT(B275:Z275)&gt;0,COUNT(AA275:AC275)&gt;0),"ruwe waarden én getypt: getypte genegeerd",IF(COUNTA(B275:Z275,AA275:AC275)&gt;COUNT(B275:Z275,AA275:AC275),"tekst telt niet mee",IF(COUNT(B275:Z275)=1,"1 waarde: geen R of s","")))</f>
        <v/>
      </c>
    </row>
    <row r="276">
      <c r="A276" t="n">
        <v>225</v>
      </c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28">
        <f>IF(COUNT(B276:Z276)&gt;0,COUNT(B276:Z276),IF(OR(ISNUMBER(AA276),ISNUMBER(AB276)),$B$9,""))</f>
        <v/>
      </c>
      <c r="AE276" s="29">
        <f>IF(COUNT(B276:Z276)&gt;0,AVERAGE(B276:Z276),IF(ISNUMBER(AA276),AA276,""))</f>
        <v/>
      </c>
      <c r="AF276" s="29">
        <f>IF(COUNT(B276:Z276)&gt;1,MAX(B276:Z276)-MIN(B276:Z276),IF(ISNUMBER(AB276),AB276,""))</f>
        <v/>
      </c>
      <c r="AG276" s="29">
        <f>IF(COUNT(B276:Z276)&gt;1,_xlfn.STDEV.S(B276:Z276),IF(ISNUMBER(AC276),AC276,""))</f>
        <v/>
      </c>
      <c r="AH276" s="13">
        <f>IF(AND(ISNUMBER(AE276),ISNUMBER($B$23),ISNUMBER($D$23)),IF(AE276&gt;$D$23,"boven UCL",IF(AE276&lt;$B$23,"onder LCL","")),"")</f>
        <v/>
      </c>
      <c r="AI276" s="13">
        <f>IF(AND(ISNUMBER(AF276),ISNUMBER($B$24),ISNUMBER($D$24)),IF(AF276&gt;$D$24,"boven UCL",IF(AF276&lt;$B$24,"onder LCL","")),"")</f>
        <v/>
      </c>
      <c r="AJ276" s="13">
        <f>IF(AND(ISNUMBER(AE276),ISNUMBER($B$25),ISNUMBER($D$25)),IF(AE276&gt;$D$25,"boven UCL",IF(AE276&lt;$B$25,"onder LCL","")),"")</f>
        <v/>
      </c>
      <c r="AK276" s="13">
        <f>IF(AND(ISNUMBER(AG276),ISNUMBER($B$26),ISNUMBER($D$26)),IF(AG276&gt;$D$26,"boven UCL",IF(AG276&lt;$B$26,"onder LCL","")),"")</f>
        <v/>
      </c>
      <c r="AL276" s="13">
        <f>IF(AND(COUNT(B276:Z276)&gt;0,COUNT(AA276:AC276)&gt;0),"ruwe waarden én getypt: getypte genegeerd",IF(COUNTA(B276:Z276,AA276:AC276)&gt;COUNT(B276:Z276,AA276:AC276),"tekst telt niet mee",IF(COUNT(B276:Z276)=1,"1 waarde: geen R of s","")))</f>
        <v/>
      </c>
    </row>
    <row r="277">
      <c r="A277" t="n">
        <v>226</v>
      </c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28">
        <f>IF(COUNT(B277:Z277)&gt;0,COUNT(B277:Z277),IF(OR(ISNUMBER(AA277),ISNUMBER(AB277)),$B$9,""))</f>
        <v/>
      </c>
      <c r="AE277" s="29">
        <f>IF(COUNT(B277:Z277)&gt;0,AVERAGE(B277:Z277),IF(ISNUMBER(AA277),AA277,""))</f>
        <v/>
      </c>
      <c r="AF277" s="29">
        <f>IF(COUNT(B277:Z277)&gt;1,MAX(B277:Z277)-MIN(B277:Z277),IF(ISNUMBER(AB277),AB277,""))</f>
        <v/>
      </c>
      <c r="AG277" s="29">
        <f>IF(COUNT(B277:Z277)&gt;1,_xlfn.STDEV.S(B277:Z277),IF(ISNUMBER(AC277),AC277,""))</f>
        <v/>
      </c>
      <c r="AH277" s="13">
        <f>IF(AND(ISNUMBER(AE277),ISNUMBER($B$23),ISNUMBER($D$23)),IF(AE277&gt;$D$23,"boven UCL",IF(AE277&lt;$B$23,"onder LCL","")),"")</f>
        <v/>
      </c>
      <c r="AI277" s="13">
        <f>IF(AND(ISNUMBER(AF277),ISNUMBER($B$24),ISNUMBER($D$24)),IF(AF277&gt;$D$24,"boven UCL",IF(AF277&lt;$B$24,"onder LCL","")),"")</f>
        <v/>
      </c>
      <c r="AJ277" s="13">
        <f>IF(AND(ISNUMBER(AE277),ISNUMBER($B$25),ISNUMBER($D$25)),IF(AE277&gt;$D$25,"boven UCL",IF(AE277&lt;$B$25,"onder LCL","")),"")</f>
        <v/>
      </c>
      <c r="AK277" s="13">
        <f>IF(AND(ISNUMBER(AG277),ISNUMBER($B$26),ISNUMBER($D$26)),IF(AG277&gt;$D$26,"boven UCL",IF(AG277&lt;$B$26,"onder LCL","")),"")</f>
        <v/>
      </c>
      <c r="AL277" s="13">
        <f>IF(AND(COUNT(B277:Z277)&gt;0,COUNT(AA277:AC277)&gt;0),"ruwe waarden én getypt: getypte genegeerd",IF(COUNTA(B277:Z277,AA277:AC277)&gt;COUNT(B277:Z277,AA277:AC277),"tekst telt niet mee",IF(COUNT(B277:Z277)=1,"1 waarde: geen R of s","")))</f>
        <v/>
      </c>
    </row>
    <row r="278">
      <c r="A278" t="n">
        <v>227</v>
      </c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28">
        <f>IF(COUNT(B278:Z278)&gt;0,COUNT(B278:Z278),IF(OR(ISNUMBER(AA278),ISNUMBER(AB278)),$B$9,""))</f>
        <v/>
      </c>
      <c r="AE278" s="29">
        <f>IF(COUNT(B278:Z278)&gt;0,AVERAGE(B278:Z278),IF(ISNUMBER(AA278),AA278,""))</f>
        <v/>
      </c>
      <c r="AF278" s="29">
        <f>IF(COUNT(B278:Z278)&gt;1,MAX(B278:Z278)-MIN(B278:Z278),IF(ISNUMBER(AB278),AB278,""))</f>
        <v/>
      </c>
      <c r="AG278" s="29">
        <f>IF(COUNT(B278:Z278)&gt;1,_xlfn.STDEV.S(B278:Z278),IF(ISNUMBER(AC278),AC278,""))</f>
        <v/>
      </c>
      <c r="AH278" s="13">
        <f>IF(AND(ISNUMBER(AE278),ISNUMBER($B$23),ISNUMBER($D$23)),IF(AE278&gt;$D$23,"boven UCL",IF(AE278&lt;$B$23,"onder LCL","")),"")</f>
        <v/>
      </c>
      <c r="AI278" s="13">
        <f>IF(AND(ISNUMBER(AF278),ISNUMBER($B$24),ISNUMBER($D$24)),IF(AF278&gt;$D$24,"boven UCL",IF(AF278&lt;$B$24,"onder LCL","")),"")</f>
        <v/>
      </c>
      <c r="AJ278" s="13">
        <f>IF(AND(ISNUMBER(AE278),ISNUMBER($B$25),ISNUMBER($D$25)),IF(AE278&gt;$D$25,"boven UCL",IF(AE278&lt;$B$25,"onder LCL","")),"")</f>
        <v/>
      </c>
      <c r="AK278" s="13">
        <f>IF(AND(ISNUMBER(AG278),ISNUMBER($B$26),ISNUMBER($D$26)),IF(AG278&gt;$D$26,"boven UCL",IF(AG278&lt;$B$26,"onder LCL","")),"")</f>
        <v/>
      </c>
      <c r="AL278" s="13">
        <f>IF(AND(COUNT(B278:Z278)&gt;0,COUNT(AA278:AC278)&gt;0),"ruwe waarden én getypt: getypte genegeerd",IF(COUNTA(B278:Z278,AA278:AC278)&gt;COUNT(B278:Z278,AA278:AC278),"tekst telt niet mee",IF(COUNT(B278:Z278)=1,"1 waarde: geen R of s","")))</f>
        <v/>
      </c>
    </row>
    <row r="279">
      <c r="A279" t="n">
        <v>228</v>
      </c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28">
        <f>IF(COUNT(B279:Z279)&gt;0,COUNT(B279:Z279),IF(OR(ISNUMBER(AA279),ISNUMBER(AB279)),$B$9,""))</f>
        <v/>
      </c>
      <c r="AE279" s="29">
        <f>IF(COUNT(B279:Z279)&gt;0,AVERAGE(B279:Z279),IF(ISNUMBER(AA279),AA279,""))</f>
        <v/>
      </c>
      <c r="AF279" s="29">
        <f>IF(COUNT(B279:Z279)&gt;1,MAX(B279:Z279)-MIN(B279:Z279),IF(ISNUMBER(AB279),AB279,""))</f>
        <v/>
      </c>
      <c r="AG279" s="29">
        <f>IF(COUNT(B279:Z279)&gt;1,_xlfn.STDEV.S(B279:Z279),IF(ISNUMBER(AC279),AC279,""))</f>
        <v/>
      </c>
      <c r="AH279" s="13">
        <f>IF(AND(ISNUMBER(AE279),ISNUMBER($B$23),ISNUMBER($D$23)),IF(AE279&gt;$D$23,"boven UCL",IF(AE279&lt;$B$23,"onder LCL","")),"")</f>
        <v/>
      </c>
      <c r="AI279" s="13">
        <f>IF(AND(ISNUMBER(AF279),ISNUMBER($B$24),ISNUMBER($D$24)),IF(AF279&gt;$D$24,"boven UCL",IF(AF279&lt;$B$24,"onder LCL","")),"")</f>
        <v/>
      </c>
      <c r="AJ279" s="13">
        <f>IF(AND(ISNUMBER(AE279),ISNUMBER($B$25),ISNUMBER($D$25)),IF(AE279&gt;$D$25,"boven UCL",IF(AE279&lt;$B$25,"onder LCL","")),"")</f>
        <v/>
      </c>
      <c r="AK279" s="13">
        <f>IF(AND(ISNUMBER(AG279),ISNUMBER($B$26),ISNUMBER($D$26)),IF(AG279&gt;$D$26,"boven UCL",IF(AG279&lt;$B$26,"onder LCL","")),"")</f>
        <v/>
      </c>
      <c r="AL279" s="13">
        <f>IF(AND(COUNT(B279:Z279)&gt;0,COUNT(AA279:AC279)&gt;0),"ruwe waarden én getypt: getypte genegeerd",IF(COUNTA(B279:Z279,AA279:AC279)&gt;COUNT(B279:Z279,AA279:AC279),"tekst telt niet mee",IF(COUNT(B279:Z279)=1,"1 waarde: geen R of s","")))</f>
        <v/>
      </c>
    </row>
    <row r="280">
      <c r="A280" t="n">
        <v>229</v>
      </c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28">
        <f>IF(COUNT(B280:Z280)&gt;0,COUNT(B280:Z280),IF(OR(ISNUMBER(AA280),ISNUMBER(AB280)),$B$9,""))</f>
        <v/>
      </c>
      <c r="AE280" s="29">
        <f>IF(COUNT(B280:Z280)&gt;0,AVERAGE(B280:Z280),IF(ISNUMBER(AA280),AA280,""))</f>
        <v/>
      </c>
      <c r="AF280" s="29">
        <f>IF(COUNT(B280:Z280)&gt;1,MAX(B280:Z280)-MIN(B280:Z280),IF(ISNUMBER(AB280),AB280,""))</f>
        <v/>
      </c>
      <c r="AG280" s="29">
        <f>IF(COUNT(B280:Z280)&gt;1,_xlfn.STDEV.S(B280:Z280),IF(ISNUMBER(AC280),AC280,""))</f>
        <v/>
      </c>
      <c r="AH280" s="13">
        <f>IF(AND(ISNUMBER(AE280),ISNUMBER($B$23),ISNUMBER($D$23)),IF(AE280&gt;$D$23,"boven UCL",IF(AE280&lt;$B$23,"onder LCL","")),"")</f>
        <v/>
      </c>
      <c r="AI280" s="13">
        <f>IF(AND(ISNUMBER(AF280),ISNUMBER($B$24),ISNUMBER($D$24)),IF(AF280&gt;$D$24,"boven UCL",IF(AF280&lt;$B$24,"onder LCL","")),"")</f>
        <v/>
      </c>
      <c r="AJ280" s="13">
        <f>IF(AND(ISNUMBER(AE280),ISNUMBER($B$25),ISNUMBER($D$25)),IF(AE280&gt;$D$25,"boven UCL",IF(AE280&lt;$B$25,"onder LCL","")),"")</f>
        <v/>
      </c>
      <c r="AK280" s="13">
        <f>IF(AND(ISNUMBER(AG280),ISNUMBER($B$26),ISNUMBER($D$26)),IF(AG280&gt;$D$26,"boven UCL",IF(AG280&lt;$B$26,"onder LCL","")),"")</f>
        <v/>
      </c>
      <c r="AL280" s="13">
        <f>IF(AND(COUNT(B280:Z280)&gt;0,COUNT(AA280:AC280)&gt;0),"ruwe waarden én getypt: getypte genegeerd",IF(COUNTA(B280:Z280,AA280:AC280)&gt;COUNT(B280:Z280,AA280:AC280),"tekst telt niet mee",IF(COUNT(B280:Z280)=1,"1 waarde: geen R of s","")))</f>
        <v/>
      </c>
    </row>
    <row r="281">
      <c r="A281" t="n">
        <v>230</v>
      </c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28">
        <f>IF(COUNT(B281:Z281)&gt;0,COUNT(B281:Z281),IF(OR(ISNUMBER(AA281),ISNUMBER(AB281)),$B$9,""))</f>
        <v/>
      </c>
      <c r="AE281" s="29">
        <f>IF(COUNT(B281:Z281)&gt;0,AVERAGE(B281:Z281),IF(ISNUMBER(AA281),AA281,""))</f>
        <v/>
      </c>
      <c r="AF281" s="29">
        <f>IF(COUNT(B281:Z281)&gt;1,MAX(B281:Z281)-MIN(B281:Z281),IF(ISNUMBER(AB281),AB281,""))</f>
        <v/>
      </c>
      <c r="AG281" s="29">
        <f>IF(COUNT(B281:Z281)&gt;1,_xlfn.STDEV.S(B281:Z281),IF(ISNUMBER(AC281),AC281,""))</f>
        <v/>
      </c>
      <c r="AH281" s="13">
        <f>IF(AND(ISNUMBER(AE281),ISNUMBER($B$23),ISNUMBER($D$23)),IF(AE281&gt;$D$23,"boven UCL",IF(AE281&lt;$B$23,"onder LCL","")),"")</f>
        <v/>
      </c>
      <c r="AI281" s="13">
        <f>IF(AND(ISNUMBER(AF281),ISNUMBER($B$24),ISNUMBER($D$24)),IF(AF281&gt;$D$24,"boven UCL",IF(AF281&lt;$B$24,"onder LCL","")),"")</f>
        <v/>
      </c>
      <c r="AJ281" s="13">
        <f>IF(AND(ISNUMBER(AE281),ISNUMBER($B$25),ISNUMBER($D$25)),IF(AE281&gt;$D$25,"boven UCL",IF(AE281&lt;$B$25,"onder LCL","")),"")</f>
        <v/>
      </c>
      <c r="AK281" s="13">
        <f>IF(AND(ISNUMBER(AG281),ISNUMBER($B$26),ISNUMBER($D$26)),IF(AG281&gt;$D$26,"boven UCL",IF(AG281&lt;$B$26,"onder LCL","")),"")</f>
        <v/>
      </c>
      <c r="AL281" s="13">
        <f>IF(AND(COUNT(B281:Z281)&gt;0,COUNT(AA281:AC281)&gt;0),"ruwe waarden én getypt: getypte genegeerd",IF(COUNTA(B281:Z281,AA281:AC281)&gt;COUNT(B281:Z281,AA281:AC281),"tekst telt niet mee",IF(COUNT(B281:Z281)=1,"1 waarde: geen R of s","")))</f>
        <v/>
      </c>
    </row>
    <row r="282">
      <c r="A282" t="n">
        <v>231</v>
      </c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28">
        <f>IF(COUNT(B282:Z282)&gt;0,COUNT(B282:Z282),IF(OR(ISNUMBER(AA282),ISNUMBER(AB282)),$B$9,""))</f>
        <v/>
      </c>
      <c r="AE282" s="29">
        <f>IF(COUNT(B282:Z282)&gt;0,AVERAGE(B282:Z282),IF(ISNUMBER(AA282),AA282,""))</f>
        <v/>
      </c>
      <c r="AF282" s="29">
        <f>IF(COUNT(B282:Z282)&gt;1,MAX(B282:Z282)-MIN(B282:Z282),IF(ISNUMBER(AB282),AB282,""))</f>
        <v/>
      </c>
      <c r="AG282" s="29">
        <f>IF(COUNT(B282:Z282)&gt;1,_xlfn.STDEV.S(B282:Z282),IF(ISNUMBER(AC282),AC282,""))</f>
        <v/>
      </c>
      <c r="AH282" s="13">
        <f>IF(AND(ISNUMBER(AE282),ISNUMBER($B$23),ISNUMBER($D$23)),IF(AE282&gt;$D$23,"boven UCL",IF(AE282&lt;$B$23,"onder LCL","")),"")</f>
        <v/>
      </c>
      <c r="AI282" s="13">
        <f>IF(AND(ISNUMBER(AF282),ISNUMBER($B$24),ISNUMBER($D$24)),IF(AF282&gt;$D$24,"boven UCL",IF(AF282&lt;$B$24,"onder LCL","")),"")</f>
        <v/>
      </c>
      <c r="AJ282" s="13">
        <f>IF(AND(ISNUMBER(AE282),ISNUMBER($B$25),ISNUMBER($D$25)),IF(AE282&gt;$D$25,"boven UCL",IF(AE282&lt;$B$25,"onder LCL","")),"")</f>
        <v/>
      </c>
      <c r="AK282" s="13">
        <f>IF(AND(ISNUMBER(AG282),ISNUMBER($B$26),ISNUMBER($D$26)),IF(AG282&gt;$D$26,"boven UCL",IF(AG282&lt;$B$26,"onder LCL","")),"")</f>
        <v/>
      </c>
      <c r="AL282" s="13">
        <f>IF(AND(COUNT(B282:Z282)&gt;0,COUNT(AA282:AC282)&gt;0),"ruwe waarden én getypt: getypte genegeerd",IF(COUNTA(B282:Z282,AA282:AC282)&gt;COUNT(B282:Z282,AA282:AC282),"tekst telt niet mee",IF(COUNT(B282:Z282)=1,"1 waarde: geen R of s","")))</f>
        <v/>
      </c>
    </row>
    <row r="283">
      <c r="A283" t="n">
        <v>232</v>
      </c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28">
        <f>IF(COUNT(B283:Z283)&gt;0,COUNT(B283:Z283),IF(OR(ISNUMBER(AA283),ISNUMBER(AB283)),$B$9,""))</f>
        <v/>
      </c>
      <c r="AE283" s="29">
        <f>IF(COUNT(B283:Z283)&gt;0,AVERAGE(B283:Z283),IF(ISNUMBER(AA283),AA283,""))</f>
        <v/>
      </c>
      <c r="AF283" s="29">
        <f>IF(COUNT(B283:Z283)&gt;1,MAX(B283:Z283)-MIN(B283:Z283),IF(ISNUMBER(AB283),AB283,""))</f>
        <v/>
      </c>
      <c r="AG283" s="29">
        <f>IF(COUNT(B283:Z283)&gt;1,_xlfn.STDEV.S(B283:Z283),IF(ISNUMBER(AC283),AC283,""))</f>
        <v/>
      </c>
      <c r="AH283" s="13">
        <f>IF(AND(ISNUMBER(AE283),ISNUMBER($B$23),ISNUMBER($D$23)),IF(AE283&gt;$D$23,"boven UCL",IF(AE283&lt;$B$23,"onder LCL","")),"")</f>
        <v/>
      </c>
      <c r="AI283" s="13">
        <f>IF(AND(ISNUMBER(AF283),ISNUMBER($B$24),ISNUMBER($D$24)),IF(AF283&gt;$D$24,"boven UCL",IF(AF283&lt;$B$24,"onder LCL","")),"")</f>
        <v/>
      </c>
      <c r="AJ283" s="13">
        <f>IF(AND(ISNUMBER(AE283),ISNUMBER($B$25),ISNUMBER($D$25)),IF(AE283&gt;$D$25,"boven UCL",IF(AE283&lt;$B$25,"onder LCL","")),"")</f>
        <v/>
      </c>
      <c r="AK283" s="13">
        <f>IF(AND(ISNUMBER(AG283),ISNUMBER($B$26),ISNUMBER($D$26)),IF(AG283&gt;$D$26,"boven UCL",IF(AG283&lt;$B$26,"onder LCL","")),"")</f>
        <v/>
      </c>
      <c r="AL283" s="13">
        <f>IF(AND(COUNT(B283:Z283)&gt;0,COUNT(AA283:AC283)&gt;0),"ruwe waarden én getypt: getypte genegeerd",IF(COUNTA(B283:Z283,AA283:AC283)&gt;COUNT(B283:Z283,AA283:AC283),"tekst telt niet mee",IF(COUNT(B283:Z283)=1,"1 waarde: geen R of s","")))</f>
        <v/>
      </c>
    </row>
    <row r="284">
      <c r="A284" t="n">
        <v>233</v>
      </c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28">
        <f>IF(COUNT(B284:Z284)&gt;0,COUNT(B284:Z284),IF(OR(ISNUMBER(AA284),ISNUMBER(AB284)),$B$9,""))</f>
        <v/>
      </c>
      <c r="AE284" s="29">
        <f>IF(COUNT(B284:Z284)&gt;0,AVERAGE(B284:Z284),IF(ISNUMBER(AA284),AA284,""))</f>
        <v/>
      </c>
      <c r="AF284" s="29">
        <f>IF(COUNT(B284:Z284)&gt;1,MAX(B284:Z284)-MIN(B284:Z284),IF(ISNUMBER(AB284),AB284,""))</f>
        <v/>
      </c>
      <c r="AG284" s="29">
        <f>IF(COUNT(B284:Z284)&gt;1,_xlfn.STDEV.S(B284:Z284),IF(ISNUMBER(AC284),AC284,""))</f>
        <v/>
      </c>
      <c r="AH284" s="13">
        <f>IF(AND(ISNUMBER(AE284),ISNUMBER($B$23),ISNUMBER($D$23)),IF(AE284&gt;$D$23,"boven UCL",IF(AE284&lt;$B$23,"onder LCL","")),"")</f>
        <v/>
      </c>
      <c r="AI284" s="13">
        <f>IF(AND(ISNUMBER(AF284),ISNUMBER($B$24),ISNUMBER($D$24)),IF(AF284&gt;$D$24,"boven UCL",IF(AF284&lt;$B$24,"onder LCL","")),"")</f>
        <v/>
      </c>
      <c r="AJ284" s="13">
        <f>IF(AND(ISNUMBER(AE284),ISNUMBER($B$25),ISNUMBER($D$25)),IF(AE284&gt;$D$25,"boven UCL",IF(AE284&lt;$B$25,"onder LCL","")),"")</f>
        <v/>
      </c>
      <c r="AK284" s="13">
        <f>IF(AND(ISNUMBER(AG284),ISNUMBER($B$26),ISNUMBER($D$26)),IF(AG284&gt;$D$26,"boven UCL",IF(AG284&lt;$B$26,"onder LCL","")),"")</f>
        <v/>
      </c>
      <c r="AL284" s="13">
        <f>IF(AND(COUNT(B284:Z284)&gt;0,COUNT(AA284:AC284)&gt;0),"ruwe waarden én getypt: getypte genegeerd",IF(COUNTA(B284:Z284,AA284:AC284)&gt;COUNT(B284:Z284,AA284:AC284),"tekst telt niet mee",IF(COUNT(B284:Z284)=1,"1 waarde: geen R of s","")))</f>
        <v/>
      </c>
    </row>
    <row r="285">
      <c r="A285" t="n">
        <v>234</v>
      </c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28">
        <f>IF(COUNT(B285:Z285)&gt;0,COUNT(B285:Z285),IF(OR(ISNUMBER(AA285),ISNUMBER(AB285)),$B$9,""))</f>
        <v/>
      </c>
      <c r="AE285" s="29">
        <f>IF(COUNT(B285:Z285)&gt;0,AVERAGE(B285:Z285),IF(ISNUMBER(AA285),AA285,""))</f>
        <v/>
      </c>
      <c r="AF285" s="29">
        <f>IF(COUNT(B285:Z285)&gt;1,MAX(B285:Z285)-MIN(B285:Z285),IF(ISNUMBER(AB285),AB285,""))</f>
        <v/>
      </c>
      <c r="AG285" s="29">
        <f>IF(COUNT(B285:Z285)&gt;1,_xlfn.STDEV.S(B285:Z285),IF(ISNUMBER(AC285),AC285,""))</f>
        <v/>
      </c>
      <c r="AH285" s="13">
        <f>IF(AND(ISNUMBER(AE285),ISNUMBER($B$23),ISNUMBER($D$23)),IF(AE285&gt;$D$23,"boven UCL",IF(AE285&lt;$B$23,"onder LCL","")),"")</f>
        <v/>
      </c>
      <c r="AI285" s="13">
        <f>IF(AND(ISNUMBER(AF285),ISNUMBER($B$24),ISNUMBER($D$24)),IF(AF285&gt;$D$24,"boven UCL",IF(AF285&lt;$B$24,"onder LCL","")),"")</f>
        <v/>
      </c>
      <c r="AJ285" s="13">
        <f>IF(AND(ISNUMBER(AE285),ISNUMBER($B$25),ISNUMBER($D$25)),IF(AE285&gt;$D$25,"boven UCL",IF(AE285&lt;$B$25,"onder LCL","")),"")</f>
        <v/>
      </c>
      <c r="AK285" s="13">
        <f>IF(AND(ISNUMBER(AG285),ISNUMBER($B$26),ISNUMBER($D$26)),IF(AG285&gt;$D$26,"boven UCL",IF(AG285&lt;$B$26,"onder LCL","")),"")</f>
        <v/>
      </c>
      <c r="AL285" s="13">
        <f>IF(AND(COUNT(B285:Z285)&gt;0,COUNT(AA285:AC285)&gt;0),"ruwe waarden én getypt: getypte genegeerd",IF(COUNTA(B285:Z285,AA285:AC285)&gt;COUNT(B285:Z285,AA285:AC285),"tekst telt niet mee",IF(COUNT(B285:Z285)=1,"1 waarde: geen R of s","")))</f>
        <v/>
      </c>
    </row>
    <row r="286">
      <c r="A286" t="n">
        <v>235</v>
      </c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28">
        <f>IF(COUNT(B286:Z286)&gt;0,COUNT(B286:Z286),IF(OR(ISNUMBER(AA286),ISNUMBER(AB286)),$B$9,""))</f>
        <v/>
      </c>
      <c r="AE286" s="29">
        <f>IF(COUNT(B286:Z286)&gt;0,AVERAGE(B286:Z286),IF(ISNUMBER(AA286),AA286,""))</f>
        <v/>
      </c>
      <c r="AF286" s="29">
        <f>IF(COUNT(B286:Z286)&gt;1,MAX(B286:Z286)-MIN(B286:Z286),IF(ISNUMBER(AB286),AB286,""))</f>
        <v/>
      </c>
      <c r="AG286" s="29">
        <f>IF(COUNT(B286:Z286)&gt;1,_xlfn.STDEV.S(B286:Z286),IF(ISNUMBER(AC286),AC286,""))</f>
        <v/>
      </c>
      <c r="AH286" s="13">
        <f>IF(AND(ISNUMBER(AE286),ISNUMBER($B$23),ISNUMBER($D$23)),IF(AE286&gt;$D$23,"boven UCL",IF(AE286&lt;$B$23,"onder LCL","")),"")</f>
        <v/>
      </c>
      <c r="AI286" s="13">
        <f>IF(AND(ISNUMBER(AF286),ISNUMBER($B$24),ISNUMBER($D$24)),IF(AF286&gt;$D$24,"boven UCL",IF(AF286&lt;$B$24,"onder LCL","")),"")</f>
        <v/>
      </c>
      <c r="AJ286" s="13">
        <f>IF(AND(ISNUMBER(AE286),ISNUMBER($B$25),ISNUMBER($D$25)),IF(AE286&gt;$D$25,"boven UCL",IF(AE286&lt;$B$25,"onder LCL","")),"")</f>
        <v/>
      </c>
      <c r="AK286" s="13">
        <f>IF(AND(ISNUMBER(AG286),ISNUMBER($B$26),ISNUMBER($D$26)),IF(AG286&gt;$D$26,"boven UCL",IF(AG286&lt;$B$26,"onder LCL","")),"")</f>
        <v/>
      </c>
      <c r="AL286" s="13">
        <f>IF(AND(COUNT(B286:Z286)&gt;0,COUNT(AA286:AC286)&gt;0),"ruwe waarden én getypt: getypte genegeerd",IF(COUNTA(B286:Z286,AA286:AC286)&gt;COUNT(B286:Z286,AA286:AC286),"tekst telt niet mee",IF(COUNT(B286:Z286)=1,"1 waarde: geen R of s","")))</f>
        <v/>
      </c>
    </row>
    <row r="287">
      <c r="A287" t="n">
        <v>236</v>
      </c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28">
        <f>IF(COUNT(B287:Z287)&gt;0,COUNT(B287:Z287),IF(OR(ISNUMBER(AA287),ISNUMBER(AB287)),$B$9,""))</f>
        <v/>
      </c>
      <c r="AE287" s="29">
        <f>IF(COUNT(B287:Z287)&gt;0,AVERAGE(B287:Z287),IF(ISNUMBER(AA287),AA287,""))</f>
        <v/>
      </c>
      <c r="AF287" s="29">
        <f>IF(COUNT(B287:Z287)&gt;1,MAX(B287:Z287)-MIN(B287:Z287),IF(ISNUMBER(AB287),AB287,""))</f>
        <v/>
      </c>
      <c r="AG287" s="29">
        <f>IF(COUNT(B287:Z287)&gt;1,_xlfn.STDEV.S(B287:Z287),IF(ISNUMBER(AC287),AC287,""))</f>
        <v/>
      </c>
      <c r="AH287" s="13">
        <f>IF(AND(ISNUMBER(AE287),ISNUMBER($B$23),ISNUMBER($D$23)),IF(AE287&gt;$D$23,"boven UCL",IF(AE287&lt;$B$23,"onder LCL","")),"")</f>
        <v/>
      </c>
      <c r="AI287" s="13">
        <f>IF(AND(ISNUMBER(AF287),ISNUMBER($B$24),ISNUMBER($D$24)),IF(AF287&gt;$D$24,"boven UCL",IF(AF287&lt;$B$24,"onder LCL","")),"")</f>
        <v/>
      </c>
      <c r="AJ287" s="13">
        <f>IF(AND(ISNUMBER(AE287),ISNUMBER($B$25),ISNUMBER($D$25)),IF(AE287&gt;$D$25,"boven UCL",IF(AE287&lt;$B$25,"onder LCL","")),"")</f>
        <v/>
      </c>
      <c r="AK287" s="13">
        <f>IF(AND(ISNUMBER(AG287),ISNUMBER($B$26),ISNUMBER($D$26)),IF(AG287&gt;$D$26,"boven UCL",IF(AG287&lt;$B$26,"onder LCL","")),"")</f>
        <v/>
      </c>
      <c r="AL287" s="13">
        <f>IF(AND(COUNT(B287:Z287)&gt;0,COUNT(AA287:AC287)&gt;0),"ruwe waarden én getypt: getypte genegeerd",IF(COUNTA(B287:Z287,AA287:AC287)&gt;COUNT(B287:Z287,AA287:AC287),"tekst telt niet mee",IF(COUNT(B287:Z287)=1,"1 waarde: geen R of s","")))</f>
        <v/>
      </c>
    </row>
    <row r="288">
      <c r="A288" t="n">
        <v>237</v>
      </c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28">
        <f>IF(COUNT(B288:Z288)&gt;0,COUNT(B288:Z288),IF(OR(ISNUMBER(AA288),ISNUMBER(AB288)),$B$9,""))</f>
        <v/>
      </c>
      <c r="AE288" s="29">
        <f>IF(COUNT(B288:Z288)&gt;0,AVERAGE(B288:Z288),IF(ISNUMBER(AA288),AA288,""))</f>
        <v/>
      </c>
      <c r="AF288" s="29">
        <f>IF(COUNT(B288:Z288)&gt;1,MAX(B288:Z288)-MIN(B288:Z288),IF(ISNUMBER(AB288),AB288,""))</f>
        <v/>
      </c>
      <c r="AG288" s="29">
        <f>IF(COUNT(B288:Z288)&gt;1,_xlfn.STDEV.S(B288:Z288),IF(ISNUMBER(AC288),AC288,""))</f>
        <v/>
      </c>
      <c r="AH288" s="13">
        <f>IF(AND(ISNUMBER(AE288),ISNUMBER($B$23),ISNUMBER($D$23)),IF(AE288&gt;$D$23,"boven UCL",IF(AE288&lt;$B$23,"onder LCL","")),"")</f>
        <v/>
      </c>
      <c r="AI288" s="13">
        <f>IF(AND(ISNUMBER(AF288),ISNUMBER($B$24),ISNUMBER($D$24)),IF(AF288&gt;$D$24,"boven UCL",IF(AF288&lt;$B$24,"onder LCL","")),"")</f>
        <v/>
      </c>
      <c r="AJ288" s="13">
        <f>IF(AND(ISNUMBER(AE288),ISNUMBER($B$25),ISNUMBER($D$25)),IF(AE288&gt;$D$25,"boven UCL",IF(AE288&lt;$B$25,"onder LCL","")),"")</f>
        <v/>
      </c>
      <c r="AK288" s="13">
        <f>IF(AND(ISNUMBER(AG288),ISNUMBER($B$26),ISNUMBER($D$26)),IF(AG288&gt;$D$26,"boven UCL",IF(AG288&lt;$B$26,"onder LCL","")),"")</f>
        <v/>
      </c>
      <c r="AL288" s="13">
        <f>IF(AND(COUNT(B288:Z288)&gt;0,COUNT(AA288:AC288)&gt;0),"ruwe waarden én getypt: getypte genegeerd",IF(COUNTA(B288:Z288,AA288:AC288)&gt;COUNT(B288:Z288,AA288:AC288),"tekst telt niet mee",IF(COUNT(B288:Z288)=1,"1 waarde: geen R of s","")))</f>
        <v/>
      </c>
    </row>
    <row r="289">
      <c r="A289" t="n">
        <v>238</v>
      </c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28">
        <f>IF(COUNT(B289:Z289)&gt;0,COUNT(B289:Z289),IF(OR(ISNUMBER(AA289),ISNUMBER(AB289)),$B$9,""))</f>
        <v/>
      </c>
      <c r="AE289" s="29">
        <f>IF(COUNT(B289:Z289)&gt;0,AVERAGE(B289:Z289),IF(ISNUMBER(AA289),AA289,""))</f>
        <v/>
      </c>
      <c r="AF289" s="29">
        <f>IF(COUNT(B289:Z289)&gt;1,MAX(B289:Z289)-MIN(B289:Z289),IF(ISNUMBER(AB289),AB289,""))</f>
        <v/>
      </c>
      <c r="AG289" s="29">
        <f>IF(COUNT(B289:Z289)&gt;1,_xlfn.STDEV.S(B289:Z289),IF(ISNUMBER(AC289),AC289,""))</f>
        <v/>
      </c>
      <c r="AH289" s="13">
        <f>IF(AND(ISNUMBER(AE289),ISNUMBER($B$23),ISNUMBER($D$23)),IF(AE289&gt;$D$23,"boven UCL",IF(AE289&lt;$B$23,"onder LCL","")),"")</f>
        <v/>
      </c>
      <c r="AI289" s="13">
        <f>IF(AND(ISNUMBER(AF289),ISNUMBER($B$24),ISNUMBER($D$24)),IF(AF289&gt;$D$24,"boven UCL",IF(AF289&lt;$B$24,"onder LCL","")),"")</f>
        <v/>
      </c>
      <c r="AJ289" s="13">
        <f>IF(AND(ISNUMBER(AE289),ISNUMBER($B$25),ISNUMBER($D$25)),IF(AE289&gt;$D$25,"boven UCL",IF(AE289&lt;$B$25,"onder LCL","")),"")</f>
        <v/>
      </c>
      <c r="AK289" s="13">
        <f>IF(AND(ISNUMBER(AG289),ISNUMBER($B$26),ISNUMBER($D$26)),IF(AG289&gt;$D$26,"boven UCL",IF(AG289&lt;$B$26,"onder LCL","")),"")</f>
        <v/>
      </c>
      <c r="AL289" s="13">
        <f>IF(AND(COUNT(B289:Z289)&gt;0,COUNT(AA289:AC289)&gt;0),"ruwe waarden én getypt: getypte genegeerd",IF(COUNTA(B289:Z289,AA289:AC289)&gt;COUNT(B289:Z289,AA289:AC289),"tekst telt niet mee",IF(COUNT(B289:Z289)=1,"1 waarde: geen R of s","")))</f>
        <v/>
      </c>
    </row>
    <row r="290">
      <c r="A290" t="n">
        <v>239</v>
      </c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28">
        <f>IF(COUNT(B290:Z290)&gt;0,COUNT(B290:Z290),IF(OR(ISNUMBER(AA290),ISNUMBER(AB290)),$B$9,""))</f>
        <v/>
      </c>
      <c r="AE290" s="29">
        <f>IF(COUNT(B290:Z290)&gt;0,AVERAGE(B290:Z290),IF(ISNUMBER(AA290),AA290,""))</f>
        <v/>
      </c>
      <c r="AF290" s="29">
        <f>IF(COUNT(B290:Z290)&gt;1,MAX(B290:Z290)-MIN(B290:Z290),IF(ISNUMBER(AB290),AB290,""))</f>
        <v/>
      </c>
      <c r="AG290" s="29">
        <f>IF(COUNT(B290:Z290)&gt;1,_xlfn.STDEV.S(B290:Z290),IF(ISNUMBER(AC290),AC290,""))</f>
        <v/>
      </c>
      <c r="AH290" s="13">
        <f>IF(AND(ISNUMBER(AE290),ISNUMBER($B$23),ISNUMBER($D$23)),IF(AE290&gt;$D$23,"boven UCL",IF(AE290&lt;$B$23,"onder LCL","")),"")</f>
        <v/>
      </c>
      <c r="AI290" s="13">
        <f>IF(AND(ISNUMBER(AF290),ISNUMBER($B$24),ISNUMBER($D$24)),IF(AF290&gt;$D$24,"boven UCL",IF(AF290&lt;$B$24,"onder LCL","")),"")</f>
        <v/>
      </c>
      <c r="AJ290" s="13">
        <f>IF(AND(ISNUMBER(AE290),ISNUMBER($B$25),ISNUMBER($D$25)),IF(AE290&gt;$D$25,"boven UCL",IF(AE290&lt;$B$25,"onder LCL","")),"")</f>
        <v/>
      </c>
      <c r="AK290" s="13">
        <f>IF(AND(ISNUMBER(AG290),ISNUMBER($B$26),ISNUMBER($D$26)),IF(AG290&gt;$D$26,"boven UCL",IF(AG290&lt;$B$26,"onder LCL","")),"")</f>
        <v/>
      </c>
      <c r="AL290" s="13">
        <f>IF(AND(COUNT(B290:Z290)&gt;0,COUNT(AA290:AC290)&gt;0),"ruwe waarden én getypt: getypte genegeerd",IF(COUNTA(B290:Z290,AA290:AC290)&gt;COUNT(B290:Z290,AA290:AC290),"tekst telt niet mee",IF(COUNT(B290:Z290)=1,"1 waarde: geen R of s","")))</f>
        <v/>
      </c>
    </row>
    <row r="291">
      <c r="A291" t="n">
        <v>240</v>
      </c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28">
        <f>IF(COUNT(B291:Z291)&gt;0,COUNT(B291:Z291),IF(OR(ISNUMBER(AA291),ISNUMBER(AB291)),$B$9,""))</f>
        <v/>
      </c>
      <c r="AE291" s="29">
        <f>IF(COUNT(B291:Z291)&gt;0,AVERAGE(B291:Z291),IF(ISNUMBER(AA291),AA291,""))</f>
        <v/>
      </c>
      <c r="AF291" s="29">
        <f>IF(COUNT(B291:Z291)&gt;1,MAX(B291:Z291)-MIN(B291:Z291),IF(ISNUMBER(AB291),AB291,""))</f>
        <v/>
      </c>
      <c r="AG291" s="29">
        <f>IF(COUNT(B291:Z291)&gt;1,_xlfn.STDEV.S(B291:Z291),IF(ISNUMBER(AC291),AC291,""))</f>
        <v/>
      </c>
      <c r="AH291" s="13">
        <f>IF(AND(ISNUMBER(AE291),ISNUMBER($B$23),ISNUMBER($D$23)),IF(AE291&gt;$D$23,"boven UCL",IF(AE291&lt;$B$23,"onder LCL","")),"")</f>
        <v/>
      </c>
      <c r="AI291" s="13">
        <f>IF(AND(ISNUMBER(AF291),ISNUMBER($B$24),ISNUMBER($D$24)),IF(AF291&gt;$D$24,"boven UCL",IF(AF291&lt;$B$24,"onder LCL","")),"")</f>
        <v/>
      </c>
      <c r="AJ291" s="13">
        <f>IF(AND(ISNUMBER(AE291),ISNUMBER($B$25),ISNUMBER($D$25)),IF(AE291&gt;$D$25,"boven UCL",IF(AE291&lt;$B$25,"onder LCL","")),"")</f>
        <v/>
      </c>
      <c r="AK291" s="13">
        <f>IF(AND(ISNUMBER(AG291),ISNUMBER($B$26),ISNUMBER($D$26)),IF(AG291&gt;$D$26,"boven UCL",IF(AG291&lt;$B$26,"onder LCL","")),"")</f>
        <v/>
      </c>
      <c r="AL291" s="13">
        <f>IF(AND(COUNT(B291:Z291)&gt;0,COUNT(AA291:AC291)&gt;0),"ruwe waarden én getypt: getypte genegeerd",IF(COUNTA(B291:Z291,AA291:AC291)&gt;COUNT(B291:Z291,AA291:AC291),"tekst telt niet mee",IF(COUNT(B291:Z291)=1,"1 waarde: geen R of s","")))</f>
        <v/>
      </c>
    </row>
    <row r="292">
      <c r="A292" t="n">
        <v>241</v>
      </c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28">
        <f>IF(COUNT(B292:Z292)&gt;0,COUNT(B292:Z292),IF(OR(ISNUMBER(AA292),ISNUMBER(AB292)),$B$9,""))</f>
        <v/>
      </c>
      <c r="AE292" s="29">
        <f>IF(COUNT(B292:Z292)&gt;0,AVERAGE(B292:Z292),IF(ISNUMBER(AA292),AA292,""))</f>
        <v/>
      </c>
      <c r="AF292" s="29">
        <f>IF(COUNT(B292:Z292)&gt;1,MAX(B292:Z292)-MIN(B292:Z292),IF(ISNUMBER(AB292),AB292,""))</f>
        <v/>
      </c>
      <c r="AG292" s="29">
        <f>IF(COUNT(B292:Z292)&gt;1,_xlfn.STDEV.S(B292:Z292),IF(ISNUMBER(AC292),AC292,""))</f>
        <v/>
      </c>
      <c r="AH292" s="13">
        <f>IF(AND(ISNUMBER(AE292),ISNUMBER($B$23),ISNUMBER($D$23)),IF(AE292&gt;$D$23,"boven UCL",IF(AE292&lt;$B$23,"onder LCL","")),"")</f>
        <v/>
      </c>
      <c r="AI292" s="13">
        <f>IF(AND(ISNUMBER(AF292),ISNUMBER($B$24),ISNUMBER($D$24)),IF(AF292&gt;$D$24,"boven UCL",IF(AF292&lt;$B$24,"onder LCL","")),"")</f>
        <v/>
      </c>
      <c r="AJ292" s="13">
        <f>IF(AND(ISNUMBER(AE292),ISNUMBER($B$25),ISNUMBER($D$25)),IF(AE292&gt;$D$25,"boven UCL",IF(AE292&lt;$B$25,"onder LCL","")),"")</f>
        <v/>
      </c>
      <c r="AK292" s="13">
        <f>IF(AND(ISNUMBER(AG292),ISNUMBER($B$26),ISNUMBER($D$26)),IF(AG292&gt;$D$26,"boven UCL",IF(AG292&lt;$B$26,"onder LCL","")),"")</f>
        <v/>
      </c>
      <c r="AL292" s="13">
        <f>IF(AND(COUNT(B292:Z292)&gt;0,COUNT(AA292:AC292)&gt;0),"ruwe waarden én getypt: getypte genegeerd",IF(COUNTA(B292:Z292,AA292:AC292)&gt;COUNT(B292:Z292,AA292:AC292),"tekst telt niet mee",IF(COUNT(B292:Z292)=1,"1 waarde: geen R of s","")))</f>
        <v/>
      </c>
    </row>
    <row r="293">
      <c r="A293" t="n">
        <v>242</v>
      </c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28">
        <f>IF(COUNT(B293:Z293)&gt;0,COUNT(B293:Z293),IF(OR(ISNUMBER(AA293),ISNUMBER(AB293)),$B$9,""))</f>
        <v/>
      </c>
      <c r="AE293" s="29">
        <f>IF(COUNT(B293:Z293)&gt;0,AVERAGE(B293:Z293),IF(ISNUMBER(AA293),AA293,""))</f>
        <v/>
      </c>
      <c r="AF293" s="29">
        <f>IF(COUNT(B293:Z293)&gt;1,MAX(B293:Z293)-MIN(B293:Z293),IF(ISNUMBER(AB293),AB293,""))</f>
        <v/>
      </c>
      <c r="AG293" s="29">
        <f>IF(COUNT(B293:Z293)&gt;1,_xlfn.STDEV.S(B293:Z293),IF(ISNUMBER(AC293),AC293,""))</f>
        <v/>
      </c>
      <c r="AH293" s="13">
        <f>IF(AND(ISNUMBER(AE293),ISNUMBER($B$23),ISNUMBER($D$23)),IF(AE293&gt;$D$23,"boven UCL",IF(AE293&lt;$B$23,"onder LCL","")),"")</f>
        <v/>
      </c>
      <c r="AI293" s="13">
        <f>IF(AND(ISNUMBER(AF293),ISNUMBER($B$24),ISNUMBER($D$24)),IF(AF293&gt;$D$24,"boven UCL",IF(AF293&lt;$B$24,"onder LCL","")),"")</f>
        <v/>
      </c>
      <c r="AJ293" s="13">
        <f>IF(AND(ISNUMBER(AE293),ISNUMBER($B$25),ISNUMBER($D$25)),IF(AE293&gt;$D$25,"boven UCL",IF(AE293&lt;$B$25,"onder LCL","")),"")</f>
        <v/>
      </c>
      <c r="AK293" s="13">
        <f>IF(AND(ISNUMBER(AG293),ISNUMBER($B$26),ISNUMBER($D$26)),IF(AG293&gt;$D$26,"boven UCL",IF(AG293&lt;$B$26,"onder LCL","")),"")</f>
        <v/>
      </c>
      <c r="AL293" s="13">
        <f>IF(AND(COUNT(B293:Z293)&gt;0,COUNT(AA293:AC293)&gt;0),"ruwe waarden én getypt: getypte genegeerd",IF(COUNTA(B293:Z293,AA293:AC293)&gt;COUNT(B293:Z293,AA293:AC293),"tekst telt niet mee",IF(COUNT(B293:Z293)=1,"1 waarde: geen R of s","")))</f>
        <v/>
      </c>
    </row>
    <row r="294">
      <c r="A294" t="n">
        <v>243</v>
      </c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28">
        <f>IF(COUNT(B294:Z294)&gt;0,COUNT(B294:Z294),IF(OR(ISNUMBER(AA294),ISNUMBER(AB294)),$B$9,""))</f>
        <v/>
      </c>
      <c r="AE294" s="29">
        <f>IF(COUNT(B294:Z294)&gt;0,AVERAGE(B294:Z294),IF(ISNUMBER(AA294),AA294,""))</f>
        <v/>
      </c>
      <c r="AF294" s="29">
        <f>IF(COUNT(B294:Z294)&gt;1,MAX(B294:Z294)-MIN(B294:Z294),IF(ISNUMBER(AB294),AB294,""))</f>
        <v/>
      </c>
      <c r="AG294" s="29">
        <f>IF(COUNT(B294:Z294)&gt;1,_xlfn.STDEV.S(B294:Z294),IF(ISNUMBER(AC294),AC294,""))</f>
        <v/>
      </c>
      <c r="AH294" s="13">
        <f>IF(AND(ISNUMBER(AE294),ISNUMBER($B$23),ISNUMBER($D$23)),IF(AE294&gt;$D$23,"boven UCL",IF(AE294&lt;$B$23,"onder LCL","")),"")</f>
        <v/>
      </c>
      <c r="AI294" s="13">
        <f>IF(AND(ISNUMBER(AF294),ISNUMBER($B$24),ISNUMBER($D$24)),IF(AF294&gt;$D$24,"boven UCL",IF(AF294&lt;$B$24,"onder LCL","")),"")</f>
        <v/>
      </c>
      <c r="AJ294" s="13">
        <f>IF(AND(ISNUMBER(AE294),ISNUMBER($B$25),ISNUMBER($D$25)),IF(AE294&gt;$D$25,"boven UCL",IF(AE294&lt;$B$25,"onder LCL","")),"")</f>
        <v/>
      </c>
      <c r="AK294" s="13">
        <f>IF(AND(ISNUMBER(AG294),ISNUMBER($B$26),ISNUMBER($D$26)),IF(AG294&gt;$D$26,"boven UCL",IF(AG294&lt;$B$26,"onder LCL","")),"")</f>
        <v/>
      </c>
      <c r="AL294" s="13">
        <f>IF(AND(COUNT(B294:Z294)&gt;0,COUNT(AA294:AC294)&gt;0),"ruwe waarden én getypt: getypte genegeerd",IF(COUNTA(B294:Z294,AA294:AC294)&gt;COUNT(B294:Z294,AA294:AC294),"tekst telt niet mee",IF(COUNT(B294:Z294)=1,"1 waarde: geen R of s","")))</f>
        <v/>
      </c>
    </row>
    <row r="295">
      <c r="A295" t="n">
        <v>244</v>
      </c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28">
        <f>IF(COUNT(B295:Z295)&gt;0,COUNT(B295:Z295),IF(OR(ISNUMBER(AA295),ISNUMBER(AB295)),$B$9,""))</f>
        <v/>
      </c>
      <c r="AE295" s="29">
        <f>IF(COUNT(B295:Z295)&gt;0,AVERAGE(B295:Z295),IF(ISNUMBER(AA295),AA295,""))</f>
        <v/>
      </c>
      <c r="AF295" s="29">
        <f>IF(COUNT(B295:Z295)&gt;1,MAX(B295:Z295)-MIN(B295:Z295),IF(ISNUMBER(AB295),AB295,""))</f>
        <v/>
      </c>
      <c r="AG295" s="29">
        <f>IF(COUNT(B295:Z295)&gt;1,_xlfn.STDEV.S(B295:Z295),IF(ISNUMBER(AC295),AC295,""))</f>
        <v/>
      </c>
      <c r="AH295" s="13">
        <f>IF(AND(ISNUMBER(AE295),ISNUMBER($B$23),ISNUMBER($D$23)),IF(AE295&gt;$D$23,"boven UCL",IF(AE295&lt;$B$23,"onder LCL","")),"")</f>
        <v/>
      </c>
      <c r="AI295" s="13">
        <f>IF(AND(ISNUMBER(AF295),ISNUMBER($B$24),ISNUMBER($D$24)),IF(AF295&gt;$D$24,"boven UCL",IF(AF295&lt;$B$24,"onder LCL","")),"")</f>
        <v/>
      </c>
      <c r="AJ295" s="13">
        <f>IF(AND(ISNUMBER(AE295),ISNUMBER($B$25),ISNUMBER($D$25)),IF(AE295&gt;$D$25,"boven UCL",IF(AE295&lt;$B$25,"onder LCL","")),"")</f>
        <v/>
      </c>
      <c r="AK295" s="13">
        <f>IF(AND(ISNUMBER(AG295),ISNUMBER($B$26),ISNUMBER($D$26)),IF(AG295&gt;$D$26,"boven UCL",IF(AG295&lt;$B$26,"onder LCL","")),"")</f>
        <v/>
      </c>
      <c r="AL295" s="13">
        <f>IF(AND(COUNT(B295:Z295)&gt;0,COUNT(AA295:AC295)&gt;0),"ruwe waarden én getypt: getypte genegeerd",IF(COUNTA(B295:Z295,AA295:AC295)&gt;COUNT(B295:Z295,AA295:AC295),"tekst telt niet mee",IF(COUNT(B295:Z295)=1,"1 waarde: geen R of s","")))</f>
        <v/>
      </c>
    </row>
    <row r="296">
      <c r="A296" t="n">
        <v>245</v>
      </c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28">
        <f>IF(COUNT(B296:Z296)&gt;0,COUNT(B296:Z296),IF(OR(ISNUMBER(AA296),ISNUMBER(AB296)),$B$9,""))</f>
        <v/>
      </c>
      <c r="AE296" s="29">
        <f>IF(COUNT(B296:Z296)&gt;0,AVERAGE(B296:Z296),IF(ISNUMBER(AA296),AA296,""))</f>
        <v/>
      </c>
      <c r="AF296" s="29">
        <f>IF(COUNT(B296:Z296)&gt;1,MAX(B296:Z296)-MIN(B296:Z296),IF(ISNUMBER(AB296),AB296,""))</f>
        <v/>
      </c>
      <c r="AG296" s="29">
        <f>IF(COUNT(B296:Z296)&gt;1,_xlfn.STDEV.S(B296:Z296),IF(ISNUMBER(AC296),AC296,""))</f>
        <v/>
      </c>
      <c r="AH296" s="13">
        <f>IF(AND(ISNUMBER(AE296),ISNUMBER($B$23),ISNUMBER($D$23)),IF(AE296&gt;$D$23,"boven UCL",IF(AE296&lt;$B$23,"onder LCL","")),"")</f>
        <v/>
      </c>
      <c r="AI296" s="13">
        <f>IF(AND(ISNUMBER(AF296),ISNUMBER($B$24),ISNUMBER($D$24)),IF(AF296&gt;$D$24,"boven UCL",IF(AF296&lt;$B$24,"onder LCL","")),"")</f>
        <v/>
      </c>
      <c r="AJ296" s="13">
        <f>IF(AND(ISNUMBER(AE296),ISNUMBER($B$25),ISNUMBER($D$25)),IF(AE296&gt;$D$25,"boven UCL",IF(AE296&lt;$B$25,"onder LCL","")),"")</f>
        <v/>
      </c>
      <c r="AK296" s="13">
        <f>IF(AND(ISNUMBER(AG296),ISNUMBER($B$26),ISNUMBER($D$26)),IF(AG296&gt;$D$26,"boven UCL",IF(AG296&lt;$B$26,"onder LCL","")),"")</f>
        <v/>
      </c>
      <c r="AL296" s="13">
        <f>IF(AND(COUNT(B296:Z296)&gt;0,COUNT(AA296:AC296)&gt;0),"ruwe waarden én getypt: getypte genegeerd",IF(COUNTA(B296:Z296,AA296:AC296)&gt;COUNT(B296:Z296,AA296:AC296),"tekst telt niet mee",IF(COUNT(B296:Z296)=1,"1 waarde: geen R of s","")))</f>
        <v/>
      </c>
    </row>
    <row r="297">
      <c r="A297" t="n">
        <v>246</v>
      </c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28">
        <f>IF(COUNT(B297:Z297)&gt;0,COUNT(B297:Z297),IF(OR(ISNUMBER(AA297),ISNUMBER(AB297)),$B$9,""))</f>
        <v/>
      </c>
      <c r="AE297" s="29">
        <f>IF(COUNT(B297:Z297)&gt;0,AVERAGE(B297:Z297),IF(ISNUMBER(AA297),AA297,""))</f>
        <v/>
      </c>
      <c r="AF297" s="29">
        <f>IF(COUNT(B297:Z297)&gt;1,MAX(B297:Z297)-MIN(B297:Z297),IF(ISNUMBER(AB297),AB297,""))</f>
        <v/>
      </c>
      <c r="AG297" s="29">
        <f>IF(COUNT(B297:Z297)&gt;1,_xlfn.STDEV.S(B297:Z297),IF(ISNUMBER(AC297),AC297,""))</f>
        <v/>
      </c>
      <c r="AH297" s="13">
        <f>IF(AND(ISNUMBER(AE297),ISNUMBER($B$23),ISNUMBER($D$23)),IF(AE297&gt;$D$23,"boven UCL",IF(AE297&lt;$B$23,"onder LCL","")),"")</f>
        <v/>
      </c>
      <c r="AI297" s="13">
        <f>IF(AND(ISNUMBER(AF297),ISNUMBER($B$24),ISNUMBER($D$24)),IF(AF297&gt;$D$24,"boven UCL",IF(AF297&lt;$B$24,"onder LCL","")),"")</f>
        <v/>
      </c>
      <c r="AJ297" s="13">
        <f>IF(AND(ISNUMBER(AE297),ISNUMBER($B$25),ISNUMBER($D$25)),IF(AE297&gt;$D$25,"boven UCL",IF(AE297&lt;$B$25,"onder LCL","")),"")</f>
        <v/>
      </c>
      <c r="AK297" s="13">
        <f>IF(AND(ISNUMBER(AG297),ISNUMBER($B$26),ISNUMBER($D$26)),IF(AG297&gt;$D$26,"boven UCL",IF(AG297&lt;$B$26,"onder LCL","")),"")</f>
        <v/>
      </c>
      <c r="AL297" s="13">
        <f>IF(AND(COUNT(B297:Z297)&gt;0,COUNT(AA297:AC297)&gt;0),"ruwe waarden én getypt: getypte genegeerd",IF(COUNTA(B297:Z297,AA297:AC297)&gt;COUNT(B297:Z297,AA297:AC297),"tekst telt niet mee",IF(COUNT(B297:Z297)=1,"1 waarde: geen R of s","")))</f>
        <v/>
      </c>
    </row>
    <row r="298">
      <c r="A298" t="n">
        <v>247</v>
      </c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28">
        <f>IF(COUNT(B298:Z298)&gt;0,COUNT(B298:Z298),IF(OR(ISNUMBER(AA298),ISNUMBER(AB298)),$B$9,""))</f>
        <v/>
      </c>
      <c r="AE298" s="29">
        <f>IF(COUNT(B298:Z298)&gt;0,AVERAGE(B298:Z298),IF(ISNUMBER(AA298),AA298,""))</f>
        <v/>
      </c>
      <c r="AF298" s="29">
        <f>IF(COUNT(B298:Z298)&gt;1,MAX(B298:Z298)-MIN(B298:Z298),IF(ISNUMBER(AB298),AB298,""))</f>
        <v/>
      </c>
      <c r="AG298" s="29">
        <f>IF(COUNT(B298:Z298)&gt;1,_xlfn.STDEV.S(B298:Z298),IF(ISNUMBER(AC298),AC298,""))</f>
        <v/>
      </c>
      <c r="AH298" s="13">
        <f>IF(AND(ISNUMBER(AE298),ISNUMBER($B$23),ISNUMBER($D$23)),IF(AE298&gt;$D$23,"boven UCL",IF(AE298&lt;$B$23,"onder LCL","")),"")</f>
        <v/>
      </c>
      <c r="AI298" s="13">
        <f>IF(AND(ISNUMBER(AF298),ISNUMBER($B$24),ISNUMBER($D$24)),IF(AF298&gt;$D$24,"boven UCL",IF(AF298&lt;$B$24,"onder LCL","")),"")</f>
        <v/>
      </c>
      <c r="AJ298" s="13">
        <f>IF(AND(ISNUMBER(AE298),ISNUMBER($B$25),ISNUMBER($D$25)),IF(AE298&gt;$D$25,"boven UCL",IF(AE298&lt;$B$25,"onder LCL","")),"")</f>
        <v/>
      </c>
      <c r="AK298" s="13">
        <f>IF(AND(ISNUMBER(AG298),ISNUMBER($B$26),ISNUMBER($D$26)),IF(AG298&gt;$D$26,"boven UCL",IF(AG298&lt;$B$26,"onder LCL","")),"")</f>
        <v/>
      </c>
      <c r="AL298" s="13">
        <f>IF(AND(COUNT(B298:Z298)&gt;0,COUNT(AA298:AC298)&gt;0),"ruwe waarden én getypt: getypte genegeerd",IF(COUNTA(B298:Z298,AA298:AC298)&gt;COUNT(B298:Z298,AA298:AC298),"tekst telt niet mee",IF(COUNT(B298:Z298)=1,"1 waarde: geen R of s","")))</f>
        <v/>
      </c>
    </row>
    <row r="299">
      <c r="A299" t="n">
        <v>248</v>
      </c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28">
        <f>IF(COUNT(B299:Z299)&gt;0,COUNT(B299:Z299),IF(OR(ISNUMBER(AA299),ISNUMBER(AB299)),$B$9,""))</f>
        <v/>
      </c>
      <c r="AE299" s="29">
        <f>IF(COUNT(B299:Z299)&gt;0,AVERAGE(B299:Z299),IF(ISNUMBER(AA299),AA299,""))</f>
        <v/>
      </c>
      <c r="AF299" s="29">
        <f>IF(COUNT(B299:Z299)&gt;1,MAX(B299:Z299)-MIN(B299:Z299),IF(ISNUMBER(AB299),AB299,""))</f>
        <v/>
      </c>
      <c r="AG299" s="29">
        <f>IF(COUNT(B299:Z299)&gt;1,_xlfn.STDEV.S(B299:Z299),IF(ISNUMBER(AC299),AC299,""))</f>
        <v/>
      </c>
      <c r="AH299" s="13">
        <f>IF(AND(ISNUMBER(AE299),ISNUMBER($B$23),ISNUMBER($D$23)),IF(AE299&gt;$D$23,"boven UCL",IF(AE299&lt;$B$23,"onder LCL","")),"")</f>
        <v/>
      </c>
      <c r="AI299" s="13">
        <f>IF(AND(ISNUMBER(AF299),ISNUMBER($B$24),ISNUMBER($D$24)),IF(AF299&gt;$D$24,"boven UCL",IF(AF299&lt;$B$24,"onder LCL","")),"")</f>
        <v/>
      </c>
      <c r="AJ299" s="13">
        <f>IF(AND(ISNUMBER(AE299),ISNUMBER($B$25),ISNUMBER($D$25)),IF(AE299&gt;$D$25,"boven UCL",IF(AE299&lt;$B$25,"onder LCL","")),"")</f>
        <v/>
      </c>
      <c r="AK299" s="13">
        <f>IF(AND(ISNUMBER(AG299),ISNUMBER($B$26),ISNUMBER($D$26)),IF(AG299&gt;$D$26,"boven UCL",IF(AG299&lt;$B$26,"onder LCL","")),"")</f>
        <v/>
      </c>
      <c r="AL299" s="13">
        <f>IF(AND(COUNT(B299:Z299)&gt;0,COUNT(AA299:AC299)&gt;0),"ruwe waarden én getypt: getypte genegeerd",IF(COUNTA(B299:Z299,AA299:AC299)&gt;COUNT(B299:Z299,AA299:AC299),"tekst telt niet mee",IF(COUNT(B299:Z299)=1,"1 waarde: geen R of s","")))</f>
        <v/>
      </c>
    </row>
    <row r="300">
      <c r="A300" t="n">
        <v>249</v>
      </c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28">
        <f>IF(COUNT(B300:Z300)&gt;0,COUNT(B300:Z300),IF(OR(ISNUMBER(AA300),ISNUMBER(AB300)),$B$9,""))</f>
        <v/>
      </c>
      <c r="AE300" s="29">
        <f>IF(COUNT(B300:Z300)&gt;0,AVERAGE(B300:Z300),IF(ISNUMBER(AA300),AA300,""))</f>
        <v/>
      </c>
      <c r="AF300" s="29">
        <f>IF(COUNT(B300:Z300)&gt;1,MAX(B300:Z300)-MIN(B300:Z300),IF(ISNUMBER(AB300),AB300,""))</f>
        <v/>
      </c>
      <c r="AG300" s="29">
        <f>IF(COUNT(B300:Z300)&gt;1,_xlfn.STDEV.S(B300:Z300),IF(ISNUMBER(AC300),AC300,""))</f>
        <v/>
      </c>
      <c r="AH300" s="13">
        <f>IF(AND(ISNUMBER(AE300),ISNUMBER($B$23),ISNUMBER($D$23)),IF(AE300&gt;$D$23,"boven UCL",IF(AE300&lt;$B$23,"onder LCL","")),"")</f>
        <v/>
      </c>
      <c r="AI300" s="13">
        <f>IF(AND(ISNUMBER(AF300),ISNUMBER($B$24),ISNUMBER($D$24)),IF(AF300&gt;$D$24,"boven UCL",IF(AF300&lt;$B$24,"onder LCL","")),"")</f>
        <v/>
      </c>
      <c r="AJ300" s="13">
        <f>IF(AND(ISNUMBER(AE300),ISNUMBER($B$25),ISNUMBER($D$25)),IF(AE300&gt;$D$25,"boven UCL",IF(AE300&lt;$B$25,"onder LCL","")),"")</f>
        <v/>
      </c>
      <c r="AK300" s="13">
        <f>IF(AND(ISNUMBER(AG300),ISNUMBER($B$26),ISNUMBER($D$26)),IF(AG300&gt;$D$26,"boven UCL",IF(AG300&lt;$B$26,"onder LCL","")),"")</f>
        <v/>
      </c>
      <c r="AL300" s="13">
        <f>IF(AND(COUNT(B300:Z300)&gt;0,COUNT(AA300:AC300)&gt;0),"ruwe waarden én getypt: getypte genegeerd",IF(COUNTA(B300:Z300,AA300:AC300)&gt;COUNT(B300:Z300,AA300:AC300),"tekst telt niet mee",IF(COUNT(B300:Z300)=1,"1 waarde: geen R of s","")))</f>
        <v/>
      </c>
    </row>
    <row r="301">
      <c r="A301" t="n">
        <v>250</v>
      </c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28">
        <f>IF(COUNT(B301:Z301)&gt;0,COUNT(B301:Z301),IF(OR(ISNUMBER(AA301),ISNUMBER(AB301)),$B$9,""))</f>
        <v/>
      </c>
      <c r="AE301" s="29">
        <f>IF(COUNT(B301:Z301)&gt;0,AVERAGE(B301:Z301),IF(ISNUMBER(AA301),AA301,""))</f>
        <v/>
      </c>
      <c r="AF301" s="29">
        <f>IF(COUNT(B301:Z301)&gt;1,MAX(B301:Z301)-MIN(B301:Z301),IF(ISNUMBER(AB301),AB301,""))</f>
        <v/>
      </c>
      <c r="AG301" s="29">
        <f>IF(COUNT(B301:Z301)&gt;1,_xlfn.STDEV.S(B301:Z301),IF(ISNUMBER(AC301),AC301,""))</f>
        <v/>
      </c>
      <c r="AH301" s="13">
        <f>IF(AND(ISNUMBER(AE301),ISNUMBER($B$23),ISNUMBER($D$23)),IF(AE301&gt;$D$23,"boven UCL",IF(AE301&lt;$B$23,"onder LCL","")),"")</f>
        <v/>
      </c>
      <c r="AI301" s="13">
        <f>IF(AND(ISNUMBER(AF301),ISNUMBER($B$24),ISNUMBER($D$24)),IF(AF301&gt;$D$24,"boven UCL",IF(AF301&lt;$B$24,"onder LCL","")),"")</f>
        <v/>
      </c>
      <c r="AJ301" s="13">
        <f>IF(AND(ISNUMBER(AE301),ISNUMBER($B$25),ISNUMBER($D$25)),IF(AE301&gt;$D$25,"boven UCL",IF(AE301&lt;$B$25,"onder LCL","")),"")</f>
        <v/>
      </c>
      <c r="AK301" s="13">
        <f>IF(AND(ISNUMBER(AG301),ISNUMBER($B$26),ISNUMBER($D$26)),IF(AG301&gt;$D$26,"boven UCL",IF(AG301&lt;$B$26,"onder LCL","")),"")</f>
        <v/>
      </c>
      <c r="AL301" s="13">
        <f>IF(AND(COUNT(B301:Z301)&gt;0,COUNT(AA301:AC301)&gt;0),"ruwe waarden én getypt: getypte genegeerd",IF(COUNTA(B301:Z301,AA301:AC301)&gt;COUNT(B301:Z301,AA301:AC301),"tekst telt niet mee",IF(COUNT(B301:Z301)=1,"1 waarde: geen R of s","")))</f>
        <v/>
      </c>
    </row>
    <row r="302">
      <c r="A302" t="n">
        <v>251</v>
      </c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28">
        <f>IF(COUNT(B302:Z302)&gt;0,COUNT(B302:Z302),IF(OR(ISNUMBER(AA302),ISNUMBER(AB302)),$B$9,""))</f>
        <v/>
      </c>
      <c r="AE302" s="29">
        <f>IF(COUNT(B302:Z302)&gt;0,AVERAGE(B302:Z302),IF(ISNUMBER(AA302),AA302,""))</f>
        <v/>
      </c>
      <c r="AF302" s="29">
        <f>IF(COUNT(B302:Z302)&gt;1,MAX(B302:Z302)-MIN(B302:Z302),IF(ISNUMBER(AB302),AB302,""))</f>
        <v/>
      </c>
      <c r="AG302" s="29">
        <f>IF(COUNT(B302:Z302)&gt;1,_xlfn.STDEV.S(B302:Z302),IF(ISNUMBER(AC302),AC302,""))</f>
        <v/>
      </c>
      <c r="AH302" s="13">
        <f>IF(AND(ISNUMBER(AE302),ISNUMBER($B$23),ISNUMBER($D$23)),IF(AE302&gt;$D$23,"boven UCL",IF(AE302&lt;$B$23,"onder LCL","")),"")</f>
        <v/>
      </c>
      <c r="AI302" s="13">
        <f>IF(AND(ISNUMBER(AF302),ISNUMBER($B$24),ISNUMBER($D$24)),IF(AF302&gt;$D$24,"boven UCL",IF(AF302&lt;$B$24,"onder LCL","")),"")</f>
        <v/>
      </c>
      <c r="AJ302" s="13">
        <f>IF(AND(ISNUMBER(AE302),ISNUMBER($B$25),ISNUMBER($D$25)),IF(AE302&gt;$D$25,"boven UCL",IF(AE302&lt;$B$25,"onder LCL","")),"")</f>
        <v/>
      </c>
      <c r="AK302" s="13">
        <f>IF(AND(ISNUMBER(AG302),ISNUMBER($B$26),ISNUMBER($D$26)),IF(AG302&gt;$D$26,"boven UCL",IF(AG302&lt;$B$26,"onder LCL","")),"")</f>
        <v/>
      </c>
      <c r="AL302" s="13">
        <f>IF(AND(COUNT(B302:Z302)&gt;0,COUNT(AA302:AC302)&gt;0),"ruwe waarden én getypt: getypte genegeerd",IF(COUNTA(B302:Z302,AA302:AC302)&gt;COUNT(B302:Z302,AA302:AC302),"tekst telt niet mee",IF(COUNT(B302:Z302)=1,"1 waarde: geen R of s","")))</f>
        <v/>
      </c>
    </row>
    <row r="303">
      <c r="A303" t="n">
        <v>252</v>
      </c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28">
        <f>IF(COUNT(B303:Z303)&gt;0,COUNT(B303:Z303),IF(OR(ISNUMBER(AA303),ISNUMBER(AB303)),$B$9,""))</f>
        <v/>
      </c>
      <c r="AE303" s="29">
        <f>IF(COUNT(B303:Z303)&gt;0,AVERAGE(B303:Z303),IF(ISNUMBER(AA303),AA303,""))</f>
        <v/>
      </c>
      <c r="AF303" s="29">
        <f>IF(COUNT(B303:Z303)&gt;1,MAX(B303:Z303)-MIN(B303:Z303),IF(ISNUMBER(AB303),AB303,""))</f>
        <v/>
      </c>
      <c r="AG303" s="29">
        <f>IF(COUNT(B303:Z303)&gt;1,_xlfn.STDEV.S(B303:Z303),IF(ISNUMBER(AC303),AC303,""))</f>
        <v/>
      </c>
      <c r="AH303" s="13">
        <f>IF(AND(ISNUMBER(AE303),ISNUMBER($B$23),ISNUMBER($D$23)),IF(AE303&gt;$D$23,"boven UCL",IF(AE303&lt;$B$23,"onder LCL","")),"")</f>
        <v/>
      </c>
      <c r="AI303" s="13">
        <f>IF(AND(ISNUMBER(AF303),ISNUMBER($B$24),ISNUMBER($D$24)),IF(AF303&gt;$D$24,"boven UCL",IF(AF303&lt;$B$24,"onder LCL","")),"")</f>
        <v/>
      </c>
      <c r="AJ303" s="13">
        <f>IF(AND(ISNUMBER(AE303),ISNUMBER($B$25),ISNUMBER($D$25)),IF(AE303&gt;$D$25,"boven UCL",IF(AE303&lt;$B$25,"onder LCL","")),"")</f>
        <v/>
      </c>
      <c r="AK303" s="13">
        <f>IF(AND(ISNUMBER(AG303),ISNUMBER($B$26),ISNUMBER($D$26)),IF(AG303&gt;$D$26,"boven UCL",IF(AG303&lt;$B$26,"onder LCL","")),"")</f>
        <v/>
      </c>
      <c r="AL303" s="13">
        <f>IF(AND(COUNT(B303:Z303)&gt;0,COUNT(AA303:AC303)&gt;0),"ruwe waarden én getypt: getypte genegeerd",IF(COUNTA(B303:Z303,AA303:AC303)&gt;COUNT(B303:Z303,AA303:AC303),"tekst telt niet mee",IF(COUNT(B303:Z303)=1,"1 waarde: geen R of s","")))</f>
        <v/>
      </c>
    </row>
    <row r="304">
      <c r="A304" t="n">
        <v>253</v>
      </c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28">
        <f>IF(COUNT(B304:Z304)&gt;0,COUNT(B304:Z304),IF(OR(ISNUMBER(AA304),ISNUMBER(AB304)),$B$9,""))</f>
        <v/>
      </c>
      <c r="AE304" s="29">
        <f>IF(COUNT(B304:Z304)&gt;0,AVERAGE(B304:Z304),IF(ISNUMBER(AA304),AA304,""))</f>
        <v/>
      </c>
      <c r="AF304" s="29">
        <f>IF(COUNT(B304:Z304)&gt;1,MAX(B304:Z304)-MIN(B304:Z304),IF(ISNUMBER(AB304),AB304,""))</f>
        <v/>
      </c>
      <c r="AG304" s="29">
        <f>IF(COUNT(B304:Z304)&gt;1,_xlfn.STDEV.S(B304:Z304),IF(ISNUMBER(AC304),AC304,""))</f>
        <v/>
      </c>
      <c r="AH304" s="13">
        <f>IF(AND(ISNUMBER(AE304),ISNUMBER($B$23),ISNUMBER($D$23)),IF(AE304&gt;$D$23,"boven UCL",IF(AE304&lt;$B$23,"onder LCL","")),"")</f>
        <v/>
      </c>
      <c r="AI304" s="13">
        <f>IF(AND(ISNUMBER(AF304),ISNUMBER($B$24),ISNUMBER($D$24)),IF(AF304&gt;$D$24,"boven UCL",IF(AF304&lt;$B$24,"onder LCL","")),"")</f>
        <v/>
      </c>
      <c r="AJ304" s="13">
        <f>IF(AND(ISNUMBER(AE304),ISNUMBER($B$25),ISNUMBER($D$25)),IF(AE304&gt;$D$25,"boven UCL",IF(AE304&lt;$B$25,"onder LCL","")),"")</f>
        <v/>
      </c>
      <c r="AK304" s="13">
        <f>IF(AND(ISNUMBER(AG304),ISNUMBER($B$26),ISNUMBER($D$26)),IF(AG304&gt;$D$26,"boven UCL",IF(AG304&lt;$B$26,"onder LCL","")),"")</f>
        <v/>
      </c>
      <c r="AL304" s="13">
        <f>IF(AND(COUNT(B304:Z304)&gt;0,COUNT(AA304:AC304)&gt;0),"ruwe waarden én getypt: getypte genegeerd",IF(COUNTA(B304:Z304,AA304:AC304)&gt;COUNT(B304:Z304,AA304:AC304),"tekst telt niet mee",IF(COUNT(B304:Z304)=1,"1 waarde: geen R of s","")))</f>
        <v/>
      </c>
    </row>
    <row r="305">
      <c r="A305" t="n">
        <v>254</v>
      </c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28">
        <f>IF(COUNT(B305:Z305)&gt;0,COUNT(B305:Z305),IF(OR(ISNUMBER(AA305),ISNUMBER(AB305)),$B$9,""))</f>
        <v/>
      </c>
      <c r="AE305" s="29">
        <f>IF(COUNT(B305:Z305)&gt;0,AVERAGE(B305:Z305),IF(ISNUMBER(AA305),AA305,""))</f>
        <v/>
      </c>
      <c r="AF305" s="29">
        <f>IF(COUNT(B305:Z305)&gt;1,MAX(B305:Z305)-MIN(B305:Z305),IF(ISNUMBER(AB305),AB305,""))</f>
        <v/>
      </c>
      <c r="AG305" s="29">
        <f>IF(COUNT(B305:Z305)&gt;1,_xlfn.STDEV.S(B305:Z305),IF(ISNUMBER(AC305),AC305,""))</f>
        <v/>
      </c>
      <c r="AH305" s="13">
        <f>IF(AND(ISNUMBER(AE305),ISNUMBER($B$23),ISNUMBER($D$23)),IF(AE305&gt;$D$23,"boven UCL",IF(AE305&lt;$B$23,"onder LCL","")),"")</f>
        <v/>
      </c>
      <c r="AI305" s="13">
        <f>IF(AND(ISNUMBER(AF305),ISNUMBER($B$24),ISNUMBER($D$24)),IF(AF305&gt;$D$24,"boven UCL",IF(AF305&lt;$B$24,"onder LCL","")),"")</f>
        <v/>
      </c>
      <c r="AJ305" s="13">
        <f>IF(AND(ISNUMBER(AE305),ISNUMBER($B$25),ISNUMBER($D$25)),IF(AE305&gt;$D$25,"boven UCL",IF(AE305&lt;$B$25,"onder LCL","")),"")</f>
        <v/>
      </c>
      <c r="AK305" s="13">
        <f>IF(AND(ISNUMBER(AG305),ISNUMBER($B$26),ISNUMBER($D$26)),IF(AG305&gt;$D$26,"boven UCL",IF(AG305&lt;$B$26,"onder LCL","")),"")</f>
        <v/>
      </c>
      <c r="AL305" s="13">
        <f>IF(AND(COUNT(B305:Z305)&gt;0,COUNT(AA305:AC305)&gt;0),"ruwe waarden én getypt: getypte genegeerd",IF(COUNTA(B305:Z305,AA305:AC305)&gt;COUNT(B305:Z305,AA305:AC305),"tekst telt niet mee",IF(COUNT(B305:Z305)=1,"1 waarde: geen R of s","")))</f>
        <v/>
      </c>
    </row>
    <row r="306">
      <c r="A306" t="n">
        <v>255</v>
      </c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28">
        <f>IF(COUNT(B306:Z306)&gt;0,COUNT(B306:Z306),IF(OR(ISNUMBER(AA306),ISNUMBER(AB306)),$B$9,""))</f>
        <v/>
      </c>
      <c r="AE306" s="29">
        <f>IF(COUNT(B306:Z306)&gt;0,AVERAGE(B306:Z306),IF(ISNUMBER(AA306),AA306,""))</f>
        <v/>
      </c>
      <c r="AF306" s="29">
        <f>IF(COUNT(B306:Z306)&gt;1,MAX(B306:Z306)-MIN(B306:Z306),IF(ISNUMBER(AB306),AB306,""))</f>
        <v/>
      </c>
      <c r="AG306" s="29">
        <f>IF(COUNT(B306:Z306)&gt;1,_xlfn.STDEV.S(B306:Z306),IF(ISNUMBER(AC306),AC306,""))</f>
        <v/>
      </c>
      <c r="AH306" s="13">
        <f>IF(AND(ISNUMBER(AE306),ISNUMBER($B$23),ISNUMBER($D$23)),IF(AE306&gt;$D$23,"boven UCL",IF(AE306&lt;$B$23,"onder LCL","")),"")</f>
        <v/>
      </c>
      <c r="AI306" s="13">
        <f>IF(AND(ISNUMBER(AF306),ISNUMBER($B$24),ISNUMBER($D$24)),IF(AF306&gt;$D$24,"boven UCL",IF(AF306&lt;$B$24,"onder LCL","")),"")</f>
        <v/>
      </c>
      <c r="AJ306" s="13">
        <f>IF(AND(ISNUMBER(AE306),ISNUMBER($B$25),ISNUMBER($D$25)),IF(AE306&gt;$D$25,"boven UCL",IF(AE306&lt;$B$25,"onder LCL","")),"")</f>
        <v/>
      </c>
      <c r="AK306" s="13">
        <f>IF(AND(ISNUMBER(AG306),ISNUMBER($B$26),ISNUMBER($D$26)),IF(AG306&gt;$D$26,"boven UCL",IF(AG306&lt;$B$26,"onder LCL","")),"")</f>
        <v/>
      </c>
      <c r="AL306" s="13">
        <f>IF(AND(COUNT(B306:Z306)&gt;0,COUNT(AA306:AC306)&gt;0),"ruwe waarden én getypt: getypte genegeerd",IF(COUNTA(B306:Z306,AA306:AC306)&gt;COUNT(B306:Z306,AA306:AC306),"tekst telt niet mee",IF(COUNT(B306:Z306)=1,"1 waarde: geen R of s","")))</f>
        <v/>
      </c>
    </row>
    <row r="307">
      <c r="A307" t="n">
        <v>256</v>
      </c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28">
        <f>IF(COUNT(B307:Z307)&gt;0,COUNT(B307:Z307),IF(OR(ISNUMBER(AA307),ISNUMBER(AB307)),$B$9,""))</f>
        <v/>
      </c>
      <c r="AE307" s="29">
        <f>IF(COUNT(B307:Z307)&gt;0,AVERAGE(B307:Z307),IF(ISNUMBER(AA307),AA307,""))</f>
        <v/>
      </c>
      <c r="AF307" s="29">
        <f>IF(COUNT(B307:Z307)&gt;1,MAX(B307:Z307)-MIN(B307:Z307),IF(ISNUMBER(AB307),AB307,""))</f>
        <v/>
      </c>
      <c r="AG307" s="29">
        <f>IF(COUNT(B307:Z307)&gt;1,_xlfn.STDEV.S(B307:Z307),IF(ISNUMBER(AC307),AC307,""))</f>
        <v/>
      </c>
      <c r="AH307" s="13">
        <f>IF(AND(ISNUMBER(AE307),ISNUMBER($B$23),ISNUMBER($D$23)),IF(AE307&gt;$D$23,"boven UCL",IF(AE307&lt;$B$23,"onder LCL","")),"")</f>
        <v/>
      </c>
      <c r="AI307" s="13">
        <f>IF(AND(ISNUMBER(AF307),ISNUMBER($B$24),ISNUMBER($D$24)),IF(AF307&gt;$D$24,"boven UCL",IF(AF307&lt;$B$24,"onder LCL","")),"")</f>
        <v/>
      </c>
      <c r="AJ307" s="13">
        <f>IF(AND(ISNUMBER(AE307),ISNUMBER($B$25),ISNUMBER($D$25)),IF(AE307&gt;$D$25,"boven UCL",IF(AE307&lt;$B$25,"onder LCL","")),"")</f>
        <v/>
      </c>
      <c r="AK307" s="13">
        <f>IF(AND(ISNUMBER(AG307),ISNUMBER($B$26),ISNUMBER($D$26)),IF(AG307&gt;$D$26,"boven UCL",IF(AG307&lt;$B$26,"onder LCL","")),"")</f>
        <v/>
      </c>
      <c r="AL307" s="13">
        <f>IF(AND(COUNT(B307:Z307)&gt;0,COUNT(AA307:AC307)&gt;0),"ruwe waarden én getypt: getypte genegeerd",IF(COUNTA(B307:Z307,AA307:AC307)&gt;COUNT(B307:Z307,AA307:AC307),"tekst telt niet mee",IF(COUNT(B307:Z307)=1,"1 waarde: geen R of s","")))</f>
        <v/>
      </c>
    </row>
    <row r="308">
      <c r="A308" t="n">
        <v>257</v>
      </c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28">
        <f>IF(COUNT(B308:Z308)&gt;0,COUNT(B308:Z308),IF(OR(ISNUMBER(AA308),ISNUMBER(AB308)),$B$9,""))</f>
        <v/>
      </c>
      <c r="AE308" s="29">
        <f>IF(COUNT(B308:Z308)&gt;0,AVERAGE(B308:Z308),IF(ISNUMBER(AA308),AA308,""))</f>
        <v/>
      </c>
      <c r="AF308" s="29">
        <f>IF(COUNT(B308:Z308)&gt;1,MAX(B308:Z308)-MIN(B308:Z308),IF(ISNUMBER(AB308),AB308,""))</f>
        <v/>
      </c>
      <c r="AG308" s="29">
        <f>IF(COUNT(B308:Z308)&gt;1,_xlfn.STDEV.S(B308:Z308),IF(ISNUMBER(AC308),AC308,""))</f>
        <v/>
      </c>
      <c r="AH308" s="13">
        <f>IF(AND(ISNUMBER(AE308),ISNUMBER($B$23),ISNUMBER($D$23)),IF(AE308&gt;$D$23,"boven UCL",IF(AE308&lt;$B$23,"onder LCL","")),"")</f>
        <v/>
      </c>
      <c r="AI308" s="13">
        <f>IF(AND(ISNUMBER(AF308),ISNUMBER($B$24),ISNUMBER($D$24)),IF(AF308&gt;$D$24,"boven UCL",IF(AF308&lt;$B$24,"onder LCL","")),"")</f>
        <v/>
      </c>
      <c r="AJ308" s="13">
        <f>IF(AND(ISNUMBER(AE308),ISNUMBER($B$25),ISNUMBER($D$25)),IF(AE308&gt;$D$25,"boven UCL",IF(AE308&lt;$B$25,"onder LCL","")),"")</f>
        <v/>
      </c>
      <c r="AK308" s="13">
        <f>IF(AND(ISNUMBER(AG308),ISNUMBER($B$26),ISNUMBER($D$26)),IF(AG308&gt;$D$26,"boven UCL",IF(AG308&lt;$B$26,"onder LCL","")),"")</f>
        <v/>
      </c>
      <c r="AL308" s="13">
        <f>IF(AND(COUNT(B308:Z308)&gt;0,COUNT(AA308:AC308)&gt;0),"ruwe waarden én getypt: getypte genegeerd",IF(COUNTA(B308:Z308,AA308:AC308)&gt;COUNT(B308:Z308,AA308:AC308),"tekst telt niet mee",IF(COUNT(B308:Z308)=1,"1 waarde: geen R of s","")))</f>
        <v/>
      </c>
    </row>
    <row r="309">
      <c r="A309" t="n">
        <v>258</v>
      </c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28">
        <f>IF(COUNT(B309:Z309)&gt;0,COUNT(B309:Z309),IF(OR(ISNUMBER(AA309),ISNUMBER(AB309)),$B$9,""))</f>
        <v/>
      </c>
      <c r="AE309" s="29">
        <f>IF(COUNT(B309:Z309)&gt;0,AVERAGE(B309:Z309),IF(ISNUMBER(AA309),AA309,""))</f>
        <v/>
      </c>
      <c r="AF309" s="29">
        <f>IF(COUNT(B309:Z309)&gt;1,MAX(B309:Z309)-MIN(B309:Z309),IF(ISNUMBER(AB309),AB309,""))</f>
        <v/>
      </c>
      <c r="AG309" s="29">
        <f>IF(COUNT(B309:Z309)&gt;1,_xlfn.STDEV.S(B309:Z309),IF(ISNUMBER(AC309),AC309,""))</f>
        <v/>
      </c>
      <c r="AH309" s="13">
        <f>IF(AND(ISNUMBER(AE309),ISNUMBER($B$23),ISNUMBER($D$23)),IF(AE309&gt;$D$23,"boven UCL",IF(AE309&lt;$B$23,"onder LCL","")),"")</f>
        <v/>
      </c>
      <c r="AI309" s="13">
        <f>IF(AND(ISNUMBER(AF309),ISNUMBER($B$24),ISNUMBER($D$24)),IF(AF309&gt;$D$24,"boven UCL",IF(AF309&lt;$B$24,"onder LCL","")),"")</f>
        <v/>
      </c>
      <c r="AJ309" s="13">
        <f>IF(AND(ISNUMBER(AE309),ISNUMBER($B$25),ISNUMBER($D$25)),IF(AE309&gt;$D$25,"boven UCL",IF(AE309&lt;$B$25,"onder LCL","")),"")</f>
        <v/>
      </c>
      <c r="AK309" s="13">
        <f>IF(AND(ISNUMBER(AG309),ISNUMBER($B$26),ISNUMBER($D$26)),IF(AG309&gt;$D$26,"boven UCL",IF(AG309&lt;$B$26,"onder LCL","")),"")</f>
        <v/>
      </c>
      <c r="AL309" s="13">
        <f>IF(AND(COUNT(B309:Z309)&gt;0,COUNT(AA309:AC309)&gt;0),"ruwe waarden én getypt: getypte genegeerd",IF(COUNTA(B309:Z309,AA309:AC309)&gt;COUNT(B309:Z309,AA309:AC309),"tekst telt niet mee",IF(COUNT(B309:Z309)=1,"1 waarde: geen R of s","")))</f>
        <v/>
      </c>
    </row>
    <row r="310">
      <c r="A310" t="n">
        <v>259</v>
      </c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28">
        <f>IF(COUNT(B310:Z310)&gt;0,COUNT(B310:Z310),IF(OR(ISNUMBER(AA310),ISNUMBER(AB310)),$B$9,""))</f>
        <v/>
      </c>
      <c r="AE310" s="29">
        <f>IF(COUNT(B310:Z310)&gt;0,AVERAGE(B310:Z310),IF(ISNUMBER(AA310),AA310,""))</f>
        <v/>
      </c>
      <c r="AF310" s="29">
        <f>IF(COUNT(B310:Z310)&gt;1,MAX(B310:Z310)-MIN(B310:Z310),IF(ISNUMBER(AB310),AB310,""))</f>
        <v/>
      </c>
      <c r="AG310" s="29">
        <f>IF(COUNT(B310:Z310)&gt;1,_xlfn.STDEV.S(B310:Z310),IF(ISNUMBER(AC310),AC310,""))</f>
        <v/>
      </c>
      <c r="AH310" s="13">
        <f>IF(AND(ISNUMBER(AE310),ISNUMBER($B$23),ISNUMBER($D$23)),IF(AE310&gt;$D$23,"boven UCL",IF(AE310&lt;$B$23,"onder LCL","")),"")</f>
        <v/>
      </c>
      <c r="AI310" s="13">
        <f>IF(AND(ISNUMBER(AF310),ISNUMBER($B$24),ISNUMBER($D$24)),IF(AF310&gt;$D$24,"boven UCL",IF(AF310&lt;$B$24,"onder LCL","")),"")</f>
        <v/>
      </c>
      <c r="AJ310" s="13">
        <f>IF(AND(ISNUMBER(AE310),ISNUMBER($B$25),ISNUMBER($D$25)),IF(AE310&gt;$D$25,"boven UCL",IF(AE310&lt;$B$25,"onder LCL","")),"")</f>
        <v/>
      </c>
      <c r="AK310" s="13">
        <f>IF(AND(ISNUMBER(AG310),ISNUMBER($B$26),ISNUMBER($D$26)),IF(AG310&gt;$D$26,"boven UCL",IF(AG310&lt;$B$26,"onder LCL","")),"")</f>
        <v/>
      </c>
      <c r="AL310" s="13">
        <f>IF(AND(COUNT(B310:Z310)&gt;0,COUNT(AA310:AC310)&gt;0),"ruwe waarden én getypt: getypte genegeerd",IF(COUNTA(B310:Z310,AA310:AC310)&gt;COUNT(B310:Z310,AA310:AC310),"tekst telt niet mee",IF(COUNT(B310:Z310)=1,"1 waarde: geen R of s","")))</f>
        <v/>
      </c>
    </row>
    <row r="311">
      <c r="A311" t="n">
        <v>260</v>
      </c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28">
        <f>IF(COUNT(B311:Z311)&gt;0,COUNT(B311:Z311),IF(OR(ISNUMBER(AA311),ISNUMBER(AB311)),$B$9,""))</f>
        <v/>
      </c>
      <c r="AE311" s="29">
        <f>IF(COUNT(B311:Z311)&gt;0,AVERAGE(B311:Z311),IF(ISNUMBER(AA311),AA311,""))</f>
        <v/>
      </c>
      <c r="AF311" s="29">
        <f>IF(COUNT(B311:Z311)&gt;1,MAX(B311:Z311)-MIN(B311:Z311),IF(ISNUMBER(AB311),AB311,""))</f>
        <v/>
      </c>
      <c r="AG311" s="29">
        <f>IF(COUNT(B311:Z311)&gt;1,_xlfn.STDEV.S(B311:Z311),IF(ISNUMBER(AC311),AC311,""))</f>
        <v/>
      </c>
      <c r="AH311" s="13">
        <f>IF(AND(ISNUMBER(AE311),ISNUMBER($B$23),ISNUMBER($D$23)),IF(AE311&gt;$D$23,"boven UCL",IF(AE311&lt;$B$23,"onder LCL","")),"")</f>
        <v/>
      </c>
      <c r="AI311" s="13">
        <f>IF(AND(ISNUMBER(AF311),ISNUMBER($B$24),ISNUMBER($D$24)),IF(AF311&gt;$D$24,"boven UCL",IF(AF311&lt;$B$24,"onder LCL","")),"")</f>
        <v/>
      </c>
      <c r="AJ311" s="13">
        <f>IF(AND(ISNUMBER(AE311),ISNUMBER($B$25),ISNUMBER($D$25)),IF(AE311&gt;$D$25,"boven UCL",IF(AE311&lt;$B$25,"onder LCL","")),"")</f>
        <v/>
      </c>
      <c r="AK311" s="13">
        <f>IF(AND(ISNUMBER(AG311),ISNUMBER($B$26),ISNUMBER($D$26)),IF(AG311&gt;$D$26,"boven UCL",IF(AG311&lt;$B$26,"onder LCL","")),"")</f>
        <v/>
      </c>
      <c r="AL311" s="13">
        <f>IF(AND(COUNT(B311:Z311)&gt;0,COUNT(AA311:AC311)&gt;0),"ruwe waarden én getypt: getypte genegeerd",IF(COUNTA(B311:Z311,AA311:AC311)&gt;COUNT(B311:Z311,AA311:AC311),"tekst telt niet mee",IF(COUNT(B311:Z311)=1,"1 waarde: geen R of s","")))</f>
        <v/>
      </c>
    </row>
    <row r="312">
      <c r="A312" t="n">
        <v>261</v>
      </c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28">
        <f>IF(COUNT(B312:Z312)&gt;0,COUNT(B312:Z312),IF(OR(ISNUMBER(AA312),ISNUMBER(AB312)),$B$9,""))</f>
        <v/>
      </c>
      <c r="AE312" s="29">
        <f>IF(COUNT(B312:Z312)&gt;0,AVERAGE(B312:Z312),IF(ISNUMBER(AA312),AA312,""))</f>
        <v/>
      </c>
      <c r="AF312" s="29">
        <f>IF(COUNT(B312:Z312)&gt;1,MAX(B312:Z312)-MIN(B312:Z312),IF(ISNUMBER(AB312),AB312,""))</f>
        <v/>
      </c>
      <c r="AG312" s="29">
        <f>IF(COUNT(B312:Z312)&gt;1,_xlfn.STDEV.S(B312:Z312),IF(ISNUMBER(AC312),AC312,""))</f>
        <v/>
      </c>
      <c r="AH312" s="13">
        <f>IF(AND(ISNUMBER(AE312),ISNUMBER($B$23),ISNUMBER($D$23)),IF(AE312&gt;$D$23,"boven UCL",IF(AE312&lt;$B$23,"onder LCL","")),"")</f>
        <v/>
      </c>
      <c r="AI312" s="13">
        <f>IF(AND(ISNUMBER(AF312),ISNUMBER($B$24),ISNUMBER($D$24)),IF(AF312&gt;$D$24,"boven UCL",IF(AF312&lt;$B$24,"onder LCL","")),"")</f>
        <v/>
      </c>
      <c r="AJ312" s="13">
        <f>IF(AND(ISNUMBER(AE312),ISNUMBER($B$25),ISNUMBER($D$25)),IF(AE312&gt;$D$25,"boven UCL",IF(AE312&lt;$B$25,"onder LCL","")),"")</f>
        <v/>
      </c>
      <c r="AK312" s="13">
        <f>IF(AND(ISNUMBER(AG312),ISNUMBER($B$26),ISNUMBER($D$26)),IF(AG312&gt;$D$26,"boven UCL",IF(AG312&lt;$B$26,"onder LCL","")),"")</f>
        <v/>
      </c>
      <c r="AL312" s="13">
        <f>IF(AND(COUNT(B312:Z312)&gt;0,COUNT(AA312:AC312)&gt;0),"ruwe waarden én getypt: getypte genegeerd",IF(COUNTA(B312:Z312,AA312:AC312)&gt;COUNT(B312:Z312,AA312:AC312),"tekst telt niet mee",IF(COUNT(B312:Z312)=1,"1 waarde: geen R of s","")))</f>
        <v/>
      </c>
    </row>
    <row r="313">
      <c r="A313" t="n">
        <v>262</v>
      </c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28">
        <f>IF(COUNT(B313:Z313)&gt;0,COUNT(B313:Z313),IF(OR(ISNUMBER(AA313),ISNUMBER(AB313)),$B$9,""))</f>
        <v/>
      </c>
      <c r="AE313" s="29">
        <f>IF(COUNT(B313:Z313)&gt;0,AVERAGE(B313:Z313),IF(ISNUMBER(AA313),AA313,""))</f>
        <v/>
      </c>
      <c r="AF313" s="29">
        <f>IF(COUNT(B313:Z313)&gt;1,MAX(B313:Z313)-MIN(B313:Z313),IF(ISNUMBER(AB313),AB313,""))</f>
        <v/>
      </c>
      <c r="AG313" s="29">
        <f>IF(COUNT(B313:Z313)&gt;1,_xlfn.STDEV.S(B313:Z313),IF(ISNUMBER(AC313),AC313,""))</f>
        <v/>
      </c>
      <c r="AH313" s="13">
        <f>IF(AND(ISNUMBER(AE313),ISNUMBER($B$23),ISNUMBER($D$23)),IF(AE313&gt;$D$23,"boven UCL",IF(AE313&lt;$B$23,"onder LCL","")),"")</f>
        <v/>
      </c>
      <c r="AI313" s="13">
        <f>IF(AND(ISNUMBER(AF313),ISNUMBER($B$24),ISNUMBER($D$24)),IF(AF313&gt;$D$24,"boven UCL",IF(AF313&lt;$B$24,"onder LCL","")),"")</f>
        <v/>
      </c>
      <c r="AJ313" s="13">
        <f>IF(AND(ISNUMBER(AE313),ISNUMBER($B$25),ISNUMBER($D$25)),IF(AE313&gt;$D$25,"boven UCL",IF(AE313&lt;$B$25,"onder LCL","")),"")</f>
        <v/>
      </c>
      <c r="AK313" s="13">
        <f>IF(AND(ISNUMBER(AG313),ISNUMBER($B$26),ISNUMBER($D$26)),IF(AG313&gt;$D$26,"boven UCL",IF(AG313&lt;$B$26,"onder LCL","")),"")</f>
        <v/>
      </c>
      <c r="AL313" s="13">
        <f>IF(AND(COUNT(B313:Z313)&gt;0,COUNT(AA313:AC313)&gt;0),"ruwe waarden én getypt: getypte genegeerd",IF(COUNTA(B313:Z313,AA313:AC313)&gt;COUNT(B313:Z313,AA313:AC313),"tekst telt niet mee",IF(COUNT(B313:Z313)=1,"1 waarde: geen R of s","")))</f>
        <v/>
      </c>
    </row>
    <row r="314">
      <c r="A314" t="n">
        <v>263</v>
      </c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28">
        <f>IF(COUNT(B314:Z314)&gt;0,COUNT(B314:Z314),IF(OR(ISNUMBER(AA314),ISNUMBER(AB314)),$B$9,""))</f>
        <v/>
      </c>
      <c r="AE314" s="29">
        <f>IF(COUNT(B314:Z314)&gt;0,AVERAGE(B314:Z314),IF(ISNUMBER(AA314),AA314,""))</f>
        <v/>
      </c>
      <c r="AF314" s="29">
        <f>IF(COUNT(B314:Z314)&gt;1,MAX(B314:Z314)-MIN(B314:Z314),IF(ISNUMBER(AB314),AB314,""))</f>
        <v/>
      </c>
      <c r="AG314" s="29">
        <f>IF(COUNT(B314:Z314)&gt;1,_xlfn.STDEV.S(B314:Z314),IF(ISNUMBER(AC314),AC314,""))</f>
        <v/>
      </c>
      <c r="AH314" s="13">
        <f>IF(AND(ISNUMBER(AE314),ISNUMBER($B$23),ISNUMBER($D$23)),IF(AE314&gt;$D$23,"boven UCL",IF(AE314&lt;$B$23,"onder LCL","")),"")</f>
        <v/>
      </c>
      <c r="AI314" s="13">
        <f>IF(AND(ISNUMBER(AF314),ISNUMBER($B$24),ISNUMBER($D$24)),IF(AF314&gt;$D$24,"boven UCL",IF(AF314&lt;$B$24,"onder LCL","")),"")</f>
        <v/>
      </c>
      <c r="AJ314" s="13">
        <f>IF(AND(ISNUMBER(AE314),ISNUMBER($B$25),ISNUMBER($D$25)),IF(AE314&gt;$D$25,"boven UCL",IF(AE314&lt;$B$25,"onder LCL","")),"")</f>
        <v/>
      </c>
      <c r="AK314" s="13">
        <f>IF(AND(ISNUMBER(AG314),ISNUMBER($B$26),ISNUMBER($D$26)),IF(AG314&gt;$D$26,"boven UCL",IF(AG314&lt;$B$26,"onder LCL","")),"")</f>
        <v/>
      </c>
      <c r="AL314" s="13">
        <f>IF(AND(COUNT(B314:Z314)&gt;0,COUNT(AA314:AC314)&gt;0),"ruwe waarden én getypt: getypte genegeerd",IF(COUNTA(B314:Z314,AA314:AC314)&gt;COUNT(B314:Z314,AA314:AC314),"tekst telt niet mee",IF(COUNT(B314:Z314)=1,"1 waarde: geen R of s","")))</f>
        <v/>
      </c>
    </row>
    <row r="315">
      <c r="A315" t="n">
        <v>264</v>
      </c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28">
        <f>IF(COUNT(B315:Z315)&gt;0,COUNT(B315:Z315),IF(OR(ISNUMBER(AA315),ISNUMBER(AB315)),$B$9,""))</f>
        <v/>
      </c>
      <c r="AE315" s="29">
        <f>IF(COUNT(B315:Z315)&gt;0,AVERAGE(B315:Z315),IF(ISNUMBER(AA315),AA315,""))</f>
        <v/>
      </c>
      <c r="AF315" s="29">
        <f>IF(COUNT(B315:Z315)&gt;1,MAX(B315:Z315)-MIN(B315:Z315),IF(ISNUMBER(AB315),AB315,""))</f>
        <v/>
      </c>
      <c r="AG315" s="29">
        <f>IF(COUNT(B315:Z315)&gt;1,_xlfn.STDEV.S(B315:Z315),IF(ISNUMBER(AC315),AC315,""))</f>
        <v/>
      </c>
      <c r="AH315" s="13">
        <f>IF(AND(ISNUMBER(AE315),ISNUMBER($B$23),ISNUMBER($D$23)),IF(AE315&gt;$D$23,"boven UCL",IF(AE315&lt;$B$23,"onder LCL","")),"")</f>
        <v/>
      </c>
      <c r="AI315" s="13">
        <f>IF(AND(ISNUMBER(AF315),ISNUMBER($B$24),ISNUMBER($D$24)),IF(AF315&gt;$D$24,"boven UCL",IF(AF315&lt;$B$24,"onder LCL","")),"")</f>
        <v/>
      </c>
      <c r="AJ315" s="13">
        <f>IF(AND(ISNUMBER(AE315),ISNUMBER($B$25),ISNUMBER($D$25)),IF(AE315&gt;$D$25,"boven UCL",IF(AE315&lt;$B$25,"onder LCL","")),"")</f>
        <v/>
      </c>
      <c r="AK315" s="13">
        <f>IF(AND(ISNUMBER(AG315),ISNUMBER($B$26),ISNUMBER($D$26)),IF(AG315&gt;$D$26,"boven UCL",IF(AG315&lt;$B$26,"onder LCL","")),"")</f>
        <v/>
      </c>
      <c r="AL315" s="13">
        <f>IF(AND(COUNT(B315:Z315)&gt;0,COUNT(AA315:AC315)&gt;0),"ruwe waarden én getypt: getypte genegeerd",IF(COUNTA(B315:Z315,AA315:AC315)&gt;COUNT(B315:Z315,AA315:AC315),"tekst telt niet mee",IF(COUNT(B315:Z315)=1,"1 waarde: geen R of s","")))</f>
        <v/>
      </c>
    </row>
    <row r="316">
      <c r="A316" t="n">
        <v>265</v>
      </c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28">
        <f>IF(COUNT(B316:Z316)&gt;0,COUNT(B316:Z316),IF(OR(ISNUMBER(AA316),ISNUMBER(AB316)),$B$9,""))</f>
        <v/>
      </c>
      <c r="AE316" s="29">
        <f>IF(COUNT(B316:Z316)&gt;0,AVERAGE(B316:Z316),IF(ISNUMBER(AA316),AA316,""))</f>
        <v/>
      </c>
      <c r="AF316" s="29">
        <f>IF(COUNT(B316:Z316)&gt;1,MAX(B316:Z316)-MIN(B316:Z316),IF(ISNUMBER(AB316),AB316,""))</f>
        <v/>
      </c>
      <c r="AG316" s="29">
        <f>IF(COUNT(B316:Z316)&gt;1,_xlfn.STDEV.S(B316:Z316),IF(ISNUMBER(AC316),AC316,""))</f>
        <v/>
      </c>
      <c r="AH316" s="13">
        <f>IF(AND(ISNUMBER(AE316),ISNUMBER($B$23),ISNUMBER($D$23)),IF(AE316&gt;$D$23,"boven UCL",IF(AE316&lt;$B$23,"onder LCL","")),"")</f>
        <v/>
      </c>
      <c r="AI316" s="13">
        <f>IF(AND(ISNUMBER(AF316),ISNUMBER($B$24),ISNUMBER($D$24)),IF(AF316&gt;$D$24,"boven UCL",IF(AF316&lt;$B$24,"onder LCL","")),"")</f>
        <v/>
      </c>
      <c r="AJ316" s="13">
        <f>IF(AND(ISNUMBER(AE316),ISNUMBER($B$25),ISNUMBER($D$25)),IF(AE316&gt;$D$25,"boven UCL",IF(AE316&lt;$B$25,"onder LCL","")),"")</f>
        <v/>
      </c>
      <c r="AK316" s="13">
        <f>IF(AND(ISNUMBER(AG316),ISNUMBER($B$26),ISNUMBER($D$26)),IF(AG316&gt;$D$26,"boven UCL",IF(AG316&lt;$B$26,"onder LCL","")),"")</f>
        <v/>
      </c>
      <c r="AL316" s="13">
        <f>IF(AND(COUNT(B316:Z316)&gt;0,COUNT(AA316:AC316)&gt;0),"ruwe waarden én getypt: getypte genegeerd",IF(COUNTA(B316:Z316,AA316:AC316)&gt;COUNT(B316:Z316,AA316:AC316),"tekst telt niet mee",IF(COUNT(B316:Z316)=1,"1 waarde: geen R of s","")))</f>
        <v/>
      </c>
    </row>
    <row r="317">
      <c r="A317" t="n">
        <v>266</v>
      </c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28">
        <f>IF(COUNT(B317:Z317)&gt;0,COUNT(B317:Z317),IF(OR(ISNUMBER(AA317),ISNUMBER(AB317)),$B$9,""))</f>
        <v/>
      </c>
      <c r="AE317" s="29">
        <f>IF(COUNT(B317:Z317)&gt;0,AVERAGE(B317:Z317),IF(ISNUMBER(AA317),AA317,""))</f>
        <v/>
      </c>
      <c r="AF317" s="29">
        <f>IF(COUNT(B317:Z317)&gt;1,MAX(B317:Z317)-MIN(B317:Z317),IF(ISNUMBER(AB317),AB317,""))</f>
        <v/>
      </c>
      <c r="AG317" s="29">
        <f>IF(COUNT(B317:Z317)&gt;1,_xlfn.STDEV.S(B317:Z317),IF(ISNUMBER(AC317),AC317,""))</f>
        <v/>
      </c>
      <c r="AH317" s="13">
        <f>IF(AND(ISNUMBER(AE317),ISNUMBER($B$23),ISNUMBER($D$23)),IF(AE317&gt;$D$23,"boven UCL",IF(AE317&lt;$B$23,"onder LCL","")),"")</f>
        <v/>
      </c>
      <c r="AI317" s="13">
        <f>IF(AND(ISNUMBER(AF317),ISNUMBER($B$24),ISNUMBER($D$24)),IF(AF317&gt;$D$24,"boven UCL",IF(AF317&lt;$B$24,"onder LCL","")),"")</f>
        <v/>
      </c>
      <c r="AJ317" s="13">
        <f>IF(AND(ISNUMBER(AE317),ISNUMBER($B$25),ISNUMBER($D$25)),IF(AE317&gt;$D$25,"boven UCL",IF(AE317&lt;$B$25,"onder LCL","")),"")</f>
        <v/>
      </c>
      <c r="AK317" s="13">
        <f>IF(AND(ISNUMBER(AG317),ISNUMBER($B$26),ISNUMBER($D$26)),IF(AG317&gt;$D$26,"boven UCL",IF(AG317&lt;$B$26,"onder LCL","")),"")</f>
        <v/>
      </c>
      <c r="AL317" s="13">
        <f>IF(AND(COUNT(B317:Z317)&gt;0,COUNT(AA317:AC317)&gt;0),"ruwe waarden én getypt: getypte genegeerd",IF(COUNTA(B317:Z317,AA317:AC317)&gt;COUNT(B317:Z317,AA317:AC317),"tekst telt niet mee",IF(COUNT(B317:Z317)=1,"1 waarde: geen R of s","")))</f>
        <v/>
      </c>
    </row>
    <row r="318">
      <c r="A318" t="n">
        <v>267</v>
      </c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28">
        <f>IF(COUNT(B318:Z318)&gt;0,COUNT(B318:Z318),IF(OR(ISNUMBER(AA318),ISNUMBER(AB318)),$B$9,""))</f>
        <v/>
      </c>
      <c r="AE318" s="29">
        <f>IF(COUNT(B318:Z318)&gt;0,AVERAGE(B318:Z318),IF(ISNUMBER(AA318),AA318,""))</f>
        <v/>
      </c>
      <c r="AF318" s="29">
        <f>IF(COUNT(B318:Z318)&gt;1,MAX(B318:Z318)-MIN(B318:Z318),IF(ISNUMBER(AB318),AB318,""))</f>
        <v/>
      </c>
      <c r="AG318" s="29">
        <f>IF(COUNT(B318:Z318)&gt;1,_xlfn.STDEV.S(B318:Z318),IF(ISNUMBER(AC318),AC318,""))</f>
        <v/>
      </c>
      <c r="AH318" s="13">
        <f>IF(AND(ISNUMBER(AE318),ISNUMBER($B$23),ISNUMBER($D$23)),IF(AE318&gt;$D$23,"boven UCL",IF(AE318&lt;$B$23,"onder LCL","")),"")</f>
        <v/>
      </c>
      <c r="AI318" s="13">
        <f>IF(AND(ISNUMBER(AF318),ISNUMBER($B$24),ISNUMBER($D$24)),IF(AF318&gt;$D$24,"boven UCL",IF(AF318&lt;$B$24,"onder LCL","")),"")</f>
        <v/>
      </c>
      <c r="AJ318" s="13">
        <f>IF(AND(ISNUMBER(AE318),ISNUMBER($B$25),ISNUMBER($D$25)),IF(AE318&gt;$D$25,"boven UCL",IF(AE318&lt;$B$25,"onder LCL","")),"")</f>
        <v/>
      </c>
      <c r="AK318" s="13">
        <f>IF(AND(ISNUMBER(AG318),ISNUMBER($B$26),ISNUMBER($D$26)),IF(AG318&gt;$D$26,"boven UCL",IF(AG318&lt;$B$26,"onder LCL","")),"")</f>
        <v/>
      </c>
      <c r="AL318" s="13">
        <f>IF(AND(COUNT(B318:Z318)&gt;0,COUNT(AA318:AC318)&gt;0),"ruwe waarden én getypt: getypte genegeerd",IF(COUNTA(B318:Z318,AA318:AC318)&gt;COUNT(B318:Z318,AA318:AC318),"tekst telt niet mee",IF(COUNT(B318:Z318)=1,"1 waarde: geen R of s","")))</f>
        <v/>
      </c>
    </row>
    <row r="319">
      <c r="A319" t="n">
        <v>268</v>
      </c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28">
        <f>IF(COUNT(B319:Z319)&gt;0,COUNT(B319:Z319),IF(OR(ISNUMBER(AA319),ISNUMBER(AB319)),$B$9,""))</f>
        <v/>
      </c>
      <c r="AE319" s="29">
        <f>IF(COUNT(B319:Z319)&gt;0,AVERAGE(B319:Z319),IF(ISNUMBER(AA319),AA319,""))</f>
        <v/>
      </c>
      <c r="AF319" s="29">
        <f>IF(COUNT(B319:Z319)&gt;1,MAX(B319:Z319)-MIN(B319:Z319),IF(ISNUMBER(AB319),AB319,""))</f>
        <v/>
      </c>
      <c r="AG319" s="29">
        <f>IF(COUNT(B319:Z319)&gt;1,_xlfn.STDEV.S(B319:Z319),IF(ISNUMBER(AC319),AC319,""))</f>
        <v/>
      </c>
      <c r="AH319" s="13">
        <f>IF(AND(ISNUMBER(AE319),ISNUMBER($B$23),ISNUMBER($D$23)),IF(AE319&gt;$D$23,"boven UCL",IF(AE319&lt;$B$23,"onder LCL","")),"")</f>
        <v/>
      </c>
      <c r="AI319" s="13">
        <f>IF(AND(ISNUMBER(AF319),ISNUMBER($B$24),ISNUMBER($D$24)),IF(AF319&gt;$D$24,"boven UCL",IF(AF319&lt;$B$24,"onder LCL","")),"")</f>
        <v/>
      </c>
      <c r="AJ319" s="13">
        <f>IF(AND(ISNUMBER(AE319),ISNUMBER($B$25),ISNUMBER($D$25)),IF(AE319&gt;$D$25,"boven UCL",IF(AE319&lt;$B$25,"onder LCL","")),"")</f>
        <v/>
      </c>
      <c r="AK319" s="13">
        <f>IF(AND(ISNUMBER(AG319),ISNUMBER($B$26),ISNUMBER($D$26)),IF(AG319&gt;$D$26,"boven UCL",IF(AG319&lt;$B$26,"onder LCL","")),"")</f>
        <v/>
      </c>
      <c r="AL319" s="13">
        <f>IF(AND(COUNT(B319:Z319)&gt;0,COUNT(AA319:AC319)&gt;0),"ruwe waarden én getypt: getypte genegeerd",IF(COUNTA(B319:Z319,AA319:AC319)&gt;COUNT(B319:Z319,AA319:AC319),"tekst telt niet mee",IF(COUNT(B319:Z319)=1,"1 waarde: geen R of s","")))</f>
        <v/>
      </c>
    </row>
    <row r="320">
      <c r="A320" t="n">
        <v>269</v>
      </c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28">
        <f>IF(COUNT(B320:Z320)&gt;0,COUNT(B320:Z320),IF(OR(ISNUMBER(AA320),ISNUMBER(AB320)),$B$9,""))</f>
        <v/>
      </c>
      <c r="AE320" s="29">
        <f>IF(COUNT(B320:Z320)&gt;0,AVERAGE(B320:Z320),IF(ISNUMBER(AA320),AA320,""))</f>
        <v/>
      </c>
      <c r="AF320" s="29">
        <f>IF(COUNT(B320:Z320)&gt;1,MAX(B320:Z320)-MIN(B320:Z320),IF(ISNUMBER(AB320),AB320,""))</f>
        <v/>
      </c>
      <c r="AG320" s="29">
        <f>IF(COUNT(B320:Z320)&gt;1,_xlfn.STDEV.S(B320:Z320),IF(ISNUMBER(AC320),AC320,""))</f>
        <v/>
      </c>
      <c r="AH320" s="13">
        <f>IF(AND(ISNUMBER(AE320),ISNUMBER($B$23),ISNUMBER($D$23)),IF(AE320&gt;$D$23,"boven UCL",IF(AE320&lt;$B$23,"onder LCL","")),"")</f>
        <v/>
      </c>
      <c r="AI320" s="13">
        <f>IF(AND(ISNUMBER(AF320),ISNUMBER($B$24),ISNUMBER($D$24)),IF(AF320&gt;$D$24,"boven UCL",IF(AF320&lt;$B$24,"onder LCL","")),"")</f>
        <v/>
      </c>
      <c r="AJ320" s="13">
        <f>IF(AND(ISNUMBER(AE320),ISNUMBER($B$25),ISNUMBER($D$25)),IF(AE320&gt;$D$25,"boven UCL",IF(AE320&lt;$B$25,"onder LCL","")),"")</f>
        <v/>
      </c>
      <c r="AK320" s="13">
        <f>IF(AND(ISNUMBER(AG320),ISNUMBER($B$26),ISNUMBER($D$26)),IF(AG320&gt;$D$26,"boven UCL",IF(AG320&lt;$B$26,"onder LCL","")),"")</f>
        <v/>
      </c>
      <c r="AL320" s="13">
        <f>IF(AND(COUNT(B320:Z320)&gt;0,COUNT(AA320:AC320)&gt;0),"ruwe waarden én getypt: getypte genegeerd",IF(COUNTA(B320:Z320,AA320:AC320)&gt;COUNT(B320:Z320,AA320:AC320),"tekst telt niet mee",IF(COUNT(B320:Z320)=1,"1 waarde: geen R of s","")))</f>
        <v/>
      </c>
    </row>
    <row r="321">
      <c r="A321" t="n">
        <v>270</v>
      </c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28">
        <f>IF(COUNT(B321:Z321)&gt;0,COUNT(B321:Z321),IF(OR(ISNUMBER(AA321),ISNUMBER(AB321)),$B$9,""))</f>
        <v/>
      </c>
      <c r="AE321" s="29">
        <f>IF(COUNT(B321:Z321)&gt;0,AVERAGE(B321:Z321),IF(ISNUMBER(AA321),AA321,""))</f>
        <v/>
      </c>
      <c r="AF321" s="29">
        <f>IF(COUNT(B321:Z321)&gt;1,MAX(B321:Z321)-MIN(B321:Z321),IF(ISNUMBER(AB321),AB321,""))</f>
        <v/>
      </c>
      <c r="AG321" s="29">
        <f>IF(COUNT(B321:Z321)&gt;1,_xlfn.STDEV.S(B321:Z321),IF(ISNUMBER(AC321),AC321,""))</f>
        <v/>
      </c>
      <c r="AH321" s="13">
        <f>IF(AND(ISNUMBER(AE321),ISNUMBER($B$23),ISNUMBER($D$23)),IF(AE321&gt;$D$23,"boven UCL",IF(AE321&lt;$B$23,"onder LCL","")),"")</f>
        <v/>
      </c>
      <c r="AI321" s="13">
        <f>IF(AND(ISNUMBER(AF321),ISNUMBER($B$24),ISNUMBER($D$24)),IF(AF321&gt;$D$24,"boven UCL",IF(AF321&lt;$B$24,"onder LCL","")),"")</f>
        <v/>
      </c>
      <c r="AJ321" s="13">
        <f>IF(AND(ISNUMBER(AE321),ISNUMBER($B$25),ISNUMBER($D$25)),IF(AE321&gt;$D$25,"boven UCL",IF(AE321&lt;$B$25,"onder LCL","")),"")</f>
        <v/>
      </c>
      <c r="AK321" s="13">
        <f>IF(AND(ISNUMBER(AG321),ISNUMBER($B$26),ISNUMBER($D$26)),IF(AG321&gt;$D$26,"boven UCL",IF(AG321&lt;$B$26,"onder LCL","")),"")</f>
        <v/>
      </c>
      <c r="AL321" s="13">
        <f>IF(AND(COUNT(B321:Z321)&gt;0,COUNT(AA321:AC321)&gt;0),"ruwe waarden én getypt: getypte genegeerd",IF(COUNTA(B321:Z321,AA321:AC321)&gt;COUNT(B321:Z321,AA321:AC321),"tekst telt niet mee",IF(COUNT(B321:Z321)=1,"1 waarde: geen R of s","")))</f>
        <v/>
      </c>
    </row>
    <row r="322">
      <c r="A322" t="n">
        <v>271</v>
      </c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28">
        <f>IF(COUNT(B322:Z322)&gt;0,COUNT(B322:Z322),IF(OR(ISNUMBER(AA322),ISNUMBER(AB322)),$B$9,""))</f>
        <v/>
      </c>
      <c r="AE322" s="29">
        <f>IF(COUNT(B322:Z322)&gt;0,AVERAGE(B322:Z322),IF(ISNUMBER(AA322),AA322,""))</f>
        <v/>
      </c>
      <c r="AF322" s="29">
        <f>IF(COUNT(B322:Z322)&gt;1,MAX(B322:Z322)-MIN(B322:Z322),IF(ISNUMBER(AB322),AB322,""))</f>
        <v/>
      </c>
      <c r="AG322" s="29">
        <f>IF(COUNT(B322:Z322)&gt;1,_xlfn.STDEV.S(B322:Z322),IF(ISNUMBER(AC322),AC322,""))</f>
        <v/>
      </c>
      <c r="AH322" s="13">
        <f>IF(AND(ISNUMBER(AE322),ISNUMBER($B$23),ISNUMBER($D$23)),IF(AE322&gt;$D$23,"boven UCL",IF(AE322&lt;$B$23,"onder LCL","")),"")</f>
        <v/>
      </c>
      <c r="AI322" s="13">
        <f>IF(AND(ISNUMBER(AF322),ISNUMBER($B$24),ISNUMBER($D$24)),IF(AF322&gt;$D$24,"boven UCL",IF(AF322&lt;$B$24,"onder LCL","")),"")</f>
        <v/>
      </c>
      <c r="AJ322" s="13">
        <f>IF(AND(ISNUMBER(AE322),ISNUMBER($B$25),ISNUMBER($D$25)),IF(AE322&gt;$D$25,"boven UCL",IF(AE322&lt;$B$25,"onder LCL","")),"")</f>
        <v/>
      </c>
      <c r="AK322" s="13">
        <f>IF(AND(ISNUMBER(AG322),ISNUMBER($B$26),ISNUMBER($D$26)),IF(AG322&gt;$D$26,"boven UCL",IF(AG322&lt;$B$26,"onder LCL","")),"")</f>
        <v/>
      </c>
      <c r="AL322" s="13">
        <f>IF(AND(COUNT(B322:Z322)&gt;0,COUNT(AA322:AC322)&gt;0),"ruwe waarden én getypt: getypte genegeerd",IF(COUNTA(B322:Z322,AA322:AC322)&gt;COUNT(B322:Z322,AA322:AC322),"tekst telt niet mee",IF(COUNT(B322:Z322)=1,"1 waarde: geen R of s","")))</f>
        <v/>
      </c>
    </row>
    <row r="323">
      <c r="A323" t="n">
        <v>272</v>
      </c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28">
        <f>IF(COUNT(B323:Z323)&gt;0,COUNT(B323:Z323),IF(OR(ISNUMBER(AA323),ISNUMBER(AB323)),$B$9,""))</f>
        <v/>
      </c>
      <c r="AE323" s="29">
        <f>IF(COUNT(B323:Z323)&gt;0,AVERAGE(B323:Z323),IF(ISNUMBER(AA323),AA323,""))</f>
        <v/>
      </c>
      <c r="AF323" s="29">
        <f>IF(COUNT(B323:Z323)&gt;1,MAX(B323:Z323)-MIN(B323:Z323),IF(ISNUMBER(AB323),AB323,""))</f>
        <v/>
      </c>
      <c r="AG323" s="29">
        <f>IF(COUNT(B323:Z323)&gt;1,_xlfn.STDEV.S(B323:Z323),IF(ISNUMBER(AC323),AC323,""))</f>
        <v/>
      </c>
      <c r="AH323" s="13">
        <f>IF(AND(ISNUMBER(AE323),ISNUMBER($B$23),ISNUMBER($D$23)),IF(AE323&gt;$D$23,"boven UCL",IF(AE323&lt;$B$23,"onder LCL","")),"")</f>
        <v/>
      </c>
      <c r="AI323" s="13">
        <f>IF(AND(ISNUMBER(AF323),ISNUMBER($B$24),ISNUMBER($D$24)),IF(AF323&gt;$D$24,"boven UCL",IF(AF323&lt;$B$24,"onder LCL","")),"")</f>
        <v/>
      </c>
      <c r="AJ323" s="13">
        <f>IF(AND(ISNUMBER(AE323),ISNUMBER($B$25),ISNUMBER($D$25)),IF(AE323&gt;$D$25,"boven UCL",IF(AE323&lt;$B$25,"onder LCL","")),"")</f>
        <v/>
      </c>
      <c r="AK323" s="13">
        <f>IF(AND(ISNUMBER(AG323),ISNUMBER($B$26),ISNUMBER($D$26)),IF(AG323&gt;$D$26,"boven UCL",IF(AG323&lt;$B$26,"onder LCL","")),"")</f>
        <v/>
      </c>
      <c r="AL323" s="13">
        <f>IF(AND(COUNT(B323:Z323)&gt;0,COUNT(AA323:AC323)&gt;0),"ruwe waarden én getypt: getypte genegeerd",IF(COUNTA(B323:Z323,AA323:AC323)&gt;COUNT(B323:Z323,AA323:AC323),"tekst telt niet mee",IF(COUNT(B323:Z323)=1,"1 waarde: geen R of s","")))</f>
        <v/>
      </c>
    </row>
    <row r="324">
      <c r="A324" t="n">
        <v>273</v>
      </c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28">
        <f>IF(COUNT(B324:Z324)&gt;0,COUNT(B324:Z324),IF(OR(ISNUMBER(AA324),ISNUMBER(AB324)),$B$9,""))</f>
        <v/>
      </c>
      <c r="AE324" s="29">
        <f>IF(COUNT(B324:Z324)&gt;0,AVERAGE(B324:Z324),IF(ISNUMBER(AA324),AA324,""))</f>
        <v/>
      </c>
      <c r="AF324" s="29">
        <f>IF(COUNT(B324:Z324)&gt;1,MAX(B324:Z324)-MIN(B324:Z324),IF(ISNUMBER(AB324),AB324,""))</f>
        <v/>
      </c>
      <c r="AG324" s="29">
        <f>IF(COUNT(B324:Z324)&gt;1,_xlfn.STDEV.S(B324:Z324),IF(ISNUMBER(AC324),AC324,""))</f>
        <v/>
      </c>
      <c r="AH324" s="13">
        <f>IF(AND(ISNUMBER(AE324),ISNUMBER($B$23),ISNUMBER($D$23)),IF(AE324&gt;$D$23,"boven UCL",IF(AE324&lt;$B$23,"onder LCL","")),"")</f>
        <v/>
      </c>
      <c r="AI324" s="13">
        <f>IF(AND(ISNUMBER(AF324),ISNUMBER($B$24),ISNUMBER($D$24)),IF(AF324&gt;$D$24,"boven UCL",IF(AF324&lt;$B$24,"onder LCL","")),"")</f>
        <v/>
      </c>
      <c r="AJ324" s="13">
        <f>IF(AND(ISNUMBER(AE324),ISNUMBER($B$25),ISNUMBER($D$25)),IF(AE324&gt;$D$25,"boven UCL",IF(AE324&lt;$B$25,"onder LCL","")),"")</f>
        <v/>
      </c>
      <c r="AK324" s="13">
        <f>IF(AND(ISNUMBER(AG324),ISNUMBER($B$26),ISNUMBER($D$26)),IF(AG324&gt;$D$26,"boven UCL",IF(AG324&lt;$B$26,"onder LCL","")),"")</f>
        <v/>
      </c>
      <c r="AL324" s="13">
        <f>IF(AND(COUNT(B324:Z324)&gt;0,COUNT(AA324:AC324)&gt;0),"ruwe waarden én getypt: getypte genegeerd",IF(COUNTA(B324:Z324,AA324:AC324)&gt;COUNT(B324:Z324,AA324:AC324),"tekst telt niet mee",IF(COUNT(B324:Z324)=1,"1 waarde: geen R of s","")))</f>
        <v/>
      </c>
    </row>
    <row r="325">
      <c r="A325" t="n">
        <v>274</v>
      </c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28">
        <f>IF(COUNT(B325:Z325)&gt;0,COUNT(B325:Z325),IF(OR(ISNUMBER(AA325),ISNUMBER(AB325)),$B$9,""))</f>
        <v/>
      </c>
      <c r="AE325" s="29">
        <f>IF(COUNT(B325:Z325)&gt;0,AVERAGE(B325:Z325),IF(ISNUMBER(AA325),AA325,""))</f>
        <v/>
      </c>
      <c r="AF325" s="29">
        <f>IF(COUNT(B325:Z325)&gt;1,MAX(B325:Z325)-MIN(B325:Z325),IF(ISNUMBER(AB325),AB325,""))</f>
        <v/>
      </c>
      <c r="AG325" s="29">
        <f>IF(COUNT(B325:Z325)&gt;1,_xlfn.STDEV.S(B325:Z325),IF(ISNUMBER(AC325),AC325,""))</f>
        <v/>
      </c>
      <c r="AH325" s="13">
        <f>IF(AND(ISNUMBER(AE325),ISNUMBER($B$23),ISNUMBER($D$23)),IF(AE325&gt;$D$23,"boven UCL",IF(AE325&lt;$B$23,"onder LCL","")),"")</f>
        <v/>
      </c>
      <c r="AI325" s="13">
        <f>IF(AND(ISNUMBER(AF325),ISNUMBER($B$24),ISNUMBER($D$24)),IF(AF325&gt;$D$24,"boven UCL",IF(AF325&lt;$B$24,"onder LCL","")),"")</f>
        <v/>
      </c>
      <c r="AJ325" s="13">
        <f>IF(AND(ISNUMBER(AE325),ISNUMBER($B$25),ISNUMBER($D$25)),IF(AE325&gt;$D$25,"boven UCL",IF(AE325&lt;$B$25,"onder LCL","")),"")</f>
        <v/>
      </c>
      <c r="AK325" s="13">
        <f>IF(AND(ISNUMBER(AG325),ISNUMBER($B$26),ISNUMBER($D$26)),IF(AG325&gt;$D$26,"boven UCL",IF(AG325&lt;$B$26,"onder LCL","")),"")</f>
        <v/>
      </c>
      <c r="AL325" s="13">
        <f>IF(AND(COUNT(B325:Z325)&gt;0,COUNT(AA325:AC325)&gt;0),"ruwe waarden én getypt: getypte genegeerd",IF(COUNTA(B325:Z325,AA325:AC325)&gt;COUNT(B325:Z325,AA325:AC325),"tekst telt niet mee",IF(COUNT(B325:Z325)=1,"1 waarde: geen R of s","")))</f>
        <v/>
      </c>
    </row>
    <row r="326">
      <c r="A326" t="n">
        <v>275</v>
      </c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28">
        <f>IF(COUNT(B326:Z326)&gt;0,COUNT(B326:Z326),IF(OR(ISNUMBER(AA326),ISNUMBER(AB326)),$B$9,""))</f>
        <v/>
      </c>
      <c r="AE326" s="29">
        <f>IF(COUNT(B326:Z326)&gt;0,AVERAGE(B326:Z326),IF(ISNUMBER(AA326),AA326,""))</f>
        <v/>
      </c>
      <c r="AF326" s="29">
        <f>IF(COUNT(B326:Z326)&gt;1,MAX(B326:Z326)-MIN(B326:Z326),IF(ISNUMBER(AB326),AB326,""))</f>
        <v/>
      </c>
      <c r="AG326" s="29">
        <f>IF(COUNT(B326:Z326)&gt;1,_xlfn.STDEV.S(B326:Z326),IF(ISNUMBER(AC326),AC326,""))</f>
        <v/>
      </c>
      <c r="AH326" s="13">
        <f>IF(AND(ISNUMBER(AE326),ISNUMBER($B$23),ISNUMBER($D$23)),IF(AE326&gt;$D$23,"boven UCL",IF(AE326&lt;$B$23,"onder LCL","")),"")</f>
        <v/>
      </c>
      <c r="AI326" s="13">
        <f>IF(AND(ISNUMBER(AF326),ISNUMBER($B$24),ISNUMBER($D$24)),IF(AF326&gt;$D$24,"boven UCL",IF(AF326&lt;$B$24,"onder LCL","")),"")</f>
        <v/>
      </c>
      <c r="AJ326" s="13">
        <f>IF(AND(ISNUMBER(AE326),ISNUMBER($B$25),ISNUMBER($D$25)),IF(AE326&gt;$D$25,"boven UCL",IF(AE326&lt;$B$25,"onder LCL","")),"")</f>
        <v/>
      </c>
      <c r="AK326" s="13">
        <f>IF(AND(ISNUMBER(AG326),ISNUMBER($B$26),ISNUMBER($D$26)),IF(AG326&gt;$D$26,"boven UCL",IF(AG326&lt;$B$26,"onder LCL","")),"")</f>
        <v/>
      </c>
      <c r="AL326" s="13">
        <f>IF(AND(COUNT(B326:Z326)&gt;0,COUNT(AA326:AC326)&gt;0),"ruwe waarden én getypt: getypte genegeerd",IF(COUNTA(B326:Z326,AA326:AC326)&gt;COUNT(B326:Z326,AA326:AC326),"tekst telt niet mee",IF(COUNT(B326:Z326)=1,"1 waarde: geen R of s","")))</f>
        <v/>
      </c>
    </row>
    <row r="327">
      <c r="A327" t="n">
        <v>276</v>
      </c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28">
        <f>IF(COUNT(B327:Z327)&gt;0,COUNT(B327:Z327),IF(OR(ISNUMBER(AA327),ISNUMBER(AB327)),$B$9,""))</f>
        <v/>
      </c>
      <c r="AE327" s="29">
        <f>IF(COUNT(B327:Z327)&gt;0,AVERAGE(B327:Z327),IF(ISNUMBER(AA327),AA327,""))</f>
        <v/>
      </c>
      <c r="AF327" s="29">
        <f>IF(COUNT(B327:Z327)&gt;1,MAX(B327:Z327)-MIN(B327:Z327),IF(ISNUMBER(AB327),AB327,""))</f>
        <v/>
      </c>
      <c r="AG327" s="29">
        <f>IF(COUNT(B327:Z327)&gt;1,_xlfn.STDEV.S(B327:Z327),IF(ISNUMBER(AC327),AC327,""))</f>
        <v/>
      </c>
      <c r="AH327" s="13">
        <f>IF(AND(ISNUMBER(AE327),ISNUMBER($B$23),ISNUMBER($D$23)),IF(AE327&gt;$D$23,"boven UCL",IF(AE327&lt;$B$23,"onder LCL","")),"")</f>
        <v/>
      </c>
      <c r="AI327" s="13">
        <f>IF(AND(ISNUMBER(AF327),ISNUMBER($B$24),ISNUMBER($D$24)),IF(AF327&gt;$D$24,"boven UCL",IF(AF327&lt;$B$24,"onder LCL","")),"")</f>
        <v/>
      </c>
      <c r="AJ327" s="13">
        <f>IF(AND(ISNUMBER(AE327),ISNUMBER($B$25),ISNUMBER($D$25)),IF(AE327&gt;$D$25,"boven UCL",IF(AE327&lt;$B$25,"onder LCL","")),"")</f>
        <v/>
      </c>
      <c r="AK327" s="13">
        <f>IF(AND(ISNUMBER(AG327),ISNUMBER($B$26),ISNUMBER($D$26)),IF(AG327&gt;$D$26,"boven UCL",IF(AG327&lt;$B$26,"onder LCL","")),"")</f>
        <v/>
      </c>
      <c r="AL327" s="13">
        <f>IF(AND(COUNT(B327:Z327)&gt;0,COUNT(AA327:AC327)&gt;0),"ruwe waarden én getypt: getypte genegeerd",IF(COUNTA(B327:Z327,AA327:AC327)&gt;COUNT(B327:Z327,AA327:AC327),"tekst telt niet mee",IF(COUNT(B327:Z327)=1,"1 waarde: geen R of s","")))</f>
        <v/>
      </c>
    </row>
    <row r="328">
      <c r="A328" t="n">
        <v>277</v>
      </c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28">
        <f>IF(COUNT(B328:Z328)&gt;0,COUNT(B328:Z328),IF(OR(ISNUMBER(AA328),ISNUMBER(AB328)),$B$9,""))</f>
        <v/>
      </c>
      <c r="AE328" s="29">
        <f>IF(COUNT(B328:Z328)&gt;0,AVERAGE(B328:Z328),IF(ISNUMBER(AA328),AA328,""))</f>
        <v/>
      </c>
      <c r="AF328" s="29">
        <f>IF(COUNT(B328:Z328)&gt;1,MAX(B328:Z328)-MIN(B328:Z328),IF(ISNUMBER(AB328),AB328,""))</f>
        <v/>
      </c>
      <c r="AG328" s="29">
        <f>IF(COUNT(B328:Z328)&gt;1,_xlfn.STDEV.S(B328:Z328),IF(ISNUMBER(AC328),AC328,""))</f>
        <v/>
      </c>
      <c r="AH328" s="13">
        <f>IF(AND(ISNUMBER(AE328),ISNUMBER($B$23),ISNUMBER($D$23)),IF(AE328&gt;$D$23,"boven UCL",IF(AE328&lt;$B$23,"onder LCL","")),"")</f>
        <v/>
      </c>
      <c r="AI328" s="13">
        <f>IF(AND(ISNUMBER(AF328),ISNUMBER($B$24),ISNUMBER($D$24)),IF(AF328&gt;$D$24,"boven UCL",IF(AF328&lt;$B$24,"onder LCL","")),"")</f>
        <v/>
      </c>
      <c r="AJ328" s="13">
        <f>IF(AND(ISNUMBER(AE328),ISNUMBER($B$25),ISNUMBER($D$25)),IF(AE328&gt;$D$25,"boven UCL",IF(AE328&lt;$B$25,"onder LCL","")),"")</f>
        <v/>
      </c>
      <c r="AK328" s="13">
        <f>IF(AND(ISNUMBER(AG328),ISNUMBER($B$26),ISNUMBER($D$26)),IF(AG328&gt;$D$26,"boven UCL",IF(AG328&lt;$B$26,"onder LCL","")),"")</f>
        <v/>
      </c>
      <c r="AL328" s="13">
        <f>IF(AND(COUNT(B328:Z328)&gt;0,COUNT(AA328:AC328)&gt;0),"ruwe waarden én getypt: getypte genegeerd",IF(COUNTA(B328:Z328,AA328:AC328)&gt;COUNT(B328:Z328,AA328:AC328),"tekst telt niet mee",IF(COUNT(B328:Z328)=1,"1 waarde: geen R of s","")))</f>
        <v/>
      </c>
    </row>
    <row r="329">
      <c r="A329" t="n">
        <v>278</v>
      </c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28">
        <f>IF(COUNT(B329:Z329)&gt;0,COUNT(B329:Z329),IF(OR(ISNUMBER(AA329),ISNUMBER(AB329)),$B$9,""))</f>
        <v/>
      </c>
      <c r="AE329" s="29">
        <f>IF(COUNT(B329:Z329)&gt;0,AVERAGE(B329:Z329),IF(ISNUMBER(AA329),AA329,""))</f>
        <v/>
      </c>
      <c r="AF329" s="29">
        <f>IF(COUNT(B329:Z329)&gt;1,MAX(B329:Z329)-MIN(B329:Z329),IF(ISNUMBER(AB329),AB329,""))</f>
        <v/>
      </c>
      <c r="AG329" s="29">
        <f>IF(COUNT(B329:Z329)&gt;1,_xlfn.STDEV.S(B329:Z329),IF(ISNUMBER(AC329),AC329,""))</f>
        <v/>
      </c>
      <c r="AH329" s="13">
        <f>IF(AND(ISNUMBER(AE329),ISNUMBER($B$23),ISNUMBER($D$23)),IF(AE329&gt;$D$23,"boven UCL",IF(AE329&lt;$B$23,"onder LCL","")),"")</f>
        <v/>
      </c>
      <c r="AI329" s="13">
        <f>IF(AND(ISNUMBER(AF329),ISNUMBER($B$24),ISNUMBER($D$24)),IF(AF329&gt;$D$24,"boven UCL",IF(AF329&lt;$B$24,"onder LCL","")),"")</f>
        <v/>
      </c>
      <c r="AJ329" s="13">
        <f>IF(AND(ISNUMBER(AE329),ISNUMBER($B$25),ISNUMBER($D$25)),IF(AE329&gt;$D$25,"boven UCL",IF(AE329&lt;$B$25,"onder LCL","")),"")</f>
        <v/>
      </c>
      <c r="AK329" s="13">
        <f>IF(AND(ISNUMBER(AG329),ISNUMBER($B$26),ISNUMBER($D$26)),IF(AG329&gt;$D$26,"boven UCL",IF(AG329&lt;$B$26,"onder LCL","")),"")</f>
        <v/>
      </c>
      <c r="AL329" s="13">
        <f>IF(AND(COUNT(B329:Z329)&gt;0,COUNT(AA329:AC329)&gt;0),"ruwe waarden én getypt: getypte genegeerd",IF(COUNTA(B329:Z329,AA329:AC329)&gt;COUNT(B329:Z329,AA329:AC329),"tekst telt niet mee",IF(COUNT(B329:Z329)=1,"1 waarde: geen R of s","")))</f>
        <v/>
      </c>
    </row>
    <row r="330">
      <c r="A330" t="n">
        <v>279</v>
      </c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28">
        <f>IF(COUNT(B330:Z330)&gt;0,COUNT(B330:Z330),IF(OR(ISNUMBER(AA330),ISNUMBER(AB330)),$B$9,""))</f>
        <v/>
      </c>
      <c r="AE330" s="29">
        <f>IF(COUNT(B330:Z330)&gt;0,AVERAGE(B330:Z330),IF(ISNUMBER(AA330),AA330,""))</f>
        <v/>
      </c>
      <c r="AF330" s="29">
        <f>IF(COUNT(B330:Z330)&gt;1,MAX(B330:Z330)-MIN(B330:Z330),IF(ISNUMBER(AB330),AB330,""))</f>
        <v/>
      </c>
      <c r="AG330" s="29">
        <f>IF(COUNT(B330:Z330)&gt;1,_xlfn.STDEV.S(B330:Z330),IF(ISNUMBER(AC330),AC330,""))</f>
        <v/>
      </c>
      <c r="AH330" s="13">
        <f>IF(AND(ISNUMBER(AE330),ISNUMBER($B$23),ISNUMBER($D$23)),IF(AE330&gt;$D$23,"boven UCL",IF(AE330&lt;$B$23,"onder LCL","")),"")</f>
        <v/>
      </c>
      <c r="AI330" s="13">
        <f>IF(AND(ISNUMBER(AF330),ISNUMBER($B$24),ISNUMBER($D$24)),IF(AF330&gt;$D$24,"boven UCL",IF(AF330&lt;$B$24,"onder LCL","")),"")</f>
        <v/>
      </c>
      <c r="AJ330" s="13">
        <f>IF(AND(ISNUMBER(AE330),ISNUMBER($B$25),ISNUMBER($D$25)),IF(AE330&gt;$D$25,"boven UCL",IF(AE330&lt;$B$25,"onder LCL","")),"")</f>
        <v/>
      </c>
      <c r="AK330" s="13">
        <f>IF(AND(ISNUMBER(AG330),ISNUMBER($B$26),ISNUMBER($D$26)),IF(AG330&gt;$D$26,"boven UCL",IF(AG330&lt;$B$26,"onder LCL","")),"")</f>
        <v/>
      </c>
      <c r="AL330" s="13">
        <f>IF(AND(COUNT(B330:Z330)&gt;0,COUNT(AA330:AC330)&gt;0),"ruwe waarden én getypt: getypte genegeerd",IF(COUNTA(B330:Z330,AA330:AC330)&gt;COUNT(B330:Z330,AA330:AC330),"tekst telt niet mee",IF(COUNT(B330:Z330)=1,"1 waarde: geen R of s","")))</f>
        <v/>
      </c>
    </row>
    <row r="331">
      <c r="A331" t="n">
        <v>280</v>
      </c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28">
        <f>IF(COUNT(B331:Z331)&gt;0,COUNT(B331:Z331),IF(OR(ISNUMBER(AA331),ISNUMBER(AB331)),$B$9,""))</f>
        <v/>
      </c>
      <c r="AE331" s="29">
        <f>IF(COUNT(B331:Z331)&gt;0,AVERAGE(B331:Z331),IF(ISNUMBER(AA331),AA331,""))</f>
        <v/>
      </c>
      <c r="AF331" s="29">
        <f>IF(COUNT(B331:Z331)&gt;1,MAX(B331:Z331)-MIN(B331:Z331),IF(ISNUMBER(AB331),AB331,""))</f>
        <v/>
      </c>
      <c r="AG331" s="29">
        <f>IF(COUNT(B331:Z331)&gt;1,_xlfn.STDEV.S(B331:Z331),IF(ISNUMBER(AC331),AC331,""))</f>
        <v/>
      </c>
      <c r="AH331" s="13">
        <f>IF(AND(ISNUMBER(AE331),ISNUMBER($B$23),ISNUMBER($D$23)),IF(AE331&gt;$D$23,"boven UCL",IF(AE331&lt;$B$23,"onder LCL","")),"")</f>
        <v/>
      </c>
      <c r="AI331" s="13">
        <f>IF(AND(ISNUMBER(AF331),ISNUMBER($B$24),ISNUMBER($D$24)),IF(AF331&gt;$D$24,"boven UCL",IF(AF331&lt;$B$24,"onder LCL","")),"")</f>
        <v/>
      </c>
      <c r="AJ331" s="13">
        <f>IF(AND(ISNUMBER(AE331),ISNUMBER($B$25),ISNUMBER($D$25)),IF(AE331&gt;$D$25,"boven UCL",IF(AE331&lt;$B$25,"onder LCL","")),"")</f>
        <v/>
      </c>
      <c r="AK331" s="13">
        <f>IF(AND(ISNUMBER(AG331),ISNUMBER($B$26),ISNUMBER($D$26)),IF(AG331&gt;$D$26,"boven UCL",IF(AG331&lt;$B$26,"onder LCL","")),"")</f>
        <v/>
      </c>
      <c r="AL331" s="13">
        <f>IF(AND(COUNT(B331:Z331)&gt;0,COUNT(AA331:AC331)&gt;0),"ruwe waarden én getypt: getypte genegeerd",IF(COUNTA(B331:Z331,AA331:AC331)&gt;COUNT(B331:Z331,AA331:AC331),"tekst telt niet mee",IF(COUNT(B331:Z331)=1,"1 waarde: geen R of s","")))</f>
        <v/>
      </c>
    </row>
    <row r="332">
      <c r="A332" t="n">
        <v>281</v>
      </c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28">
        <f>IF(COUNT(B332:Z332)&gt;0,COUNT(B332:Z332),IF(OR(ISNUMBER(AA332),ISNUMBER(AB332)),$B$9,""))</f>
        <v/>
      </c>
      <c r="AE332" s="29">
        <f>IF(COUNT(B332:Z332)&gt;0,AVERAGE(B332:Z332),IF(ISNUMBER(AA332),AA332,""))</f>
        <v/>
      </c>
      <c r="AF332" s="29">
        <f>IF(COUNT(B332:Z332)&gt;1,MAX(B332:Z332)-MIN(B332:Z332),IF(ISNUMBER(AB332),AB332,""))</f>
        <v/>
      </c>
      <c r="AG332" s="29">
        <f>IF(COUNT(B332:Z332)&gt;1,_xlfn.STDEV.S(B332:Z332),IF(ISNUMBER(AC332),AC332,""))</f>
        <v/>
      </c>
      <c r="AH332" s="13">
        <f>IF(AND(ISNUMBER(AE332),ISNUMBER($B$23),ISNUMBER($D$23)),IF(AE332&gt;$D$23,"boven UCL",IF(AE332&lt;$B$23,"onder LCL","")),"")</f>
        <v/>
      </c>
      <c r="AI332" s="13">
        <f>IF(AND(ISNUMBER(AF332),ISNUMBER($B$24),ISNUMBER($D$24)),IF(AF332&gt;$D$24,"boven UCL",IF(AF332&lt;$B$24,"onder LCL","")),"")</f>
        <v/>
      </c>
      <c r="AJ332" s="13">
        <f>IF(AND(ISNUMBER(AE332),ISNUMBER($B$25),ISNUMBER($D$25)),IF(AE332&gt;$D$25,"boven UCL",IF(AE332&lt;$B$25,"onder LCL","")),"")</f>
        <v/>
      </c>
      <c r="AK332" s="13">
        <f>IF(AND(ISNUMBER(AG332),ISNUMBER($B$26),ISNUMBER($D$26)),IF(AG332&gt;$D$26,"boven UCL",IF(AG332&lt;$B$26,"onder LCL","")),"")</f>
        <v/>
      </c>
      <c r="AL332" s="13">
        <f>IF(AND(COUNT(B332:Z332)&gt;0,COUNT(AA332:AC332)&gt;0),"ruwe waarden én getypt: getypte genegeerd",IF(COUNTA(B332:Z332,AA332:AC332)&gt;COUNT(B332:Z332,AA332:AC332),"tekst telt niet mee",IF(COUNT(B332:Z332)=1,"1 waarde: geen R of s","")))</f>
        <v/>
      </c>
    </row>
    <row r="333">
      <c r="A333" t="n">
        <v>282</v>
      </c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28">
        <f>IF(COUNT(B333:Z333)&gt;0,COUNT(B333:Z333),IF(OR(ISNUMBER(AA333),ISNUMBER(AB333)),$B$9,""))</f>
        <v/>
      </c>
      <c r="AE333" s="29">
        <f>IF(COUNT(B333:Z333)&gt;0,AVERAGE(B333:Z333),IF(ISNUMBER(AA333),AA333,""))</f>
        <v/>
      </c>
      <c r="AF333" s="29">
        <f>IF(COUNT(B333:Z333)&gt;1,MAX(B333:Z333)-MIN(B333:Z333),IF(ISNUMBER(AB333),AB333,""))</f>
        <v/>
      </c>
      <c r="AG333" s="29">
        <f>IF(COUNT(B333:Z333)&gt;1,_xlfn.STDEV.S(B333:Z333),IF(ISNUMBER(AC333),AC333,""))</f>
        <v/>
      </c>
      <c r="AH333" s="13">
        <f>IF(AND(ISNUMBER(AE333),ISNUMBER($B$23),ISNUMBER($D$23)),IF(AE333&gt;$D$23,"boven UCL",IF(AE333&lt;$B$23,"onder LCL","")),"")</f>
        <v/>
      </c>
      <c r="AI333" s="13">
        <f>IF(AND(ISNUMBER(AF333),ISNUMBER($B$24),ISNUMBER($D$24)),IF(AF333&gt;$D$24,"boven UCL",IF(AF333&lt;$B$24,"onder LCL","")),"")</f>
        <v/>
      </c>
      <c r="AJ333" s="13">
        <f>IF(AND(ISNUMBER(AE333),ISNUMBER($B$25),ISNUMBER($D$25)),IF(AE333&gt;$D$25,"boven UCL",IF(AE333&lt;$B$25,"onder LCL","")),"")</f>
        <v/>
      </c>
      <c r="AK333" s="13">
        <f>IF(AND(ISNUMBER(AG333),ISNUMBER($B$26),ISNUMBER($D$26)),IF(AG333&gt;$D$26,"boven UCL",IF(AG333&lt;$B$26,"onder LCL","")),"")</f>
        <v/>
      </c>
      <c r="AL333" s="13">
        <f>IF(AND(COUNT(B333:Z333)&gt;0,COUNT(AA333:AC333)&gt;0),"ruwe waarden én getypt: getypte genegeerd",IF(COUNTA(B333:Z333,AA333:AC333)&gt;COUNT(B333:Z333,AA333:AC333),"tekst telt niet mee",IF(COUNT(B333:Z333)=1,"1 waarde: geen R of s","")))</f>
        <v/>
      </c>
    </row>
    <row r="334">
      <c r="A334" t="n">
        <v>283</v>
      </c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28">
        <f>IF(COUNT(B334:Z334)&gt;0,COUNT(B334:Z334),IF(OR(ISNUMBER(AA334),ISNUMBER(AB334)),$B$9,""))</f>
        <v/>
      </c>
      <c r="AE334" s="29">
        <f>IF(COUNT(B334:Z334)&gt;0,AVERAGE(B334:Z334),IF(ISNUMBER(AA334),AA334,""))</f>
        <v/>
      </c>
      <c r="AF334" s="29">
        <f>IF(COUNT(B334:Z334)&gt;1,MAX(B334:Z334)-MIN(B334:Z334),IF(ISNUMBER(AB334),AB334,""))</f>
        <v/>
      </c>
      <c r="AG334" s="29">
        <f>IF(COUNT(B334:Z334)&gt;1,_xlfn.STDEV.S(B334:Z334),IF(ISNUMBER(AC334),AC334,""))</f>
        <v/>
      </c>
      <c r="AH334" s="13">
        <f>IF(AND(ISNUMBER(AE334),ISNUMBER($B$23),ISNUMBER($D$23)),IF(AE334&gt;$D$23,"boven UCL",IF(AE334&lt;$B$23,"onder LCL","")),"")</f>
        <v/>
      </c>
      <c r="AI334" s="13">
        <f>IF(AND(ISNUMBER(AF334),ISNUMBER($B$24),ISNUMBER($D$24)),IF(AF334&gt;$D$24,"boven UCL",IF(AF334&lt;$B$24,"onder LCL","")),"")</f>
        <v/>
      </c>
      <c r="AJ334" s="13">
        <f>IF(AND(ISNUMBER(AE334),ISNUMBER($B$25),ISNUMBER($D$25)),IF(AE334&gt;$D$25,"boven UCL",IF(AE334&lt;$B$25,"onder LCL","")),"")</f>
        <v/>
      </c>
      <c r="AK334" s="13">
        <f>IF(AND(ISNUMBER(AG334),ISNUMBER($B$26),ISNUMBER($D$26)),IF(AG334&gt;$D$26,"boven UCL",IF(AG334&lt;$B$26,"onder LCL","")),"")</f>
        <v/>
      </c>
      <c r="AL334" s="13">
        <f>IF(AND(COUNT(B334:Z334)&gt;0,COUNT(AA334:AC334)&gt;0),"ruwe waarden én getypt: getypte genegeerd",IF(COUNTA(B334:Z334,AA334:AC334)&gt;COUNT(B334:Z334,AA334:AC334),"tekst telt niet mee",IF(COUNT(B334:Z334)=1,"1 waarde: geen R of s","")))</f>
        <v/>
      </c>
    </row>
    <row r="335">
      <c r="A335" t="n">
        <v>284</v>
      </c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28">
        <f>IF(COUNT(B335:Z335)&gt;0,COUNT(B335:Z335),IF(OR(ISNUMBER(AA335),ISNUMBER(AB335)),$B$9,""))</f>
        <v/>
      </c>
      <c r="AE335" s="29">
        <f>IF(COUNT(B335:Z335)&gt;0,AVERAGE(B335:Z335),IF(ISNUMBER(AA335),AA335,""))</f>
        <v/>
      </c>
      <c r="AF335" s="29">
        <f>IF(COUNT(B335:Z335)&gt;1,MAX(B335:Z335)-MIN(B335:Z335),IF(ISNUMBER(AB335),AB335,""))</f>
        <v/>
      </c>
      <c r="AG335" s="29">
        <f>IF(COUNT(B335:Z335)&gt;1,_xlfn.STDEV.S(B335:Z335),IF(ISNUMBER(AC335),AC335,""))</f>
        <v/>
      </c>
      <c r="AH335" s="13">
        <f>IF(AND(ISNUMBER(AE335),ISNUMBER($B$23),ISNUMBER($D$23)),IF(AE335&gt;$D$23,"boven UCL",IF(AE335&lt;$B$23,"onder LCL","")),"")</f>
        <v/>
      </c>
      <c r="AI335" s="13">
        <f>IF(AND(ISNUMBER(AF335),ISNUMBER($B$24),ISNUMBER($D$24)),IF(AF335&gt;$D$24,"boven UCL",IF(AF335&lt;$B$24,"onder LCL","")),"")</f>
        <v/>
      </c>
      <c r="AJ335" s="13">
        <f>IF(AND(ISNUMBER(AE335),ISNUMBER($B$25),ISNUMBER($D$25)),IF(AE335&gt;$D$25,"boven UCL",IF(AE335&lt;$B$25,"onder LCL","")),"")</f>
        <v/>
      </c>
      <c r="AK335" s="13">
        <f>IF(AND(ISNUMBER(AG335),ISNUMBER($B$26),ISNUMBER($D$26)),IF(AG335&gt;$D$26,"boven UCL",IF(AG335&lt;$B$26,"onder LCL","")),"")</f>
        <v/>
      </c>
      <c r="AL335" s="13">
        <f>IF(AND(COUNT(B335:Z335)&gt;0,COUNT(AA335:AC335)&gt;0),"ruwe waarden én getypt: getypte genegeerd",IF(COUNTA(B335:Z335,AA335:AC335)&gt;COUNT(B335:Z335,AA335:AC335),"tekst telt niet mee",IF(COUNT(B335:Z335)=1,"1 waarde: geen R of s","")))</f>
        <v/>
      </c>
    </row>
    <row r="336">
      <c r="A336" t="n">
        <v>285</v>
      </c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28">
        <f>IF(COUNT(B336:Z336)&gt;0,COUNT(B336:Z336),IF(OR(ISNUMBER(AA336),ISNUMBER(AB336)),$B$9,""))</f>
        <v/>
      </c>
      <c r="AE336" s="29">
        <f>IF(COUNT(B336:Z336)&gt;0,AVERAGE(B336:Z336),IF(ISNUMBER(AA336),AA336,""))</f>
        <v/>
      </c>
      <c r="AF336" s="29">
        <f>IF(COUNT(B336:Z336)&gt;1,MAX(B336:Z336)-MIN(B336:Z336),IF(ISNUMBER(AB336),AB336,""))</f>
        <v/>
      </c>
      <c r="AG336" s="29">
        <f>IF(COUNT(B336:Z336)&gt;1,_xlfn.STDEV.S(B336:Z336),IF(ISNUMBER(AC336),AC336,""))</f>
        <v/>
      </c>
      <c r="AH336" s="13">
        <f>IF(AND(ISNUMBER(AE336),ISNUMBER($B$23),ISNUMBER($D$23)),IF(AE336&gt;$D$23,"boven UCL",IF(AE336&lt;$B$23,"onder LCL","")),"")</f>
        <v/>
      </c>
      <c r="AI336" s="13">
        <f>IF(AND(ISNUMBER(AF336),ISNUMBER($B$24),ISNUMBER($D$24)),IF(AF336&gt;$D$24,"boven UCL",IF(AF336&lt;$B$24,"onder LCL","")),"")</f>
        <v/>
      </c>
      <c r="AJ336" s="13">
        <f>IF(AND(ISNUMBER(AE336),ISNUMBER($B$25),ISNUMBER($D$25)),IF(AE336&gt;$D$25,"boven UCL",IF(AE336&lt;$B$25,"onder LCL","")),"")</f>
        <v/>
      </c>
      <c r="AK336" s="13">
        <f>IF(AND(ISNUMBER(AG336),ISNUMBER($B$26),ISNUMBER($D$26)),IF(AG336&gt;$D$26,"boven UCL",IF(AG336&lt;$B$26,"onder LCL","")),"")</f>
        <v/>
      </c>
      <c r="AL336" s="13">
        <f>IF(AND(COUNT(B336:Z336)&gt;0,COUNT(AA336:AC336)&gt;0),"ruwe waarden én getypt: getypte genegeerd",IF(COUNTA(B336:Z336,AA336:AC336)&gt;COUNT(B336:Z336,AA336:AC336),"tekst telt niet mee",IF(COUNT(B336:Z336)=1,"1 waarde: geen R of s","")))</f>
        <v/>
      </c>
    </row>
    <row r="337">
      <c r="A337" t="n">
        <v>286</v>
      </c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28">
        <f>IF(COUNT(B337:Z337)&gt;0,COUNT(B337:Z337),IF(OR(ISNUMBER(AA337),ISNUMBER(AB337)),$B$9,""))</f>
        <v/>
      </c>
      <c r="AE337" s="29">
        <f>IF(COUNT(B337:Z337)&gt;0,AVERAGE(B337:Z337),IF(ISNUMBER(AA337),AA337,""))</f>
        <v/>
      </c>
      <c r="AF337" s="29">
        <f>IF(COUNT(B337:Z337)&gt;1,MAX(B337:Z337)-MIN(B337:Z337),IF(ISNUMBER(AB337),AB337,""))</f>
        <v/>
      </c>
      <c r="AG337" s="29">
        <f>IF(COUNT(B337:Z337)&gt;1,_xlfn.STDEV.S(B337:Z337),IF(ISNUMBER(AC337),AC337,""))</f>
        <v/>
      </c>
      <c r="AH337" s="13">
        <f>IF(AND(ISNUMBER(AE337),ISNUMBER($B$23),ISNUMBER($D$23)),IF(AE337&gt;$D$23,"boven UCL",IF(AE337&lt;$B$23,"onder LCL","")),"")</f>
        <v/>
      </c>
      <c r="AI337" s="13">
        <f>IF(AND(ISNUMBER(AF337),ISNUMBER($B$24),ISNUMBER($D$24)),IF(AF337&gt;$D$24,"boven UCL",IF(AF337&lt;$B$24,"onder LCL","")),"")</f>
        <v/>
      </c>
      <c r="AJ337" s="13">
        <f>IF(AND(ISNUMBER(AE337),ISNUMBER($B$25),ISNUMBER($D$25)),IF(AE337&gt;$D$25,"boven UCL",IF(AE337&lt;$B$25,"onder LCL","")),"")</f>
        <v/>
      </c>
      <c r="AK337" s="13">
        <f>IF(AND(ISNUMBER(AG337),ISNUMBER($B$26),ISNUMBER($D$26)),IF(AG337&gt;$D$26,"boven UCL",IF(AG337&lt;$B$26,"onder LCL","")),"")</f>
        <v/>
      </c>
      <c r="AL337" s="13">
        <f>IF(AND(COUNT(B337:Z337)&gt;0,COUNT(AA337:AC337)&gt;0),"ruwe waarden én getypt: getypte genegeerd",IF(COUNTA(B337:Z337,AA337:AC337)&gt;COUNT(B337:Z337,AA337:AC337),"tekst telt niet mee",IF(COUNT(B337:Z337)=1,"1 waarde: geen R of s","")))</f>
        <v/>
      </c>
    </row>
    <row r="338">
      <c r="A338" t="n">
        <v>287</v>
      </c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28">
        <f>IF(COUNT(B338:Z338)&gt;0,COUNT(B338:Z338),IF(OR(ISNUMBER(AA338),ISNUMBER(AB338)),$B$9,""))</f>
        <v/>
      </c>
      <c r="AE338" s="29">
        <f>IF(COUNT(B338:Z338)&gt;0,AVERAGE(B338:Z338),IF(ISNUMBER(AA338),AA338,""))</f>
        <v/>
      </c>
      <c r="AF338" s="29">
        <f>IF(COUNT(B338:Z338)&gt;1,MAX(B338:Z338)-MIN(B338:Z338),IF(ISNUMBER(AB338),AB338,""))</f>
        <v/>
      </c>
      <c r="AG338" s="29">
        <f>IF(COUNT(B338:Z338)&gt;1,_xlfn.STDEV.S(B338:Z338),IF(ISNUMBER(AC338),AC338,""))</f>
        <v/>
      </c>
      <c r="AH338" s="13">
        <f>IF(AND(ISNUMBER(AE338),ISNUMBER($B$23),ISNUMBER($D$23)),IF(AE338&gt;$D$23,"boven UCL",IF(AE338&lt;$B$23,"onder LCL","")),"")</f>
        <v/>
      </c>
      <c r="AI338" s="13">
        <f>IF(AND(ISNUMBER(AF338),ISNUMBER($B$24),ISNUMBER($D$24)),IF(AF338&gt;$D$24,"boven UCL",IF(AF338&lt;$B$24,"onder LCL","")),"")</f>
        <v/>
      </c>
      <c r="AJ338" s="13">
        <f>IF(AND(ISNUMBER(AE338),ISNUMBER($B$25),ISNUMBER($D$25)),IF(AE338&gt;$D$25,"boven UCL",IF(AE338&lt;$B$25,"onder LCL","")),"")</f>
        <v/>
      </c>
      <c r="AK338" s="13">
        <f>IF(AND(ISNUMBER(AG338),ISNUMBER($B$26),ISNUMBER($D$26)),IF(AG338&gt;$D$26,"boven UCL",IF(AG338&lt;$B$26,"onder LCL","")),"")</f>
        <v/>
      </c>
      <c r="AL338" s="13">
        <f>IF(AND(COUNT(B338:Z338)&gt;0,COUNT(AA338:AC338)&gt;0),"ruwe waarden én getypt: getypte genegeerd",IF(COUNTA(B338:Z338,AA338:AC338)&gt;COUNT(B338:Z338,AA338:AC338),"tekst telt niet mee",IF(COUNT(B338:Z338)=1,"1 waarde: geen R of s","")))</f>
        <v/>
      </c>
    </row>
    <row r="339">
      <c r="A339" t="n">
        <v>288</v>
      </c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28">
        <f>IF(COUNT(B339:Z339)&gt;0,COUNT(B339:Z339),IF(OR(ISNUMBER(AA339),ISNUMBER(AB339)),$B$9,""))</f>
        <v/>
      </c>
      <c r="AE339" s="29">
        <f>IF(COUNT(B339:Z339)&gt;0,AVERAGE(B339:Z339),IF(ISNUMBER(AA339),AA339,""))</f>
        <v/>
      </c>
      <c r="AF339" s="29">
        <f>IF(COUNT(B339:Z339)&gt;1,MAX(B339:Z339)-MIN(B339:Z339),IF(ISNUMBER(AB339),AB339,""))</f>
        <v/>
      </c>
      <c r="AG339" s="29">
        <f>IF(COUNT(B339:Z339)&gt;1,_xlfn.STDEV.S(B339:Z339),IF(ISNUMBER(AC339),AC339,""))</f>
        <v/>
      </c>
      <c r="AH339" s="13">
        <f>IF(AND(ISNUMBER(AE339),ISNUMBER($B$23),ISNUMBER($D$23)),IF(AE339&gt;$D$23,"boven UCL",IF(AE339&lt;$B$23,"onder LCL","")),"")</f>
        <v/>
      </c>
      <c r="AI339" s="13">
        <f>IF(AND(ISNUMBER(AF339),ISNUMBER($B$24),ISNUMBER($D$24)),IF(AF339&gt;$D$24,"boven UCL",IF(AF339&lt;$B$24,"onder LCL","")),"")</f>
        <v/>
      </c>
      <c r="AJ339" s="13">
        <f>IF(AND(ISNUMBER(AE339),ISNUMBER($B$25),ISNUMBER($D$25)),IF(AE339&gt;$D$25,"boven UCL",IF(AE339&lt;$B$25,"onder LCL","")),"")</f>
        <v/>
      </c>
      <c r="AK339" s="13">
        <f>IF(AND(ISNUMBER(AG339),ISNUMBER($B$26),ISNUMBER($D$26)),IF(AG339&gt;$D$26,"boven UCL",IF(AG339&lt;$B$26,"onder LCL","")),"")</f>
        <v/>
      </c>
      <c r="AL339" s="13">
        <f>IF(AND(COUNT(B339:Z339)&gt;0,COUNT(AA339:AC339)&gt;0),"ruwe waarden én getypt: getypte genegeerd",IF(COUNTA(B339:Z339,AA339:AC339)&gt;COUNT(B339:Z339,AA339:AC339),"tekst telt niet mee",IF(COUNT(B339:Z339)=1,"1 waarde: geen R of s","")))</f>
        <v/>
      </c>
    </row>
    <row r="340">
      <c r="A340" t="n">
        <v>289</v>
      </c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28">
        <f>IF(COUNT(B340:Z340)&gt;0,COUNT(B340:Z340),IF(OR(ISNUMBER(AA340),ISNUMBER(AB340)),$B$9,""))</f>
        <v/>
      </c>
      <c r="AE340" s="29">
        <f>IF(COUNT(B340:Z340)&gt;0,AVERAGE(B340:Z340),IF(ISNUMBER(AA340),AA340,""))</f>
        <v/>
      </c>
      <c r="AF340" s="29">
        <f>IF(COUNT(B340:Z340)&gt;1,MAX(B340:Z340)-MIN(B340:Z340),IF(ISNUMBER(AB340),AB340,""))</f>
        <v/>
      </c>
      <c r="AG340" s="29">
        <f>IF(COUNT(B340:Z340)&gt;1,_xlfn.STDEV.S(B340:Z340),IF(ISNUMBER(AC340),AC340,""))</f>
        <v/>
      </c>
      <c r="AH340" s="13">
        <f>IF(AND(ISNUMBER(AE340),ISNUMBER($B$23),ISNUMBER($D$23)),IF(AE340&gt;$D$23,"boven UCL",IF(AE340&lt;$B$23,"onder LCL","")),"")</f>
        <v/>
      </c>
      <c r="AI340" s="13">
        <f>IF(AND(ISNUMBER(AF340),ISNUMBER($B$24),ISNUMBER($D$24)),IF(AF340&gt;$D$24,"boven UCL",IF(AF340&lt;$B$24,"onder LCL","")),"")</f>
        <v/>
      </c>
      <c r="AJ340" s="13">
        <f>IF(AND(ISNUMBER(AE340),ISNUMBER($B$25),ISNUMBER($D$25)),IF(AE340&gt;$D$25,"boven UCL",IF(AE340&lt;$B$25,"onder LCL","")),"")</f>
        <v/>
      </c>
      <c r="AK340" s="13">
        <f>IF(AND(ISNUMBER(AG340),ISNUMBER($B$26),ISNUMBER($D$26)),IF(AG340&gt;$D$26,"boven UCL",IF(AG340&lt;$B$26,"onder LCL","")),"")</f>
        <v/>
      </c>
      <c r="AL340" s="13">
        <f>IF(AND(COUNT(B340:Z340)&gt;0,COUNT(AA340:AC340)&gt;0),"ruwe waarden én getypt: getypte genegeerd",IF(COUNTA(B340:Z340,AA340:AC340)&gt;COUNT(B340:Z340,AA340:AC340),"tekst telt niet mee",IF(COUNT(B340:Z340)=1,"1 waarde: geen R of s","")))</f>
        <v/>
      </c>
    </row>
    <row r="341">
      <c r="A341" t="n">
        <v>290</v>
      </c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28">
        <f>IF(COUNT(B341:Z341)&gt;0,COUNT(B341:Z341),IF(OR(ISNUMBER(AA341),ISNUMBER(AB341)),$B$9,""))</f>
        <v/>
      </c>
      <c r="AE341" s="29">
        <f>IF(COUNT(B341:Z341)&gt;0,AVERAGE(B341:Z341),IF(ISNUMBER(AA341),AA341,""))</f>
        <v/>
      </c>
      <c r="AF341" s="29">
        <f>IF(COUNT(B341:Z341)&gt;1,MAX(B341:Z341)-MIN(B341:Z341),IF(ISNUMBER(AB341),AB341,""))</f>
        <v/>
      </c>
      <c r="AG341" s="29">
        <f>IF(COUNT(B341:Z341)&gt;1,_xlfn.STDEV.S(B341:Z341),IF(ISNUMBER(AC341),AC341,""))</f>
        <v/>
      </c>
      <c r="AH341" s="13">
        <f>IF(AND(ISNUMBER(AE341),ISNUMBER($B$23),ISNUMBER($D$23)),IF(AE341&gt;$D$23,"boven UCL",IF(AE341&lt;$B$23,"onder LCL","")),"")</f>
        <v/>
      </c>
      <c r="AI341" s="13">
        <f>IF(AND(ISNUMBER(AF341),ISNUMBER($B$24),ISNUMBER($D$24)),IF(AF341&gt;$D$24,"boven UCL",IF(AF341&lt;$B$24,"onder LCL","")),"")</f>
        <v/>
      </c>
      <c r="AJ341" s="13">
        <f>IF(AND(ISNUMBER(AE341),ISNUMBER($B$25),ISNUMBER($D$25)),IF(AE341&gt;$D$25,"boven UCL",IF(AE341&lt;$B$25,"onder LCL","")),"")</f>
        <v/>
      </c>
      <c r="AK341" s="13">
        <f>IF(AND(ISNUMBER(AG341),ISNUMBER($B$26),ISNUMBER($D$26)),IF(AG341&gt;$D$26,"boven UCL",IF(AG341&lt;$B$26,"onder LCL","")),"")</f>
        <v/>
      </c>
      <c r="AL341" s="13">
        <f>IF(AND(COUNT(B341:Z341)&gt;0,COUNT(AA341:AC341)&gt;0),"ruwe waarden én getypt: getypte genegeerd",IF(COUNTA(B341:Z341,AA341:AC341)&gt;COUNT(B341:Z341,AA341:AC341),"tekst telt niet mee",IF(COUNT(B341:Z341)=1,"1 waarde: geen R of s","")))</f>
        <v/>
      </c>
    </row>
    <row r="342">
      <c r="A342" t="n">
        <v>291</v>
      </c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28">
        <f>IF(COUNT(B342:Z342)&gt;0,COUNT(B342:Z342),IF(OR(ISNUMBER(AA342),ISNUMBER(AB342)),$B$9,""))</f>
        <v/>
      </c>
      <c r="AE342" s="29">
        <f>IF(COUNT(B342:Z342)&gt;0,AVERAGE(B342:Z342),IF(ISNUMBER(AA342),AA342,""))</f>
        <v/>
      </c>
      <c r="AF342" s="29">
        <f>IF(COUNT(B342:Z342)&gt;1,MAX(B342:Z342)-MIN(B342:Z342),IF(ISNUMBER(AB342),AB342,""))</f>
        <v/>
      </c>
      <c r="AG342" s="29">
        <f>IF(COUNT(B342:Z342)&gt;1,_xlfn.STDEV.S(B342:Z342),IF(ISNUMBER(AC342),AC342,""))</f>
        <v/>
      </c>
      <c r="AH342" s="13">
        <f>IF(AND(ISNUMBER(AE342),ISNUMBER($B$23),ISNUMBER($D$23)),IF(AE342&gt;$D$23,"boven UCL",IF(AE342&lt;$B$23,"onder LCL","")),"")</f>
        <v/>
      </c>
      <c r="AI342" s="13">
        <f>IF(AND(ISNUMBER(AF342),ISNUMBER($B$24),ISNUMBER($D$24)),IF(AF342&gt;$D$24,"boven UCL",IF(AF342&lt;$B$24,"onder LCL","")),"")</f>
        <v/>
      </c>
      <c r="AJ342" s="13">
        <f>IF(AND(ISNUMBER(AE342),ISNUMBER($B$25),ISNUMBER($D$25)),IF(AE342&gt;$D$25,"boven UCL",IF(AE342&lt;$B$25,"onder LCL","")),"")</f>
        <v/>
      </c>
      <c r="AK342" s="13">
        <f>IF(AND(ISNUMBER(AG342),ISNUMBER($B$26),ISNUMBER($D$26)),IF(AG342&gt;$D$26,"boven UCL",IF(AG342&lt;$B$26,"onder LCL","")),"")</f>
        <v/>
      </c>
      <c r="AL342" s="13">
        <f>IF(AND(COUNT(B342:Z342)&gt;0,COUNT(AA342:AC342)&gt;0),"ruwe waarden én getypt: getypte genegeerd",IF(COUNTA(B342:Z342,AA342:AC342)&gt;COUNT(B342:Z342,AA342:AC342),"tekst telt niet mee",IF(COUNT(B342:Z342)=1,"1 waarde: geen R of s","")))</f>
        <v/>
      </c>
    </row>
    <row r="343">
      <c r="A343" t="n">
        <v>292</v>
      </c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28">
        <f>IF(COUNT(B343:Z343)&gt;0,COUNT(B343:Z343),IF(OR(ISNUMBER(AA343),ISNUMBER(AB343)),$B$9,""))</f>
        <v/>
      </c>
      <c r="AE343" s="29">
        <f>IF(COUNT(B343:Z343)&gt;0,AVERAGE(B343:Z343),IF(ISNUMBER(AA343),AA343,""))</f>
        <v/>
      </c>
      <c r="AF343" s="29">
        <f>IF(COUNT(B343:Z343)&gt;1,MAX(B343:Z343)-MIN(B343:Z343),IF(ISNUMBER(AB343),AB343,""))</f>
        <v/>
      </c>
      <c r="AG343" s="29">
        <f>IF(COUNT(B343:Z343)&gt;1,_xlfn.STDEV.S(B343:Z343),IF(ISNUMBER(AC343),AC343,""))</f>
        <v/>
      </c>
      <c r="AH343" s="13">
        <f>IF(AND(ISNUMBER(AE343),ISNUMBER($B$23),ISNUMBER($D$23)),IF(AE343&gt;$D$23,"boven UCL",IF(AE343&lt;$B$23,"onder LCL","")),"")</f>
        <v/>
      </c>
      <c r="AI343" s="13">
        <f>IF(AND(ISNUMBER(AF343),ISNUMBER($B$24),ISNUMBER($D$24)),IF(AF343&gt;$D$24,"boven UCL",IF(AF343&lt;$B$24,"onder LCL","")),"")</f>
        <v/>
      </c>
      <c r="AJ343" s="13">
        <f>IF(AND(ISNUMBER(AE343),ISNUMBER($B$25),ISNUMBER($D$25)),IF(AE343&gt;$D$25,"boven UCL",IF(AE343&lt;$B$25,"onder LCL","")),"")</f>
        <v/>
      </c>
      <c r="AK343" s="13">
        <f>IF(AND(ISNUMBER(AG343),ISNUMBER($B$26),ISNUMBER($D$26)),IF(AG343&gt;$D$26,"boven UCL",IF(AG343&lt;$B$26,"onder LCL","")),"")</f>
        <v/>
      </c>
      <c r="AL343" s="13">
        <f>IF(AND(COUNT(B343:Z343)&gt;0,COUNT(AA343:AC343)&gt;0),"ruwe waarden én getypt: getypte genegeerd",IF(COUNTA(B343:Z343,AA343:AC343)&gt;COUNT(B343:Z343,AA343:AC343),"tekst telt niet mee",IF(COUNT(B343:Z343)=1,"1 waarde: geen R of s","")))</f>
        <v/>
      </c>
    </row>
    <row r="344">
      <c r="A344" t="n">
        <v>293</v>
      </c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28">
        <f>IF(COUNT(B344:Z344)&gt;0,COUNT(B344:Z344),IF(OR(ISNUMBER(AA344),ISNUMBER(AB344)),$B$9,""))</f>
        <v/>
      </c>
      <c r="AE344" s="29">
        <f>IF(COUNT(B344:Z344)&gt;0,AVERAGE(B344:Z344),IF(ISNUMBER(AA344),AA344,""))</f>
        <v/>
      </c>
      <c r="AF344" s="29">
        <f>IF(COUNT(B344:Z344)&gt;1,MAX(B344:Z344)-MIN(B344:Z344),IF(ISNUMBER(AB344),AB344,""))</f>
        <v/>
      </c>
      <c r="AG344" s="29">
        <f>IF(COUNT(B344:Z344)&gt;1,_xlfn.STDEV.S(B344:Z344),IF(ISNUMBER(AC344),AC344,""))</f>
        <v/>
      </c>
      <c r="AH344" s="13">
        <f>IF(AND(ISNUMBER(AE344),ISNUMBER($B$23),ISNUMBER($D$23)),IF(AE344&gt;$D$23,"boven UCL",IF(AE344&lt;$B$23,"onder LCL","")),"")</f>
        <v/>
      </c>
      <c r="AI344" s="13">
        <f>IF(AND(ISNUMBER(AF344),ISNUMBER($B$24),ISNUMBER($D$24)),IF(AF344&gt;$D$24,"boven UCL",IF(AF344&lt;$B$24,"onder LCL","")),"")</f>
        <v/>
      </c>
      <c r="AJ344" s="13">
        <f>IF(AND(ISNUMBER(AE344),ISNUMBER($B$25),ISNUMBER($D$25)),IF(AE344&gt;$D$25,"boven UCL",IF(AE344&lt;$B$25,"onder LCL","")),"")</f>
        <v/>
      </c>
      <c r="AK344" s="13">
        <f>IF(AND(ISNUMBER(AG344),ISNUMBER($B$26),ISNUMBER($D$26)),IF(AG344&gt;$D$26,"boven UCL",IF(AG344&lt;$B$26,"onder LCL","")),"")</f>
        <v/>
      </c>
      <c r="AL344" s="13">
        <f>IF(AND(COUNT(B344:Z344)&gt;0,COUNT(AA344:AC344)&gt;0),"ruwe waarden én getypt: getypte genegeerd",IF(COUNTA(B344:Z344,AA344:AC344)&gt;COUNT(B344:Z344,AA344:AC344),"tekst telt niet mee",IF(COUNT(B344:Z344)=1,"1 waarde: geen R of s","")))</f>
        <v/>
      </c>
    </row>
    <row r="345">
      <c r="A345" t="n">
        <v>294</v>
      </c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28">
        <f>IF(COUNT(B345:Z345)&gt;0,COUNT(B345:Z345),IF(OR(ISNUMBER(AA345),ISNUMBER(AB345)),$B$9,""))</f>
        <v/>
      </c>
      <c r="AE345" s="29">
        <f>IF(COUNT(B345:Z345)&gt;0,AVERAGE(B345:Z345),IF(ISNUMBER(AA345),AA345,""))</f>
        <v/>
      </c>
      <c r="AF345" s="29">
        <f>IF(COUNT(B345:Z345)&gt;1,MAX(B345:Z345)-MIN(B345:Z345),IF(ISNUMBER(AB345),AB345,""))</f>
        <v/>
      </c>
      <c r="AG345" s="29">
        <f>IF(COUNT(B345:Z345)&gt;1,_xlfn.STDEV.S(B345:Z345),IF(ISNUMBER(AC345),AC345,""))</f>
        <v/>
      </c>
      <c r="AH345" s="13">
        <f>IF(AND(ISNUMBER(AE345),ISNUMBER($B$23),ISNUMBER($D$23)),IF(AE345&gt;$D$23,"boven UCL",IF(AE345&lt;$B$23,"onder LCL","")),"")</f>
        <v/>
      </c>
      <c r="AI345" s="13">
        <f>IF(AND(ISNUMBER(AF345),ISNUMBER($B$24),ISNUMBER($D$24)),IF(AF345&gt;$D$24,"boven UCL",IF(AF345&lt;$B$24,"onder LCL","")),"")</f>
        <v/>
      </c>
      <c r="AJ345" s="13">
        <f>IF(AND(ISNUMBER(AE345),ISNUMBER($B$25),ISNUMBER($D$25)),IF(AE345&gt;$D$25,"boven UCL",IF(AE345&lt;$B$25,"onder LCL","")),"")</f>
        <v/>
      </c>
      <c r="AK345" s="13">
        <f>IF(AND(ISNUMBER(AG345),ISNUMBER($B$26),ISNUMBER($D$26)),IF(AG345&gt;$D$26,"boven UCL",IF(AG345&lt;$B$26,"onder LCL","")),"")</f>
        <v/>
      </c>
      <c r="AL345" s="13">
        <f>IF(AND(COUNT(B345:Z345)&gt;0,COUNT(AA345:AC345)&gt;0),"ruwe waarden én getypt: getypte genegeerd",IF(COUNTA(B345:Z345,AA345:AC345)&gt;COUNT(B345:Z345,AA345:AC345),"tekst telt niet mee",IF(COUNT(B345:Z345)=1,"1 waarde: geen R of s","")))</f>
        <v/>
      </c>
    </row>
    <row r="346">
      <c r="A346" t="n">
        <v>295</v>
      </c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28">
        <f>IF(COUNT(B346:Z346)&gt;0,COUNT(B346:Z346),IF(OR(ISNUMBER(AA346),ISNUMBER(AB346)),$B$9,""))</f>
        <v/>
      </c>
      <c r="AE346" s="29">
        <f>IF(COUNT(B346:Z346)&gt;0,AVERAGE(B346:Z346),IF(ISNUMBER(AA346),AA346,""))</f>
        <v/>
      </c>
      <c r="AF346" s="29">
        <f>IF(COUNT(B346:Z346)&gt;1,MAX(B346:Z346)-MIN(B346:Z346),IF(ISNUMBER(AB346),AB346,""))</f>
        <v/>
      </c>
      <c r="AG346" s="29">
        <f>IF(COUNT(B346:Z346)&gt;1,_xlfn.STDEV.S(B346:Z346),IF(ISNUMBER(AC346),AC346,""))</f>
        <v/>
      </c>
      <c r="AH346" s="13">
        <f>IF(AND(ISNUMBER(AE346),ISNUMBER($B$23),ISNUMBER($D$23)),IF(AE346&gt;$D$23,"boven UCL",IF(AE346&lt;$B$23,"onder LCL","")),"")</f>
        <v/>
      </c>
      <c r="AI346" s="13">
        <f>IF(AND(ISNUMBER(AF346),ISNUMBER($B$24),ISNUMBER($D$24)),IF(AF346&gt;$D$24,"boven UCL",IF(AF346&lt;$B$24,"onder LCL","")),"")</f>
        <v/>
      </c>
      <c r="AJ346" s="13">
        <f>IF(AND(ISNUMBER(AE346),ISNUMBER($B$25),ISNUMBER($D$25)),IF(AE346&gt;$D$25,"boven UCL",IF(AE346&lt;$B$25,"onder LCL","")),"")</f>
        <v/>
      </c>
      <c r="AK346" s="13">
        <f>IF(AND(ISNUMBER(AG346),ISNUMBER($B$26),ISNUMBER($D$26)),IF(AG346&gt;$D$26,"boven UCL",IF(AG346&lt;$B$26,"onder LCL","")),"")</f>
        <v/>
      </c>
      <c r="AL346" s="13">
        <f>IF(AND(COUNT(B346:Z346)&gt;0,COUNT(AA346:AC346)&gt;0),"ruwe waarden én getypt: getypte genegeerd",IF(COUNTA(B346:Z346,AA346:AC346)&gt;COUNT(B346:Z346,AA346:AC346),"tekst telt niet mee",IF(COUNT(B346:Z346)=1,"1 waarde: geen R of s","")))</f>
        <v/>
      </c>
    </row>
    <row r="347">
      <c r="A347" t="n">
        <v>296</v>
      </c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28">
        <f>IF(COUNT(B347:Z347)&gt;0,COUNT(B347:Z347),IF(OR(ISNUMBER(AA347),ISNUMBER(AB347)),$B$9,""))</f>
        <v/>
      </c>
      <c r="AE347" s="29">
        <f>IF(COUNT(B347:Z347)&gt;0,AVERAGE(B347:Z347),IF(ISNUMBER(AA347),AA347,""))</f>
        <v/>
      </c>
      <c r="AF347" s="29">
        <f>IF(COUNT(B347:Z347)&gt;1,MAX(B347:Z347)-MIN(B347:Z347),IF(ISNUMBER(AB347),AB347,""))</f>
        <v/>
      </c>
      <c r="AG347" s="29">
        <f>IF(COUNT(B347:Z347)&gt;1,_xlfn.STDEV.S(B347:Z347),IF(ISNUMBER(AC347),AC347,""))</f>
        <v/>
      </c>
      <c r="AH347" s="13">
        <f>IF(AND(ISNUMBER(AE347),ISNUMBER($B$23),ISNUMBER($D$23)),IF(AE347&gt;$D$23,"boven UCL",IF(AE347&lt;$B$23,"onder LCL","")),"")</f>
        <v/>
      </c>
      <c r="AI347" s="13">
        <f>IF(AND(ISNUMBER(AF347),ISNUMBER($B$24),ISNUMBER($D$24)),IF(AF347&gt;$D$24,"boven UCL",IF(AF347&lt;$B$24,"onder LCL","")),"")</f>
        <v/>
      </c>
      <c r="AJ347" s="13">
        <f>IF(AND(ISNUMBER(AE347),ISNUMBER($B$25),ISNUMBER($D$25)),IF(AE347&gt;$D$25,"boven UCL",IF(AE347&lt;$B$25,"onder LCL","")),"")</f>
        <v/>
      </c>
      <c r="AK347" s="13">
        <f>IF(AND(ISNUMBER(AG347),ISNUMBER($B$26),ISNUMBER($D$26)),IF(AG347&gt;$D$26,"boven UCL",IF(AG347&lt;$B$26,"onder LCL","")),"")</f>
        <v/>
      </c>
      <c r="AL347" s="13">
        <f>IF(AND(COUNT(B347:Z347)&gt;0,COUNT(AA347:AC347)&gt;0),"ruwe waarden én getypt: getypte genegeerd",IF(COUNTA(B347:Z347,AA347:AC347)&gt;COUNT(B347:Z347,AA347:AC347),"tekst telt niet mee",IF(COUNT(B347:Z347)=1,"1 waarde: geen R of s","")))</f>
        <v/>
      </c>
    </row>
    <row r="348">
      <c r="A348" t="n">
        <v>297</v>
      </c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28">
        <f>IF(COUNT(B348:Z348)&gt;0,COUNT(B348:Z348),IF(OR(ISNUMBER(AA348),ISNUMBER(AB348)),$B$9,""))</f>
        <v/>
      </c>
      <c r="AE348" s="29">
        <f>IF(COUNT(B348:Z348)&gt;0,AVERAGE(B348:Z348),IF(ISNUMBER(AA348),AA348,""))</f>
        <v/>
      </c>
      <c r="AF348" s="29">
        <f>IF(COUNT(B348:Z348)&gt;1,MAX(B348:Z348)-MIN(B348:Z348),IF(ISNUMBER(AB348),AB348,""))</f>
        <v/>
      </c>
      <c r="AG348" s="29">
        <f>IF(COUNT(B348:Z348)&gt;1,_xlfn.STDEV.S(B348:Z348),IF(ISNUMBER(AC348),AC348,""))</f>
        <v/>
      </c>
      <c r="AH348" s="13">
        <f>IF(AND(ISNUMBER(AE348),ISNUMBER($B$23),ISNUMBER($D$23)),IF(AE348&gt;$D$23,"boven UCL",IF(AE348&lt;$B$23,"onder LCL","")),"")</f>
        <v/>
      </c>
      <c r="AI348" s="13">
        <f>IF(AND(ISNUMBER(AF348),ISNUMBER($B$24),ISNUMBER($D$24)),IF(AF348&gt;$D$24,"boven UCL",IF(AF348&lt;$B$24,"onder LCL","")),"")</f>
        <v/>
      </c>
      <c r="AJ348" s="13">
        <f>IF(AND(ISNUMBER(AE348),ISNUMBER($B$25),ISNUMBER($D$25)),IF(AE348&gt;$D$25,"boven UCL",IF(AE348&lt;$B$25,"onder LCL","")),"")</f>
        <v/>
      </c>
      <c r="AK348" s="13">
        <f>IF(AND(ISNUMBER(AG348),ISNUMBER($B$26),ISNUMBER($D$26)),IF(AG348&gt;$D$26,"boven UCL",IF(AG348&lt;$B$26,"onder LCL","")),"")</f>
        <v/>
      </c>
      <c r="AL348" s="13">
        <f>IF(AND(COUNT(B348:Z348)&gt;0,COUNT(AA348:AC348)&gt;0),"ruwe waarden én getypt: getypte genegeerd",IF(COUNTA(B348:Z348,AA348:AC348)&gt;COUNT(B348:Z348,AA348:AC348),"tekst telt niet mee",IF(COUNT(B348:Z348)=1,"1 waarde: geen R of s","")))</f>
        <v/>
      </c>
    </row>
    <row r="349">
      <c r="A349" t="n">
        <v>298</v>
      </c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28">
        <f>IF(COUNT(B349:Z349)&gt;0,COUNT(B349:Z349),IF(OR(ISNUMBER(AA349),ISNUMBER(AB349)),$B$9,""))</f>
        <v/>
      </c>
      <c r="AE349" s="29">
        <f>IF(COUNT(B349:Z349)&gt;0,AVERAGE(B349:Z349),IF(ISNUMBER(AA349),AA349,""))</f>
        <v/>
      </c>
      <c r="AF349" s="29">
        <f>IF(COUNT(B349:Z349)&gt;1,MAX(B349:Z349)-MIN(B349:Z349),IF(ISNUMBER(AB349),AB349,""))</f>
        <v/>
      </c>
      <c r="AG349" s="29">
        <f>IF(COUNT(B349:Z349)&gt;1,_xlfn.STDEV.S(B349:Z349),IF(ISNUMBER(AC349),AC349,""))</f>
        <v/>
      </c>
      <c r="AH349" s="13">
        <f>IF(AND(ISNUMBER(AE349),ISNUMBER($B$23),ISNUMBER($D$23)),IF(AE349&gt;$D$23,"boven UCL",IF(AE349&lt;$B$23,"onder LCL","")),"")</f>
        <v/>
      </c>
      <c r="AI349" s="13">
        <f>IF(AND(ISNUMBER(AF349),ISNUMBER($B$24),ISNUMBER($D$24)),IF(AF349&gt;$D$24,"boven UCL",IF(AF349&lt;$B$24,"onder LCL","")),"")</f>
        <v/>
      </c>
      <c r="AJ349" s="13">
        <f>IF(AND(ISNUMBER(AE349),ISNUMBER($B$25),ISNUMBER($D$25)),IF(AE349&gt;$D$25,"boven UCL",IF(AE349&lt;$B$25,"onder LCL","")),"")</f>
        <v/>
      </c>
      <c r="AK349" s="13">
        <f>IF(AND(ISNUMBER(AG349),ISNUMBER($B$26),ISNUMBER($D$26)),IF(AG349&gt;$D$26,"boven UCL",IF(AG349&lt;$B$26,"onder LCL","")),"")</f>
        <v/>
      </c>
      <c r="AL349" s="13">
        <f>IF(AND(COUNT(B349:Z349)&gt;0,COUNT(AA349:AC349)&gt;0),"ruwe waarden én getypt: getypte genegeerd",IF(COUNTA(B349:Z349,AA349:AC349)&gt;COUNT(B349:Z349,AA349:AC349),"tekst telt niet mee",IF(COUNT(B349:Z349)=1,"1 waarde: geen R of s","")))</f>
        <v/>
      </c>
    </row>
    <row r="350">
      <c r="A350" t="n">
        <v>299</v>
      </c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28">
        <f>IF(COUNT(B350:Z350)&gt;0,COUNT(B350:Z350),IF(OR(ISNUMBER(AA350),ISNUMBER(AB350)),$B$9,""))</f>
        <v/>
      </c>
      <c r="AE350" s="29">
        <f>IF(COUNT(B350:Z350)&gt;0,AVERAGE(B350:Z350),IF(ISNUMBER(AA350),AA350,""))</f>
        <v/>
      </c>
      <c r="AF350" s="29">
        <f>IF(COUNT(B350:Z350)&gt;1,MAX(B350:Z350)-MIN(B350:Z350),IF(ISNUMBER(AB350),AB350,""))</f>
        <v/>
      </c>
      <c r="AG350" s="29">
        <f>IF(COUNT(B350:Z350)&gt;1,_xlfn.STDEV.S(B350:Z350),IF(ISNUMBER(AC350),AC350,""))</f>
        <v/>
      </c>
      <c r="AH350" s="13">
        <f>IF(AND(ISNUMBER(AE350),ISNUMBER($B$23),ISNUMBER($D$23)),IF(AE350&gt;$D$23,"boven UCL",IF(AE350&lt;$B$23,"onder LCL","")),"")</f>
        <v/>
      </c>
      <c r="AI350" s="13">
        <f>IF(AND(ISNUMBER(AF350),ISNUMBER($B$24),ISNUMBER($D$24)),IF(AF350&gt;$D$24,"boven UCL",IF(AF350&lt;$B$24,"onder LCL","")),"")</f>
        <v/>
      </c>
      <c r="AJ350" s="13">
        <f>IF(AND(ISNUMBER(AE350),ISNUMBER($B$25),ISNUMBER($D$25)),IF(AE350&gt;$D$25,"boven UCL",IF(AE350&lt;$B$25,"onder LCL","")),"")</f>
        <v/>
      </c>
      <c r="AK350" s="13">
        <f>IF(AND(ISNUMBER(AG350),ISNUMBER($B$26),ISNUMBER($D$26)),IF(AG350&gt;$D$26,"boven UCL",IF(AG350&lt;$B$26,"onder LCL","")),"")</f>
        <v/>
      </c>
      <c r="AL350" s="13">
        <f>IF(AND(COUNT(B350:Z350)&gt;0,COUNT(AA350:AC350)&gt;0),"ruwe waarden én getypt: getypte genegeerd",IF(COUNTA(B350:Z350,AA350:AC350)&gt;COUNT(B350:Z350,AA350:AC350),"tekst telt niet mee",IF(COUNT(B350:Z350)=1,"1 waarde: geen R of s","")))</f>
        <v/>
      </c>
    </row>
    <row r="351">
      <c r="A351" t="n">
        <v>300</v>
      </c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28">
        <f>IF(COUNT(B351:Z351)&gt;0,COUNT(B351:Z351),IF(OR(ISNUMBER(AA351),ISNUMBER(AB351)),$B$9,""))</f>
        <v/>
      </c>
      <c r="AE351" s="29">
        <f>IF(COUNT(B351:Z351)&gt;0,AVERAGE(B351:Z351),IF(ISNUMBER(AA351),AA351,""))</f>
        <v/>
      </c>
      <c r="AF351" s="29">
        <f>IF(COUNT(B351:Z351)&gt;1,MAX(B351:Z351)-MIN(B351:Z351),IF(ISNUMBER(AB351),AB351,""))</f>
        <v/>
      </c>
      <c r="AG351" s="29">
        <f>IF(COUNT(B351:Z351)&gt;1,_xlfn.STDEV.S(B351:Z351),IF(ISNUMBER(AC351),AC351,""))</f>
        <v/>
      </c>
      <c r="AH351" s="13">
        <f>IF(AND(ISNUMBER(AE351),ISNUMBER($B$23),ISNUMBER($D$23)),IF(AE351&gt;$D$23,"boven UCL",IF(AE351&lt;$B$23,"onder LCL","")),"")</f>
        <v/>
      </c>
      <c r="AI351" s="13">
        <f>IF(AND(ISNUMBER(AF351),ISNUMBER($B$24),ISNUMBER($D$24)),IF(AF351&gt;$D$24,"boven UCL",IF(AF351&lt;$B$24,"onder LCL","")),"")</f>
        <v/>
      </c>
      <c r="AJ351" s="13">
        <f>IF(AND(ISNUMBER(AE351),ISNUMBER($B$25),ISNUMBER($D$25)),IF(AE351&gt;$D$25,"boven UCL",IF(AE351&lt;$B$25,"onder LCL","")),"")</f>
        <v/>
      </c>
      <c r="AK351" s="13">
        <f>IF(AND(ISNUMBER(AG351),ISNUMBER($B$26),ISNUMBER($D$26)),IF(AG351&gt;$D$26,"boven UCL",IF(AG351&lt;$B$26,"onder LCL","")),"")</f>
        <v/>
      </c>
      <c r="AL351" s="13">
        <f>IF(AND(COUNT(B351:Z351)&gt;0,COUNT(AA351:AC351)&gt;0),"ruwe waarden én getypt: getypte genegeerd",IF(COUNTA(B351:Z351,AA351:AC351)&gt;COUNT(B351:Z351,AA351:AC351),"tekst telt niet mee",IF(COUNT(B351:Z351)=1,"1 waarde: geen R of s","")))</f>
        <v/>
      </c>
    </row>
    <row r="352">
      <c r="A352" t="n">
        <v>301</v>
      </c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28">
        <f>IF(COUNT(B352:Z352)&gt;0,COUNT(B352:Z352),IF(OR(ISNUMBER(AA352),ISNUMBER(AB352)),$B$9,""))</f>
        <v/>
      </c>
      <c r="AE352" s="29">
        <f>IF(COUNT(B352:Z352)&gt;0,AVERAGE(B352:Z352),IF(ISNUMBER(AA352),AA352,""))</f>
        <v/>
      </c>
      <c r="AF352" s="29">
        <f>IF(COUNT(B352:Z352)&gt;1,MAX(B352:Z352)-MIN(B352:Z352),IF(ISNUMBER(AB352),AB352,""))</f>
        <v/>
      </c>
      <c r="AG352" s="29">
        <f>IF(COUNT(B352:Z352)&gt;1,_xlfn.STDEV.S(B352:Z352),IF(ISNUMBER(AC352),AC352,""))</f>
        <v/>
      </c>
      <c r="AH352" s="13">
        <f>IF(AND(ISNUMBER(AE352),ISNUMBER($B$23),ISNUMBER($D$23)),IF(AE352&gt;$D$23,"boven UCL",IF(AE352&lt;$B$23,"onder LCL","")),"")</f>
        <v/>
      </c>
      <c r="AI352" s="13">
        <f>IF(AND(ISNUMBER(AF352),ISNUMBER($B$24),ISNUMBER($D$24)),IF(AF352&gt;$D$24,"boven UCL",IF(AF352&lt;$B$24,"onder LCL","")),"")</f>
        <v/>
      </c>
      <c r="AJ352" s="13">
        <f>IF(AND(ISNUMBER(AE352),ISNUMBER($B$25),ISNUMBER($D$25)),IF(AE352&gt;$D$25,"boven UCL",IF(AE352&lt;$B$25,"onder LCL","")),"")</f>
        <v/>
      </c>
      <c r="AK352" s="13">
        <f>IF(AND(ISNUMBER(AG352),ISNUMBER($B$26),ISNUMBER($D$26)),IF(AG352&gt;$D$26,"boven UCL",IF(AG352&lt;$B$26,"onder LCL","")),"")</f>
        <v/>
      </c>
      <c r="AL352" s="13">
        <f>IF(AND(COUNT(B352:Z352)&gt;0,COUNT(AA352:AC352)&gt;0),"ruwe waarden én getypt: getypte genegeerd",IF(COUNTA(B352:Z352,AA352:AC352)&gt;COUNT(B352:Z352,AA352:AC352),"tekst telt niet mee",IF(COUNT(B352:Z352)=1,"1 waarde: geen R of s","")))</f>
        <v/>
      </c>
    </row>
    <row r="353">
      <c r="A353" t="n">
        <v>302</v>
      </c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28">
        <f>IF(COUNT(B353:Z353)&gt;0,COUNT(B353:Z353),IF(OR(ISNUMBER(AA353),ISNUMBER(AB353)),$B$9,""))</f>
        <v/>
      </c>
      <c r="AE353" s="29">
        <f>IF(COUNT(B353:Z353)&gt;0,AVERAGE(B353:Z353),IF(ISNUMBER(AA353),AA353,""))</f>
        <v/>
      </c>
      <c r="AF353" s="29">
        <f>IF(COUNT(B353:Z353)&gt;1,MAX(B353:Z353)-MIN(B353:Z353),IF(ISNUMBER(AB353),AB353,""))</f>
        <v/>
      </c>
      <c r="AG353" s="29">
        <f>IF(COUNT(B353:Z353)&gt;1,_xlfn.STDEV.S(B353:Z353),IF(ISNUMBER(AC353),AC353,""))</f>
        <v/>
      </c>
      <c r="AH353" s="13">
        <f>IF(AND(ISNUMBER(AE353),ISNUMBER($B$23),ISNUMBER($D$23)),IF(AE353&gt;$D$23,"boven UCL",IF(AE353&lt;$B$23,"onder LCL","")),"")</f>
        <v/>
      </c>
      <c r="AI353" s="13">
        <f>IF(AND(ISNUMBER(AF353),ISNUMBER($B$24),ISNUMBER($D$24)),IF(AF353&gt;$D$24,"boven UCL",IF(AF353&lt;$B$24,"onder LCL","")),"")</f>
        <v/>
      </c>
      <c r="AJ353" s="13">
        <f>IF(AND(ISNUMBER(AE353),ISNUMBER($B$25),ISNUMBER($D$25)),IF(AE353&gt;$D$25,"boven UCL",IF(AE353&lt;$B$25,"onder LCL","")),"")</f>
        <v/>
      </c>
      <c r="AK353" s="13">
        <f>IF(AND(ISNUMBER(AG353),ISNUMBER($B$26),ISNUMBER($D$26)),IF(AG353&gt;$D$26,"boven UCL",IF(AG353&lt;$B$26,"onder LCL","")),"")</f>
        <v/>
      </c>
      <c r="AL353" s="13">
        <f>IF(AND(COUNT(B353:Z353)&gt;0,COUNT(AA353:AC353)&gt;0),"ruwe waarden én getypt: getypte genegeerd",IF(COUNTA(B353:Z353,AA353:AC353)&gt;COUNT(B353:Z353,AA353:AC353),"tekst telt niet mee",IF(COUNT(B353:Z353)=1,"1 waarde: geen R of s","")))</f>
        <v/>
      </c>
    </row>
    <row r="354">
      <c r="A354" t="n">
        <v>303</v>
      </c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28">
        <f>IF(COUNT(B354:Z354)&gt;0,COUNT(B354:Z354),IF(OR(ISNUMBER(AA354),ISNUMBER(AB354)),$B$9,""))</f>
        <v/>
      </c>
      <c r="AE354" s="29">
        <f>IF(COUNT(B354:Z354)&gt;0,AVERAGE(B354:Z354),IF(ISNUMBER(AA354),AA354,""))</f>
        <v/>
      </c>
      <c r="AF354" s="29">
        <f>IF(COUNT(B354:Z354)&gt;1,MAX(B354:Z354)-MIN(B354:Z354),IF(ISNUMBER(AB354),AB354,""))</f>
        <v/>
      </c>
      <c r="AG354" s="29">
        <f>IF(COUNT(B354:Z354)&gt;1,_xlfn.STDEV.S(B354:Z354),IF(ISNUMBER(AC354),AC354,""))</f>
        <v/>
      </c>
      <c r="AH354" s="13">
        <f>IF(AND(ISNUMBER(AE354),ISNUMBER($B$23),ISNUMBER($D$23)),IF(AE354&gt;$D$23,"boven UCL",IF(AE354&lt;$B$23,"onder LCL","")),"")</f>
        <v/>
      </c>
      <c r="AI354" s="13">
        <f>IF(AND(ISNUMBER(AF354),ISNUMBER($B$24),ISNUMBER($D$24)),IF(AF354&gt;$D$24,"boven UCL",IF(AF354&lt;$B$24,"onder LCL","")),"")</f>
        <v/>
      </c>
      <c r="AJ354" s="13">
        <f>IF(AND(ISNUMBER(AE354),ISNUMBER($B$25),ISNUMBER($D$25)),IF(AE354&gt;$D$25,"boven UCL",IF(AE354&lt;$B$25,"onder LCL","")),"")</f>
        <v/>
      </c>
      <c r="AK354" s="13">
        <f>IF(AND(ISNUMBER(AG354),ISNUMBER($B$26),ISNUMBER($D$26)),IF(AG354&gt;$D$26,"boven UCL",IF(AG354&lt;$B$26,"onder LCL","")),"")</f>
        <v/>
      </c>
      <c r="AL354" s="13">
        <f>IF(AND(COUNT(B354:Z354)&gt;0,COUNT(AA354:AC354)&gt;0),"ruwe waarden én getypt: getypte genegeerd",IF(COUNTA(B354:Z354,AA354:AC354)&gt;COUNT(B354:Z354,AA354:AC354),"tekst telt niet mee",IF(COUNT(B354:Z354)=1,"1 waarde: geen R of s","")))</f>
        <v/>
      </c>
    </row>
    <row r="355">
      <c r="A355" t="n">
        <v>304</v>
      </c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28">
        <f>IF(COUNT(B355:Z355)&gt;0,COUNT(B355:Z355),IF(OR(ISNUMBER(AA355),ISNUMBER(AB355)),$B$9,""))</f>
        <v/>
      </c>
      <c r="AE355" s="29">
        <f>IF(COUNT(B355:Z355)&gt;0,AVERAGE(B355:Z355),IF(ISNUMBER(AA355),AA355,""))</f>
        <v/>
      </c>
      <c r="AF355" s="29">
        <f>IF(COUNT(B355:Z355)&gt;1,MAX(B355:Z355)-MIN(B355:Z355),IF(ISNUMBER(AB355),AB355,""))</f>
        <v/>
      </c>
      <c r="AG355" s="29">
        <f>IF(COUNT(B355:Z355)&gt;1,_xlfn.STDEV.S(B355:Z355),IF(ISNUMBER(AC355),AC355,""))</f>
        <v/>
      </c>
      <c r="AH355" s="13">
        <f>IF(AND(ISNUMBER(AE355),ISNUMBER($B$23),ISNUMBER($D$23)),IF(AE355&gt;$D$23,"boven UCL",IF(AE355&lt;$B$23,"onder LCL","")),"")</f>
        <v/>
      </c>
      <c r="AI355" s="13">
        <f>IF(AND(ISNUMBER(AF355),ISNUMBER($B$24),ISNUMBER($D$24)),IF(AF355&gt;$D$24,"boven UCL",IF(AF355&lt;$B$24,"onder LCL","")),"")</f>
        <v/>
      </c>
      <c r="AJ355" s="13">
        <f>IF(AND(ISNUMBER(AE355),ISNUMBER($B$25),ISNUMBER($D$25)),IF(AE355&gt;$D$25,"boven UCL",IF(AE355&lt;$B$25,"onder LCL","")),"")</f>
        <v/>
      </c>
      <c r="AK355" s="13">
        <f>IF(AND(ISNUMBER(AG355),ISNUMBER($B$26),ISNUMBER($D$26)),IF(AG355&gt;$D$26,"boven UCL",IF(AG355&lt;$B$26,"onder LCL","")),"")</f>
        <v/>
      </c>
      <c r="AL355" s="13">
        <f>IF(AND(COUNT(B355:Z355)&gt;0,COUNT(AA355:AC355)&gt;0),"ruwe waarden én getypt: getypte genegeerd",IF(COUNTA(B355:Z355,AA355:AC355)&gt;COUNT(B355:Z355,AA355:AC355),"tekst telt niet mee",IF(COUNT(B355:Z355)=1,"1 waarde: geen R of s","")))</f>
        <v/>
      </c>
    </row>
    <row r="356">
      <c r="A356" t="n">
        <v>305</v>
      </c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28">
        <f>IF(COUNT(B356:Z356)&gt;0,COUNT(B356:Z356),IF(OR(ISNUMBER(AA356),ISNUMBER(AB356)),$B$9,""))</f>
        <v/>
      </c>
      <c r="AE356" s="29">
        <f>IF(COUNT(B356:Z356)&gt;0,AVERAGE(B356:Z356),IF(ISNUMBER(AA356),AA356,""))</f>
        <v/>
      </c>
      <c r="AF356" s="29">
        <f>IF(COUNT(B356:Z356)&gt;1,MAX(B356:Z356)-MIN(B356:Z356),IF(ISNUMBER(AB356),AB356,""))</f>
        <v/>
      </c>
      <c r="AG356" s="29">
        <f>IF(COUNT(B356:Z356)&gt;1,_xlfn.STDEV.S(B356:Z356),IF(ISNUMBER(AC356),AC356,""))</f>
        <v/>
      </c>
      <c r="AH356" s="13">
        <f>IF(AND(ISNUMBER(AE356),ISNUMBER($B$23),ISNUMBER($D$23)),IF(AE356&gt;$D$23,"boven UCL",IF(AE356&lt;$B$23,"onder LCL","")),"")</f>
        <v/>
      </c>
      <c r="AI356" s="13">
        <f>IF(AND(ISNUMBER(AF356),ISNUMBER($B$24),ISNUMBER($D$24)),IF(AF356&gt;$D$24,"boven UCL",IF(AF356&lt;$B$24,"onder LCL","")),"")</f>
        <v/>
      </c>
      <c r="AJ356" s="13">
        <f>IF(AND(ISNUMBER(AE356),ISNUMBER($B$25),ISNUMBER($D$25)),IF(AE356&gt;$D$25,"boven UCL",IF(AE356&lt;$B$25,"onder LCL","")),"")</f>
        <v/>
      </c>
      <c r="AK356" s="13">
        <f>IF(AND(ISNUMBER(AG356),ISNUMBER($B$26),ISNUMBER($D$26)),IF(AG356&gt;$D$26,"boven UCL",IF(AG356&lt;$B$26,"onder LCL","")),"")</f>
        <v/>
      </c>
      <c r="AL356" s="13">
        <f>IF(AND(COUNT(B356:Z356)&gt;0,COUNT(AA356:AC356)&gt;0),"ruwe waarden én getypt: getypte genegeerd",IF(COUNTA(B356:Z356,AA356:AC356)&gt;COUNT(B356:Z356,AA356:AC356),"tekst telt niet mee",IF(COUNT(B356:Z356)=1,"1 waarde: geen R of s","")))</f>
        <v/>
      </c>
    </row>
    <row r="357">
      <c r="A357" t="n">
        <v>306</v>
      </c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28">
        <f>IF(COUNT(B357:Z357)&gt;0,COUNT(B357:Z357),IF(OR(ISNUMBER(AA357),ISNUMBER(AB357)),$B$9,""))</f>
        <v/>
      </c>
      <c r="AE357" s="29">
        <f>IF(COUNT(B357:Z357)&gt;0,AVERAGE(B357:Z357),IF(ISNUMBER(AA357),AA357,""))</f>
        <v/>
      </c>
      <c r="AF357" s="29">
        <f>IF(COUNT(B357:Z357)&gt;1,MAX(B357:Z357)-MIN(B357:Z357),IF(ISNUMBER(AB357),AB357,""))</f>
        <v/>
      </c>
      <c r="AG357" s="29">
        <f>IF(COUNT(B357:Z357)&gt;1,_xlfn.STDEV.S(B357:Z357),IF(ISNUMBER(AC357),AC357,""))</f>
        <v/>
      </c>
      <c r="AH357" s="13">
        <f>IF(AND(ISNUMBER(AE357),ISNUMBER($B$23),ISNUMBER($D$23)),IF(AE357&gt;$D$23,"boven UCL",IF(AE357&lt;$B$23,"onder LCL","")),"")</f>
        <v/>
      </c>
      <c r="AI357" s="13">
        <f>IF(AND(ISNUMBER(AF357),ISNUMBER($B$24),ISNUMBER($D$24)),IF(AF357&gt;$D$24,"boven UCL",IF(AF357&lt;$B$24,"onder LCL","")),"")</f>
        <v/>
      </c>
      <c r="AJ357" s="13">
        <f>IF(AND(ISNUMBER(AE357),ISNUMBER($B$25),ISNUMBER($D$25)),IF(AE357&gt;$D$25,"boven UCL",IF(AE357&lt;$B$25,"onder LCL","")),"")</f>
        <v/>
      </c>
      <c r="AK357" s="13">
        <f>IF(AND(ISNUMBER(AG357),ISNUMBER($B$26),ISNUMBER($D$26)),IF(AG357&gt;$D$26,"boven UCL",IF(AG357&lt;$B$26,"onder LCL","")),"")</f>
        <v/>
      </c>
      <c r="AL357" s="13">
        <f>IF(AND(COUNT(B357:Z357)&gt;0,COUNT(AA357:AC357)&gt;0),"ruwe waarden én getypt: getypte genegeerd",IF(COUNTA(B357:Z357,AA357:AC357)&gt;COUNT(B357:Z357,AA357:AC357),"tekst telt niet mee",IF(COUNT(B357:Z357)=1,"1 waarde: geen R of s","")))</f>
        <v/>
      </c>
    </row>
    <row r="358">
      <c r="A358" t="n">
        <v>307</v>
      </c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28">
        <f>IF(COUNT(B358:Z358)&gt;0,COUNT(B358:Z358),IF(OR(ISNUMBER(AA358),ISNUMBER(AB358)),$B$9,""))</f>
        <v/>
      </c>
      <c r="AE358" s="29">
        <f>IF(COUNT(B358:Z358)&gt;0,AVERAGE(B358:Z358),IF(ISNUMBER(AA358),AA358,""))</f>
        <v/>
      </c>
      <c r="AF358" s="29">
        <f>IF(COUNT(B358:Z358)&gt;1,MAX(B358:Z358)-MIN(B358:Z358),IF(ISNUMBER(AB358),AB358,""))</f>
        <v/>
      </c>
      <c r="AG358" s="29">
        <f>IF(COUNT(B358:Z358)&gt;1,_xlfn.STDEV.S(B358:Z358),IF(ISNUMBER(AC358),AC358,""))</f>
        <v/>
      </c>
      <c r="AH358" s="13">
        <f>IF(AND(ISNUMBER(AE358),ISNUMBER($B$23),ISNUMBER($D$23)),IF(AE358&gt;$D$23,"boven UCL",IF(AE358&lt;$B$23,"onder LCL","")),"")</f>
        <v/>
      </c>
      <c r="AI358" s="13">
        <f>IF(AND(ISNUMBER(AF358),ISNUMBER($B$24),ISNUMBER($D$24)),IF(AF358&gt;$D$24,"boven UCL",IF(AF358&lt;$B$24,"onder LCL","")),"")</f>
        <v/>
      </c>
      <c r="AJ358" s="13">
        <f>IF(AND(ISNUMBER(AE358),ISNUMBER($B$25),ISNUMBER($D$25)),IF(AE358&gt;$D$25,"boven UCL",IF(AE358&lt;$B$25,"onder LCL","")),"")</f>
        <v/>
      </c>
      <c r="AK358" s="13">
        <f>IF(AND(ISNUMBER(AG358),ISNUMBER($B$26),ISNUMBER($D$26)),IF(AG358&gt;$D$26,"boven UCL",IF(AG358&lt;$B$26,"onder LCL","")),"")</f>
        <v/>
      </c>
      <c r="AL358" s="13">
        <f>IF(AND(COUNT(B358:Z358)&gt;0,COUNT(AA358:AC358)&gt;0),"ruwe waarden én getypt: getypte genegeerd",IF(COUNTA(B358:Z358,AA358:AC358)&gt;COUNT(B358:Z358,AA358:AC358),"tekst telt niet mee",IF(COUNT(B358:Z358)=1,"1 waarde: geen R of s","")))</f>
        <v/>
      </c>
    </row>
    <row r="359">
      <c r="A359" t="n">
        <v>308</v>
      </c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28">
        <f>IF(COUNT(B359:Z359)&gt;0,COUNT(B359:Z359),IF(OR(ISNUMBER(AA359),ISNUMBER(AB359)),$B$9,""))</f>
        <v/>
      </c>
      <c r="AE359" s="29">
        <f>IF(COUNT(B359:Z359)&gt;0,AVERAGE(B359:Z359),IF(ISNUMBER(AA359),AA359,""))</f>
        <v/>
      </c>
      <c r="AF359" s="29">
        <f>IF(COUNT(B359:Z359)&gt;1,MAX(B359:Z359)-MIN(B359:Z359),IF(ISNUMBER(AB359),AB359,""))</f>
        <v/>
      </c>
      <c r="AG359" s="29">
        <f>IF(COUNT(B359:Z359)&gt;1,_xlfn.STDEV.S(B359:Z359),IF(ISNUMBER(AC359),AC359,""))</f>
        <v/>
      </c>
      <c r="AH359" s="13">
        <f>IF(AND(ISNUMBER(AE359),ISNUMBER($B$23),ISNUMBER($D$23)),IF(AE359&gt;$D$23,"boven UCL",IF(AE359&lt;$B$23,"onder LCL","")),"")</f>
        <v/>
      </c>
      <c r="AI359" s="13">
        <f>IF(AND(ISNUMBER(AF359),ISNUMBER($B$24),ISNUMBER($D$24)),IF(AF359&gt;$D$24,"boven UCL",IF(AF359&lt;$B$24,"onder LCL","")),"")</f>
        <v/>
      </c>
      <c r="AJ359" s="13">
        <f>IF(AND(ISNUMBER(AE359),ISNUMBER($B$25),ISNUMBER($D$25)),IF(AE359&gt;$D$25,"boven UCL",IF(AE359&lt;$B$25,"onder LCL","")),"")</f>
        <v/>
      </c>
      <c r="AK359" s="13">
        <f>IF(AND(ISNUMBER(AG359),ISNUMBER($B$26),ISNUMBER($D$26)),IF(AG359&gt;$D$26,"boven UCL",IF(AG359&lt;$B$26,"onder LCL","")),"")</f>
        <v/>
      </c>
      <c r="AL359" s="13">
        <f>IF(AND(COUNT(B359:Z359)&gt;0,COUNT(AA359:AC359)&gt;0),"ruwe waarden én getypt: getypte genegeerd",IF(COUNTA(B359:Z359,AA359:AC359)&gt;COUNT(B359:Z359,AA359:AC359),"tekst telt niet mee",IF(COUNT(B359:Z359)=1,"1 waarde: geen R of s","")))</f>
        <v/>
      </c>
    </row>
    <row r="360">
      <c r="A360" t="n">
        <v>309</v>
      </c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28">
        <f>IF(COUNT(B360:Z360)&gt;0,COUNT(B360:Z360),IF(OR(ISNUMBER(AA360),ISNUMBER(AB360)),$B$9,""))</f>
        <v/>
      </c>
      <c r="AE360" s="29">
        <f>IF(COUNT(B360:Z360)&gt;0,AVERAGE(B360:Z360),IF(ISNUMBER(AA360),AA360,""))</f>
        <v/>
      </c>
      <c r="AF360" s="29">
        <f>IF(COUNT(B360:Z360)&gt;1,MAX(B360:Z360)-MIN(B360:Z360),IF(ISNUMBER(AB360),AB360,""))</f>
        <v/>
      </c>
      <c r="AG360" s="29">
        <f>IF(COUNT(B360:Z360)&gt;1,_xlfn.STDEV.S(B360:Z360),IF(ISNUMBER(AC360),AC360,""))</f>
        <v/>
      </c>
      <c r="AH360" s="13">
        <f>IF(AND(ISNUMBER(AE360),ISNUMBER($B$23),ISNUMBER($D$23)),IF(AE360&gt;$D$23,"boven UCL",IF(AE360&lt;$B$23,"onder LCL","")),"")</f>
        <v/>
      </c>
      <c r="AI360" s="13">
        <f>IF(AND(ISNUMBER(AF360),ISNUMBER($B$24),ISNUMBER($D$24)),IF(AF360&gt;$D$24,"boven UCL",IF(AF360&lt;$B$24,"onder LCL","")),"")</f>
        <v/>
      </c>
      <c r="AJ360" s="13">
        <f>IF(AND(ISNUMBER(AE360),ISNUMBER($B$25),ISNUMBER($D$25)),IF(AE360&gt;$D$25,"boven UCL",IF(AE360&lt;$B$25,"onder LCL","")),"")</f>
        <v/>
      </c>
      <c r="AK360" s="13">
        <f>IF(AND(ISNUMBER(AG360),ISNUMBER($B$26),ISNUMBER($D$26)),IF(AG360&gt;$D$26,"boven UCL",IF(AG360&lt;$B$26,"onder LCL","")),"")</f>
        <v/>
      </c>
      <c r="AL360" s="13">
        <f>IF(AND(COUNT(B360:Z360)&gt;0,COUNT(AA360:AC360)&gt;0),"ruwe waarden én getypt: getypte genegeerd",IF(COUNTA(B360:Z360,AA360:AC360)&gt;COUNT(B360:Z360,AA360:AC360),"tekst telt niet mee",IF(COUNT(B360:Z360)=1,"1 waarde: geen R of s","")))</f>
        <v/>
      </c>
    </row>
    <row r="361">
      <c r="A361" t="n">
        <v>310</v>
      </c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28">
        <f>IF(COUNT(B361:Z361)&gt;0,COUNT(B361:Z361),IF(OR(ISNUMBER(AA361),ISNUMBER(AB361)),$B$9,""))</f>
        <v/>
      </c>
      <c r="AE361" s="29">
        <f>IF(COUNT(B361:Z361)&gt;0,AVERAGE(B361:Z361),IF(ISNUMBER(AA361),AA361,""))</f>
        <v/>
      </c>
      <c r="AF361" s="29">
        <f>IF(COUNT(B361:Z361)&gt;1,MAX(B361:Z361)-MIN(B361:Z361),IF(ISNUMBER(AB361),AB361,""))</f>
        <v/>
      </c>
      <c r="AG361" s="29">
        <f>IF(COUNT(B361:Z361)&gt;1,_xlfn.STDEV.S(B361:Z361),IF(ISNUMBER(AC361),AC361,""))</f>
        <v/>
      </c>
      <c r="AH361" s="13">
        <f>IF(AND(ISNUMBER(AE361),ISNUMBER($B$23),ISNUMBER($D$23)),IF(AE361&gt;$D$23,"boven UCL",IF(AE361&lt;$B$23,"onder LCL","")),"")</f>
        <v/>
      </c>
      <c r="AI361" s="13">
        <f>IF(AND(ISNUMBER(AF361),ISNUMBER($B$24),ISNUMBER($D$24)),IF(AF361&gt;$D$24,"boven UCL",IF(AF361&lt;$B$24,"onder LCL","")),"")</f>
        <v/>
      </c>
      <c r="AJ361" s="13">
        <f>IF(AND(ISNUMBER(AE361),ISNUMBER($B$25),ISNUMBER($D$25)),IF(AE361&gt;$D$25,"boven UCL",IF(AE361&lt;$B$25,"onder LCL","")),"")</f>
        <v/>
      </c>
      <c r="AK361" s="13">
        <f>IF(AND(ISNUMBER(AG361),ISNUMBER($B$26),ISNUMBER($D$26)),IF(AG361&gt;$D$26,"boven UCL",IF(AG361&lt;$B$26,"onder LCL","")),"")</f>
        <v/>
      </c>
      <c r="AL361" s="13">
        <f>IF(AND(COUNT(B361:Z361)&gt;0,COUNT(AA361:AC361)&gt;0),"ruwe waarden én getypt: getypte genegeerd",IF(COUNTA(B361:Z361,AA361:AC361)&gt;COUNT(B361:Z361,AA361:AC361),"tekst telt niet mee",IF(COUNT(B361:Z361)=1,"1 waarde: geen R of s","")))</f>
        <v/>
      </c>
    </row>
    <row r="362">
      <c r="A362" t="n">
        <v>311</v>
      </c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28">
        <f>IF(COUNT(B362:Z362)&gt;0,COUNT(B362:Z362),IF(OR(ISNUMBER(AA362),ISNUMBER(AB362)),$B$9,""))</f>
        <v/>
      </c>
      <c r="AE362" s="29">
        <f>IF(COUNT(B362:Z362)&gt;0,AVERAGE(B362:Z362),IF(ISNUMBER(AA362),AA362,""))</f>
        <v/>
      </c>
      <c r="AF362" s="29">
        <f>IF(COUNT(B362:Z362)&gt;1,MAX(B362:Z362)-MIN(B362:Z362),IF(ISNUMBER(AB362),AB362,""))</f>
        <v/>
      </c>
      <c r="AG362" s="29">
        <f>IF(COUNT(B362:Z362)&gt;1,_xlfn.STDEV.S(B362:Z362),IF(ISNUMBER(AC362),AC362,""))</f>
        <v/>
      </c>
      <c r="AH362" s="13">
        <f>IF(AND(ISNUMBER(AE362),ISNUMBER($B$23),ISNUMBER($D$23)),IF(AE362&gt;$D$23,"boven UCL",IF(AE362&lt;$B$23,"onder LCL","")),"")</f>
        <v/>
      </c>
      <c r="AI362" s="13">
        <f>IF(AND(ISNUMBER(AF362),ISNUMBER($B$24),ISNUMBER($D$24)),IF(AF362&gt;$D$24,"boven UCL",IF(AF362&lt;$B$24,"onder LCL","")),"")</f>
        <v/>
      </c>
      <c r="AJ362" s="13">
        <f>IF(AND(ISNUMBER(AE362),ISNUMBER($B$25),ISNUMBER($D$25)),IF(AE362&gt;$D$25,"boven UCL",IF(AE362&lt;$B$25,"onder LCL","")),"")</f>
        <v/>
      </c>
      <c r="AK362" s="13">
        <f>IF(AND(ISNUMBER(AG362),ISNUMBER($B$26),ISNUMBER($D$26)),IF(AG362&gt;$D$26,"boven UCL",IF(AG362&lt;$B$26,"onder LCL","")),"")</f>
        <v/>
      </c>
      <c r="AL362" s="13">
        <f>IF(AND(COUNT(B362:Z362)&gt;0,COUNT(AA362:AC362)&gt;0),"ruwe waarden én getypt: getypte genegeerd",IF(COUNTA(B362:Z362,AA362:AC362)&gt;COUNT(B362:Z362,AA362:AC362),"tekst telt niet mee",IF(COUNT(B362:Z362)=1,"1 waarde: geen R of s","")))</f>
        <v/>
      </c>
    </row>
    <row r="363">
      <c r="A363" t="n">
        <v>312</v>
      </c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28">
        <f>IF(COUNT(B363:Z363)&gt;0,COUNT(B363:Z363),IF(OR(ISNUMBER(AA363),ISNUMBER(AB363)),$B$9,""))</f>
        <v/>
      </c>
      <c r="AE363" s="29">
        <f>IF(COUNT(B363:Z363)&gt;0,AVERAGE(B363:Z363),IF(ISNUMBER(AA363),AA363,""))</f>
        <v/>
      </c>
      <c r="AF363" s="29">
        <f>IF(COUNT(B363:Z363)&gt;1,MAX(B363:Z363)-MIN(B363:Z363),IF(ISNUMBER(AB363),AB363,""))</f>
        <v/>
      </c>
      <c r="AG363" s="29">
        <f>IF(COUNT(B363:Z363)&gt;1,_xlfn.STDEV.S(B363:Z363),IF(ISNUMBER(AC363),AC363,""))</f>
        <v/>
      </c>
      <c r="AH363" s="13">
        <f>IF(AND(ISNUMBER(AE363),ISNUMBER($B$23),ISNUMBER($D$23)),IF(AE363&gt;$D$23,"boven UCL",IF(AE363&lt;$B$23,"onder LCL","")),"")</f>
        <v/>
      </c>
      <c r="AI363" s="13">
        <f>IF(AND(ISNUMBER(AF363),ISNUMBER($B$24),ISNUMBER($D$24)),IF(AF363&gt;$D$24,"boven UCL",IF(AF363&lt;$B$24,"onder LCL","")),"")</f>
        <v/>
      </c>
      <c r="AJ363" s="13">
        <f>IF(AND(ISNUMBER(AE363),ISNUMBER($B$25),ISNUMBER($D$25)),IF(AE363&gt;$D$25,"boven UCL",IF(AE363&lt;$B$25,"onder LCL","")),"")</f>
        <v/>
      </c>
      <c r="AK363" s="13">
        <f>IF(AND(ISNUMBER(AG363),ISNUMBER($B$26),ISNUMBER($D$26)),IF(AG363&gt;$D$26,"boven UCL",IF(AG363&lt;$B$26,"onder LCL","")),"")</f>
        <v/>
      </c>
      <c r="AL363" s="13">
        <f>IF(AND(COUNT(B363:Z363)&gt;0,COUNT(AA363:AC363)&gt;0),"ruwe waarden én getypt: getypte genegeerd",IF(COUNTA(B363:Z363,AA363:AC363)&gt;COUNT(B363:Z363,AA363:AC363),"tekst telt niet mee",IF(COUNT(B363:Z363)=1,"1 waarde: geen R of s","")))</f>
        <v/>
      </c>
    </row>
    <row r="364">
      <c r="A364" t="n">
        <v>313</v>
      </c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28">
        <f>IF(COUNT(B364:Z364)&gt;0,COUNT(B364:Z364),IF(OR(ISNUMBER(AA364),ISNUMBER(AB364)),$B$9,""))</f>
        <v/>
      </c>
      <c r="AE364" s="29">
        <f>IF(COUNT(B364:Z364)&gt;0,AVERAGE(B364:Z364),IF(ISNUMBER(AA364),AA364,""))</f>
        <v/>
      </c>
      <c r="AF364" s="29">
        <f>IF(COUNT(B364:Z364)&gt;1,MAX(B364:Z364)-MIN(B364:Z364),IF(ISNUMBER(AB364),AB364,""))</f>
        <v/>
      </c>
      <c r="AG364" s="29">
        <f>IF(COUNT(B364:Z364)&gt;1,_xlfn.STDEV.S(B364:Z364),IF(ISNUMBER(AC364),AC364,""))</f>
        <v/>
      </c>
      <c r="AH364" s="13">
        <f>IF(AND(ISNUMBER(AE364),ISNUMBER($B$23),ISNUMBER($D$23)),IF(AE364&gt;$D$23,"boven UCL",IF(AE364&lt;$B$23,"onder LCL","")),"")</f>
        <v/>
      </c>
      <c r="AI364" s="13">
        <f>IF(AND(ISNUMBER(AF364),ISNUMBER($B$24),ISNUMBER($D$24)),IF(AF364&gt;$D$24,"boven UCL",IF(AF364&lt;$B$24,"onder LCL","")),"")</f>
        <v/>
      </c>
      <c r="AJ364" s="13">
        <f>IF(AND(ISNUMBER(AE364),ISNUMBER($B$25),ISNUMBER($D$25)),IF(AE364&gt;$D$25,"boven UCL",IF(AE364&lt;$B$25,"onder LCL","")),"")</f>
        <v/>
      </c>
      <c r="AK364" s="13">
        <f>IF(AND(ISNUMBER(AG364),ISNUMBER($B$26),ISNUMBER($D$26)),IF(AG364&gt;$D$26,"boven UCL",IF(AG364&lt;$B$26,"onder LCL","")),"")</f>
        <v/>
      </c>
      <c r="AL364" s="13">
        <f>IF(AND(COUNT(B364:Z364)&gt;0,COUNT(AA364:AC364)&gt;0),"ruwe waarden én getypt: getypte genegeerd",IF(COUNTA(B364:Z364,AA364:AC364)&gt;COUNT(B364:Z364,AA364:AC364),"tekst telt niet mee",IF(COUNT(B364:Z364)=1,"1 waarde: geen R of s","")))</f>
        <v/>
      </c>
    </row>
    <row r="365">
      <c r="A365" t="n">
        <v>314</v>
      </c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28">
        <f>IF(COUNT(B365:Z365)&gt;0,COUNT(B365:Z365),IF(OR(ISNUMBER(AA365),ISNUMBER(AB365)),$B$9,""))</f>
        <v/>
      </c>
      <c r="AE365" s="29">
        <f>IF(COUNT(B365:Z365)&gt;0,AVERAGE(B365:Z365),IF(ISNUMBER(AA365),AA365,""))</f>
        <v/>
      </c>
      <c r="AF365" s="29">
        <f>IF(COUNT(B365:Z365)&gt;1,MAX(B365:Z365)-MIN(B365:Z365),IF(ISNUMBER(AB365),AB365,""))</f>
        <v/>
      </c>
      <c r="AG365" s="29">
        <f>IF(COUNT(B365:Z365)&gt;1,_xlfn.STDEV.S(B365:Z365),IF(ISNUMBER(AC365),AC365,""))</f>
        <v/>
      </c>
      <c r="AH365" s="13">
        <f>IF(AND(ISNUMBER(AE365),ISNUMBER($B$23),ISNUMBER($D$23)),IF(AE365&gt;$D$23,"boven UCL",IF(AE365&lt;$B$23,"onder LCL","")),"")</f>
        <v/>
      </c>
      <c r="AI365" s="13">
        <f>IF(AND(ISNUMBER(AF365),ISNUMBER($B$24),ISNUMBER($D$24)),IF(AF365&gt;$D$24,"boven UCL",IF(AF365&lt;$B$24,"onder LCL","")),"")</f>
        <v/>
      </c>
      <c r="AJ365" s="13">
        <f>IF(AND(ISNUMBER(AE365),ISNUMBER($B$25),ISNUMBER($D$25)),IF(AE365&gt;$D$25,"boven UCL",IF(AE365&lt;$B$25,"onder LCL","")),"")</f>
        <v/>
      </c>
      <c r="AK365" s="13">
        <f>IF(AND(ISNUMBER(AG365),ISNUMBER($B$26),ISNUMBER($D$26)),IF(AG365&gt;$D$26,"boven UCL",IF(AG365&lt;$B$26,"onder LCL","")),"")</f>
        <v/>
      </c>
      <c r="AL365" s="13">
        <f>IF(AND(COUNT(B365:Z365)&gt;0,COUNT(AA365:AC365)&gt;0),"ruwe waarden én getypt: getypte genegeerd",IF(COUNTA(B365:Z365,AA365:AC365)&gt;COUNT(B365:Z365,AA365:AC365),"tekst telt niet mee",IF(COUNT(B365:Z365)=1,"1 waarde: geen R of s","")))</f>
        <v/>
      </c>
    </row>
    <row r="366">
      <c r="A366" t="n">
        <v>315</v>
      </c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28">
        <f>IF(COUNT(B366:Z366)&gt;0,COUNT(B366:Z366),IF(OR(ISNUMBER(AA366),ISNUMBER(AB366)),$B$9,""))</f>
        <v/>
      </c>
      <c r="AE366" s="29">
        <f>IF(COUNT(B366:Z366)&gt;0,AVERAGE(B366:Z366),IF(ISNUMBER(AA366),AA366,""))</f>
        <v/>
      </c>
      <c r="AF366" s="29">
        <f>IF(COUNT(B366:Z366)&gt;1,MAX(B366:Z366)-MIN(B366:Z366),IF(ISNUMBER(AB366),AB366,""))</f>
        <v/>
      </c>
      <c r="AG366" s="29">
        <f>IF(COUNT(B366:Z366)&gt;1,_xlfn.STDEV.S(B366:Z366),IF(ISNUMBER(AC366),AC366,""))</f>
        <v/>
      </c>
      <c r="AH366" s="13">
        <f>IF(AND(ISNUMBER(AE366),ISNUMBER($B$23),ISNUMBER($D$23)),IF(AE366&gt;$D$23,"boven UCL",IF(AE366&lt;$B$23,"onder LCL","")),"")</f>
        <v/>
      </c>
      <c r="AI366" s="13">
        <f>IF(AND(ISNUMBER(AF366),ISNUMBER($B$24),ISNUMBER($D$24)),IF(AF366&gt;$D$24,"boven UCL",IF(AF366&lt;$B$24,"onder LCL","")),"")</f>
        <v/>
      </c>
      <c r="AJ366" s="13">
        <f>IF(AND(ISNUMBER(AE366),ISNUMBER($B$25),ISNUMBER($D$25)),IF(AE366&gt;$D$25,"boven UCL",IF(AE366&lt;$B$25,"onder LCL","")),"")</f>
        <v/>
      </c>
      <c r="AK366" s="13">
        <f>IF(AND(ISNUMBER(AG366),ISNUMBER($B$26),ISNUMBER($D$26)),IF(AG366&gt;$D$26,"boven UCL",IF(AG366&lt;$B$26,"onder LCL","")),"")</f>
        <v/>
      </c>
      <c r="AL366" s="13">
        <f>IF(AND(COUNT(B366:Z366)&gt;0,COUNT(AA366:AC366)&gt;0),"ruwe waarden én getypt: getypte genegeerd",IF(COUNTA(B366:Z366,AA366:AC366)&gt;COUNT(B366:Z366,AA366:AC366),"tekst telt niet mee",IF(COUNT(B366:Z366)=1,"1 waarde: geen R of s","")))</f>
        <v/>
      </c>
    </row>
    <row r="367">
      <c r="A367" t="n">
        <v>316</v>
      </c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28">
        <f>IF(COUNT(B367:Z367)&gt;0,COUNT(B367:Z367),IF(OR(ISNUMBER(AA367),ISNUMBER(AB367)),$B$9,""))</f>
        <v/>
      </c>
      <c r="AE367" s="29">
        <f>IF(COUNT(B367:Z367)&gt;0,AVERAGE(B367:Z367),IF(ISNUMBER(AA367),AA367,""))</f>
        <v/>
      </c>
      <c r="AF367" s="29">
        <f>IF(COUNT(B367:Z367)&gt;1,MAX(B367:Z367)-MIN(B367:Z367),IF(ISNUMBER(AB367),AB367,""))</f>
        <v/>
      </c>
      <c r="AG367" s="29">
        <f>IF(COUNT(B367:Z367)&gt;1,_xlfn.STDEV.S(B367:Z367),IF(ISNUMBER(AC367),AC367,""))</f>
        <v/>
      </c>
      <c r="AH367" s="13">
        <f>IF(AND(ISNUMBER(AE367),ISNUMBER($B$23),ISNUMBER($D$23)),IF(AE367&gt;$D$23,"boven UCL",IF(AE367&lt;$B$23,"onder LCL","")),"")</f>
        <v/>
      </c>
      <c r="AI367" s="13">
        <f>IF(AND(ISNUMBER(AF367),ISNUMBER($B$24),ISNUMBER($D$24)),IF(AF367&gt;$D$24,"boven UCL",IF(AF367&lt;$B$24,"onder LCL","")),"")</f>
        <v/>
      </c>
      <c r="AJ367" s="13">
        <f>IF(AND(ISNUMBER(AE367),ISNUMBER($B$25),ISNUMBER($D$25)),IF(AE367&gt;$D$25,"boven UCL",IF(AE367&lt;$B$25,"onder LCL","")),"")</f>
        <v/>
      </c>
      <c r="AK367" s="13">
        <f>IF(AND(ISNUMBER(AG367),ISNUMBER($B$26),ISNUMBER($D$26)),IF(AG367&gt;$D$26,"boven UCL",IF(AG367&lt;$B$26,"onder LCL","")),"")</f>
        <v/>
      </c>
      <c r="AL367" s="13">
        <f>IF(AND(COUNT(B367:Z367)&gt;0,COUNT(AA367:AC367)&gt;0),"ruwe waarden én getypt: getypte genegeerd",IF(COUNTA(B367:Z367,AA367:AC367)&gt;COUNT(B367:Z367,AA367:AC367),"tekst telt niet mee",IF(COUNT(B367:Z367)=1,"1 waarde: geen R of s","")))</f>
        <v/>
      </c>
    </row>
    <row r="368">
      <c r="A368" t="n">
        <v>317</v>
      </c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28">
        <f>IF(COUNT(B368:Z368)&gt;0,COUNT(B368:Z368),IF(OR(ISNUMBER(AA368),ISNUMBER(AB368)),$B$9,""))</f>
        <v/>
      </c>
      <c r="AE368" s="29">
        <f>IF(COUNT(B368:Z368)&gt;0,AVERAGE(B368:Z368),IF(ISNUMBER(AA368),AA368,""))</f>
        <v/>
      </c>
      <c r="AF368" s="29">
        <f>IF(COUNT(B368:Z368)&gt;1,MAX(B368:Z368)-MIN(B368:Z368),IF(ISNUMBER(AB368),AB368,""))</f>
        <v/>
      </c>
      <c r="AG368" s="29">
        <f>IF(COUNT(B368:Z368)&gt;1,_xlfn.STDEV.S(B368:Z368),IF(ISNUMBER(AC368),AC368,""))</f>
        <v/>
      </c>
      <c r="AH368" s="13">
        <f>IF(AND(ISNUMBER(AE368),ISNUMBER($B$23),ISNUMBER($D$23)),IF(AE368&gt;$D$23,"boven UCL",IF(AE368&lt;$B$23,"onder LCL","")),"")</f>
        <v/>
      </c>
      <c r="AI368" s="13">
        <f>IF(AND(ISNUMBER(AF368),ISNUMBER($B$24),ISNUMBER($D$24)),IF(AF368&gt;$D$24,"boven UCL",IF(AF368&lt;$B$24,"onder LCL","")),"")</f>
        <v/>
      </c>
      <c r="AJ368" s="13">
        <f>IF(AND(ISNUMBER(AE368),ISNUMBER($B$25),ISNUMBER($D$25)),IF(AE368&gt;$D$25,"boven UCL",IF(AE368&lt;$B$25,"onder LCL","")),"")</f>
        <v/>
      </c>
      <c r="AK368" s="13">
        <f>IF(AND(ISNUMBER(AG368),ISNUMBER($B$26),ISNUMBER($D$26)),IF(AG368&gt;$D$26,"boven UCL",IF(AG368&lt;$B$26,"onder LCL","")),"")</f>
        <v/>
      </c>
      <c r="AL368" s="13">
        <f>IF(AND(COUNT(B368:Z368)&gt;0,COUNT(AA368:AC368)&gt;0),"ruwe waarden én getypt: getypte genegeerd",IF(COUNTA(B368:Z368,AA368:AC368)&gt;COUNT(B368:Z368,AA368:AC368),"tekst telt niet mee",IF(COUNT(B368:Z368)=1,"1 waarde: geen R of s","")))</f>
        <v/>
      </c>
    </row>
    <row r="369">
      <c r="A369" t="n">
        <v>318</v>
      </c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28">
        <f>IF(COUNT(B369:Z369)&gt;0,COUNT(B369:Z369),IF(OR(ISNUMBER(AA369),ISNUMBER(AB369)),$B$9,""))</f>
        <v/>
      </c>
      <c r="AE369" s="29">
        <f>IF(COUNT(B369:Z369)&gt;0,AVERAGE(B369:Z369),IF(ISNUMBER(AA369),AA369,""))</f>
        <v/>
      </c>
      <c r="AF369" s="29">
        <f>IF(COUNT(B369:Z369)&gt;1,MAX(B369:Z369)-MIN(B369:Z369),IF(ISNUMBER(AB369),AB369,""))</f>
        <v/>
      </c>
      <c r="AG369" s="29">
        <f>IF(COUNT(B369:Z369)&gt;1,_xlfn.STDEV.S(B369:Z369),IF(ISNUMBER(AC369),AC369,""))</f>
        <v/>
      </c>
      <c r="AH369" s="13">
        <f>IF(AND(ISNUMBER(AE369),ISNUMBER($B$23),ISNUMBER($D$23)),IF(AE369&gt;$D$23,"boven UCL",IF(AE369&lt;$B$23,"onder LCL","")),"")</f>
        <v/>
      </c>
      <c r="AI369" s="13">
        <f>IF(AND(ISNUMBER(AF369),ISNUMBER($B$24),ISNUMBER($D$24)),IF(AF369&gt;$D$24,"boven UCL",IF(AF369&lt;$B$24,"onder LCL","")),"")</f>
        <v/>
      </c>
      <c r="AJ369" s="13">
        <f>IF(AND(ISNUMBER(AE369),ISNUMBER($B$25),ISNUMBER($D$25)),IF(AE369&gt;$D$25,"boven UCL",IF(AE369&lt;$B$25,"onder LCL","")),"")</f>
        <v/>
      </c>
      <c r="AK369" s="13">
        <f>IF(AND(ISNUMBER(AG369),ISNUMBER($B$26),ISNUMBER($D$26)),IF(AG369&gt;$D$26,"boven UCL",IF(AG369&lt;$B$26,"onder LCL","")),"")</f>
        <v/>
      </c>
      <c r="AL369" s="13">
        <f>IF(AND(COUNT(B369:Z369)&gt;0,COUNT(AA369:AC369)&gt;0),"ruwe waarden én getypt: getypte genegeerd",IF(COUNTA(B369:Z369,AA369:AC369)&gt;COUNT(B369:Z369,AA369:AC369),"tekst telt niet mee",IF(COUNT(B369:Z369)=1,"1 waarde: geen R of s","")))</f>
        <v/>
      </c>
    </row>
    <row r="370">
      <c r="A370" t="n">
        <v>319</v>
      </c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28">
        <f>IF(COUNT(B370:Z370)&gt;0,COUNT(B370:Z370),IF(OR(ISNUMBER(AA370),ISNUMBER(AB370)),$B$9,""))</f>
        <v/>
      </c>
      <c r="AE370" s="29">
        <f>IF(COUNT(B370:Z370)&gt;0,AVERAGE(B370:Z370),IF(ISNUMBER(AA370),AA370,""))</f>
        <v/>
      </c>
      <c r="AF370" s="29">
        <f>IF(COUNT(B370:Z370)&gt;1,MAX(B370:Z370)-MIN(B370:Z370),IF(ISNUMBER(AB370),AB370,""))</f>
        <v/>
      </c>
      <c r="AG370" s="29">
        <f>IF(COUNT(B370:Z370)&gt;1,_xlfn.STDEV.S(B370:Z370),IF(ISNUMBER(AC370),AC370,""))</f>
        <v/>
      </c>
      <c r="AH370" s="13">
        <f>IF(AND(ISNUMBER(AE370),ISNUMBER($B$23),ISNUMBER($D$23)),IF(AE370&gt;$D$23,"boven UCL",IF(AE370&lt;$B$23,"onder LCL","")),"")</f>
        <v/>
      </c>
      <c r="AI370" s="13">
        <f>IF(AND(ISNUMBER(AF370),ISNUMBER($B$24),ISNUMBER($D$24)),IF(AF370&gt;$D$24,"boven UCL",IF(AF370&lt;$B$24,"onder LCL","")),"")</f>
        <v/>
      </c>
      <c r="AJ370" s="13">
        <f>IF(AND(ISNUMBER(AE370),ISNUMBER($B$25),ISNUMBER($D$25)),IF(AE370&gt;$D$25,"boven UCL",IF(AE370&lt;$B$25,"onder LCL","")),"")</f>
        <v/>
      </c>
      <c r="AK370" s="13">
        <f>IF(AND(ISNUMBER(AG370),ISNUMBER($B$26),ISNUMBER($D$26)),IF(AG370&gt;$D$26,"boven UCL",IF(AG370&lt;$B$26,"onder LCL","")),"")</f>
        <v/>
      </c>
      <c r="AL370" s="13">
        <f>IF(AND(COUNT(B370:Z370)&gt;0,COUNT(AA370:AC370)&gt;0),"ruwe waarden én getypt: getypte genegeerd",IF(COUNTA(B370:Z370,AA370:AC370)&gt;COUNT(B370:Z370,AA370:AC370),"tekst telt niet mee",IF(COUNT(B370:Z370)=1,"1 waarde: geen R of s","")))</f>
        <v/>
      </c>
    </row>
    <row r="371">
      <c r="A371" t="n">
        <v>320</v>
      </c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28">
        <f>IF(COUNT(B371:Z371)&gt;0,COUNT(B371:Z371),IF(OR(ISNUMBER(AA371),ISNUMBER(AB371)),$B$9,""))</f>
        <v/>
      </c>
      <c r="AE371" s="29">
        <f>IF(COUNT(B371:Z371)&gt;0,AVERAGE(B371:Z371),IF(ISNUMBER(AA371),AA371,""))</f>
        <v/>
      </c>
      <c r="AF371" s="29">
        <f>IF(COUNT(B371:Z371)&gt;1,MAX(B371:Z371)-MIN(B371:Z371),IF(ISNUMBER(AB371),AB371,""))</f>
        <v/>
      </c>
      <c r="AG371" s="29">
        <f>IF(COUNT(B371:Z371)&gt;1,_xlfn.STDEV.S(B371:Z371),IF(ISNUMBER(AC371),AC371,""))</f>
        <v/>
      </c>
      <c r="AH371" s="13">
        <f>IF(AND(ISNUMBER(AE371),ISNUMBER($B$23),ISNUMBER($D$23)),IF(AE371&gt;$D$23,"boven UCL",IF(AE371&lt;$B$23,"onder LCL","")),"")</f>
        <v/>
      </c>
      <c r="AI371" s="13">
        <f>IF(AND(ISNUMBER(AF371),ISNUMBER($B$24),ISNUMBER($D$24)),IF(AF371&gt;$D$24,"boven UCL",IF(AF371&lt;$B$24,"onder LCL","")),"")</f>
        <v/>
      </c>
      <c r="AJ371" s="13">
        <f>IF(AND(ISNUMBER(AE371),ISNUMBER($B$25),ISNUMBER($D$25)),IF(AE371&gt;$D$25,"boven UCL",IF(AE371&lt;$B$25,"onder LCL","")),"")</f>
        <v/>
      </c>
      <c r="AK371" s="13">
        <f>IF(AND(ISNUMBER(AG371),ISNUMBER($B$26),ISNUMBER($D$26)),IF(AG371&gt;$D$26,"boven UCL",IF(AG371&lt;$B$26,"onder LCL","")),"")</f>
        <v/>
      </c>
      <c r="AL371" s="13">
        <f>IF(AND(COUNT(B371:Z371)&gt;0,COUNT(AA371:AC371)&gt;0),"ruwe waarden én getypt: getypte genegeerd",IF(COUNTA(B371:Z371,AA371:AC371)&gt;COUNT(B371:Z371,AA371:AC371),"tekst telt niet mee",IF(COUNT(B371:Z371)=1,"1 waarde: geen R of s","")))</f>
        <v/>
      </c>
    </row>
    <row r="372">
      <c r="A372" t="n">
        <v>321</v>
      </c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28">
        <f>IF(COUNT(B372:Z372)&gt;0,COUNT(B372:Z372),IF(OR(ISNUMBER(AA372),ISNUMBER(AB372)),$B$9,""))</f>
        <v/>
      </c>
      <c r="AE372" s="29">
        <f>IF(COUNT(B372:Z372)&gt;0,AVERAGE(B372:Z372),IF(ISNUMBER(AA372),AA372,""))</f>
        <v/>
      </c>
      <c r="AF372" s="29">
        <f>IF(COUNT(B372:Z372)&gt;1,MAX(B372:Z372)-MIN(B372:Z372),IF(ISNUMBER(AB372),AB372,""))</f>
        <v/>
      </c>
      <c r="AG372" s="29">
        <f>IF(COUNT(B372:Z372)&gt;1,_xlfn.STDEV.S(B372:Z372),IF(ISNUMBER(AC372),AC372,""))</f>
        <v/>
      </c>
      <c r="AH372" s="13">
        <f>IF(AND(ISNUMBER(AE372),ISNUMBER($B$23),ISNUMBER($D$23)),IF(AE372&gt;$D$23,"boven UCL",IF(AE372&lt;$B$23,"onder LCL","")),"")</f>
        <v/>
      </c>
      <c r="AI372" s="13">
        <f>IF(AND(ISNUMBER(AF372),ISNUMBER($B$24),ISNUMBER($D$24)),IF(AF372&gt;$D$24,"boven UCL",IF(AF372&lt;$B$24,"onder LCL","")),"")</f>
        <v/>
      </c>
      <c r="AJ372" s="13">
        <f>IF(AND(ISNUMBER(AE372),ISNUMBER($B$25),ISNUMBER($D$25)),IF(AE372&gt;$D$25,"boven UCL",IF(AE372&lt;$B$25,"onder LCL","")),"")</f>
        <v/>
      </c>
      <c r="AK372" s="13">
        <f>IF(AND(ISNUMBER(AG372),ISNUMBER($B$26),ISNUMBER($D$26)),IF(AG372&gt;$D$26,"boven UCL",IF(AG372&lt;$B$26,"onder LCL","")),"")</f>
        <v/>
      </c>
      <c r="AL372" s="13">
        <f>IF(AND(COUNT(B372:Z372)&gt;0,COUNT(AA372:AC372)&gt;0),"ruwe waarden én getypt: getypte genegeerd",IF(COUNTA(B372:Z372,AA372:AC372)&gt;COUNT(B372:Z372,AA372:AC372),"tekst telt niet mee",IF(COUNT(B372:Z372)=1,"1 waarde: geen R of s","")))</f>
        <v/>
      </c>
    </row>
    <row r="373">
      <c r="A373" t="n">
        <v>322</v>
      </c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28">
        <f>IF(COUNT(B373:Z373)&gt;0,COUNT(B373:Z373),IF(OR(ISNUMBER(AA373),ISNUMBER(AB373)),$B$9,""))</f>
        <v/>
      </c>
      <c r="AE373" s="29">
        <f>IF(COUNT(B373:Z373)&gt;0,AVERAGE(B373:Z373),IF(ISNUMBER(AA373),AA373,""))</f>
        <v/>
      </c>
      <c r="AF373" s="29">
        <f>IF(COUNT(B373:Z373)&gt;1,MAX(B373:Z373)-MIN(B373:Z373),IF(ISNUMBER(AB373),AB373,""))</f>
        <v/>
      </c>
      <c r="AG373" s="29">
        <f>IF(COUNT(B373:Z373)&gt;1,_xlfn.STDEV.S(B373:Z373),IF(ISNUMBER(AC373),AC373,""))</f>
        <v/>
      </c>
      <c r="AH373" s="13">
        <f>IF(AND(ISNUMBER(AE373),ISNUMBER($B$23),ISNUMBER($D$23)),IF(AE373&gt;$D$23,"boven UCL",IF(AE373&lt;$B$23,"onder LCL","")),"")</f>
        <v/>
      </c>
      <c r="AI373" s="13">
        <f>IF(AND(ISNUMBER(AF373),ISNUMBER($B$24),ISNUMBER($D$24)),IF(AF373&gt;$D$24,"boven UCL",IF(AF373&lt;$B$24,"onder LCL","")),"")</f>
        <v/>
      </c>
      <c r="AJ373" s="13">
        <f>IF(AND(ISNUMBER(AE373),ISNUMBER($B$25),ISNUMBER($D$25)),IF(AE373&gt;$D$25,"boven UCL",IF(AE373&lt;$B$25,"onder LCL","")),"")</f>
        <v/>
      </c>
      <c r="AK373" s="13">
        <f>IF(AND(ISNUMBER(AG373),ISNUMBER($B$26),ISNUMBER($D$26)),IF(AG373&gt;$D$26,"boven UCL",IF(AG373&lt;$B$26,"onder LCL","")),"")</f>
        <v/>
      </c>
      <c r="AL373" s="13">
        <f>IF(AND(COUNT(B373:Z373)&gt;0,COUNT(AA373:AC373)&gt;0),"ruwe waarden én getypt: getypte genegeerd",IF(COUNTA(B373:Z373,AA373:AC373)&gt;COUNT(B373:Z373,AA373:AC373),"tekst telt niet mee",IF(COUNT(B373:Z373)=1,"1 waarde: geen R of s","")))</f>
        <v/>
      </c>
    </row>
    <row r="374">
      <c r="A374" t="n">
        <v>323</v>
      </c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28">
        <f>IF(COUNT(B374:Z374)&gt;0,COUNT(B374:Z374),IF(OR(ISNUMBER(AA374),ISNUMBER(AB374)),$B$9,""))</f>
        <v/>
      </c>
      <c r="AE374" s="29">
        <f>IF(COUNT(B374:Z374)&gt;0,AVERAGE(B374:Z374),IF(ISNUMBER(AA374),AA374,""))</f>
        <v/>
      </c>
      <c r="AF374" s="29">
        <f>IF(COUNT(B374:Z374)&gt;1,MAX(B374:Z374)-MIN(B374:Z374),IF(ISNUMBER(AB374),AB374,""))</f>
        <v/>
      </c>
      <c r="AG374" s="29">
        <f>IF(COUNT(B374:Z374)&gt;1,_xlfn.STDEV.S(B374:Z374),IF(ISNUMBER(AC374),AC374,""))</f>
        <v/>
      </c>
      <c r="AH374" s="13">
        <f>IF(AND(ISNUMBER(AE374),ISNUMBER($B$23),ISNUMBER($D$23)),IF(AE374&gt;$D$23,"boven UCL",IF(AE374&lt;$B$23,"onder LCL","")),"")</f>
        <v/>
      </c>
      <c r="AI374" s="13">
        <f>IF(AND(ISNUMBER(AF374),ISNUMBER($B$24),ISNUMBER($D$24)),IF(AF374&gt;$D$24,"boven UCL",IF(AF374&lt;$B$24,"onder LCL","")),"")</f>
        <v/>
      </c>
      <c r="AJ374" s="13">
        <f>IF(AND(ISNUMBER(AE374),ISNUMBER($B$25),ISNUMBER($D$25)),IF(AE374&gt;$D$25,"boven UCL",IF(AE374&lt;$B$25,"onder LCL","")),"")</f>
        <v/>
      </c>
      <c r="AK374" s="13">
        <f>IF(AND(ISNUMBER(AG374),ISNUMBER($B$26),ISNUMBER($D$26)),IF(AG374&gt;$D$26,"boven UCL",IF(AG374&lt;$B$26,"onder LCL","")),"")</f>
        <v/>
      </c>
      <c r="AL374" s="13">
        <f>IF(AND(COUNT(B374:Z374)&gt;0,COUNT(AA374:AC374)&gt;0),"ruwe waarden én getypt: getypte genegeerd",IF(COUNTA(B374:Z374,AA374:AC374)&gt;COUNT(B374:Z374,AA374:AC374),"tekst telt niet mee",IF(COUNT(B374:Z374)=1,"1 waarde: geen R of s","")))</f>
        <v/>
      </c>
    </row>
    <row r="375">
      <c r="A375" t="n">
        <v>324</v>
      </c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28">
        <f>IF(COUNT(B375:Z375)&gt;0,COUNT(B375:Z375),IF(OR(ISNUMBER(AA375),ISNUMBER(AB375)),$B$9,""))</f>
        <v/>
      </c>
      <c r="AE375" s="29">
        <f>IF(COUNT(B375:Z375)&gt;0,AVERAGE(B375:Z375),IF(ISNUMBER(AA375),AA375,""))</f>
        <v/>
      </c>
      <c r="AF375" s="29">
        <f>IF(COUNT(B375:Z375)&gt;1,MAX(B375:Z375)-MIN(B375:Z375),IF(ISNUMBER(AB375),AB375,""))</f>
        <v/>
      </c>
      <c r="AG375" s="29">
        <f>IF(COUNT(B375:Z375)&gt;1,_xlfn.STDEV.S(B375:Z375),IF(ISNUMBER(AC375),AC375,""))</f>
        <v/>
      </c>
      <c r="AH375" s="13">
        <f>IF(AND(ISNUMBER(AE375),ISNUMBER($B$23),ISNUMBER($D$23)),IF(AE375&gt;$D$23,"boven UCL",IF(AE375&lt;$B$23,"onder LCL","")),"")</f>
        <v/>
      </c>
      <c r="AI375" s="13">
        <f>IF(AND(ISNUMBER(AF375),ISNUMBER($B$24),ISNUMBER($D$24)),IF(AF375&gt;$D$24,"boven UCL",IF(AF375&lt;$B$24,"onder LCL","")),"")</f>
        <v/>
      </c>
      <c r="AJ375" s="13">
        <f>IF(AND(ISNUMBER(AE375),ISNUMBER($B$25),ISNUMBER($D$25)),IF(AE375&gt;$D$25,"boven UCL",IF(AE375&lt;$B$25,"onder LCL","")),"")</f>
        <v/>
      </c>
      <c r="AK375" s="13">
        <f>IF(AND(ISNUMBER(AG375),ISNUMBER($B$26),ISNUMBER($D$26)),IF(AG375&gt;$D$26,"boven UCL",IF(AG375&lt;$B$26,"onder LCL","")),"")</f>
        <v/>
      </c>
      <c r="AL375" s="13">
        <f>IF(AND(COUNT(B375:Z375)&gt;0,COUNT(AA375:AC375)&gt;0),"ruwe waarden én getypt: getypte genegeerd",IF(COUNTA(B375:Z375,AA375:AC375)&gt;COUNT(B375:Z375,AA375:AC375),"tekst telt niet mee",IF(COUNT(B375:Z375)=1,"1 waarde: geen R of s","")))</f>
        <v/>
      </c>
    </row>
    <row r="376">
      <c r="A376" t="n">
        <v>325</v>
      </c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28">
        <f>IF(COUNT(B376:Z376)&gt;0,COUNT(B376:Z376),IF(OR(ISNUMBER(AA376),ISNUMBER(AB376)),$B$9,""))</f>
        <v/>
      </c>
      <c r="AE376" s="29">
        <f>IF(COUNT(B376:Z376)&gt;0,AVERAGE(B376:Z376),IF(ISNUMBER(AA376),AA376,""))</f>
        <v/>
      </c>
      <c r="AF376" s="29">
        <f>IF(COUNT(B376:Z376)&gt;1,MAX(B376:Z376)-MIN(B376:Z376),IF(ISNUMBER(AB376),AB376,""))</f>
        <v/>
      </c>
      <c r="AG376" s="29">
        <f>IF(COUNT(B376:Z376)&gt;1,_xlfn.STDEV.S(B376:Z376),IF(ISNUMBER(AC376),AC376,""))</f>
        <v/>
      </c>
      <c r="AH376" s="13">
        <f>IF(AND(ISNUMBER(AE376),ISNUMBER($B$23),ISNUMBER($D$23)),IF(AE376&gt;$D$23,"boven UCL",IF(AE376&lt;$B$23,"onder LCL","")),"")</f>
        <v/>
      </c>
      <c r="AI376" s="13">
        <f>IF(AND(ISNUMBER(AF376),ISNUMBER($B$24),ISNUMBER($D$24)),IF(AF376&gt;$D$24,"boven UCL",IF(AF376&lt;$B$24,"onder LCL","")),"")</f>
        <v/>
      </c>
      <c r="AJ376" s="13">
        <f>IF(AND(ISNUMBER(AE376),ISNUMBER($B$25),ISNUMBER($D$25)),IF(AE376&gt;$D$25,"boven UCL",IF(AE376&lt;$B$25,"onder LCL","")),"")</f>
        <v/>
      </c>
      <c r="AK376" s="13">
        <f>IF(AND(ISNUMBER(AG376),ISNUMBER($B$26),ISNUMBER($D$26)),IF(AG376&gt;$D$26,"boven UCL",IF(AG376&lt;$B$26,"onder LCL","")),"")</f>
        <v/>
      </c>
      <c r="AL376" s="13">
        <f>IF(AND(COUNT(B376:Z376)&gt;0,COUNT(AA376:AC376)&gt;0),"ruwe waarden én getypt: getypte genegeerd",IF(COUNTA(B376:Z376,AA376:AC376)&gt;COUNT(B376:Z376,AA376:AC376),"tekst telt niet mee",IF(COUNT(B376:Z376)=1,"1 waarde: geen R of s","")))</f>
        <v/>
      </c>
    </row>
    <row r="377">
      <c r="A377" t="n">
        <v>326</v>
      </c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28">
        <f>IF(COUNT(B377:Z377)&gt;0,COUNT(B377:Z377),IF(OR(ISNUMBER(AA377),ISNUMBER(AB377)),$B$9,""))</f>
        <v/>
      </c>
      <c r="AE377" s="29">
        <f>IF(COUNT(B377:Z377)&gt;0,AVERAGE(B377:Z377),IF(ISNUMBER(AA377),AA377,""))</f>
        <v/>
      </c>
      <c r="AF377" s="29">
        <f>IF(COUNT(B377:Z377)&gt;1,MAX(B377:Z377)-MIN(B377:Z377),IF(ISNUMBER(AB377),AB377,""))</f>
        <v/>
      </c>
      <c r="AG377" s="29">
        <f>IF(COUNT(B377:Z377)&gt;1,_xlfn.STDEV.S(B377:Z377),IF(ISNUMBER(AC377),AC377,""))</f>
        <v/>
      </c>
      <c r="AH377" s="13">
        <f>IF(AND(ISNUMBER(AE377),ISNUMBER($B$23),ISNUMBER($D$23)),IF(AE377&gt;$D$23,"boven UCL",IF(AE377&lt;$B$23,"onder LCL","")),"")</f>
        <v/>
      </c>
      <c r="AI377" s="13">
        <f>IF(AND(ISNUMBER(AF377),ISNUMBER($B$24),ISNUMBER($D$24)),IF(AF377&gt;$D$24,"boven UCL",IF(AF377&lt;$B$24,"onder LCL","")),"")</f>
        <v/>
      </c>
      <c r="AJ377" s="13">
        <f>IF(AND(ISNUMBER(AE377),ISNUMBER($B$25),ISNUMBER($D$25)),IF(AE377&gt;$D$25,"boven UCL",IF(AE377&lt;$B$25,"onder LCL","")),"")</f>
        <v/>
      </c>
      <c r="AK377" s="13">
        <f>IF(AND(ISNUMBER(AG377),ISNUMBER($B$26),ISNUMBER($D$26)),IF(AG377&gt;$D$26,"boven UCL",IF(AG377&lt;$B$26,"onder LCL","")),"")</f>
        <v/>
      </c>
      <c r="AL377" s="13">
        <f>IF(AND(COUNT(B377:Z377)&gt;0,COUNT(AA377:AC377)&gt;0),"ruwe waarden én getypt: getypte genegeerd",IF(COUNTA(B377:Z377,AA377:AC377)&gt;COUNT(B377:Z377,AA377:AC377),"tekst telt niet mee",IF(COUNT(B377:Z377)=1,"1 waarde: geen R of s","")))</f>
        <v/>
      </c>
    </row>
    <row r="378">
      <c r="A378" t="n">
        <v>327</v>
      </c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28">
        <f>IF(COUNT(B378:Z378)&gt;0,COUNT(B378:Z378),IF(OR(ISNUMBER(AA378),ISNUMBER(AB378)),$B$9,""))</f>
        <v/>
      </c>
      <c r="AE378" s="29">
        <f>IF(COUNT(B378:Z378)&gt;0,AVERAGE(B378:Z378),IF(ISNUMBER(AA378),AA378,""))</f>
        <v/>
      </c>
      <c r="AF378" s="29">
        <f>IF(COUNT(B378:Z378)&gt;1,MAX(B378:Z378)-MIN(B378:Z378),IF(ISNUMBER(AB378),AB378,""))</f>
        <v/>
      </c>
      <c r="AG378" s="29">
        <f>IF(COUNT(B378:Z378)&gt;1,_xlfn.STDEV.S(B378:Z378),IF(ISNUMBER(AC378),AC378,""))</f>
        <v/>
      </c>
      <c r="AH378" s="13">
        <f>IF(AND(ISNUMBER(AE378),ISNUMBER($B$23),ISNUMBER($D$23)),IF(AE378&gt;$D$23,"boven UCL",IF(AE378&lt;$B$23,"onder LCL","")),"")</f>
        <v/>
      </c>
      <c r="AI378" s="13">
        <f>IF(AND(ISNUMBER(AF378),ISNUMBER($B$24),ISNUMBER($D$24)),IF(AF378&gt;$D$24,"boven UCL",IF(AF378&lt;$B$24,"onder LCL","")),"")</f>
        <v/>
      </c>
      <c r="AJ378" s="13">
        <f>IF(AND(ISNUMBER(AE378),ISNUMBER($B$25),ISNUMBER($D$25)),IF(AE378&gt;$D$25,"boven UCL",IF(AE378&lt;$B$25,"onder LCL","")),"")</f>
        <v/>
      </c>
      <c r="AK378" s="13">
        <f>IF(AND(ISNUMBER(AG378),ISNUMBER($B$26),ISNUMBER($D$26)),IF(AG378&gt;$D$26,"boven UCL",IF(AG378&lt;$B$26,"onder LCL","")),"")</f>
        <v/>
      </c>
      <c r="AL378" s="13">
        <f>IF(AND(COUNT(B378:Z378)&gt;0,COUNT(AA378:AC378)&gt;0),"ruwe waarden én getypt: getypte genegeerd",IF(COUNTA(B378:Z378,AA378:AC378)&gt;COUNT(B378:Z378,AA378:AC378),"tekst telt niet mee",IF(COUNT(B378:Z378)=1,"1 waarde: geen R of s","")))</f>
        <v/>
      </c>
    </row>
    <row r="379">
      <c r="A379" t="n">
        <v>328</v>
      </c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28">
        <f>IF(COUNT(B379:Z379)&gt;0,COUNT(B379:Z379),IF(OR(ISNUMBER(AA379),ISNUMBER(AB379)),$B$9,""))</f>
        <v/>
      </c>
      <c r="AE379" s="29">
        <f>IF(COUNT(B379:Z379)&gt;0,AVERAGE(B379:Z379),IF(ISNUMBER(AA379),AA379,""))</f>
        <v/>
      </c>
      <c r="AF379" s="29">
        <f>IF(COUNT(B379:Z379)&gt;1,MAX(B379:Z379)-MIN(B379:Z379),IF(ISNUMBER(AB379),AB379,""))</f>
        <v/>
      </c>
      <c r="AG379" s="29">
        <f>IF(COUNT(B379:Z379)&gt;1,_xlfn.STDEV.S(B379:Z379),IF(ISNUMBER(AC379),AC379,""))</f>
        <v/>
      </c>
      <c r="AH379" s="13">
        <f>IF(AND(ISNUMBER(AE379),ISNUMBER($B$23),ISNUMBER($D$23)),IF(AE379&gt;$D$23,"boven UCL",IF(AE379&lt;$B$23,"onder LCL","")),"")</f>
        <v/>
      </c>
      <c r="AI379" s="13">
        <f>IF(AND(ISNUMBER(AF379),ISNUMBER($B$24),ISNUMBER($D$24)),IF(AF379&gt;$D$24,"boven UCL",IF(AF379&lt;$B$24,"onder LCL","")),"")</f>
        <v/>
      </c>
      <c r="AJ379" s="13">
        <f>IF(AND(ISNUMBER(AE379),ISNUMBER($B$25),ISNUMBER($D$25)),IF(AE379&gt;$D$25,"boven UCL",IF(AE379&lt;$B$25,"onder LCL","")),"")</f>
        <v/>
      </c>
      <c r="AK379" s="13">
        <f>IF(AND(ISNUMBER(AG379),ISNUMBER($B$26),ISNUMBER($D$26)),IF(AG379&gt;$D$26,"boven UCL",IF(AG379&lt;$B$26,"onder LCL","")),"")</f>
        <v/>
      </c>
      <c r="AL379" s="13">
        <f>IF(AND(COUNT(B379:Z379)&gt;0,COUNT(AA379:AC379)&gt;0),"ruwe waarden én getypt: getypte genegeerd",IF(COUNTA(B379:Z379,AA379:AC379)&gt;COUNT(B379:Z379,AA379:AC379),"tekst telt niet mee",IF(COUNT(B379:Z379)=1,"1 waarde: geen R of s","")))</f>
        <v/>
      </c>
    </row>
    <row r="380">
      <c r="A380" t="n">
        <v>329</v>
      </c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28">
        <f>IF(COUNT(B380:Z380)&gt;0,COUNT(B380:Z380),IF(OR(ISNUMBER(AA380),ISNUMBER(AB380)),$B$9,""))</f>
        <v/>
      </c>
      <c r="AE380" s="29">
        <f>IF(COUNT(B380:Z380)&gt;0,AVERAGE(B380:Z380),IF(ISNUMBER(AA380),AA380,""))</f>
        <v/>
      </c>
      <c r="AF380" s="29">
        <f>IF(COUNT(B380:Z380)&gt;1,MAX(B380:Z380)-MIN(B380:Z380),IF(ISNUMBER(AB380),AB380,""))</f>
        <v/>
      </c>
      <c r="AG380" s="29">
        <f>IF(COUNT(B380:Z380)&gt;1,_xlfn.STDEV.S(B380:Z380),IF(ISNUMBER(AC380),AC380,""))</f>
        <v/>
      </c>
      <c r="AH380" s="13">
        <f>IF(AND(ISNUMBER(AE380),ISNUMBER($B$23),ISNUMBER($D$23)),IF(AE380&gt;$D$23,"boven UCL",IF(AE380&lt;$B$23,"onder LCL","")),"")</f>
        <v/>
      </c>
      <c r="AI380" s="13">
        <f>IF(AND(ISNUMBER(AF380),ISNUMBER($B$24),ISNUMBER($D$24)),IF(AF380&gt;$D$24,"boven UCL",IF(AF380&lt;$B$24,"onder LCL","")),"")</f>
        <v/>
      </c>
      <c r="AJ380" s="13">
        <f>IF(AND(ISNUMBER(AE380),ISNUMBER($B$25),ISNUMBER($D$25)),IF(AE380&gt;$D$25,"boven UCL",IF(AE380&lt;$B$25,"onder LCL","")),"")</f>
        <v/>
      </c>
      <c r="AK380" s="13">
        <f>IF(AND(ISNUMBER(AG380),ISNUMBER($B$26),ISNUMBER($D$26)),IF(AG380&gt;$D$26,"boven UCL",IF(AG380&lt;$B$26,"onder LCL","")),"")</f>
        <v/>
      </c>
      <c r="AL380" s="13">
        <f>IF(AND(COUNT(B380:Z380)&gt;0,COUNT(AA380:AC380)&gt;0),"ruwe waarden én getypt: getypte genegeerd",IF(COUNTA(B380:Z380,AA380:AC380)&gt;COUNT(B380:Z380,AA380:AC380),"tekst telt niet mee",IF(COUNT(B380:Z380)=1,"1 waarde: geen R of s","")))</f>
        <v/>
      </c>
    </row>
    <row r="381">
      <c r="A381" t="n">
        <v>330</v>
      </c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28">
        <f>IF(COUNT(B381:Z381)&gt;0,COUNT(B381:Z381),IF(OR(ISNUMBER(AA381),ISNUMBER(AB381)),$B$9,""))</f>
        <v/>
      </c>
      <c r="AE381" s="29">
        <f>IF(COUNT(B381:Z381)&gt;0,AVERAGE(B381:Z381),IF(ISNUMBER(AA381),AA381,""))</f>
        <v/>
      </c>
      <c r="AF381" s="29">
        <f>IF(COUNT(B381:Z381)&gt;1,MAX(B381:Z381)-MIN(B381:Z381),IF(ISNUMBER(AB381),AB381,""))</f>
        <v/>
      </c>
      <c r="AG381" s="29">
        <f>IF(COUNT(B381:Z381)&gt;1,_xlfn.STDEV.S(B381:Z381),IF(ISNUMBER(AC381),AC381,""))</f>
        <v/>
      </c>
      <c r="AH381" s="13">
        <f>IF(AND(ISNUMBER(AE381),ISNUMBER($B$23),ISNUMBER($D$23)),IF(AE381&gt;$D$23,"boven UCL",IF(AE381&lt;$B$23,"onder LCL","")),"")</f>
        <v/>
      </c>
      <c r="AI381" s="13">
        <f>IF(AND(ISNUMBER(AF381),ISNUMBER($B$24),ISNUMBER($D$24)),IF(AF381&gt;$D$24,"boven UCL",IF(AF381&lt;$B$24,"onder LCL","")),"")</f>
        <v/>
      </c>
      <c r="AJ381" s="13">
        <f>IF(AND(ISNUMBER(AE381),ISNUMBER($B$25),ISNUMBER($D$25)),IF(AE381&gt;$D$25,"boven UCL",IF(AE381&lt;$B$25,"onder LCL","")),"")</f>
        <v/>
      </c>
      <c r="AK381" s="13">
        <f>IF(AND(ISNUMBER(AG381),ISNUMBER($B$26),ISNUMBER($D$26)),IF(AG381&gt;$D$26,"boven UCL",IF(AG381&lt;$B$26,"onder LCL","")),"")</f>
        <v/>
      </c>
      <c r="AL381" s="13">
        <f>IF(AND(COUNT(B381:Z381)&gt;0,COUNT(AA381:AC381)&gt;0),"ruwe waarden én getypt: getypte genegeerd",IF(COUNTA(B381:Z381,AA381:AC381)&gt;COUNT(B381:Z381,AA381:AC381),"tekst telt niet mee",IF(COUNT(B381:Z381)=1,"1 waarde: geen R of s","")))</f>
        <v/>
      </c>
    </row>
    <row r="382">
      <c r="A382" t="n">
        <v>331</v>
      </c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28">
        <f>IF(COUNT(B382:Z382)&gt;0,COUNT(B382:Z382),IF(OR(ISNUMBER(AA382),ISNUMBER(AB382)),$B$9,""))</f>
        <v/>
      </c>
      <c r="AE382" s="29">
        <f>IF(COUNT(B382:Z382)&gt;0,AVERAGE(B382:Z382),IF(ISNUMBER(AA382),AA382,""))</f>
        <v/>
      </c>
      <c r="AF382" s="29">
        <f>IF(COUNT(B382:Z382)&gt;1,MAX(B382:Z382)-MIN(B382:Z382),IF(ISNUMBER(AB382),AB382,""))</f>
        <v/>
      </c>
      <c r="AG382" s="29">
        <f>IF(COUNT(B382:Z382)&gt;1,_xlfn.STDEV.S(B382:Z382),IF(ISNUMBER(AC382),AC382,""))</f>
        <v/>
      </c>
      <c r="AH382" s="13">
        <f>IF(AND(ISNUMBER(AE382),ISNUMBER($B$23),ISNUMBER($D$23)),IF(AE382&gt;$D$23,"boven UCL",IF(AE382&lt;$B$23,"onder LCL","")),"")</f>
        <v/>
      </c>
      <c r="AI382" s="13">
        <f>IF(AND(ISNUMBER(AF382),ISNUMBER($B$24),ISNUMBER($D$24)),IF(AF382&gt;$D$24,"boven UCL",IF(AF382&lt;$B$24,"onder LCL","")),"")</f>
        <v/>
      </c>
      <c r="AJ382" s="13">
        <f>IF(AND(ISNUMBER(AE382),ISNUMBER($B$25),ISNUMBER($D$25)),IF(AE382&gt;$D$25,"boven UCL",IF(AE382&lt;$B$25,"onder LCL","")),"")</f>
        <v/>
      </c>
      <c r="AK382" s="13">
        <f>IF(AND(ISNUMBER(AG382),ISNUMBER($B$26),ISNUMBER($D$26)),IF(AG382&gt;$D$26,"boven UCL",IF(AG382&lt;$B$26,"onder LCL","")),"")</f>
        <v/>
      </c>
      <c r="AL382" s="13">
        <f>IF(AND(COUNT(B382:Z382)&gt;0,COUNT(AA382:AC382)&gt;0),"ruwe waarden én getypt: getypte genegeerd",IF(COUNTA(B382:Z382,AA382:AC382)&gt;COUNT(B382:Z382,AA382:AC382),"tekst telt niet mee",IF(COUNT(B382:Z382)=1,"1 waarde: geen R of s","")))</f>
        <v/>
      </c>
    </row>
    <row r="383">
      <c r="A383" t="n">
        <v>332</v>
      </c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28">
        <f>IF(COUNT(B383:Z383)&gt;0,COUNT(B383:Z383),IF(OR(ISNUMBER(AA383),ISNUMBER(AB383)),$B$9,""))</f>
        <v/>
      </c>
      <c r="AE383" s="29">
        <f>IF(COUNT(B383:Z383)&gt;0,AVERAGE(B383:Z383),IF(ISNUMBER(AA383),AA383,""))</f>
        <v/>
      </c>
      <c r="AF383" s="29">
        <f>IF(COUNT(B383:Z383)&gt;1,MAX(B383:Z383)-MIN(B383:Z383),IF(ISNUMBER(AB383),AB383,""))</f>
        <v/>
      </c>
      <c r="AG383" s="29">
        <f>IF(COUNT(B383:Z383)&gt;1,_xlfn.STDEV.S(B383:Z383),IF(ISNUMBER(AC383),AC383,""))</f>
        <v/>
      </c>
      <c r="AH383" s="13">
        <f>IF(AND(ISNUMBER(AE383),ISNUMBER($B$23),ISNUMBER($D$23)),IF(AE383&gt;$D$23,"boven UCL",IF(AE383&lt;$B$23,"onder LCL","")),"")</f>
        <v/>
      </c>
      <c r="AI383" s="13">
        <f>IF(AND(ISNUMBER(AF383),ISNUMBER($B$24),ISNUMBER($D$24)),IF(AF383&gt;$D$24,"boven UCL",IF(AF383&lt;$B$24,"onder LCL","")),"")</f>
        <v/>
      </c>
      <c r="AJ383" s="13">
        <f>IF(AND(ISNUMBER(AE383),ISNUMBER($B$25),ISNUMBER($D$25)),IF(AE383&gt;$D$25,"boven UCL",IF(AE383&lt;$B$25,"onder LCL","")),"")</f>
        <v/>
      </c>
      <c r="AK383" s="13">
        <f>IF(AND(ISNUMBER(AG383),ISNUMBER($B$26),ISNUMBER($D$26)),IF(AG383&gt;$D$26,"boven UCL",IF(AG383&lt;$B$26,"onder LCL","")),"")</f>
        <v/>
      </c>
      <c r="AL383" s="13">
        <f>IF(AND(COUNT(B383:Z383)&gt;0,COUNT(AA383:AC383)&gt;0),"ruwe waarden én getypt: getypte genegeerd",IF(COUNTA(B383:Z383,AA383:AC383)&gt;COUNT(B383:Z383,AA383:AC383),"tekst telt niet mee",IF(COUNT(B383:Z383)=1,"1 waarde: geen R of s","")))</f>
        <v/>
      </c>
    </row>
    <row r="384">
      <c r="A384" t="n">
        <v>333</v>
      </c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28">
        <f>IF(COUNT(B384:Z384)&gt;0,COUNT(B384:Z384),IF(OR(ISNUMBER(AA384),ISNUMBER(AB384)),$B$9,""))</f>
        <v/>
      </c>
      <c r="AE384" s="29">
        <f>IF(COUNT(B384:Z384)&gt;0,AVERAGE(B384:Z384),IF(ISNUMBER(AA384),AA384,""))</f>
        <v/>
      </c>
      <c r="AF384" s="29">
        <f>IF(COUNT(B384:Z384)&gt;1,MAX(B384:Z384)-MIN(B384:Z384),IF(ISNUMBER(AB384),AB384,""))</f>
        <v/>
      </c>
      <c r="AG384" s="29">
        <f>IF(COUNT(B384:Z384)&gt;1,_xlfn.STDEV.S(B384:Z384),IF(ISNUMBER(AC384),AC384,""))</f>
        <v/>
      </c>
      <c r="AH384" s="13">
        <f>IF(AND(ISNUMBER(AE384),ISNUMBER($B$23),ISNUMBER($D$23)),IF(AE384&gt;$D$23,"boven UCL",IF(AE384&lt;$B$23,"onder LCL","")),"")</f>
        <v/>
      </c>
      <c r="AI384" s="13">
        <f>IF(AND(ISNUMBER(AF384),ISNUMBER($B$24),ISNUMBER($D$24)),IF(AF384&gt;$D$24,"boven UCL",IF(AF384&lt;$B$24,"onder LCL","")),"")</f>
        <v/>
      </c>
      <c r="AJ384" s="13">
        <f>IF(AND(ISNUMBER(AE384),ISNUMBER($B$25),ISNUMBER($D$25)),IF(AE384&gt;$D$25,"boven UCL",IF(AE384&lt;$B$25,"onder LCL","")),"")</f>
        <v/>
      </c>
      <c r="AK384" s="13">
        <f>IF(AND(ISNUMBER(AG384),ISNUMBER($B$26),ISNUMBER($D$26)),IF(AG384&gt;$D$26,"boven UCL",IF(AG384&lt;$B$26,"onder LCL","")),"")</f>
        <v/>
      </c>
      <c r="AL384" s="13">
        <f>IF(AND(COUNT(B384:Z384)&gt;0,COUNT(AA384:AC384)&gt;0),"ruwe waarden én getypt: getypte genegeerd",IF(COUNTA(B384:Z384,AA384:AC384)&gt;COUNT(B384:Z384,AA384:AC384),"tekst telt niet mee",IF(COUNT(B384:Z384)=1,"1 waarde: geen R of s","")))</f>
        <v/>
      </c>
    </row>
    <row r="385">
      <c r="A385" t="n">
        <v>334</v>
      </c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28">
        <f>IF(COUNT(B385:Z385)&gt;0,COUNT(B385:Z385),IF(OR(ISNUMBER(AA385),ISNUMBER(AB385)),$B$9,""))</f>
        <v/>
      </c>
      <c r="AE385" s="29">
        <f>IF(COUNT(B385:Z385)&gt;0,AVERAGE(B385:Z385),IF(ISNUMBER(AA385),AA385,""))</f>
        <v/>
      </c>
      <c r="AF385" s="29">
        <f>IF(COUNT(B385:Z385)&gt;1,MAX(B385:Z385)-MIN(B385:Z385),IF(ISNUMBER(AB385),AB385,""))</f>
        <v/>
      </c>
      <c r="AG385" s="29">
        <f>IF(COUNT(B385:Z385)&gt;1,_xlfn.STDEV.S(B385:Z385),IF(ISNUMBER(AC385),AC385,""))</f>
        <v/>
      </c>
      <c r="AH385" s="13">
        <f>IF(AND(ISNUMBER(AE385),ISNUMBER($B$23),ISNUMBER($D$23)),IF(AE385&gt;$D$23,"boven UCL",IF(AE385&lt;$B$23,"onder LCL","")),"")</f>
        <v/>
      </c>
      <c r="AI385" s="13">
        <f>IF(AND(ISNUMBER(AF385),ISNUMBER($B$24),ISNUMBER($D$24)),IF(AF385&gt;$D$24,"boven UCL",IF(AF385&lt;$B$24,"onder LCL","")),"")</f>
        <v/>
      </c>
      <c r="AJ385" s="13">
        <f>IF(AND(ISNUMBER(AE385),ISNUMBER($B$25),ISNUMBER($D$25)),IF(AE385&gt;$D$25,"boven UCL",IF(AE385&lt;$B$25,"onder LCL","")),"")</f>
        <v/>
      </c>
      <c r="AK385" s="13">
        <f>IF(AND(ISNUMBER(AG385),ISNUMBER($B$26),ISNUMBER($D$26)),IF(AG385&gt;$D$26,"boven UCL",IF(AG385&lt;$B$26,"onder LCL","")),"")</f>
        <v/>
      </c>
      <c r="AL385" s="13">
        <f>IF(AND(COUNT(B385:Z385)&gt;0,COUNT(AA385:AC385)&gt;0),"ruwe waarden én getypt: getypte genegeerd",IF(COUNTA(B385:Z385,AA385:AC385)&gt;COUNT(B385:Z385,AA385:AC385),"tekst telt niet mee",IF(COUNT(B385:Z385)=1,"1 waarde: geen R of s","")))</f>
        <v/>
      </c>
    </row>
    <row r="386">
      <c r="A386" t="n">
        <v>335</v>
      </c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28">
        <f>IF(COUNT(B386:Z386)&gt;0,COUNT(B386:Z386),IF(OR(ISNUMBER(AA386),ISNUMBER(AB386)),$B$9,""))</f>
        <v/>
      </c>
      <c r="AE386" s="29">
        <f>IF(COUNT(B386:Z386)&gt;0,AVERAGE(B386:Z386),IF(ISNUMBER(AA386),AA386,""))</f>
        <v/>
      </c>
      <c r="AF386" s="29">
        <f>IF(COUNT(B386:Z386)&gt;1,MAX(B386:Z386)-MIN(B386:Z386),IF(ISNUMBER(AB386),AB386,""))</f>
        <v/>
      </c>
      <c r="AG386" s="29">
        <f>IF(COUNT(B386:Z386)&gt;1,_xlfn.STDEV.S(B386:Z386),IF(ISNUMBER(AC386),AC386,""))</f>
        <v/>
      </c>
      <c r="AH386" s="13">
        <f>IF(AND(ISNUMBER(AE386),ISNUMBER($B$23),ISNUMBER($D$23)),IF(AE386&gt;$D$23,"boven UCL",IF(AE386&lt;$B$23,"onder LCL","")),"")</f>
        <v/>
      </c>
      <c r="AI386" s="13">
        <f>IF(AND(ISNUMBER(AF386),ISNUMBER($B$24),ISNUMBER($D$24)),IF(AF386&gt;$D$24,"boven UCL",IF(AF386&lt;$B$24,"onder LCL","")),"")</f>
        <v/>
      </c>
      <c r="AJ386" s="13">
        <f>IF(AND(ISNUMBER(AE386),ISNUMBER($B$25),ISNUMBER($D$25)),IF(AE386&gt;$D$25,"boven UCL",IF(AE386&lt;$B$25,"onder LCL","")),"")</f>
        <v/>
      </c>
      <c r="AK386" s="13">
        <f>IF(AND(ISNUMBER(AG386),ISNUMBER($B$26),ISNUMBER($D$26)),IF(AG386&gt;$D$26,"boven UCL",IF(AG386&lt;$B$26,"onder LCL","")),"")</f>
        <v/>
      </c>
      <c r="AL386" s="13">
        <f>IF(AND(COUNT(B386:Z386)&gt;0,COUNT(AA386:AC386)&gt;0),"ruwe waarden én getypt: getypte genegeerd",IF(COUNTA(B386:Z386,AA386:AC386)&gt;COUNT(B386:Z386,AA386:AC386),"tekst telt niet mee",IF(COUNT(B386:Z386)=1,"1 waarde: geen R of s","")))</f>
        <v/>
      </c>
    </row>
    <row r="387">
      <c r="A387" t="n">
        <v>336</v>
      </c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28">
        <f>IF(COUNT(B387:Z387)&gt;0,COUNT(B387:Z387),IF(OR(ISNUMBER(AA387),ISNUMBER(AB387)),$B$9,""))</f>
        <v/>
      </c>
      <c r="AE387" s="29">
        <f>IF(COUNT(B387:Z387)&gt;0,AVERAGE(B387:Z387),IF(ISNUMBER(AA387),AA387,""))</f>
        <v/>
      </c>
      <c r="AF387" s="29">
        <f>IF(COUNT(B387:Z387)&gt;1,MAX(B387:Z387)-MIN(B387:Z387),IF(ISNUMBER(AB387),AB387,""))</f>
        <v/>
      </c>
      <c r="AG387" s="29">
        <f>IF(COUNT(B387:Z387)&gt;1,_xlfn.STDEV.S(B387:Z387),IF(ISNUMBER(AC387),AC387,""))</f>
        <v/>
      </c>
      <c r="AH387" s="13">
        <f>IF(AND(ISNUMBER(AE387),ISNUMBER($B$23),ISNUMBER($D$23)),IF(AE387&gt;$D$23,"boven UCL",IF(AE387&lt;$B$23,"onder LCL","")),"")</f>
        <v/>
      </c>
      <c r="AI387" s="13">
        <f>IF(AND(ISNUMBER(AF387),ISNUMBER($B$24),ISNUMBER($D$24)),IF(AF387&gt;$D$24,"boven UCL",IF(AF387&lt;$B$24,"onder LCL","")),"")</f>
        <v/>
      </c>
      <c r="AJ387" s="13">
        <f>IF(AND(ISNUMBER(AE387),ISNUMBER($B$25),ISNUMBER($D$25)),IF(AE387&gt;$D$25,"boven UCL",IF(AE387&lt;$B$25,"onder LCL","")),"")</f>
        <v/>
      </c>
      <c r="AK387" s="13">
        <f>IF(AND(ISNUMBER(AG387),ISNUMBER($B$26),ISNUMBER($D$26)),IF(AG387&gt;$D$26,"boven UCL",IF(AG387&lt;$B$26,"onder LCL","")),"")</f>
        <v/>
      </c>
      <c r="AL387" s="13">
        <f>IF(AND(COUNT(B387:Z387)&gt;0,COUNT(AA387:AC387)&gt;0),"ruwe waarden én getypt: getypte genegeerd",IF(COUNTA(B387:Z387,AA387:AC387)&gt;COUNT(B387:Z387,AA387:AC387),"tekst telt niet mee",IF(COUNT(B387:Z387)=1,"1 waarde: geen R of s","")))</f>
        <v/>
      </c>
    </row>
    <row r="388">
      <c r="A388" t="n">
        <v>337</v>
      </c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28">
        <f>IF(COUNT(B388:Z388)&gt;0,COUNT(B388:Z388),IF(OR(ISNUMBER(AA388),ISNUMBER(AB388)),$B$9,""))</f>
        <v/>
      </c>
      <c r="AE388" s="29">
        <f>IF(COUNT(B388:Z388)&gt;0,AVERAGE(B388:Z388),IF(ISNUMBER(AA388),AA388,""))</f>
        <v/>
      </c>
      <c r="AF388" s="29">
        <f>IF(COUNT(B388:Z388)&gt;1,MAX(B388:Z388)-MIN(B388:Z388),IF(ISNUMBER(AB388),AB388,""))</f>
        <v/>
      </c>
      <c r="AG388" s="29">
        <f>IF(COUNT(B388:Z388)&gt;1,_xlfn.STDEV.S(B388:Z388),IF(ISNUMBER(AC388),AC388,""))</f>
        <v/>
      </c>
      <c r="AH388" s="13">
        <f>IF(AND(ISNUMBER(AE388),ISNUMBER($B$23),ISNUMBER($D$23)),IF(AE388&gt;$D$23,"boven UCL",IF(AE388&lt;$B$23,"onder LCL","")),"")</f>
        <v/>
      </c>
      <c r="AI388" s="13">
        <f>IF(AND(ISNUMBER(AF388),ISNUMBER($B$24),ISNUMBER($D$24)),IF(AF388&gt;$D$24,"boven UCL",IF(AF388&lt;$B$24,"onder LCL","")),"")</f>
        <v/>
      </c>
      <c r="AJ388" s="13">
        <f>IF(AND(ISNUMBER(AE388),ISNUMBER($B$25),ISNUMBER($D$25)),IF(AE388&gt;$D$25,"boven UCL",IF(AE388&lt;$B$25,"onder LCL","")),"")</f>
        <v/>
      </c>
      <c r="AK388" s="13">
        <f>IF(AND(ISNUMBER(AG388),ISNUMBER($B$26),ISNUMBER($D$26)),IF(AG388&gt;$D$26,"boven UCL",IF(AG388&lt;$B$26,"onder LCL","")),"")</f>
        <v/>
      </c>
      <c r="AL388" s="13">
        <f>IF(AND(COUNT(B388:Z388)&gt;0,COUNT(AA388:AC388)&gt;0),"ruwe waarden én getypt: getypte genegeerd",IF(COUNTA(B388:Z388,AA388:AC388)&gt;COUNT(B388:Z388,AA388:AC388),"tekst telt niet mee",IF(COUNT(B388:Z388)=1,"1 waarde: geen R of s","")))</f>
        <v/>
      </c>
    </row>
    <row r="389">
      <c r="A389" t="n">
        <v>338</v>
      </c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28">
        <f>IF(COUNT(B389:Z389)&gt;0,COUNT(B389:Z389),IF(OR(ISNUMBER(AA389),ISNUMBER(AB389)),$B$9,""))</f>
        <v/>
      </c>
      <c r="AE389" s="29">
        <f>IF(COUNT(B389:Z389)&gt;0,AVERAGE(B389:Z389),IF(ISNUMBER(AA389),AA389,""))</f>
        <v/>
      </c>
      <c r="AF389" s="29">
        <f>IF(COUNT(B389:Z389)&gt;1,MAX(B389:Z389)-MIN(B389:Z389),IF(ISNUMBER(AB389),AB389,""))</f>
        <v/>
      </c>
      <c r="AG389" s="29">
        <f>IF(COUNT(B389:Z389)&gt;1,_xlfn.STDEV.S(B389:Z389),IF(ISNUMBER(AC389),AC389,""))</f>
        <v/>
      </c>
      <c r="AH389" s="13">
        <f>IF(AND(ISNUMBER(AE389),ISNUMBER($B$23),ISNUMBER($D$23)),IF(AE389&gt;$D$23,"boven UCL",IF(AE389&lt;$B$23,"onder LCL","")),"")</f>
        <v/>
      </c>
      <c r="AI389" s="13">
        <f>IF(AND(ISNUMBER(AF389),ISNUMBER($B$24),ISNUMBER($D$24)),IF(AF389&gt;$D$24,"boven UCL",IF(AF389&lt;$B$24,"onder LCL","")),"")</f>
        <v/>
      </c>
      <c r="AJ389" s="13">
        <f>IF(AND(ISNUMBER(AE389),ISNUMBER($B$25),ISNUMBER($D$25)),IF(AE389&gt;$D$25,"boven UCL",IF(AE389&lt;$B$25,"onder LCL","")),"")</f>
        <v/>
      </c>
      <c r="AK389" s="13">
        <f>IF(AND(ISNUMBER(AG389),ISNUMBER($B$26),ISNUMBER($D$26)),IF(AG389&gt;$D$26,"boven UCL",IF(AG389&lt;$B$26,"onder LCL","")),"")</f>
        <v/>
      </c>
      <c r="AL389" s="13">
        <f>IF(AND(COUNT(B389:Z389)&gt;0,COUNT(AA389:AC389)&gt;0),"ruwe waarden én getypt: getypte genegeerd",IF(COUNTA(B389:Z389,AA389:AC389)&gt;COUNT(B389:Z389,AA389:AC389),"tekst telt niet mee",IF(COUNT(B389:Z389)=1,"1 waarde: geen R of s","")))</f>
        <v/>
      </c>
    </row>
    <row r="390">
      <c r="A390" t="n">
        <v>339</v>
      </c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28">
        <f>IF(COUNT(B390:Z390)&gt;0,COUNT(B390:Z390),IF(OR(ISNUMBER(AA390),ISNUMBER(AB390)),$B$9,""))</f>
        <v/>
      </c>
      <c r="AE390" s="29">
        <f>IF(COUNT(B390:Z390)&gt;0,AVERAGE(B390:Z390),IF(ISNUMBER(AA390),AA390,""))</f>
        <v/>
      </c>
      <c r="AF390" s="29">
        <f>IF(COUNT(B390:Z390)&gt;1,MAX(B390:Z390)-MIN(B390:Z390),IF(ISNUMBER(AB390),AB390,""))</f>
        <v/>
      </c>
      <c r="AG390" s="29">
        <f>IF(COUNT(B390:Z390)&gt;1,_xlfn.STDEV.S(B390:Z390),IF(ISNUMBER(AC390),AC390,""))</f>
        <v/>
      </c>
      <c r="AH390" s="13">
        <f>IF(AND(ISNUMBER(AE390),ISNUMBER($B$23),ISNUMBER($D$23)),IF(AE390&gt;$D$23,"boven UCL",IF(AE390&lt;$B$23,"onder LCL","")),"")</f>
        <v/>
      </c>
      <c r="AI390" s="13">
        <f>IF(AND(ISNUMBER(AF390),ISNUMBER($B$24),ISNUMBER($D$24)),IF(AF390&gt;$D$24,"boven UCL",IF(AF390&lt;$B$24,"onder LCL","")),"")</f>
        <v/>
      </c>
      <c r="AJ390" s="13">
        <f>IF(AND(ISNUMBER(AE390),ISNUMBER($B$25),ISNUMBER($D$25)),IF(AE390&gt;$D$25,"boven UCL",IF(AE390&lt;$B$25,"onder LCL","")),"")</f>
        <v/>
      </c>
      <c r="AK390" s="13">
        <f>IF(AND(ISNUMBER(AG390),ISNUMBER($B$26),ISNUMBER($D$26)),IF(AG390&gt;$D$26,"boven UCL",IF(AG390&lt;$B$26,"onder LCL","")),"")</f>
        <v/>
      </c>
      <c r="AL390" s="13">
        <f>IF(AND(COUNT(B390:Z390)&gt;0,COUNT(AA390:AC390)&gt;0),"ruwe waarden én getypt: getypte genegeerd",IF(COUNTA(B390:Z390,AA390:AC390)&gt;COUNT(B390:Z390,AA390:AC390),"tekst telt niet mee",IF(COUNT(B390:Z390)=1,"1 waarde: geen R of s","")))</f>
        <v/>
      </c>
    </row>
    <row r="391">
      <c r="A391" t="n">
        <v>340</v>
      </c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28">
        <f>IF(COUNT(B391:Z391)&gt;0,COUNT(B391:Z391),IF(OR(ISNUMBER(AA391),ISNUMBER(AB391)),$B$9,""))</f>
        <v/>
      </c>
      <c r="AE391" s="29">
        <f>IF(COUNT(B391:Z391)&gt;0,AVERAGE(B391:Z391),IF(ISNUMBER(AA391),AA391,""))</f>
        <v/>
      </c>
      <c r="AF391" s="29">
        <f>IF(COUNT(B391:Z391)&gt;1,MAX(B391:Z391)-MIN(B391:Z391),IF(ISNUMBER(AB391),AB391,""))</f>
        <v/>
      </c>
      <c r="AG391" s="29">
        <f>IF(COUNT(B391:Z391)&gt;1,_xlfn.STDEV.S(B391:Z391),IF(ISNUMBER(AC391),AC391,""))</f>
        <v/>
      </c>
      <c r="AH391" s="13">
        <f>IF(AND(ISNUMBER(AE391),ISNUMBER($B$23),ISNUMBER($D$23)),IF(AE391&gt;$D$23,"boven UCL",IF(AE391&lt;$B$23,"onder LCL","")),"")</f>
        <v/>
      </c>
      <c r="AI391" s="13">
        <f>IF(AND(ISNUMBER(AF391),ISNUMBER($B$24),ISNUMBER($D$24)),IF(AF391&gt;$D$24,"boven UCL",IF(AF391&lt;$B$24,"onder LCL","")),"")</f>
        <v/>
      </c>
      <c r="AJ391" s="13">
        <f>IF(AND(ISNUMBER(AE391),ISNUMBER($B$25),ISNUMBER($D$25)),IF(AE391&gt;$D$25,"boven UCL",IF(AE391&lt;$B$25,"onder LCL","")),"")</f>
        <v/>
      </c>
      <c r="AK391" s="13">
        <f>IF(AND(ISNUMBER(AG391),ISNUMBER($B$26),ISNUMBER($D$26)),IF(AG391&gt;$D$26,"boven UCL",IF(AG391&lt;$B$26,"onder LCL","")),"")</f>
        <v/>
      </c>
      <c r="AL391" s="13">
        <f>IF(AND(COUNT(B391:Z391)&gt;0,COUNT(AA391:AC391)&gt;0),"ruwe waarden én getypt: getypte genegeerd",IF(COUNTA(B391:Z391,AA391:AC391)&gt;COUNT(B391:Z391,AA391:AC391),"tekst telt niet mee",IF(COUNT(B391:Z391)=1,"1 waarde: geen R of s","")))</f>
        <v/>
      </c>
    </row>
    <row r="392">
      <c r="A392" t="n">
        <v>341</v>
      </c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28">
        <f>IF(COUNT(B392:Z392)&gt;0,COUNT(B392:Z392),IF(OR(ISNUMBER(AA392),ISNUMBER(AB392)),$B$9,""))</f>
        <v/>
      </c>
      <c r="AE392" s="29">
        <f>IF(COUNT(B392:Z392)&gt;0,AVERAGE(B392:Z392),IF(ISNUMBER(AA392),AA392,""))</f>
        <v/>
      </c>
      <c r="AF392" s="29">
        <f>IF(COUNT(B392:Z392)&gt;1,MAX(B392:Z392)-MIN(B392:Z392),IF(ISNUMBER(AB392),AB392,""))</f>
        <v/>
      </c>
      <c r="AG392" s="29">
        <f>IF(COUNT(B392:Z392)&gt;1,_xlfn.STDEV.S(B392:Z392),IF(ISNUMBER(AC392),AC392,""))</f>
        <v/>
      </c>
      <c r="AH392" s="13">
        <f>IF(AND(ISNUMBER(AE392),ISNUMBER($B$23),ISNUMBER($D$23)),IF(AE392&gt;$D$23,"boven UCL",IF(AE392&lt;$B$23,"onder LCL","")),"")</f>
        <v/>
      </c>
      <c r="AI392" s="13">
        <f>IF(AND(ISNUMBER(AF392),ISNUMBER($B$24),ISNUMBER($D$24)),IF(AF392&gt;$D$24,"boven UCL",IF(AF392&lt;$B$24,"onder LCL","")),"")</f>
        <v/>
      </c>
      <c r="AJ392" s="13">
        <f>IF(AND(ISNUMBER(AE392),ISNUMBER($B$25),ISNUMBER($D$25)),IF(AE392&gt;$D$25,"boven UCL",IF(AE392&lt;$B$25,"onder LCL","")),"")</f>
        <v/>
      </c>
      <c r="AK392" s="13">
        <f>IF(AND(ISNUMBER(AG392),ISNUMBER($B$26),ISNUMBER($D$26)),IF(AG392&gt;$D$26,"boven UCL",IF(AG392&lt;$B$26,"onder LCL","")),"")</f>
        <v/>
      </c>
      <c r="AL392" s="13">
        <f>IF(AND(COUNT(B392:Z392)&gt;0,COUNT(AA392:AC392)&gt;0),"ruwe waarden én getypt: getypte genegeerd",IF(COUNTA(B392:Z392,AA392:AC392)&gt;COUNT(B392:Z392,AA392:AC392),"tekst telt niet mee",IF(COUNT(B392:Z392)=1,"1 waarde: geen R of s","")))</f>
        <v/>
      </c>
    </row>
    <row r="393">
      <c r="A393" t="n">
        <v>342</v>
      </c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28">
        <f>IF(COUNT(B393:Z393)&gt;0,COUNT(B393:Z393),IF(OR(ISNUMBER(AA393),ISNUMBER(AB393)),$B$9,""))</f>
        <v/>
      </c>
      <c r="AE393" s="29">
        <f>IF(COUNT(B393:Z393)&gt;0,AVERAGE(B393:Z393),IF(ISNUMBER(AA393),AA393,""))</f>
        <v/>
      </c>
      <c r="AF393" s="29">
        <f>IF(COUNT(B393:Z393)&gt;1,MAX(B393:Z393)-MIN(B393:Z393),IF(ISNUMBER(AB393),AB393,""))</f>
        <v/>
      </c>
      <c r="AG393" s="29">
        <f>IF(COUNT(B393:Z393)&gt;1,_xlfn.STDEV.S(B393:Z393),IF(ISNUMBER(AC393),AC393,""))</f>
        <v/>
      </c>
      <c r="AH393" s="13">
        <f>IF(AND(ISNUMBER(AE393),ISNUMBER($B$23),ISNUMBER($D$23)),IF(AE393&gt;$D$23,"boven UCL",IF(AE393&lt;$B$23,"onder LCL","")),"")</f>
        <v/>
      </c>
      <c r="AI393" s="13">
        <f>IF(AND(ISNUMBER(AF393),ISNUMBER($B$24),ISNUMBER($D$24)),IF(AF393&gt;$D$24,"boven UCL",IF(AF393&lt;$B$24,"onder LCL","")),"")</f>
        <v/>
      </c>
      <c r="AJ393" s="13">
        <f>IF(AND(ISNUMBER(AE393),ISNUMBER($B$25),ISNUMBER($D$25)),IF(AE393&gt;$D$25,"boven UCL",IF(AE393&lt;$B$25,"onder LCL","")),"")</f>
        <v/>
      </c>
      <c r="AK393" s="13">
        <f>IF(AND(ISNUMBER(AG393),ISNUMBER($B$26),ISNUMBER($D$26)),IF(AG393&gt;$D$26,"boven UCL",IF(AG393&lt;$B$26,"onder LCL","")),"")</f>
        <v/>
      </c>
      <c r="AL393" s="13">
        <f>IF(AND(COUNT(B393:Z393)&gt;0,COUNT(AA393:AC393)&gt;0),"ruwe waarden én getypt: getypte genegeerd",IF(COUNTA(B393:Z393,AA393:AC393)&gt;COUNT(B393:Z393,AA393:AC393),"tekst telt niet mee",IF(COUNT(B393:Z393)=1,"1 waarde: geen R of s","")))</f>
        <v/>
      </c>
    </row>
    <row r="394">
      <c r="A394" t="n">
        <v>343</v>
      </c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28">
        <f>IF(COUNT(B394:Z394)&gt;0,COUNT(B394:Z394),IF(OR(ISNUMBER(AA394),ISNUMBER(AB394)),$B$9,""))</f>
        <v/>
      </c>
      <c r="AE394" s="29">
        <f>IF(COUNT(B394:Z394)&gt;0,AVERAGE(B394:Z394),IF(ISNUMBER(AA394),AA394,""))</f>
        <v/>
      </c>
      <c r="AF394" s="29">
        <f>IF(COUNT(B394:Z394)&gt;1,MAX(B394:Z394)-MIN(B394:Z394),IF(ISNUMBER(AB394),AB394,""))</f>
        <v/>
      </c>
      <c r="AG394" s="29">
        <f>IF(COUNT(B394:Z394)&gt;1,_xlfn.STDEV.S(B394:Z394),IF(ISNUMBER(AC394),AC394,""))</f>
        <v/>
      </c>
      <c r="AH394" s="13">
        <f>IF(AND(ISNUMBER(AE394),ISNUMBER($B$23),ISNUMBER($D$23)),IF(AE394&gt;$D$23,"boven UCL",IF(AE394&lt;$B$23,"onder LCL","")),"")</f>
        <v/>
      </c>
      <c r="AI394" s="13">
        <f>IF(AND(ISNUMBER(AF394),ISNUMBER($B$24),ISNUMBER($D$24)),IF(AF394&gt;$D$24,"boven UCL",IF(AF394&lt;$B$24,"onder LCL","")),"")</f>
        <v/>
      </c>
      <c r="AJ394" s="13">
        <f>IF(AND(ISNUMBER(AE394),ISNUMBER($B$25),ISNUMBER($D$25)),IF(AE394&gt;$D$25,"boven UCL",IF(AE394&lt;$B$25,"onder LCL","")),"")</f>
        <v/>
      </c>
      <c r="AK394" s="13">
        <f>IF(AND(ISNUMBER(AG394),ISNUMBER($B$26),ISNUMBER($D$26)),IF(AG394&gt;$D$26,"boven UCL",IF(AG394&lt;$B$26,"onder LCL","")),"")</f>
        <v/>
      </c>
      <c r="AL394" s="13">
        <f>IF(AND(COUNT(B394:Z394)&gt;0,COUNT(AA394:AC394)&gt;0),"ruwe waarden én getypt: getypte genegeerd",IF(COUNTA(B394:Z394,AA394:AC394)&gt;COUNT(B394:Z394,AA394:AC394),"tekst telt niet mee",IF(COUNT(B394:Z394)=1,"1 waarde: geen R of s","")))</f>
        <v/>
      </c>
    </row>
    <row r="395">
      <c r="A395" t="n">
        <v>344</v>
      </c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28">
        <f>IF(COUNT(B395:Z395)&gt;0,COUNT(B395:Z395),IF(OR(ISNUMBER(AA395),ISNUMBER(AB395)),$B$9,""))</f>
        <v/>
      </c>
      <c r="AE395" s="29">
        <f>IF(COUNT(B395:Z395)&gt;0,AVERAGE(B395:Z395),IF(ISNUMBER(AA395),AA395,""))</f>
        <v/>
      </c>
      <c r="AF395" s="29">
        <f>IF(COUNT(B395:Z395)&gt;1,MAX(B395:Z395)-MIN(B395:Z395),IF(ISNUMBER(AB395),AB395,""))</f>
        <v/>
      </c>
      <c r="AG395" s="29">
        <f>IF(COUNT(B395:Z395)&gt;1,_xlfn.STDEV.S(B395:Z395),IF(ISNUMBER(AC395),AC395,""))</f>
        <v/>
      </c>
      <c r="AH395" s="13">
        <f>IF(AND(ISNUMBER(AE395),ISNUMBER($B$23),ISNUMBER($D$23)),IF(AE395&gt;$D$23,"boven UCL",IF(AE395&lt;$B$23,"onder LCL","")),"")</f>
        <v/>
      </c>
      <c r="AI395" s="13">
        <f>IF(AND(ISNUMBER(AF395),ISNUMBER($B$24),ISNUMBER($D$24)),IF(AF395&gt;$D$24,"boven UCL",IF(AF395&lt;$B$24,"onder LCL","")),"")</f>
        <v/>
      </c>
      <c r="AJ395" s="13">
        <f>IF(AND(ISNUMBER(AE395),ISNUMBER($B$25),ISNUMBER($D$25)),IF(AE395&gt;$D$25,"boven UCL",IF(AE395&lt;$B$25,"onder LCL","")),"")</f>
        <v/>
      </c>
      <c r="AK395" s="13">
        <f>IF(AND(ISNUMBER(AG395),ISNUMBER($B$26),ISNUMBER($D$26)),IF(AG395&gt;$D$26,"boven UCL",IF(AG395&lt;$B$26,"onder LCL","")),"")</f>
        <v/>
      </c>
      <c r="AL395" s="13">
        <f>IF(AND(COUNT(B395:Z395)&gt;0,COUNT(AA395:AC395)&gt;0),"ruwe waarden én getypt: getypte genegeerd",IF(COUNTA(B395:Z395,AA395:AC395)&gt;COUNT(B395:Z395,AA395:AC395),"tekst telt niet mee",IF(COUNT(B395:Z395)=1,"1 waarde: geen R of s","")))</f>
        <v/>
      </c>
    </row>
    <row r="396">
      <c r="A396" t="n">
        <v>345</v>
      </c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28">
        <f>IF(COUNT(B396:Z396)&gt;0,COUNT(B396:Z396),IF(OR(ISNUMBER(AA396),ISNUMBER(AB396)),$B$9,""))</f>
        <v/>
      </c>
      <c r="AE396" s="29">
        <f>IF(COUNT(B396:Z396)&gt;0,AVERAGE(B396:Z396),IF(ISNUMBER(AA396),AA396,""))</f>
        <v/>
      </c>
      <c r="AF396" s="29">
        <f>IF(COUNT(B396:Z396)&gt;1,MAX(B396:Z396)-MIN(B396:Z396),IF(ISNUMBER(AB396),AB396,""))</f>
        <v/>
      </c>
      <c r="AG396" s="29">
        <f>IF(COUNT(B396:Z396)&gt;1,_xlfn.STDEV.S(B396:Z396),IF(ISNUMBER(AC396),AC396,""))</f>
        <v/>
      </c>
      <c r="AH396" s="13">
        <f>IF(AND(ISNUMBER(AE396),ISNUMBER($B$23),ISNUMBER($D$23)),IF(AE396&gt;$D$23,"boven UCL",IF(AE396&lt;$B$23,"onder LCL","")),"")</f>
        <v/>
      </c>
      <c r="AI396" s="13">
        <f>IF(AND(ISNUMBER(AF396),ISNUMBER($B$24),ISNUMBER($D$24)),IF(AF396&gt;$D$24,"boven UCL",IF(AF396&lt;$B$24,"onder LCL","")),"")</f>
        <v/>
      </c>
      <c r="AJ396" s="13">
        <f>IF(AND(ISNUMBER(AE396),ISNUMBER($B$25),ISNUMBER($D$25)),IF(AE396&gt;$D$25,"boven UCL",IF(AE396&lt;$B$25,"onder LCL","")),"")</f>
        <v/>
      </c>
      <c r="AK396" s="13">
        <f>IF(AND(ISNUMBER(AG396),ISNUMBER($B$26),ISNUMBER($D$26)),IF(AG396&gt;$D$26,"boven UCL",IF(AG396&lt;$B$26,"onder LCL","")),"")</f>
        <v/>
      </c>
      <c r="AL396" s="13">
        <f>IF(AND(COUNT(B396:Z396)&gt;0,COUNT(AA396:AC396)&gt;0),"ruwe waarden én getypt: getypte genegeerd",IF(COUNTA(B396:Z396,AA396:AC396)&gt;COUNT(B396:Z396,AA396:AC396),"tekst telt niet mee",IF(COUNT(B396:Z396)=1,"1 waarde: geen R of s","")))</f>
        <v/>
      </c>
    </row>
    <row r="397">
      <c r="A397" t="n">
        <v>346</v>
      </c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28">
        <f>IF(COUNT(B397:Z397)&gt;0,COUNT(B397:Z397),IF(OR(ISNUMBER(AA397),ISNUMBER(AB397)),$B$9,""))</f>
        <v/>
      </c>
      <c r="AE397" s="29">
        <f>IF(COUNT(B397:Z397)&gt;0,AVERAGE(B397:Z397),IF(ISNUMBER(AA397),AA397,""))</f>
        <v/>
      </c>
      <c r="AF397" s="29">
        <f>IF(COUNT(B397:Z397)&gt;1,MAX(B397:Z397)-MIN(B397:Z397),IF(ISNUMBER(AB397),AB397,""))</f>
        <v/>
      </c>
      <c r="AG397" s="29">
        <f>IF(COUNT(B397:Z397)&gt;1,_xlfn.STDEV.S(B397:Z397),IF(ISNUMBER(AC397),AC397,""))</f>
        <v/>
      </c>
      <c r="AH397" s="13">
        <f>IF(AND(ISNUMBER(AE397),ISNUMBER($B$23),ISNUMBER($D$23)),IF(AE397&gt;$D$23,"boven UCL",IF(AE397&lt;$B$23,"onder LCL","")),"")</f>
        <v/>
      </c>
      <c r="AI397" s="13">
        <f>IF(AND(ISNUMBER(AF397),ISNUMBER($B$24),ISNUMBER($D$24)),IF(AF397&gt;$D$24,"boven UCL",IF(AF397&lt;$B$24,"onder LCL","")),"")</f>
        <v/>
      </c>
      <c r="AJ397" s="13">
        <f>IF(AND(ISNUMBER(AE397),ISNUMBER($B$25),ISNUMBER($D$25)),IF(AE397&gt;$D$25,"boven UCL",IF(AE397&lt;$B$25,"onder LCL","")),"")</f>
        <v/>
      </c>
      <c r="AK397" s="13">
        <f>IF(AND(ISNUMBER(AG397),ISNUMBER($B$26),ISNUMBER($D$26)),IF(AG397&gt;$D$26,"boven UCL",IF(AG397&lt;$B$26,"onder LCL","")),"")</f>
        <v/>
      </c>
      <c r="AL397" s="13">
        <f>IF(AND(COUNT(B397:Z397)&gt;0,COUNT(AA397:AC397)&gt;0),"ruwe waarden én getypt: getypte genegeerd",IF(COUNTA(B397:Z397,AA397:AC397)&gt;COUNT(B397:Z397,AA397:AC397),"tekst telt niet mee",IF(COUNT(B397:Z397)=1,"1 waarde: geen R of s","")))</f>
        <v/>
      </c>
    </row>
    <row r="398">
      <c r="A398" t="n">
        <v>347</v>
      </c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28">
        <f>IF(COUNT(B398:Z398)&gt;0,COUNT(B398:Z398),IF(OR(ISNUMBER(AA398),ISNUMBER(AB398)),$B$9,""))</f>
        <v/>
      </c>
      <c r="AE398" s="29">
        <f>IF(COUNT(B398:Z398)&gt;0,AVERAGE(B398:Z398),IF(ISNUMBER(AA398),AA398,""))</f>
        <v/>
      </c>
      <c r="AF398" s="29">
        <f>IF(COUNT(B398:Z398)&gt;1,MAX(B398:Z398)-MIN(B398:Z398),IF(ISNUMBER(AB398),AB398,""))</f>
        <v/>
      </c>
      <c r="AG398" s="29">
        <f>IF(COUNT(B398:Z398)&gt;1,_xlfn.STDEV.S(B398:Z398),IF(ISNUMBER(AC398),AC398,""))</f>
        <v/>
      </c>
      <c r="AH398" s="13">
        <f>IF(AND(ISNUMBER(AE398),ISNUMBER($B$23),ISNUMBER($D$23)),IF(AE398&gt;$D$23,"boven UCL",IF(AE398&lt;$B$23,"onder LCL","")),"")</f>
        <v/>
      </c>
      <c r="AI398" s="13">
        <f>IF(AND(ISNUMBER(AF398),ISNUMBER($B$24),ISNUMBER($D$24)),IF(AF398&gt;$D$24,"boven UCL",IF(AF398&lt;$B$24,"onder LCL","")),"")</f>
        <v/>
      </c>
      <c r="AJ398" s="13">
        <f>IF(AND(ISNUMBER(AE398),ISNUMBER($B$25),ISNUMBER($D$25)),IF(AE398&gt;$D$25,"boven UCL",IF(AE398&lt;$B$25,"onder LCL","")),"")</f>
        <v/>
      </c>
      <c r="AK398" s="13">
        <f>IF(AND(ISNUMBER(AG398),ISNUMBER($B$26),ISNUMBER($D$26)),IF(AG398&gt;$D$26,"boven UCL",IF(AG398&lt;$B$26,"onder LCL","")),"")</f>
        <v/>
      </c>
      <c r="AL398" s="13">
        <f>IF(AND(COUNT(B398:Z398)&gt;0,COUNT(AA398:AC398)&gt;0),"ruwe waarden én getypt: getypte genegeerd",IF(COUNTA(B398:Z398,AA398:AC398)&gt;COUNT(B398:Z398,AA398:AC398),"tekst telt niet mee",IF(COUNT(B398:Z398)=1,"1 waarde: geen R of s","")))</f>
        <v/>
      </c>
    </row>
    <row r="399">
      <c r="A399" t="n">
        <v>348</v>
      </c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28">
        <f>IF(COUNT(B399:Z399)&gt;0,COUNT(B399:Z399),IF(OR(ISNUMBER(AA399),ISNUMBER(AB399)),$B$9,""))</f>
        <v/>
      </c>
      <c r="AE399" s="29">
        <f>IF(COUNT(B399:Z399)&gt;0,AVERAGE(B399:Z399),IF(ISNUMBER(AA399),AA399,""))</f>
        <v/>
      </c>
      <c r="AF399" s="29">
        <f>IF(COUNT(B399:Z399)&gt;1,MAX(B399:Z399)-MIN(B399:Z399),IF(ISNUMBER(AB399),AB399,""))</f>
        <v/>
      </c>
      <c r="AG399" s="29">
        <f>IF(COUNT(B399:Z399)&gt;1,_xlfn.STDEV.S(B399:Z399),IF(ISNUMBER(AC399),AC399,""))</f>
        <v/>
      </c>
      <c r="AH399" s="13">
        <f>IF(AND(ISNUMBER(AE399),ISNUMBER($B$23),ISNUMBER($D$23)),IF(AE399&gt;$D$23,"boven UCL",IF(AE399&lt;$B$23,"onder LCL","")),"")</f>
        <v/>
      </c>
      <c r="AI399" s="13">
        <f>IF(AND(ISNUMBER(AF399),ISNUMBER($B$24),ISNUMBER($D$24)),IF(AF399&gt;$D$24,"boven UCL",IF(AF399&lt;$B$24,"onder LCL","")),"")</f>
        <v/>
      </c>
      <c r="AJ399" s="13">
        <f>IF(AND(ISNUMBER(AE399),ISNUMBER($B$25),ISNUMBER($D$25)),IF(AE399&gt;$D$25,"boven UCL",IF(AE399&lt;$B$25,"onder LCL","")),"")</f>
        <v/>
      </c>
      <c r="AK399" s="13">
        <f>IF(AND(ISNUMBER(AG399),ISNUMBER($B$26),ISNUMBER($D$26)),IF(AG399&gt;$D$26,"boven UCL",IF(AG399&lt;$B$26,"onder LCL","")),"")</f>
        <v/>
      </c>
      <c r="AL399" s="13">
        <f>IF(AND(COUNT(B399:Z399)&gt;0,COUNT(AA399:AC399)&gt;0),"ruwe waarden én getypt: getypte genegeerd",IF(COUNTA(B399:Z399,AA399:AC399)&gt;COUNT(B399:Z399,AA399:AC399),"tekst telt niet mee",IF(COUNT(B399:Z399)=1,"1 waarde: geen R of s","")))</f>
        <v/>
      </c>
    </row>
    <row r="400">
      <c r="A400" t="n">
        <v>349</v>
      </c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28">
        <f>IF(COUNT(B400:Z400)&gt;0,COUNT(B400:Z400),IF(OR(ISNUMBER(AA400),ISNUMBER(AB400)),$B$9,""))</f>
        <v/>
      </c>
      <c r="AE400" s="29">
        <f>IF(COUNT(B400:Z400)&gt;0,AVERAGE(B400:Z400),IF(ISNUMBER(AA400),AA400,""))</f>
        <v/>
      </c>
      <c r="AF400" s="29">
        <f>IF(COUNT(B400:Z400)&gt;1,MAX(B400:Z400)-MIN(B400:Z400),IF(ISNUMBER(AB400),AB400,""))</f>
        <v/>
      </c>
      <c r="AG400" s="29">
        <f>IF(COUNT(B400:Z400)&gt;1,_xlfn.STDEV.S(B400:Z400),IF(ISNUMBER(AC400),AC400,""))</f>
        <v/>
      </c>
      <c r="AH400" s="13">
        <f>IF(AND(ISNUMBER(AE400),ISNUMBER($B$23),ISNUMBER($D$23)),IF(AE400&gt;$D$23,"boven UCL",IF(AE400&lt;$B$23,"onder LCL","")),"")</f>
        <v/>
      </c>
      <c r="AI400" s="13">
        <f>IF(AND(ISNUMBER(AF400),ISNUMBER($B$24),ISNUMBER($D$24)),IF(AF400&gt;$D$24,"boven UCL",IF(AF400&lt;$B$24,"onder LCL","")),"")</f>
        <v/>
      </c>
      <c r="AJ400" s="13">
        <f>IF(AND(ISNUMBER(AE400),ISNUMBER($B$25),ISNUMBER($D$25)),IF(AE400&gt;$D$25,"boven UCL",IF(AE400&lt;$B$25,"onder LCL","")),"")</f>
        <v/>
      </c>
      <c r="AK400" s="13">
        <f>IF(AND(ISNUMBER(AG400),ISNUMBER($B$26),ISNUMBER($D$26)),IF(AG400&gt;$D$26,"boven UCL",IF(AG400&lt;$B$26,"onder LCL","")),"")</f>
        <v/>
      </c>
      <c r="AL400" s="13">
        <f>IF(AND(COUNT(B400:Z400)&gt;0,COUNT(AA400:AC400)&gt;0),"ruwe waarden én getypt: getypte genegeerd",IF(COUNTA(B400:Z400,AA400:AC400)&gt;COUNT(B400:Z400,AA400:AC400),"tekst telt niet mee",IF(COUNT(B400:Z400)=1,"1 waarde: geen R of s","")))</f>
        <v/>
      </c>
    </row>
    <row r="401">
      <c r="A401" t="n">
        <v>350</v>
      </c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28">
        <f>IF(COUNT(B401:Z401)&gt;0,COUNT(B401:Z401),IF(OR(ISNUMBER(AA401),ISNUMBER(AB401)),$B$9,""))</f>
        <v/>
      </c>
      <c r="AE401" s="29">
        <f>IF(COUNT(B401:Z401)&gt;0,AVERAGE(B401:Z401),IF(ISNUMBER(AA401),AA401,""))</f>
        <v/>
      </c>
      <c r="AF401" s="29">
        <f>IF(COUNT(B401:Z401)&gt;1,MAX(B401:Z401)-MIN(B401:Z401),IF(ISNUMBER(AB401),AB401,""))</f>
        <v/>
      </c>
      <c r="AG401" s="29">
        <f>IF(COUNT(B401:Z401)&gt;1,_xlfn.STDEV.S(B401:Z401),IF(ISNUMBER(AC401),AC401,""))</f>
        <v/>
      </c>
      <c r="AH401" s="13">
        <f>IF(AND(ISNUMBER(AE401),ISNUMBER($B$23),ISNUMBER($D$23)),IF(AE401&gt;$D$23,"boven UCL",IF(AE401&lt;$B$23,"onder LCL","")),"")</f>
        <v/>
      </c>
      <c r="AI401" s="13">
        <f>IF(AND(ISNUMBER(AF401),ISNUMBER($B$24),ISNUMBER($D$24)),IF(AF401&gt;$D$24,"boven UCL",IF(AF401&lt;$B$24,"onder LCL","")),"")</f>
        <v/>
      </c>
      <c r="AJ401" s="13">
        <f>IF(AND(ISNUMBER(AE401),ISNUMBER($B$25),ISNUMBER($D$25)),IF(AE401&gt;$D$25,"boven UCL",IF(AE401&lt;$B$25,"onder LCL","")),"")</f>
        <v/>
      </c>
      <c r="AK401" s="13">
        <f>IF(AND(ISNUMBER(AG401),ISNUMBER($B$26),ISNUMBER($D$26)),IF(AG401&gt;$D$26,"boven UCL",IF(AG401&lt;$B$26,"onder LCL","")),"")</f>
        <v/>
      </c>
      <c r="AL401" s="13">
        <f>IF(AND(COUNT(B401:Z401)&gt;0,COUNT(AA401:AC401)&gt;0),"ruwe waarden én getypt: getypte genegeerd",IF(COUNTA(B401:Z401,AA401:AC401)&gt;COUNT(B401:Z401,AA401:AC401),"tekst telt niet mee",IF(COUNT(B401:Z401)=1,"1 waarde: geen R of s","")))</f>
        <v/>
      </c>
    </row>
    <row r="402">
      <c r="A402" t="n">
        <v>351</v>
      </c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28">
        <f>IF(COUNT(B402:Z402)&gt;0,COUNT(B402:Z402),IF(OR(ISNUMBER(AA402),ISNUMBER(AB402)),$B$9,""))</f>
        <v/>
      </c>
      <c r="AE402" s="29">
        <f>IF(COUNT(B402:Z402)&gt;0,AVERAGE(B402:Z402),IF(ISNUMBER(AA402),AA402,""))</f>
        <v/>
      </c>
      <c r="AF402" s="29">
        <f>IF(COUNT(B402:Z402)&gt;1,MAX(B402:Z402)-MIN(B402:Z402),IF(ISNUMBER(AB402),AB402,""))</f>
        <v/>
      </c>
      <c r="AG402" s="29">
        <f>IF(COUNT(B402:Z402)&gt;1,_xlfn.STDEV.S(B402:Z402),IF(ISNUMBER(AC402),AC402,""))</f>
        <v/>
      </c>
      <c r="AH402" s="13">
        <f>IF(AND(ISNUMBER(AE402),ISNUMBER($B$23),ISNUMBER($D$23)),IF(AE402&gt;$D$23,"boven UCL",IF(AE402&lt;$B$23,"onder LCL","")),"")</f>
        <v/>
      </c>
      <c r="AI402" s="13">
        <f>IF(AND(ISNUMBER(AF402),ISNUMBER($B$24),ISNUMBER($D$24)),IF(AF402&gt;$D$24,"boven UCL",IF(AF402&lt;$B$24,"onder LCL","")),"")</f>
        <v/>
      </c>
      <c r="AJ402" s="13">
        <f>IF(AND(ISNUMBER(AE402),ISNUMBER($B$25),ISNUMBER($D$25)),IF(AE402&gt;$D$25,"boven UCL",IF(AE402&lt;$B$25,"onder LCL","")),"")</f>
        <v/>
      </c>
      <c r="AK402" s="13">
        <f>IF(AND(ISNUMBER(AG402),ISNUMBER($B$26),ISNUMBER($D$26)),IF(AG402&gt;$D$26,"boven UCL",IF(AG402&lt;$B$26,"onder LCL","")),"")</f>
        <v/>
      </c>
      <c r="AL402" s="13">
        <f>IF(AND(COUNT(B402:Z402)&gt;0,COUNT(AA402:AC402)&gt;0),"ruwe waarden én getypt: getypte genegeerd",IF(COUNTA(B402:Z402,AA402:AC402)&gt;COUNT(B402:Z402,AA402:AC402),"tekst telt niet mee",IF(COUNT(B402:Z402)=1,"1 waarde: geen R of s","")))</f>
        <v/>
      </c>
    </row>
    <row r="403">
      <c r="A403" t="n">
        <v>352</v>
      </c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28">
        <f>IF(COUNT(B403:Z403)&gt;0,COUNT(B403:Z403),IF(OR(ISNUMBER(AA403),ISNUMBER(AB403)),$B$9,""))</f>
        <v/>
      </c>
      <c r="AE403" s="29">
        <f>IF(COUNT(B403:Z403)&gt;0,AVERAGE(B403:Z403),IF(ISNUMBER(AA403),AA403,""))</f>
        <v/>
      </c>
      <c r="AF403" s="29">
        <f>IF(COUNT(B403:Z403)&gt;1,MAX(B403:Z403)-MIN(B403:Z403),IF(ISNUMBER(AB403),AB403,""))</f>
        <v/>
      </c>
      <c r="AG403" s="29">
        <f>IF(COUNT(B403:Z403)&gt;1,_xlfn.STDEV.S(B403:Z403),IF(ISNUMBER(AC403),AC403,""))</f>
        <v/>
      </c>
      <c r="AH403" s="13">
        <f>IF(AND(ISNUMBER(AE403),ISNUMBER($B$23),ISNUMBER($D$23)),IF(AE403&gt;$D$23,"boven UCL",IF(AE403&lt;$B$23,"onder LCL","")),"")</f>
        <v/>
      </c>
      <c r="AI403" s="13">
        <f>IF(AND(ISNUMBER(AF403),ISNUMBER($B$24),ISNUMBER($D$24)),IF(AF403&gt;$D$24,"boven UCL",IF(AF403&lt;$B$24,"onder LCL","")),"")</f>
        <v/>
      </c>
      <c r="AJ403" s="13">
        <f>IF(AND(ISNUMBER(AE403),ISNUMBER($B$25),ISNUMBER($D$25)),IF(AE403&gt;$D$25,"boven UCL",IF(AE403&lt;$B$25,"onder LCL","")),"")</f>
        <v/>
      </c>
      <c r="AK403" s="13">
        <f>IF(AND(ISNUMBER(AG403),ISNUMBER($B$26),ISNUMBER($D$26)),IF(AG403&gt;$D$26,"boven UCL",IF(AG403&lt;$B$26,"onder LCL","")),"")</f>
        <v/>
      </c>
      <c r="AL403" s="13">
        <f>IF(AND(COUNT(B403:Z403)&gt;0,COUNT(AA403:AC403)&gt;0),"ruwe waarden én getypt: getypte genegeerd",IF(COUNTA(B403:Z403,AA403:AC403)&gt;COUNT(B403:Z403,AA403:AC403),"tekst telt niet mee",IF(COUNT(B403:Z403)=1,"1 waarde: geen R of s","")))</f>
        <v/>
      </c>
    </row>
    <row r="404">
      <c r="A404" t="n">
        <v>353</v>
      </c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28">
        <f>IF(COUNT(B404:Z404)&gt;0,COUNT(B404:Z404),IF(OR(ISNUMBER(AA404),ISNUMBER(AB404)),$B$9,""))</f>
        <v/>
      </c>
      <c r="AE404" s="29">
        <f>IF(COUNT(B404:Z404)&gt;0,AVERAGE(B404:Z404),IF(ISNUMBER(AA404),AA404,""))</f>
        <v/>
      </c>
      <c r="AF404" s="29">
        <f>IF(COUNT(B404:Z404)&gt;1,MAX(B404:Z404)-MIN(B404:Z404),IF(ISNUMBER(AB404),AB404,""))</f>
        <v/>
      </c>
      <c r="AG404" s="29">
        <f>IF(COUNT(B404:Z404)&gt;1,_xlfn.STDEV.S(B404:Z404),IF(ISNUMBER(AC404),AC404,""))</f>
        <v/>
      </c>
      <c r="AH404" s="13">
        <f>IF(AND(ISNUMBER(AE404),ISNUMBER($B$23),ISNUMBER($D$23)),IF(AE404&gt;$D$23,"boven UCL",IF(AE404&lt;$B$23,"onder LCL","")),"")</f>
        <v/>
      </c>
      <c r="AI404" s="13">
        <f>IF(AND(ISNUMBER(AF404),ISNUMBER($B$24),ISNUMBER($D$24)),IF(AF404&gt;$D$24,"boven UCL",IF(AF404&lt;$B$24,"onder LCL","")),"")</f>
        <v/>
      </c>
      <c r="AJ404" s="13">
        <f>IF(AND(ISNUMBER(AE404),ISNUMBER($B$25),ISNUMBER($D$25)),IF(AE404&gt;$D$25,"boven UCL",IF(AE404&lt;$B$25,"onder LCL","")),"")</f>
        <v/>
      </c>
      <c r="AK404" s="13">
        <f>IF(AND(ISNUMBER(AG404),ISNUMBER($B$26),ISNUMBER($D$26)),IF(AG404&gt;$D$26,"boven UCL",IF(AG404&lt;$B$26,"onder LCL","")),"")</f>
        <v/>
      </c>
      <c r="AL404" s="13">
        <f>IF(AND(COUNT(B404:Z404)&gt;0,COUNT(AA404:AC404)&gt;0),"ruwe waarden én getypt: getypte genegeerd",IF(COUNTA(B404:Z404,AA404:AC404)&gt;COUNT(B404:Z404,AA404:AC404),"tekst telt niet mee",IF(COUNT(B404:Z404)=1,"1 waarde: geen R of s","")))</f>
        <v/>
      </c>
    </row>
    <row r="405">
      <c r="A405" t="n">
        <v>354</v>
      </c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28">
        <f>IF(COUNT(B405:Z405)&gt;0,COUNT(B405:Z405),IF(OR(ISNUMBER(AA405),ISNUMBER(AB405)),$B$9,""))</f>
        <v/>
      </c>
      <c r="AE405" s="29">
        <f>IF(COUNT(B405:Z405)&gt;0,AVERAGE(B405:Z405),IF(ISNUMBER(AA405),AA405,""))</f>
        <v/>
      </c>
      <c r="AF405" s="29">
        <f>IF(COUNT(B405:Z405)&gt;1,MAX(B405:Z405)-MIN(B405:Z405),IF(ISNUMBER(AB405),AB405,""))</f>
        <v/>
      </c>
      <c r="AG405" s="29">
        <f>IF(COUNT(B405:Z405)&gt;1,_xlfn.STDEV.S(B405:Z405),IF(ISNUMBER(AC405),AC405,""))</f>
        <v/>
      </c>
      <c r="AH405" s="13">
        <f>IF(AND(ISNUMBER(AE405),ISNUMBER($B$23),ISNUMBER($D$23)),IF(AE405&gt;$D$23,"boven UCL",IF(AE405&lt;$B$23,"onder LCL","")),"")</f>
        <v/>
      </c>
      <c r="AI405" s="13">
        <f>IF(AND(ISNUMBER(AF405),ISNUMBER($B$24),ISNUMBER($D$24)),IF(AF405&gt;$D$24,"boven UCL",IF(AF405&lt;$B$24,"onder LCL","")),"")</f>
        <v/>
      </c>
      <c r="AJ405" s="13">
        <f>IF(AND(ISNUMBER(AE405),ISNUMBER($B$25),ISNUMBER($D$25)),IF(AE405&gt;$D$25,"boven UCL",IF(AE405&lt;$B$25,"onder LCL","")),"")</f>
        <v/>
      </c>
      <c r="AK405" s="13">
        <f>IF(AND(ISNUMBER(AG405),ISNUMBER($B$26),ISNUMBER($D$26)),IF(AG405&gt;$D$26,"boven UCL",IF(AG405&lt;$B$26,"onder LCL","")),"")</f>
        <v/>
      </c>
      <c r="AL405" s="13">
        <f>IF(AND(COUNT(B405:Z405)&gt;0,COUNT(AA405:AC405)&gt;0),"ruwe waarden én getypt: getypte genegeerd",IF(COUNTA(B405:Z405,AA405:AC405)&gt;COUNT(B405:Z405,AA405:AC405),"tekst telt niet mee",IF(COUNT(B405:Z405)=1,"1 waarde: geen R of s","")))</f>
        <v/>
      </c>
    </row>
    <row r="406">
      <c r="A406" t="n">
        <v>355</v>
      </c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28">
        <f>IF(COUNT(B406:Z406)&gt;0,COUNT(B406:Z406),IF(OR(ISNUMBER(AA406),ISNUMBER(AB406)),$B$9,""))</f>
        <v/>
      </c>
      <c r="AE406" s="29">
        <f>IF(COUNT(B406:Z406)&gt;0,AVERAGE(B406:Z406),IF(ISNUMBER(AA406),AA406,""))</f>
        <v/>
      </c>
      <c r="AF406" s="29">
        <f>IF(COUNT(B406:Z406)&gt;1,MAX(B406:Z406)-MIN(B406:Z406),IF(ISNUMBER(AB406),AB406,""))</f>
        <v/>
      </c>
      <c r="AG406" s="29">
        <f>IF(COUNT(B406:Z406)&gt;1,_xlfn.STDEV.S(B406:Z406),IF(ISNUMBER(AC406),AC406,""))</f>
        <v/>
      </c>
      <c r="AH406" s="13">
        <f>IF(AND(ISNUMBER(AE406),ISNUMBER($B$23),ISNUMBER($D$23)),IF(AE406&gt;$D$23,"boven UCL",IF(AE406&lt;$B$23,"onder LCL","")),"")</f>
        <v/>
      </c>
      <c r="AI406" s="13">
        <f>IF(AND(ISNUMBER(AF406),ISNUMBER($B$24),ISNUMBER($D$24)),IF(AF406&gt;$D$24,"boven UCL",IF(AF406&lt;$B$24,"onder LCL","")),"")</f>
        <v/>
      </c>
      <c r="AJ406" s="13">
        <f>IF(AND(ISNUMBER(AE406),ISNUMBER($B$25),ISNUMBER($D$25)),IF(AE406&gt;$D$25,"boven UCL",IF(AE406&lt;$B$25,"onder LCL","")),"")</f>
        <v/>
      </c>
      <c r="AK406" s="13">
        <f>IF(AND(ISNUMBER(AG406),ISNUMBER($B$26),ISNUMBER($D$26)),IF(AG406&gt;$D$26,"boven UCL",IF(AG406&lt;$B$26,"onder LCL","")),"")</f>
        <v/>
      </c>
      <c r="AL406" s="13">
        <f>IF(AND(COUNT(B406:Z406)&gt;0,COUNT(AA406:AC406)&gt;0),"ruwe waarden én getypt: getypte genegeerd",IF(COUNTA(B406:Z406,AA406:AC406)&gt;COUNT(B406:Z406,AA406:AC406),"tekst telt niet mee",IF(COUNT(B406:Z406)=1,"1 waarde: geen R of s","")))</f>
        <v/>
      </c>
    </row>
    <row r="407">
      <c r="A407" t="n">
        <v>356</v>
      </c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28">
        <f>IF(COUNT(B407:Z407)&gt;0,COUNT(B407:Z407),IF(OR(ISNUMBER(AA407),ISNUMBER(AB407)),$B$9,""))</f>
        <v/>
      </c>
      <c r="AE407" s="29">
        <f>IF(COUNT(B407:Z407)&gt;0,AVERAGE(B407:Z407),IF(ISNUMBER(AA407),AA407,""))</f>
        <v/>
      </c>
      <c r="AF407" s="29">
        <f>IF(COUNT(B407:Z407)&gt;1,MAX(B407:Z407)-MIN(B407:Z407),IF(ISNUMBER(AB407),AB407,""))</f>
        <v/>
      </c>
      <c r="AG407" s="29">
        <f>IF(COUNT(B407:Z407)&gt;1,_xlfn.STDEV.S(B407:Z407),IF(ISNUMBER(AC407),AC407,""))</f>
        <v/>
      </c>
      <c r="AH407" s="13">
        <f>IF(AND(ISNUMBER(AE407),ISNUMBER($B$23),ISNUMBER($D$23)),IF(AE407&gt;$D$23,"boven UCL",IF(AE407&lt;$B$23,"onder LCL","")),"")</f>
        <v/>
      </c>
      <c r="AI407" s="13">
        <f>IF(AND(ISNUMBER(AF407),ISNUMBER($B$24),ISNUMBER($D$24)),IF(AF407&gt;$D$24,"boven UCL",IF(AF407&lt;$B$24,"onder LCL","")),"")</f>
        <v/>
      </c>
      <c r="AJ407" s="13">
        <f>IF(AND(ISNUMBER(AE407),ISNUMBER($B$25),ISNUMBER($D$25)),IF(AE407&gt;$D$25,"boven UCL",IF(AE407&lt;$B$25,"onder LCL","")),"")</f>
        <v/>
      </c>
      <c r="AK407" s="13">
        <f>IF(AND(ISNUMBER(AG407),ISNUMBER($B$26),ISNUMBER($D$26)),IF(AG407&gt;$D$26,"boven UCL",IF(AG407&lt;$B$26,"onder LCL","")),"")</f>
        <v/>
      </c>
      <c r="AL407" s="13">
        <f>IF(AND(COUNT(B407:Z407)&gt;0,COUNT(AA407:AC407)&gt;0),"ruwe waarden én getypt: getypte genegeerd",IF(COUNTA(B407:Z407,AA407:AC407)&gt;COUNT(B407:Z407,AA407:AC407),"tekst telt niet mee",IF(COUNT(B407:Z407)=1,"1 waarde: geen R of s","")))</f>
        <v/>
      </c>
    </row>
    <row r="408">
      <c r="A408" t="n">
        <v>357</v>
      </c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28">
        <f>IF(COUNT(B408:Z408)&gt;0,COUNT(B408:Z408),IF(OR(ISNUMBER(AA408),ISNUMBER(AB408)),$B$9,""))</f>
        <v/>
      </c>
      <c r="AE408" s="29">
        <f>IF(COUNT(B408:Z408)&gt;0,AVERAGE(B408:Z408),IF(ISNUMBER(AA408),AA408,""))</f>
        <v/>
      </c>
      <c r="AF408" s="29">
        <f>IF(COUNT(B408:Z408)&gt;1,MAX(B408:Z408)-MIN(B408:Z408),IF(ISNUMBER(AB408),AB408,""))</f>
        <v/>
      </c>
      <c r="AG408" s="29">
        <f>IF(COUNT(B408:Z408)&gt;1,_xlfn.STDEV.S(B408:Z408),IF(ISNUMBER(AC408),AC408,""))</f>
        <v/>
      </c>
      <c r="AH408" s="13">
        <f>IF(AND(ISNUMBER(AE408),ISNUMBER($B$23),ISNUMBER($D$23)),IF(AE408&gt;$D$23,"boven UCL",IF(AE408&lt;$B$23,"onder LCL","")),"")</f>
        <v/>
      </c>
      <c r="AI408" s="13">
        <f>IF(AND(ISNUMBER(AF408),ISNUMBER($B$24),ISNUMBER($D$24)),IF(AF408&gt;$D$24,"boven UCL",IF(AF408&lt;$B$24,"onder LCL","")),"")</f>
        <v/>
      </c>
      <c r="AJ408" s="13">
        <f>IF(AND(ISNUMBER(AE408),ISNUMBER($B$25),ISNUMBER($D$25)),IF(AE408&gt;$D$25,"boven UCL",IF(AE408&lt;$B$25,"onder LCL","")),"")</f>
        <v/>
      </c>
      <c r="AK408" s="13">
        <f>IF(AND(ISNUMBER(AG408),ISNUMBER($B$26),ISNUMBER($D$26)),IF(AG408&gt;$D$26,"boven UCL",IF(AG408&lt;$B$26,"onder LCL","")),"")</f>
        <v/>
      </c>
      <c r="AL408" s="13">
        <f>IF(AND(COUNT(B408:Z408)&gt;0,COUNT(AA408:AC408)&gt;0),"ruwe waarden én getypt: getypte genegeerd",IF(COUNTA(B408:Z408,AA408:AC408)&gt;COUNT(B408:Z408,AA408:AC408),"tekst telt niet mee",IF(COUNT(B408:Z408)=1,"1 waarde: geen R of s","")))</f>
        <v/>
      </c>
    </row>
    <row r="409">
      <c r="A409" t="n">
        <v>358</v>
      </c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28">
        <f>IF(COUNT(B409:Z409)&gt;0,COUNT(B409:Z409),IF(OR(ISNUMBER(AA409),ISNUMBER(AB409)),$B$9,""))</f>
        <v/>
      </c>
      <c r="AE409" s="29">
        <f>IF(COUNT(B409:Z409)&gt;0,AVERAGE(B409:Z409),IF(ISNUMBER(AA409),AA409,""))</f>
        <v/>
      </c>
      <c r="AF409" s="29">
        <f>IF(COUNT(B409:Z409)&gt;1,MAX(B409:Z409)-MIN(B409:Z409),IF(ISNUMBER(AB409),AB409,""))</f>
        <v/>
      </c>
      <c r="AG409" s="29">
        <f>IF(COUNT(B409:Z409)&gt;1,_xlfn.STDEV.S(B409:Z409),IF(ISNUMBER(AC409),AC409,""))</f>
        <v/>
      </c>
      <c r="AH409" s="13">
        <f>IF(AND(ISNUMBER(AE409),ISNUMBER($B$23),ISNUMBER($D$23)),IF(AE409&gt;$D$23,"boven UCL",IF(AE409&lt;$B$23,"onder LCL","")),"")</f>
        <v/>
      </c>
      <c r="AI409" s="13">
        <f>IF(AND(ISNUMBER(AF409),ISNUMBER($B$24),ISNUMBER($D$24)),IF(AF409&gt;$D$24,"boven UCL",IF(AF409&lt;$B$24,"onder LCL","")),"")</f>
        <v/>
      </c>
      <c r="AJ409" s="13">
        <f>IF(AND(ISNUMBER(AE409),ISNUMBER($B$25),ISNUMBER($D$25)),IF(AE409&gt;$D$25,"boven UCL",IF(AE409&lt;$B$25,"onder LCL","")),"")</f>
        <v/>
      </c>
      <c r="AK409" s="13">
        <f>IF(AND(ISNUMBER(AG409),ISNUMBER($B$26),ISNUMBER($D$26)),IF(AG409&gt;$D$26,"boven UCL",IF(AG409&lt;$B$26,"onder LCL","")),"")</f>
        <v/>
      </c>
      <c r="AL409" s="13">
        <f>IF(AND(COUNT(B409:Z409)&gt;0,COUNT(AA409:AC409)&gt;0),"ruwe waarden én getypt: getypte genegeerd",IF(COUNTA(B409:Z409,AA409:AC409)&gt;COUNT(B409:Z409,AA409:AC409),"tekst telt niet mee",IF(COUNT(B409:Z409)=1,"1 waarde: geen R of s","")))</f>
        <v/>
      </c>
    </row>
    <row r="410">
      <c r="A410" t="n">
        <v>359</v>
      </c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28">
        <f>IF(COUNT(B410:Z410)&gt;0,COUNT(B410:Z410),IF(OR(ISNUMBER(AA410),ISNUMBER(AB410)),$B$9,""))</f>
        <v/>
      </c>
      <c r="AE410" s="29">
        <f>IF(COUNT(B410:Z410)&gt;0,AVERAGE(B410:Z410),IF(ISNUMBER(AA410),AA410,""))</f>
        <v/>
      </c>
      <c r="AF410" s="29">
        <f>IF(COUNT(B410:Z410)&gt;1,MAX(B410:Z410)-MIN(B410:Z410),IF(ISNUMBER(AB410),AB410,""))</f>
        <v/>
      </c>
      <c r="AG410" s="29">
        <f>IF(COUNT(B410:Z410)&gt;1,_xlfn.STDEV.S(B410:Z410),IF(ISNUMBER(AC410),AC410,""))</f>
        <v/>
      </c>
      <c r="AH410" s="13">
        <f>IF(AND(ISNUMBER(AE410),ISNUMBER($B$23),ISNUMBER($D$23)),IF(AE410&gt;$D$23,"boven UCL",IF(AE410&lt;$B$23,"onder LCL","")),"")</f>
        <v/>
      </c>
      <c r="AI410" s="13">
        <f>IF(AND(ISNUMBER(AF410),ISNUMBER($B$24),ISNUMBER($D$24)),IF(AF410&gt;$D$24,"boven UCL",IF(AF410&lt;$B$24,"onder LCL","")),"")</f>
        <v/>
      </c>
      <c r="AJ410" s="13">
        <f>IF(AND(ISNUMBER(AE410),ISNUMBER($B$25),ISNUMBER($D$25)),IF(AE410&gt;$D$25,"boven UCL",IF(AE410&lt;$B$25,"onder LCL","")),"")</f>
        <v/>
      </c>
      <c r="AK410" s="13">
        <f>IF(AND(ISNUMBER(AG410),ISNUMBER($B$26),ISNUMBER($D$26)),IF(AG410&gt;$D$26,"boven UCL",IF(AG410&lt;$B$26,"onder LCL","")),"")</f>
        <v/>
      </c>
      <c r="AL410" s="13">
        <f>IF(AND(COUNT(B410:Z410)&gt;0,COUNT(AA410:AC410)&gt;0),"ruwe waarden én getypt: getypte genegeerd",IF(COUNTA(B410:Z410,AA410:AC410)&gt;COUNT(B410:Z410,AA410:AC410),"tekst telt niet mee",IF(COUNT(B410:Z410)=1,"1 waarde: geen R of s","")))</f>
        <v/>
      </c>
    </row>
    <row r="411">
      <c r="A411" t="n">
        <v>360</v>
      </c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28">
        <f>IF(COUNT(B411:Z411)&gt;0,COUNT(B411:Z411),IF(OR(ISNUMBER(AA411),ISNUMBER(AB411)),$B$9,""))</f>
        <v/>
      </c>
      <c r="AE411" s="29">
        <f>IF(COUNT(B411:Z411)&gt;0,AVERAGE(B411:Z411),IF(ISNUMBER(AA411),AA411,""))</f>
        <v/>
      </c>
      <c r="AF411" s="29">
        <f>IF(COUNT(B411:Z411)&gt;1,MAX(B411:Z411)-MIN(B411:Z411),IF(ISNUMBER(AB411),AB411,""))</f>
        <v/>
      </c>
      <c r="AG411" s="29">
        <f>IF(COUNT(B411:Z411)&gt;1,_xlfn.STDEV.S(B411:Z411),IF(ISNUMBER(AC411),AC411,""))</f>
        <v/>
      </c>
      <c r="AH411" s="13">
        <f>IF(AND(ISNUMBER(AE411),ISNUMBER($B$23),ISNUMBER($D$23)),IF(AE411&gt;$D$23,"boven UCL",IF(AE411&lt;$B$23,"onder LCL","")),"")</f>
        <v/>
      </c>
      <c r="AI411" s="13">
        <f>IF(AND(ISNUMBER(AF411),ISNUMBER($B$24),ISNUMBER($D$24)),IF(AF411&gt;$D$24,"boven UCL",IF(AF411&lt;$B$24,"onder LCL","")),"")</f>
        <v/>
      </c>
      <c r="AJ411" s="13">
        <f>IF(AND(ISNUMBER(AE411),ISNUMBER($B$25),ISNUMBER($D$25)),IF(AE411&gt;$D$25,"boven UCL",IF(AE411&lt;$B$25,"onder LCL","")),"")</f>
        <v/>
      </c>
      <c r="AK411" s="13">
        <f>IF(AND(ISNUMBER(AG411),ISNUMBER($B$26),ISNUMBER($D$26)),IF(AG411&gt;$D$26,"boven UCL",IF(AG411&lt;$B$26,"onder LCL","")),"")</f>
        <v/>
      </c>
      <c r="AL411" s="13">
        <f>IF(AND(COUNT(B411:Z411)&gt;0,COUNT(AA411:AC411)&gt;0),"ruwe waarden én getypt: getypte genegeerd",IF(COUNTA(B411:Z411,AA411:AC411)&gt;COUNT(B411:Z411,AA411:AC411),"tekst telt niet mee",IF(COUNT(B411:Z411)=1,"1 waarde: geen R of s","")))</f>
        <v/>
      </c>
    </row>
    <row r="412">
      <c r="A412" t="n">
        <v>361</v>
      </c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28">
        <f>IF(COUNT(B412:Z412)&gt;0,COUNT(B412:Z412),IF(OR(ISNUMBER(AA412),ISNUMBER(AB412)),$B$9,""))</f>
        <v/>
      </c>
      <c r="AE412" s="29">
        <f>IF(COUNT(B412:Z412)&gt;0,AVERAGE(B412:Z412),IF(ISNUMBER(AA412),AA412,""))</f>
        <v/>
      </c>
      <c r="AF412" s="29">
        <f>IF(COUNT(B412:Z412)&gt;1,MAX(B412:Z412)-MIN(B412:Z412),IF(ISNUMBER(AB412),AB412,""))</f>
        <v/>
      </c>
      <c r="AG412" s="29">
        <f>IF(COUNT(B412:Z412)&gt;1,_xlfn.STDEV.S(B412:Z412),IF(ISNUMBER(AC412),AC412,""))</f>
        <v/>
      </c>
      <c r="AH412" s="13">
        <f>IF(AND(ISNUMBER(AE412),ISNUMBER($B$23),ISNUMBER($D$23)),IF(AE412&gt;$D$23,"boven UCL",IF(AE412&lt;$B$23,"onder LCL","")),"")</f>
        <v/>
      </c>
      <c r="AI412" s="13">
        <f>IF(AND(ISNUMBER(AF412),ISNUMBER($B$24),ISNUMBER($D$24)),IF(AF412&gt;$D$24,"boven UCL",IF(AF412&lt;$B$24,"onder LCL","")),"")</f>
        <v/>
      </c>
      <c r="AJ412" s="13">
        <f>IF(AND(ISNUMBER(AE412),ISNUMBER($B$25),ISNUMBER($D$25)),IF(AE412&gt;$D$25,"boven UCL",IF(AE412&lt;$B$25,"onder LCL","")),"")</f>
        <v/>
      </c>
      <c r="AK412" s="13">
        <f>IF(AND(ISNUMBER(AG412),ISNUMBER($B$26),ISNUMBER($D$26)),IF(AG412&gt;$D$26,"boven UCL",IF(AG412&lt;$B$26,"onder LCL","")),"")</f>
        <v/>
      </c>
      <c r="AL412" s="13">
        <f>IF(AND(COUNT(B412:Z412)&gt;0,COUNT(AA412:AC412)&gt;0),"ruwe waarden én getypt: getypte genegeerd",IF(COUNTA(B412:Z412,AA412:AC412)&gt;COUNT(B412:Z412,AA412:AC412),"tekst telt niet mee",IF(COUNT(B412:Z412)=1,"1 waarde: geen R of s","")))</f>
        <v/>
      </c>
    </row>
    <row r="413">
      <c r="A413" t="n">
        <v>362</v>
      </c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28">
        <f>IF(COUNT(B413:Z413)&gt;0,COUNT(B413:Z413),IF(OR(ISNUMBER(AA413),ISNUMBER(AB413)),$B$9,""))</f>
        <v/>
      </c>
      <c r="AE413" s="29">
        <f>IF(COUNT(B413:Z413)&gt;0,AVERAGE(B413:Z413),IF(ISNUMBER(AA413),AA413,""))</f>
        <v/>
      </c>
      <c r="AF413" s="29">
        <f>IF(COUNT(B413:Z413)&gt;1,MAX(B413:Z413)-MIN(B413:Z413),IF(ISNUMBER(AB413),AB413,""))</f>
        <v/>
      </c>
      <c r="AG413" s="29">
        <f>IF(COUNT(B413:Z413)&gt;1,_xlfn.STDEV.S(B413:Z413),IF(ISNUMBER(AC413),AC413,""))</f>
        <v/>
      </c>
      <c r="AH413" s="13">
        <f>IF(AND(ISNUMBER(AE413),ISNUMBER($B$23),ISNUMBER($D$23)),IF(AE413&gt;$D$23,"boven UCL",IF(AE413&lt;$B$23,"onder LCL","")),"")</f>
        <v/>
      </c>
      <c r="AI413" s="13">
        <f>IF(AND(ISNUMBER(AF413),ISNUMBER($B$24),ISNUMBER($D$24)),IF(AF413&gt;$D$24,"boven UCL",IF(AF413&lt;$B$24,"onder LCL","")),"")</f>
        <v/>
      </c>
      <c r="AJ413" s="13">
        <f>IF(AND(ISNUMBER(AE413),ISNUMBER($B$25),ISNUMBER($D$25)),IF(AE413&gt;$D$25,"boven UCL",IF(AE413&lt;$B$25,"onder LCL","")),"")</f>
        <v/>
      </c>
      <c r="AK413" s="13">
        <f>IF(AND(ISNUMBER(AG413),ISNUMBER($B$26),ISNUMBER($D$26)),IF(AG413&gt;$D$26,"boven UCL",IF(AG413&lt;$B$26,"onder LCL","")),"")</f>
        <v/>
      </c>
      <c r="AL413" s="13">
        <f>IF(AND(COUNT(B413:Z413)&gt;0,COUNT(AA413:AC413)&gt;0),"ruwe waarden én getypt: getypte genegeerd",IF(COUNTA(B413:Z413,AA413:AC413)&gt;COUNT(B413:Z413,AA413:AC413),"tekst telt niet mee",IF(COUNT(B413:Z413)=1,"1 waarde: geen R of s","")))</f>
        <v/>
      </c>
    </row>
    <row r="414">
      <c r="A414" t="n">
        <v>363</v>
      </c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28">
        <f>IF(COUNT(B414:Z414)&gt;0,COUNT(B414:Z414),IF(OR(ISNUMBER(AA414),ISNUMBER(AB414)),$B$9,""))</f>
        <v/>
      </c>
      <c r="AE414" s="29">
        <f>IF(COUNT(B414:Z414)&gt;0,AVERAGE(B414:Z414),IF(ISNUMBER(AA414),AA414,""))</f>
        <v/>
      </c>
      <c r="AF414" s="29">
        <f>IF(COUNT(B414:Z414)&gt;1,MAX(B414:Z414)-MIN(B414:Z414),IF(ISNUMBER(AB414),AB414,""))</f>
        <v/>
      </c>
      <c r="AG414" s="29">
        <f>IF(COUNT(B414:Z414)&gt;1,_xlfn.STDEV.S(B414:Z414),IF(ISNUMBER(AC414),AC414,""))</f>
        <v/>
      </c>
      <c r="AH414" s="13">
        <f>IF(AND(ISNUMBER(AE414),ISNUMBER($B$23),ISNUMBER($D$23)),IF(AE414&gt;$D$23,"boven UCL",IF(AE414&lt;$B$23,"onder LCL","")),"")</f>
        <v/>
      </c>
      <c r="AI414" s="13">
        <f>IF(AND(ISNUMBER(AF414),ISNUMBER($B$24),ISNUMBER($D$24)),IF(AF414&gt;$D$24,"boven UCL",IF(AF414&lt;$B$24,"onder LCL","")),"")</f>
        <v/>
      </c>
      <c r="AJ414" s="13">
        <f>IF(AND(ISNUMBER(AE414),ISNUMBER($B$25),ISNUMBER($D$25)),IF(AE414&gt;$D$25,"boven UCL",IF(AE414&lt;$B$25,"onder LCL","")),"")</f>
        <v/>
      </c>
      <c r="AK414" s="13">
        <f>IF(AND(ISNUMBER(AG414),ISNUMBER($B$26),ISNUMBER($D$26)),IF(AG414&gt;$D$26,"boven UCL",IF(AG414&lt;$B$26,"onder LCL","")),"")</f>
        <v/>
      </c>
      <c r="AL414" s="13">
        <f>IF(AND(COUNT(B414:Z414)&gt;0,COUNT(AA414:AC414)&gt;0),"ruwe waarden én getypt: getypte genegeerd",IF(COUNTA(B414:Z414,AA414:AC414)&gt;COUNT(B414:Z414,AA414:AC414),"tekst telt niet mee",IF(COUNT(B414:Z414)=1,"1 waarde: geen R of s","")))</f>
        <v/>
      </c>
    </row>
    <row r="415">
      <c r="A415" t="n">
        <v>364</v>
      </c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28">
        <f>IF(COUNT(B415:Z415)&gt;0,COUNT(B415:Z415),IF(OR(ISNUMBER(AA415),ISNUMBER(AB415)),$B$9,""))</f>
        <v/>
      </c>
      <c r="AE415" s="29">
        <f>IF(COUNT(B415:Z415)&gt;0,AVERAGE(B415:Z415),IF(ISNUMBER(AA415),AA415,""))</f>
        <v/>
      </c>
      <c r="AF415" s="29">
        <f>IF(COUNT(B415:Z415)&gt;1,MAX(B415:Z415)-MIN(B415:Z415),IF(ISNUMBER(AB415),AB415,""))</f>
        <v/>
      </c>
      <c r="AG415" s="29">
        <f>IF(COUNT(B415:Z415)&gt;1,_xlfn.STDEV.S(B415:Z415),IF(ISNUMBER(AC415),AC415,""))</f>
        <v/>
      </c>
      <c r="AH415" s="13">
        <f>IF(AND(ISNUMBER(AE415),ISNUMBER($B$23),ISNUMBER($D$23)),IF(AE415&gt;$D$23,"boven UCL",IF(AE415&lt;$B$23,"onder LCL","")),"")</f>
        <v/>
      </c>
      <c r="AI415" s="13">
        <f>IF(AND(ISNUMBER(AF415),ISNUMBER($B$24),ISNUMBER($D$24)),IF(AF415&gt;$D$24,"boven UCL",IF(AF415&lt;$B$24,"onder LCL","")),"")</f>
        <v/>
      </c>
      <c r="AJ415" s="13">
        <f>IF(AND(ISNUMBER(AE415),ISNUMBER($B$25),ISNUMBER($D$25)),IF(AE415&gt;$D$25,"boven UCL",IF(AE415&lt;$B$25,"onder LCL","")),"")</f>
        <v/>
      </c>
      <c r="AK415" s="13">
        <f>IF(AND(ISNUMBER(AG415),ISNUMBER($B$26),ISNUMBER($D$26)),IF(AG415&gt;$D$26,"boven UCL",IF(AG415&lt;$B$26,"onder LCL","")),"")</f>
        <v/>
      </c>
      <c r="AL415" s="13">
        <f>IF(AND(COUNT(B415:Z415)&gt;0,COUNT(AA415:AC415)&gt;0),"ruwe waarden én getypt: getypte genegeerd",IF(COUNTA(B415:Z415,AA415:AC415)&gt;COUNT(B415:Z415,AA415:AC415),"tekst telt niet mee",IF(COUNT(B415:Z415)=1,"1 waarde: geen R of s","")))</f>
        <v/>
      </c>
    </row>
    <row r="416">
      <c r="A416" t="n">
        <v>365</v>
      </c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28">
        <f>IF(COUNT(B416:Z416)&gt;0,COUNT(B416:Z416),IF(OR(ISNUMBER(AA416),ISNUMBER(AB416)),$B$9,""))</f>
        <v/>
      </c>
      <c r="AE416" s="29">
        <f>IF(COUNT(B416:Z416)&gt;0,AVERAGE(B416:Z416),IF(ISNUMBER(AA416),AA416,""))</f>
        <v/>
      </c>
      <c r="AF416" s="29">
        <f>IF(COUNT(B416:Z416)&gt;1,MAX(B416:Z416)-MIN(B416:Z416),IF(ISNUMBER(AB416),AB416,""))</f>
        <v/>
      </c>
      <c r="AG416" s="29">
        <f>IF(COUNT(B416:Z416)&gt;1,_xlfn.STDEV.S(B416:Z416),IF(ISNUMBER(AC416),AC416,""))</f>
        <v/>
      </c>
      <c r="AH416" s="13">
        <f>IF(AND(ISNUMBER(AE416),ISNUMBER($B$23),ISNUMBER($D$23)),IF(AE416&gt;$D$23,"boven UCL",IF(AE416&lt;$B$23,"onder LCL","")),"")</f>
        <v/>
      </c>
      <c r="AI416" s="13">
        <f>IF(AND(ISNUMBER(AF416),ISNUMBER($B$24),ISNUMBER($D$24)),IF(AF416&gt;$D$24,"boven UCL",IF(AF416&lt;$B$24,"onder LCL","")),"")</f>
        <v/>
      </c>
      <c r="AJ416" s="13">
        <f>IF(AND(ISNUMBER(AE416),ISNUMBER($B$25),ISNUMBER($D$25)),IF(AE416&gt;$D$25,"boven UCL",IF(AE416&lt;$B$25,"onder LCL","")),"")</f>
        <v/>
      </c>
      <c r="AK416" s="13">
        <f>IF(AND(ISNUMBER(AG416),ISNUMBER($B$26),ISNUMBER($D$26)),IF(AG416&gt;$D$26,"boven UCL",IF(AG416&lt;$B$26,"onder LCL","")),"")</f>
        <v/>
      </c>
      <c r="AL416" s="13">
        <f>IF(AND(COUNT(B416:Z416)&gt;0,COUNT(AA416:AC416)&gt;0),"ruwe waarden én getypt: getypte genegeerd",IF(COUNTA(B416:Z416,AA416:AC416)&gt;COUNT(B416:Z416,AA416:AC416),"tekst telt niet mee",IF(COUNT(B416:Z416)=1,"1 waarde: geen R of s","")))</f>
        <v/>
      </c>
    </row>
    <row r="417">
      <c r="A417" t="n">
        <v>366</v>
      </c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28">
        <f>IF(COUNT(B417:Z417)&gt;0,COUNT(B417:Z417),IF(OR(ISNUMBER(AA417),ISNUMBER(AB417)),$B$9,""))</f>
        <v/>
      </c>
      <c r="AE417" s="29">
        <f>IF(COUNT(B417:Z417)&gt;0,AVERAGE(B417:Z417),IF(ISNUMBER(AA417),AA417,""))</f>
        <v/>
      </c>
      <c r="AF417" s="29">
        <f>IF(COUNT(B417:Z417)&gt;1,MAX(B417:Z417)-MIN(B417:Z417),IF(ISNUMBER(AB417),AB417,""))</f>
        <v/>
      </c>
      <c r="AG417" s="29">
        <f>IF(COUNT(B417:Z417)&gt;1,_xlfn.STDEV.S(B417:Z417),IF(ISNUMBER(AC417),AC417,""))</f>
        <v/>
      </c>
      <c r="AH417" s="13">
        <f>IF(AND(ISNUMBER(AE417),ISNUMBER($B$23),ISNUMBER($D$23)),IF(AE417&gt;$D$23,"boven UCL",IF(AE417&lt;$B$23,"onder LCL","")),"")</f>
        <v/>
      </c>
      <c r="AI417" s="13">
        <f>IF(AND(ISNUMBER(AF417),ISNUMBER($B$24),ISNUMBER($D$24)),IF(AF417&gt;$D$24,"boven UCL",IF(AF417&lt;$B$24,"onder LCL","")),"")</f>
        <v/>
      </c>
      <c r="AJ417" s="13">
        <f>IF(AND(ISNUMBER(AE417),ISNUMBER($B$25),ISNUMBER($D$25)),IF(AE417&gt;$D$25,"boven UCL",IF(AE417&lt;$B$25,"onder LCL","")),"")</f>
        <v/>
      </c>
      <c r="AK417" s="13">
        <f>IF(AND(ISNUMBER(AG417),ISNUMBER($B$26),ISNUMBER($D$26)),IF(AG417&gt;$D$26,"boven UCL",IF(AG417&lt;$B$26,"onder LCL","")),"")</f>
        <v/>
      </c>
      <c r="AL417" s="13">
        <f>IF(AND(COUNT(B417:Z417)&gt;0,COUNT(AA417:AC417)&gt;0),"ruwe waarden én getypt: getypte genegeerd",IF(COUNTA(B417:Z417,AA417:AC417)&gt;COUNT(B417:Z417,AA417:AC417),"tekst telt niet mee",IF(COUNT(B417:Z417)=1,"1 waarde: geen R of s","")))</f>
        <v/>
      </c>
    </row>
    <row r="418">
      <c r="A418" t="n">
        <v>367</v>
      </c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28">
        <f>IF(COUNT(B418:Z418)&gt;0,COUNT(B418:Z418),IF(OR(ISNUMBER(AA418),ISNUMBER(AB418)),$B$9,""))</f>
        <v/>
      </c>
      <c r="AE418" s="29">
        <f>IF(COUNT(B418:Z418)&gt;0,AVERAGE(B418:Z418),IF(ISNUMBER(AA418),AA418,""))</f>
        <v/>
      </c>
      <c r="AF418" s="29">
        <f>IF(COUNT(B418:Z418)&gt;1,MAX(B418:Z418)-MIN(B418:Z418),IF(ISNUMBER(AB418),AB418,""))</f>
        <v/>
      </c>
      <c r="AG418" s="29">
        <f>IF(COUNT(B418:Z418)&gt;1,_xlfn.STDEV.S(B418:Z418),IF(ISNUMBER(AC418),AC418,""))</f>
        <v/>
      </c>
      <c r="AH418" s="13">
        <f>IF(AND(ISNUMBER(AE418),ISNUMBER($B$23),ISNUMBER($D$23)),IF(AE418&gt;$D$23,"boven UCL",IF(AE418&lt;$B$23,"onder LCL","")),"")</f>
        <v/>
      </c>
      <c r="AI418" s="13">
        <f>IF(AND(ISNUMBER(AF418),ISNUMBER($B$24),ISNUMBER($D$24)),IF(AF418&gt;$D$24,"boven UCL",IF(AF418&lt;$B$24,"onder LCL","")),"")</f>
        <v/>
      </c>
      <c r="AJ418" s="13">
        <f>IF(AND(ISNUMBER(AE418),ISNUMBER($B$25),ISNUMBER($D$25)),IF(AE418&gt;$D$25,"boven UCL",IF(AE418&lt;$B$25,"onder LCL","")),"")</f>
        <v/>
      </c>
      <c r="AK418" s="13">
        <f>IF(AND(ISNUMBER(AG418),ISNUMBER($B$26),ISNUMBER($D$26)),IF(AG418&gt;$D$26,"boven UCL",IF(AG418&lt;$B$26,"onder LCL","")),"")</f>
        <v/>
      </c>
      <c r="AL418" s="13">
        <f>IF(AND(COUNT(B418:Z418)&gt;0,COUNT(AA418:AC418)&gt;0),"ruwe waarden én getypt: getypte genegeerd",IF(COUNTA(B418:Z418,AA418:AC418)&gt;COUNT(B418:Z418,AA418:AC418),"tekst telt niet mee",IF(COUNT(B418:Z418)=1,"1 waarde: geen R of s","")))</f>
        <v/>
      </c>
    </row>
    <row r="419">
      <c r="A419" t="n">
        <v>368</v>
      </c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28">
        <f>IF(COUNT(B419:Z419)&gt;0,COUNT(B419:Z419),IF(OR(ISNUMBER(AA419),ISNUMBER(AB419)),$B$9,""))</f>
        <v/>
      </c>
      <c r="AE419" s="29">
        <f>IF(COUNT(B419:Z419)&gt;0,AVERAGE(B419:Z419),IF(ISNUMBER(AA419),AA419,""))</f>
        <v/>
      </c>
      <c r="AF419" s="29">
        <f>IF(COUNT(B419:Z419)&gt;1,MAX(B419:Z419)-MIN(B419:Z419),IF(ISNUMBER(AB419),AB419,""))</f>
        <v/>
      </c>
      <c r="AG419" s="29">
        <f>IF(COUNT(B419:Z419)&gt;1,_xlfn.STDEV.S(B419:Z419),IF(ISNUMBER(AC419),AC419,""))</f>
        <v/>
      </c>
      <c r="AH419" s="13">
        <f>IF(AND(ISNUMBER(AE419),ISNUMBER($B$23),ISNUMBER($D$23)),IF(AE419&gt;$D$23,"boven UCL",IF(AE419&lt;$B$23,"onder LCL","")),"")</f>
        <v/>
      </c>
      <c r="AI419" s="13">
        <f>IF(AND(ISNUMBER(AF419),ISNUMBER($B$24),ISNUMBER($D$24)),IF(AF419&gt;$D$24,"boven UCL",IF(AF419&lt;$B$24,"onder LCL","")),"")</f>
        <v/>
      </c>
      <c r="AJ419" s="13">
        <f>IF(AND(ISNUMBER(AE419),ISNUMBER($B$25),ISNUMBER($D$25)),IF(AE419&gt;$D$25,"boven UCL",IF(AE419&lt;$B$25,"onder LCL","")),"")</f>
        <v/>
      </c>
      <c r="AK419" s="13">
        <f>IF(AND(ISNUMBER(AG419),ISNUMBER($B$26),ISNUMBER($D$26)),IF(AG419&gt;$D$26,"boven UCL",IF(AG419&lt;$B$26,"onder LCL","")),"")</f>
        <v/>
      </c>
      <c r="AL419" s="13">
        <f>IF(AND(COUNT(B419:Z419)&gt;0,COUNT(AA419:AC419)&gt;0),"ruwe waarden én getypt: getypte genegeerd",IF(COUNTA(B419:Z419,AA419:AC419)&gt;COUNT(B419:Z419,AA419:AC419),"tekst telt niet mee",IF(COUNT(B419:Z419)=1,"1 waarde: geen R of s","")))</f>
        <v/>
      </c>
    </row>
    <row r="420">
      <c r="A420" t="n">
        <v>369</v>
      </c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28">
        <f>IF(COUNT(B420:Z420)&gt;0,COUNT(B420:Z420),IF(OR(ISNUMBER(AA420),ISNUMBER(AB420)),$B$9,""))</f>
        <v/>
      </c>
      <c r="AE420" s="29">
        <f>IF(COUNT(B420:Z420)&gt;0,AVERAGE(B420:Z420),IF(ISNUMBER(AA420),AA420,""))</f>
        <v/>
      </c>
      <c r="AF420" s="29">
        <f>IF(COUNT(B420:Z420)&gt;1,MAX(B420:Z420)-MIN(B420:Z420),IF(ISNUMBER(AB420),AB420,""))</f>
        <v/>
      </c>
      <c r="AG420" s="29">
        <f>IF(COUNT(B420:Z420)&gt;1,_xlfn.STDEV.S(B420:Z420),IF(ISNUMBER(AC420),AC420,""))</f>
        <v/>
      </c>
      <c r="AH420" s="13">
        <f>IF(AND(ISNUMBER(AE420),ISNUMBER($B$23),ISNUMBER($D$23)),IF(AE420&gt;$D$23,"boven UCL",IF(AE420&lt;$B$23,"onder LCL","")),"")</f>
        <v/>
      </c>
      <c r="AI420" s="13">
        <f>IF(AND(ISNUMBER(AF420),ISNUMBER($B$24),ISNUMBER($D$24)),IF(AF420&gt;$D$24,"boven UCL",IF(AF420&lt;$B$24,"onder LCL","")),"")</f>
        <v/>
      </c>
      <c r="AJ420" s="13">
        <f>IF(AND(ISNUMBER(AE420),ISNUMBER($B$25),ISNUMBER($D$25)),IF(AE420&gt;$D$25,"boven UCL",IF(AE420&lt;$B$25,"onder LCL","")),"")</f>
        <v/>
      </c>
      <c r="AK420" s="13">
        <f>IF(AND(ISNUMBER(AG420),ISNUMBER($B$26),ISNUMBER($D$26)),IF(AG420&gt;$D$26,"boven UCL",IF(AG420&lt;$B$26,"onder LCL","")),"")</f>
        <v/>
      </c>
      <c r="AL420" s="13">
        <f>IF(AND(COUNT(B420:Z420)&gt;0,COUNT(AA420:AC420)&gt;0),"ruwe waarden én getypt: getypte genegeerd",IF(COUNTA(B420:Z420,AA420:AC420)&gt;COUNT(B420:Z420,AA420:AC420),"tekst telt niet mee",IF(COUNT(B420:Z420)=1,"1 waarde: geen R of s","")))</f>
        <v/>
      </c>
    </row>
    <row r="421">
      <c r="A421" t="n">
        <v>370</v>
      </c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28">
        <f>IF(COUNT(B421:Z421)&gt;0,COUNT(B421:Z421),IF(OR(ISNUMBER(AA421),ISNUMBER(AB421)),$B$9,""))</f>
        <v/>
      </c>
      <c r="AE421" s="29">
        <f>IF(COUNT(B421:Z421)&gt;0,AVERAGE(B421:Z421),IF(ISNUMBER(AA421),AA421,""))</f>
        <v/>
      </c>
      <c r="AF421" s="29">
        <f>IF(COUNT(B421:Z421)&gt;1,MAX(B421:Z421)-MIN(B421:Z421),IF(ISNUMBER(AB421),AB421,""))</f>
        <v/>
      </c>
      <c r="AG421" s="29">
        <f>IF(COUNT(B421:Z421)&gt;1,_xlfn.STDEV.S(B421:Z421),IF(ISNUMBER(AC421),AC421,""))</f>
        <v/>
      </c>
      <c r="AH421" s="13">
        <f>IF(AND(ISNUMBER(AE421),ISNUMBER($B$23),ISNUMBER($D$23)),IF(AE421&gt;$D$23,"boven UCL",IF(AE421&lt;$B$23,"onder LCL","")),"")</f>
        <v/>
      </c>
      <c r="AI421" s="13">
        <f>IF(AND(ISNUMBER(AF421),ISNUMBER($B$24),ISNUMBER($D$24)),IF(AF421&gt;$D$24,"boven UCL",IF(AF421&lt;$B$24,"onder LCL","")),"")</f>
        <v/>
      </c>
      <c r="AJ421" s="13">
        <f>IF(AND(ISNUMBER(AE421),ISNUMBER($B$25),ISNUMBER($D$25)),IF(AE421&gt;$D$25,"boven UCL",IF(AE421&lt;$B$25,"onder LCL","")),"")</f>
        <v/>
      </c>
      <c r="AK421" s="13">
        <f>IF(AND(ISNUMBER(AG421),ISNUMBER($B$26),ISNUMBER($D$26)),IF(AG421&gt;$D$26,"boven UCL",IF(AG421&lt;$B$26,"onder LCL","")),"")</f>
        <v/>
      </c>
      <c r="AL421" s="13">
        <f>IF(AND(COUNT(B421:Z421)&gt;0,COUNT(AA421:AC421)&gt;0),"ruwe waarden én getypt: getypte genegeerd",IF(COUNTA(B421:Z421,AA421:AC421)&gt;COUNT(B421:Z421,AA421:AC421),"tekst telt niet mee",IF(COUNT(B421:Z421)=1,"1 waarde: geen R of s","")))</f>
        <v/>
      </c>
    </row>
    <row r="422">
      <c r="A422" t="n">
        <v>371</v>
      </c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28">
        <f>IF(COUNT(B422:Z422)&gt;0,COUNT(B422:Z422),IF(OR(ISNUMBER(AA422),ISNUMBER(AB422)),$B$9,""))</f>
        <v/>
      </c>
      <c r="AE422" s="29">
        <f>IF(COUNT(B422:Z422)&gt;0,AVERAGE(B422:Z422),IF(ISNUMBER(AA422),AA422,""))</f>
        <v/>
      </c>
      <c r="AF422" s="29">
        <f>IF(COUNT(B422:Z422)&gt;1,MAX(B422:Z422)-MIN(B422:Z422),IF(ISNUMBER(AB422),AB422,""))</f>
        <v/>
      </c>
      <c r="AG422" s="29">
        <f>IF(COUNT(B422:Z422)&gt;1,_xlfn.STDEV.S(B422:Z422),IF(ISNUMBER(AC422),AC422,""))</f>
        <v/>
      </c>
      <c r="AH422" s="13">
        <f>IF(AND(ISNUMBER(AE422),ISNUMBER($B$23),ISNUMBER($D$23)),IF(AE422&gt;$D$23,"boven UCL",IF(AE422&lt;$B$23,"onder LCL","")),"")</f>
        <v/>
      </c>
      <c r="AI422" s="13">
        <f>IF(AND(ISNUMBER(AF422),ISNUMBER($B$24),ISNUMBER($D$24)),IF(AF422&gt;$D$24,"boven UCL",IF(AF422&lt;$B$24,"onder LCL","")),"")</f>
        <v/>
      </c>
      <c r="AJ422" s="13">
        <f>IF(AND(ISNUMBER(AE422),ISNUMBER($B$25),ISNUMBER($D$25)),IF(AE422&gt;$D$25,"boven UCL",IF(AE422&lt;$B$25,"onder LCL","")),"")</f>
        <v/>
      </c>
      <c r="AK422" s="13">
        <f>IF(AND(ISNUMBER(AG422),ISNUMBER($B$26),ISNUMBER($D$26)),IF(AG422&gt;$D$26,"boven UCL",IF(AG422&lt;$B$26,"onder LCL","")),"")</f>
        <v/>
      </c>
      <c r="AL422" s="13">
        <f>IF(AND(COUNT(B422:Z422)&gt;0,COUNT(AA422:AC422)&gt;0),"ruwe waarden én getypt: getypte genegeerd",IF(COUNTA(B422:Z422,AA422:AC422)&gt;COUNT(B422:Z422,AA422:AC422),"tekst telt niet mee",IF(COUNT(B422:Z422)=1,"1 waarde: geen R of s","")))</f>
        <v/>
      </c>
    </row>
    <row r="423">
      <c r="A423" t="n">
        <v>372</v>
      </c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28">
        <f>IF(COUNT(B423:Z423)&gt;0,COUNT(B423:Z423),IF(OR(ISNUMBER(AA423),ISNUMBER(AB423)),$B$9,""))</f>
        <v/>
      </c>
      <c r="AE423" s="29">
        <f>IF(COUNT(B423:Z423)&gt;0,AVERAGE(B423:Z423),IF(ISNUMBER(AA423),AA423,""))</f>
        <v/>
      </c>
      <c r="AF423" s="29">
        <f>IF(COUNT(B423:Z423)&gt;1,MAX(B423:Z423)-MIN(B423:Z423),IF(ISNUMBER(AB423),AB423,""))</f>
        <v/>
      </c>
      <c r="AG423" s="29">
        <f>IF(COUNT(B423:Z423)&gt;1,_xlfn.STDEV.S(B423:Z423),IF(ISNUMBER(AC423),AC423,""))</f>
        <v/>
      </c>
      <c r="AH423" s="13">
        <f>IF(AND(ISNUMBER(AE423),ISNUMBER($B$23),ISNUMBER($D$23)),IF(AE423&gt;$D$23,"boven UCL",IF(AE423&lt;$B$23,"onder LCL","")),"")</f>
        <v/>
      </c>
      <c r="AI423" s="13">
        <f>IF(AND(ISNUMBER(AF423),ISNUMBER($B$24),ISNUMBER($D$24)),IF(AF423&gt;$D$24,"boven UCL",IF(AF423&lt;$B$24,"onder LCL","")),"")</f>
        <v/>
      </c>
      <c r="AJ423" s="13">
        <f>IF(AND(ISNUMBER(AE423),ISNUMBER($B$25),ISNUMBER($D$25)),IF(AE423&gt;$D$25,"boven UCL",IF(AE423&lt;$B$25,"onder LCL","")),"")</f>
        <v/>
      </c>
      <c r="AK423" s="13">
        <f>IF(AND(ISNUMBER(AG423),ISNUMBER($B$26),ISNUMBER($D$26)),IF(AG423&gt;$D$26,"boven UCL",IF(AG423&lt;$B$26,"onder LCL","")),"")</f>
        <v/>
      </c>
      <c r="AL423" s="13">
        <f>IF(AND(COUNT(B423:Z423)&gt;0,COUNT(AA423:AC423)&gt;0),"ruwe waarden én getypt: getypte genegeerd",IF(COUNTA(B423:Z423,AA423:AC423)&gt;COUNT(B423:Z423,AA423:AC423),"tekst telt niet mee",IF(COUNT(B423:Z423)=1,"1 waarde: geen R of s","")))</f>
        <v/>
      </c>
    </row>
    <row r="424">
      <c r="A424" t="n">
        <v>373</v>
      </c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28">
        <f>IF(COUNT(B424:Z424)&gt;0,COUNT(B424:Z424),IF(OR(ISNUMBER(AA424),ISNUMBER(AB424)),$B$9,""))</f>
        <v/>
      </c>
      <c r="AE424" s="29">
        <f>IF(COUNT(B424:Z424)&gt;0,AVERAGE(B424:Z424),IF(ISNUMBER(AA424),AA424,""))</f>
        <v/>
      </c>
      <c r="AF424" s="29">
        <f>IF(COUNT(B424:Z424)&gt;1,MAX(B424:Z424)-MIN(B424:Z424),IF(ISNUMBER(AB424),AB424,""))</f>
        <v/>
      </c>
      <c r="AG424" s="29">
        <f>IF(COUNT(B424:Z424)&gt;1,_xlfn.STDEV.S(B424:Z424),IF(ISNUMBER(AC424),AC424,""))</f>
        <v/>
      </c>
      <c r="AH424" s="13">
        <f>IF(AND(ISNUMBER(AE424),ISNUMBER($B$23),ISNUMBER($D$23)),IF(AE424&gt;$D$23,"boven UCL",IF(AE424&lt;$B$23,"onder LCL","")),"")</f>
        <v/>
      </c>
      <c r="AI424" s="13">
        <f>IF(AND(ISNUMBER(AF424),ISNUMBER($B$24),ISNUMBER($D$24)),IF(AF424&gt;$D$24,"boven UCL",IF(AF424&lt;$B$24,"onder LCL","")),"")</f>
        <v/>
      </c>
      <c r="AJ424" s="13">
        <f>IF(AND(ISNUMBER(AE424),ISNUMBER($B$25),ISNUMBER($D$25)),IF(AE424&gt;$D$25,"boven UCL",IF(AE424&lt;$B$25,"onder LCL","")),"")</f>
        <v/>
      </c>
      <c r="AK424" s="13">
        <f>IF(AND(ISNUMBER(AG424),ISNUMBER($B$26),ISNUMBER($D$26)),IF(AG424&gt;$D$26,"boven UCL",IF(AG424&lt;$B$26,"onder LCL","")),"")</f>
        <v/>
      </c>
      <c r="AL424" s="13">
        <f>IF(AND(COUNT(B424:Z424)&gt;0,COUNT(AA424:AC424)&gt;0),"ruwe waarden én getypt: getypte genegeerd",IF(COUNTA(B424:Z424,AA424:AC424)&gt;COUNT(B424:Z424,AA424:AC424),"tekst telt niet mee",IF(COUNT(B424:Z424)=1,"1 waarde: geen R of s","")))</f>
        <v/>
      </c>
    </row>
    <row r="425">
      <c r="A425" t="n">
        <v>374</v>
      </c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28">
        <f>IF(COUNT(B425:Z425)&gt;0,COUNT(B425:Z425),IF(OR(ISNUMBER(AA425),ISNUMBER(AB425)),$B$9,""))</f>
        <v/>
      </c>
      <c r="AE425" s="29">
        <f>IF(COUNT(B425:Z425)&gt;0,AVERAGE(B425:Z425),IF(ISNUMBER(AA425),AA425,""))</f>
        <v/>
      </c>
      <c r="AF425" s="29">
        <f>IF(COUNT(B425:Z425)&gt;1,MAX(B425:Z425)-MIN(B425:Z425),IF(ISNUMBER(AB425),AB425,""))</f>
        <v/>
      </c>
      <c r="AG425" s="29">
        <f>IF(COUNT(B425:Z425)&gt;1,_xlfn.STDEV.S(B425:Z425),IF(ISNUMBER(AC425),AC425,""))</f>
        <v/>
      </c>
      <c r="AH425" s="13">
        <f>IF(AND(ISNUMBER(AE425),ISNUMBER($B$23),ISNUMBER($D$23)),IF(AE425&gt;$D$23,"boven UCL",IF(AE425&lt;$B$23,"onder LCL","")),"")</f>
        <v/>
      </c>
      <c r="AI425" s="13">
        <f>IF(AND(ISNUMBER(AF425),ISNUMBER($B$24),ISNUMBER($D$24)),IF(AF425&gt;$D$24,"boven UCL",IF(AF425&lt;$B$24,"onder LCL","")),"")</f>
        <v/>
      </c>
      <c r="AJ425" s="13">
        <f>IF(AND(ISNUMBER(AE425),ISNUMBER($B$25),ISNUMBER($D$25)),IF(AE425&gt;$D$25,"boven UCL",IF(AE425&lt;$B$25,"onder LCL","")),"")</f>
        <v/>
      </c>
      <c r="AK425" s="13">
        <f>IF(AND(ISNUMBER(AG425),ISNUMBER($B$26),ISNUMBER($D$26)),IF(AG425&gt;$D$26,"boven UCL",IF(AG425&lt;$B$26,"onder LCL","")),"")</f>
        <v/>
      </c>
      <c r="AL425" s="13">
        <f>IF(AND(COUNT(B425:Z425)&gt;0,COUNT(AA425:AC425)&gt;0),"ruwe waarden én getypt: getypte genegeerd",IF(COUNTA(B425:Z425,AA425:AC425)&gt;COUNT(B425:Z425,AA425:AC425),"tekst telt niet mee",IF(COUNT(B425:Z425)=1,"1 waarde: geen R of s","")))</f>
        <v/>
      </c>
    </row>
    <row r="426">
      <c r="A426" t="n">
        <v>375</v>
      </c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28">
        <f>IF(COUNT(B426:Z426)&gt;0,COUNT(B426:Z426),IF(OR(ISNUMBER(AA426),ISNUMBER(AB426)),$B$9,""))</f>
        <v/>
      </c>
      <c r="AE426" s="29">
        <f>IF(COUNT(B426:Z426)&gt;0,AVERAGE(B426:Z426),IF(ISNUMBER(AA426),AA426,""))</f>
        <v/>
      </c>
      <c r="AF426" s="29">
        <f>IF(COUNT(B426:Z426)&gt;1,MAX(B426:Z426)-MIN(B426:Z426),IF(ISNUMBER(AB426),AB426,""))</f>
        <v/>
      </c>
      <c r="AG426" s="29">
        <f>IF(COUNT(B426:Z426)&gt;1,_xlfn.STDEV.S(B426:Z426),IF(ISNUMBER(AC426),AC426,""))</f>
        <v/>
      </c>
      <c r="AH426" s="13">
        <f>IF(AND(ISNUMBER(AE426),ISNUMBER($B$23),ISNUMBER($D$23)),IF(AE426&gt;$D$23,"boven UCL",IF(AE426&lt;$B$23,"onder LCL","")),"")</f>
        <v/>
      </c>
      <c r="AI426" s="13">
        <f>IF(AND(ISNUMBER(AF426),ISNUMBER($B$24),ISNUMBER($D$24)),IF(AF426&gt;$D$24,"boven UCL",IF(AF426&lt;$B$24,"onder LCL","")),"")</f>
        <v/>
      </c>
      <c r="AJ426" s="13">
        <f>IF(AND(ISNUMBER(AE426),ISNUMBER($B$25),ISNUMBER($D$25)),IF(AE426&gt;$D$25,"boven UCL",IF(AE426&lt;$B$25,"onder LCL","")),"")</f>
        <v/>
      </c>
      <c r="AK426" s="13">
        <f>IF(AND(ISNUMBER(AG426),ISNUMBER($B$26),ISNUMBER($D$26)),IF(AG426&gt;$D$26,"boven UCL",IF(AG426&lt;$B$26,"onder LCL","")),"")</f>
        <v/>
      </c>
      <c r="AL426" s="13">
        <f>IF(AND(COUNT(B426:Z426)&gt;0,COUNT(AA426:AC426)&gt;0),"ruwe waarden én getypt: getypte genegeerd",IF(COUNTA(B426:Z426,AA426:AC426)&gt;COUNT(B426:Z426,AA426:AC426),"tekst telt niet mee",IF(COUNT(B426:Z426)=1,"1 waarde: geen R of s","")))</f>
        <v/>
      </c>
    </row>
    <row r="427">
      <c r="A427" t="n">
        <v>376</v>
      </c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28">
        <f>IF(COUNT(B427:Z427)&gt;0,COUNT(B427:Z427),IF(OR(ISNUMBER(AA427),ISNUMBER(AB427)),$B$9,""))</f>
        <v/>
      </c>
      <c r="AE427" s="29">
        <f>IF(COUNT(B427:Z427)&gt;0,AVERAGE(B427:Z427),IF(ISNUMBER(AA427),AA427,""))</f>
        <v/>
      </c>
      <c r="AF427" s="29">
        <f>IF(COUNT(B427:Z427)&gt;1,MAX(B427:Z427)-MIN(B427:Z427),IF(ISNUMBER(AB427),AB427,""))</f>
        <v/>
      </c>
      <c r="AG427" s="29">
        <f>IF(COUNT(B427:Z427)&gt;1,_xlfn.STDEV.S(B427:Z427),IF(ISNUMBER(AC427),AC427,""))</f>
        <v/>
      </c>
      <c r="AH427" s="13">
        <f>IF(AND(ISNUMBER(AE427),ISNUMBER($B$23),ISNUMBER($D$23)),IF(AE427&gt;$D$23,"boven UCL",IF(AE427&lt;$B$23,"onder LCL","")),"")</f>
        <v/>
      </c>
      <c r="AI427" s="13">
        <f>IF(AND(ISNUMBER(AF427),ISNUMBER($B$24),ISNUMBER($D$24)),IF(AF427&gt;$D$24,"boven UCL",IF(AF427&lt;$B$24,"onder LCL","")),"")</f>
        <v/>
      </c>
      <c r="AJ427" s="13">
        <f>IF(AND(ISNUMBER(AE427),ISNUMBER($B$25),ISNUMBER($D$25)),IF(AE427&gt;$D$25,"boven UCL",IF(AE427&lt;$B$25,"onder LCL","")),"")</f>
        <v/>
      </c>
      <c r="AK427" s="13">
        <f>IF(AND(ISNUMBER(AG427),ISNUMBER($B$26),ISNUMBER($D$26)),IF(AG427&gt;$D$26,"boven UCL",IF(AG427&lt;$B$26,"onder LCL","")),"")</f>
        <v/>
      </c>
      <c r="AL427" s="13">
        <f>IF(AND(COUNT(B427:Z427)&gt;0,COUNT(AA427:AC427)&gt;0),"ruwe waarden én getypt: getypte genegeerd",IF(COUNTA(B427:Z427,AA427:AC427)&gt;COUNT(B427:Z427,AA427:AC427),"tekst telt niet mee",IF(COUNT(B427:Z427)=1,"1 waarde: geen R of s","")))</f>
        <v/>
      </c>
    </row>
    <row r="428">
      <c r="A428" t="n">
        <v>377</v>
      </c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28">
        <f>IF(COUNT(B428:Z428)&gt;0,COUNT(B428:Z428),IF(OR(ISNUMBER(AA428),ISNUMBER(AB428)),$B$9,""))</f>
        <v/>
      </c>
      <c r="AE428" s="29">
        <f>IF(COUNT(B428:Z428)&gt;0,AVERAGE(B428:Z428),IF(ISNUMBER(AA428),AA428,""))</f>
        <v/>
      </c>
      <c r="AF428" s="29">
        <f>IF(COUNT(B428:Z428)&gt;1,MAX(B428:Z428)-MIN(B428:Z428),IF(ISNUMBER(AB428),AB428,""))</f>
        <v/>
      </c>
      <c r="AG428" s="29">
        <f>IF(COUNT(B428:Z428)&gt;1,_xlfn.STDEV.S(B428:Z428),IF(ISNUMBER(AC428),AC428,""))</f>
        <v/>
      </c>
      <c r="AH428" s="13">
        <f>IF(AND(ISNUMBER(AE428),ISNUMBER($B$23),ISNUMBER($D$23)),IF(AE428&gt;$D$23,"boven UCL",IF(AE428&lt;$B$23,"onder LCL","")),"")</f>
        <v/>
      </c>
      <c r="AI428" s="13">
        <f>IF(AND(ISNUMBER(AF428),ISNUMBER($B$24),ISNUMBER($D$24)),IF(AF428&gt;$D$24,"boven UCL",IF(AF428&lt;$B$24,"onder LCL","")),"")</f>
        <v/>
      </c>
      <c r="AJ428" s="13">
        <f>IF(AND(ISNUMBER(AE428),ISNUMBER($B$25),ISNUMBER($D$25)),IF(AE428&gt;$D$25,"boven UCL",IF(AE428&lt;$B$25,"onder LCL","")),"")</f>
        <v/>
      </c>
      <c r="AK428" s="13">
        <f>IF(AND(ISNUMBER(AG428),ISNUMBER($B$26),ISNUMBER($D$26)),IF(AG428&gt;$D$26,"boven UCL",IF(AG428&lt;$B$26,"onder LCL","")),"")</f>
        <v/>
      </c>
      <c r="AL428" s="13">
        <f>IF(AND(COUNT(B428:Z428)&gt;0,COUNT(AA428:AC428)&gt;0),"ruwe waarden én getypt: getypte genegeerd",IF(COUNTA(B428:Z428,AA428:AC428)&gt;COUNT(B428:Z428,AA428:AC428),"tekst telt niet mee",IF(COUNT(B428:Z428)=1,"1 waarde: geen R of s","")))</f>
        <v/>
      </c>
    </row>
    <row r="429">
      <c r="A429" t="n">
        <v>378</v>
      </c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28">
        <f>IF(COUNT(B429:Z429)&gt;0,COUNT(B429:Z429),IF(OR(ISNUMBER(AA429),ISNUMBER(AB429)),$B$9,""))</f>
        <v/>
      </c>
      <c r="AE429" s="29">
        <f>IF(COUNT(B429:Z429)&gt;0,AVERAGE(B429:Z429),IF(ISNUMBER(AA429),AA429,""))</f>
        <v/>
      </c>
      <c r="AF429" s="29">
        <f>IF(COUNT(B429:Z429)&gt;1,MAX(B429:Z429)-MIN(B429:Z429),IF(ISNUMBER(AB429),AB429,""))</f>
        <v/>
      </c>
      <c r="AG429" s="29">
        <f>IF(COUNT(B429:Z429)&gt;1,_xlfn.STDEV.S(B429:Z429),IF(ISNUMBER(AC429),AC429,""))</f>
        <v/>
      </c>
      <c r="AH429" s="13">
        <f>IF(AND(ISNUMBER(AE429),ISNUMBER($B$23),ISNUMBER($D$23)),IF(AE429&gt;$D$23,"boven UCL",IF(AE429&lt;$B$23,"onder LCL","")),"")</f>
        <v/>
      </c>
      <c r="AI429" s="13">
        <f>IF(AND(ISNUMBER(AF429),ISNUMBER($B$24),ISNUMBER($D$24)),IF(AF429&gt;$D$24,"boven UCL",IF(AF429&lt;$B$24,"onder LCL","")),"")</f>
        <v/>
      </c>
      <c r="AJ429" s="13">
        <f>IF(AND(ISNUMBER(AE429),ISNUMBER($B$25),ISNUMBER($D$25)),IF(AE429&gt;$D$25,"boven UCL",IF(AE429&lt;$B$25,"onder LCL","")),"")</f>
        <v/>
      </c>
      <c r="AK429" s="13">
        <f>IF(AND(ISNUMBER(AG429),ISNUMBER($B$26),ISNUMBER($D$26)),IF(AG429&gt;$D$26,"boven UCL",IF(AG429&lt;$B$26,"onder LCL","")),"")</f>
        <v/>
      </c>
      <c r="AL429" s="13">
        <f>IF(AND(COUNT(B429:Z429)&gt;0,COUNT(AA429:AC429)&gt;0),"ruwe waarden én getypt: getypte genegeerd",IF(COUNTA(B429:Z429,AA429:AC429)&gt;COUNT(B429:Z429,AA429:AC429),"tekst telt niet mee",IF(COUNT(B429:Z429)=1,"1 waarde: geen R of s","")))</f>
        <v/>
      </c>
    </row>
    <row r="430">
      <c r="A430" t="n">
        <v>379</v>
      </c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28">
        <f>IF(COUNT(B430:Z430)&gt;0,COUNT(B430:Z430),IF(OR(ISNUMBER(AA430),ISNUMBER(AB430)),$B$9,""))</f>
        <v/>
      </c>
      <c r="AE430" s="29">
        <f>IF(COUNT(B430:Z430)&gt;0,AVERAGE(B430:Z430),IF(ISNUMBER(AA430),AA430,""))</f>
        <v/>
      </c>
      <c r="AF430" s="29">
        <f>IF(COUNT(B430:Z430)&gt;1,MAX(B430:Z430)-MIN(B430:Z430),IF(ISNUMBER(AB430),AB430,""))</f>
        <v/>
      </c>
      <c r="AG430" s="29">
        <f>IF(COUNT(B430:Z430)&gt;1,_xlfn.STDEV.S(B430:Z430),IF(ISNUMBER(AC430),AC430,""))</f>
        <v/>
      </c>
      <c r="AH430" s="13">
        <f>IF(AND(ISNUMBER(AE430),ISNUMBER($B$23),ISNUMBER($D$23)),IF(AE430&gt;$D$23,"boven UCL",IF(AE430&lt;$B$23,"onder LCL","")),"")</f>
        <v/>
      </c>
      <c r="AI430" s="13">
        <f>IF(AND(ISNUMBER(AF430),ISNUMBER($B$24),ISNUMBER($D$24)),IF(AF430&gt;$D$24,"boven UCL",IF(AF430&lt;$B$24,"onder LCL","")),"")</f>
        <v/>
      </c>
      <c r="AJ430" s="13">
        <f>IF(AND(ISNUMBER(AE430),ISNUMBER($B$25),ISNUMBER($D$25)),IF(AE430&gt;$D$25,"boven UCL",IF(AE430&lt;$B$25,"onder LCL","")),"")</f>
        <v/>
      </c>
      <c r="AK430" s="13">
        <f>IF(AND(ISNUMBER(AG430),ISNUMBER($B$26),ISNUMBER($D$26)),IF(AG430&gt;$D$26,"boven UCL",IF(AG430&lt;$B$26,"onder LCL","")),"")</f>
        <v/>
      </c>
      <c r="AL430" s="13">
        <f>IF(AND(COUNT(B430:Z430)&gt;0,COUNT(AA430:AC430)&gt;0),"ruwe waarden én getypt: getypte genegeerd",IF(COUNTA(B430:Z430,AA430:AC430)&gt;COUNT(B430:Z430,AA430:AC430),"tekst telt niet mee",IF(COUNT(B430:Z430)=1,"1 waarde: geen R of s","")))</f>
        <v/>
      </c>
    </row>
    <row r="431">
      <c r="A431" t="n">
        <v>380</v>
      </c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28">
        <f>IF(COUNT(B431:Z431)&gt;0,COUNT(B431:Z431),IF(OR(ISNUMBER(AA431),ISNUMBER(AB431)),$B$9,""))</f>
        <v/>
      </c>
      <c r="AE431" s="29">
        <f>IF(COUNT(B431:Z431)&gt;0,AVERAGE(B431:Z431),IF(ISNUMBER(AA431),AA431,""))</f>
        <v/>
      </c>
      <c r="AF431" s="29">
        <f>IF(COUNT(B431:Z431)&gt;1,MAX(B431:Z431)-MIN(B431:Z431),IF(ISNUMBER(AB431),AB431,""))</f>
        <v/>
      </c>
      <c r="AG431" s="29">
        <f>IF(COUNT(B431:Z431)&gt;1,_xlfn.STDEV.S(B431:Z431),IF(ISNUMBER(AC431),AC431,""))</f>
        <v/>
      </c>
      <c r="AH431" s="13">
        <f>IF(AND(ISNUMBER(AE431),ISNUMBER($B$23),ISNUMBER($D$23)),IF(AE431&gt;$D$23,"boven UCL",IF(AE431&lt;$B$23,"onder LCL","")),"")</f>
        <v/>
      </c>
      <c r="AI431" s="13">
        <f>IF(AND(ISNUMBER(AF431),ISNUMBER($B$24),ISNUMBER($D$24)),IF(AF431&gt;$D$24,"boven UCL",IF(AF431&lt;$B$24,"onder LCL","")),"")</f>
        <v/>
      </c>
      <c r="AJ431" s="13">
        <f>IF(AND(ISNUMBER(AE431),ISNUMBER($B$25),ISNUMBER($D$25)),IF(AE431&gt;$D$25,"boven UCL",IF(AE431&lt;$B$25,"onder LCL","")),"")</f>
        <v/>
      </c>
      <c r="AK431" s="13">
        <f>IF(AND(ISNUMBER(AG431),ISNUMBER($B$26),ISNUMBER($D$26)),IF(AG431&gt;$D$26,"boven UCL",IF(AG431&lt;$B$26,"onder LCL","")),"")</f>
        <v/>
      </c>
      <c r="AL431" s="13">
        <f>IF(AND(COUNT(B431:Z431)&gt;0,COUNT(AA431:AC431)&gt;0),"ruwe waarden én getypt: getypte genegeerd",IF(COUNTA(B431:Z431,AA431:AC431)&gt;COUNT(B431:Z431,AA431:AC431),"tekst telt niet mee",IF(COUNT(B431:Z431)=1,"1 waarde: geen R of s","")))</f>
        <v/>
      </c>
    </row>
    <row r="432">
      <c r="A432" t="n">
        <v>381</v>
      </c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28">
        <f>IF(COUNT(B432:Z432)&gt;0,COUNT(B432:Z432),IF(OR(ISNUMBER(AA432),ISNUMBER(AB432)),$B$9,""))</f>
        <v/>
      </c>
      <c r="AE432" s="29">
        <f>IF(COUNT(B432:Z432)&gt;0,AVERAGE(B432:Z432),IF(ISNUMBER(AA432),AA432,""))</f>
        <v/>
      </c>
      <c r="AF432" s="29">
        <f>IF(COUNT(B432:Z432)&gt;1,MAX(B432:Z432)-MIN(B432:Z432),IF(ISNUMBER(AB432),AB432,""))</f>
        <v/>
      </c>
      <c r="AG432" s="29">
        <f>IF(COUNT(B432:Z432)&gt;1,_xlfn.STDEV.S(B432:Z432),IF(ISNUMBER(AC432),AC432,""))</f>
        <v/>
      </c>
      <c r="AH432" s="13">
        <f>IF(AND(ISNUMBER(AE432),ISNUMBER($B$23),ISNUMBER($D$23)),IF(AE432&gt;$D$23,"boven UCL",IF(AE432&lt;$B$23,"onder LCL","")),"")</f>
        <v/>
      </c>
      <c r="AI432" s="13">
        <f>IF(AND(ISNUMBER(AF432),ISNUMBER($B$24),ISNUMBER($D$24)),IF(AF432&gt;$D$24,"boven UCL",IF(AF432&lt;$B$24,"onder LCL","")),"")</f>
        <v/>
      </c>
      <c r="AJ432" s="13">
        <f>IF(AND(ISNUMBER(AE432),ISNUMBER($B$25),ISNUMBER($D$25)),IF(AE432&gt;$D$25,"boven UCL",IF(AE432&lt;$B$25,"onder LCL","")),"")</f>
        <v/>
      </c>
      <c r="AK432" s="13">
        <f>IF(AND(ISNUMBER(AG432),ISNUMBER($B$26),ISNUMBER($D$26)),IF(AG432&gt;$D$26,"boven UCL",IF(AG432&lt;$B$26,"onder LCL","")),"")</f>
        <v/>
      </c>
      <c r="AL432" s="13">
        <f>IF(AND(COUNT(B432:Z432)&gt;0,COUNT(AA432:AC432)&gt;0),"ruwe waarden én getypt: getypte genegeerd",IF(COUNTA(B432:Z432,AA432:AC432)&gt;COUNT(B432:Z432,AA432:AC432),"tekst telt niet mee",IF(COUNT(B432:Z432)=1,"1 waarde: geen R of s","")))</f>
        <v/>
      </c>
    </row>
    <row r="433">
      <c r="A433" t="n">
        <v>382</v>
      </c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28">
        <f>IF(COUNT(B433:Z433)&gt;0,COUNT(B433:Z433),IF(OR(ISNUMBER(AA433),ISNUMBER(AB433)),$B$9,""))</f>
        <v/>
      </c>
      <c r="AE433" s="29">
        <f>IF(COUNT(B433:Z433)&gt;0,AVERAGE(B433:Z433),IF(ISNUMBER(AA433),AA433,""))</f>
        <v/>
      </c>
      <c r="AF433" s="29">
        <f>IF(COUNT(B433:Z433)&gt;1,MAX(B433:Z433)-MIN(B433:Z433),IF(ISNUMBER(AB433),AB433,""))</f>
        <v/>
      </c>
      <c r="AG433" s="29">
        <f>IF(COUNT(B433:Z433)&gt;1,_xlfn.STDEV.S(B433:Z433),IF(ISNUMBER(AC433),AC433,""))</f>
        <v/>
      </c>
      <c r="AH433" s="13">
        <f>IF(AND(ISNUMBER(AE433),ISNUMBER($B$23),ISNUMBER($D$23)),IF(AE433&gt;$D$23,"boven UCL",IF(AE433&lt;$B$23,"onder LCL","")),"")</f>
        <v/>
      </c>
      <c r="AI433" s="13">
        <f>IF(AND(ISNUMBER(AF433),ISNUMBER($B$24),ISNUMBER($D$24)),IF(AF433&gt;$D$24,"boven UCL",IF(AF433&lt;$B$24,"onder LCL","")),"")</f>
        <v/>
      </c>
      <c r="AJ433" s="13">
        <f>IF(AND(ISNUMBER(AE433),ISNUMBER($B$25),ISNUMBER($D$25)),IF(AE433&gt;$D$25,"boven UCL",IF(AE433&lt;$B$25,"onder LCL","")),"")</f>
        <v/>
      </c>
      <c r="AK433" s="13">
        <f>IF(AND(ISNUMBER(AG433),ISNUMBER($B$26),ISNUMBER($D$26)),IF(AG433&gt;$D$26,"boven UCL",IF(AG433&lt;$B$26,"onder LCL","")),"")</f>
        <v/>
      </c>
      <c r="AL433" s="13">
        <f>IF(AND(COUNT(B433:Z433)&gt;0,COUNT(AA433:AC433)&gt;0),"ruwe waarden én getypt: getypte genegeerd",IF(COUNTA(B433:Z433,AA433:AC433)&gt;COUNT(B433:Z433,AA433:AC433),"tekst telt niet mee",IF(COUNT(B433:Z433)=1,"1 waarde: geen R of s","")))</f>
        <v/>
      </c>
    </row>
    <row r="434">
      <c r="A434" t="n">
        <v>383</v>
      </c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28">
        <f>IF(COUNT(B434:Z434)&gt;0,COUNT(B434:Z434),IF(OR(ISNUMBER(AA434),ISNUMBER(AB434)),$B$9,""))</f>
        <v/>
      </c>
      <c r="AE434" s="29">
        <f>IF(COUNT(B434:Z434)&gt;0,AVERAGE(B434:Z434),IF(ISNUMBER(AA434),AA434,""))</f>
        <v/>
      </c>
      <c r="AF434" s="29">
        <f>IF(COUNT(B434:Z434)&gt;1,MAX(B434:Z434)-MIN(B434:Z434),IF(ISNUMBER(AB434),AB434,""))</f>
        <v/>
      </c>
      <c r="AG434" s="29">
        <f>IF(COUNT(B434:Z434)&gt;1,_xlfn.STDEV.S(B434:Z434),IF(ISNUMBER(AC434),AC434,""))</f>
        <v/>
      </c>
      <c r="AH434" s="13">
        <f>IF(AND(ISNUMBER(AE434),ISNUMBER($B$23),ISNUMBER($D$23)),IF(AE434&gt;$D$23,"boven UCL",IF(AE434&lt;$B$23,"onder LCL","")),"")</f>
        <v/>
      </c>
      <c r="AI434" s="13">
        <f>IF(AND(ISNUMBER(AF434),ISNUMBER($B$24),ISNUMBER($D$24)),IF(AF434&gt;$D$24,"boven UCL",IF(AF434&lt;$B$24,"onder LCL","")),"")</f>
        <v/>
      </c>
      <c r="AJ434" s="13">
        <f>IF(AND(ISNUMBER(AE434),ISNUMBER($B$25),ISNUMBER($D$25)),IF(AE434&gt;$D$25,"boven UCL",IF(AE434&lt;$B$25,"onder LCL","")),"")</f>
        <v/>
      </c>
      <c r="AK434" s="13">
        <f>IF(AND(ISNUMBER(AG434),ISNUMBER($B$26),ISNUMBER($D$26)),IF(AG434&gt;$D$26,"boven UCL",IF(AG434&lt;$B$26,"onder LCL","")),"")</f>
        <v/>
      </c>
      <c r="AL434" s="13">
        <f>IF(AND(COUNT(B434:Z434)&gt;0,COUNT(AA434:AC434)&gt;0),"ruwe waarden én getypt: getypte genegeerd",IF(COUNTA(B434:Z434,AA434:AC434)&gt;COUNT(B434:Z434,AA434:AC434),"tekst telt niet mee",IF(COUNT(B434:Z434)=1,"1 waarde: geen R of s","")))</f>
        <v/>
      </c>
    </row>
    <row r="435">
      <c r="A435" t="n">
        <v>384</v>
      </c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28">
        <f>IF(COUNT(B435:Z435)&gt;0,COUNT(B435:Z435),IF(OR(ISNUMBER(AA435),ISNUMBER(AB435)),$B$9,""))</f>
        <v/>
      </c>
      <c r="AE435" s="29">
        <f>IF(COUNT(B435:Z435)&gt;0,AVERAGE(B435:Z435),IF(ISNUMBER(AA435),AA435,""))</f>
        <v/>
      </c>
      <c r="AF435" s="29">
        <f>IF(COUNT(B435:Z435)&gt;1,MAX(B435:Z435)-MIN(B435:Z435),IF(ISNUMBER(AB435),AB435,""))</f>
        <v/>
      </c>
      <c r="AG435" s="29">
        <f>IF(COUNT(B435:Z435)&gt;1,_xlfn.STDEV.S(B435:Z435),IF(ISNUMBER(AC435),AC435,""))</f>
        <v/>
      </c>
      <c r="AH435" s="13">
        <f>IF(AND(ISNUMBER(AE435),ISNUMBER($B$23),ISNUMBER($D$23)),IF(AE435&gt;$D$23,"boven UCL",IF(AE435&lt;$B$23,"onder LCL","")),"")</f>
        <v/>
      </c>
      <c r="AI435" s="13">
        <f>IF(AND(ISNUMBER(AF435),ISNUMBER($B$24),ISNUMBER($D$24)),IF(AF435&gt;$D$24,"boven UCL",IF(AF435&lt;$B$24,"onder LCL","")),"")</f>
        <v/>
      </c>
      <c r="AJ435" s="13">
        <f>IF(AND(ISNUMBER(AE435),ISNUMBER($B$25),ISNUMBER($D$25)),IF(AE435&gt;$D$25,"boven UCL",IF(AE435&lt;$B$25,"onder LCL","")),"")</f>
        <v/>
      </c>
      <c r="AK435" s="13">
        <f>IF(AND(ISNUMBER(AG435),ISNUMBER($B$26),ISNUMBER($D$26)),IF(AG435&gt;$D$26,"boven UCL",IF(AG435&lt;$B$26,"onder LCL","")),"")</f>
        <v/>
      </c>
      <c r="AL435" s="13">
        <f>IF(AND(COUNT(B435:Z435)&gt;0,COUNT(AA435:AC435)&gt;0),"ruwe waarden én getypt: getypte genegeerd",IF(COUNTA(B435:Z435,AA435:AC435)&gt;COUNT(B435:Z435,AA435:AC435),"tekst telt niet mee",IF(COUNT(B435:Z435)=1,"1 waarde: geen R of s","")))</f>
        <v/>
      </c>
    </row>
    <row r="436">
      <c r="A436" t="n">
        <v>385</v>
      </c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28">
        <f>IF(COUNT(B436:Z436)&gt;0,COUNT(B436:Z436),IF(OR(ISNUMBER(AA436),ISNUMBER(AB436)),$B$9,""))</f>
        <v/>
      </c>
      <c r="AE436" s="29">
        <f>IF(COUNT(B436:Z436)&gt;0,AVERAGE(B436:Z436),IF(ISNUMBER(AA436),AA436,""))</f>
        <v/>
      </c>
      <c r="AF436" s="29">
        <f>IF(COUNT(B436:Z436)&gt;1,MAX(B436:Z436)-MIN(B436:Z436),IF(ISNUMBER(AB436),AB436,""))</f>
        <v/>
      </c>
      <c r="AG436" s="29">
        <f>IF(COUNT(B436:Z436)&gt;1,_xlfn.STDEV.S(B436:Z436),IF(ISNUMBER(AC436),AC436,""))</f>
        <v/>
      </c>
      <c r="AH436" s="13">
        <f>IF(AND(ISNUMBER(AE436),ISNUMBER($B$23),ISNUMBER($D$23)),IF(AE436&gt;$D$23,"boven UCL",IF(AE436&lt;$B$23,"onder LCL","")),"")</f>
        <v/>
      </c>
      <c r="AI436" s="13">
        <f>IF(AND(ISNUMBER(AF436),ISNUMBER($B$24),ISNUMBER($D$24)),IF(AF436&gt;$D$24,"boven UCL",IF(AF436&lt;$B$24,"onder LCL","")),"")</f>
        <v/>
      </c>
      <c r="AJ436" s="13">
        <f>IF(AND(ISNUMBER(AE436),ISNUMBER($B$25),ISNUMBER($D$25)),IF(AE436&gt;$D$25,"boven UCL",IF(AE436&lt;$B$25,"onder LCL","")),"")</f>
        <v/>
      </c>
      <c r="AK436" s="13">
        <f>IF(AND(ISNUMBER(AG436),ISNUMBER($B$26),ISNUMBER($D$26)),IF(AG436&gt;$D$26,"boven UCL",IF(AG436&lt;$B$26,"onder LCL","")),"")</f>
        <v/>
      </c>
      <c r="AL436" s="13">
        <f>IF(AND(COUNT(B436:Z436)&gt;0,COUNT(AA436:AC436)&gt;0),"ruwe waarden én getypt: getypte genegeerd",IF(COUNTA(B436:Z436,AA436:AC436)&gt;COUNT(B436:Z436,AA436:AC436),"tekst telt niet mee",IF(COUNT(B436:Z436)=1,"1 waarde: geen R of s","")))</f>
        <v/>
      </c>
    </row>
    <row r="437">
      <c r="A437" t="n">
        <v>386</v>
      </c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28">
        <f>IF(COUNT(B437:Z437)&gt;0,COUNT(B437:Z437),IF(OR(ISNUMBER(AA437),ISNUMBER(AB437)),$B$9,""))</f>
        <v/>
      </c>
      <c r="AE437" s="29">
        <f>IF(COUNT(B437:Z437)&gt;0,AVERAGE(B437:Z437),IF(ISNUMBER(AA437),AA437,""))</f>
        <v/>
      </c>
      <c r="AF437" s="29">
        <f>IF(COUNT(B437:Z437)&gt;1,MAX(B437:Z437)-MIN(B437:Z437),IF(ISNUMBER(AB437),AB437,""))</f>
        <v/>
      </c>
      <c r="AG437" s="29">
        <f>IF(COUNT(B437:Z437)&gt;1,_xlfn.STDEV.S(B437:Z437),IF(ISNUMBER(AC437),AC437,""))</f>
        <v/>
      </c>
      <c r="AH437" s="13">
        <f>IF(AND(ISNUMBER(AE437),ISNUMBER($B$23),ISNUMBER($D$23)),IF(AE437&gt;$D$23,"boven UCL",IF(AE437&lt;$B$23,"onder LCL","")),"")</f>
        <v/>
      </c>
      <c r="AI437" s="13">
        <f>IF(AND(ISNUMBER(AF437),ISNUMBER($B$24),ISNUMBER($D$24)),IF(AF437&gt;$D$24,"boven UCL",IF(AF437&lt;$B$24,"onder LCL","")),"")</f>
        <v/>
      </c>
      <c r="AJ437" s="13">
        <f>IF(AND(ISNUMBER(AE437),ISNUMBER($B$25),ISNUMBER($D$25)),IF(AE437&gt;$D$25,"boven UCL",IF(AE437&lt;$B$25,"onder LCL","")),"")</f>
        <v/>
      </c>
      <c r="AK437" s="13">
        <f>IF(AND(ISNUMBER(AG437),ISNUMBER($B$26),ISNUMBER($D$26)),IF(AG437&gt;$D$26,"boven UCL",IF(AG437&lt;$B$26,"onder LCL","")),"")</f>
        <v/>
      </c>
      <c r="AL437" s="13">
        <f>IF(AND(COUNT(B437:Z437)&gt;0,COUNT(AA437:AC437)&gt;0),"ruwe waarden én getypt: getypte genegeerd",IF(COUNTA(B437:Z437,AA437:AC437)&gt;COUNT(B437:Z437,AA437:AC437),"tekst telt niet mee",IF(COUNT(B437:Z437)=1,"1 waarde: geen R of s","")))</f>
        <v/>
      </c>
    </row>
    <row r="438">
      <c r="A438" t="n">
        <v>387</v>
      </c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28">
        <f>IF(COUNT(B438:Z438)&gt;0,COUNT(B438:Z438),IF(OR(ISNUMBER(AA438),ISNUMBER(AB438)),$B$9,""))</f>
        <v/>
      </c>
      <c r="AE438" s="29">
        <f>IF(COUNT(B438:Z438)&gt;0,AVERAGE(B438:Z438),IF(ISNUMBER(AA438),AA438,""))</f>
        <v/>
      </c>
      <c r="AF438" s="29">
        <f>IF(COUNT(B438:Z438)&gt;1,MAX(B438:Z438)-MIN(B438:Z438),IF(ISNUMBER(AB438),AB438,""))</f>
        <v/>
      </c>
      <c r="AG438" s="29">
        <f>IF(COUNT(B438:Z438)&gt;1,_xlfn.STDEV.S(B438:Z438),IF(ISNUMBER(AC438),AC438,""))</f>
        <v/>
      </c>
      <c r="AH438" s="13">
        <f>IF(AND(ISNUMBER(AE438),ISNUMBER($B$23),ISNUMBER($D$23)),IF(AE438&gt;$D$23,"boven UCL",IF(AE438&lt;$B$23,"onder LCL","")),"")</f>
        <v/>
      </c>
      <c r="AI438" s="13">
        <f>IF(AND(ISNUMBER(AF438),ISNUMBER($B$24),ISNUMBER($D$24)),IF(AF438&gt;$D$24,"boven UCL",IF(AF438&lt;$B$24,"onder LCL","")),"")</f>
        <v/>
      </c>
      <c r="AJ438" s="13">
        <f>IF(AND(ISNUMBER(AE438),ISNUMBER($B$25),ISNUMBER($D$25)),IF(AE438&gt;$D$25,"boven UCL",IF(AE438&lt;$B$25,"onder LCL","")),"")</f>
        <v/>
      </c>
      <c r="AK438" s="13">
        <f>IF(AND(ISNUMBER(AG438),ISNUMBER($B$26),ISNUMBER($D$26)),IF(AG438&gt;$D$26,"boven UCL",IF(AG438&lt;$B$26,"onder LCL","")),"")</f>
        <v/>
      </c>
      <c r="AL438" s="13">
        <f>IF(AND(COUNT(B438:Z438)&gt;0,COUNT(AA438:AC438)&gt;0),"ruwe waarden én getypt: getypte genegeerd",IF(COUNTA(B438:Z438,AA438:AC438)&gt;COUNT(B438:Z438,AA438:AC438),"tekst telt niet mee",IF(COUNT(B438:Z438)=1,"1 waarde: geen R of s","")))</f>
        <v/>
      </c>
    </row>
    <row r="439">
      <c r="A439" t="n">
        <v>388</v>
      </c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28">
        <f>IF(COUNT(B439:Z439)&gt;0,COUNT(B439:Z439),IF(OR(ISNUMBER(AA439),ISNUMBER(AB439)),$B$9,""))</f>
        <v/>
      </c>
      <c r="AE439" s="29">
        <f>IF(COUNT(B439:Z439)&gt;0,AVERAGE(B439:Z439),IF(ISNUMBER(AA439),AA439,""))</f>
        <v/>
      </c>
      <c r="AF439" s="29">
        <f>IF(COUNT(B439:Z439)&gt;1,MAX(B439:Z439)-MIN(B439:Z439),IF(ISNUMBER(AB439),AB439,""))</f>
        <v/>
      </c>
      <c r="AG439" s="29">
        <f>IF(COUNT(B439:Z439)&gt;1,_xlfn.STDEV.S(B439:Z439),IF(ISNUMBER(AC439),AC439,""))</f>
        <v/>
      </c>
      <c r="AH439" s="13">
        <f>IF(AND(ISNUMBER(AE439),ISNUMBER($B$23),ISNUMBER($D$23)),IF(AE439&gt;$D$23,"boven UCL",IF(AE439&lt;$B$23,"onder LCL","")),"")</f>
        <v/>
      </c>
      <c r="AI439" s="13">
        <f>IF(AND(ISNUMBER(AF439),ISNUMBER($B$24),ISNUMBER($D$24)),IF(AF439&gt;$D$24,"boven UCL",IF(AF439&lt;$B$24,"onder LCL","")),"")</f>
        <v/>
      </c>
      <c r="AJ439" s="13">
        <f>IF(AND(ISNUMBER(AE439),ISNUMBER($B$25),ISNUMBER($D$25)),IF(AE439&gt;$D$25,"boven UCL",IF(AE439&lt;$B$25,"onder LCL","")),"")</f>
        <v/>
      </c>
      <c r="AK439" s="13">
        <f>IF(AND(ISNUMBER(AG439),ISNUMBER($B$26),ISNUMBER($D$26)),IF(AG439&gt;$D$26,"boven UCL",IF(AG439&lt;$B$26,"onder LCL","")),"")</f>
        <v/>
      </c>
      <c r="AL439" s="13">
        <f>IF(AND(COUNT(B439:Z439)&gt;0,COUNT(AA439:AC439)&gt;0),"ruwe waarden én getypt: getypte genegeerd",IF(COUNTA(B439:Z439,AA439:AC439)&gt;COUNT(B439:Z439,AA439:AC439),"tekst telt niet mee",IF(COUNT(B439:Z439)=1,"1 waarde: geen R of s","")))</f>
        <v/>
      </c>
    </row>
    <row r="440">
      <c r="A440" t="n">
        <v>389</v>
      </c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28">
        <f>IF(COUNT(B440:Z440)&gt;0,COUNT(B440:Z440),IF(OR(ISNUMBER(AA440),ISNUMBER(AB440)),$B$9,""))</f>
        <v/>
      </c>
      <c r="AE440" s="29">
        <f>IF(COUNT(B440:Z440)&gt;0,AVERAGE(B440:Z440),IF(ISNUMBER(AA440),AA440,""))</f>
        <v/>
      </c>
      <c r="AF440" s="29">
        <f>IF(COUNT(B440:Z440)&gt;1,MAX(B440:Z440)-MIN(B440:Z440),IF(ISNUMBER(AB440),AB440,""))</f>
        <v/>
      </c>
      <c r="AG440" s="29">
        <f>IF(COUNT(B440:Z440)&gt;1,_xlfn.STDEV.S(B440:Z440),IF(ISNUMBER(AC440),AC440,""))</f>
        <v/>
      </c>
      <c r="AH440" s="13">
        <f>IF(AND(ISNUMBER(AE440),ISNUMBER($B$23),ISNUMBER($D$23)),IF(AE440&gt;$D$23,"boven UCL",IF(AE440&lt;$B$23,"onder LCL","")),"")</f>
        <v/>
      </c>
      <c r="AI440" s="13">
        <f>IF(AND(ISNUMBER(AF440),ISNUMBER($B$24),ISNUMBER($D$24)),IF(AF440&gt;$D$24,"boven UCL",IF(AF440&lt;$B$24,"onder LCL","")),"")</f>
        <v/>
      </c>
      <c r="AJ440" s="13">
        <f>IF(AND(ISNUMBER(AE440),ISNUMBER($B$25),ISNUMBER($D$25)),IF(AE440&gt;$D$25,"boven UCL",IF(AE440&lt;$B$25,"onder LCL","")),"")</f>
        <v/>
      </c>
      <c r="AK440" s="13">
        <f>IF(AND(ISNUMBER(AG440),ISNUMBER($B$26),ISNUMBER($D$26)),IF(AG440&gt;$D$26,"boven UCL",IF(AG440&lt;$B$26,"onder LCL","")),"")</f>
        <v/>
      </c>
      <c r="AL440" s="13">
        <f>IF(AND(COUNT(B440:Z440)&gt;0,COUNT(AA440:AC440)&gt;0),"ruwe waarden én getypt: getypte genegeerd",IF(COUNTA(B440:Z440,AA440:AC440)&gt;COUNT(B440:Z440,AA440:AC440),"tekst telt niet mee",IF(COUNT(B440:Z440)=1,"1 waarde: geen R of s","")))</f>
        <v/>
      </c>
    </row>
    <row r="441">
      <c r="A441" t="n">
        <v>390</v>
      </c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28">
        <f>IF(COUNT(B441:Z441)&gt;0,COUNT(B441:Z441),IF(OR(ISNUMBER(AA441),ISNUMBER(AB441)),$B$9,""))</f>
        <v/>
      </c>
      <c r="AE441" s="29">
        <f>IF(COUNT(B441:Z441)&gt;0,AVERAGE(B441:Z441),IF(ISNUMBER(AA441),AA441,""))</f>
        <v/>
      </c>
      <c r="AF441" s="29">
        <f>IF(COUNT(B441:Z441)&gt;1,MAX(B441:Z441)-MIN(B441:Z441),IF(ISNUMBER(AB441),AB441,""))</f>
        <v/>
      </c>
      <c r="AG441" s="29">
        <f>IF(COUNT(B441:Z441)&gt;1,_xlfn.STDEV.S(B441:Z441),IF(ISNUMBER(AC441),AC441,""))</f>
        <v/>
      </c>
      <c r="AH441" s="13">
        <f>IF(AND(ISNUMBER(AE441),ISNUMBER($B$23),ISNUMBER($D$23)),IF(AE441&gt;$D$23,"boven UCL",IF(AE441&lt;$B$23,"onder LCL","")),"")</f>
        <v/>
      </c>
      <c r="AI441" s="13">
        <f>IF(AND(ISNUMBER(AF441),ISNUMBER($B$24),ISNUMBER($D$24)),IF(AF441&gt;$D$24,"boven UCL",IF(AF441&lt;$B$24,"onder LCL","")),"")</f>
        <v/>
      </c>
      <c r="AJ441" s="13">
        <f>IF(AND(ISNUMBER(AE441),ISNUMBER($B$25),ISNUMBER($D$25)),IF(AE441&gt;$D$25,"boven UCL",IF(AE441&lt;$B$25,"onder LCL","")),"")</f>
        <v/>
      </c>
      <c r="AK441" s="13">
        <f>IF(AND(ISNUMBER(AG441),ISNUMBER($B$26),ISNUMBER($D$26)),IF(AG441&gt;$D$26,"boven UCL",IF(AG441&lt;$B$26,"onder LCL","")),"")</f>
        <v/>
      </c>
      <c r="AL441" s="13">
        <f>IF(AND(COUNT(B441:Z441)&gt;0,COUNT(AA441:AC441)&gt;0),"ruwe waarden én getypt: getypte genegeerd",IF(COUNTA(B441:Z441,AA441:AC441)&gt;COUNT(B441:Z441,AA441:AC441),"tekst telt niet mee",IF(COUNT(B441:Z441)=1,"1 waarde: geen R of s","")))</f>
        <v/>
      </c>
    </row>
    <row r="442">
      <c r="A442" t="n">
        <v>391</v>
      </c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28">
        <f>IF(COUNT(B442:Z442)&gt;0,COUNT(B442:Z442),IF(OR(ISNUMBER(AA442),ISNUMBER(AB442)),$B$9,""))</f>
        <v/>
      </c>
      <c r="AE442" s="29">
        <f>IF(COUNT(B442:Z442)&gt;0,AVERAGE(B442:Z442),IF(ISNUMBER(AA442),AA442,""))</f>
        <v/>
      </c>
      <c r="AF442" s="29">
        <f>IF(COUNT(B442:Z442)&gt;1,MAX(B442:Z442)-MIN(B442:Z442),IF(ISNUMBER(AB442),AB442,""))</f>
        <v/>
      </c>
      <c r="AG442" s="29">
        <f>IF(COUNT(B442:Z442)&gt;1,_xlfn.STDEV.S(B442:Z442),IF(ISNUMBER(AC442),AC442,""))</f>
        <v/>
      </c>
      <c r="AH442" s="13">
        <f>IF(AND(ISNUMBER(AE442),ISNUMBER($B$23),ISNUMBER($D$23)),IF(AE442&gt;$D$23,"boven UCL",IF(AE442&lt;$B$23,"onder LCL","")),"")</f>
        <v/>
      </c>
      <c r="AI442" s="13">
        <f>IF(AND(ISNUMBER(AF442),ISNUMBER($B$24),ISNUMBER($D$24)),IF(AF442&gt;$D$24,"boven UCL",IF(AF442&lt;$B$24,"onder LCL","")),"")</f>
        <v/>
      </c>
      <c r="AJ442" s="13">
        <f>IF(AND(ISNUMBER(AE442),ISNUMBER($B$25),ISNUMBER($D$25)),IF(AE442&gt;$D$25,"boven UCL",IF(AE442&lt;$B$25,"onder LCL","")),"")</f>
        <v/>
      </c>
      <c r="AK442" s="13">
        <f>IF(AND(ISNUMBER(AG442),ISNUMBER($B$26),ISNUMBER($D$26)),IF(AG442&gt;$D$26,"boven UCL",IF(AG442&lt;$B$26,"onder LCL","")),"")</f>
        <v/>
      </c>
      <c r="AL442" s="13">
        <f>IF(AND(COUNT(B442:Z442)&gt;0,COUNT(AA442:AC442)&gt;0),"ruwe waarden én getypt: getypte genegeerd",IF(COUNTA(B442:Z442,AA442:AC442)&gt;COUNT(B442:Z442,AA442:AC442),"tekst telt niet mee",IF(COUNT(B442:Z442)=1,"1 waarde: geen R of s","")))</f>
        <v/>
      </c>
    </row>
    <row r="443">
      <c r="A443" t="n">
        <v>392</v>
      </c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28">
        <f>IF(COUNT(B443:Z443)&gt;0,COUNT(B443:Z443),IF(OR(ISNUMBER(AA443),ISNUMBER(AB443)),$B$9,""))</f>
        <v/>
      </c>
      <c r="AE443" s="29">
        <f>IF(COUNT(B443:Z443)&gt;0,AVERAGE(B443:Z443),IF(ISNUMBER(AA443),AA443,""))</f>
        <v/>
      </c>
      <c r="AF443" s="29">
        <f>IF(COUNT(B443:Z443)&gt;1,MAX(B443:Z443)-MIN(B443:Z443),IF(ISNUMBER(AB443),AB443,""))</f>
        <v/>
      </c>
      <c r="AG443" s="29">
        <f>IF(COUNT(B443:Z443)&gt;1,_xlfn.STDEV.S(B443:Z443),IF(ISNUMBER(AC443),AC443,""))</f>
        <v/>
      </c>
      <c r="AH443" s="13">
        <f>IF(AND(ISNUMBER(AE443),ISNUMBER($B$23),ISNUMBER($D$23)),IF(AE443&gt;$D$23,"boven UCL",IF(AE443&lt;$B$23,"onder LCL","")),"")</f>
        <v/>
      </c>
      <c r="AI443" s="13">
        <f>IF(AND(ISNUMBER(AF443),ISNUMBER($B$24),ISNUMBER($D$24)),IF(AF443&gt;$D$24,"boven UCL",IF(AF443&lt;$B$24,"onder LCL","")),"")</f>
        <v/>
      </c>
      <c r="AJ443" s="13">
        <f>IF(AND(ISNUMBER(AE443),ISNUMBER($B$25),ISNUMBER($D$25)),IF(AE443&gt;$D$25,"boven UCL",IF(AE443&lt;$B$25,"onder LCL","")),"")</f>
        <v/>
      </c>
      <c r="AK443" s="13">
        <f>IF(AND(ISNUMBER(AG443),ISNUMBER($B$26),ISNUMBER($D$26)),IF(AG443&gt;$D$26,"boven UCL",IF(AG443&lt;$B$26,"onder LCL","")),"")</f>
        <v/>
      </c>
      <c r="AL443" s="13">
        <f>IF(AND(COUNT(B443:Z443)&gt;0,COUNT(AA443:AC443)&gt;0),"ruwe waarden én getypt: getypte genegeerd",IF(COUNTA(B443:Z443,AA443:AC443)&gt;COUNT(B443:Z443,AA443:AC443),"tekst telt niet mee",IF(COUNT(B443:Z443)=1,"1 waarde: geen R of s","")))</f>
        <v/>
      </c>
    </row>
    <row r="444">
      <c r="A444" t="n">
        <v>393</v>
      </c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28">
        <f>IF(COUNT(B444:Z444)&gt;0,COUNT(B444:Z444),IF(OR(ISNUMBER(AA444),ISNUMBER(AB444)),$B$9,""))</f>
        <v/>
      </c>
      <c r="AE444" s="29">
        <f>IF(COUNT(B444:Z444)&gt;0,AVERAGE(B444:Z444),IF(ISNUMBER(AA444),AA444,""))</f>
        <v/>
      </c>
      <c r="AF444" s="29">
        <f>IF(COUNT(B444:Z444)&gt;1,MAX(B444:Z444)-MIN(B444:Z444),IF(ISNUMBER(AB444),AB444,""))</f>
        <v/>
      </c>
      <c r="AG444" s="29">
        <f>IF(COUNT(B444:Z444)&gt;1,_xlfn.STDEV.S(B444:Z444),IF(ISNUMBER(AC444),AC444,""))</f>
        <v/>
      </c>
      <c r="AH444" s="13">
        <f>IF(AND(ISNUMBER(AE444),ISNUMBER($B$23),ISNUMBER($D$23)),IF(AE444&gt;$D$23,"boven UCL",IF(AE444&lt;$B$23,"onder LCL","")),"")</f>
        <v/>
      </c>
      <c r="AI444" s="13">
        <f>IF(AND(ISNUMBER(AF444),ISNUMBER($B$24),ISNUMBER($D$24)),IF(AF444&gt;$D$24,"boven UCL",IF(AF444&lt;$B$24,"onder LCL","")),"")</f>
        <v/>
      </c>
      <c r="AJ444" s="13">
        <f>IF(AND(ISNUMBER(AE444),ISNUMBER($B$25),ISNUMBER($D$25)),IF(AE444&gt;$D$25,"boven UCL",IF(AE444&lt;$B$25,"onder LCL","")),"")</f>
        <v/>
      </c>
      <c r="AK444" s="13">
        <f>IF(AND(ISNUMBER(AG444),ISNUMBER($B$26),ISNUMBER($D$26)),IF(AG444&gt;$D$26,"boven UCL",IF(AG444&lt;$B$26,"onder LCL","")),"")</f>
        <v/>
      </c>
      <c r="AL444" s="13">
        <f>IF(AND(COUNT(B444:Z444)&gt;0,COUNT(AA444:AC444)&gt;0),"ruwe waarden én getypt: getypte genegeerd",IF(COUNTA(B444:Z444,AA444:AC444)&gt;COUNT(B444:Z444,AA444:AC444),"tekst telt niet mee",IF(COUNT(B444:Z444)=1,"1 waarde: geen R of s","")))</f>
        <v/>
      </c>
    </row>
    <row r="445">
      <c r="A445" t="n">
        <v>394</v>
      </c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28">
        <f>IF(COUNT(B445:Z445)&gt;0,COUNT(B445:Z445),IF(OR(ISNUMBER(AA445),ISNUMBER(AB445)),$B$9,""))</f>
        <v/>
      </c>
      <c r="AE445" s="29">
        <f>IF(COUNT(B445:Z445)&gt;0,AVERAGE(B445:Z445),IF(ISNUMBER(AA445),AA445,""))</f>
        <v/>
      </c>
      <c r="AF445" s="29">
        <f>IF(COUNT(B445:Z445)&gt;1,MAX(B445:Z445)-MIN(B445:Z445),IF(ISNUMBER(AB445),AB445,""))</f>
        <v/>
      </c>
      <c r="AG445" s="29">
        <f>IF(COUNT(B445:Z445)&gt;1,_xlfn.STDEV.S(B445:Z445),IF(ISNUMBER(AC445),AC445,""))</f>
        <v/>
      </c>
      <c r="AH445" s="13">
        <f>IF(AND(ISNUMBER(AE445),ISNUMBER($B$23),ISNUMBER($D$23)),IF(AE445&gt;$D$23,"boven UCL",IF(AE445&lt;$B$23,"onder LCL","")),"")</f>
        <v/>
      </c>
      <c r="AI445" s="13">
        <f>IF(AND(ISNUMBER(AF445),ISNUMBER($B$24),ISNUMBER($D$24)),IF(AF445&gt;$D$24,"boven UCL",IF(AF445&lt;$B$24,"onder LCL","")),"")</f>
        <v/>
      </c>
      <c r="AJ445" s="13">
        <f>IF(AND(ISNUMBER(AE445),ISNUMBER($B$25),ISNUMBER($D$25)),IF(AE445&gt;$D$25,"boven UCL",IF(AE445&lt;$B$25,"onder LCL","")),"")</f>
        <v/>
      </c>
      <c r="AK445" s="13">
        <f>IF(AND(ISNUMBER(AG445),ISNUMBER($B$26),ISNUMBER($D$26)),IF(AG445&gt;$D$26,"boven UCL",IF(AG445&lt;$B$26,"onder LCL","")),"")</f>
        <v/>
      </c>
      <c r="AL445" s="13">
        <f>IF(AND(COUNT(B445:Z445)&gt;0,COUNT(AA445:AC445)&gt;0),"ruwe waarden én getypt: getypte genegeerd",IF(COUNTA(B445:Z445,AA445:AC445)&gt;COUNT(B445:Z445,AA445:AC445),"tekst telt niet mee",IF(COUNT(B445:Z445)=1,"1 waarde: geen R of s","")))</f>
        <v/>
      </c>
    </row>
    <row r="446">
      <c r="A446" t="n">
        <v>395</v>
      </c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28">
        <f>IF(COUNT(B446:Z446)&gt;0,COUNT(B446:Z446),IF(OR(ISNUMBER(AA446),ISNUMBER(AB446)),$B$9,""))</f>
        <v/>
      </c>
      <c r="AE446" s="29">
        <f>IF(COUNT(B446:Z446)&gt;0,AVERAGE(B446:Z446),IF(ISNUMBER(AA446),AA446,""))</f>
        <v/>
      </c>
      <c r="AF446" s="29">
        <f>IF(COUNT(B446:Z446)&gt;1,MAX(B446:Z446)-MIN(B446:Z446),IF(ISNUMBER(AB446),AB446,""))</f>
        <v/>
      </c>
      <c r="AG446" s="29">
        <f>IF(COUNT(B446:Z446)&gt;1,_xlfn.STDEV.S(B446:Z446),IF(ISNUMBER(AC446),AC446,""))</f>
        <v/>
      </c>
      <c r="AH446" s="13">
        <f>IF(AND(ISNUMBER(AE446),ISNUMBER($B$23),ISNUMBER($D$23)),IF(AE446&gt;$D$23,"boven UCL",IF(AE446&lt;$B$23,"onder LCL","")),"")</f>
        <v/>
      </c>
      <c r="AI446" s="13">
        <f>IF(AND(ISNUMBER(AF446),ISNUMBER($B$24),ISNUMBER($D$24)),IF(AF446&gt;$D$24,"boven UCL",IF(AF446&lt;$B$24,"onder LCL","")),"")</f>
        <v/>
      </c>
      <c r="AJ446" s="13">
        <f>IF(AND(ISNUMBER(AE446),ISNUMBER($B$25),ISNUMBER($D$25)),IF(AE446&gt;$D$25,"boven UCL",IF(AE446&lt;$B$25,"onder LCL","")),"")</f>
        <v/>
      </c>
      <c r="AK446" s="13">
        <f>IF(AND(ISNUMBER(AG446),ISNUMBER($B$26),ISNUMBER($D$26)),IF(AG446&gt;$D$26,"boven UCL",IF(AG446&lt;$B$26,"onder LCL","")),"")</f>
        <v/>
      </c>
      <c r="AL446" s="13">
        <f>IF(AND(COUNT(B446:Z446)&gt;0,COUNT(AA446:AC446)&gt;0),"ruwe waarden én getypt: getypte genegeerd",IF(COUNTA(B446:Z446,AA446:AC446)&gt;COUNT(B446:Z446,AA446:AC446),"tekst telt niet mee",IF(COUNT(B446:Z446)=1,"1 waarde: geen R of s","")))</f>
        <v/>
      </c>
    </row>
    <row r="447">
      <c r="A447" t="n">
        <v>396</v>
      </c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28">
        <f>IF(COUNT(B447:Z447)&gt;0,COUNT(B447:Z447),IF(OR(ISNUMBER(AA447),ISNUMBER(AB447)),$B$9,""))</f>
        <v/>
      </c>
      <c r="AE447" s="29">
        <f>IF(COUNT(B447:Z447)&gt;0,AVERAGE(B447:Z447),IF(ISNUMBER(AA447),AA447,""))</f>
        <v/>
      </c>
      <c r="AF447" s="29">
        <f>IF(COUNT(B447:Z447)&gt;1,MAX(B447:Z447)-MIN(B447:Z447),IF(ISNUMBER(AB447),AB447,""))</f>
        <v/>
      </c>
      <c r="AG447" s="29">
        <f>IF(COUNT(B447:Z447)&gt;1,_xlfn.STDEV.S(B447:Z447),IF(ISNUMBER(AC447),AC447,""))</f>
        <v/>
      </c>
      <c r="AH447" s="13">
        <f>IF(AND(ISNUMBER(AE447),ISNUMBER($B$23),ISNUMBER($D$23)),IF(AE447&gt;$D$23,"boven UCL",IF(AE447&lt;$B$23,"onder LCL","")),"")</f>
        <v/>
      </c>
      <c r="AI447" s="13">
        <f>IF(AND(ISNUMBER(AF447),ISNUMBER($B$24),ISNUMBER($D$24)),IF(AF447&gt;$D$24,"boven UCL",IF(AF447&lt;$B$24,"onder LCL","")),"")</f>
        <v/>
      </c>
      <c r="AJ447" s="13">
        <f>IF(AND(ISNUMBER(AE447),ISNUMBER($B$25),ISNUMBER($D$25)),IF(AE447&gt;$D$25,"boven UCL",IF(AE447&lt;$B$25,"onder LCL","")),"")</f>
        <v/>
      </c>
      <c r="AK447" s="13">
        <f>IF(AND(ISNUMBER(AG447),ISNUMBER($B$26),ISNUMBER($D$26)),IF(AG447&gt;$D$26,"boven UCL",IF(AG447&lt;$B$26,"onder LCL","")),"")</f>
        <v/>
      </c>
      <c r="AL447" s="13">
        <f>IF(AND(COUNT(B447:Z447)&gt;0,COUNT(AA447:AC447)&gt;0),"ruwe waarden én getypt: getypte genegeerd",IF(COUNTA(B447:Z447,AA447:AC447)&gt;COUNT(B447:Z447,AA447:AC447),"tekst telt niet mee",IF(COUNT(B447:Z447)=1,"1 waarde: geen R of s","")))</f>
        <v/>
      </c>
    </row>
    <row r="448">
      <c r="A448" t="n">
        <v>397</v>
      </c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28">
        <f>IF(COUNT(B448:Z448)&gt;0,COUNT(B448:Z448),IF(OR(ISNUMBER(AA448),ISNUMBER(AB448)),$B$9,""))</f>
        <v/>
      </c>
      <c r="AE448" s="29">
        <f>IF(COUNT(B448:Z448)&gt;0,AVERAGE(B448:Z448),IF(ISNUMBER(AA448),AA448,""))</f>
        <v/>
      </c>
      <c r="AF448" s="29">
        <f>IF(COUNT(B448:Z448)&gt;1,MAX(B448:Z448)-MIN(B448:Z448),IF(ISNUMBER(AB448),AB448,""))</f>
        <v/>
      </c>
      <c r="AG448" s="29">
        <f>IF(COUNT(B448:Z448)&gt;1,_xlfn.STDEV.S(B448:Z448),IF(ISNUMBER(AC448),AC448,""))</f>
        <v/>
      </c>
      <c r="AH448" s="13">
        <f>IF(AND(ISNUMBER(AE448),ISNUMBER($B$23),ISNUMBER($D$23)),IF(AE448&gt;$D$23,"boven UCL",IF(AE448&lt;$B$23,"onder LCL","")),"")</f>
        <v/>
      </c>
      <c r="AI448" s="13">
        <f>IF(AND(ISNUMBER(AF448),ISNUMBER($B$24),ISNUMBER($D$24)),IF(AF448&gt;$D$24,"boven UCL",IF(AF448&lt;$B$24,"onder LCL","")),"")</f>
        <v/>
      </c>
      <c r="AJ448" s="13">
        <f>IF(AND(ISNUMBER(AE448),ISNUMBER($B$25),ISNUMBER($D$25)),IF(AE448&gt;$D$25,"boven UCL",IF(AE448&lt;$B$25,"onder LCL","")),"")</f>
        <v/>
      </c>
      <c r="AK448" s="13">
        <f>IF(AND(ISNUMBER(AG448),ISNUMBER($B$26),ISNUMBER($D$26)),IF(AG448&gt;$D$26,"boven UCL",IF(AG448&lt;$B$26,"onder LCL","")),"")</f>
        <v/>
      </c>
      <c r="AL448" s="13">
        <f>IF(AND(COUNT(B448:Z448)&gt;0,COUNT(AA448:AC448)&gt;0),"ruwe waarden én getypt: getypte genegeerd",IF(COUNTA(B448:Z448,AA448:AC448)&gt;COUNT(B448:Z448,AA448:AC448),"tekst telt niet mee",IF(COUNT(B448:Z448)=1,"1 waarde: geen R of s","")))</f>
        <v/>
      </c>
    </row>
    <row r="449">
      <c r="A449" t="n">
        <v>398</v>
      </c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28">
        <f>IF(COUNT(B449:Z449)&gt;0,COUNT(B449:Z449),IF(OR(ISNUMBER(AA449),ISNUMBER(AB449)),$B$9,""))</f>
        <v/>
      </c>
      <c r="AE449" s="29">
        <f>IF(COUNT(B449:Z449)&gt;0,AVERAGE(B449:Z449),IF(ISNUMBER(AA449),AA449,""))</f>
        <v/>
      </c>
      <c r="AF449" s="29">
        <f>IF(COUNT(B449:Z449)&gt;1,MAX(B449:Z449)-MIN(B449:Z449),IF(ISNUMBER(AB449),AB449,""))</f>
        <v/>
      </c>
      <c r="AG449" s="29">
        <f>IF(COUNT(B449:Z449)&gt;1,_xlfn.STDEV.S(B449:Z449),IF(ISNUMBER(AC449),AC449,""))</f>
        <v/>
      </c>
      <c r="AH449" s="13">
        <f>IF(AND(ISNUMBER(AE449),ISNUMBER($B$23),ISNUMBER($D$23)),IF(AE449&gt;$D$23,"boven UCL",IF(AE449&lt;$B$23,"onder LCL","")),"")</f>
        <v/>
      </c>
      <c r="AI449" s="13">
        <f>IF(AND(ISNUMBER(AF449),ISNUMBER($B$24),ISNUMBER($D$24)),IF(AF449&gt;$D$24,"boven UCL",IF(AF449&lt;$B$24,"onder LCL","")),"")</f>
        <v/>
      </c>
      <c r="AJ449" s="13">
        <f>IF(AND(ISNUMBER(AE449),ISNUMBER($B$25),ISNUMBER($D$25)),IF(AE449&gt;$D$25,"boven UCL",IF(AE449&lt;$B$25,"onder LCL","")),"")</f>
        <v/>
      </c>
      <c r="AK449" s="13">
        <f>IF(AND(ISNUMBER(AG449),ISNUMBER($B$26),ISNUMBER($D$26)),IF(AG449&gt;$D$26,"boven UCL",IF(AG449&lt;$B$26,"onder LCL","")),"")</f>
        <v/>
      </c>
      <c r="AL449" s="13">
        <f>IF(AND(COUNT(B449:Z449)&gt;0,COUNT(AA449:AC449)&gt;0),"ruwe waarden én getypt: getypte genegeerd",IF(COUNTA(B449:Z449,AA449:AC449)&gt;COUNT(B449:Z449,AA449:AC449),"tekst telt niet mee",IF(COUNT(B449:Z449)=1,"1 waarde: geen R of s","")))</f>
        <v/>
      </c>
    </row>
    <row r="450">
      <c r="A450" t="n">
        <v>399</v>
      </c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28">
        <f>IF(COUNT(B450:Z450)&gt;0,COUNT(B450:Z450),IF(OR(ISNUMBER(AA450),ISNUMBER(AB450)),$B$9,""))</f>
        <v/>
      </c>
      <c r="AE450" s="29">
        <f>IF(COUNT(B450:Z450)&gt;0,AVERAGE(B450:Z450),IF(ISNUMBER(AA450),AA450,""))</f>
        <v/>
      </c>
      <c r="AF450" s="29">
        <f>IF(COUNT(B450:Z450)&gt;1,MAX(B450:Z450)-MIN(B450:Z450),IF(ISNUMBER(AB450),AB450,""))</f>
        <v/>
      </c>
      <c r="AG450" s="29">
        <f>IF(COUNT(B450:Z450)&gt;1,_xlfn.STDEV.S(B450:Z450),IF(ISNUMBER(AC450),AC450,""))</f>
        <v/>
      </c>
      <c r="AH450" s="13">
        <f>IF(AND(ISNUMBER(AE450),ISNUMBER($B$23),ISNUMBER($D$23)),IF(AE450&gt;$D$23,"boven UCL",IF(AE450&lt;$B$23,"onder LCL","")),"")</f>
        <v/>
      </c>
      <c r="AI450" s="13">
        <f>IF(AND(ISNUMBER(AF450),ISNUMBER($B$24),ISNUMBER($D$24)),IF(AF450&gt;$D$24,"boven UCL",IF(AF450&lt;$B$24,"onder LCL","")),"")</f>
        <v/>
      </c>
      <c r="AJ450" s="13">
        <f>IF(AND(ISNUMBER(AE450),ISNUMBER($B$25),ISNUMBER($D$25)),IF(AE450&gt;$D$25,"boven UCL",IF(AE450&lt;$B$25,"onder LCL","")),"")</f>
        <v/>
      </c>
      <c r="AK450" s="13">
        <f>IF(AND(ISNUMBER(AG450),ISNUMBER($B$26),ISNUMBER($D$26)),IF(AG450&gt;$D$26,"boven UCL",IF(AG450&lt;$B$26,"onder LCL","")),"")</f>
        <v/>
      </c>
      <c r="AL450" s="13">
        <f>IF(AND(COUNT(B450:Z450)&gt;0,COUNT(AA450:AC450)&gt;0),"ruwe waarden én getypt: getypte genegeerd",IF(COUNTA(B450:Z450,AA450:AC450)&gt;COUNT(B450:Z450,AA450:AC450),"tekst telt niet mee",IF(COUNT(B450:Z450)=1,"1 waarde: geen R of s","")))</f>
        <v/>
      </c>
    </row>
    <row r="451">
      <c r="A451" t="n">
        <v>400</v>
      </c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28">
        <f>IF(COUNT(B451:Z451)&gt;0,COUNT(B451:Z451),IF(OR(ISNUMBER(AA451),ISNUMBER(AB451)),$B$9,""))</f>
        <v/>
      </c>
      <c r="AE451" s="29">
        <f>IF(COUNT(B451:Z451)&gt;0,AVERAGE(B451:Z451),IF(ISNUMBER(AA451),AA451,""))</f>
        <v/>
      </c>
      <c r="AF451" s="29">
        <f>IF(COUNT(B451:Z451)&gt;1,MAX(B451:Z451)-MIN(B451:Z451),IF(ISNUMBER(AB451),AB451,""))</f>
        <v/>
      </c>
      <c r="AG451" s="29">
        <f>IF(COUNT(B451:Z451)&gt;1,_xlfn.STDEV.S(B451:Z451),IF(ISNUMBER(AC451),AC451,""))</f>
        <v/>
      </c>
      <c r="AH451" s="13">
        <f>IF(AND(ISNUMBER(AE451),ISNUMBER($B$23),ISNUMBER($D$23)),IF(AE451&gt;$D$23,"boven UCL",IF(AE451&lt;$B$23,"onder LCL","")),"")</f>
        <v/>
      </c>
      <c r="AI451" s="13">
        <f>IF(AND(ISNUMBER(AF451),ISNUMBER($B$24),ISNUMBER($D$24)),IF(AF451&gt;$D$24,"boven UCL",IF(AF451&lt;$B$24,"onder LCL","")),"")</f>
        <v/>
      </c>
      <c r="AJ451" s="13">
        <f>IF(AND(ISNUMBER(AE451),ISNUMBER($B$25),ISNUMBER($D$25)),IF(AE451&gt;$D$25,"boven UCL",IF(AE451&lt;$B$25,"onder LCL","")),"")</f>
        <v/>
      </c>
      <c r="AK451" s="13">
        <f>IF(AND(ISNUMBER(AG451),ISNUMBER($B$26),ISNUMBER($D$26)),IF(AG451&gt;$D$26,"boven UCL",IF(AG451&lt;$B$26,"onder LCL","")),"")</f>
        <v/>
      </c>
      <c r="AL451" s="13">
        <f>IF(AND(COUNT(B451:Z451)&gt;0,COUNT(AA451:AC451)&gt;0),"ruwe waarden én getypt: getypte genegeerd",IF(COUNTA(B451:Z451,AA451:AC451)&gt;COUNT(B451:Z451,AA451:AC451),"tekst telt niet mee",IF(COUNT(B451:Z451)=1,"1 waarde: geen R of s","")))</f>
        <v/>
      </c>
    </row>
    <row r="452">
      <c r="A452" t="n">
        <v>401</v>
      </c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28">
        <f>IF(COUNT(B452:Z452)&gt;0,COUNT(B452:Z452),IF(OR(ISNUMBER(AA452),ISNUMBER(AB452)),$B$9,""))</f>
        <v/>
      </c>
      <c r="AE452" s="29">
        <f>IF(COUNT(B452:Z452)&gt;0,AVERAGE(B452:Z452),IF(ISNUMBER(AA452),AA452,""))</f>
        <v/>
      </c>
      <c r="AF452" s="29">
        <f>IF(COUNT(B452:Z452)&gt;1,MAX(B452:Z452)-MIN(B452:Z452),IF(ISNUMBER(AB452),AB452,""))</f>
        <v/>
      </c>
      <c r="AG452" s="29">
        <f>IF(COUNT(B452:Z452)&gt;1,_xlfn.STDEV.S(B452:Z452),IF(ISNUMBER(AC452),AC452,""))</f>
        <v/>
      </c>
      <c r="AH452" s="13">
        <f>IF(AND(ISNUMBER(AE452),ISNUMBER($B$23),ISNUMBER($D$23)),IF(AE452&gt;$D$23,"boven UCL",IF(AE452&lt;$B$23,"onder LCL","")),"")</f>
        <v/>
      </c>
      <c r="AI452" s="13">
        <f>IF(AND(ISNUMBER(AF452),ISNUMBER($B$24),ISNUMBER($D$24)),IF(AF452&gt;$D$24,"boven UCL",IF(AF452&lt;$B$24,"onder LCL","")),"")</f>
        <v/>
      </c>
      <c r="AJ452" s="13">
        <f>IF(AND(ISNUMBER(AE452),ISNUMBER($B$25),ISNUMBER($D$25)),IF(AE452&gt;$D$25,"boven UCL",IF(AE452&lt;$B$25,"onder LCL","")),"")</f>
        <v/>
      </c>
      <c r="AK452" s="13">
        <f>IF(AND(ISNUMBER(AG452),ISNUMBER($B$26),ISNUMBER($D$26)),IF(AG452&gt;$D$26,"boven UCL",IF(AG452&lt;$B$26,"onder LCL","")),"")</f>
        <v/>
      </c>
      <c r="AL452" s="13">
        <f>IF(AND(COUNT(B452:Z452)&gt;0,COUNT(AA452:AC452)&gt;0),"ruwe waarden én getypt: getypte genegeerd",IF(COUNTA(B452:Z452,AA452:AC452)&gt;COUNT(B452:Z452,AA452:AC452),"tekst telt niet mee",IF(COUNT(B452:Z452)=1,"1 waarde: geen R of s","")))</f>
        <v/>
      </c>
    </row>
    <row r="453">
      <c r="A453" t="n">
        <v>402</v>
      </c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28">
        <f>IF(COUNT(B453:Z453)&gt;0,COUNT(B453:Z453),IF(OR(ISNUMBER(AA453),ISNUMBER(AB453)),$B$9,""))</f>
        <v/>
      </c>
      <c r="AE453" s="29">
        <f>IF(COUNT(B453:Z453)&gt;0,AVERAGE(B453:Z453),IF(ISNUMBER(AA453),AA453,""))</f>
        <v/>
      </c>
      <c r="AF453" s="29">
        <f>IF(COUNT(B453:Z453)&gt;1,MAX(B453:Z453)-MIN(B453:Z453),IF(ISNUMBER(AB453),AB453,""))</f>
        <v/>
      </c>
      <c r="AG453" s="29">
        <f>IF(COUNT(B453:Z453)&gt;1,_xlfn.STDEV.S(B453:Z453),IF(ISNUMBER(AC453),AC453,""))</f>
        <v/>
      </c>
      <c r="AH453" s="13">
        <f>IF(AND(ISNUMBER(AE453),ISNUMBER($B$23),ISNUMBER($D$23)),IF(AE453&gt;$D$23,"boven UCL",IF(AE453&lt;$B$23,"onder LCL","")),"")</f>
        <v/>
      </c>
      <c r="AI453" s="13">
        <f>IF(AND(ISNUMBER(AF453),ISNUMBER($B$24),ISNUMBER($D$24)),IF(AF453&gt;$D$24,"boven UCL",IF(AF453&lt;$B$24,"onder LCL","")),"")</f>
        <v/>
      </c>
      <c r="AJ453" s="13">
        <f>IF(AND(ISNUMBER(AE453),ISNUMBER($B$25),ISNUMBER($D$25)),IF(AE453&gt;$D$25,"boven UCL",IF(AE453&lt;$B$25,"onder LCL","")),"")</f>
        <v/>
      </c>
      <c r="AK453" s="13">
        <f>IF(AND(ISNUMBER(AG453),ISNUMBER($B$26),ISNUMBER($D$26)),IF(AG453&gt;$D$26,"boven UCL",IF(AG453&lt;$B$26,"onder LCL","")),"")</f>
        <v/>
      </c>
      <c r="AL453" s="13">
        <f>IF(AND(COUNT(B453:Z453)&gt;0,COUNT(AA453:AC453)&gt;0),"ruwe waarden én getypt: getypte genegeerd",IF(COUNTA(B453:Z453,AA453:AC453)&gt;COUNT(B453:Z453,AA453:AC453),"tekst telt niet mee",IF(COUNT(B453:Z453)=1,"1 waarde: geen R of s","")))</f>
        <v/>
      </c>
    </row>
    <row r="454">
      <c r="A454" t="n">
        <v>403</v>
      </c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28">
        <f>IF(COUNT(B454:Z454)&gt;0,COUNT(B454:Z454),IF(OR(ISNUMBER(AA454),ISNUMBER(AB454)),$B$9,""))</f>
        <v/>
      </c>
      <c r="AE454" s="29">
        <f>IF(COUNT(B454:Z454)&gt;0,AVERAGE(B454:Z454),IF(ISNUMBER(AA454),AA454,""))</f>
        <v/>
      </c>
      <c r="AF454" s="29">
        <f>IF(COUNT(B454:Z454)&gt;1,MAX(B454:Z454)-MIN(B454:Z454),IF(ISNUMBER(AB454),AB454,""))</f>
        <v/>
      </c>
      <c r="AG454" s="29">
        <f>IF(COUNT(B454:Z454)&gt;1,_xlfn.STDEV.S(B454:Z454),IF(ISNUMBER(AC454),AC454,""))</f>
        <v/>
      </c>
      <c r="AH454" s="13">
        <f>IF(AND(ISNUMBER(AE454),ISNUMBER($B$23),ISNUMBER($D$23)),IF(AE454&gt;$D$23,"boven UCL",IF(AE454&lt;$B$23,"onder LCL","")),"")</f>
        <v/>
      </c>
      <c r="AI454" s="13">
        <f>IF(AND(ISNUMBER(AF454),ISNUMBER($B$24),ISNUMBER($D$24)),IF(AF454&gt;$D$24,"boven UCL",IF(AF454&lt;$B$24,"onder LCL","")),"")</f>
        <v/>
      </c>
      <c r="AJ454" s="13">
        <f>IF(AND(ISNUMBER(AE454),ISNUMBER($B$25),ISNUMBER($D$25)),IF(AE454&gt;$D$25,"boven UCL",IF(AE454&lt;$B$25,"onder LCL","")),"")</f>
        <v/>
      </c>
      <c r="AK454" s="13">
        <f>IF(AND(ISNUMBER(AG454),ISNUMBER($B$26),ISNUMBER($D$26)),IF(AG454&gt;$D$26,"boven UCL",IF(AG454&lt;$B$26,"onder LCL","")),"")</f>
        <v/>
      </c>
      <c r="AL454" s="13">
        <f>IF(AND(COUNT(B454:Z454)&gt;0,COUNT(AA454:AC454)&gt;0),"ruwe waarden én getypt: getypte genegeerd",IF(COUNTA(B454:Z454,AA454:AC454)&gt;COUNT(B454:Z454,AA454:AC454),"tekst telt niet mee",IF(COUNT(B454:Z454)=1,"1 waarde: geen R of s","")))</f>
        <v/>
      </c>
    </row>
    <row r="455">
      <c r="A455" t="n">
        <v>404</v>
      </c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28">
        <f>IF(COUNT(B455:Z455)&gt;0,COUNT(B455:Z455),IF(OR(ISNUMBER(AA455),ISNUMBER(AB455)),$B$9,""))</f>
        <v/>
      </c>
      <c r="AE455" s="29">
        <f>IF(COUNT(B455:Z455)&gt;0,AVERAGE(B455:Z455),IF(ISNUMBER(AA455),AA455,""))</f>
        <v/>
      </c>
      <c r="AF455" s="29">
        <f>IF(COUNT(B455:Z455)&gt;1,MAX(B455:Z455)-MIN(B455:Z455),IF(ISNUMBER(AB455),AB455,""))</f>
        <v/>
      </c>
      <c r="AG455" s="29">
        <f>IF(COUNT(B455:Z455)&gt;1,_xlfn.STDEV.S(B455:Z455),IF(ISNUMBER(AC455),AC455,""))</f>
        <v/>
      </c>
      <c r="AH455" s="13">
        <f>IF(AND(ISNUMBER(AE455),ISNUMBER($B$23),ISNUMBER($D$23)),IF(AE455&gt;$D$23,"boven UCL",IF(AE455&lt;$B$23,"onder LCL","")),"")</f>
        <v/>
      </c>
      <c r="AI455" s="13">
        <f>IF(AND(ISNUMBER(AF455),ISNUMBER($B$24),ISNUMBER($D$24)),IF(AF455&gt;$D$24,"boven UCL",IF(AF455&lt;$B$24,"onder LCL","")),"")</f>
        <v/>
      </c>
      <c r="AJ455" s="13">
        <f>IF(AND(ISNUMBER(AE455),ISNUMBER($B$25),ISNUMBER($D$25)),IF(AE455&gt;$D$25,"boven UCL",IF(AE455&lt;$B$25,"onder LCL","")),"")</f>
        <v/>
      </c>
      <c r="AK455" s="13">
        <f>IF(AND(ISNUMBER(AG455),ISNUMBER($B$26),ISNUMBER($D$26)),IF(AG455&gt;$D$26,"boven UCL",IF(AG455&lt;$B$26,"onder LCL","")),"")</f>
        <v/>
      </c>
      <c r="AL455" s="13">
        <f>IF(AND(COUNT(B455:Z455)&gt;0,COUNT(AA455:AC455)&gt;0),"ruwe waarden én getypt: getypte genegeerd",IF(COUNTA(B455:Z455,AA455:AC455)&gt;COUNT(B455:Z455,AA455:AC455),"tekst telt niet mee",IF(COUNT(B455:Z455)=1,"1 waarde: geen R of s","")))</f>
        <v/>
      </c>
    </row>
    <row r="456">
      <c r="A456" t="n">
        <v>405</v>
      </c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28">
        <f>IF(COUNT(B456:Z456)&gt;0,COUNT(B456:Z456),IF(OR(ISNUMBER(AA456),ISNUMBER(AB456)),$B$9,""))</f>
        <v/>
      </c>
      <c r="AE456" s="29">
        <f>IF(COUNT(B456:Z456)&gt;0,AVERAGE(B456:Z456),IF(ISNUMBER(AA456),AA456,""))</f>
        <v/>
      </c>
      <c r="AF456" s="29">
        <f>IF(COUNT(B456:Z456)&gt;1,MAX(B456:Z456)-MIN(B456:Z456),IF(ISNUMBER(AB456),AB456,""))</f>
        <v/>
      </c>
      <c r="AG456" s="29">
        <f>IF(COUNT(B456:Z456)&gt;1,_xlfn.STDEV.S(B456:Z456),IF(ISNUMBER(AC456),AC456,""))</f>
        <v/>
      </c>
      <c r="AH456" s="13">
        <f>IF(AND(ISNUMBER(AE456),ISNUMBER($B$23),ISNUMBER($D$23)),IF(AE456&gt;$D$23,"boven UCL",IF(AE456&lt;$B$23,"onder LCL","")),"")</f>
        <v/>
      </c>
      <c r="AI456" s="13">
        <f>IF(AND(ISNUMBER(AF456),ISNUMBER($B$24),ISNUMBER($D$24)),IF(AF456&gt;$D$24,"boven UCL",IF(AF456&lt;$B$24,"onder LCL","")),"")</f>
        <v/>
      </c>
      <c r="AJ456" s="13">
        <f>IF(AND(ISNUMBER(AE456),ISNUMBER($B$25),ISNUMBER($D$25)),IF(AE456&gt;$D$25,"boven UCL",IF(AE456&lt;$B$25,"onder LCL","")),"")</f>
        <v/>
      </c>
      <c r="AK456" s="13">
        <f>IF(AND(ISNUMBER(AG456),ISNUMBER($B$26),ISNUMBER($D$26)),IF(AG456&gt;$D$26,"boven UCL",IF(AG456&lt;$B$26,"onder LCL","")),"")</f>
        <v/>
      </c>
      <c r="AL456" s="13">
        <f>IF(AND(COUNT(B456:Z456)&gt;0,COUNT(AA456:AC456)&gt;0),"ruwe waarden én getypt: getypte genegeerd",IF(COUNTA(B456:Z456,AA456:AC456)&gt;COUNT(B456:Z456,AA456:AC456),"tekst telt niet mee",IF(COUNT(B456:Z456)=1,"1 waarde: geen R of s","")))</f>
        <v/>
      </c>
    </row>
    <row r="457">
      <c r="A457" t="n">
        <v>406</v>
      </c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28">
        <f>IF(COUNT(B457:Z457)&gt;0,COUNT(B457:Z457),IF(OR(ISNUMBER(AA457),ISNUMBER(AB457)),$B$9,""))</f>
        <v/>
      </c>
      <c r="AE457" s="29">
        <f>IF(COUNT(B457:Z457)&gt;0,AVERAGE(B457:Z457),IF(ISNUMBER(AA457),AA457,""))</f>
        <v/>
      </c>
      <c r="AF457" s="29">
        <f>IF(COUNT(B457:Z457)&gt;1,MAX(B457:Z457)-MIN(B457:Z457),IF(ISNUMBER(AB457),AB457,""))</f>
        <v/>
      </c>
      <c r="AG457" s="29">
        <f>IF(COUNT(B457:Z457)&gt;1,_xlfn.STDEV.S(B457:Z457),IF(ISNUMBER(AC457),AC457,""))</f>
        <v/>
      </c>
      <c r="AH457" s="13">
        <f>IF(AND(ISNUMBER(AE457),ISNUMBER($B$23),ISNUMBER($D$23)),IF(AE457&gt;$D$23,"boven UCL",IF(AE457&lt;$B$23,"onder LCL","")),"")</f>
        <v/>
      </c>
      <c r="AI457" s="13">
        <f>IF(AND(ISNUMBER(AF457),ISNUMBER($B$24),ISNUMBER($D$24)),IF(AF457&gt;$D$24,"boven UCL",IF(AF457&lt;$B$24,"onder LCL","")),"")</f>
        <v/>
      </c>
      <c r="AJ457" s="13">
        <f>IF(AND(ISNUMBER(AE457),ISNUMBER($B$25),ISNUMBER($D$25)),IF(AE457&gt;$D$25,"boven UCL",IF(AE457&lt;$B$25,"onder LCL","")),"")</f>
        <v/>
      </c>
      <c r="AK457" s="13">
        <f>IF(AND(ISNUMBER(AG457),ISNUMBER($B$26),ISNUMBER($D$26)),IF(AG457&gt;$D$26,"boven UCL",IF(AG457&lt;$B$26,"onder LCL","")),"")</f>
        <v/>
      </c>
      <c r="AL457" s="13">
        <f>IF(AND(COUNT(B457:Z457)&gt;0,COUNT(AA457:AC457)&gt;0),"ruwe waarden én getypt: getypte genegeerd",IF(COUNTA(B457:Z457,AA457:AC457)&gt;COUNT(B457:Z457,AA457:AC457),"tekst telt niet mee",IF(COUNT(B457:Z457)=1,"1 waarde: geen R of s","")))</f>
        <v/>
      </c>
    </row>
    <row r="458">
      <c r="A458" t="n">
        <v>407</v>
      </c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28">
        <f>IF(COUNT(B458:Z458)&gt;0,COUNT(B458:Z458),IF(OR(ISNUMBER(AA458),ISNUMBER(AB458)),$B$9,""))</f>
        <v/>
      </c>
      <c r="AE458" s="29">
        <f>IF(COUNT(B458:Z458)&gt;0,AVERAGE(B458:Z458),IF(ISNUMBER(AA458),AA458,""))</f>
        <v/>
      </c>
      <c r="AF458" s="29">
        <f>IF(COUNT(B458:Z458)&gt;1,MAX(B458:Z458)-MIN(B458:Z458),IF(ISNUMBER(AB458),AB458,""))</f>
        <v/>
      </c>
      <c r="AG458" s="29">
        <f>IF(COUNT(B458:Z458)&gt;1,_xlfn.STDEV.S(B458:Z458),IF(ISNUMBER(AC458),AC458,""))</f>
        <v/>
      </c>
      <c r="AH458" s="13">
        <f>IF(AND(ISNUMBER(AE458),ISNUMBER($B$23),ISNUMBER($D$23)),IF(AE458&gt;$D$23,"boven UCL",IF(AE458&lt;$B$23,"onder LCL","")),"")</f>
        <v/>
      </c>
      <c r="AI458" s="13">
        <f>IF(AND(ISNUMBER(AF458),ISNUMBER($B$24),ISNUMBER($D$24)),IF(AF458&gt;$D$24,"boven UCL",IF(AF458&lt;$B$24,"onder LCL","")),"")</f>
        <v/>
      </c>
      <c r="AJ458" s="13">
        <f>IF(AND(ISNUMBER(AE458),ISNUMBER($B$25),ISNUMBER($D$25)),IF(AE458&gt;$D$25,"boven UCL",IF(AE458&lt;$B$25,"onder LCL","")),"")</f>
        <v/>
      </c>
      <c r="AK458" s="13">
        <f>IF(AND(ISNUMBER(AG458),ISNUMBER($B$26),ISNUMBER($D$26)),IF(AG458&gt;$D$26,"boven UCL",IF(AG458&lt;$B$26,"onder LCL","")),"")</f>
        <v/>
      </c>
      <c r="AL458" s="13">
        <f>IF(AND(COUNT(B458:Z458)&gt;0,COUNT(AA458:AC458)&gt;0),"ruwe waarden én getypt: getypte genegeerd",IF(COUNTA(B458:Z458,AA458:AC458)&gt;COUNT(B458:Z458,AA458:AC458),"tekst telt niet mee",IF(COUNT(B458:Z458)=1,"1 waarde: geen R of s","")))</f>
        <v/>
      </c>
    </row>
    <row r="459">
      <c r="A459" t="n">
        <v>408</v>
      </c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28">
        <f>IF(COUNT(B459:Z459)&gt;0,COUNT(B459:Z459),IF(OR(ISNUMBER(AA459),ISNUMBER(AB459)),$B$9,""))</f>
        <v/>
      </c>
      <c r="AE459" s="29">
        <f>IF(COUNT(B459:Z459)&gt;0,AVERAGE(B459:Z459),IF(ISNUMBER(AA459),AA459,""))</f>
        <v/>
      </c>
      <c r="AF459" s="29">
        <f>IF(COUNT(B459:Z459)&gt;1,MAX(B459:Z459)-MIN(B459:Z459),IF(ISNUMBER(AB459),AB459,""))</f>
        <v/>
      </c>
      <c r="AG459" s="29">
        <f>IF(COUNT(B459:Z459)&gt;1,_xlfn.STDEV.S(B459:Z459),IF(ISNUMBER(AC459),AC459,""))</f>
        <v/>
      </c>
      <c r="AH459" s="13">
        <f>IF(AND(ISNUMBER(AE459),ISNUMBER($B$23),ISNUMBER($D$23)),IF(AE459&gt;$D$23,"boven UCL",IF(AE459&lt;$B$23,"onder LCL","")),"")</f>
        <v/>
      </c>
      <c r="AI459" s="13">
        <f>IF(AND(ISNUMBER(AF459),ISNUMBER($B$24),ISNUMBER($D$24)),IF(AF459&gt;$D$24,"boven UCL",IF(AF459&lt;$B$24,"onder LCL","")),"")</f>
        <v/>
      </c>
      <c r="AJ459" s="13">
        <f>IF(AND(ISNUMBER(AE459),ISNUMBER($B$25),ISNUMBER($D$25)),IF(AE459&gt;$D$25,"boven UCL",IF(AE459&lt;$B$25,"onder LCL","")),"")</f>
        <v/>
      </c>
      <c r="AK459" s="13">
        <f>IF(AND(ISNUMBER(AG459),ISNUMBER($B$26),ISNUMBER($D$26)),IF(AG459&gt;$D$26,"boven UCL",IF(AG459&lt;$B$26,"onder LCL","")),"")</f>
        <v/>
      </c>
      <c r="AL459" s="13">
        <f>IF(AND(COUNT(B459:Z459)&gt;0,COUNT(AA459:AC459)&gt;0),"ruwe waarden én getypt: getypte genegeerd",IF(COUNTA(B459:Z459,AA459:AC459)&gt;COUNT(B459:Z459,AA459:AC459),"tekst telt niet mee",IF(COUNT(B459:Z459)=1,"1 waarde: geen R of s","")))</f>
        <v/>
      </c>
    </row>
    <row r="460">
      <c r="A460" t="n">
        <v>409</v>
      </c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28">
        <f>IF(COUNT(B460:Z460)&gt;0,COUNT(B460:Z460),IF(OR(ISNUMBER(AA460),ISNUMBER(AB460)),$B$9,""))</f>
        <v/>
      </c>
      <c r="AE460" s="29">
        <f>IF(COUNT(B460:Z460)&gt;0,AVERAGE(B460:Z460),IF(ISNUMBER(AA460),AA460,""))</f>
        <v/>
      </c>
      <c r="AF460" s="29">
        <f>IF(COUNT(B460:Z460)&gt;1,MAX(B460:Z460)-MIN(B460:Z460),IF(ISNUMBER(AB460),AB460,""))</f>
        <v/>
      </c>
      <c r="AG460" s="29">
        <f>IF(COUNT(B460:Z460)&gt;1,_xlfn.STDEV.S(B460:Z460),IF(ISNUMBER(AC460),AC460,""))</f>
        <v/>
      </c>
      <c r="AH460" s="13">
        <f>IF(AND(ISNUMBER(AE460),ISNUMBER($B$23),ISNUMBER($D$23)),IF(AE460&gt;$D$23,"boven UCL",IF(AE460&lt;$B$23,"onder LCL","")),"")</f>
        <v/>
      </c>
      <c r="AI460" s="13">
        <f>IF(AND(ISNUMBER(AF460),ISNUMBER($B$24),ISNUMBER($D$24)),IF(AF460&gt;$D$24,"boven UCL",IF(AF460&lt;$B$24,"onder LCL","")),"")</f>
        <v/>
      </c>
      <c r="AJ460" s="13">
        <f>IF(AND(ISNUMBER(AE460),ISNUMBER($B$25),ISNUMBER($D$25)),IF(AE460&gt;$D$25,"boven UCL",IF(AE460&lt;$B$25,"onder LCL","")),"")</f>
        <v/>
      </c>
      <c r="AK460" s="13">
        <f>IF(AND(ISNUMBER(AG460),ISNUMBER($B$26),ISNUMBER($D$26)),IF(AG460&gt;$D$26,"boven UCL",IF(AG460&lt;$B$26,"onder LCL","")),"")</f>
        <v/>
      </c>
      <c r="AL460" s="13">
        <f>IF(AND(COUNT(B460:Z460)&gt;0,COUNT(AA460:AC460)&gt;0),"ruwe waarden én getypt: getypte genegeerd",IF(COUNTA(B460:Z460,AA460:AC460)&gt;COUNT(B460:Z460,AA460:AC460),"tekst telt niet mee",IF(COUNT(B460:Z460)=1,"1 waarde: geen R of s","")))</f>
        <v/>
      </c>
    </row>
    <row r="461">
      <c r="A461" t="n">
        <v>410</v>
      </c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28">
        <f>IF(COUNT(B461:Z461)&gt;0,COUNT(B461:Z461),IF(OR(ISNUMBER(AA461),ISNUMBER(AB461)),$B$9,""))</f>
        <v/>
      </c>
      <c r="AE461" s="29">
        <f>IF(COUNT(B461:Z461)&gt;0,AVERAGE(B461:Z461),IF(ISNUMBER(AA461),AA461,""))</f>
        <v/>
      </c>
      <c r="AF461" s="29">
        <f>IF(COUNT(B461:Z461)&gt;1,MAX(B461:Z461)-MIN(B461:Z461),IF(ISNUMBER(AB461),AB461,""))</f>
        <v/>
      </c>
      <c r="AG461" s="29">
        <f>IF(COUNT(B461:Z461)&gt;1,_xlfn.STDEV.S(B461:Z461),IF(ISNUMBER(AC461),AC461,""))</f>
        <v/>
      </c>
      <c r="AH461" s="13">
        <f>IF(AND(ISNUMBER(AE461),ISNUMBER($B$23),ISNUMBER($D$23)),IF(AE461&gt;$D$23,"boven UCL",IF(AE461&lt;$B$23,"onder LCL","")),"")</f>
        <v/>
      </c>
      <c r="AI461" s="13">
        <f>IF(AND(ISNUMBER(AF461),ISNUMBER($B$24),ISNUMBER($D$24)),IF(AF461&gt;$D$24,"boven UCL",IF(AF461&lt;$B$24,"onder LCL","")),"")</f>
        <v/>
      </c>
      <c r="AJ461" s="13">
        <f>IF(AND(ISNUMBER(AE461),ISNUMBER($B$25),ISNUMBER($D$25)),IF(AE461&gt;$D$25,"boven UCL",IF(AE461&lt;$B$25,"onder LCL","")),"")</f>
        <v/>
      </c>
      <c r="AK461" s="13">
        <f>IF(AND(ISNUMBER(AG461),ISNUMBER($B$26),ISNUMBER($D$26)),IF(AG461&gt;$D$26,"boven UCL",IF(AG461&lt;$B$26,"onder LCL","")),"")</f>
        <v/>
      </c>
      <c r="AL461" s="13">
        <f>IF(AND(COUNT(B461:Z461)&gt;0,COUNT(AA461:AC461)&gt;0),"ruwe waarden én getypt: getypte genegeerd",IF(COUNTA(B461:Z461,AA461:AC461)&gt;COUNT(B461:Z461,AA461:AC461),"tekst telt niet mee",IF(COUNT(B461:Z461)=1,"1 waarde: geen R of s","")))</f>
        <v/>
      </c>
    </row>
    <row r="462">
      <c r="A462" t="n">
        <v>411</v>
      </c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28">
        <f>IF(COUNT(B462:Z462)&gt;0,COUNT(B462:Z462),IF(OR(ISNUMBER(AA462),ISNUMBER(AB462)),$B$9,""))</f>
        <v/>
      </c>
      <c r="AE462" s="29">
        <f>IF(COUNT(B462:Z462)&gt;0,AVERAGE(B462:Z462),IF(ISNUMBER(AA462),AA462,""))</f>
        <v/>
      </c>
      <c r="AF462" s="29">
        <f>IF(COUNT(B462:Z462)&gt;1,MAX(B462:Z462)-MIN(B462:Z462),IF(ISNUMBER(AB462),AB462,""))</f>
        <v/>
      </c>
      <c r="AG462" s="29">
        <f>IF(COUNT(B462:Z462)&gt;1,_xlfn.STDEV.S(B462:Z462),IF(ISNUMBER(AC462),AC462,""))</f>
        <v/>
      </c>
      <c r="AH462" s="13">
        <f>IF(AND(ISNUMBER(AE462),ISNUMBER($B$23),ISNUMBER($D$23)),IF(AE462&gt;$D$23,"boven UCL",IF(AE462&lt;$B$23,"onder LCL","")),"")</f>
        <v/>
      </c>
      <c r="AI462" s="13">
        <f>IF(AND(ISNUMBER(AF462),ISNUMBER($B$24),ISNUMBER($D$24)),IF(AF462&gt;$D$24,"boven UCL",IF(AF462&lt;$B$24,"onder LCL","")),"")</f>
        <v/>
      </c>
      <c r="AJ462" s="13">
        <f>IF(AND(ISNUMBER(AE462),ISNUMBER($B$25),ISNUMBER($D$25)),IF(AE462&gt;$D$25,"boven UCL",IF(AE462&lt;$B$25,"onder LCL","")),"")</f>
        <v/>
      </c>
      <c r="AK462" s="13">
        <f>IF(AND(ISNUMBER(AG462),ISNUMBER($B$26),ISNUMBER($D$26)),IF(AG462&gt;$D$26,"boven UCL",IF(AG462&lt;$B$26,"onder LCL","")),"")</f>
        <v/>
      </c>
      <c r="AL462" s="13">
        <f>IF(AND(COUNT(B462:Z462)&gt;0,COUNT(AA462:AC462)&gt;0),"ruwe waarden én getypt: getypte genegeerd",IF(COUNTA(B462:Z462,AA462:AC462)&gt;COUNT(B462:Z462,AA462:AC462),"tekst telt niet mee",IF(COUNT(B462:Z462)=1,"1 waarde: geen R of s","")))</f>
        <v/>
      </c>
    </row>
    <row r="463">
      <c r="A463" t="n">
        <v>412</v>
      </c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28">
        <f>IF(COUNT(B463:Z463)&gt;0,COUNT(B463:Z463),IF(OR(ISNUMBER(AA463),ISNUMBER(AB463)),$B$9,""))</f>
        <v/>
      </c>
      <c r="AE463" s="29">
        <f>IF(COUNT(B463:Z463)&gt;0,AVERAGE(B463:Z463),IF(ISNUMBER(AA463),AA463,""))</f>
        <v/>
      </c>
      <c r="AF463" s="29">
        <f>IF(COUNT(B463:Z463)&gt;1,MAX(B463:Z463)-MIN(B463:Z463),IF(ISNUMBER(AB463),AB463,""))</f>
        <v/>
      </c>
      <c r="AG463" s="29">
        <f>IF(COUNT(B463:Z463)&gt;1,_xlfn.STDEV.S(B463:Z463),IF(ISNUMBER(AC463),AC463,""))</f>
        <v/>
      </c>
      <c r="AH463" s="13">
        <f>IF(AND(ISNUMBER(AE463),ISNUMBER($B$23),ISNUMBER($D$23)),IF(AE463&gt;$D$23,"boven UCL",IF(AE463&lt;$B$23,"onder LCL","")),"")</f>
        <v/>
      </c>
      <c r="AI463" s="13">
        <f>IF(AND(ISNUMBER(AF463),ISNUMBER($B$24),ISNUMBER($D$24)),IF(AF463&gt;$D$24,"boven UCL",IF(AF463&lt;$B$24,"onder LCL","")),"")</f>
        <v/>
      </c>
      <c r="AJ463" s="13">
        <f>IF(AND(ISNUMBER(AE463),ISNUMBER($B$25),ISNUMBER($D$25)),IF(AE463&gt;$D$25,"boven UCL",IF(AE463&lt;$B$25,"onder LCL","")),"")</f>
        <v/>
      </c>
      <c r="AK463" s="13">
        <f>IF(AND(ISNUMBER(AG463),ISNUMBER($B$26),ISNUMBER($D$26)),IF(AG463&gt;$D$26,"boven UCL",IF(AG463&lt;$B$26,"onder LCL","")),"")</f>
        <v/>
      </c>
      <c r="AL463" s="13">
        <f>IF(AND(COUNT(B463:Z463)&gt;0,COUNT(AA463:AC463)&gt;0),"ruwe waarden én getypt: getypte genegeerd",IF(COUNTA(B463:Z463,AA463:AC463)&gt;COUNT(B463:Z463,AA463:AC463),"tekst telt niet mee",IF(COUNT(B463:Z463)=1,"1 waarde: geen R of s","")))</f>
        <v/>
      </c>
    </row>
    <row r="464">
      <c r="A464" t="n">
        <v>413</v>
      </c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28">
        <f>IF(COUNT(B464:Z464)&gt;0,COUNT(B464:Z464),IF(OR(ISNUMBER(AA464),ISNUMBER(AB464)),$B$9,""))</f>
        <v/>
      </c>
      <c r="AE464" s="29">
        <f>IF(COUNT(B464:Z464)&gt;0,AVERAGE(B464:Z464),IF(ISNUMBER(AA464),AA464,""))</f>
        <v/>
      </c>
      <c r="AF464" s="29">
        <f>IF(COUNT(B464:Z464)&gt;1,MAX(B464:Z464)-MIN(B464:Z464),IF(ISNUMBER(AB464),AB464,""))</f>
        <v/>
      </c>
      <c r="AG464" s="29">
        <f>IF(COUNT(B464:Z464)&gt;1,_xlfn.STDEV.S(B464:Z464),IF(ISNUMBER(AC464),AC464,""))</f>
        <v/>
      </c>
      <c r="AH464" s="13">
        <f>IF(AND(ISNUMBER(AE464),ISNUMBER($B$23),ISNUMBER($D$23)),IF(AE464&gt;$D$23,"boven UCL",IF(AE464&lt;$B$23,"onder LCL","")),"")</f>
        <v/>
      </c>
      <c r="AI464" s="13">
        <f>IF(AND(ISNUMBER(AF464),ISNUMBER($B$24),ISNUMBER($D$24)),IF(AF464&gt;$D$24,"boven UCL",IF(AF464&lt;$B$24,"onder LCL","")),"")</f>
        <v/>
      </c>
      <c r="AJ464" s="13">
        <f>IF(AND(ISNUMBER(AE464),ISNUMBER($B$25),ISNUMBER($D$25)),IF(AE464&gt;$D$25,"boven UCL",IF(AE464&lt;$B$25,"onder LCL","")),"")</f>
        <v/>
      </c>
      <c r="AK464" s="13">
        <f>IF(AND(ISNUMBER(AG464),ISNUMBER($B$26),ISNUMBER($D$26)),IF(AG464&gt;$D$26,"boven UCL",IF(AG464&lt;$B$26,"onder LCL","")),"")</f>
        <v/>
      </c>
      <c r="AL464" s="13">
        <f>IF(AND(COUNT(B464:Z464)&gt;0,COUNT(AA464:AC464)&gt;0),"ruwe waarden én getypt: getypte genegeerd",IF(COUNTA(B464:Z464,AA464:AC464)&gt;COUNT(B464:Z464,AA464:AC464),"tekst telt niet mee",IF(COUNT(B464:Z464)=1,"1 waarde: geen R of s","")))</f>
        <v/>
      </c>
    </row>
    <row r="465">
      <c r="A465" t="n">
        <v>414</v>
      </c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28">
        <f>IF(COUNT(B465:Z465)&gt;0,COUNT(B465:Z465),IF(OR(ISNUMBER(AA465),ISNUMBER(AB465)),$B$9,""))</f>
        <v/>
      </c>
      <c r="AE465" s="29">
        <f>IF(COUNT(B465:Z465)&gt;0,AVERAGE(B465:Z465),IF(ISNUMBER(AA465),AA465,""))</f>
        <v/>
      </c>
      <c r="AF465" s="29">
        <f>IF(COUNT(B465:Z465)&gt;1,MAX(B465:Z465)-MIN(B465:Z465),IF(ISNUMBER(AB465),AB465,""))</f>
        <v/>
      </c>
      <c r="AG465" s="29">
        <f>IF(COUNT(B465:Z465)&gt;1,_xlfn.STDEV.S(B465:Z465),IF(ISNUMBER(AC465),AC465,""))</f>
        <v/>
      </c>
      <c r="AH465" s="13">
        <f>IF(AND(ISNUMBER(AE465),ISNUMBER($B$23),ISNUMBER($D$23)),IF(AE465&gt;$D$23,"boven UCL",IF(AE465&lt;$B$23,"onder LCL","")),"")</f>
        <v/>
      </c>
      <c r="AI465" s="13">
        <f>IF(AND(ISNUMBER(AF465),ISNUMBER($B$24),ISNUMBER($D$24)),IF(AF465&gt;$D$24,"boven UCL",IF(AF465&lt;$B$24,"onder LCL","")),"")</f>
        <v/>
      </c>
      <c r="AJ465" s="13">
        <f>IF(AND(ISNUMBER(AE465),ISNUMBER($B$25),ISNUMBER($D$25)),IF(AE465&gt;$D$25,"boven UCL",IF(AE465&lt;$B$25,"onder LCL","")),"")</f>
        <v/>
      </c>
      <c r="AK465" s="13">
        <f>IF(AND(ISNUMBER(AG465),ISNUMBER($B$26),ISNUMBER($D$26)),IF(AG465&gt;$D$26,"boven UCL",IF(AG465&lt;$B$26,"onder LCL","")),"")</f>
        <v/>
      </c>
      <c r="AL465" s="13">
        <f>IF(AND(COUNT(B465:Z465)&gt;0,COUNT(AA465:AC465)&gt;0),"ruwe waarden én getypt: getypte genegeerd",IF(COUNTA(B465:Z465,AA465:AC465)&gt;COUNT(B465:Z465,AA465:AC465),"tekst telt niet mee",IF(COUNT(B465:Z465)=1,"1 waarde: geen R of s","")))</f>
        <v/>
      </c>
    </row>
    <row r="466">
      <c r="A466" t="n">
        <v>415</v>
      </c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28">
        <f>IF(COUNT(B466:Z466)&gt;0,COUNT(B466:Z466),IF(OR(ISNUMBER(AA466),ISNUMBER(AB466)),$B$9,""))</f>
        <v/>
      </c>
      <c r="AE466" s="29">
        <f>IF(COUNT(B466:Z466)&gt;0,AVERAGE(B466:Z466),IF(ISNUMBER(AA466),AA466,""))</f>
        <v/>
      </c>
      <c r="AF466" s="29">
        <f>IF(COUNT(B466:Z466)&gt;1,MAX(B466:Z466)-MIN(B466:Z466),IF(ISNUMBER(AB466),AB466,""))</f>
        <v/>
      </c>
      <c r="AG466" s="29">
        <f>IF(COUNT(B466:Z466)&gt;1,_xlfn.STDEV.S(B466:Z466),IF(ISNUMBER(AC466),AC466,""))</f>
        <v/>
      </c>
      <c r="AH466" s="13">
        <f>IF(AND(ISNUMBER(AE466),ISNUMBER($B$23),ISNUMBER($D$23)),IF(AE466&gt;$D$23,"boven UCL",IF(AE466&lt;$B$23,"onder LCL","")),"")</f>
        <v/>
      </c>
      <c r="AI466" s="13">
        <f>IF(AND(ISNUMBER(AF466),ISNUMBER($B$24),ISNUMBER($D$24)),IF(AF466&gt;$D$24,"boven UCL",IF(AF466&lt;$B$24,"onder LCL","")),"")</f>
        <v/>
      </c>
      <c r="AJ466" s="13">
        <f>IF(AND(ISNUMBER(AE466),ISNUMBER($B$25),ISNUMBER($D$25)),IF(AE466&gt;$D$25,"boven UCL",IF(AE466&lt;$B$25,"onder LCL","")),"")</f>
        <v/>
      </c>
      <c r="AK466" s="13">
        <f>IF(AND(ISNUMBER(AG466),ISNUMBER($B$26),ISNUMBER($D$26)),IF(AG466&gt;$D$26,"boven UCL",IF(AG466&lt;$B$26,"onder LCL","")),"")</f>
        <v/>
      </c>
      <c r="AL466" s="13">
        <f>IF(AND(COUNT(B466:Z466)&gt;0,COUNT(AA466:AC466)&gt;0),"ruwe waarden én getypt: getypte genegeerd",IF(COUNTA(B466:Z466,AA466:AC466)&gt;COUNT(B466:Z466,AA466:AC466),"tekst telt niet mee",IF(COUNT(B466:Z466)=1,"1 waarde: geen R of s","")))</f>
        <v/>
      </c>
    </row>
    <row r="467">
      <c r="A467" t="n">
        <v>416</v>
      </c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28">
        <f>IF(COUNT(B467:Z467)&gt;0,COUNT(B467:Z467),IF(OR(ISNUMBER(AA467),ISNUMBER(AB467)),$B$9,""))</f>
        <v/>
      </c>
      <c r="AE467" s="29">
        <f>IF(COUNT(B467:Z467)&gt;0,AVERAGE(B467:Z467),IF(ISNUMBER(AA467),AA467,""))</f>
        <v/>
      </c>
      <c r="AF467" s="29">
        <f>IF(COUNT(B467:Z467)&gt;1,MAX(B467:Z467)-MIN(B467:Z467),IF(ISNUMBER(AB467),AB467,""))</f>
        <v/>
      </c>
      <c r="AG467" s="29">
        <f>IF(COUNT(B467:Z467)&gt;1,_xlfn.STDEV.S(B467:Z467),IF(ISNUMBER(AC467),AC467,""))</f>
        <v/>
      </c>
      <c r="AH467" s="13">
        <f>IF(AND(ISNUMBER(AE467),ISNUMBER($B$23),ISNUMBER($D$23)),IF(AE467&gt;$D$23,"boven UCL",IF(AE467&lt;$B$23,"onder LCL","")),"")</f>
        <v/>
      </c>
      <c r="AI467" s="13">
        <f>IF(AND(ISNUMBER(AF467),ISNUMBER($B$24),ISNUMBER($D$24)),IF(AF467&gt;$D$24,"boven UCL",IF(AF467&lt;$B$24,"onder LCL","")),"")</f>
        <v/>
      </c>
      <c r="AJ467" s="13">
        <f>IF(AND(ISNUMBER(AE467),ISNUMBER($B$25),ISNUMBER($D$25)),IF(AE467&gt;$D$25,"boven UCL",IF(AE467&lt;$B$25,"onder LCL","")),"")</f>
        <v/>
      </c>
      <c r="AK467" s="13">
        <f>IF(AND(ISNUMBER(AG467),ISNUMBER($B$26),ISNUMBER($D$26)),IF(AG467&gt;$D$26,"boven UCL",IF(AG467&lt;$B$26,"onder LCL","")),"")</f>
        <v/>
      </c>
      <c r="AL467" s="13">
        <f>IF(AND(COUNT(B467:Z467)&gt;0,COUNT(AA467:AC467)&gt;0),"ruwe waarden én getypt: getypte genegeerd",IF(COUNTA(B467:Z467,AA467:AC467)&gt;COUNT(B467:Z467,AA467:AC467),"tekst telt niet mee",IF(COUNT(B467:Z467)=1,"1 waarde: geen R of s","")))</f>
        <v/>
      </c>
    </row>
    <row r="468">
      <c r="A468" t="n">
        <v>417</v>
      </c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28">
        <f>IF(COUNT(B468:Z468)&gt;0,COUNT(B468:Z468),IF(OR(ISNUMBER(AA468),ISNUMBER(AB468)),$B$9,""))</f>
        <v/>
      </c>
      <c r="AE468" s="29">
        <f>IF(COUNT(B468:Z468)&gt;0,AVERAGE(B468:Z468),IF(ISNUMBER(AA468),AA468,""))</f>
        <v/>
      </c>
      <c r="AF468" s="29">
        <f>IF(COUNT(B468:Z468)&gt;1,MAX(B468:Z468)-MIN(B468:Z468),IF(ISNUMBER(AB468),AB468,""))</f>
        <v/>
      </c>
      <c r="AG468" s="29">
        <f>IF(COUNT(B468:Z468)&gt;1,_xlfn.STDEV.S(B468:Z468),IF(ISNUMBER(AC468),AC468,""))</f>
        <v/>
      </c>
      <c r="AH468" s="13">
        <f>IF(AND(ISNUMBER(AE468),ISNUMBER($B$23),ISNUMBER($D$23)),IF(AE468&gt;$D$23,"boven UCL",IF(AE468&lt;$B$23,"onder LCL","")),"")</f>
        <v/>
      </c>
      <c r="AI468" s="13">
        <f>IF(AND(ISNUMBER(AF468),ISNUMBER($B$24),ISNUMBER($D$24)),IF(AF468&gt;$D$24,"boven UCL",IF(AF468&lt;$B$24,"onder LCL","")),"")</f>
        <v/>
      </c>
      <c r="AJ468" s="13">
        <f>IF(AND(ISNUMBER(AE468),ISNUMBER($B$25),ISNUMBER($D$25)),IF(AE468&gt;$D$25,"boven UCL",IF(AE468&lt;$B$25,"onder LCL","")),"")</f>
        <v/>
      </c>
      <c r="AK468" s="13">
        <f>IF(AND(ISNUMBER(AG468),ISNUMBER($B$26),ISNUMBER($D$26)),IF(AG468&gt;$D$26,"boven UCL",IF(AG468&lt;$B$26,"onder LCL","")),"")</f>
        <v/>
      </c>
      <c r="AL468" s="13">
        <f>IF(AND(COUNT(B468:Z468)&gt;0,COUNT(AA468:AC468)&gt;0),"ruwe waarden én getypt: getypte genegeerd",IF(COUNTA(B468:Z468,AA468:AC468)&gt;COUNT(B468:Z468,AA468:AC468),"tekst telt niet mee",IF(COUNT(B468:Z468)=1,"1 waarde: geen R of s","")))</f>
        <v/>
      </c>
    </row>
    <row r="469">
      <c r="A469" t="n">
        <v>418</v>
      </c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28">
        <f>IF(COUNT(B469:Z469)&gt;0,COUNT(B469:Z469),IF(OR(ISNUMBER(AA469),ISNUMBER(AB469)),$B$9,""))</f>
        <v/>
      </c>
      <c r="AE469" s="29">
        <f>IF(COUNT(B469:Z469)&gt;0,AVERAGE(B469:Z469),IF(ISNUMBER(AA469),AA469,""))</f>
        <v/>
      </c>
      <c r="AF469" s="29">
        <f>IF(COUNT(B469:Z469)&gt;1,MAX(B469:Z469)-MIN(B469:Z469),IF(ISNUMBER(AB469),AB469,""))</f>
        <v/>
      </c>
      <c r="AG469" s="29">
        <f>IF(COUNT(B469:Z469)&gt;1,_xlfn.STDEV.S(B469:Z469),IF(ISNUMBER(AC469),AC469,""))</f>
        <v/>
      </c>
      <c r="AH469" s="13">
        <f>IF(AND(ISNUMBER(AE469),ISNUMBER($B$23),ISNUMBER($D$23)),IF(AE469&gt;$D$23,"boven UCL",IF(AE469&lt;$B$23,"onder LCL","")),"")</f>
        <v/>
      </c>
      <c r="AI469" s="13">
        <f>IF(AND(ISNUMBER(AF469),ISNUMBER($B$24),ISNUMBER($D$24)),IF(AF469&gt;$D$24,"boven UCL",IF(AF469&lt;$B$24,"onder LCL","")),"")</f>
        <v/>
      </c>
      <c r="AJ469" s="13">
        <f>IF(AND(ISNUMBER(AE469),ISNUMBER($B$25),ISNUMBER($D$25)),IF(AE469&gt;$D$25,"boven UCL",IF(AE469&lt;$B$25,"onder LCL","")),"")</f>
        <v/>
      </c>
      <c r="AK469" s="13">
        <f>IF(AND(ISNUMBER(AG469),ISNUMBER($B$26),ISNUMBER($D$26)),IF(AG469&gt;$D$26,"boven UCL",IF(AG469&lt;$B$26,"onder LCL","")),"")</f>
        <v/>
      </c>
      <c r="AL469" s="13">
        <f>IF(AND(COUNT(B469:Z469)&gt;0,COUNT(AA469:AC469)&gt;0),"ruwe waarden én getypt: getypte genegeerd",IF(COUNTA(B469:Z469,AA469:AC469)&gt;COUNT(B469:Z469,AA469:AC469),"tekst telt niet mee",IF(COUNT(B469:Z469)=1,"1 waarde: geen R of s","")))</f>
        <v/>
      </c>
    </row>
    <row r="470">
      <c r="A470" t="n">
        <v>419</v>
      </c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28">
        <f>IF(COUNT(B470:Z470)&gt;0,COUNT(B470:Z470),IF(OR(ISNUMBER(AA470),ISNUMBER(AB470)),$B$9,""))</f>
        <v/>
      </c>
      <c r="AE470" s="29">
        <f>IF(COUNT(B470:Z470)&gt;0,AVERAGE(B470:Z470),IF(ISNUMBER(AA470),AA470,""))</f>
        <v/>
      </c>
      <c r="AF470" s="29">
        <f>IF(COUNT(B470:Z470)&gt;1,MAX(B470:Z470)-MIN(B470:Z470),IF(ISNUMBER(AB470),AB470,""))</f>
        <v/>
      </c>
      <c r="AG470" s="29">
        <f>IF(COUNT(B470:Z470)&gt;1,_xlfn.STDEV.S(B470:Z470),IF(ISNUMBER(AC470),AC470,""))</f>
        <v/>
      </c>
      <c r="AH470" s="13">
        <f>IF(AND(ISNUMBER(AE470),ISNUMBER($B$23),ISNUMBER($D$23)),IF(AE470&gt;$D$23,"boven UCL",IF(AE470&lt;$B$23,"onder LCL","")),"")</f>
        <v/>
      </c>
      <c r="AI470" s="13">
        <f>IF(AND(ISNUMBER(AF470),ISNUMBER($B$24),ISNUMBER($D$24)),IF(AF470&gt;$D$24,"boven UCL",IF(AF470&lt;$B$24,"onder LCL","")),"")</f>
        <v/>
      </c>
      <c r="AJ470" s="13">
        <f>IF(AND(ISNUMBER(AE470),ISNUMBER($B$25),ISNUMBER($D$25)),IF(AE470&gt;$D$25,"boven UCL",IF(AE470&lt;$B$25,"onder LCL","")),"")</f>
        <v/>
      </c>
      <c r="AK470" s="13">
        <f>IF(AND(ISNUMBER(AG470),ISNUMBER($B$26),ISNUMBER($D$26)),IF(AG470&gt;$D$26,"boven UCL",IF(AG470&lt;$B$26,"onder LCL","")),"")</f>
        <v/>
      </c>
      <c r="AL470" s="13">
        <f>IF(AND(COUNT(B470:Z470)&gt;0,COUNT(AA470:AC470)&gt;0),"ruwe waarden én getypt: getypte genegeerd",IF(COUNTA(B470:Z470,AA470:AC470)&gt;COUNT(B470:Z470,AA470:AC470),"tekst telt niet mee",IF(COUNT(B470:Z470)=1,"1 waarde: geen R of s","")))</f>
        <v/>
      </c>
    </row>
    <row r="471">
      <c r="A471" t="n">
        <v>420</v>
      </c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28">
        <f>IF(COUNT(B471:Z471)&gt;0,COUNT(B471:Z471),IF(OR(ISNUMBER(AA471),ISNUMBER(AB471)),$B$9,""))</f>
        <v/>
      </c>
      <c r="AE471" s="29">
        <f>IF(COUNT(B471:Z471)&gt;0,AVERAGE(B471:Z471),IF(ISNUMBER(AA471),AA471,""))</f>
        <v/>
      </c>
      <c r="AF471" s="29">
        <f>IF(COUNT(B471:Z471)&gt;1,MAX(B471:Z471)-MIN(B471:Z471),IF(ISNUMBER(AB471),AB471,""))</f>
        <v/>
      </c>
      <c r="AG471" s="29">
        <f>IF(COUNT(B471:Z471)&gt;1,_xlfn.STDEV.S(B471:Z471),IF(ISNUMBER(AC471),AC471,""))</f>
        <v/>
      </c>
      <c r="AH471" s="13">
        <f>IF(AND(ISNUMBER(AE471),ISNUMBER($B$23),ISNUMBER($D$23)),IF(AE471&gt;$D$23,"boven UCL",IF(AE471&lt;$B$23,"onder LCL","")),"")</f>
        <v/>
      </c>
      <c r="AI471" s="13">
        <f>IF(AND(ISNUMBER(AF471),ISNUMBER($B$24),ISNUMBER($D$24)),IF(AF471&gt;$D$24,"boven UCL",IF(AF471&lt;$B$24,"onder LCL","")),"")</f>
        <v/>
      </c>
      <c r="AJ471" s="13">
        <f>IF(AND(ISNUMBER(AE471),ISNUMBER($B$25),ISNUMBER($D$25)),IF(AE471&gt;$D$25,"boven UCL",IF(AE471&lt;$B$25,"onder LCL","")),"")</f>
        <v/>
      </c>
      <c r="AK471" s="13">
        <f>IF(AND(ISNUMBER(AG471),ISNUMBER($B$26),ISNUMBER($D$26)),IF(AG471&gt;$D$26,"boven UCL",IF(AG471&lt;$B$26,"onder LCL","")),"")</f>
        <v/>
      </c>
      <c r="AL471" s="13">
        <f>IF(AND(COUNT(B471:Z471)&gt;0,COUNT(AA471:AC471)&gt;0),"ruwe waarden én getypt: getypte genegeerd",IF(COUNTA(B471:Z471,AA471:AC471)&gt;COUNT(B471:Z471,AA471:AC471),"tekst telt niet mee",IF(COUNT(B471:Z471)=1,"1 waarde: geen R of s","")))</f>
        <v/>
      </c>
    </row>
    <row r="472">
      <c r="A472" t="n">
        <v>421</v>
      </c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28">
        <f>IF(COUNT(B472:Z472)&gt;0,COUNT(B472:Z472),IF(OR(ISNUMBER(AA472),ISNUMBER(AB472)),$B$9,""))</f>
        <v/>
      </c>
      <c r="AE472" s="29">
        <f>IF(COUNT(B472:Z472)&gt;0,AVERAGE(B472:Z472),IF(ISNUMBER(AA472),AA472,""))</f>
        <v/>
      </c>
      <c r="AF472" s="29">
        <f>IF(COUNT(B472:Z472)&gt;1,MAX(B472:Z472)-MIN(B472:Z472),IF(ISNUMBER(AB472),AB472,""))</f>
        <v/>
      </c>
      <c r="AG472" s="29">
        <f>IF(COUNT(B472:Z472)&gt;1,_xlfn.STDEV.S(B472:Z472),IF(ISNUMBER(AC472),AC472,""))</f>
        <v/>
      </c>
      <c r="AH472" s="13">
        <f>IF(AND(ISNUMBER(AE472),ISNUMBER($B$23),ISNUMBER($D$23)),IF(AE472&gt;$D$23,"boven UCL",IF(AE472&lt;$B$23,"onder LCL","")),"")</f>
        <v/>
      </c>
      <c r="AI472" s="13">
        <f>IF(AND(ISNUMBER(AF472),ISNUMBER($B$24),ISNUMBER($D$24)),IF(AF472&gt;$D$24,"boven UCL",IF(AF472&lt;$B$24,"onder LCL","")),"")</f>
        <v/>
      </c>
      <c r="AJ472" s="13">
        <f>IF(AND(ISNUMBER(AE472),ISNUMBER($B$25),ISNUMBER($D$25)),IF(AE472&gt;$D$25,"boven UCL",IF(AE472&lt;$B$25,"onder LCL","")),"")</f>
        <v/>
      </c>
      <c r="AK472" s="13">
        <f>IF(AND(ISNUMBER(AG472),ISNUMBER($B$26),ISNUMBER($D$26)),IF(AG472&gt;$D$26,"boven UCL",IF(AG472&lt;$B$26,"onder LCL","")),"")</f>
        <v/>
      </c>
      <c r="AL472" s="13">
        <f>IF(AND(COUNT(B472:Z472)&gt;0,COUNT(AA472:AC472)&gt;0),"ruwe waarden én getypt: getypte genegeerd",IF(COUNTA(B472:Z472,AA472:AC472)&gt;COUNT(B472:Z472,AA472:AC472),"tekst telt niet mee",IF(COUNT(B472:Z472)=1,"1 waarde: geen R of s","")))</f>
        <v/>
      </c>
    </row>
    <row r="473">
      <c r="A473" t="n">
        <v>422</v>
      </c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28">
        <f>IF(COUNT(B473:Z473)&gt;0,COUNT(B473:Z473),IF(OR(ISNUMBER(AA473),ISNUMBER(AB473)),$B$9,""))</f>
        <v/>
      </c>
      <c r="AE473" s="29">
        <f>IF(COUNT(B473:Z473)&gt;0,AVERAGE(B473:Z473),IF(ISNUMBER(AA473),AA473,""))</f>
        <v/>
      </c>
      <c r="AF473" s="29">
        <f>IF(COUNT(B473:Z473)&gt;1,MAX(B473:Z473)-MIN(B473:Z473),IF(ISNUMBER(AB473),AB473,""))</f>
        <v/>
      </c>
      <c r="AG473" s="29">
        <f>IF(COUNT(B473:Z473)&gt;1,_xlfn.STDEV.S(B473:Z473),IF(ISNUMBER(AC473),AC473,""))</f>
        <v/>
      </c>
      <c r="AH473" s="13">
        <f>IF(AND(ISNUMBER(AE473),ISNUMBER($B$23),ISNUMBER($D$23)),IF(AE473&gt;$D$23,"boven UCL",IF(AE473&lt;$B$23,"onder LCL","")),"")</f>
        <v/>
      </c>
      <c r="AI473" s="13">
        <f>IF(AND(ISNUMBER(AF473),ISNUMBER($B$24),ISNUMBER($D$24)),IF(AF473&gt;$D$24,"boven UCL",IF(AF473&lt;$B$24,"onder LCL","")),"")</f>
        <v/>
      </c>
      <c r="AJ473" s="13">
        <f>IF(AND(ISNUMBER(AE473),ISNUMBER($B$25),ISNUMBER($D$25)),IF(AE473&gt;$D$25,"boven UCL",IF(AE473&lt;$B$25,"onder LCL","")),"")</f>
        <v/>
      </c>
      <c r="AK473" s="13">
        <f>IF(AND(ISNUMBER(AG473),ISNUMBER($B$26),ISNUMBER($D$26)),IF(AG473&gt;$D$26,"boven UCL",IF(AG473&lt;$B$26,"onder LCL","")),"")</f>
        <v/>
      </c>
      <c r="AL473" s="13">
        <f>IF(AND(COUNT(B473:Z473)&gt;0,COUNT(AA473:AC473)&gt;0),"ruwe waarden én getypt: getypte genegeerd",IF(COUNTA(B473:Z473,AA473:AC473)&gt;COUNT(B473:Z473,AA473:AC473),"tekst telt niet mee",IF(COUNT(B473:Z473)=1,"1 waarde: geen R of s","")))</f>
        <v/>
      </c>
    </row>
    <row r="474">
      <c r="A474" t="n">
        <v>423</v>
      </c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28">
        <f>IF(COUNT(B474:Z474)&gt;0,COUNT(B474:Z474),IF(OR(ISNUMBER(AA474),ISNUMBER(AB474)),$B$9,""))</f>
        <v/>
      </c>
      <c r="AE474" s="29">
        <f>IF(COUNT(B474:Z474)&gt;0,AVERAGE(B474:Z474),IF(ISNUMBER(AA474),AA474,""))</f>
        <v/>
      </c>
      <c r="AF474" s="29">
        <f>IF(COUNT(B474:Z474)&gt;1,MAX(B474:Z474)-MIN(B474:Z474),IF(ISNUMBER(AB474),AB474,""))</f>
        <v/>
      </c>
      <c r="AG474" s="29">
        <f>IF(COUNT(B474:Z474)&gt;1,_xlfn.STDEV.S(B474:Z474),IF(ISNUMBER(AC474),AC474,""))</f>
        <v/>
      </c>
      <c r="AH474" s="13">
        <f>IF(AND(ISNUMBER(AE474),ISNUMBER($B$23),ISNUMBER($D$23)),IF(AE474&gt;$D$23,"boven UCL",IF(AE474&lt;$B$23,"onder LCL","")),"")</f>
        <v/>
      </c>
      <c r="AI474" s="13">
        <f>IF(AND(ISNUMBER(AF474),ISNUMBER($B$24),ISNUMBER($D$24)),IF(AF474&gt;$D$24,"boven UCL",IF(AF474&lt;$B$24,"onder LCL","")),"")</f>
        <v/>
      </c>
      <c r="AJ474" s="13">
        <f>IF(AND(ISNUMBER(AE474),ISNUMBER($B$25),ISNUMBER($D$25)),IF(AE474&gt;$D$25,"boven UCL",IF(AE474&lt;$B$25,"onder LCL","")),"")</f>
        <v/>
      </c>
      <c r="AK474" s="13">
        <f>IF(AND(ISNUMBER(AG474),ISNUMBER($B$26),ISNUMBER($D$26)),IF(AG474&gt;$D$26,"boven UCL",IF(AG474&lt;$B$26,"onder LCL","")),"")</f>
        <v/>
      </c>
      <c r="AL474" s="13">
        <f>IF(AND(COUNT(B474:Z474)&gt;0,COUNT(AA474:AC474)&gt;0),"ruwe waarden én getypt: getypte genegeerd",IF(COUNTA(B474:Z474,AA474:AC474)&gt;COUNT(B474:Z474,AA474:AC474),"tekst telt niet mee",IF(COUNT(B474:Z474)=1,"1 waarde: geen R of s","")))</f>
        <v/>
      </c>
    </row>
    <row r="475">
      <c r="A475" t="n">
        <v>424</v>
      </c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28">
        <f>IF(COUNT(B475:Z475)&gt;0,COUNT(B475:Z475),IF(OR(ISNUMBER(AA475),ISNUMBER(AB475)),$B$9,""))</f>
        <v/>
      </c>
      <c r="AE475" s="29">
        <f>IF(COUNT(B475:Z475)&gt;0,AVERAGE(B475:Z475),IF(ISNUMBER(AA475),AA475,""))</f>
        <v/>
      </c>
      <c r="AF475" s="29">
        <f>IF(COUNT(B475:Z475)&gt;1,MAX(B475:Z475)-MIN(B475:Z475),IF(ISNUMBER(AB475),AB475,""))</f>
        <v/>
      </c>
      <c r="AG475" s="29">
        <f>IF(COUNT(B475:Z475)&gt;1,_xlfn.STDEV.S(B475:Z475),IF(ISNUMBER(AC475),AC475,""))</f>
        <v/>
      </c>
      <c r="AH475" s="13">
        <f>IF(AND(ISNUMBER(AE475),ISNUMBER($B$23),ISNUMBER($D$23)),IF(AE475&gt;$D$23,"boven UCL",IF(AE475&lt;$B$23,"onder LCL","")),"")</f>
        <v/>
      </c>
      <c r="AI475" s="13">
        <f>IF(AND(ISNUMBER(AF475),ISNUMBER($B$24),ISNUMBER($D$24)),IF(AF475&gt;$D$24,"boven UCL",IF(AF475&lt;$B$24,"onder LCL","")),"")</f>
        <v/>
      </c>
      <c r="AJ475" s="13">
        <f>IF(AND(ISNUMBER(AE475),ISNUMBER($B$25),ISNUMBER($D$25)),IF(AE475&gt;$D$25,"boven UCL",IF(AE475&lt;$B$25,"onder LCL","")),"")</f>
        <v/>
      </c>
      <c r="AK475" s="13">
        <f>IF(AND(ISNUMBER(AG475),ISNUMBER($B$26),ISNUMBER($D$26)),IF(AG475&gt;$D$26,"boven UCL",IF(AG475&lt;$B$26,"onder LCL","")),"")</f>
        <v/>
      </c>
      <c r="AL475" s="13">
        <f>IF(AND(COUNT(B475:Z475)&gt;0,COUNT(AA475:AC475)&gt;0),"ruwe waarden én getypt: getypte genegeerd",IF(COUNTA(B475:Z475,AA475:AC475)&gt;COUNT(B475:Z475,AA475:AC475),"tekst telt niet mee",IF(COUNT(B475:Z475)=1,"1 waarde: geen R of s","")))</f>
        <v/>
      </c>
    </row>
    <row r="476">
      <c r="A476" t="n">
        <v>425</v>
      </c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28">
        <f>IF(COUNT(B476:Z476)&gt;0,COUNT(B476:Z476),IF(OR(ISNUMBER(AA476),ISNUMBER(AB476)),$B$9,""))</f>
        <v/>
      </c>
      <c r="AE476" s="29">
        <f>IF(COUNT(B476:Z476)&gt;0,AVERAGE(B476:Z476),IF(ISNUMBER(AA476),AA476,""))</f>
        <v/>
      </c>
      <c r="AF476" s="29">
        <f>IF(COUNT(B476:Z476)&gt;1,MAX(B476:Z476)-MIN(B476:Z476),IF(ISNUMBER(AB476),AB476,""))</f>
        <v/>
      </c>
      <c r="AG476" s="29">
        <f>IF(COUNT(B476:Z476)&gt;1,_xlfn.STDEV.S(B476:Z476),IF(ISNUMBER(AC476),AC476,""))</f>
        <v/>
      </c>
      <c r="AH476" s="13">
        <f>IF(AND(ISNUMBER(AE476),ISNUMBER($B$23),ISNUMBER($D$23)),IF(AE476&gt;$D$23,"boven UCL",IF(AE476&lt;$B$23,"onder LCL","")),"")</f>
        <v/>
      </c>
      <c r="AI476" s="13">
        <f>IF(AND(ISNUMBER(AF476),ISNUMBER($B$24),ISNUMBER($D$24)),IF(AF476&gt;$D$24,"boven UCL",IF(AF476&lt;$B$24,"onder LCL","")),"")</f>
        <v/>
      </c>
      <c r="AJ476" s="13">
        <f>IF(AND(ISNUMBER(AE476),ISNUMBER($B$25),ISNUMBER($D$25)),IF(AE476&gt;$D$25,"boven UCL",IF(AE476&lt;$B$25,"onder LCL","")),"")</f>
        <v/>
      </c>
      <c r="AK476" s="13">
        <f>IF(AND(ISNUMBER(AG476),ISNUMBER($B$26),ISNUMBER($D$26)),IF(AG476&gt;$D$26,"boven UCL",IF(AG476&lt;$B$26,"onder LCL","")),"")</f>
        <v/>
      </c>
      <c r="AL476" s="13">
        <f>IF(AND(COUNT(B476:Z476)&gt;0,COUNT(AA476:AC476)&gt;0),"ruwe waarden én getypt: getypte genegeerd",IF(COUNTA(B476:Z476,AA476:AC476)&gt;COUNT(B476:Z476,AA476:AC476),"tekst telt niet mee",IF(COUNT(B476:Z476)=1,"1 waarde: geen R of s","")))</f>
        <v/>
      </c>
    </row>
    <row r="477">
      <c r="A477" t="n">
        <v>426</v>
      </c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28">
        <f>IF(COUNT(B477:Z477)&gt;0,COUNT(B477:Z477),IF(OR(ISNUMBER(AA477),ISNUMBER(AB477)),$B$9,""))</f>
        <v/>
      </c>
      <c r="AE477" s="29">
        <f>IF(COUNT(B477:Z477)&gt;0,AVERAGE(B477:Z477),IF(ISNUMBER(AA477),AA477,""))</f>
        <v/>
      </c>
      <c r="AF477" s="29">
        <f>IF(COUNT(B477:Z477)&gt;1,MAX(B477:Z477)-MIN(B477:Z477),IF(ISNUMBER(AB477),AB477,""))</f>
        <v/>
      </c>
      <c r="AG477" s="29">
        <f>IF(COUNT(B477:Z477)&gt;1,_xlfn.STDEV.S(B477:Z477),IF(ISNUMBER(AC477),AC477,""))</f>
        <v/>
      </c>
      <c r="AH477" s="13">
        <f>IF(AND(ISNUMBER(AE477),ISNUMBER($B$23),ISNUMBER($D$23)),IF(AE477&gt;$D$23,"boven UCL",IF(AE477&lt;$B$23,"onder LCL","")),"")</f>
        <v/>
      </c>
      <c r="AI477" s="13">
        <f>IF(AND(ISNUMBER(AF477),ISNUMBER($B$24),ISNUMBER($D$24)),IF(AF477&gt;$D$24,"boven UCL",IF(AF477&lt;$B$24,"onder LCL","")),"")</f>
        <v/>
      </c>
      <c r="AJ477" s="13">
        <f>IF(AND(ISNUMBER(AE477),ISNUMBER($B$25),ISNUMBER($D$25)),IF(AE477&gt;$D$25,"boven UCL",IF(AE477&lt;$B$25,"onder LCL","")),"")</f>
        <v/>
      </c>
      <c r="AK477" s="13">
        <f>IF(AND(ISNUMBER(AG477),ISNUMBER($B$26),ISNUMBER($D$26)),IF(AG477&gt;$D$26,"boven UCL",IF(AG477&lt;$B$26,"onder LCL","")),"")</f>
        <v/>
      </c>
      <c r="AL477" s="13">
        <f>IF(AND(COUNT(B477:Z477)&gt;0,COUNT(AA477:AC477)&gt;0),"ruwe waarden én getypt: getypte genegeerd",IF(COUNTA(B477:Z477,AA477:AC477)&gt;COUNT(B477:Z477,AA477:AC477),"tekst telt niet mee",IF(COUNT(B477:Z477)=1,"1 waarde: geen R of s","")))</f>
        <v/>
      </c>
    </row>
    <row r="478">
      <c r="A478" t="n">
        <v>427</v>
      </c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28">
        <f>IF(COUNT(B478:Z478)&gt;0,COUNT(B478:Z478),IF(OR(ISNUMBER(AA478),ISNUMBER(AB478)),$B$9,""))</f>
        <v/>
      </c>
      <c r="AE478" s="29">
        <f>IF(COUNT(B478:Z478)&gt;0,AVERAGE(B478:Z478),IF(ISNUMBER(AA478),AA478,""))</f>
        <v/>
      </c>
      <c r="AF478" s="29">
        <f>IF(COUNT(B478:Z478)&gt;1,MAX(B478:Z478)-MIN(B478:Z478),IF(ISNUMBER(AB478),AB478,""))</f>
        <v/>
      </c>
      <c r="AG478" s="29">
        <f>IF(COUNT(B478:Z478)&gt;1,_xlfn.STDEV.S(B478:Z478),IF(ISNUMBER(AC478),AC478,""))</f>
        <v/>
      </c>
      <c r="AH478" s="13">
        <f>IF(AND(ISNUMBER(AE478),ISNUMBER($B$23),ISNUMBER($D$23)),IF(AE478&gt;$D$23,"boven UCL",IF(AE478&lt;$B$23,"onder LCL","")),"")</f>
        <v/>
      </c>
      <c r="AI478" s="13">
        <f>IF(AND(ISNUMBER(AF478),ISNUMBER($B$24),ISNUMBER($D$24)),IF(AF478&gt;$D$24,"boven UCL",IF(AF478&lt;$B$24,"onder LCL","")),"")</f>
        <v/>
      </c>
      <c r="AJ478" s="13">
        <f>IF(AND(ISNUMBER(AE478),ISNUMBER($B$25),ISNUMBER($D$25)),IF(AE478&gt;$D$25,"boven UCL",IF(AE478&lt;$B$25,"onder LCL","")),"")</f>
        <v/>
      </c>
      <c r="AK478" s="13">
        <f>IF(AND(ISNUMBER(AG478),ISNUMBER($B$26),ISNUMBER($D$26)),IF(AG478&gt;$D$26,"boven UCL",IF(AG478&lt;$B$26,"onder LCL","")),"")</f>
        <v/>
      </c>
      <c r="AL478" s="13">
        <f>IF(AND(COUNT(B478:Z478)&gt;0,COUNT(AA478:AC478)&gt;0),"ruwe waarden én getypt: getypte genegeerd",IF(COUNTA(B478:Z478,AA478:AC478)&gt;COUNT(B478:Z478,AA478:AC478),"tekst telt niet mee",IF(COUNT(B478:Z478)=1,"1 waarde: geen R of s","")))</f>
        <v/>
      </c>
    </row>
    <row r="479">
      <c r="A479" t="n">
        <v>428</v>
      </c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28">
        <f>IF(COUNT(B479:Z479)&gt;0,COUNT(B479:Z479),IF(OR(ISNUMBER(AA479),ISNUMBER(AB479)),$B$9,""))</f>
        <v/>
      </c>
      <c r="AE479" s="29">
        <f>IF(COUNT(B479:Z479)&gt;0,AVERAGE(B479:Z479),IF(ISNUMBER(AA479),AA479,""))</f>
        <v/>
      </c>
      <c r="AF479" s="29">
        <f>IF(COUNT(B479:Z479)&gt;1,MAX(B479:Z479)-MIN(B479:Z479),IF(ISNUMBER(AB479),AB479,""))</f>
        <v/>
      </c>
      <c r="AG479" s="29">
        <f>IF(COUNT(B479:Z479)&gt;1,_xlfn.STDEV.S(B479:Z479),IF(ISNUMBER(AC479),AC479,""))</f>
        <v/>
      </c>
      <c r="AH479" s="13">
        <f>IF(AND(ISNUMBER(AE479),ISNUMBER($B$23),ISNUMBER($D$23)),IF(AE479&gt;$D$23,"boven UCL",IF(AE479&lt;$B$23,"onder LCL","")),"")</f>
        <v/>
      </c>
      <c r="AI479" s="13">
        <f>IF(AND(ISNUMBER(AF479),ISNUMBER($B$24),ISNUMBER($D$24)),IF(AF479&gt;$D$24,"boven UCL",IF(AF479&lt;$B$24,"onder LCL","")),"")</f>
        <v/>
      </c>
      <c r="AJ479" s="13">
        <f>IF(AND(ISNUMBER(AE479),ISNUMBER($B$25),ISNUMBER($D$25)),IF(AE479&gt;$D$25,"boven UCL",IF(AE479&lt;$B$25,"onder LCL","")),"")</f>
        <v/>
      </c>
      <c r="AK479" s="13">
        <f>IF(AND(ISNUMBER(AG479),ISNUMBER($B$26),ISNUMBER($D$26)),IF(AG479&gt;$D$26,"boven UCL",IF(AG479&lt;$B$26,"onder LCL","")),"")</f>
        <v/>
      </c>
      <c r="AL479" s="13">
        <f>IF(AND(COUNT(B479:Z479)&gt;0,COUNT(AA479:AC479)&gt;0),"ruwe waarden én getypt: getypte genegeerd",IF(COUNTA(B479:Z479,AA479:AC479)&gt;COUNT(B479:Z479,AA479:AC479),"tekst telt niet mee",IF(COUNT(B479:Z479)=1,"1 waarde: geen R of s","")))</f>
        <v/>
      </c>
    </row>
    <row r="480">
      <c r="A480" t="n">
        <v>429</v>
      </c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28">
        <f>IF(COUNT(B480:Z480)&gt;0,COUNT(B480:Z480),IF(OR(ISNUMBER(AA480),ISNUMBER(AB480)),$B$9,""))</f>
        <v/>
      </c>
      <c r="AE480" s="29">
        <f>IF(COUNT(B480:Z480)&gt;0,AVERAGE(B480:Z480),IF(ISNUMBER(AA480),AA480,""))</f>
        <v/>
      </c>
      <c r="AF480" s="29">
        <f>IF(COUNT(B480:Z480)&gt;1,MAX(B480:Z480)-MIN(B480:Z480),IF(ISNUMBER(AB480),AB480,""))</f>
        <v/>
      </c>
      <c r="AG480" s="29">
        <f>IF(COUNT(B480:Z480)&gt;1,_xlfn.STDEV.S(B480:Z480),IF(ISNUMBER(AC480),AC480,""))</f>
        <v/>
      </c>
      <c r="AH480" s="13">
        <f>IF(AND(ISNUMBER(AE480),ISNUMBER($B$23),ISNUMBER($D$23)),IF(AE480&gt;$D$23,"boven UCL",IF(AE480&lt;$B$23,"onder LCL","")),"")</f>
        <v/>
      </c>
      <c r="AI480" s="13">
        <f>IF(AND(ISNUMBER(AF480),ISNUMBER($B$24),ISNUMBER($D$24)),IF(AF480&gt;$D$24,"boven UCL",IF(AF480&lt;$B$24,"onder LCL","")),"")</f>
        <v/>
      </c>
      <c r="AJ480" s="13">
        <f>IF(AND(ISNUMBER(AE480),ISNUMBER($B$25),ISNUMBER($D$25)),IF(AE480&gt;$D$25,"boven UCL",IF(AE480&lt;$B$25,"onder LCL","")),"")</f>
        <v/>
      </c>
      <c r="AK480" s="13">
        <f>IF(AND(ISNUMBER(AG480),ISNUMBER($B$26),ISNUMBER($D$26)),IF(AG480&gt;$D$26,"boven UCL",IF(AG480&lt;$B$26,"onder LCL","")),"")</f>
        <v/>
      </c>
      <c r="AL480" s="13">
        <f>IF(AND(COUNT(B480:Z480)&gt;0,COUNT(AA480:AC480)&gt;0),"ruwe waarden én getypt: getypte genegeerd",IF(COUNTA(B480:Z480,AA480:AC480)&gt;COUNT(B480:Z480,AA480:AC480),"tekst telt niet mee",IF(COUNT(B480:Z480)=1,"1 waarde: geen R of s","")))</f>
        <v/>
      </c>
    </row>
    <row r="481">
      <c r="A481" t="n">
        <v>430</v>
      </c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28">
        <f>IF(COUNT(B481:Z481)&gt;0,COUNT(B481:Z481),IF(OR(ISNUMBER(AA481),ISNUMBER(AB481)),$B$9,""))</f>
        <v/>
      </c>
      <c r="AE481" s="29">
        <f>IF(COUNT(B481:Z481)&gt;0,AVERAGE(B481:Z481),IF(ISNUMBER(AA481),AA481,""))</f>
        <v/>
      </c>
      <c r="AF481" s="29">
        <f>IF(COUNT(B481:Z481)&gt;1,MAX(B481:Z481)-MIN(B481:Z481),IF(ISNUMBER(AB481),AB481,""))</f>
        <v/>
      </c>
      <c r="AG481" s="29">
        <f>IF(COUNT(B481:Z481)&gt;1,_xlfn.STDEV.S(B481:Z481),IF(ISNUMBER(AC481),AC481,""))</f>
        <v/>
      </c>
      <c r="AH481" s="13">
        <f>IF(AND(ISNUMBER(AE481),ISNUMBER($B$23),ISNUMBER($D$23)),IF(AE481&gt;$D$23,"boven UCL",IF(AE481&lt;$B$23,"onder LCL","")),"")</f>
        <v/>
      </c>
      <c r="AI481" s="13">
        <f>IF(AND(ISNUMBER(AF481),ISNUMBER($B$24),ISNUMBER($D$24)),IF(AF481&gt;$D$24,"boven UCL",IF(AF481&lt;$B$24,"onder LCL","")),"")</f>
        <v/>
      </c>
      <c r="AJ481" s="13">
        <f>IF(AND(ISNUMBER(AE481),ISNUMBER($B$25),ISNUMBER($D$25)),IF(AE481&gt;$D$25,"boven UCL",IF(AE481&lt;$B$25,"onder LCL","")),"")</f>
        <v/>
      </c>
      <c r="AK481" s="13">
        <f>IF(AND(ISNUMBER(AG481),ISNUMBER($B$26),ISNUMBER($D$26)),IF(AG481&gt;$D$26,"boven UCL",IF(AG481&lt;$B$26,"onder LCL","")),"")</f>
        <v/>
      </c>
      <c r="AL481" s="13">
        <f>IF(AND(COUNT(B481:Z481)&gt;0,COUNT(AA481:AC481)&gt;0),"ruwe waarden én getypt: getypte genegeerd",IF(COUNTA(B481:Z481,AA481:AC481)&gt;COUNT(B481:Z481,AA481:AC481),"tekst telt niet mee",IF(COUNT(B481:Z481)=1,"1 waarde: geen R of s","")))</f>
        <v/>
      </c>
    </row>
    <row r="482">
      <c r="A482" t="n">
        <v>431</v>
      </c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28">
        <f>IF(COUNT(B482:Z482)&gt;0,COUNT(B482:Z482),IF(OR(ISNUMBER(AA482),ISNUMBER(AB482)),$B$9,""))</f>
        <v/>
      </c>
      <c r="AE482" s="29">
        <f>IF(COUNT(B482:Z482)&gt;0,AVERAGE(B482:Z482),IF(ISNUMBER(AA482),AA482,""))</f>
        <v/>
      </c>
      <c r="AF482" s="29">
        <f>IF(COUNT(B482:Z482)&gt;1,MAX(B482:Z482)-MIN(B482:Z482),IF(ISNUMBER(AB482),AB482,""))</f>
        <v/>
      </c>
      <c r="AG482" s="29">
        <f>IF(COUNT(B482:Z482)&gt;1,_xlfn.STDEV.S(B482:Z482),IF(ISNUMBER(AC482),AC482,""))</f>
        <v/>
      </c>
      <c r="AH482" s="13">
        <f>IF(AND(ISNUMBER(AE482),ISNUMBER($B$23),ISNUMBER($D$23)),IF(AE482&gt;$D$23,"boven UCL",IF(AE482&lt;$B$23,"onder LCL","")),"")</f>
        <v/>
      </c>
      <c r="AI482" s="13">
        <f>IF(AND(ISNUMBER(AF482),ISNUMBER($B$24),ISNUMBER($D$24)),IF(AF482&gt;$D$24,"boven UCL",IF(AF482&lt;$B$24,"onder LCL","")),"")</f>
        <v/>
      </c>
      <c r="AJ482" s="13">
        <f>IF(AND(ISNUMBER(AE482),ISNUMBER($B$25),ISNUMBER($D$25)),IF(AE482&gt;$D$25,"boven UCL",IF(AE482&lt;$B$25,"onder LCL","")),"")</f>
        <v/>
      </c>
      <c r="AK482" s="13">
        <f>IF(AND(ISNUMBER(AG482),ISNUMBER($B$26),ISNUMBER($D$26)),IF(AG482&gt;$D$26,"boven UCL",IF(AG482&lt;$B$26,"onder LCL","")),"")</f>
        <v/>
      </c>
      <c r="AL482" s="13">
        <f>IF(AND(COUNT(B482:Z482)&gt;0,COUNT(AA482:AC482)&gt;0),"ruwe waarden én getypt: getypte genegeerd",IF(COUNTA(B482:Z482,AA482:AC482)&gt;COUNT(B482:Z482,AA482:AC482),"tekst telt niet mee",IF(COUNT(B482:Z482)=1,"1 waarde: geen R of s","")))</f>
        <v/>
      </c>
    </row>
    <row r="483">
      <c r="A483" t="n">
        <v>432</v>
      </c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28">
        <f>IF(COUNT(B483:Z483)&gt;0,COUNT(B483:Z483),IF(OR(ISNUMBER(AA483),ISNUMBER(AB483)),$B$9,""))</f>
        <v/>
      </c>
      <c r="AE483" s="29">
        <f>IF(COUNT(B483:Z483)&gt;0,AVERAGE(B483:Z483),IF(ISNUMBER(AA483),AA483,""))</f>
        <v/>
      </c>
      <c r="AF483" s="29">
        <f>IF(COUNT(B483:Z483)&gt;1,MAX(B483:Z483)-MIN(B483:Z483),IF(ISNUMBER(AB483),AB483,""))</f>
        <v/>
      </c>
      <c r="AG483" s="29">
        <f>IF(COUNT(B483:Z483)&gt;1,_xlfn.STDEV.S(B483:Z483),IF(ISNUMBER(AC483),AC483,""))</f>
        <v/>
      </c>
      <c r="AH483" s="13">
        <f>IF(AND(ISNUMBER(AE483),ISNUMBER($B$23),ISNUMBER($D$23)),IF(AE483&gt;$D$23,"boven UCL",IF(AE483&lt;$B$23,"onder LCL","")),"")</f>
        <v/>
      </c>
      <c r="AI483" s="13">
        <f>IF(AND(ISNUMBER(AF483),ISNUMBER($B$24),ISNUMBER($D$24)),IF(AF483&gt;$D$24,"boven UCL",IF(AF483&lt;$B$24,"onder LCL","")),"")</f>
        <v/>
      </c>
      <c r="AJ483" s="13">
        <f>IF(AND(ISNUMBER(AE483),ISNUMBER($B$25),ISNUMBER($D$25)),IF(AE483&gt;$D$25,"boven UCL",IF(AE483&lt;$B$25,"onder LCL","")),"")</f>
        <v/>
      </c>
      <c r="AK483" s="13">
        <f>IF(AND(ISNUMBER(AG483),ISNUMBER($B$26),ISNUMBER($D$26)),IF(AG483&gt;$D$26,"boven UCL",IF(AG483&lt;$B$26,"onder LCL","")),"")</f>
        <v/>
      </c>
      <c r="AL483" s="13">
        <f>IF(AND(COUNT(B483:Z483)&gt;0,COUNT(AA483:AC483)&gt;0),"ruwe waarden én getypt: getypte genegeerd",IF(COUNTA(B483:Z483,AA483:AC483)&gt;COUNT(B483:Z483,AA483:AC483),"tekst telt niet mee",IF(COUNT(B483:Z483)=1,"1 waarde: geen R of s","")))</f>
        <v/>
      </c>
    </row>
    <row r="484">
      <c r="A484" t="n">
        <v>433</v>
      </c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28">
        <f>IF(COUNT(B484:Z484)&gt;0,COUNT(B484:Z484),IF(OR(ISNUMBER(AA484),ISNUMBER(AB484)),$B$9,""))</f>
        <v/>
      </c>
      <c r="AE484" s="29">
        <f>IF(COUNT(B484:Z484)&gt;0,AVERAGE(B484:Z484),IF(ISNUMBER(AA484),AA484,""))</f>
        <v/>
      </c>
      <c r="AF484" s="29">
        <f>IF(COUNT(B484:Z484)&gt;1,MAX(B484:Z484)-MIN(B484:Z484),IF(ISNUMBER(AB484),AB484,""))</f>
        <v/>
      </c>
      <c r="AG484" s="29">
        <f>IF(COUNT(B484:Z484)&gt;1,_xlfn.STDEV.S(B484:Z484),IF(ISNUMBER(AC484),AC484,""))</f>
        <v/>
      </c>
      <c r="AH484" s="13">
        <f>IF(AND(ISNUMBER(AE484),ISNUMBER($B$23),ISNUMBER($D$23)),IF(AE484&gt;$D$23,"boven UCL",IF(AE484&lt;$B$23,"onder LCL","")),"")</f>
        <v/>
      </c>
      <c r="AI484" s="13">
        <f>IF(AND(ISNUMBER(AF484),ISNUMBER($B$24),ISNUMBER($D$24)),IF(AF484&gt;$D$24,"boven UCL",IF(AF484&lt;$B$24,"onder LCL","")),"")</f>
        <v/>
      </c>
      <c r="AJ484" s="13">
        <f>IF(AND(ISNUMBER(AE484),ISNUMBER($B$25),ISNUMBER($D$25)),IF(AE484&gt;$D$25,"boven UCL",IF(AE484&lt;$B$25,"onder LCL","")),"")</f>
        <v/>
      </c>
      <c r="AK484" s="13">
        <f>IF(AND(ISNUMBER(AG484),ISNUMBER($B$26),ISNUMBER($D$26)),IF(AG484&gt;$D$26,"boven UCL",IF(AG484&lt;$B$26,"onder LCL","")),"")</f>
        <v/>
      </c>
      <c r="AL484" s="13">
        <f>IF(AND(COUNT(B484:Z484)&gt;0,COUNT(AA484:AC484)&gt;0),"ruwe waarden én getypt: getypte genegeerd",IF(COUNTA(B484:Z484,AA484:AC484)&gt;COUNT(B484:Z484,AA484:AC484),"tekst telt niet mee",IF(COUNT(B484:Z484)=1,"1 waarde: geen R of s","")))</f>
        <v/>
      </c>
    </row>
    <row r="485">
      <c r="A485" t="n">
        <v>434</v>
      </c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28">
        <f>IF(COUNT(B485:Z485)&gt;0,COUNT(B485:Z485),IF(OR(ISNUMBER(AA485),ISNUMBER(AB485)),$B$9,""))</f>
        <v/>
      </c>
      <c r="AE485" s="29">
        <f>IF(COUNT(B485:Z485)&gt;0,AVERAGE(B485:Z485),IF(ISNUMBER(AA485),AA485,""))</f>
        <v/>
      </c>
      <c r="AF485" s="29">
        <f>IF(COUNT(B485:Z485)&gt;1,MAX(B485:Z485)-MIN(B485:Z485),IF(ISNUMBER(AB485),AB485,""))</f>
        <v/>
      </c>
      <c r="AG485" s="29">
        <f>IF(COUNT(B485:Z485)&gt;1,_xlfn.STDEV.S(B485:Z485),IF(ISNUMBER(AC485),AC485,""))</f>
        <v/>
      </c>
      <c r="AH485" s="13">
        <f>IF(AND(ISNUMBER(AE485),ISNUMBER($B$23),ISNUMBER($D$23)),IF(AE485&gt;$D$23,"boven UCL",IF(AE485&lt;$B$23,"onder LCL","")),"")</f>
        <v/>
      </c>
      <c r="AI485" s="13">
        <f>IF(AND(ISNUMBER(AF485),ISNUMBER($B$24),ISNUMBER($D$24)),IF(AF485&gt;$D$24,"boven UCL",IF(AF485&lt;$B$24,"onder LCL","")),"")</f>
        <v/>
      </c>
      <c r="AJ485" s="13">
        <f>IF(AND(ISNUMBER(AE485),ISNUMBER($B$25),ISNUMBER($D$25)),IF(AE485&gt;$D$25,"boven UCL",IF(AE485&lt;$B$25,"onder LCL","")),"")</f>
        <v/>
      </c>
      <c r="AK485" s="13">
        <f>IF(AND(ISNUMBER(AG485),ISNUMBER($B$26),ISNUMBER($D$26)),IF(AG485&gt;$D$26,"boven UCL",IF(AG485&lt;$B$26,"onder LCL","")),"")</f>
        <v/>
      </c>
      <c r="AL485" s="13">
        <f>IF(AND(COUNT(B485:Z485)&gt;0,COUNT(AA485:AC485)&gt;0),"ruwe waarden én getypt: getypte genegeerd",IF(COUNTA(B485:Z485,AA485:AC485)&gt;COUNT(B485:Z485,AA485:AC485),"tekst telt niet mee",IF(COUNT(B485:Z485)=1,"1 waarde: geen R of s","")))</f>
        <v/>
      </c>
    </row>
    <row r="486">
      <c r="A486" t="n">
        <v>435</v>
      </c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28">
        <f>IF(COUNT(B486:Z486)&gt;0,COUNT(B486:Z486),IF(OR(ISNUMBER(AA486),ISNUMBER(AB486)),$B$9,""))</f>
        <v/>
      </c>
      <c r="AE486" s="29">
        <f>IF(COUNT(B486:Z486)&gt;0,AVERAGE(B486:Z486),IF(ISNUMBER(AA486),AA486,""))</f>
        <v/>
      </c>
      <c r="AF486" s="29">
        <f>IF(COUNT(B486:Z486)&gt;1,MAX(B486:Z486)-MIN(B486:Z486),IF(ISNUMBER(AB486),AB486,""))</f>
        <v/>
      </c>
      <c r="AG486" s="29">
        <f>IF(COUNT(B486:Z486)&gt;1,_xlfn.STDEV.S(B486:Z486),IF(ISNUMBER(AC486),AC486,""))</f>
        <v/>
      </c>
      <c r="AH486" s="13">
        <f>IF(AND(ISNUMBER(AE486),ISNUMBER($B$23),ISNUMBER($D$23)),IF(AE486&gt;$D$23,"boven UCL",IF(AE486&lt;$B$23,"onder LCL","")),"")</f>
        <v/>
      </c>
      <c r="AI486" s="13">
        <f>IF(AND(ISNUMBER(AF486),ISNUMBER($B$24),ISNUMBER($D$24)),IF(AF486&gt;$D$24,"boven UCL",IF(AF486&lt;$B$24,"onder LCL","")),"")</f>
        <v/>
      </c>
      <c r="AJ486" s="13">
        <f>IF(AND(ISNUMBER(AE486),ISNUMBER($B$25),ISNUMBER($D$25)),IF(AE486&gt;$D$25,"boven UCL",IF(AE486&lt;$B$25,"onder LCL","")),"")</f>
        <v/>
      </c>
      <c r="AK486" s="13">
        <f>IF(AND(ISNUMBER(AG486),ISNUMBER($B$26),ISNUMBER($D$26)),IF(AG486&gt;$D$26,"boven UCL",IF(AG486&lt;$B$26,"onder LCL","")),"")</f>
        <v/>
      </c>
      <c r="AL486" s="13">
        <f>IF(AND(COUNT(B486:Z486)&gt;0,COUNT(AA486:AC486)&gt;0),"ruwe waarden én getypt: getypte genegeerd",IF(COUNTA(B486:Z486,AA486:AC486)&gt;COUNT(B486:Z486,AA486:AC486),"tekst telt niet mee",IF(COUNT(B486:Z486)=1,"1 waarde: geen R of s","")))</f>
        <v/>
      </c>
    </row>
    <row r="487">
      <c r="A487" t="n">
        <v>436</v>
      </c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28">
        <f>IF(COUNT(B487:Z487)&gt;0,COUNT(B487:Z487),IF(OR(ISNUMBER(AA487),ISNUMBER(AB487)),$B$9,""))</f>
        <v/>
      </c>
      <c r="AE487" s="29">
        <f>IF(COUNT(B487:Z487)&gt;0,AVERAGE(B487:Z487),IF(ISNUMBER(AA487),AA487,""))</f>
        <v/>
      </c>
      <c r="AF487" s="29">
        <f>IF(COUNT(B487:Z487)&gt;1,MAX(B487:Z487)-MIN(B487:Z487),IF(ISNUMBER(AB487),AB487,""))</f>
        <v/>
      </c>
      <c r="AG487" s="29">
        <f>IF(COUNT(B487:Z487)&gt;1,_xlfn.STDEV.S(B487:Z487),IF(ISNUMBER(AC487),AC487,""))</f>
        <v/>
      </c>
      <c r="AH487" s="13">
        <f>IF(AND(ISNUMBER(AE487),ISNUMBER($B$23),ISNUMBER($D$23)),IF(AE487&gt;$D$23,"boven UCL",IF(AE487&lt;$B$23,"onder LCL","")),"")</f>
        <v/>
      </c>
      <c r="AI487" s="13">
        <f>IF(AND(ISNUMBER(AF487),ISNUMBER($B$24),ISNUMBER($D$24)),IF(AF487&gt;$D$24,"boven UCL",IF(AF487&lt;$B$24,"onder LCL","")),"")</f>
        <v/>
      </c>
      <c r="AJ487" s="13">
        <f>IF(AND(ISNUMBER(AE487),ISNUMBER($B$25),ISNUMBER($D$25)),IF(AE487&gt;$D$25,"boven UCL",IF(AE487&lt;$B$25,"onder LCL","")),"")</f>
        <v/>
      </c>
      <c r="AK487" s="13">
        <f>IF(AND(ISNUMBER(AG487),ISNUMBER($B$26),ISNUMBER($D$26)),IF(AG487&gt;$D$26,"boven UCL",IF(AG487&lt;$B$26,"onder LCL","")),"")</f>
        <v/>
      </c>
      <c r="AL487" s="13">
        <f>IF(AND(COUNT(B487:Z487)&gt;0,COUNT(AA487:AC487)&gt;0),"ruwe waarden én getypt: getypte genegeerd",IF(COUNTA(B487:Z487,AA487:AC487)&gt;COUNT(B487:Z487,AA487:AC487),"tekst telt niet mee",IF(COUNT(B487:Z487)=1,"1 waarde: geen R of s","")))</f>
        <v/>
      </c>
    </row>
    <row r="488">
      <c r="A488" t="n">
        <v>437</v>
      </c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28">
        <f>IF(COUNT(B488:Z488)&gt;0,COUNT(B488:Z488),IF(OR(ISNUMBER(AA488),ISNUMBER(AB488)),$B$9,""))</f>
        <v/>
      </c>
      <c r="AE488" s="29">
        <f>IF(COUNT(B488:Z488)&gt;0,AVERAGE(B488:Z488),IF(ISNUMBER(AA488),AA488,""))</f>
        <v/>
      </c>
      <c r="AF488" s="29">
        <f>IF(COUNT(B488:Z488)&gt;1,MAX(B488:Z488)-MIN(B488:Z488),IF(ISNUMBER(AB488),AB488,""))</f>
        <v/>
      </c>
      <c r="AG488" s="29">
        <f>IF(COUNT(B488:Z488)&gt;1,_xlfn.STDEV.S(B488:Z488),IF(ISNUMBER(AC488),AC488,""))</f>
        <v/>
      </c>
      <c r="AH488" s="13">
        <f>IF(AND(ISNUMBER(AE488),ISNUMBER($B$23),ISNUMBER($D$23)),IF(AE488&gt;$D$23,"boven UCL",IF(AE488&lt;$B$23,"onder LCL","")),"")</f>
        <v/>
      </c>
      <c r="AI488" s="13">
        <f>IF(AND(ISNUMBER(AF488),ISNUMBER($B$24),ISNUMBER($D$24)),IF(AF488&gt;$D$24,"boven UCL",IF(AF488&lt;$B$24,"onder LCL","")),"")</f>
        <v/>
      </c>
      <c r="AJ488" s="13">
        <f>IF(AND(ISNUMBER(AE488),ISNUMBER($B$25),ISNUMBER($D$25)),IF(AE488&gt;$D$25,"boven UCL",IF(AE488&lt;$B$25,"onder LCL","")),"")</f>
        <v/>
      </c>
      <c r="AK488" s="13">
        <f>IF(AND(ISNUMBER(AG488),ISNUMBER($B$26),ISNUMBER($D$26)),IF(AG488&gt;$D$26,"boven UCL",IF(AG488&lt;$B$26,"onder LCL","")),"")</f>
        <v/>
      </c>
      <c r="AL488" s="13">
        <f>IF(AND(COUNT(B488:Z488)&gt;0,COUNT(AA488:AC488)&gt;0),"ruwe waarden én getypt: getypte genegeerd",IF(COUNTA(B488:Z488,AA488:AC488)&gt;COUNT(B488:Z488,AA488:AC488),"tekst telt niet mee",IF(COUNT(B488:Z488)=1,"1 waarde: geen R of s","")))</f>
        <v/>
      </c>
    </row>
    <row r="489">
      <c r="A489" t="n">
        <v>438</v>
      </c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28">
        <f>IF(COUNT(B489:Z489)&gt;0,COUNT(B489:Z489),IF(OR(ISNUMBER(AA489),ISNUMBER(AB489)),$B$9,""))</f>
        <v/>
      </c>
      <c r="AE489" s="29">
        <f>IF(COUNT(B489:Z489)&gt;0,AVERAGE(B489:Z489),IF(ISNUMBER(AA489),AA489,""))</f>
        <v/>
      </c>
      <c r="AF489" s="29">
        <f>IF(COUNT(B489:Z489)&gt;1,MAX(B489:Z489)-MIN(B489:Z489),IF(ISNUMBER(AB489),AB489,""))</f>
        <v/>
      </c>
      <c r="AG489" s="29">
        <f>IF(COUNT(B489:Z489)&gt;1,_xlfn.STDEV.S(B489:Z489),IF(ISNUMBER(AC489),AC489,""))</f>
        <v/>
      </c>
      <c r="AH489" s="13">
        <f>IF(AND(ISNUMBER(AE489),ISNUMBER($B$23),ISNUMBER($D$23)),IF(AE489&gt;$D$23,"boven UCL",IF(AE489&lt;$B$23,"onder LCL","")),"")</f>
        <v/>
      </c>
      <c r="AI489" s="13">
        <f>IF(AND(ISNUMBER(AF489),ISNUMBER($B$24),ISNUMBER($D$24)),IF(AF489&gt;$D$24,"boven UCL",IF(AF489&lt;$B$24,"onder LCL","")),"")</f>
        <v/>
      </c>
      <c r="AJ489" s="13">
        <f>IF(AND(ISNUMBER(AE489),ISNUMBER($B$25),ISNUMBER($D$25)),IF(AE489&gt;$D$25,"boven UCL",IF(AE489&lt;$B$25,"onder LCL","")),"")</f>
        <v/>
      </c>
      <c r="AK489" s="13">
        <f>IF(AND(ISNUMBER(AG489),ISNUMBER($B$26),ISNUMBER($D$26)),IF(AG489&gt;$D$26,"boven UCL",IF(AG489&lt;$B$26,"onder LCL","")),"")</f>
        <v/>
      </c>
      <c r="AL489" s="13">
        <f>IF(AND(COUNT(B489:Z489)&gt;0,COUNT(AA489:AC489)&gt;0),"ruwe waarden én getypt: getypte genegeerd",IF(COUNTA(B489:Z489,AA489:AC489)&gt;COUNT(B489:Z489,AA489:AC489),"tekst telt niet mee",IF(COUNT(B489:Z489)=1,"1 waarde: geen R of s","")))</f>
        <v/>
      </c>
    </row>
    <row r="490">
      <c r="A490" t="n">
        <v>439</v>
      </c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28">
        <f>IF(COUNT(B490:Z490)&gt;0,COUNT(B490:Z490),IF(OR(ISNUMBER(AA490),ISNUMBER(AB490)),$B$9,""))</f>
        <v/>
      </c>
      <c r="AE490" s="29">
        <f>IF(COUNT(B490:Z490)&gt;0,AVERAGE(B490:Z490),IF(ISNUMBER(AA490),AA490,""))</f>
        <v/>
      </c>
      <c r="AF490" s="29">
        <f>IF(COUNT(B490:Z490)&gt;1,MAX(B490:Z490)-MIN(B490:Z490),IF(ISNUMBER(AB490),AB490,""))</f>
        <v/>
      </c>
      <c r="AG490" s="29">
        <f>IF(COUNT(B490:Z490)&gt;1,_xlfn.STDEV.S(B490:Z490),IF(ISNUMBER(AC490),AC490,""))</f>
        <v/>
      </c>
      <c r="AH490" s="13">
        <f>IF(AND(ISNUMBER(AE490),ISNUMBER($B$23),ISNUMBER($D$23)),IF(AE490&gt;$D$23,"boven UCL",IF(AE490&lt;$B$23,"onder LCL","")),"")</f>
        <v/>
      </c>
      <c r="AI490" s="13">
        <f>IF(AND(ISNUMBER(AF490),ISNUMBER($B$24),ISNUMBER($D$24)),IF(AF490&gt;$D$24,"boven UCL",IF(AF490&lt;$B$24,"onder LCL","")),"")</f>
        <v/>
      </c>
      <c r="AJ490" s="13">
        <f>IF(AND(ISNUMBER(AE490),ISNUMBER($B$25),ISNUMBER($D$25)),IF(AE490&gt;$D$25,"boven UCL",IF(AE490&lt;$B$25,"onder LCL","")),"")</f>
        <v/>
      </c>
      <c r="AK490" s="13">
        <f>IF(AND(ISNUMBER(AG490),ISNUMBER($B$26),ISNUMBER($D$26)),IF(AG490&gt;$D$26,"boven UCL",IF(AG490&lt;$B$26,"onder LCL","")),"")</f>
        <v/>
      </c>
      <c r="AL490" s="13">
        <f>IF(AND(COUNT(B490:Z490)&gt;0,COUNT(AA490:AC490)&gt;0),"ruwe waarden én getypt: getypte genegeerd",IF(COUNTA(B490:Z490,AA490:AC490)&gt;COUNT(B490:Z490,AA490:AC490),"tekst telt niet mee",IF(COUNT(B490:Z490)=1,"1 waarde: geen R of s","")))</f>
        <v/>
      </c>
    </row>
    <row r="491">
      <c r="A491" t="n">
        <v>440</v>
      </c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28">
        <f>IF(COUNT(B491:Z491)&gt;0,COUNT(B491:Z491),IF(OR(ISNUMBER(AA491),ISNUMBER(AB491)),$B$9,""))</f>
        <v/>
      </c>
      <c r="AE491" s="29">
        <f>IF(COUNT(B491:Z491)&gt;0,AVERAGE(B491:Z491),IF(ISNUMBER(AA491),AA491,""))</f>
        <v/>
      </c>
      <c r="AF491" s="29">
        <f>IF(COUNT(B491:Z491)&gt;1,MAX(B491:Z491)-MIN(B491:Z491),IF(ISNUMBER(AB491),AB491,""))</f>
        <v/>
      </c>
      <c r="AG491" s="29">
        <f>IF(COUNT(B491:Z491)&gt;1,_xlfn.STDEV.S(B491:Z491),IF(ISNUMBER(AC491),AC491,""))</f>
        <v/>
      </c>
      <c r="AH491" s="13">
        <f>IF(AND(ISNUMBER(AE491),ISNUMBER($B$23),ISNUMBER($D$23)),IF(AE491&gt;$D$23,"boven UCL",IF(AE491&lt;$B$23,"onder LCL","")),"")</f>
        <v/>
      </c>
      <c r="AI491" s="13">
        <f>IF(AND(ISNUMBER(AF491),ISNUMBER($B$24),ISNUMBER($D$24)),IF(AF491&gt;$D$24,"boven UCL",IF(AF491&lt;$B$24,"onder LCL","")),"")</f>
        <v/>
      </c>
      <c r="AJ491" s="13">
        <f>IF(AND(ISNUMBER(AE491),ISNUMBER($B$25),ISNUMBER($D$25)),IF(AE491&gt;$D$25,"boven UCL",IF(AE491&lt;$B$25,"onder LCL","")),"")</f>
        <v/>
      </c>
      <c r="AK491" s="13">
        <f>IF(AND(ISNUMBER(AG491),ISNUMBER($B$26),ISNUMBER($D$26)),IF(AG491&gt;$D$26,"boven UCL",IF(AG491&lt;$B$26,"onder LCL","")),"")</f>
        <v/>
      </c>
      <c r="AL491" s="13">
        <f>IF(AND(COUNT(B491:Z491)&gt;0,COUNT(AA491:AC491)&gt;0),"ruwe waarden én getypt: getypte genegeerd",IF(COUNTA(B491:Z491,AA491:AC491)&gt;COUNT(B491:Z491,AA491:AC491),"tekst telt niet mee",IF(COUNT(B491:Z491)=1,"1 waarde: geen R of s","")))</f>
        <v/>
      </c>
    </row>
    <row r="492">
      <c r="A492" t="n">
        <v>441</v>
      </c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28">
        <f>IF(COUNT(B492:Z492)&gt;0,COUNT(B492:Z492),IF(OR(ISNUMBER(AA492),ISNUMBER(AB492)),$B$9,""))</f>
        <v/>
      </c>
      <c r="AE492" s="29">
        <f>IF(COUNT(B492:Z492)&gt;0,AVERAGE(B492:Z492),IF(ISNUMBER(AA492),AA492,""))</f>
        <v/>
      </c>
      <c r="AF492" s="29">
        <f>IF(COUNT(B492:Z492)&gt;1,MAX(B492:Z492)-MIN(B492:Z492),IF(ISNUMBER(AB492),AB492,""))</f>
        <v/>
      </c>
      <c r="AG492" s="29">
        <f>IF(COUNT(B492:Z492)&gt;1,_xlfn.STDEV.S(B492:Z492),IF(ISNUMBER(AC492),AC492,""))</f>
        <v/>
      </c>
      <c r="AH492" s="13">
        <f>IF(AND(ISNUMBER(AE492),ISNUMBER($B$23),ISNUMBER($D$23)),IF(AE492&gt;$D$23,"boven UCL",IF(AE492&lt;$B$23,"onder LCL","")),"")</f>
        <v/>
      </c>
      <c r="AI492" s="13">
        <f>IF(AND(ISNUMBER(AF492),ISNUMBER($B$24),ISNUMBER($D$24)),IF(AF492&gt;$D$24,"boven UCL",IF(AF492&lt;$B$24,"onder LCL","")),"")</f>
        <v/>
      </c>
      <c r="AJ492" s="13">
        <f>IF(AND(ISNUMBER(AE492),ISNUMBER($B$25),ISNUMBER($D$25)),IF(AE492&gt;$D$25,"boven UCL",IF(AE492&lt;$B$25,"onder LCL","")),"")</f>
        <v/>
      </c>
      <c r="AK492" s="13">
        <f>IF(AND(ISNUMBER(AG492),ISNUMBER($B$26),ISNUMBER($D$26)),IF(AG492&gt;$D$26,"boven UCL",IF(AG492&lt;$B$26,"onder LCL","")),"")</f>
        <v/>
      </c>
      <c r="AL492" s="13">
        <f>IF(AND(COUNT(B492:Z492)&gt;0,COUNT(AA492:AC492)&gt;0),"ruwe waarden én getypt: getypte genegeerd",IF(COUNTA(B492:Z492,AA492:AC492)&gt;COUNT(B492:Z492,AA492:AC492),"tekst telt niet mee",IF(COUNT(B492:Z492)=1,"1 waarde: geen R of s","")))</f>
        <v/>
      </c>
    </row>
    <row r="493">
      <c r="A493" t="n">
        <v>442</v>
      </c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28">
        <f>IF(COUNT(B493:Z493)&gt;0,COUNT(B493:Z493),IF(OR(ISNUMBER(AA493),ISNUMBER(AB493)),$B$9,""))</f>
        <v/>
      </c>
      <c r="AE493" s="29">
        <f>IF(COUNT(B493:Z493)&gt;0,AVERAGE(B493:Z493),IF(ISNUMBER(AA493),AA493,""))</f>
        <v/>
      </c>
      <c r="AF493" s="29">
        <f>IF(COUNT(B493:Z493)&gt;1,MAX(B493:Z493)-MIN(B493:Z493),IF(ISNUMBER(AB493),AB493,""))</f>
        <v/>
      </c>
      <c r="AG493" s="29">
        <f>IF(COUNT(B493:Z493)&gt;1,_xlfn.STDEV.S(B493:Z493),IF(ISNUMBER(AC493),AC493,""))</f>
        <v/>
      </c>
      <c r="AH493" s="13">
        <f>IF(AND(ISNUMBER(AE493),ISNUMBER($B$23),ISNUMBER($D$23)),IF(AE493&gt;$D$23,"boven UCL",IF(AE493&lt;$B$23,"onder LCL","")),"")</f>
        <v/>
      </c>
      <c r="AI493" s="13">
        <f>IF(AND(ISNUMBER(AF493),ISNUMBER($B$24),ISNUMBER($D$24)),IF(AF493&gt;$D$24,"boven UCL",IF(AF493&lt;$B$24,"onder LCL","")),"")</f>
        <v/>
      </c>
      <c r="AJ493" s="13">
        <f>IF(AND(ISNUMBER(AE493),ISNUMBER($B$25),ISNUMBER($D$25)),IF(AE493&gt;$D$25,"boven UCL",IF(AE493&lt;$B$25,"onder LCL","")),"")</f>
        <v/>
      </c>
      <c r="AK493" s="13">
        <f>IF(AND(ISNUMBER(AG493),ISNUMBER($B$26),ISNUMBER($D$26)),IF(AG493&gt;$D$26,"boven UCL",IF(AG493&lt;$B$26,"onder LCL","")),"")</f>
        <v/>
      </c>
      <c r="AL493" s="13">
        <f>IF(AND(COUNT(B493:Z493)&gt;0,COUNT(AA493:AC493)&gt;0),"ruwe waarden én getypt: getypte genegeerd",IF(COUNTA(B493:Z493,AA493:AC493)&gt;COUNT(B493:Z493,AA493:AC493),"tekst telt niet mee",IF(COUNT(B493:Z493)=1,"1 waarde: geen R of s","")))</f>
        <v/>
      </c>
    </row>
    <row r="494">
      <c r="A494" t="n">
        <v>443</v>
      </c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28">
        <f>IF(COUNT(B494:Z494)&gt;0,COUNT(B494:Z494),IF(OR(ISNUMBER(AA494),ISNUMBER(AB494)),$B$9,""))</f>
        <v/>
      </c>
      <c r="AE494" s="29">
        <f>IF(COUNT(B494:Z494)&gt;0,AVERAGE(B494:Z494),IF(ISNUMBER(AA494),AA494,""))</f>
        <v/>
      </c>
      <c r="AF494" s="29">
        <f>IF(COUNT(B494:Z494)&gt;1,MAX(B494:Z494)-MIN(B494:Z494),IF(ISNUMBER(AB494),AB494,""))</f>
        <v/>
      </c>
      <c r="AG494" s="29">
        <f>IF(COUNT(B494:Z494)&gt;1,_xlfn.STDEV.S(B494:Z494),IF(ISNUMBER(AC494),AC494,""))</f>
        <v/>
      </c>
      <c r="AH494" s="13">
        <f>IF(AND(ISNUMBER(AE494),ISNUMBER($B$23),ISNUMBER($D$23)),IF(AE494&gt;$D$23,"boven UCL",IF(AE494&lt;$B$23,"onder LCL","")),"")</f>
        <v/>
      </c>
      <c r="AI494" s="13">
        <f>IF(AND(ISNUMBER(AF494),ISNUMBER($B$24),ISNUMBER($D$24)),IF(AF494&gt;$D$24,"boven UCL",IF(AF494&lt;$B$24,"onder LCL","")),"")</f>
        <v/>
      </c>
      <c r="AJ494" s="13">
        <f>IF(AND(ISNUMBER(AE494),ISNUMBER($B$25),ISNUMBER($D$25)),IF(AE494&gt;$D$25,"boven UCL",IF(AE494&lt;$B$25,"onder LCL","")),"")</f>
        <v/>
      </c>
      <c r="AK494" s="13">
        <f>IF(AND(ISNUMBER(AG494),ISNUMBER($B$26),ISNUMBER($D$26)),IF(AG494&gt;$D$26,"boven UCL",IF(AG494&lt;$B$26,"onder LCL","")),"")</f>
        <v/>
      </c>
      <c r="AL494" s="13">
        <f>IF(AND(COUNT(B494:Z494)&gt;0,COUNT(AA494:AC494)&gt;0),"ruwe waarden én getypt: getypte genegeerd",IF(COUNTA(B494:Z494,AA494:AC494)&gt;COUNT(B494:Z494,AA494:AC494),"tekst telt niet mee",IF(COUNT(B494:Z494)=1,"1 waarde: geen R of s","")))</f>
        <v/>
      </c>
    </row>
    <row r="495">
      <c r="A495" t="n">
        <v>444</v>
      </c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28">
        <f>IF(COUNT(B495:Z495)&gt;0,COUNT(B495:Z495),IF(OR(ISNUMBER(AA495),ISNUMBER(AB495)),$B$9,""))</f>
        <v/>
      </c>
      <c r="AE495" s="29">
        <f>IF(COUNT(B495:Z495)&gt;0,AVERAGE(B495:Z495),IF(ISNUMBER(AA495),AA495,""))</f>
        <v/>
      </c>
      <c r="AF495" s="29">
        <f>IF(COUNT(B495:Z495)&gt;1,MAX(B495:Z495)-MIN(B495:Z495),IF(ISNUMBER(AB495),AB495,""))</f>
        <v/>
      </c>
      <c r="AG495" s="29">
        <f>IF(COUNT(B495:Z495)&gt;1,_xlfn.STDEV.S(B495:Z495),IF(ISNUMBER(AC495),AC495,""))</f>
        <v/>
      </c>
      <c r="AH495" s="13">
        <f>IF(AND(ISNUMBER(AE495),ISNUMBER($B$23),ISNUMBER($D$23)),IF(AE495&gt;$D$23,"boven UCL",IF(AE495&lt;$B$23,"onder LCL","")),"")</f>
        <v/>
      </c>
      <c r="AI495" s="13">
        <f>IF(AND(ISNUMBER(AF495),ISNUMBER($B$24),ISNUMBER($D$24)),IF(AF495&gt;$D$24,"boven UCL",IF(AF495&lt;$B$24,"onder LCL","")),"")</f>
        <v/>
      </c>
      <c r="AJ495" s="13">
        <f>IF(AND(ISNUMBER(AE495),ISNUMBER($B$25),ISNUMBER($D$25)),IF(AE495&gt;$D$25,"boven UCL",IF(AE495&lt;$B$25,"onder LCL","")),"")</f>
        <v/>
      </c>
      <c r="AK495" s="13">
        <f>IF(AND(ISNUMBER(AG495),ISNUMBER($B$26),ISNUMBER($D$26)),IF(AG495&gt;$D$26,"boven UCL",IF(AG495&lt;$B$26,"onder LCL","")),"")</f>
        <v/>
      </c>
      <c r="AL495" s="13">
        <f>IF(AND(COUNT(B495:Z495)&gt;0,COUNT(AA495:AC495)&gt;0),"ruwe waarden én getypt: getypte genegeerd",IF(COUNTA(B495:Z495,AA495:AC495)&gt;COUNT(B495:Z495,AA495:AC495),"tekst telt niet mee",IF(COUNT(B495:Z495)=1,"1 waarde: geen R of s","")))</f>
        <v/>
      </c>
    </row>
    <row r="496">
      <c r="A496" t="n">
        <v>445</v>
      </c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28">
        <f>IF(COUNT(B496:Z496)&gt;0,COUNT(B496:Z496),IF(OR(ISNUMBER(AA496),ISNUMBER(AB496)),$B$9,""))</f>
        <v/>
      </c>
      <c r="AE496" s="29">
        <f>IF(COUNT(B496:Z496)&gt;0,AVERAGE(B496:Z496),IF(ISNUMBER(AA496),AA496,""))</f>
        <v/>
      </c>
      <c r="AF496" s="29">
        <f>IF(COUNT(B496:Z496)&gt;1,MAX(B496:Z496)-MIN(B496:Z496),IF(ISNUMBER(AB496),AB496,""))</f>
        <v/>
      </c>
      <c r="AG496" s="29">
        <f>IF(COUNT(B496:Z496)&gt;1,_xlfn.STDEV.S(B496:Z496),IF(ISNUMBER(AC496),AC496,""))</f>
        <v/>
      </c>
      <c r="AH496" s="13">
        <f>IF(AND(ISNUMBER(AE496),ISNUMBER($B$23),ISNUMBER($D$23)),IF(AE496&gt;$D$23,"boven UCL",IF(AE496&lt;$B$23,"onder LCL","")),"")</f>
        <v/>
      </c>
      <c r="AI496" s="13">
        <f>IF(AND(ISNUMBER(AF496),ISNUMBER($B$24),ISNUMBER($D$24)),IF(AF496&gt;$D$24,"boven UCL",IF(AF496&lt;$B$24,"onder LCL","")),"")</f>
        <v/>
      </c>
      <c r="AJ496" s="13">
        <f>IF(AND(ISNUMBER(AE496),ISNUMBER($B$25),ISNUMBER($D$25)),IF(AE496&gt;$D$25,"boven UCL",IF(AE496&lt;$B$25,"onder LCL","")),"")</f>
        <v/>
      </c>
      <c r="AK496" s="13">
        <f>IF(AND(ISNUMBER(AG496),ISNUMBER($B$26),ISNUMBER($D$26)),IF(AG496&gt;$D$26,"boven UCL",IF(AG496&lt;$B$26,"onder LCL","")),"")</f>
        <v/>
      </c>
      <c r="AL496" s="13">
        <f>IF(AND(COUNT(B496:Z496)&gt;0,COUNT(AA496:AC496)&gt;0),"ruwe waarden én getypt: getypte genegeerd",IF(COUNTA(B496:Z496,AA496:AC496)&gt;COUNT(B496:Z496,AA496:AC496),"tekst telt niet mee",IF(COUNT(B496:Z496)=1,"1 waarde: geen R of s","")))</f>
        <v/>
      </c>
    </row>
    <row r="497">
      <c r="A497" t="n">
        <v>446</v>
      </c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28">
        <f>IF(COUNT(B497:Z497)&gt;0,COUNT(B497:Z497),IF(OR(ISNUMBER(AA497),ISNUMBER(AB497)),$B$9,""))</f>
        <v/>
      </c>
      <c r="AE497" s="29">
        <f>IF(COUNT(B497:Z497)&gt;0,AVERAGE(B497:Z497),IF(ISNUMBER(AA497),AA497,""))</f>
        <v/>
      </c>
      <c r="AF497" s="29">
        <f>IF(COUNT(B497:Z497)&gt;1,MAX(B497:Z497)-MIN(B497:Z497),IF(ISNUMBER(AB497),AB497,""))</f>
        <v/>
      </c>
      <c r="AG497" s="29">
        <f>IF(COUNT(B497:Z497)&gt;1,_xlfn.STDEV.S(B497:Z497),IF(ISNUMBER(AC497),AC497,""))</f>
        <v/>
      </c>
      <c r="AH497" s="13">
        <f>IF(AND(ISNUMBER(AE497),ISNUMBER($B$23),ISNUMBER($D$23)),IF(AE497&gt;$D$23,"boven UCL",IF(AE497&lt;$B$23,"onder LCL","")),"")</f>
        <v/>
      </c>
      <c r="AI497" s="13">
        <f>IF(AND(ISNUMBER(AF497),ISNUMBER($B$24),ISNUMBER($D$24)),IF(AF497&gt;$D$24,"boven UCL",IF(AF497&lt;$B$24,"onder LCL","")),"")</f>
        <v/>
      </c>
      <c r="AJ497" s="13">
        <f>IF(AND(ISNUMBER(AE497),ISNUMBER($B$25),ISNUMBER($D$25)),IF(AE497&gt;$D$25,"boven UCL",IF(AE497&lt;$B$25,"onder LCL","")),"")</f>
        <v/>
      </c>
      <c r="AK497" s="13">
        <f>IF(AND(ISNUMBER(AG497),ISNUMBER($B$26),ISNUMBER($D$26)),IF(AG497&gt;$D$26,"boven UCL",IF(AG497&lt;$B$26,"onder LCL","")),"")</f>
        <v/>
      </c>
      <c r="AL497" s="13">
        <f>IF(AND(COUNT(B497:Z497)&gt;0,COUNT(AA497:AC497)&gt;0),"ruwe waarden én getypt: getypte genegeerd",IF(COUNTA(B497:Z497,AA497:AC497)&gt;COUNT(B497:Z497,AA497:AC497),"tekst telt niet mee",IF(COUNT(B497:Z497)=1,"1 waarde: geen R of s","")))</f>
        <v/>
      </c>
    </row>
    <row r="498">
      <c r="A498" t="n">
        <v>447</v>
      </c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28">
        <f>IF(COUNT(B498:Z498)&gt;0,COUNT(B498:Z498),IF(OR(ISNUMBER(AA498),ISNUMBER(AB498)),$B$9,""))</f>
        <v/>
      </c>
      <c r="AE498" s="29">
        <f>IF(COUNT(B498:Z498)&gt;0,AVERAGE(B498:Z498),IF(ISNUMBER(AA498),AA498,""))</f>
        <v/>
      </c>
      <c r="AF498" s="29">
        <f>IF(COUNT(B498:Z498)&gt;1,MAX(B498:Z498)-MIN(B498:Z498),IF(ISNUMBER(AB498),AB498,""))</f>
        <v/>
      </c>
      <c r="AG498" s="29">
        <f>IF(COUNT(B498:Z498)&gt;1,_xlfn.STDEV.S(B498:Z498),IF(ISNUMBER(AC498),AC498,""))</f>
        <v/>
      </c>
      <c r="AH498" s="13">
        <f>IF(AND(ISNUMBER(AE498),ISNUMBER($B$23),ISNUMBER($D$23)),IF(AE498&gt;$D$23,"boven UCL",IF(AE498&lt;$B$23,"onder LCL","")),"")</f>
        <v/>
      </c>
      <c r="AI498" s="13">
        <f>IF(AND(ISNUMBER(AF498),ISNUMBER($B$24),ISNUMBER($D$24)),IF(AF498&gt;$D$24,"boven UCL",IF(AF498&lt;$B$24,"onder LCL","")),"")</f>
        <v/>
      </c>
      <c r="AJ498" s="13">
        <f>IF(AND(ISNUMBER(AE498),ISNUMBER($B$25),ISNUMBER($D$25)),IF(AE498&gt;$D$25,"boven UCL",IF(AE498&lt;$B$25,"onder LCL","")),"")</f>
        <v/>
      </c>
      <c r="AK498" s="13">
        <f>IF(AND(ISNUMBER(AG498),ISNUMBER($B$26),ISNUMBER($D$26)),IF(AG498&gt;$D$26,"boven UCL",IF(AG498&lt;$B$26,"onder LCL","")),"")</f>
        <v/>
      </c>
      <c r="AL498" s="13">
        <f>IF(AND(COUNT(B498:Z498)&gt;0,COUNT(AA498:AC498)&gt;0),"ruwe waarden én getypt: getypte genegeerd",IF(COUNTA(B498:Z498,AA498:AC498)&gt;COUNT(B498:Z498,AA498:AC498),"tekst telt niet mee",IF(COUNT(B498:Z498)=1,"1 waarde: geen R of s","")))</f>
        <v/>
      </c>
    </row>
    <row r="499">
      <c r="A499" t="n">
        <v>448</v>
      </c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28">
        <f>IF(COUNT(B499:Z499)&gt;0,COUNT(B499:Z499),IF(OR(ISNUMBER(AA499),ISNUMBER(AB499)),$B$9,""))</f>
        <v/>
      </c>
      <c r="AE499" s="29">
        <f>IF(COUNT(B499:Z499)&gt;0,AVERAGE(B499:Z499),IF(ISNUMBER(AA499),AA499,""))</f>
        <v/>
      </c>
      <c r="AF499" s="29">
        <f>IF(COUNT(B499:Z499)&gt;1,MAX(B499:Z499)-MIN(B499:Z499),IF(ISNUMBER(AB499),AB499,""))</f>
        <v/>
      </c>
      <c r="AG499" s="29">
        <f>IF(COUNT(B499:Z499)&gt;1,_xlfn.STDEV.S(B499:Z499),IF(ISNUMBER(AC499),AC499,""))</f>
        <v/>
      </c>
      <c r="AH499" s="13">
        <f>IF(AND(ISNUMBER(AE499),ISNUMBER($B$23),ISNUMBER($D$23)),IF(AE499&gt;$D$23,"boven UCL",IF(AE499&lt;$B$23,"onder LCL","")),"")</f>
        <v/>
      </c>
      <c r="AI499" s="13">
        <f>IF(AND(ISNUMBER(AF499),ISNUMBER($B$24),ISNUMBER($D$24)),IF(AF499&gt;$D$24,"boven UCL",IF(AF499&lt;$B$24,"onder LCL","")),"")</f>
        <v/>
      </c>
      <c r="AJ499" s="13">
        <f>IF(AND(ISNUMBER(AE499),ISNUMBER($B$25),ISNUMBER($D$25)),IF(AE499&gt;$D$25,"boven UCL",IF(AE499&lt;$B$25,"onder LCL","")),"")</f>
        <v/>
      </c>
      <c r="AK499" s="13">
        <f>IF(AND(ISNUMBER(AG499),ISNUMBER($B$26),ISNUMBER($D$26)),IF(AG499&gt;$D$26,"boven UCL",IF(AG499&lt;$B$26,"onder LCL","")),"")</f>
        <v/>
      </c>
      <c r="AL499" s="13">
        <f>IF(AND(COUNT(B499:Z499)&gt;0,COUNT(AA499:AC499)&gt;0),"ruwe waarden én getypt: getypte genegeerd",IF(COUNTA(B499:Z499,AA499:AC499)&gt;COUNT(B499:Z499,AA499:AC499),"tekst telt niet mee",IF(COUNT(B499:Z499)=1,"1 waarde: geen R of s","")))</f>
        <v/>
      </c>
    </row>
    <row r="500">
      <c r="A500" t="n">
        <v>449</v>
      </c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28">
        <f>IF(COUNT(B500:Z500)&gt;0,COUNT(B500:Z500),IF(OR(ISNUMBER(AA500),ISNUMBER(AB500)),$B$9,""))</f>
        <v/>
      </c>
      <c r="AE500" s="29">
        <f>IF(COUNT(B500:Z500)&gt;0,AVERAGE(B500:Z500),IF(ISNUMBER(AA500),AA500,""))</f>
        <v/>
      </c>
      <c r="AF500" s="29">
        <f>IF(COUNT(B500:Z500)&gt;1,MAX(B500:Z500)-MIN(B500:Z500),IF(ISNUMBER(AB500),AB500,""))</f>
        <v/>
      </c>
      <c r="AG500" s="29">
        <f>IF(COUNT(B500:Z500)&gt;1,_xlfn.STDEV.S(B500:Z500),IF(ISNUMBER(AC500),AC500,""))</f>
        <v/>
      </c>
      <c r="AH500" s="13">
        <f>IF(AND(ISNUMBER(AE500),ISNUMBER($B$23),ISNUMBER($D$23)),IF(AE500&gt;$D$23,"boven UCL",IF(AE500&lt;$B$23,"onder LCL","")),"")</f>
        <v/>
      </c>
      <c r="AI500" s="13">
        <f>IF(AND(ISNUMBER(AF500),ISNUMBER($B$24),ISNUMBER($D$24)),IF(AF500&gt;$D$24,"boven UCL",IF(AF500&lt;$B$24,"onder LCL","")),"")</f>
        <v/>
      </c>
      <c r="AJ500" s="13">
        <f>IF(AND(ISNUMBER(AE500),ISNUMBER($B$25),ISNUMBER($D$25)),IF(AE500&gt;$D$25,"boven UCL",IF(AE500&lt;$B$25,"onder LCL","")),"")</f>
        <v/>
      </c>
      <c r="AK500" s="13">
        <f>IF(AND(ISNUMBER(AG500),ISNUMBER($B$26),ISNUMBER($D$26)),IF(AG500&gt;$D$26,"boven UCL",IF(AG500&lt;$B$26,"onder LCL","")),"")</f>
        <v/>
      </c>
      <c r="AL500" s="13">
        <f>IF(AND(COUNT(B500:Z500)&gt;0,COUNT(AA500:AC500)&gt;0),"ruwe waarden én getypt: getypte genegeerd",IF(COUNTA(B500:Z500,AA500:AC500)&gt;COUNT(B500:Z500,AA500:AC500),"tekst telt niet mee",IF(COUNT(B500:Z500)=1,"1 waarde: geen R of s","")))</f>
        <v/>
      </c>
    </row>
    <row r="501">
      <c r="A501" t="n">
        <v>450</v>
      </c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28">
        <f>IF(COUNT(B501:Z501)&gt;0,COUNT(B501:Z501),IF(OR(ISNUMBER(AA501),ISNUMBER(AB501)),$B$9,""))</f>
        <v/>
      </c>
      <c r="AE501" s="29">
        <f>IF(COUNT(B501:Z501)&gt;0,AVERAGE(B501:Z501),IF(ISNUMBER(AA501),AA501,""))</f>
        <v/>
      </c>
      <c r="AF501" s="29">
        <f>IF(COUNT(B501:Z501)&gt;1,MAX(B501:Z501)-MIN(B501:Z501),IF(ISNUMBER(AB501),AB501,""))</f>
        <v/>
      </c>
      <c r="AG501" s="29">
        <f>IF(COUNT(B501:Z501)&gt;1,_xlfn.STDEV.S(B501:Z501),IF(ISNUMBER(AC501),AC501,""))</f>
        <v/>
      </c>
      <c r="AH501" s="13">
        <f>IF(AND(ISNUMBER(AE501),ISNUMBER($B$23),ISNUMBER($D$23)),IF(AE501&gt;$D$23,"boven UCL",IF(AE501&lt;$B$23,"onder LCL","")),"")</f>
        <v/>
      </c>
      <c r="AI501" s="13">
        <f>IF(AND(ISNUMBER(AF501),ISNUMBER($B$24),ISNUMBER($D$24)),IF(AF501&gt;$D$24,"boven UCL",IF(AF501&lt;$B$24,"onder LCL","")),"")</f>
        <v/>
      </c>
      <c r="AJ501" s="13">
        <f>IF(AND(ISNUMBER(AE501),ISNUMBER($B$25),ISNUMBER($D$25)),IF(AE501&gt;$D$25,"boven UCL",IF(AE501&lt;$B$25,"onder LCL","")),"")</f>
        <v/>
      </c>
      <c r="AK501" s="13">
        <f>IF(AND(ISNUMBER(AG501),ISNUMBER($B$26),ISNUMBER($D$26)),IF(AG501&gt;$D$26,"boven UCL",IF(AG501&lt;$B$26,"onder LCL","")),"")</f>
        <v/>
      </c>
      <c r="AL501" s="13">
        <f>IF(AND(COUNT(B501:Z501)&gt;0,COUNT(AA501:AC501)&gt;0),"ruwe waarden én getypt: getypte genegeerd",IF(COUNTA(B501:Z501,AA501:AC501)&gt;COUNT(B501:Z501,AA501:AC501),"tekst telt niet mee",IF(COUNT(B501:Z501)=1,"1 waarde: geen R of s","")))</f>
        <v/>
      </c>
    </row>
    <row r="502">
      <c r="A502" t="n">
        <v>451</v>
      </c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28">
        <f>IF(COUNT(B502:Z502)&gt;0,COUNT(B502:Z502),IF(OR(ISNUMBER(AA502),ISNUMBER(AB502)),$B$9,""))</f>
        <v/>
      </c>
      <c r="AE502" s="29">
        <f>IF(COUNT(B502:Z502)&gt;0,AVERAGE(B502:Z502),IF(ISNUMBER(AA502),AA502,""))</f>
        <v/>
      </c>
      <c r="AF502" s="29">
        <f>IF(COUNT(B502:Z502)&gt;1,MAX(B502:Z502)-MIN(B502:Z502),IF(ISNUMBER(AB502),AB502,""))</f>
        <v/>
      </c>
      <c r="AG502" s="29">
        <f>IF(COUNT(B502:Z502)&gt;1,_xlfn.STDEV.S(B502:Z502),IF(ISNUMBER(AC502),AC502,""))</f>
        <v/>
      </c>
      <c r="AH502" s="13">
        <f>IF(AND(ISNUMBER(AE502),ISNUMBER($B$23),ISNUMBER($D$23)),IF(AE502&gt;$D$23,"boven UCL",IF(AE502&lt;$B$23,"onder LCL","")),"")</f>
        <v/>
      </c>
      <c r="AI502" s="13">
        <f>IF(AND(ISNUMBER(AF502),ISNUMBER($B$24),ISNUMBER($D$24)),IF(AF502&gt;$D$24,"boven UCL",IF(AF502&lt;$B$24,"onder LCL","")),"")</f>
        <v/>
      </c>
      <c r="AJ502" s="13">
        <f>IF(AND(ISNUMBER(AE502),ISNUMBER($B$25),ISNUMBER($D$25)),IF(AE502&gt;$D$25,"boven UCL",IF(AE502&lt;$B$25,"onder LCL","")),"")</f>
        <v/>
      </c>
      <c r="AK502" s="13">
        <f>IF(AND(ISNUMBER(AG502),ISNUMBER($B$26),ISNUMBER($D$26)),IF(AG502&gt;$D$26,"boven UCL",IF(AG502&lt;$B$26,"onder LCL","")),"")</f>
        <v/>
      </c>
      <c r="AL502" s="13">
        <f>IF(AND(COUNT(B502:Z502)&gt;0,COUNT(AA502:AC502)&gt;0),"ruwe waarden én getypt: getypte genegeerd",IF(COUNTA(B502:Z502,AA502:AC502)&gt;COUNT(B502:Z502,AA502:AC502),"tekst telt niet mee",IF(COUNT(B502:Z502)=1,"1 waarde: geen R of s","")))</f>
        <v/>
      </c>
    </row>
    <row r="503">
      <c r="A503" t="n">
        <v>452</v>
      </c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28">
        <f>IF(COUNT(B503:Z503)&gt;0,COUNT(B503:Z503),IF(OR(ISNUMBER(AA503),ISNUMBER(AB503)),$B$9,""))</f>
        <v/>
      </c>
      <c r="AE503" s="29">
        <f>IF(COUNT(B503:Z503)&gt;0,AVERAGE(B503:Z503),IF(ISNUMBER(AA503),AA503,""))</f>
        <v/>
      </c>
      <c r="AF503" s="29">
        <f>IF(COUNT(B503:Z503)&gt;1,MAX(B503:Z503)-MIN(B503:Z503),IF(ISNUMBER(AB503),AB503,""))</f>
        <v/>
      </c>
      <c r="AG503" s="29">
        <f>IF(COUNT(B503:Z503)&gt;1,_xlfn.STDEV.S(B503:Z503),IF(ISNUMBER(AC503),AC503,""))</f>
        <v/>
      </c>
      <c r="AH503" s="13">
        <f>IF(AND(ISNUMBER(AE503),ISNUMBER($B$23),ISNUMBER($D$23)),IF(AE503&gt;$D$23,"boven UCL",IF(AE503&lt;$B$23,"onder LCL","")),"")</f>
        <v/>
      </c>
      <c r="AI503" s="13">
        <f>IF(AND(ISNUMBER(AF503),ISNUMBER($B$24),ISNUMBER($D$24)),IF(AF503&gt;$D$24,"boven UCL",IF(AF503&lt;$B$24,"onder LCL","")),"")</f>
        <v/>
      </c>
      <c r="AJ503" s="13">
        <f>IF(AND(ISNUMBER(AE503),ISNUMBER($B$25),ISNUMBER($D$25)),IF(AE503&gt;$D$25,"boven UCL",IF(AE503&lt;$B$25,"onder LCL","")),"")</f>
        <v/>
      </c>
      <c r="AK503" s="13">
        <f>IF(AND(ISNUMBER(AG503),ISNUMBER($B$26),ISNUMBER($D$26)),IF(AG503&gt;$D$26,"boven UCL",IF(AG503&lt;$B$26,"onder LCL","")),"")</f>
        <v/>
      </c>
      <c r="AL503" s="13">
        <f>IF(AND(COUNT(B503:Z503)&gt;0,COUNT(AA503:AC503)&gt;0),"ruwe waarden én getypt: getypte genegeerd",IF(COUNTA(B503:Z503,AA503:AC503)&gt;COUNT(B503:Z503,AA503:AC503),"tekst telt niet mee",IF(COUNT(B503:Z503)=1,"1 waarde: geen R of s","")))</f>
        <v/>
      </c>
    </row>
    <row r="504">
      <c r="A504" t="n">
        <v>453</v>
      </c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28">
        <f>IF(COUNT(B504:Z504)&gt;0,COUNT(B504:Z504),IF(OR(ISNUMBER(AA504),ISNUMBER(AB504)),$B$9,""))</f>
        <v/>
      </c>
      <c r="AE504" s="29">
        <f>IF(COUNT(B504:Z504)&gt;0,AVERAGE(B504:Z504),IF(ISNUMBER(AA504),AA504,""))</f>
        <v/>
      </c>
      <c r="AF504" s="29">
        <f>IF(COUNT(B504:Z504)&gt;1,MAX(B504:Z504)-MIN(B504:Z504),IF(ISNUMBER(AB504),AB504,""))</f>
        <v/>
      </c>
      <c r="AG504" s="29">
        <f>IF(COUNT(B504:Z504)&gt;1,_xlfn.STDEV.S(B504:Z504),IF(ISNUMBER(AC504),AC504,""))</f>
        <v/>
      </c>
      <c r="AH504" s="13">
        <f>IF(AND(ISNUMBER(AE504),ISNUMBER($B$23),ISNUMBER($D$23)),IF(AE504&gt;$D$23,"boven UCL",IF(AE504&lt;$B$23,"onder LCL","")),"")</f>
        <v/>
      </c>
      <c r="AI504" s="13">
        <f>IF(AND(ISNUMBER(AF504),ISNUMBER($B$24),ISNUMBER($D$24)),IF(AF504&gt;$D$24,"boven UCL",IF(AF504&lt;$B$24,"onder LCL","")),"")</f>
        <v/>
      </c>
      <c r="AJ504" s="13">
        <f>IF(AND(ISNUMBER(AE504),ISNUMBER($B$25),ISNUMBER($D$25)),IF(AE504&gt;$D$25,"boven UCL",IF(AE504&lt;$B$25,"onder LCL","")),"")</f>
        <v/>
      </c>
      <c r="AK504" s="13">
        <f>IF(AND(ISNUMBER(AG504),ISNUMBER($B$26),ISNUMBER($D$26)),IF(AG504&gt;$D$26,"boven UCL",IF(AG504&lt;$B$26,"onder LCL","")),"")</f>
        <v/>
      </c>
      <c r="AL504" s="13">
        <f>IF(AND(COUNT(B504:Z504)&gt;0,COUNT(AA504:AC504)&gt;0),"ruwe waarden én getypt: getypte genegeerd",IF(COUNTA(B504:Z504,AA504:AC504)&gt;COUNT(B504:Z504,AA504:AC504),"tekst telt niet mee",IF(COUNT(B504:Z504)=1,"1 waarde: geen R of s","")))</f>
        <v/>
      </c>
    </row>
    <row r="505">
      <c r="A505" t="n">
        <v>454</v>
      </c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28">
        <f>IF(COUNT(B505:Z505)&gt;0,COUNT(B505:Z505),IF(OR(ISNUMBER(AA505),ISNUMBER(AB505)),$B$9,""))</f>
        <v/>
      </c>
      <c r="AE505" s="29">
        <f>IF(COUNT(B505:Z505)&gt;0,AVERAGE(B505:Z505),IF(ISNUMBER(AA505),AA505,""))</f>
        <v/>
      </c>
      <c r="AF505" s="29">
        <f>IF(COUNT(B505:Z505)&gt;1,MAX(B505:Z505)-MIN(B505:Z505),IF(ISNUMBER(AB505),AB505,""))</f>
        <v/>
      </c>
      <c r="AG505" s="29">
        <f>IF(COUNT(B505:Z505)&gt;1,_xlfn.STDEV.S(B505:Z505),IF(ISNUMBER(AC505),AC505,""))</f>
        <v/>
      </c>
      <c r="AH505" s="13">
        <f>IF(AND(ISNUMBER(AE505),ISNUMBER($B$23),ISNUMBER($D$23)),IF(AE505&gt;$D$23,"boven UCL",IF(AE505&lt;$B$23,"onder LCL","")),"")</f>
        <v/>
      </c>
      <c r="AI505" s="13">
        <f>IF(AND(ISNUMBER(AF505),ISNUMBER($B$24),ISNUMBER($D$24)),IF(AF505&gt;$D$24,"boven UCL",IF(AF505&lt;$B$24,"onder LCL","")),"")</f>
        <v/>
      </c>
      <c r="AJ505" s="13">
        <f>IF(AND(ISNUMBER(AE505),ISNUMBER($B$25),ISNUMBER($D$25)),IF(AE505&gt;$D$25,"boven UCL",IF(AE505&lt;$B$25,"onder LCL","")),"")</f>
        <v/>
      </c>
      <c r="AK505" s="13">
        <f>IF(AND(ISNUMBER(AG505),ISNUMBER($B$26),ISNUMBER($D$26)),IF(AG505&gt;$D$26,"boven UCL",IF(AG505&lt;$B$26,"onder LCL","")),"")</f>
        <v/>
      </c>
      <c r="AL505" s="13">
        <f>IF(AND(COUNT(B505:Z505)&gt;0,COUNT(AA505:AC505)&gt;0),"ruwe waarden én getypt: getypte genegeerd",IF(COUNTA(B505:Z505,AA505:AC505)&gt;COUNT(B505:Z505,AA505:AC505),"tekst telt niet mee",IF(COUNT(B505:Z505)=1,"1 waarde: geen R of s","")))</f>
        <v/>
      </c>
    </row>
    <row r="506">
      <c r="A506" t="n">
        <v>455</v>
      </c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28">
        <f>IF(COUNT(B506:Z506)&gt;0,COUNT(B506:Z506),IF(OR(ISNUMBER(AA506),ISNUMBER(AB506)),$B$9,""))</f>
        <v/>
      </c>
      <c r="AE506" s="29">
        <f>IF(COUNT(B506:Z506)&gt;0,AVERAGE(B506:Z506),IF(ISNUMBER(AA506),AA506,""))</f>
        <v/>
      </c>
      <c r="AF506" s="29">
        <f>IF(COUNT(B506:Z506)&gt;1,MAX(B506:Z506)-MIN(B506:Z506),IF(ISNUMBER(AB506),AB506,""))</f>
        <v/>
      </c>
      <c r="AG506" s="29">
        <f>IF(COUNT(B506:Z506)&gt;1,_xlfn.STDEV.S(B506:Z506),IF(ISNUMBER(AC506),AC506,""))</f>
        <v/>
      </c>
      <c r="AH506" s="13">
        <f>IF(AND(ISNUMBER(AE506),ISNUMBER($B$23),ISNUMBER($D$23)),IF(AE506&gt;$D$23,"boven UCL",IF(AE506&lt;$B$23,"onder LCL","")),"")</f>
        <v/>
      </c>
      <c r="AI506" s="13">
        <f>IF(AND(ISNUMBER(AF506),ISNUMBER($B$24),ISNUMBER($D$24)),IF(AF506&gt;$D$24,"boven UCL",IF(AF506&lt;$B$24,"onder LCL","")),"")</f>
        <v/>
      </c>
      <c r="AJ506" s="13">
        <f>IF(AND(ISNUMBER(AE506),ISNUMBER($B$25),ISNUMBER($D$25)),IF(AE506&gt;$D$25,"boven UCL",IF(AE506&lt;$B$25,"onder LCL","")),"")</f>
        <v/>
      </c>
      <c r="AK506" s="13">
        <f>IF(AND(ISNUMBER(AG506),ISNUMBER($B$26),ISNUMBER($D$26)),IF(AG506&gt;$D$26,"boven UCL",IF(AG506&lt;$B$26,"onder LCL","")),"")</f>
        <v/>
      </c>
      <c r="AL506" s="13">
        <f>IF(AND(COUNT(B506:Z506)&gt;0,COUNT(AA506:AC506)&gt;0),"ruwe waarden én getypt: getypte genegeerd",IF(COUNTA(B506:Z506,AA506:AC506)&gt;COUNT(B506:Z506,AA506:AC506),"tekst telt niet mee",IF(COUNT(B506:Z506)=1,"1 waarde: geen R of s","")))</f>
        <v/>
      </c>
    </row>
    <row r="507">
      <c r="A507" t="n">
        <v>456</v>
      </c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28">
        <f>IF(COUNT(B507:Z507)&gt;0,COUNT(B507:Z507),IF(OR(ISNUMBER(AA507),ISNUMBER(AB507)),$B$9,""))</f>
        <v/>
      </c>
      <c r="AE507" s="29">
        <f>IF(COUNT(B507:Z507)&gt;0,AVERAGE(B507:Z507),IF(ISNUMBER(AA507),AA507,""))</f>
        <v/>
      </c>
      <c r="AF507" s="29">
        <f>IF(COUNT(B507:Z507)&gt;1,MAX(B507:Z507)-MIN(B507:Z507),IF(ISNUMBER(AB507),AB507,""))</f>
        <v/>
      </c>
      <c r="AG507" s="29">
        <f>IF(COUNT(B507:Z507)&gt;1,_xlfn.STDEV.S(B507:Z507),IF(ISNUMBER(AC507),AC507,""))</f>
        <v/>
      </c>
      <c r="AH507" s="13">
        <f>IF(AND(ISNUMBER(AE507),ISNUMBER($B$23),ISNUMBER($D$23)),IF(AE507&gt;$D$23,"boven UCL",IF(AE507&lt;$B$23,"onder LCL","")),"")</f>
        <v/>
      </c>
      <c r="AI507" s="13">
        <f>IF(AND(ISNUMBER(AF507),ISNUMBER($B$24),ISNUMBER($D$24)),IF(AF507&gt;$D$24,"boven UCL",IF(AF507&lt;$B$24,"onder LCL","")),"")</f>
        <v/>
      </c>
      <c r="AJ507" s="13">
        <f>IF(AND(ISNUMBER(AE507),ISNUMBER($B$25),ISNUMBER($D$25)),IF(AE507&gt;$D$25,"boven UCL",IF(AE507&lt;$B$25,"onder LCL","")),"")</f>
        <v/>
      </c>
      <c r="AK507" s="13">
        <f>IF(AND(ISNUMBER(AG507),ISNUMBER($B$26),ISNUMBER($D$26)),IF(AG507&gt;$D$26,"boven UCL",IF(AG507&lt;$B$26,"onder LCL","")),"")</f>
        <v/>
      </c>
      <c r="AL507" s="13">
        <f>IF(AND(COUNT(B507:Z507)&gt;0,COUNT(AA507:AC507)&gt;0),"ruwe waarden én getypt: getypte genegeerd",IF(COUNTA(B507:Z507,AA507:AC507)&gt;COUNT(B507:Z507,AA507:AC507),"tekst telt niet mee",IF(COUNT(B507:Z507)=1,"1 waarde: geen R of s","")))</f>
        <v/>
      </c>
    </row>
    <row r="508">
      <c r="A508" t="n">
        <v>457</v>
      </c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28">
        <f>IF(COUNT(B508:Z508)&gt;0,COUNT(B508:Z508),IF(OR(ISNUMBER(AA508),ISNUMBER(AB508)),$B$9,""))</f>
        <v/>
      </c>
      <c r="AE508" s="29">
        <f>IF(COUNT(B508:Z508)&gt;0,AVERAGE(B508:Z508),IF(ISNUMBER(AA508),AA508,""))</f>
        <v/>
      </c>
      <c r="AF508" s="29">
        <f>IF(COUNT(B508:Z508)&gt;1,MAX(B508:Z508)-MIN(B508:Z508),IF(ISNUMBER(AB508),AB508,""))</f>
        <v/>
      </c>
      <c r="AG508" s="29">
        <f>IF(COUNT(B508:Z508)&gt;1,_xlfn.STDEV.S(B508:Z508),IF(ISNUMBER(AC508),AC508,""))</f>
        <v/>
      </c>
      <c r="AH508" s="13">
        <f>IF(AND(ISNUMBER(AE508),ISNUMBER($B$23),ISNUMBER($D$23)),IF(AE508&gt;$D$23,"boven UCL",IF(AE508&lt;$B$23,"onder LCL","")),"")</f>
        <v/>
      </c>
      <c r="AI508" s="13">
        <f>IF(AND(ISNUMBER(AF508),ISNUMBER($B$24),ISNUMBER($D$24)),IF(AF508&gt;$D$24,"boven UCL",IF(AF508&lt;$B$24,"onder LCL","")),"")</f>
        <v/>
      </c>
      <c r="AJ508" s="13">
        <f>IF(AND(ISNUMBER(AE508),ISNUMBER($B$25),ISNUMBER($D$25)),IF(AE508&gt;$D$25,"boven UCL",IF(AE508&lt;$B$25,"onder LCL","")),"")</f>
        <v/>
      </c>
      <c r="AK508" s="13">
        <f>IF(AND(ISNUMBER(AG508),ISNUMBER($B$26),ISNUMBER($D$26)),IF(AG508&gt;$D$26,"boven UCL",IF(AG508&lt;$B$26,"onder LCL","")),"")</f>
        <v/>
      </c>
      <c r="AL508" s="13">
        <f>IF(AND(COUNT(B508:Z508)&gt;0,COUNT(AA508:AC508)&gt;0),"ruwe waarden én getypt: getypte genegeerd",IF(COUNTA(B508:Z508,AA508:AC508)&gt;COUNT(B508:Z508,AA508:AC508),"tekst telt niet mee",IF(COUNT(B508:Z508)=1,"1 waarde: geen R of s","")))</f>
        <v/>
      </c>
    </row>
    <row r="509">
      <c r="A509" t="n">
        <v>458</v>
      </c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28">
        <f>IF(COUNT(B509:Z509)&gt;0,COUNT(B509:Z509),IF(OR(ISNUMBER(AA509),ISNUMBER(AB509)),$B$9,""))</f>
        <v/>
      </c>
      <c r="AE509" s="29">
        <f>IF(COUNT(B509:Z509)&gt;0,AVERAGE(B509:Z509),IF(ISNUMBER(AA509),AA509,""))</f>
        <v/>
      </c>
      <c r="AF509" s="29">
        <f>IF(COUNT(B509:Z509)&gt;1,MAX(B509:Z509)-MIN(B509:Z509),IF(ISNUMBER(AB509),AB509,""))</f>
        <v/>
      </c>
      <c r="AG509" s="29">
        <f>IF(COUNT(B509:Z509)&gt;1,_xlfn.STDEV.S(B509:Z509),IF(ISNUMBER(AC509),AC509,""))</f>
        <v/>
      </c>
      <c r="AH509" s="13">
        <f>IF(AND(ISNUMBER(AE509),ISNUMBER($B$23),ISNUMBER($D$23)),IF(AE509&gt;$D$23,"boven UCL",IF(AE509&lt;$B$23,"onder LCL","")),"")</f>
        <v/>
      </c>
      <c r="AI509" s="13">
        <f>IF(AND(ISNUMBER(AF509),ISNUMBER($B$24),ISNUMBER($D$24)),IF(AF509&gt;$D$24,"boven UCL",IF(AF509&lt;$B$24,"onder LCL","")),"")</f>
        <v/>
      </c>
      <c r="AJ509" s="13">
        <f>IF(AND(ISNUMBER(AE509),ISNUMBER($B$25),ISNUMBER($D$25)),IF(AE509&gt;$D$25,"boven UCL",IF(AE509&lt;$B$25,"onder LCL","")),"")</f>
        <v/>
      </c>
      <c r="AK509" s="13">
        <f>IF(AND(ISNUMBER(AG509),ISNUMBER($B$26),ISNUMBER($D$26)),IF(AG509&gt;$D$26,"boven UCL",IF(AG509&lt;$B$26,"onder LCL","")),"")</f>
        <v/>
      </c>
      <c r="AL509" s="13">
        <f>IF(AND(COUNT(B509:Z509)&gt;0,COUNT(AA509:AC509)&gt;0),"ruwe waarden én getypt: getypte genegeerd",IF(COUNTA(B509:Z509,AA509:AC509)&gt;COUNT(B509:Z509,AA509:AC509),"tekst telt niet mee",IF(COUNT(B509:Z509)=1,"1 waarde: geen R of s","")))</f>
        <v/>
      </c>
    </row>
    <row r="510">
      <c r="A510" t="n">
        <v>459</v>
      </c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28">
        <f>IF(COUNT(B510:Z510)&gt;0,COUNT(B510:Z510),IF(OR(ISNUMBER(AA510),ISNUMBER(AB510)),$B$9,""))</f>
        <v/>
      </c>
      <c r="AE510" s="29">
        <f>IF(COUNT(B510:Z510)&gt;0,AVERAGE(B510:Z510),IF(ISNUMBER(AA510),AA510,""))</f>
        <v/>
      </c>
      <c r="AF510" s="29">
        <f>IF(COUNT(B510:Z510)&gt;1,MAX(B510:Z510)-MIN(B510:Z510),IF(ISNUMBER(AB510),AB510,""))</f>
        <v/>
      </c>
      <c r="AG510" s="29">
        <f>IF(COUNT(B510:Z510)&gt;1,_xlfn.STDEV.S(B510:Z510),IF(ISNUMBER(AC510),AC510,""))</f>
        <v/>
      </c>
      <c r="AH510" s="13">
        <f>IF(AND(ISNUMBER(AE510),ISNUMBER($B$23),ISNUMBER($D$23)),IF(AE510&gt;$D$23,"boven UCL",IF(AE510&lt;$B$23,"onder LCL","")),"")</f>
        <v/>
      </c>
      <c r="AI510" s="13">
        <f>IF(AND(ISNUMBER(AF510),ISNUMBER($B$24),ISNUMBER($D$24)),IF(AF510&gt;$D$24,"boven UCL",IF(AF510&lt;$B$24,"onder LCL","")),"")</f>
        <v/>
      </c>
      <c r="AJ510" s="13">
        <f>IF(AND(ISNUMBER(AE510),ISNUMBER($B$25),ISNUMBER($D$25)),IF(AE510&gt;$D$25,"boven UCL",IF(AE510&lt;$B$25,"onder LCL","")),"")</f>
        <v/>
      </c>
      <c r="AK510" s="13">
        <f>IF(AND(ISNUMBER(AG510),ISNUMBER($B$26),ISNUMBER($D$26)),IF(AG510&gt;$D$26,"boven UCL",IF(AG510&lt;$B$26,"onder LCL","")),"")</f>
        <v/>
      </c>
      <c r="AL510" s="13">
        <f>IF(AND(COUNT(B510:Z510)&gt;0,COUNT(AA510:AC510)&gt;0),"ruwe waarden én getypt: getypte genegeerd",IF(COUNTA(B510:Z510,AA510:AC510)&gt;COUNT(B510:Z510,AA510:AC510),"tekst telt niet mee",IF(COUNT(B510:Z510)=1,"1 waarde: geen R of s","")))</f>
        <v/>
      </c>
    </row>
    <row r="511">
      <c r="A511" t="n">
        <v>460</v>
      </c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28">
        <f>IF(COUNT(B511:Z511)&gt;0,COUNT(B511:Z511),IF(OR(ISNUMBER(AA511),ISNUMBER(AB511)),$B$9,""))</f>
        <v/>
      </c>
      <c r="AE511" s="29">
        <f>IF(COUNT(B511:Z511)&gt;0,AVERAGE(B511:Z511),IF(ISNUMBER(AA511),AA511,""))</f>
        <v/>
      </c>
      <c r="AF511" s="29">
        <f>IF(COUNT(B511:Z511)&gt;1,MAX(B511:Z511)-MIN(B511:Z511),IF(ISNUMBER(AB511),AB511,""))</f>
        <v/>
      </c>
      <c r="AG511" s="29">
        <f>IF(COUNT(B511:Z511)&gt;1,_xlfn.STDEV.S(B511:Z511),IF(ISNUMBER(AC511),AC511,""))</f>
        <v/>
      </c>
      <c r="AH511" s="13">
        <f>IF(AND(ISNUMBER(AE511),ISNUMBER($B$23),ISNUMBER($D$23)),IF(AE511&gt;$D$23,"boven UCL",IF(AE511&lt;$B$23,"onder LCL","")),"")</f>
        <v/>
      </c>
      <c r="AI511" s="13">
        <f>IF(AND(ISNUMBER(AF511),ISNUMBER($B$24),ISNUMBER($D$24)),IF(AF511&gt;$D$24,"boven UCL",IF(AF511&lt;$B$24,"onder LCL","")),"")</f>
        <v/>
      </c>
      <c r="AJ511" s="13">
        <f>IF(AND(ISNUMBER(AE511),ISNUMBER($B$25),ISNUMBER($D$25)),IF(AE511&gt;$D$25,"boven UCL",IF(AE511&lt;$B$25,"onder LCL","")),"")</f>
        <v/>
      </c>
      <c r="AK511" s="13">
        <f>IF(AND(ISNUMBER(AG511),ISNUMBER($B$26),ISNUMBER($D$26)),IF(AG511&gt;$D$26,"boven UCL",IF(AG511&lt;$B$26,"onder LCL","")),"")</f>
        <v/>
      </c>
      <c r="AL511" s="13">
        <f>IF(AND(COUNT(B511:Z511)&gt;0,COUNT(AA511:AC511)&gt;0),"ruwe waarden én getypt: getypte genegeerd",IF(COUNTA(B511:Z511,AA511:AC511)&gt;COUNT(B511:Z511,AA511:AC511),"tekst telt niet mee",IF(COUNT(B511:Z511)=1,"1 waarde: geen R of s","")))</f>
        <v/>
      </c>
    </row>
    <row r="512">
      <c r="A512" t="n">
        <v>461</v>
      </c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28">
        <f>IF(COUNT(B512:Z512)&gt;0,COUNT(B512:Z512),IF(OR(ISNUMBER(AA512),ISNUMBER(AB512)),$B$9,""))</f>
        <v/>
      </c>
      <c r="AE512" s="29">
        <f>IF(COUNT(B512:Z512)&gt;0,AVERAGE(B512:Z512),IF(ISNUMBER(AA512),AA512,""))</f>
        <v/>
      </c>
      <c r="AF512" s="29">
        <f>IF(COUNT(B512:Z512)&gt;1,MAX(B512:Z512)-MIN(B512:Z512),IF(ISNUMBER(AB512),AB512,""))</f>
        <v/>
      </c>
      <c r="AG512" s="29">
        <f>IF(COUNT(B512:Z512)&gt;1,_xlfn.STDEV.S(B512:Z512),IF(ISNUMBER(AC512),AC512,""))</f>
        <v/>
      </c>
      <c r="AH512" s="13">
        <f>IF(AND(ISNUMBER(AE512),ISNUMBER($B$23),ISNUMBER($D$23)),IF(AE512&gt;$D$23,"boven UCL",IF(AE512&lt;$B$23,"onder LCL","")),"")</f>
        <v/>
      </c>
      <c r="AI512" s="13">
        <f>IF(AND(ISNUMBER(AF512),ISNUMBER($B$24),ISNUMBER($D$24)),IF(AF512&gt;$D$24,"boven UCL",IF(AF512&lt;$B$24,"onder LCL","")),"")</f>
        <v/>
      </c>
      <c r="AJ512" s="13">
        <f>IF(AND(ISNUMBER(AE512),ISNUMBER($B$25),ISNUMBER($D$25)),IF(AE512&gt;$D$25,"boven UCL",IF(AE512&lt;$B$25,"onder LCL","")),"")</f>
        <v/>
      </c>
      <c r="AK512" s="13">
        <f>IF(AND(ISNUMBER(AG512),ISNUMBER($B$26),ISNUMBER($D$26)),IF(AG512&gt;$D$26,"boven UCL",IF(AG512&lt;$B$26,"onder LCL","")),"")</f>
        <v/>
      </c>
      <c r="AL512" s="13">
        <f>IF(AND(COUNT(B512:Z512)&gt;0,COUNT(AA512:AC512)&gt;0),"ruwe waarden én getypt: getypte genegeerd",IF(COUNTA(B512:Z512,AA512:AC512)&gt;COUNT(B512:Z512,AA512:AC512),"tekst telt niet mee",IF(COUNT(B512:Z512)=1,"1 waarde: geen R of s","")))</f>
        <v/>
      </c>
    </row>
    <row r="513">
      <c r="A513" t="n">
        <v>462</v>
      </c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28">
        <f>IF(COUNT(B513:Z513)&gt;0,COUNT(B513:Z513),IF(OR(ISNUMBER(AA513),ISNUMBER(AB513)),$B$9,""))</f>
        <v/>
      </c>
      <c r="AE513" s="29">
        <f>IF(COUNT(B513:Z513)&gt;0,AVERAGE(B513:Z513),IF(ISNUMBER(AA513),AA513,""))</f>
        <v/>
      </c>
      <c r="AF513" s="29">
        <f>IF(COUNT(B513:Z513)&gt;1,MAX(B513:Z513)-MIN(B513:Z513),IF(ISNUMBER(AB513),AB513,""))</f>
        <v/>
      </c>
      <c r="AG513" s="29">
        <f>IF(COUNT(B513:Z513)&gt;1,_xlfn.STDEV.S(B513:Z513),IF(ISNUMBER(AC513),AC513,""))</f>
        <v/>
      </c>
      <c r="AH513" s="13">
        <f>IF(AND(ISNUMBER(AE513),ISNUMBER($B$23),ISNUMBER($D$23)),IF(AE513&gt;$D$23,"boven UCL",IF(AE513&lt;$B$23,"onder LCL","")),"")</f>
        <v/>
      </c>
      <c r="AI513" s="13">
        <f>IF(AND(ISNUMBER(AF513),ISNUMBER($B$24),ISNUMBER($D$24)),IF(AF513&gt;$D$24,"boven UCL",IF(AF513&lt;$B$24,"onder LCL","")),"")</f>
        <v/>
      </c>
      <c r="AJ513" s="13">
        <f>IF(AND(ISNUMBER(AE513),ISNUMBER($B$25),ISNUMBER($D$25)),IF(AE513&gt;$D$25,"boven UCL",IF(AE513&lt;$B$25,"onder LCL","")),"")</f>
        <v/>
      </c>
      <c r="AK513" s="13">
        <f>IF(AND(ISNUMBER(AG513),ISNUMBER($B$26),ISNUMBER($D$26)),IF(AG513&gt;$D$26,"boven UCL",IF(AG513&lt;$B$26,"onder LCL","")),"")</f>
        <v/>
      </c>
      <c r="AL513" s="13">
        <f>IF(AND(COUNT(B513:Z513)&gt;0,COUNT(AA513:AC513)&gt;0),"ruwe waarden én getypt: getypte genegeerd",IF(COUNTA(B513:Z513,AA513:AC513)&gt;COUNT(B513:Z513,AA513:AC513),"tekst telt niet mee",IF(COUNT(B513:Z513)=1,"1 waarde: geen R of s","")))</f>
        <v/>
      </c>
    </row>
    <row r="514">
      <c r="A514" t="n">
        <v>463</v>
      </c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28">
        <f>IF(COUNT(B514:Z514)&gt;0,COUNT(B514:Z514),IF(OR(ISNUMBER(AA514),ISNUMBER(AB514)),$B$9,""))</f>
        <v/>
      </c>
      <c r="AE514" s="29">
        <f>IF(COUNT(B514:Z514)&gt;0,AVERAGE(B514:Z514),IF(ISNUMBER(AA514),AA514,""))</f>
        <v/>
      </c>
      <c r="AF514" s="29">
        <f>IF(COUNT(B514:Z514)&gt;1,MAX(B514:Z514)-MIN(B514:Z514),IF(ISNUMBER(AB514),AB514,""))</f>
        <v/>
      </c>
      <c r="AG514" s="29">
        <f>IF(COUNT(B514:Z514)&gt;1,_xlfn.STDEV.S(B514:Z514),IF(ISNUMBER(AC514),AC514,""))</f>
        <v/>
      </c>
      <c r="AH514" s="13">
        <f>IF(AND(ISNUMBER(AE514),ISNUMBER($B$23),ISNUMBER($D$23)),IF(AE514&gt;$D$23,"boven UCL",IF(AE514&lt;$B$23,"onder LCL","")),"")</f>
        <v/>
      </c>
      <c r="AI514" s="13">
        <f>IF(AND(ISNUMBER(AF514),ISNUMBER($B$24),ISNUMBER($D$24)),IF(AF514&gt;$D$24,"boven UCL",IF(AF514&lt;$B$24,"onder LCL","")),"")</f>
        <v/>
      </c>
      <c r="AJ514" s="13">
        <f>IF(AND(ISNUMBER(AE514),ISNUMBER($B$25),ISNUMBER($D$25)),IF(AE514&gt;$D$25,"boven UCL",IF(AE514&lt;$B$25,"onder LCL","")),"")</f>
        <v/>
      </c>
      <c r="AK514" s="13">
        <f>IF(AND(ISNUMBER(AG514),ISNUMBER($B$26),ISNUMBER($D$26)),IF(AG514&gt;$D$26,"boven UCL",IF(AG514&lt;$B$26,"onder LCL","")),"")</f>
        <v/>
      </c>
      <c r="AL514" s="13">
        <f>IF(AND(COUNT(B514:Z514)&gt;0,COUNT(AA514:AC514)&gt;0),"ruwe waarden én getypt: getypte genegeerd",IF(COUNTA(B514:Z514,AA514:AC514)&gt;COUNT(B514:Z514,AA514:AC514),"tekst telt niet mee",IF(COUNT(B514:Z514)=1,"1 waarde: geen R of s","")))</f>
        <v/>
      </c>
    </row>
    <row r="515">
      <c r="A515" t="n">
        <v>464</v>
      </c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28">
        <f>IF(COUNT(B515:Z515)&gt;0,COUNT(B515:Z515),IF(OR(ISNUMBER(AA515),ISNUMBER(AB515)),$B$9,""))</f>
        <v/>
      </c>
      <c r="AE515" s="29">
        <f>IF(COUNT(B515:Z515)&gt;0,AVERAGE(B515:Z515),IF(ISNUMBER(AA515),AA515,""))</f>
        <v/>
      </c>
      <c r="AF515" s="29">
        <f>IF(COUNT(B515:Z515)&gt;1,MAX(B515:Z515)-MIN(B515:Z515),IF(ISNUMBER(AB515),AB515,""))</f>
        <v/>
      </c>
      <c r="AG515" s="29">
        <f>IF(COUNT(B515:Z515)&gt;1,_xlfn.STDEV.S(B515:Z515),IF(ISNUMBER(AC515),AC515,""))</f>
        <v/>
      </c>
      <c r="AH515" s="13">
        <f>IF(AND(ISNUMBER(AE515),ISNUMBER($B$23),ISNUMBER($D$23)),IF(AE515&gt;$D$23,"boven UCL",IF(AE515&lt;$B$23,"onder LCL","")),"")</f>
        <v/>
      </c>
      <c r="AI515" s="13">
        <f>IF(AND(ISNUMBER(AF515),ISNUMBER($B$24),ISNUMBER($D$24)),IF(AF515&gt;$D$24,"boven UCL",IF(AF515&lt;$B$24,"onder LCL","")),"")</f>
        <v/>
      </c>
      <c r="AJ515" s="13">
        <f>IF(AND(ISNUMBER(AE515),ISNUMBER($B$25),ISNUMBER($D$25)),IF(AE515&gt;$D$25,"boven UCL",IF(AE515&lt;$B$25,"onder LCL","")),"")</f>
        <v/>
      </c>
      <c r="AK515" s="13">
        <f>IF(AND(ISNUMBER(AG515),ISNUMBER($B$26),ISNUMBER($D$26)),IF(AG515&gt;$D$26,"boven UCL",IF(AG515&lt;$B$26,"onder LCL","")),"")</f>
        <v/>
      </c>
      <c r="AL515" s="13">
        <f>IF(AND(COUNT(B515:Z515)&gt;0,COUNT(AA515:AC515)&gt;0),"ruwe waarden én getypt: getypte genegeerd",IF(COUNTA(B515:Z515,AA515:AC515)&gt;COUNT(B515:Z515,AA515:AC515),"tekst telt niet mee",IF(COUNT(B515:Z515)=1,"1 waarde: geen R of s","")))</f>
        <v/>
      </c>
    </row>
    <row r="516">
      <c r="A516" t="n">
        <v>465</v>
      </c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28">
        <f>IF(COUNT(B516:Z516)&gt;0,COUNT(B516:Z516),IF(OR(ISNUMBER(AA516),ISNUMBER(AB516)),$B$9,""))</f>
        <v/>
      </c>
      <c r="AE516" s="29">
        <f>IF(COUNT(B516:Z516)&gt;0,AVERAGE(B516:Z516),IF(ISNUMBER(AA516),AA516,""))</f>
        <v/>
      </c>
      <c r="AF516" s="29">
        <f>IF(COUNT(B516:Z516)&gt;1,MAX(B516:Z516)-MIN(B516:Z516),IF(ISNUMBER(AB516),AB516,""))</f>
        <v/>
      </c>
      <c r="AG516" s="29">
        <f>IF(COUNT(B516:Z516)&gt;1,_xlfn.STDEV.S(B516:Z516),IF(ISNUMBER(AC516),AC516,""))</f>
        <v/>
      </c>
      <c r="AH516" s="13">
        <f>IF(AND(ISNUMBER(AE516),ISNUMBER($B$23),ISNUMBER($D$23)),IF(AE516&gt;$D$23,"boven UCL",IF(AE516&lt;$B$23,"onder LCL","")),"")</f>
        <v/>
      </c>
      <c r="AI516" s="13">
        <f>IF(AND(ISNUMBER(AF516),ISNUMBER($B$24),ISNUMBER($D$24)),IF(AF516&gt;$D$24,"boven UCL",IF(AF516&lt;$B$24,"onder LCL","")),"")</f>
        <v/>
      </c>
      <c r="AJ516" s="13">
        <f>IF(AND(ISNUMBER(AE516),ISNUMBER($B$25),ISNUMBER($D$25)),IF(AE516&gt;$D$25,"boven UCL",IF(AE516&lt;$B$25,"onder LCL","")),"")</f>
        <v/>
      </c>
      <c r="AK516" s="13">
        <f>IF(AND(ISNUMBER(AG516),ISNUMBER($B$26),ISNUMBER($D$26)),IF(AG516&gt;$D$26,"boven UCL",IF(AG516&lt;$B$26,"onder LCL","")),"")</f>
        <v/>
      </c>
      <c r="AL516" s="13">
        <f>IF(AND(COUNT(B516:Z516)&gt;0,COUNT(AA516:AC516)&gt;0),"ruwe waarden én getypt: getypte genegeerd",IF(COUNTA(B516:Z516,AA516:AC516)&gt;COUNT(B516:Z516,AA516:AC516),"tekst telt niet mee",IF(COUNT(B516:Z516)=1,"1 waarde: geen R of s","")))</f>
        <v/>
      </c>
    </row>
    <row r="517">
      <c r="A517" t="n">
        <v>466</v>
      </c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28">
        <f>IF(COUNT(B517:Z517)&gt;0,COUNT(B517:Z517),IF(OR(ISNUMBER(AA517),ISNUMBER(AB517)),$B$9,""))</f>
        <v/>
      </c>
      <c r="AE517" s="29">
        <f>IF(COUNT(B517:Z517)&gt;0,AVERAGE(B517:Z517),IF(ISNUMBER(AA517),AA517,""))</f>
        <v/>
      </c>
      <c r="AF517" s="29">
        <f>IF(COUNT(B517:Z517)&gt;1,MAX(B517:Z517)-MIN(B517:Z517),IF(ISNUMBER(AB517),AB517,""))</f>
        <v/>
      </c>
      <c r="AG517" s="29">
        <f>IF(COUNT(B517:Z517)&gt;1,_xlfn.STDEV.S(B517:Z517),IF(ISNUMBER(AC517),AC517,""))</f>
        <v/>
      </c>
      <c r="AH517" s="13">
        <f>IF(AND(ISNUMBER(AE517),ISNUMBER($B$23),ISNUMBER($D$23)),IF(AE517&gt;$D$23,"boven UCL",IF(AE517&lt;$B$23,"onder LCL","")),"")</f>
        <v/>
      </c>
      <c r="AI517" s="13">
        <f>IF(AND(ISNUMBER(AF517),ISNUMBER($B$24),ISNUMBER($D$24)),IF(AF517&gt;$D$24,"boven UCL",IF(AF517&lt;$B$24,"onder LCL","")),"")</f>
        <v/>
      </c>
      <c r="AJ517" s="13">
        <f>IF(AND(ISNUMBER(AE517),ISNUMBER($B$25),ISNUMBER($D$25)),IF(AE517&gt;$D$25,"boven UCL",IF(AE517&lt;$B$25,"onder LCL","")),"")</f>
        <v/>
      </c>
      <c r="AK517" s="13">
        <f>IF(AND(ISNUMBER(AG517),ISNUMBER($B$26),ISNUMBER($D$26)),IF(AG517&gt;$D$26,"boven UCL",IF(AG517&lt;$B$26,"onder LCL","")),"")</f>
        <v/>
      </c>
      <c r="AL517" s="13">
        <f>IF(AND(COUNT(B517:Z517)&gt;0,COUNT(AA517:AC517)&gt;0),"ruwe waarden én getypt: getypte genegeerd",IF(COUNTA(B517:Z517,AA517:AC517)&gt;COUNT(B517:Z517,AA517:AC517),"tekst telt niet mee",IF(COUNT(B517:Z517)=1,"1 waarde: geen R of s","")))</f>
        <v/>
      </c>
    </row>
    <row r="518">
      <c r="A518" t="n">
        <v>467</v>
      </c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28">
        <f>IF(COUNT(B518:Z518)&gt;0,COUNT(B518:Z518),IF(OR(ISNUMBER(AA518),ISNUMBER(AB518)),$B$9,""))</f>
        <v/>
      </c>
      <c r="AE518" s="29">
        <f>IF(COUNT(B518:Z518)&gt;0,AVERAGE(B518:Z518),IF(ISNUMBER(AA518),AA518,""))</f>
        <v/>
      </c>
      <c r="AF518" s="29">
        <f>IF(COUNT(B518:Z518)&gt;1,MAX(B518:Z518)-MIN(B518:Z518),IF(ISNUMBER(AB518),AB518,""))</f>
        <v/>
      </c>
      <c r="AG518" s="29">
        <f>IF(COUNT(B518:Z518)&gt;1,_xlfn.STDEV.S(B518:Z518),IF(ISNUMBER(AC518),AC518,""))</f>
        <v/>
      </c>
      <c r="AH518" s="13">
        <f>IF(AND(ISNUMBER(AE518),ISNUMBER($B$23),ISNUMBER($D$23)),IF(AE518&gt;$D$23,"boven UCL",IF(AE518&lt;$B$23,"onder LCL","")),"")</f>
        <v/>
      </c>
      <c r="AI518" s="13">
        <f>IF(AND(ISNUMBER(AF518),ISNUMBER($B$24),ISNUMBER($D$24)),IF(AF518&gt;$D$24,"boven UCL",IF(AF518&lt;$B$24,"onder LCL","")),"")</f>
        <v/>
      </c>
      <c r="AJ518" s="13">
        <f>IF(AND(ISNUMBER(AE518),ISNUMBER($B$25),ISNUMBER($D$25)),IF(AE518&gt;$D$25,"boven UCL",IF(AE518&lt;$B$25,"onder LCL","")),"")</f>
        <v/>
      </c>
      <c r="AK518" s="13">
        <f>IF(AND(ISNUMBER(AG518),ISNUMBER($B$26),ISNUMBER($D$26)),IF(AG518&gt;$D$26,"boven UCL",IF(AG518&lt;$B$26,"onder LCL","")),"")</f>
        <v/>
      </c>
      <c r="AL518" s="13">
        <f>IF(AND(COUNT(B518:Z518)&gt;0,COUNT(AA518:AC518)&gt;0),"ruwe waarden én getypt: getypte genegeerd",IF(COUNTA(B518:Z518,AA518:AC518)&gt;COUNT(B518:Z518,AA518:AC518),"tekst telt niet mee",IF(COUNT(B518:Z518)=1,"1 waarde: geen R of s","")))</f>
        <v/>
      </c>
    </row>
    <row r="519">
      <c r="A519" t="n">
        <v>468</v>
      </c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28">
        <f>IF(COUNT(B519:Z519)&gt;0,COUNT(B519:Z519),IF(OR(ISNUMBER(AA519),ISNUMBER(AB519)),$B$9,""))</f>
        <v/>
      </c>
      <c r="AE519" s="29">
        <f>IF(COUNT(B519:Z519)&gt;0,AVERAGE(B519:Z519),IF(ISNUMBER(AA519),AA519,""))</f>
        <v/>
      </c>
      <c r="AF519" s="29">
        <f>IF(COUNT(B519:Z519)&gt;1,MAX(B519:Z519)-MIN(B519:Z519),IF(ISNUMBER(AB519),AB519,""))</f>
        <v/>
      </c>
      <c r="AG519" s="29">
        <f>IF(COUNT(B519:Z519)&gt;1,_xlfn.STDEV.S(B519:Z519),IF(ISNUMBER(AC519),AC519,""))</f>
        <v/>
      </c>
      <c r="AH519" s="13">
        <f>IF(AND(ISNUMBER(AE519),ISNUMBER($B$23),ISNUMBER($D$23)),IF(AE519&gt;$D$23,"boven UCL",IF(AE519&lt;$B$23,"onder LCL","")),"")</f>
        <v/>
      </c>
      <c r="AI519" s="13">
        <f>IF(AND(ISNUMBER(AF519),ISNUMBER($B$24),ISNUMBER($D$24)),IF(AF519&gt;$D$24,"boven UCL",IF(AF519&lt;$B$24,"onder LCL","")),"")</f>
        <v/>
      </c>
      <c r="AJ519" s="13">
        <f>IF(AND(ISNUMBER(AE519),ISNUMBER($B$25),ISNUMBER($D$25)),IF(AE519&gt;$D$25,"boven UCL",IF(AE519&lt;$B$25,"onder LCL","")),"")</f>
        <v/>
      </c>
      <c r="AK519" s="13">
        <f>IF(AND(ISNUMBER(AG519),ISNUMBER($B$26),ISNUMBER($D$26)),IF(AG519&gt;$D$26,"boven UCL",IF(AG519&lt;$B$26,"onder LCL","")),"")</f>
        <v/>
      </c>
      <c r="AL519" s="13">
        <f>IF(AND(COUNT(B519:Z519)&gt;0,COUNT(AA519:AC519)&gt;0),"ruwe waarden én getypt: getypte genegeerd",IF(COUNTA(B519:Z519,AA519:AC519)&gt;COUNT(B519:Z519,AA519:AC519),"tekst telt niet mee",IF(COUNT(B519:Z519)=1,"1 waarde: geen R of s","")))</f>
        <v/>
      </c>
    </row>
    <row r="520">
      <c r="A520" t="n">
        <v>469</v>
      </c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28">
        <f>IF(COUNT(B520:Z520)&gt;0,COUNT(B520:Z520),IF(OR(ISNUMBER(AA520),ISNUMBER(AB520)),$B$9,""))</f>
        <v/>
      </c>
      <c r="AE520" s="29">
        <f>IF(COUNT(B520:Z520)&gt;0,AVERAGE(B520:Z520),IF(ISNUMBER(AA520),AA520,""))</f>
        <v/>
      </c>
      <c r="AF520" s="29">
        <f>IF(COUNT(B520:Z520)&gt;1,MAX(B520:Z520)-MIN(B520:Z520),IF(ISNUMBER(AB520),AB520,""))</f>
        <v/>
      </c>
      <c r="AG520" s="29">
        <f>IF(COUNT(B520:Z520)&gt;1,_xlfn.STDEV.S(B520:Z520),IF(ISNUMBER(AC520),AC520,""))</f>
        <v/>
      </c>
      <c r="AH520" s="13">
        <f>IF(AND(ISNUMBER(AE520),ISNUMBER($B$23),ISNUMBER($D$23)),IF(AE520&gt;$D$23,"boven UCL",IF(AE520&lt;$B$23,"onder LCL","")),"")</f>
        <v/>
      </c>
      <c r="AI520" s="13">
        <f>IF(AND(ISNUMBER(AF520),ISNUMBER($B$24),ISNUMBER($D$24)),IF(AF520&gt;$D$24,"boven UCL",IF(AF520&lt;$B$24,"onder LCL","")),"")</f>
        <v/>
      </c>
      <c r="AJ520" s="13">
        <f>IF(AND(ISNUMBER(AE520),ISNUMBER($B$25),ISNUMBER($D$25)),IF(AE520&gt;$D$25,"boven UCL",IF(AE520&lt;$B$25,"onder LCL","")),"")</f>
        <v/>
      </c>
      <c r="AK520" s="13">
        <f>IF(AND(ISNUMBER(AG520),ISNUMBER($B$26),ISNUMBER($D$26)),IF(AG520&gt;$D$26,"boven UCL",IF(AG520&lt;$B$26,"onder LCL","")),"")</f>
        <v/>
      </c>
      <c r="AL520" s="13">
        <f>IF(AND(COUNT(B520:Z520)&gt;0,COUNT(AA520:AC520)&gt;0),"ruwe waarden én getypt: getypte genegeerd",IF(COUNTA(B520:Z520,AA520:AC520)&gt;COUNT(B520:Z520,AA520:AC520),"tekst telt niet mee",IF(COUNT(B520:Z520)=1,"1 waarde: geen R of s","")))</f>
        <v/>
      </c>
    </row>
    <row r="521">
      <c r="A521" t="n">
        <v>470</v>
      </c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28">
        <f>IF(COUNT(B521:Z521)&gt;0,COUNT(B521:Z521),IF(OR(ISNUMBER(AA521),ISNUMBER(AB521)),$B$9,""))</f>
        <v/>
      </c>
      <c r="AE521" s="29">
        <f>IF(COUNT(B521:Z521)&gt;0,AVERAGE(B521:Z521),IF(ISNUMBER(AA521),AA521,""))</f>
        <v/>
      </c>
      <c r="AF521" s="29">
        <f>IF(COUNT(B521:Z521)&gt;1,MAX(B521:Z521)-MIN(B521:Z521),IF(ISNUMBER(AB521),AB521,""))</f>
        <v/>
      </c>
      <c r="AG521" s="29">
        <f>IF(COUNT(B521:Z521)&gt;1,_xlfn.STDEV.S(B521:Z521),IF(ISNUMBER(AC521),AC521,""))</f>
        <v/>
      </c>
      <c r="AH521" s="13">
        <f>IF(AND(ISNUMBER(AE521),ISNUMBER($B$23),ISNUMBER($D$23)),IF(AE521&gt;$D$23,"boven UCL",IF(AE521&lt;$B$23,"onder LCL","")),"")</f>
        <v/>
      </c>
      <c r="AI521" s="13">
        <f>IF(AND(ISNUMBER(AF521),ISNUMBER($B$24),ISNUMBER($D$24)),IF(AF521&gt;$D$24,"boven UCL",IF(AF521&lt;$B$24,"onder LCL","")),"")</f>
        <v/>
      </c>
      <c r="AJ521" s="13">
        <f>IF(AND(ISNUMBER(AE521),ISNUMBER($B$25),ISNUMBER($D$25)),IF(AE521&gt;$D$25,"boven UCL",IF(AE521&lt;$B$25,"onder LCL","")),"")</f>
        <v/>
      </c>
      <c r="AK521" s="13">
        <f>IF(AND(ISNUMBER(AG521),ISNUMBER($B$26),ISNUMBER($D$26)),IF(AG521&gt;$D$26,"boven UCL",IF(AG521&lt;$B$26,"onder LCL","")),"")</f>
        <v/>
      </c>
      <c r="AL521" s="13">
        <f>IF(AND(COUNT(B521:Z521)&gt;0,COUNT(AA521:AC521)&gt;0),"ruwe waarden én getypt: getypte genegeerd",IF(COUNTA(B521:Z521,AA521:AC521)&gt;COUNT(B521:Z521,AA521:AC521),"tekst telt niet mee",IF(COUNT(B521:Z521)=1,"1 waarde: geen R of s","")))</f>
        <v/>
      </c>
    </row>
    <row r="522">
      <c r="A522" t="n">
        <v>471</v>
      </c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28">
        <f>IF(COUNT(B522:Z522)&gt;0,COUNT(B522:Z522),IF(OR(ISNUMBER(AA522),ISNUMBER(AB522)),$B$9,""))</f>
        <v/>
      </c>
      <c r="AE522" s="29">
        <f>IF(COUNT(B522:Z522)&gt;0,AVERAGE(B522:Z522),IF(ISNUMBER(AA522),AA522,""))</f>
        <v/>
      </c>
      <c r="AF522" s="29">
        <f>IF(COUNT(B522:Z522)&gt;1,MAX(B522:Z522)-MIN(B522:Z522),IF(ISNUMBER(AB522),AB522,""))</f>
        <v/>
      </c>
      <c r="AG522" s="29">
        <f>IF(COUNT(B522:Z522)&gt;1,_xlfn.STDEV.S(B522:Z522),IF(ISNUMBER(AC522),AC522,""))</f>
        <v/>
      </c>
      <c r="AH522" s="13">
        <f>IF(AND(ISNUMBER(AE522),ISNUMBER($B$23),ISNUMBER($D$23)),IF(AE522&gt;$D$23,"boven UCL",IF(AE522&lt;$B$23,"onder LCL","")),"")</f>
        <v/>
      </c>
      <c r="AI522" s="13">
        <f>IF(AND(ISNUMBER(AF522),ISNUMBER($B$24),ISNUMBER($D$24)),IF(AF522&gt;$D$24,"boven UCL",IF(AF522&lt;$B$24,"onder LCL","")),"")</f>
        <v/>
      </c>
      <c r="AJ522" s="13">
        <f>IF(AND(ISNUMBER(AE522),ISNUMBER($B$25),ISNUMBER($D$25)),IF(AE522&gt;$D$25,"boven UCL",IF(AE522&lt;$B$25,"onder LCL","")),"")</f>
        <v/>
      </c>
      <c r="AK522" s="13">
        <f>IF(AND(ISNUMBER(AG522),ISNUMBER($B$26),ISNUMBER($D$26)),IF(AG522&gt;$D$26,"boven UCL",IF(AG522&lt;$B$26,"onder LCL","")),"")</f>
        <v/>
      </c>
      <c r="AL522" s="13">
        <f>IF(AND(COUNT(B522:Z522)&gt;0,COUNT(AA522:AC522)&gt;0),"ruwe waarden én getypt: getypte genegeerd",IF(COUNTA(B522:Z522,AA522:AC522)&gt;COUNT(B522:Z522,AA522:AC522),"tekst telt niet mee",IF(COUNT(B522:Z522)=1,"1 waarde: geen R of s","")))</f>
        <v/>
      </c>
    </row>
    <row r="523">
      <c r="A523" t="n">
        <v>472</v>
      </c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28">
        <f>IF(COUNT(B523:Z523)&gt;0,COUNT(B523:Z523),IF(OR(ISNUMBER(AA523),ISNUMBER(AB523)),$B$9,""))</f>
        <v/>
      </c>
      <c r="AE523" s="29">
        <f>IF(COUNT(B523:Z523)&gt;0,AVERAGE(B523:Z523),IF(ISNUMBER(AA523),AA523,""))</f>
        <v/>
      </c>
      <c r="AF523" s="29">
        <f>IF(COUNT(B523:Z523)&gt;1,MAX(B523:Z523)-MIN(B523:Z523),IF(ISNUMBER(AB523),AB523,""))</f>
        <v/>
      </c>
      <c r="AG523" s="29">
        <f>IF(COUNT(B523:Z523)&gt;1,_xlfn.STDEV.S(B523:Z523),IF(ISNUMBER(AC523),AC523,""))</f>
        <v/>
      </c>
      <c r="AH523" s="13">
        <f>IF(AND(ISNUMBER(AE523),ISNUMBER($B$23),ISNUMBER($D$23)),IF(AE523&gt;$D$23,"boven UCL",IF(AE523&lt;$B$23,"onder LCL","")),"")</f>
        <v/>
      </c>
      <c r="AI523" s="13">
        <f>IF(AND(ISNUMBER(AF523),ISNUMBER($B$24),ISNUMBER($D$24)),IF(AF523&gt;$D$24,"boven UCL",IF(AF523&lt;$B$24,"onder LCL","")),"")</f>
        <v/>
      </c>
      <c r="AJ523" s="13">
        <f>IF(AND(ISNUMBER(AE523),ISNUMBER($B$25),ISNUMBER($D$25)),IF(AE523&gt;$D$25,"boven UCL",IF(AE523&lt;$B$25,"onder LCL","")),"")</f>
        <v/>
      </c>
      <c r="AK523" s="13">
        <f>IF(AND(ISNUMBER(AG523),ISNUMBER($B$26),ISNUMBER($D$26)),IF(AG523&gt;$D$26,"boven UCL",IF(AG523&lt;$B$26,"onder LCL","")),"")</f>
        <v/>
      </c>
      <c r="AL523" s="13">
        <f>IF(AND(COUNT(B523:Z523)&gt;0,COUNT(AA523:AC523)&gt;0),"ruwe waarden én getypt: getypte genegeerd",IF(COUNTA(B523:Z523,AA523:AC523)&gt;COUNT(B523:Z523,AA523:AC523),"tekst telt niet mee",IF(COUNT(B523:Z523)=1,"1 waarde: geen R of s","")))</f>
        <v/>
      </c>
    </row>
    <row r="524">
      <c r="A524" t="n">
        <v>473</v>
      </c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28">
        <f>IF(COUNT(B524:Z524)&gt;0,COUNT(B524:Z524),IF(OR(ISNUMBER(AA524),ISNUMBER(AB524)),$B$9,""))</f>
        <v/>
      </c>
      <c r="AE524" s="29">
        <f>IF(COUNT(B524:Z524)&gt;0,AVERAGE(B524:Z524),IF(ISNUMBER(AA524),AA524,""))</f>
        <v/>
      </c>
      <c r="AF524" s="29">
        <f>IF(COUNT(B524:Z524)&gt;1,MAX(B524:Z524)-MIN(B524:Z524),IF(ISNUMBER(AB524),AB524,""))</f>
        <v/>
      </c>
      <c r="AG524" s="29">
        <f>IF(COUNT(B524:Z524)&gt;1,_xlfn.STDEV.S(B524:Z524),IF(ISNUMBER(AC524),AC524,""))</f>
        <v/>
      </c>
      <c r="AH524" s="13">
        <f>IF(AND(ISNUMBER(AE524),ISNUMBER($B$23),ISNUMBER($D$23)),IF(AE524&gt;$D$23,"boven UCL",IF(AE524&lt;$B$23,"onder LCL","")),"")</f>
        <v/>
      </c>
      <c r="AI524" s="13">
        <f>IF(AND(ISNUMBER(AF524),ISNUMBER($B$24),ISNUMBER($D$24)),IF(AF524&gt;$D$24,"boven UCL",IF(AF524&lt;$B$24,"onder LCL","")),"")</f>
        <v/>
      </c>
      <c r="AJ524" s="13">
        <f>IF(AND(ISNUMBER(AE524),ISNUMBER($B$25),ISNUMBER($D$25)),IF(AE524&gt;$D$25,"boven UCL",IF(AE524&lt;$B$25,"onder LCL","")),"")</f>
        <v/>
      </c>
      <c r="AK524" s="13">
        <f>IF(AND(ISNUMBER(AG524),ISNUMBER($B$26),ISNUMBER($D$26)),IF(AG524&gt;$D$26,"boven UCL",IF(AG524&lt;$B$26,"onder LCL","")),"")</f>
        <v/>
      </c>
      <c r="AL524" s="13">
        <f>IF(AND(COUNT(B524:Z524)&gt;0,COUNT(AA524:AC524)&gt;0),"ruwe waarden én getypt: getypte genegeerd",IF(COUNTA(B524:Z524,AA524:AC524)&gt;COUNT(B524:Z524,AA524:AC524),"tekst telt niet mee",IF(COUNT(B524:Z524)=1,"1 waarde: geen R of s","")))</f>
        <v/>
      </c>
    </row>
    <row r="525">
      <c r="A525" t="n">
        <v>474</v>
      </c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28">
        <f>IF(COUNT(B525:Z525)&gt;0,COUNT(B525:Z525),IF(OR(ISNUMBER(AA525),ISNUMBER(AB525)),$B$9,""))</f>
        <v/>
      </c>
      <c r="AE525" s="29">
        <f>IF(COUNT(B525:Z525)&gt;0,AVERAGE(B525:Z525),IF(ISNUMBER(AA525),AA525,""))</f>
        <v/>
      </c>
      <c r="AF525" s="29">
        <f>IF(COUNT(B525:Z525)&gt;1,MAX(B525:Z525)-MIN(B525:Z525),IF(ISNUMBER(AB525),AB525,""))</f>
        <v/>
      </c>
      <c r="AG525" s="29">
        <f>IF(COUNT(B525:Z525)&gt;1,_xlfn.STDEV.S(B525:Z525),IF(ISNUMBER(AC525),AC525,""))</f>
        <v/>
      </c>
      <c r="AH525" s="13">
        <f>IF(AND(ISNUMBER(AE525),ISNUMBER($B$23),ISNUMBER($D$23)),IF(AE525&gt;$D$23,"boven UCL",IF(AE525&lt;$B$23,"onder LCL","")),"")</f>
        <v/>
      </c>
      <c r="AI525" s="13">
        <f>IF(AND(ISNUMBER(AF525),ISNUMBER($B$24),ISNUMBER($D$24)),IF(AF525&gt;$D$24,"boven UCL",IF(AF525&lt;$B$24,"onder LCL","")),"")</f>
        <v/>
      </c>
      <c r="AJ525" s="13">
        <f>IF(AND(ISNUMBER(AE525),ISNUMBER($B$25),ISNUMBER($D$25)),IF(AE525&gt;$D$25,"boven UCL",IF(AE525&lt;$B$25,"onder LCL","")),"")</f>
        <v/>
      </c>
      <c r="AK525" s="13">
        <f>IF(AND(ISNUMBER(AG525),ISNUMBER($B$26),ISNUMBER($D$26)),IF(AG525&gt;$D$26,"boven UCL",IF(AG525&lt;$B$26,"onder LCL","")),"")</f>
        <v/>
      </c>
      <c r="AL525" s="13">
        <f>IF(AND(COUNT(B525:Z525)&gt;0,COUNT(AA525:AC525)&gt;0),"ruwe waarden én getypt: getypte genegeerd",IF(COUNTA(B525:Z525,AA525:AC525)&gt;COUNT(B525:Z525,AA525:AC525),"tekst telt niet mee",IF(COUNT(B525:Z525)=1,"1 waarde: geen R of s","")))</f>
        <v/>
      </c>
    </row>
    <row r="526">
      <c r="A526" t="n">
        <v>475</v>
      </c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28">
        <f>IF(COUNT(B526:Z526)&gt;0,COUNT(B526:Z526),IF(OR(ISNUMBER(AA526),ISNUMBER(AB526)),$B$9,""))</f>
        <v/>
      </c>
      <c r="AE526" s="29">
        <f>IF(COUNT(B526:Z526)&gt;0,AVERAGE(B526:Z526),IF(ISNUMBER(AA526),AA526,""))</f>
        <v/>
      </c>
      <c r="AF526" s="29">
        <f>IF(COUNT(B526:Z526)&gt;1,MAX(B526:Z526)-MIN(B526:Z526),IF(ISNUMBER(AB526),AB526,""))</f>
        <v/>
      </c>
      <c r="AG526" s="29">
        <f>IF(COUNT(B526:Z526)&gt;1,_xlfn.STDEV.S(B526:Z526),IF(ISNUMBER(AC526),AC526,""))</f>
        <v/>
      </c>
      <c r="AH526" s="13">
        <f>IF(AND(ISNUMBER(AE526),ISNUMBER($B$23),ISNUMBER($D$23)),IF(AE526&gt;$D$23,"boven UCL",IF(AE526&lt;$B$23,"onder LCL","")),"")</f>
        <v/>
      </c>
      <c r="AI526" s="13">
        <f>IF(AND(ISNUMBER(AF526),ISNUMBER($B$24),ISNUMBER($D$24)),IF(AF526&gt;$D$24,"boven UCL",IF(AF526&lt;$B$24,"onder LCL","")),"")</f>
        <v/>
      </c>
      <c r="AJ526" s="13">
        <f>IF(AND(ISNUMBER(AE526),ISNUMBER($B$25),ISNUMBER($D$25)),IF(AE526&gt;$D$25,"boven UCL",IF(AE526&lt;$B$25,"onder LCL","")),"")</f>
        <v/>
      </c>
      <c r="AK526" s="13">
        <f>IF(AND(ISNUMBER(AG526),ISNUMBER($B$26),ISNUMBER($D$26)),IF(AG526&gt;$D$26,"boven UCL",IF(AG526&lt;$B$26,"onder LCL","")),"")</f>
        <v/>
      </c>
      <c r="AL526" s="13">
        <f>IF(AND(COUNT(B526:Z526)&gt;0,COUNT(AA526:AC526)&gt;0),"ruwe waarden én getypt: getypte genegeerd",IF(COUNTA(B526:Z526,AA526:AC526)&gt;COUNT(B526:Z526,AA526:AC526),"tekst telt niet mee",IF(COUNT(B526:Z526)=1,"1 waarde: geen R of s","")))</f>
        <v/>
      </c>
    </row>
    <row r="527">
      <c r="A527" t="n">
        <v>476</v>
      </c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28">
        <f>IF(COUNT(B527:Z527)&gt;0,COUNT(B527:Z527),IF(OR(ISNUMBER(AA527),ISNUMBER(AB527)),$B$9,""))</f>
        <v/>
      </c>
      <c r="AE527" s="29">
        <f>IF(COUNT(B527:Z527)&gt;0,AVERAGE(B527:Z527),IF(ISNUMBER(AA527),AA527,""))</f>
        <v/>
      </c>
      <c r="AF527" s="29">
        <f>IF(COUNT(B527:Z527)&gt;1,MAX(B527:Z527)-MIN(B527:Z527),IF(ISNUMBER(AB527),AB527,""))</f>
        <v/>
      </c>
      <c r="AG527" s="29">
        <f>IF(COUNT(B527:Z527)&gt;1,_xlfn.STDEV.S(B527:Z527),IF(ISNUMBER(AC527),AC527,""))</f>
        <v/>
      </c>
      <c r="AH527" s="13">
        <f>IF(AND(ISNUMBER(AE527),ISNUMBER($B$23),ISNUMBER($D$23)),IF(AE527&gt;$D$23,"boven UCL",IF(AE527&lt;$B$23,"onder LCL","")),"")</f>
        <v/>
      </c>
      <c r="AI527" s="13">
        <f>IF(AND(ISNUMBER(AF527),ISNUMBER($B$24),ISNUMBER($D$24)),IF(AF527&gt;$D$24,"boven UCL",IF(AF527&lt;$B$24,"onder LCL","")),"")</f>
        <v/>
      </c>
      <c r="AJ527" s="13">
        <f>IF(AND(ISNUMBER(AE527),ISNUMBER($B$25),ISNUMBER($D$25)),IF(AE527&gt;$D$25,"boven UCL",IF(AE527&lt;$B$25,"onder LCL","")),"")</f>
        <v/>
      </c>
      <c r="AK527" s="13">
        <f>IF(AND(ISNUMBER(AG527),ISNUMBER($B$26),ISNUMBER($D$26)),IF(AG527&gt;$D$26,"boven UCL",IF(AG527&lt;$B$26,"onder LCL","")),"")</f>
        <v/>
      </c>
      <c r="AL527" s="13">
        <f>IF(AND(COUNT(B527:Z527)&gt;0,COUNT(AA527:AC527)&gt;0),"ruwe waarden én getypt: getypte genegeerd",IF(COUNTA(B527:Z527,AA527:AC527)&gt;COUNT(B527:Z527,AA527:AC527),"tekst telt niet mee",IF(COUNT(B527:Z527)=1,"1 waarde: geen R of s","")))</f>
        <v/>
      </c>
    </row>
    <row r="528">
      <c r="A528" t="n">
        <v>477</v>
      </c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28">
        <f>IF(COUNT(B528:Z528)&gt;0,COUNT(B528:Z528),IF(OR(ISNUMBER(AA528),ISNUMBER(AB528)),$B$9,""))</f>
        <v/>
      </c>
      <c r="AE528" s="29">
        <f>IF(COUNT(B528:Z528)&gt;0,AVERAGE(B528:Z528),IF(ISNUMBER(AA528),AA528,""))</f>
        <v/>
      </c>
      <c r="AF528" s="29">
        <f>IF(COUNT(B528:Z528)&gt;1,MAX(B528:Z528)-MIN(B528:Z528),IF(ISNUMBER(AB528),AB528,""))</f>
        <v/>
      </c>
      <c r="AG528" s="29">
        <f>IF(COUNT(B528:Z528)&gt;1,_xlfn.STDEV.S(B528:Z528),IF(ISNUMBER(AC528),AC528,""))</f>
        <v/>
      </c>
      <c r="AH528" s="13">
        <f>IF(AND(ISNUMBER(AE528),ISNUMBER($B$23),ISNUMBER($D$23)),IF(AE528&gt;$D$23,"boven UCL",IF(AE528&lt;$B$23,"onder LCL","")),"")</f>
        <v/>
      </c>
      <c r="AI528" s="13">
        <f>IF(AND(ISNUMBER(AF528),ISNUMBER($B$24),ISNUMBER($D$24)),IF(AF528&gt;$D$24,"boven UCL",IF(AF528&lt;$B$24,"onder LCL","")),"")</f>
        <v/>
      </c>
      <c r="AJ528" s="13">
        <f>IF(AND(ISNUMBER(AE528),ISNUMBER($B$25),ISNUMBER($D$25)),IF(AE528&gt;$D$25,"boven UCL",IF(AE528&lt;$B$25,"onder LCL","")),"")</f>
        <v/>
      </c>
      <c r="AK528" s="13">
        <f>IF(AND(ISNUMBER(AG528),ISNUMBER($B$26),ISNUMBER($D$26)),IF(AG528&gt;$D$26,"boven UCL",IF(AG528&lt;$B$26,"onder LCL","")),"")</f>
        <v/>
      </c>
      <c r="AL528" s="13">
        <f>IF(AND(COUNT(B528:Z528)&gt;0,COUNT(AA528:AC528)&gt;0),"ruwe waarden én getypt: getypte genegeerd",IF(COUNTA(B528:Z528,AA528:AC528)&gt;COUNT(B528:Z528,AA528:AC528),"tekst telt niet mee",IF(COUNT(B528:Z528)=1,"1 waarde: geen R of s","")))</f>
        <v/>
      </c>
    </row>
    <row r="529">
      <c r="A529" t="n">
        <v>478</v>
      </c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28">
        <f>IF(COUNT(B529:Z529)&gt;0,COUNT(B529:Z529),IF(OR(ISNUMBER(AA529),ISNUMBER(AB529)),$B$9,""))</f>
        <v/>
      </c>
      <c r="AE529" s="29">
        <f>IF(COUNT(B529:Z529)&gt;0,AVERAGE(B529:Z529),IF(ISNUMBER(AA529),AA529,""))</f>
        <v/>
      </c>
      <c r="AF529" s="29">
        <f>IF(COUNT(B529:Z529)&gt;1,MAX(B529:Z529)-MIN(B529:Z529),IF(ISNUMBER(AB529),AB529,""))</f>
        <v/>
      </c>
      <c r="AG529" s="29">
        <f>IF(COUNT(B529:Z529)&gt;1,_xlfn.STDEV.S(B529:Z529),IF(ISNUMBER(AC529),AC529,""))</f>
        <v/>
      </c>
      <c r="AH529" s="13">
        <f>IF(AND(ISNUMBER(AE529),ISNUMBER($B$23),ISNUMBER($D$23)),IF(AE529&gt;$D$23,"boven UCL",IF(AE529&lt;$B$23,"onder LCL","")),"")</f>
        <v/>
      </c>
      <c r="AI529" s="13">
        <f>IF(AND(ISNUMBER(AF529),ISNUMBER($B$24),ISNUMBER($D$24)),IF(AF529&gt;$D$24,"boven UCL",IF(AF529&lt;$B$24,"onder LCL","")),"")</f>
        <v/>
      </c>
      <c r="AJ529" s="13">
        <f>IF(AND(ISNUMBER(AE529),ISNUMBER($B$25),ISNUMBER($D$25)),IF(AE529&gt;$D$25,"boven UCL",IF(AE529&lt;$B$25,"onder LCL","")),"")</f>
        <v/>
      </c>
      <c r="AK529" s="13">
        <f>IF(AND(ISNUMBER(AG529),ISNUMBER($B$26),ISNUMBER($D$26)),IF(AG529&gt;$D$26,"boven UCL",IF(AG529&lt;$B$26,"onder LCL","")),"")</f>
        <v/>
      </c>
      <c r="AL529" s="13">
        <f>IF(AND(COUNT(B529:Z529)&gt;0,COUNT(AA529:AC529)&gt;0),"ruwe waarden én getypt: getypte genegeerd",IF(COUNTA(B529:Z529,AA529:AC529)&gt;COUNT(B529:Z529,AA529:AC529),"tekst telt niet mee",IF(COUNT(B529:Z529)=1,"1 waarde: geen R of s","")))</f>
        <v/>
      </c>
    </row>
    <row r="530">
      <c r="A530" t="n">
        <v>479</v>
      </c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28">
        <f>IF(COUNT(B530:Z530)&gt;0,COUNT(B530:Z530),IF(OR(ISNUMBER(AA530),ISNUMBER(AB530)),$B$9,""))</f>
        <v/>
      </c>
      <c r="AE530" s="29">
        <f>IF(COUNT(B530:Z530)&gt;0,AVERAGE(B530:Z530),IF(ISNUMBER(AA530),AA530,""))</f>
        <v/>
      </c>
      <c r="AF530" s="29">
        <f>IF(COUNT(B530:Z530)&gt;1,MAX(B530:Z530)-MIN(B530:Z530),IF(ISNUMBER(AB530),AB530,""))</f>
        <v/>
      </c>
      <c r="AG530" s="29">
        <f>IF(COUNT(B530:Z530)&gt;1,_xlfn.STDEV.S(B530:Z530),IF(ISNUMBER(AC530),AC530,""))</f>
        <v/>
      </c>
      <c r="AH530" s="13">
        <f>IF(AND(ISNUMBER(AE530),ISNUMBER($B$23),ISNUMBER($D$23)),IF(AE530&gt;$D$23,"boven UCL",IF(AE530&lt;$B$23,"onder LCL","")),"")</f>
        <v/>
      </c>
      <c r="AI530" s="13">
        <f>IF(AND(ISNUMBER(AF530),ISNUMBER($B$24),ISNUMBER($D$24)),IF(AF530&gt;$D$24,"boven UCL",IF(AF530&lt;$B$24,"onder LCL","")),"")</f>
        <v/>
      </c>
      <c r="AJ530" s="13">
        <f>IF(AND(ISNUMBER(AE530),ISNUMBER($B$25),ISNUMBER($D$25)),IF(AE530&gt;$D$25,"boven UCL",IF(AE530&lt;$B$25,"onder LCL","")),"")</f>
        <v/>
      </c>
      <c r="AK530" s="13">
        <f>IF(AND(ISNUMBER(AG530),ISNUMBER($B$26),ISNUMBER($D$26)),IF(AG530&gt;$D$26,"boven UCL",IF(AG530&lt;$B$26,"onder LCL","")),"")</f>
        <v/>
      </c>
      <c r="AL530" s="13">
        <f>IF(AND(COUNT(B530:Z530)&gt;0,COUNT(AA530:AC530)&gt;0),"ruwe waarden én getypt: getypte genegeerd",IF(COUNTA(B530:Z530,AA530:AC530)&gt;COUNT(B530:Z530,AA530:AC530),"tekst telt niet mee",IF(COUNT(B530:Z530)=1,"1 waarde: geen R of s","")))</f>
        <v/>
      </c>
    </row>
    <row r="531">
      <c r="A531" t="n">
        <v>480</v>
      </c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28">
        <f>IF(COUNT(B531:Z531)&gt;0,COUNT(B531:Z531),IF(OR(ISNUMBER(AA531),ISNUMBER(AB531)),$B$9,""))</f>
        <v/>
      </c>
      <c r="AE531" s="29">
        <f>IF(COUNT(B531:Z531)&gt;0,AVERAGE(B531:Z531),IF(ISNUMBER(AA531),AA531,""))</f>
        <v/>
      </c>
      <c r="AF531" s="29">
        <f>IF(COUNT(B531:Z531)&gt;1,MAX(B531:Z531)-MIN(B531:Z531),IF(ISNUMBER(AB531),AB531,""))</f>
        <v/>
      </c>
      <c r="AG531" s="29">
        <f>IF(COUNT(B531:Z531)&gt;1,_xlfn.STDEV.S(B531:Z531),IF(ISNUMBER(AC531),AC531,""))</f>
        <v/>
      </c>
      <c r="AH531" s="13">
        <f>IF(AND(ISNUMBER(AE531),ISNUMBER($B$23),ISNUMBER($D$23)),IF(AE531&gt;$D$23,"boven UCL",IF(AE531&lt;$B$23,"onder LCL","")),"")</f>
        <v/>
      </c>
      <c r="AI531" s="13">
        <f>IF(AND(ISNUMBER(AF531),ISNUMBER($B$24),ISNUMBER($D$24)),IF(AF531&gt;$D$24,"boven UCL",IF(AF531&lt;$B$24,"onder LCL","")),"")</f>
        <v/>
      </c>
      <c r="AJ531" s="13">
        <f>IF(AND(ISNUMBER(AE531),ISNUMBER($B$25),ISNUMBER($D$25)),IF(AE531&gt;$D$25,"boven UCL",IF(AE531&lt;$B$25,"onder LCL","")),"")</f>
        <v/>
      </c>
      <c r="AK531" s="13">
        <f>IF(AND(ISNUMBER(AG531),ISNUMBER($B$26),ISNUMBER($D$26)),IF(AG531&gt;$D$26,"boven UCL",IF(AG531&lt;$B$26,"onder LCL","")),"")</f>
        <v/>
      </c>
      <c r="AL531" s="13">
        <f>IF(AND(COUNT(B531:Z531)&gt;0,COUNT(AA531:AC531)&gt;0),"ruwe waarden én getypt: getypte genegeerd",IF(COUNTA(B531:Z531,AA531:AC531)&gt;COUNT(B531:Z531,AA531:AC531),"tekst telt niet mee",IF(COUNT(B531:Z531)=1,"1 waarde: geen R of s","")))</f>
        <v/>
      </c>
    </row>
    <row r="532">
      <c r="A532" t="n">
        <v>481</v>
      </c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28">
        <f>IF(COUNT(B532:Z532)&gt;0,COUNT(B532:Z532),IF(OR(ISNUMBER(AA532),ISNUMBER(AB532)),$B$9,""))</f>
        <v/>
      </c>
      <c r="AE532" s="29">
        <f>IF(COUNT(B532:Z532)&gt;0,AVERAGE(B532:Z532),IF(ISNUMBER(AA532),AA532,""))</f>
        <v/>
      </c>
      <c r="AF532" s="29">
        <f>IF(COUNT(B532:Z532)&gt;1,MAX(B532:Z532)-MIN(B532:Z532),IF(ISNUMBER(AB532),AB532,""))</f>
        <v/>
      </c>
      <c r="AG532" s="29">
        <f>IF(COUNT(B532:Z532)&gt;1,_xlfn.STDEV.S(B532:Z532),IF(ISNUMBER(AC532),AC532,""))</f>
        <v/>
      </c>
      <c r="AH532" s="13">
        <f>IF(AND(ISNUMBER(AE532),ISNUMBER($B$23),ISNUMBER($D$23)),IF(AE532&gt;$D$23,"boven UCL",IF(AE532&lt;$B$23,"onder LCL","")),"")</f>
        <v/>
      </c>
      <c r="AI532" s="13">
        <f>IF(AND(ISNUMBER(AF532),ISNUMBER($B$24),ISNUMBER($D$24)),IF(AF532&gt;$D$24,"boven UCL",IF(AF532&lt;$B$24,"onder LCL","")),"")</f>
        <v/>
      </c>
      <c r="AJ532" s="13">
        <f>IF(AND(ISNUMBER(AE532),ISNUMBER($B$25),ISNUMBER($D$25)),IF(AE532&gt;$D$25,"boven UCL",IF(AE532&lt;$B$25,"onder LCL","")),"")</f>
        <v/>
      </c>
      <c r="AK532" s="13">
        <f>IF(AND(ISNUMBER(AG532),ISNUMBER($B$26),ISNUMBER($D$26)),IF(AG532&gt;$D$26,"boven UCL",IF(AG532&lt;$B$26,"onder LCL","")),"")</f>
        <v/>
      </c>
      <c r="AL532" s="13">
        <f>IF(AND(COUNT(B532:Z532)&gt;0,COUNT(AA532:AC532)&gt;0),"ruwe waarden én getypt: getypte genegeerd",IF(COUNTA(B532:Z532,AA532:AC532)&gt;COUNT(B532:Z532,AA532:AC532),"tekst telt niet mee",IF(COUNT(B532:Z532)=1,"1 waarde: geen R of s","")))</f>
        <v/>
      </c>
    </row>
    <row r="533">
      <c r="A533" t="n">
        <v>482</v>
      </c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28">
        <f>IF(COUNT(B533:Z533)&gt;0,COUNT(B533:Z533),IF(OR(ISNUMBER(AA533),ISNUMBER(AB533)),$B$9,""))</f>
        <v/>
      </c>
      <c r="AE533" s="29">
        <f>IF(COUNT(B533:Z533)&gt;0,AVERAGE(B533:Z533),IF(ISNUMBER(AA533),AA533,""))</f>
        <v/>
      </c>
      <c r="AF533" s="29">
        <f>IF(COUNT(B533:Z533)&gt;1,MAX(B533:Z533)-MIN(B533:Z533),IF(ISNUMBER(AB533),AB533,""))</f>
        <v/>
      </c>
      <c r="AG533" s="29">
        <f>IF(COUNT(B533:Z533)&gt;1,_xlfn.STDEV.S(B533:Z533),IF(ISNUMBER(AC533),AC533,""))</f>
        <v/>
      </c>
      <c r="AH533" s="13">
        <f>IF(AND(ISNUMBER(AE533),ISNUMBER($B$23),ISNUMBER($D$23)),IF(AE533&gt;$D$23,"boven UCL",IF(AE533&lt;$B$23,"onder LCL","")),"")</f>
        <v/>
      </c>
      <c r="AI533" s="13">
        <f>IF(AND(ISNUMBER(AF533),ISNUMBER($B$24),ISNUMBER($D$24)),IF(AF533&gt;$D$24,"boven UCL",IF(AF533&lt;$B$24,"onder LCL","")),"")</f>
        <v/>
      </c>
      <c r="AJ533" s="13">
        <f>IF(AND(ISNUMBER(AE533),ISNUMBER($B$25),ISNUMBER($D$25)),IF(AE533&gt;$D$25,"boven UCL",IF(AE533&lt;$B$25,"onder LCL","")),"")</f>
        <v/>
      </c>
      <c r="AK533" s="13">
        <f>IF(AND(ISNUMBER(AG533),ISNUMBER($B$26),ISNUMBER($D$26)),IF(AG533&gt;$D$26,"boven UCL",IF(AG533&lt;$B$26,"onder LCL","")),"")</f>
        <v/>
      </c>
      <c r="AL533" s="13">
        <f>IF(AND(COUNT(B533:Z533)&gt;0,COUNT(AA533:AC533)&gt;0),"ruwe waarden én getypt: getypte genegeerd",IF(COUNTA(B533:Z533,AA533:AC533)&gt;COUNT(B533:Z533,AA533:AC533),"tekst telt niet mee",IF(COUNT(B533:Z533)=1,"1 waarde: geen R of s","")))</f>
        <v/>
      </c>
    </row>
    <row r="534">
      <c r="A534" t="n">
        <v>483</v>
      </c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28">
        <f>IF(COUNT(B534:Z534)&gt;0,COUNT(B534:Z534),IF(OR(ISNUMBER(AA534),ISNUMBER(AB534)),$B$9,""))</f>
        <v/>
      </c>
      <c r="AE534" s="29">
        <f>IF(COUNT(B534:Z534)&gt;0,AVERAGE(B534:Z534),IF(ISNUMBER(AA534),AA534,""))</f>
        <v/>
      </c>
      <c r="AF534" s="29">
        <f>IF(COUNT(B534:Z534)&gt;1,MAX(B534:Z534)-MIN(B534:Z534),IF(ISNUMBER(AB534),AB534,""))</f>
        <v/>
      </c>
      <c r="AG534" s="29">
        <f>IF(COUNT(B534:Z534)&gt;1,_xlfn.STDEV.S(B534:Z534),IF(ISNUMBER(AC534),AC534,""))</f>
        <v/>
      </c>
      <c r="AH534" s="13">
        <f>IF(AND(ISNUMBER(AE534),ISNUMBER($B$23),ISNUMBER($D$23)),IF(AE534&gt;$D$23,"boven UCL",IF(AE534&lt;$B$23,"onder LCL","")),"")</f>
        <v/>
      </c>
      <c r="AI534" s="13">
        <f>IF(AND(ISNUMBER(AF534),ISNUMBER($B$24),ISNUMBER($D$24)),IF(AF534&gt;$D$24,"boven UCL",IF(AF534&lt;$B$24,"onder LCL","")),"")</f>
        <v/>
      </c>
      <c r="AJ534" s="13">
        <f>IF(AND(ISNUMBER(AE534),ISNUMBER($B$25),ISNUMBER($D$25)),IF(AE534&gt;$D$25,"boven UCL",IF(AE534&lt;$B$25,"onder LCL","")),"")</f>
        <v/>
      </c>
      <c r="AK534" s="13">
        <f>IF(AND(ISNUMBER(AG534),ISNUMBER($B$26),ISNUMBER($D$26)),IF(AG534&gt;$D$26,"boven UCL",IF(AG534&lt;$B$26,"onder LCL","")),"")</f>
        <v/>
      </c>
      <c r="AL534" s="13">
        <f>IF(AND(COUNT(B534:Z534)&gt;0,COUNT(AA534:AC534)&gt;0),"ruwe waarden én getypt: getypte genegeerd",IF(COUNTA(B534:Z534,AA534:AC534)&gt;COUNT(B534:Z534,AA534:AC534),"tekst telt niet mee",IF(COUNT(B534:Z534)=1,"1 waarde: geen R of s","")))</f>
        <v/>
      </c>
    </row>
    <row r="535">
      <c r="A535" t="n">
        <v>484</v>
      </c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28">
        <f>IF(COUNT(B535:Z535)&gt;0,COUNT(B535:Z535),IF(OR(ISNUMBER(AA535),ISNUMBER(AB535)),$B$9,""))</f>
        <v/>
      </c>
      <c r="AE535" s="29">
        <f>IF(COUNT(B535:Z535)&gt;0,AVERAGE(B535:Z535),IF(ISNUMBER(AA535),AA535,""))</f>
        <v/>
      </c>
      <c r="AF535" s="29">
        <f>IF(COUNT(B535:Z535)&gt;1,MAX(B535:Z535)-MIN(B535:Z535),IF(ISNUMBER(AB535),AB535,""))</f>
        <v/>
      </c>
      <c r="AG535" s="29">
        <f>IF(COUNT(B535:Z535)&gt;1,_xlfn.STDEV.S(B535:Z535),IF(ISNUMBER(AC535),AC535,""))</f>
        <v/>
      </c>
      <c r="AH535" s="13">
        <f>IF(AND(ISNUMBER(AE535),ISNUMBER($B$23),ISNUMBER($D$23)),IF(AE535&gt;$D$23,"boven UCL",IF(AE535&lt;$B$23,"onder LCL","")),"")</f>
        <v/>
      </c>
      <c r="AI535" s="13">
        <f>IF(AND(ISNUMBER(AF535),ISNUMBER($B$24),ISNUMBER($D$24)),IF(AF535&gt;$D$24,"boven UCL",IF(AF535&lt;$B$24,"onder LCL","")),"")</f>
        <v/>
      </c>
      <c r="AJ535" s="13">
        <f>IF(AND(ISNUMBER(AE535),ISNUMBER($B$25),ISNUMBER($D$25)),IF(AE535&gt;$D$25,"boven UCL",IF(AE535&lt;$B$25,"onder LCL","")),"")</f>
        <v/>
      </c>
      <c r="AK535" s="13">
        <f>IF(AND(ISNUMBER(AG535),ISNUMBER($B$26),ISNUMBER($D$26)),IF(AG535&gt;$D$26,"boven UCL",IF(AG535&lt;$B$26,"onder LCL","")),"")</f>
        <v/>
      </c>
      <c r="AL535" s="13">
        <f>IF(AND(COUNT(B535:Z535)&gt;0,COUNT(AA535:AC535)&gt;0),"ruwe waarden én getypt: getypte genegeerd",IF(COUNTA(B535:Z535,AA535:AC535)&gt;COUNT(B535:Z535,AA535:AC535),"tekst telt niet mee",IF(COUNT(B535:Z535)=1,"1 waarde: geen R of s","")))</f>
        <v/>
      </c>
    </row>
    <row r="536">
      <c r="A536" t="n">
        <v>485</v>
      </c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28">
        <f>IF(COUNT(B536:Z536)&gt;0,COUNT(B536:Z536),IF(OR(ISNUMBER(AA536),ISNUMBER(AB536)),$B$9,""))</f>
        <v/>
      </c>
      <c r="AE536" s="29">
        <f>IF(COUNT(B536:Z536)&gt;0,AVERAGE(B536:Z536),IF(ISNUMBER(AA536),AA536,""))</f>
        <v/>
      </c>
      <c r="AF536" s="29">
        <f>IF(COUNT(B536:Z536)&gt;1,MAX(B536:Z536)-MIN(B536:Z536),IF(ISNUMBER(AB536),AB536,""))</f>
        <v/>
      </c>
      <c r="AG536" s="29">
        <f>IF(COUNT(B536:Z536)&gt;1,_xlfn.STDEV.S(B536:Z536),IF(ISNUMBER(AC536),AC536,""))</f>
        <v/>
      </c>
      <c r="AH536" s="13">
        <f>IF(AND(ISNUMBER(AE536),ISNUMBER($B$23),ISNUMBER($D$23)),IF(AE536&gt;$D$23,"boven UCL",IF(AE536&lt;$B$23,"onder LCL","")),"")</f>
        <v/>
      </c>
      <c r="AI536" s="13">
        <f>IF(AND(ISNUMBER(AF536),ISNUMBER($B$24),ISNUMBER($D$24)),IF(AF536&gt;$D$24,"boven UCL",IF(AF536&lt;$B$24,"onder LCL","")),"")</f>
        <v/>
      </c>
      <c r="AJ536" s="13">
        <f>IF(AND(ISNUMBER(AE536),ISNUMBER($B$25),ISNUMBER($D$25)),IF(AE536&gt;$D$25,"boven UCL",IF(AE536&lt;$B$25,"onder LCL","")),"")</f>
        <v/>
      </c>
      <c r="AK536" s="13">
        <f>IF(AND(ISNUMBER(AG536),ISNUMBER($B$26),ISNUMBER($D$26)),IF(AG536&gt;$D$26,"boven UCL",IF(AG536&lt;$B$26,"onder LCL","")),"")</f>
        <v/>
      </c>
      <c r="AL536" s="13">
        <f>IF(AND(COUNT(B536:Z536)&gt;0,COUNT(AA536:AC536)&gt;0),"ruwe waarden én getypt: getypte genegeerd",IF(COUNTA(B536:Z536,AA536:AC536)&gt;COUNT(B536:Z536,AA536:AC536),"tekst telt niet mee",IF(COUNT(B536:Z536)=1,"1 waarde: geen R of s","")))</f>
        <v/>
      </c>
    </row>
    <row r="537">
      <c r="A537" t="n">
        <v>486</v>
      </c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28">
        <f>IF(COUNT(B537:Z537)&gt;0,COUNT(B537:Z537),IF(OR(ISNUMBER(AA537),ISNUMBER(AB537)),$B$9,""))</f>
        <v/>
      </c>
      <c r="AE537" s="29">
        <f>IF(COUNT(B537:Z537)&gt;0,AVERAGE(B537:Z537),IF(ISNUMBER(AA537),AA537,""))</f>
        <v/>
      </c>
      <c r="AF537" s="29">
        <f>IF(COUNT(B537:Z537)&gt;1,MAX(B537:Z537)-MIN(B537:Z537),IF(ISNUMBER(AB537),AB537,""))</f>
        <v/>
      </c>
      <c r="AG537" s="29">
        <f>IF(COUNT(B537:Z537)&gt;1,_xlfn.STDEV.S(B537:Z537),IF(ISNUMBER(AC537),AC537,""))</f>
        <v/>
      </c>
      <c r="AH537" s="13">
        <f>IF(AND(ISNUMBER(AE537),ISNUMBER($B$23),ISNUMBER($D$23)),IF(AE537&gt;$D$23,"boven UCL",IF(AE537&lt;$B$23,"onder LCL","")),"")</f>
        <v/>
      </c>
      <c r="AI537" s="13">
        <f>IF(AND(ISNUMBER(AF537),ISNUMBER($B$24),ISNUMBER($D$24)),IF(AF537&gt;$D$24,"boven UCL",IF(AF537&lt;$B$24,"onder LCL","")),"")</f>
        <v/>
      </c>
      <c r="AJ537" s="13">
        <f>IF(AND(ISNUMBER(AE537),ISNUMBER($B$25),ISNUMBER($D$25)),IF(AE537&gt;$D$25,"boven UCL",IF(AE537&lt;$B$25,"onder LCL","")),"")</f>
        <v/>
      </c>
      <c r="AK537" s="13">
        <f>IF(AND(ISNUMBER(AG537),ISNUMBER($B$26),ISNUMBER($D$26)),IF(AG537&gt;$D$26,"boven UCL",IF(AG537&lt;$B$26,"onder LCL","")),"")</f>
        <v/>
      </c>
      <c r="AL537" s="13">
        <f>IF(AND(COUNT(B537:Z537)&gt;0,COUNT(AA537:AC537)&gt;0),"ruwe waarden én getypt: getypte genegeerd",IF(COUNTA(B537:Z537,AA537:AC537)&gt;COUNT(B537:Z537,AA537:AC537),"tekst telt niet mee",IF(COUNT(B537:Z537)=1,"1 waarde: geen R of s","")))</f>
        <v/>
      </c>
    </row>
    <row r="538">
      <c r="A538" t="n">
        <v>487</v>
      </c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28">
        <f>IF(COUNT(B538:Z538)&gt;0,COUNT(B538:Z538),IF(OR(ISNUMBER(AA538),ISNUMBER(AB538)),$B$9,""))</f>
        <v/>
      </c>
      <c r="AE538" s="29">
        <f>IF(COUNT(B538:Z538)&gt;0,AVERAGE(B538:Z538),IF(ISNUMBER(AA538),AA538,""))</f>
        <v/>
      </c>
      <c r="AF538" s="29">
        <f>IF(COUNT(B538:Z538)&gt;1,MAX(B538:Z538)-MIN(B538:Z538),IF(ISNUMBER(AB538),AB538,""))</f>
        <v/>
      </c>
      <c r="AG538" s="29">
        <f>IF(COUNT(B538:Z538)&gt;1,_xlfn.STDEV.S(B538:Z538),IF(ISNUMBER(AC538),AC538,""))</f>
        <v/>
      </c>
      <c r="AH538" s="13">
        <f>IF(AND(ISNUMBER(AE538),ISNUMBER($B$23),ISNUMBER($D$23)),IF(AE538&gt;$D$23,"boven UCL",IF(AE538&lt;$B$23,"onder LCL","")),"")</f>
        <v/>
      </c>
      <c r="AI538" s="13">
        <f>IF(AND(ISNUMBER(AF538),ISNUMBER($B$24),ISNUMBER($D$24)),IF(AF538&gt;$D$24,"boven UCL",IF(AF538&lt;$B$24,"onder LCL","")),"")</f>
        <v/>
      </c>
      <c r="AJ538" s="13">
        <f>IF(AND(ISNUMBER(AE538),ISNUMBER($B$25),ISNUMBER($D$25)),IF(AE538&gt;$D$25,"boven UCL",IF(AE538&lt;$B$25,"onder LCL","")),"")</f>
        <v/>
      </c>
      <c r="AK538" s="13">
        <f>IF(AND(ISNUMBER(AG538),ISNUMBER($B$26),ISNUMBER($D$26)),IF(AG538&gt;$D$26,"boven UCL",IF(AG538&lt;$B$26,"onder LCL","")),"")</f>
        <v/>
      </c>
      <c r="AL538" s="13">
        <f>IF(AND(COUNT(B538:Z538)&gt;0,COUNT(AA538:AC538)&gt;0),"ruwe waarden én getypt: getypte genegeerd",IF(COUNTA(B538:Z538,AA538:AC538)&gt;COUNT(B538:Z538,AA538:AC538),"tekst telt niet mee",IF(COUNT(B538:Z538)=1,"1 waarde: geen R of s","")))</f>
        <v/>
      </c>
    </row>
    <row r="539">
      <c r="A539" t="n">
        <v>488</v>
      </c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28">
        <f>IF(COUNT(B539:Z539)&gt;0,COUNT(B539:Z539),IF(OR(ISNUMBER(AA539),ISNUMBER(AB539)),$B$9,""))</f>
        <v/>
      </c>
      <c r="AE539" s="29">
        <f>IF(COUNT(B539:Z539)&gt;0,AVERAGE(B539:Z539),IF(ISNUMBER(AA539),AA539,""))</f>
        <v/>
      </c>
      <c r="AF539" s="29">
        <f>IF(COUNT(B539:Z539)&gt;1,MAX(B539:Z539)-MIN(B539:Z539),IF(ISNUMBER(AB539),AB539,""))</f>
        <v/>
      </c>
      <c r="AG539" s="29">
        <f>IF(COUNT(B539:Z539)&gt;1,_xlfn.STDEV.S(B539:Z539),IF(ISNUMBER(AC539),AC539,""))</f>
        <v/>
      </c>
      <c r="AH539" s="13">
        <f>IF(AND(ISNUMBER(AE539),ISNUMBER($B$23),ISNUMBER($D$23)),IF(AE539&gt;$D$23,"boven UCL",IF(AE539&lt;$B$23,"onder LCL","")),"")</f>
        <v/>
      </c>
      <c r="AI539" s="13">
        <f>IF(AND(ISNUMBER(AF539),ISNUMBER($B$24),ISNUMBER($D$24)),IF(AF539&gt;$D$24,"boven UCL",IF(AF539&lt;$B$24,"onder LCL","")),"")</f>
        <v/>
      </c>
      <c r="AJ539" s="13">
        <f>IF(AND(ISNUMBER(AE539),ISNUMBER($B$25),ISNUMBER($D$25)),IF(AE539&gt;$D$25,"boven UCL",IF(AE539&lt;$B$25,"onder LCL","")),"")</f>
        <v/>
      </c>
      <c r="AK539" s="13">
        <f>IF(AND(ISNUMBER(AG539),ISNUMBER($B$26),ISNUMBER($D$26)),IF(AG539&gt;$D$26,"boven UCL",IF(AG539&lt;$B$26,"onder LCL","")),"")</f>
        <v/>
      </c>
      <c r="AL539" s="13">
        <f>IF(AND(COUNT(B539:Z539)&gt;0,COUNT(AA539:AC539)&gt;0),"ruwe waarden én getypt: getypte genegeerd",IF(COUNTA(B539:Z539,AA539:AC539)&gt;COUNT(B539:Z539,AA539:AC539),"tekst telt niet mee",IF(COUNT(B539:Z539)=1,"1 waarde: geen R of s","")))</f>
        <v/>
      </c>
    </row>
    <row r="540">
      <c r="A540" t="n">
        <v>489</v>
      </c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28">
        <f>IF(COUNT(B540:Z540)&gt;0,COUNT(B540:Z540),IF(OR(ISNUMBER(AA540),ISNUMBER(AB540)),$B$9,""))</f>
        <v/>
      </c>
      <c r="AE540" s="29">
        <f>IF(COUNT(B540:Z540)&gt;0,AVERAGE(B540:Z540),IF(ISNUMBER(AA540),AA540,""))</f>
        <v/>
      </c>
      <c r="AF540" s="29">
        <f>IF(COUNT(B540:Z540)&gt;1,MAX(B540:Z540)-MIN(B540:Z540),IF(ISNUMBER(AB540),AB540,""))</f>
        <v/>
      </c>
      <c r="AG540" s="29">
        <f>IF(COUNT(B540:Z540)&gt;1,_xlfn.STDEV.S(B540:Z540),IF(ISNUMBER(AC540),AC540,""))</f>
        <v/>
      </c>
      <c r="AH540" s="13">
        <f>IF(AND(ISNUMBER(AE540),ISNUMBER($B$23),ISNUMBER($D$23)),IF(AE540&gt;$D$23,"boven UCL",IF(AE540&lt;$B$23,"onder LCL","")),"")</f>
        <v/>
      </c>
      <c r="AI540" s="13">
        <f>IF(AND(ISNUMBER(AF540),ISNUMBER($B$24),ISNUMBER($D$24)),IF(AF540&gt;$D$24,"boven UCL",IF(AF540&lt;$B$24,"onder LCL","")),"")</f>
        <v/>
      </c>
      <c r="AJ540" s="13">
        <f>IF(AND(ISNUMBER(AE540),ISNUMBER($B$25),ISNUMBER($D$25)),IF(AE540&gt;$D$25,"boven UCL",IF(AE540&lt;$B$25,"onder LCL","")),"")</f>
        <v/>
      </c>
      <c r="AK540" s="13">
        <f>IF(AND(ISNUMBER(AG540),ISNUMBER($B$26),ISNUMBER($D$26)),IF(AG540&gt;$D$26,"boven UCL",IF(AG540&lt;$B$26,"onder LCL","")),"")</f>
        <v/>
      </c>
      <c r="AL540" s="13">
        <f>IF(AND(COUNT(B540:Z540)&gt;0,COUNT(AA540:AC540)&gt;0),"ruwe waarden én getypt: getypte genegeerd",IF(COUNTA(B540:Z540,AA540:AC540)&gt;COUNT(B540:Z540,AA540:AC540),"tekst telt niet mee",IF(COUNT(B540:Z540)=1,"1 waarde: geen R of s","")))</f>
        <v/>
      </c>
    </row>
    <row r="541">
      <c r="A541" t="n">
        <v>490</v>
      </c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28">
        <f>IF(COUNT(B541:Z541)&gt;0,COUNT(B541:Z541),IF(OR(ISNUMBER(AA541),ISNUMBER(AB541)),$B$9,""))</f>
        <v/>
      </c>
      <c r="AE541" s="29">
        <f>IF(COUNT(B541:Z541)&gt;0,AVERAGE(B541:Z541),IF(ISNUMBER(AA541),AA541,""))</f>
        <v/>
      </c>
      <c r="AF541" s="29">
        <f>IF(COUNT(B541:Z541)&gt;1,MAX(B541:Z541)-MIN(B541:Z541),IF(ISNUMBER(AB541),AB541,""))</f>
        <v/>
      </c>
      <c r="AG541" s="29">
        <f>IF(COUNT(B541:Z541)&gt;1,_xlfn.STDEV.S(B541:Z541),IF(ISNUMBER(AC541),AC541,""))</f>
        <v/>
      </c>
      <c r="AH541" s="13">
        <f>IF(AND(ISNUMBER(AE541),ISNUMBER($B$23),ISNUMBER($D$23)),IF(AE541&gt;$D$23,"boven UCL",IF(AE541&lt;$B$23,"onder LCL","")),"")</f>
        <v/>
      </c>
      <c r="AI541" s="13">
        <f>IF(AND(ISNUMBER(AF541),ISNUMBER($B$24),ISNUMBER($D$24)),IF(AF541&gt;$D$24,"boven UCL",IF(AF541&lt;$B$24,"onder LCL","")),"")</f>
        <v/>
      </c>
      <c r="AJ541" s="13">
        <f>IF(AND(ISNUMBER(AE541),ISNUMBER($B$25),ISNUMBER($D$25)),IF(AE541&gt;$D$25,"boven UCL",IF(AE541&lt;$B$25,"onder LCL","")),"")</f>
        <v/>
      </c>
      <c r="AK541" s="13">
        <f>IF(AND(ISNUMBER(AG541),ISNUMBER($B$26),ISNUMBER($D$26)),IF(AG541&gt;$D$26,"boven UCL",IF(AG541&lt;$B$26,"onder LCL","")),"")</f>
        <v/>
      </c>
      <c r="AL541" s="13">
        <f>IF(AND(COUNT(B541:Z541)&gt;0,COUNT(AA541:AC541)&gt;0),"ruwe waarden én getypt: getypte genegeerd",IF(COUNTA(B541:Z541,AA541:AC541)&gt;COUNT(B541:Z541,AA541:AC541),"tekst telt niet mee",IF(COUNT(B541:Z541)=1,"1 waarde: geen R of s","")))</f>
        <v/>
      </c>
    </row>
    <row r="542">
      <c r="A542" t="n">
        <v>491</v>
      </c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28">
        <f>IF(COUNT(B542:Z542)&gt;0,COUNT(B542:Z542),IF(OR(ISNUMBER(AA542),ISNUMBER(AB542)),$B$9,""))</f>
        <v/>
      </c>
      <c r="AE542" s="29">
        <f>IF(COUNT(B542:Z542)&gt;0,AVERAGE(B542:Z542),IF(ISNUMBER(AA542),AA542,""))</f>
        <v/>
      </c>
      <c r="AF542" s="29">
        <f>IF(COUNT(B542:Z542)&gt;1,MAX(B542:Z542)-MIN(B542:Z542),IF(ISNUMBER(AB542),AB542,""))</f>
        <v/>
      </c>
      <c r="AG542" s="29">
        <f>IF(COUNT(B542:Z542)&gt;1,_xlfn.STDEV.S(B542:Z542),IF(ISNUMBER(AC542),AC542,""))</f>
        <v/>
      </c>
      <c r="AH542" s="13">
        <f>IF(AND(ISNUMBER(AE542),ISNUMBER($B$23),ISNUMBER($D$23)),IF(AE542&gt;$D$23,"boven UCL",IF(AE542&lt;$B$23,"onder LCL","")),"")</f>
        <v/>
      </c>
      <c r="AI542" s="13">
        <f>IF(AND(ISNUMBER(AF542),ISNUMBER($B$24),ISNUMBER($D$24)),IF(AF542&gt;$D$24,"boven UCL",IF(AF542&lt;$B$24,"onder LCL","")),"")</f>
        <v/>
      </c>
      <c r="AJ542" s="13">
        <f>IF(AND(ISNUMBER(AE542),ISNUMBER($B$25),ISNUMBER($D$25)),IF(AE542&gt;$D$25,"boven UCL",IF(AE542&lt;$B$25,"onder LCL","")),"")</f>
        <v/>
      </c>
      <c r="AK542" s="13">
        <f>IF(AND(ISNUMBER(AG542),ISNUMBER($B$26),ISNUMBER($D$26)),IF(AG542&gt;$D$26,"boven UCL",IF(AG542&lt;$B$26,"onder LCL","")),"")</f>
        <v/>
      </c>
      <c r="AL542" s="13">
        <f>IF(AND(COUNT(B542:Z542)&gt;0,COUNT(AA542:AC542)&gt;0),"ruwe waarden én getypt: getypte genegeerd",IF(COUNTA(B542:Z542,AA542:AC542)&gt;COUNT(B542:Z542,AA542:AC542),"tekst telt niet mee",IF(COUNT(B542:Z542)=1,"1 waarde: geen R of s","")))</f>
        <v/>
      </c>
    </row>
    <row r="543">
      <c r="A543" t="n">
        <v>492</v>
      </c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28">
        <f>IF(COUNT(B543:Z543)&gt;0,COUNT(B543:Z543),IF(OR(ISNUMBER(AA543),ISNUMBER(AB543)),$B$9,""))</f>
        <v/>
      </c>
      <c r="AE543" s="29">
        <f>IF(COUNT(B543:Z543)&gt;0,AVERAGE(B543:Z543),IF(ISNUMBER(AA543),AA543,""))</f>
        <v/>
      </c>
      <c r="AF543" s="29">
        <f>IF(COUNT(B543:Z543)&gt;1,MAX(B543:Z543)-MIN(B543:Z543),IF(ISNUMBER(AB543),AB543,""))</f>
        <v/>
      </c>
      <c r="AG543" s="29">
        <f>IF(COUNT(B543:Z543)&gt;1,_xlfn.STDEV.S(B543:Z543),IF(ISNUMBER(AC543),AC543,""))</f>
        <v/>
      </c>
      <c r="AH543" s="13">
        <f>IF(AND(ISNUMBER(AE543),ISNUMBER($B$23),ISNUMBER($D$23)),IF(AE543&gt;$D$23,"boven UCL",IF(AE543&lt;$B$23,"onder LCL","")),"")</f>
        <v/>
      </c>
      <c r="AI543" s="13">
        <f>IF(AND(ISNUMBER(AF543),ISNUMBER($B$24),ISNUMBER($D$24)),IF(AF543&gt;$D$24,"boven UCL",IF(AF543&lt;$B$24,"onder LCL","")),"")</f>
        <v/>
      </c>
      <c r="AJ543" s="13">
        <f>IF(AND(ISNUMBER(AE543),ISNUMBER($B$25),ISNUMBER($D$25)),IF(AE543&gt;$D$25,"boven UCL",IF(AE543&lt;$B$25,"onder LCL","")),"")</f>
        <v/>
      </c>
      <c r="AK543" s="13">
        <f>IF(AND(ISNUMBER(AG543),ISNUMBER($B$26),ISNUMBER($D$26)),IF(AG543&gt;$D$26,"boven UCL",IF(AG543&lt;$B$26,"onder LCL","")),"")</f>
        <v/>
      </c>
      <c r="AL543" s="13">
        <f>IF(AND(COUNT(B543:Z543)&gt;0,COUNT(AA543:AC543)&gt;0),"ruwe waarden én getypt: getypte genegeerd",IF(COUNTA(B543:Z543,AA543:AC543)&gt;COUNT(B543:Z543,AA543:AC543),"tekst telt niet mee",IF(COUNT(B543:Z543)=1,"1 waarde: geen R of s","")))</f>
        <v/>
      </c>
    </row>
    <row r="544">
      <c r="A544" t="n">
        <v>493</v>
      </c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28">
        <f>IF(COUNT(B544:Z544)&gt;0,COUNT(B544:Z544),IF(OR(ISNUMBER(AA544),ISNUMBER(AB544)),$B$9,""))</f>
        <v/>
      </c>
      <c r="AE544" s="29">
        <f>IF(COUNT(B544:Z544)&gt;0,AVERAGE(B544:Z544),IF(ISNUMBER(AA544),AA544,""))</f>
        <v/>
      </c>
      <c r="AF544" s="29">
        <f>IF(COUNT(B544:Z544)&gt;1,MAX(B544:Z544)-MIN(B544:Z544),IF(ISNUMBER(AB544),AB544,""))</f>
        <v/>
      </c>
      <c r="AG544" s="29">
        <f>IF(COUNT(B544:Z544)&gt;1,_xlfn.STDEV.S(B544:Z544),IF(ISNUMBER(AC544),AC544,""))</f>
        <v/>
      </c>
      <c r="AH544" s="13">
        <f>IF(AND(ISNUMBER(AE544),ISNUMBER($B$23),ISNUMBER($D$23)),IF(AE544&gt;$D$23,"boven UCL",IF(AE544&lt;$B$23,"onder LCL","")),"")</f>
        <v/>
      </c>
      <c r="AI544" s="13">
        <f>IF(AND(ISNUMBER(AF544),ISNUMBER($B$24),ISNUMBER($D$24)),IF(AF544&gt;$D$24,"boven UCL",IF(AF544&lt;$B$24,"onder LCL","")),"")</f>
        <v/>
      </c>
      <c r="AJ544" s="13">
        <f>IF(AND(ISNUMBER(AE544),ISNUMBER($B$25),ISNUMBER($D$25)),IF(AE544&gt;$D$25,"boven UCL",IF(AE544&lt;$B$25,"onder LCL","")),"")</f>
        <v/>
      </c>
      <c r="AK544" s="13">
        <f>IF(AND(ISNUMBER(AG544),ISNUMBER($B$26),ISNUMBER($D$26)),IF(AG544&gt;$D$26,"boven UCL",IF(AG544&lt;$B$26,"onder LCL","")),"")</f>
        <v/>
      </c>
      <c r="AL544" s="13">
        <f>IF(AND(COUNT(B544:Z544)&gt;0,COUNT(AA544:AC544)&gt;0),"ruwe waarden én getypt: getypte genegeerd",IF(COUNTA(B544:Z544,AA544:AC544)&gt;COUNT(B544:Z544,AA544:AC544),"tekst telt niet mee",IF(COUNT(B544:Z544)=1,"1 waarde: geen R of s","")))</f>
        <v/>
      </c>
    </row>
    <row r="545">
      <c r="A545" t="n">
        <v>494</v>
      </c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28">
        <f>IF(COUNT(B545:Z545)&gt;0,COUNT(B545:Z545),IF(OR(ISNUMBER(AA545),ISNUMBER(AB545)),$B$9,""))</f>
        <v/>
      </c>
      <c r="AE545" s="29">
        <f>IF(COUNT(B545:Z545)&gt;0,AVERAGE(B545:Z545),IF(ISNUMBER(AA545),AA545,""))</f>
        <v/>
      </c>
      <c r="AF545" s="29">
        <f>IF(COUNT(B545:Z545)&gt;1,MAX(B545:Z545)-MIN(B545:Z545),IF(ISNUMBER(AB545),AB545,""))</f>
        <v/>
      </c>
      <c r="AG545" s="29">
        <f>IF(COUNT(B545:Z545)&gt;1,_xlfn.STDEV.S(B545:Z545),IF(ISNUMBER(AC545),AC545,""))</f>
        <v/>
      </c>
      <c r="AH545" s="13">
        <f>IF(AND(ISNUMBER(AE545),ISNUMBER($B$23),ISNUMBER($D$23)),IF(AE545&gt;$D$23,"boven UCL",IF(AE545&lt;$B$23,"onder LCL","")),"")</f>
        <v/>
      </c>
      <c r="AI545" s="13">
        <f>IF(AND(ISNUMBER(AF545),ISNUMBER($B$24),ISNUMBER($D$24)),IF(AF545&gt;$D$24,"boven UCL",IF(AF545&lt;$B$24,"onder LCL","")),"")</f>
        <v/>
      </c>
      <c r="AJ545" s="13">
        <f>IF(AND(ISNUMBER(AE545),ISNUMBER($B$25),ISNUMBER($D$25)),IF(AE545&gt;$D$25,"boven UCL",IF(AE545&lt;$B$25,"onder LCL","")),"")</f>
        <v/>
      </c>
      <c r="AK545" s="13">
        <f>IF(AND(ISNUMBER(AG545),ISNUMBER($B$26),ISNUMBER($D$26)),IF(AG545&gt;$D$26,"boven UCL",IF(AG545&lt;$B$26,"onder LCL","")),"")</f>
        <v/>
      </c>
      <c r="AL545" s="13">
        <f>IF(AND(COUNT(B545:Z545)&gt;0,COUNT(AA545:AC545)&gt;0),"ruwe waarden én getypt: getypte genegeerd",IF(COUNTA(B545:Z545,AA545:AC545)&gt;COUNT(B545:Z545,AA545:AC545),"tekst telt niet mee",IF(COUNT(B545:Z545)=1,"1 waarde: geen R of s","")))</f>
        <v/>
      </c>
    </row>
    <row r="546">
      <c r="A546" t="n">
        <v>495</v>
      </c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28">
        <f>IF(COUNT(B546:Z546)&gt;0,COUNT(B546:Z546),IF(OR(ISNUMBER(AA546),ISNUMBER(AB546)),$B$9,""))</f>
        <v/>
      </c>
      <c r="AE546" s="29">
        <f>IF(COUNT(B546:Z546)&gt;0,AVERAGE(B546:Z546),IF(ISNUMBER(AA546),AA546,""))</f>
        <v/>
      </c>
      <c r="AF546" s="29">
        <f>IF(COUNT(B546:Z546)&gt;1,MAX(B546:Z546)-MIN(B546:Z546),IF(ISNUMBER(AB546),AB546,""))</f>
        <v/>
      </c>
      <c r="AG546" s="29">
        <f>IF(COUNT(B546:Z546)&gt;1,_xlfn.STDEV.S(B546:Z546),IF(ISNUMBER(AC546),AC546,""))</f>
        <v/>
      </c>
      <c r="AH546" s="13">
        <f>IF(AND(ISNUMBER(AE546),ISNUMBER($B$23),ISNUMBER($D$23)),IF(AE546&gt;$D$23,"boven UCL",IF(AE546&lt;$B$23,"onder LCL","")),"")</f>
        <v/>
      </c>
      <c r="AI546" s="13">
        <f>IF(AND(ISNUMBER(AF546),ISNUMBER($B$24),ISNUMBER($D$24)),IF(AF546&gt;$D$24,"boven UCL",IF(AF546&lt;$B$24,"onder LCL","")),"")</f>
        <v/>
      </c>
      <c r="AJ546" s="13">
        <f>IF(AND(ISNUMBER(AE546),ISNUMBER($B$25),ISNUMBER($D$25)),IF(AE546&gt;$D$25,"boven UCL",IF(AE546&lt;$B$25,"onder LCL","")),"")</f>
        <v/>
      </c>
      <c r="AK546" s="13">
        <f>IF(AND(ISNUMBER(AG546),ISNUMBER($B$26),ISNUMBER($D$26)),IF(AG546&gt;$D$26,"boven UCL",IF(AG546&lt;$B$26,"onder LCL","")),"")</f>
        <v/>
      </c>
      <c r="AL546" s="13">
        <f>IF(AND(COUNT(B546:Z546)&gt;0,COUNT(AA546:AC546)&gt;0),"ruwe waarden én getypt: getypte genegeerd",IF(COUNTA(B546:Z546,AA546:AC546)&gt;COUNT(B546:Z546,AA546:AC546),"tekst telt niet mee",IF(COUNT(B546:Z546)=1,"1 waarde: geen R of s","")))</f>
        <v/>
      </c>
    </row>
    <row r="547">
      <c r="A547" t="n">
        <v>496</v>
      </c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28">
        <f>IF(COUNT(B547:Z547)&gt;0,COUNT(B547:Z547),IF(OR(ISNUMBER(AA547),ISNUMBER(AB547)),$B$9,""))</f>
        <v/>
      </c>
      <c r="AE547" s="29">
        <f>IF(COUNT(B547:Z547)&gt;0,AVERAGE(B547:Z547),IF(ISNUMBER(AA547),AA547,""))</f>
        <v/>
      </c>
      <c r="AF547" s="29">
        <f>IF(COUNT(B547:Z547)&gt;1,MAX(B547:Z547)-MIN(B547:Z547),IF(ISNUMBER(AB547),AB547,""))</f>
        <v/>
      </c>
      <c r="AG547" s="29">
        <f>IF(COUNT(B547:Z547)&gt;1,_xlfn.STDEV.S(B547:Z547),IF(ISNUMBER(AC547),AC547,""))</f>
        <v/>
      </c>
      <c r="AH547" s="13">
        <f>IF(AND(ISNUMBER(AE547),ISNUMBER($B$23),ISNUMBER($D$23)),IF(AE547&gt;$D$23,"boven UCL",IF(AE547&lt;$B$23,"onder LCL","")),"")</f>
        <v/>
      </c>
      <c r="AI547" s="13">
        <f>IF(AND(ISNUMBER(AF547),ISNUMBER($B$24),ISNUMBER($D$24)),IF(AF547&gt;$D$24,"boven UCL",IF(AF547&lt;$B$24,"onder LCL","")),"")</f>
        <v/>
      </c>
      <c r="AJ547" s="13">
        <f>IF(AND(ISNUMBER(AE547),ISNUMBER($B$25),ISNUMBER($D$25)),IF(AE547&gt;$D$25,"boven UCL",IF(AE547&lt;$B$25,"onder LCL","")),"")</f>
        <v/>
      </c>
      <c r="AK547" s="13">
        <f>IF(AND(ISNUMBER(AG547),ISNUMBER($B$26),ISNUMBER($D$26)),IF(AG547&gt;$D$26,"boven UCL",IF(AG547&lt;$B$26,"onder LCL","")),"")</f>
        <v/>
      </c>
      <c r="AL547" s="13">
        <f>IF(AND(COUNT(B547:Z547)&gt;0,COUNT(AA547:AC547)&gt;0),"ruwe waarden én getypt: getypte genegeerd",IF(COUNTA(B547:Z547,AA547:AC547)&gt;COUNT(B547:Z547,AA547:AC547),"tekst telt niet mee",IF(COUNT(B547:Z547)=1,"1 waarde: geen R of s","")))</f>
        <v/>
      </c>
    </row>
    <row r="548">
      <c r="A548" t="n">
        <v>497</v>
      </c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28">
        <f>IF(COUNT(B548:Z548)&gt;0,COUNT(B548:Z548),IF(OR(ISNUMBER(AA548),ISNUMBER(AB548)),$B$9,""))</f>
        <v/>
      </c>
      <c r="AE548" s="29">
        <f>IF(COUNT(B548:Z548)&gt;0,AVERAGE(B548:Z548),IF(ISNUMBER(AA548),AA548,""))</f>
        <v/>
      </c>
      <c r="AF548" s="29">
        <f>IF(COUNT(B548:Z548)&gt;1,MAX(B548:Z548)-MIN(B548:Z548),IF(ISNUMBER(AB548),AB548,""))</f>
        <v/>
      </c>
      <c r="AG548" s="29">
        <f>IF(COUNT(B548:Z548)&gt;1,_xlfn.STDEV.S(B548:Z548),IF(ISNUMBER(AC548),AC548,""))</f>
        <v/>
      </c>
      <c r="AH548" s="13">
        <f>IF(AND(ISNUMBER(AE548),ISNUMBER($B$23),ISNUMBER($D$23)),IF(AE548&gt;$D$23,"boven UCL",IF(AE548&lt;$B$23,"onder LCL","")),"")</f>
        <v/>
      </c>
      <c r="AI548" s="13">
        <f>IF(AND(ISNUMBER(AF548),ISNUMBER($B$24),ISNUMBER($D$24)),IF(AF548&gt;$D$24,"boven UCL",IF(AF548&lt;$B$24,"onder LCL","")),"")</f>
        <v/>
      </c>
      <c r="AJ548" s="13">
        <f>IF(AND(ISNUMBER(AE548),ISNUMBER($B$25),ISNUMBER($D$25)),IF(AE548&gt;$D$25,"boven UCL",IF(AE548&lt;$B$25,"onder LCL","")),"")</f>
        <v/>
      </c>
      <c r="AK548" s="13">
        <f>IF(AND(ISNUMBER(AG548),ISNUMBER($B$26),ISNUMBER($D$26)),IF(AG548&gt;$D$26,"boven UCL",IF(AG548&lt;$B$26,"onder LCL","")),"")</f>
        <v/>
      </c>
      <c r="AL548" s="13">
        <f>IF(AND(COUNT(B548:Z548)&gt;0,COUNT(AA548:AC548)&gt;0),"ruwe waarden én getypt: getypte genegeerd",IF(COUNTA(B548:Z548,AA548:AC548)&gt;COUNT(B548:Z548,AA548:AC548),"tekst telt niet mee",IF(COUNT(B548:Z548)=1,"1 waarde: geen R of s","")))</f>
        <v/>
      </c>
    </row>
    <row r="549">
      <c r="A549" t="n">
        <v>498</v>
      </c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28">
        <f>IF(COUNT(B549:Z549)&gt;0,COUNT(B549:Z549),IF(OR(ISNUMBER(AA549),ISNUMBER(AB549)),$B$9,""))</f>
        <v/>
      </c>
      <c r="AE549" s="29">
        <f>IF(COUNT(B549:Z549)&gt;0,AVERAGE(B549:Z549),IF(ISNUMBER(AA549),AA549,""))</f>
        <v/>
      </c>
      <c r="AF549" s="29">
        <f>IF(COUNT(B549:Z549)&gt;1,MAX(B549:Z549)-MIN(B549:Z549),IF(ISNUMBER(AB549),AB549,""))</f>
        <v/>
      </c>
      <c r="AG549" s="29">
        <f>IF(COUNT(B549:Z549)&gt;1,_xlfn.STDEV.S(B549:Z549),IF(ISNUMBER(AC549),AC549,""))</f>
        <v/>
      </c>
      <c r="AH549" s="13">
        <f>IF(AND(ISNUMBER(AE549),ISNUMBER($B$23),ISNUMBER($D$23)),IF(AE549&gt;$D$23,"boven UCL",IF(AE549&lt;$B$23,"onder LCL","")),"")</f>
        <v/>
      </c>
      <c r="AI549" s="13">
        <f>IF(AND(ISNUMBER(AF549),ISNUMBER($B$24),ISNUMBER($D$24)),IF(AF549&gt;$D$24,"boven UCL",IF(AF549&lt;$B$24,"onder LCL","")),"")</f>
        <v/>
      </c>
      <c r="AJ549" s="13">
        <f>IF(AND(ISNUMBER(AE549),ISNUMBER($B$25),ISNUMBER($D$25)),IF(AE549&gt;$D$25,"boven UCL",IF(AE549&lt;$B$25,"onder LCL","")),"")</f>
        <v/>
      </c>
      <c r="AK549" s="13">
        <f>IF(AND(ISNUMBER(AG549),ISNUMBER($B$26),ISNUMBER($D$26)),IF(AG549&gt;$D$26,"boven UCL",IF(AG549&lt;$B$26,"onder LCL","")),"")</f>
        <v/>
      </c>
      <c r="AL549" s="13">
        <f>IF(AND(COUNT(B549:Z549)&gt;0,COUNT(AA549:AC549)&gt;0),"ruwe waarden én getypt: getypte genegeerd",IF(COUNTA(B549:Z549,AA549:AC549)&gt;COUNT(B549:Z549,AA549:AC549),"tekst telt niet mee",IF(COUNT(B549:Z549)=1,"1 waarde: geen R of s","")))</f>
        <v/>
      </c>
    </row>
    <row r="550">
      <c r="A550" t="n">
        <v>499</v>
      </c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28">
        <f>IF(COUNT(B550:Z550)&gt;0,COUNT(B550:Z550),IF(OR(ISNUMBER(AA550),ISNUMBER(AB550)),$B$9,""))</f>
        <v/>
      </c>
      <c r="AE550" s="29">
        <f>IF(COUNT(B550:Z550)&gt;0,AVERAGE(B550:Z550),IF(ISNUMBER(AA550),AA550,""))</f>
        <v/>
      </c>
      <c r="AF550" s="29">
        <f>IF(COUNT(B550:Z550)&gt;1,MAX(B550:Z550)-MIN(B550:Z550),IF(ISNUMBER(AB550),AB550,""))</f>
        <v/>
      </c>
      <c r="AG550" s="29">
        <f>IF(COUNT(B550:Z550)&gt;1,_xlfn.STDEV.S(B550:Z550),IF(ISNUMBER(AC550),AC550,""))</f>
        <v/>
      </c>
      <c r="AH550" s="13">
        <f>IF(AND(ISNUMBER(AE550),ISNUMBER($B$23),ISNUMBER($D$23)),IF(AE550&gt;$D$23,"boven UCL",IF(AE550&lt;$B$23,"onder LCL","")),"")</f>
        <v/>
      </c>
      <c r="AI550" s="13">
        <f>IF(AND(ISNUMBER(AF550),ISNUMBER($B$24),ISNUMBER($D$24)),IF(AF550&gt;$D$24,"boven UCL",IF(AF550&lt;$B$24,"onder LCL","")),"")</f>
        <v/>
      </c>
      <c r="AJ550" s="13">
        <f>IF(AND(ISNUMBER(AE550),ISNUMBER($B$25),ISNUMBER($D$25)),IF(AE550&gt;$D$25,"boven UCL",IF(AE550&lt;$B$25,"onder LCL","")),"")</f>
        <v/>
      </c>
      <c r="AK550" s="13">
        <f>IF(AND(ISNUMBER(AG550),ISNUMBER($B$26),ISNUMBER($D$26)),IF(AG550&gt;$D$26,"boven UCL",IF(AG550&lt;$B$26,"onder LCL","")),"")</f>
        <v/>
      </c>
      <c r="AL550" s="13">
        <f>IF(AND(COUNT(B550:Z550)&gt;0,COUNT(AA550:AC550)&gt;0),"ruwe waarden én getypt: getypte genegeerd",IF(COUNTA(B550:Z550,AA550:AC550)&gt;COUNT(B550:Z550,AA550:AC550),"tekst telt niet mee",IF(COUNT(B550:Z550)=1,"1 waarde: geen R of s","")))</f>
        <v/>
      </c>
    </row>
    <row r="551">
      <c r="A551" t="n">
        <v>500</v>
      </c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28">
        <f>IF(COUNT(B551:Z551)&gt;0,COUNT(B551:Z551),IF(OR(ISNUMBER(AA551),ISNUMBER(AB551)),$B$9,""))</f>
        <v/>
      </c>
      <c r="AE551" s="29">
        <f>IF(COUNT(B551:Z551)&gt;0,AVERAGE(B551:Z551),IF(ISNUMBER(AA551),AA551,""))</f>
        <v/>
      </c>
      <c r="AF551" s="29">
        <f>IF(COUNT(B551:Z551)&gt;1,MAX(B551:Z551)-MIN(B551:Z551),IF(ISNUMBER(AB551),AB551,""))</f>
        <v/>
      </c>
      <c r="AG551" s="29">
        <f>IF(COUNT(B551:Z551)&gt;1,_xlfn.STDEV.S(B551:Z551),IF(ISNUMBER(AC551),AC551,""))</f>
        <v/>
      </c>
      <c r="AH551" s="13">
        <f>IF(AND(ISNUMBER(AE551),ISNUMBER($B$23),ISNUMBER($D$23)),IF(AE551&gt;$D$23,"boven UCL",IF(AE551&lt;$B$23,"onder LCL","")),"")</f>
        <v/>
      </c>
      <c r="AI551" s="13">
        <f>IF(AND(ISNUMBER(AF551),ISNUMBER($B$24),ISNUMBER($D$24)),IF(AF551&gt;$D$24,"boven UCL",IF(AF551&lt;$B$24,"onder LCL","")),"")</f>
        <v/>
      </c>
      <c r="AJ551" s="13">
        <f>IF(AND(ISNUMBER(AE551),ISNUMBER($B$25),ISNUMBER($D$25)),IF(AE551&gt;$D$25,"boven UCL",IF(AE551&lt;$B$25,"onder LCL","")),"")</f>
        <v/>
      </c>
      <c r="AK551" s="13">
        <f>IF(AND(ISNUMBER(AG551),ISNUMBER($B$26),ISNUMBER($D$26)),IF(AG551&gt;$D$26,"boven UCL",IF(AG551&lt;$B$26,"onder LCL","")),"")</f>
        <v/>
      </c>
      <c r="AL551" s="13">
        <f>IF(AND(COUNT(B551:Z551)&gt;0,COUNT(AA551:AC551)&gt;0),"ruwe waarden én getypt: getypte genegeerd",IF(COUNTA(B551:Z551,AA551:AC551)&gt;COUNT(B551:Z551,AA551:AC551),"tekst telt niet mee",IF(COUNT(B551:Z551)=1,"1 waarde: geen R of s","")))</f>
        <v/>
      </c>
    </row>
    <row r="552">
      <c r="A552" t="n">
        <v>501</v>
      </c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28">
        <f>IF(COUNT(B552:Z552)&gt;0,COUNT(B552:Z552),IF(OR(ISNUMBER(AA552),ISNUMBER(AB552)),$B$9,""))</f>
        <v/>
      </c>
      <c r="AE552" s="29">
        <f>IF(COUNT(B552:Z552)&gt;0,AVERAGE(B552:Z552),IF(ISNUMBER(AA552),AA552,""))</f>
        <v/>
      </c>
      <c r="AF552" s="29">
        <f>IF(COUNT(B552:Z552)&gt;1,MAX(B552:Z552)-MIN(B552:Z552),IF(ISNUMBER(AB552),AB552,""))</f>
        <v/>
      </c>
      <c r="AG552" s="29">
        <f>IF(COUNT(B552:Z552)&gt;1,_xlfn.STDEV.S(B552:Z552),IF(ISNUMBER(AC552),AC552,""))</f>
        <v/>
      </c>
      <c r="AH552" s="13">
        <f>IF(AND(ISNUMBER(AE552),ISNUMBER($B$23),ISNUMBER($D$23)),IF(AE552&gt;$D$23,"boven UCL",IF(AE552&lt;$B$23,"onder LCL","")),"")</f>
        <v/>
      </c>
      <c r="AI552" s="13">
        <f>IF(AND(ISNUMBER(AF552),ISNUMBER($B$24),ISNUMBER($D$24)),IF(AF552&gt;$D$24,"boven UCL",IF(AF552&lt;$B$24,"onder LCL","")),"")</f>
        <v/>
      </c>
      <c r="AJ552" s="13">
        <f>IF(AND(ISNUMBER(AE552),ISNUMBER($B$25),ISNUMBER($D$25)),IF(AE552&gt;$D$25,"boven UCL",IF(AE552&lt;$B$25,"onder LCL","")),"")</f>
        <v/>
      </c>
      <c r="AK552" s="13">
        <f>IF(AND(ISNUMBER(AG552),ISNUMBER($B$26),ISNUMBER($D$26)),IF(AG552&gt;$D$26,"boven UCL",IF(AG552&lt;$B$26,"onder LCL","")),"")</f>
        <v/>
      </c>
      <c r="AL552" s="13">
        <f>IF(AND(COUNT(B552:Z552)&gt;0,COUNT(AA552:AC552)&gt;0),"ruwe waarden én getypt: getypte genegeerd",IF(COUNTA(B552:Z552,AA552:AC552)&gt;COUNT(B552:Z552,AA552:AC552),"tekst telt niet mee",IF(COUNT(B552:Z552)=1,"1 waarde: geen R of s","")))</f>
        <v/>
      </c>
    </row>
    <row r="553">
      <c r="A553" t="n">
        <v>502</v>
      </c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28">
        <f>IF(COUNT(B553:Z553)&gt;0,COUNT(B553:Z553),IF(OR(ISNUMBER(AA553),ISNUMBER(AB553)),$B$9,""))</f>
        <v/>
      </c>
      <c r="AE553" s="29">
        <f>IF(COUNT(B553:Z553)&gt;0,AVERAGE(B553:Z553),IF(ISNUMBER(AA553),AA553,""))</f>
        <v/>
      </c>
      <c r="AF553" s="29">
        <f>IF(COUNT(B553:Z553)&gt;1,MAX(B553:Z553)-MIN(B553:Z553),IF(ISNUMBER(AB553),AB553,""))</f>
        <v/>
      </c>
      <c r="AG553" s="29">
        <f>IF(COUNT(B553:Z553)&gt;1,_xlfn.STDEV.S(B553:Z553),IF(ISNUMBER(AC553),AC553,""))</f>
        <v/>
      </c>
      <c r="AH553" s="13">
        <f>IF(AND(ISNUMBER(AE553),ISNUMBER($B$23),ISNUMBER($D$23)),IF(AE553&gt;$D$23,"boven UCL",IF(AE553&lt;$B$23,"onder LCL","")),"")</f>
        <v/>
      </c>
      <c r="AI553" s="13">
        <f>IF(AND(ISNUMBER(AF553),ISNUMBER($B$24),ISNUMBER($D$24)),IF(AF553&gt;$D$24,"boven UCL",IF(AF553&lt;$B$24,"onder LCL","")),"")</f>
        <v/>
      </c>
      <c r="AJ553" s="13">
        <f>IF(AND(ISNUMBER(AE553),ISNUMBER($B$25),ISNUMBER($D$25)),IF(AE553&gt;$D$25,"boven UCL",IF(AE553&lt;$B$25,"onder LCL","")),"")</f>
        <v/>
      </c>
      <c r="AK553" s="13">
        <f>IF(AND(ISNUMBER(AG553),ISNUMBER($B$26),ISNUMBER($D$26)),IF(AG553&gt;$D$26,"boven UCL",IF(AG553&lt;$B$26,"onder LCL","")),"")</f>
        <v/>
      </c>
      <c r="AL553" s="13">
        <f>IF(AND(COUNT(B553:Z553)&gt;0,COUNT(AA553:AC553)&gt;0),"ruwe waarden én getypt: getypte genegeerd",IF(COUNTA(B553:Z553,AA553:AC553)&gt;COUNT(B553:Z553,AA553:AC553),"tekst telt niet mee",IF(COUNT(B553:Z553)=1,"1 waarde: geen R of s","")))</f>
        <v/>
      </c>
    </row>
    <row r="554">
      <c r="A554" t="n">
        <v>503</v>
      </c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28">
        <f>IF(COUNT(B554:Z554)&gt;0,COUNT(B554:Z554),IF(OR(ISNUMBER(AA554),ISNUMBER(AB554)),$B$9,""))</f>
        <v/>
      </c>
      <c r="AE554" s="29">
        <f>IF(COUNT(B554:Z554)&gt;0,AVERAGE(B554:Z554),IF(ISNUMBER(AA554),AA554,""))</f>
        <v/>
      </c>
      <c r="AF554" s="29">
        <f>IF(COUNT(B554:Z554)&gt;1,MAX(B554:Z554)-MIN(B554:Z554),IF(ISNUMBER(AB554),AB554,""))</f>
        <v/>
      </c>
      <c r="AG554" s="29">
        <f>IF(COUNT(B554:Z554)&gt;1,_xlfn.STDEV.S(B554:Z554),IF(ISNUMBER(AC554),AC554,""))</f>
        <v/>
      </c>
      <c r="AH554" s="13">
        <f>IF(AND(ISNUMBER(AE554),ISNUMBER($B$23),ISNUMBER($D$23)),IF(AE554&gt;$D$23,"boven UCL",IF(AE554&lt;$B$23,"onder LCL","")),"")</f>
        <v/>
      </c>
      <c r="AI554" s="13">
        <f>IF(AND(ISNUMBER(AF554),ISNUMBER($B$24),ISNUMBER($D$24)),IF(AF554&gt;$D$24,"boven UCL",IF(AF554&lt;$B$24,"onder LCL","")),"")</f>
        <v/>
      </c>
      <c r="AJ554" s="13">
        <f>IF(AND(ISNUMBER(AE554),ISNUMBER($B$25),ISNUMBER($D$25)),IF(AE554&gt;$D$25,"boven UCL",IF(AE554&lt;$B$25,"onder LCL","")),"")</f>
        <v/>
      </c>
      <c r="AK554" s="13">
        <f>IF(AND(ISNUMBER(AG554),ISNUMBER($B$26),ISNUMBER($D$26)),IF(AG554&gt;$D$26,"boven UCL",IF(AG554&lt;$B$26,"onder LCL","")),"")</f>
        <v/>
      </c>
      <c r="AL554" s="13">
        <f>IF(AND(COUNT(B554:Z554)&gt;0,COUNT(AA554:AC554)&gt;0),"ruwe waarden én getypt: getypte genegeerd",IF(COUNTA(B554:Z554,AA554:AC554)&gt;COUNT(B554:Z554,AA554:AC554),"tekst telt niet mee",IF(COUNT(B554:Z554)=1,"1 waarde: geen R of s","")))</f>
        <v/>
      </c>
    </row>
    <row r="555">
      <c r="A555" t="n">
        <v>504</v>
      </c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28">
        <f>IF(COUNT(B555:Z555)&gt;0,COUNT(B555:Z555),IF(OR(ISNUMBER(AA555),ISNUMBER(AB555)),$B$9,""))</f>
        <v/>
      </c>
      <c r="AE555" s="29">
        <f>IF(COUNT(B555:Z555)&gt;0,AVERAGE(B555:Z555),IF(ISNUMBER(AA555),AA555,""))</f>
        <v/>
      </c>
      <c r="AF555" s="29">
        <f>IF(COUNT(B555:Z555)&gt;1,MAX(B555:Z555)-MIN(B555:Z555),IF(ISNUMBER(AB555),AB555,""))</f>
        <v/>
      </c>
      <c r="AG555" s="29">
        <f>IF(COUNT(B555:Z555)&gt;1,_xlfn.STDEV.S(B555:Z555),IF(ISNUMBER(AC555),AC555,""))</f>
        <v/>
      </c>
      <c r="AH555" s="13">
        <f>IF(AND(ISNUMBER(AE555),ISNUMBER($B$23),ISNUMBER($D$23)),IF(AE555&gt;$D$23,"boven UCL",IF(AE555&lt;$B$23,"onder LCL","")),"")</f>
        <v/>
      </c>
      <c r="AI555" s="13">
        <f>IF(AND(ISNUMBER(AF555),ISNUMBER($B$24),ISNUMBER($D$24)),IF(AF555&gt;$D$24,"boven UCL",IF(AF555&lt;$B$24,"onder LCL","")),"")</f>
        <v/>
      </c>
      <c r="AJ555" s="13">
        <f>IF(AND(ISNUMBER(AE555),ISNUMBER($B$25),ISNUMBER($D$25)),IF(AE555&gt;$D$25,"boven UCL",IF(AE555&lt;$B$25,"onder LCL","")),"")</f>
        <v/>
      </c>
      <c r="AK555" s="13">
        <f>IF(AND(ISNUMBER(AG555),ISNUMBER($B$26),ISNUMBER($D$26)),IF(AG555&gt;$D$26,"boven UCL",IF(AG555&lt;$B$26,"onder LCL","")),"")</f>
        <v/>
      </c>
      <c r="AL555" s="13">
        <f>IF(AND(COUNT(B555:Z555)&gt;0,COUNT(AA555:AC555)&gt;0),"ruwe waarden én getypt: getypte genegeerd",IF(COUNTA(B555:Z555,AA555:AC555)&gt;COUNT(B555:Z555,AA555:AC555),"tekst telt niet mee",IF(COUNT(B555:Z555)=1,"1 waarde: geen R of s","")))</f>
        <v/>
      </c>
    </row>
    <row r="556">
      <c r="A556" t="n">
        <v>505</v>
      </c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28">
        <f>IF(COUNT(B556:Z556)&gt;0,COUNT(B556:Z556),IF(OR(ISNUMBER(AA556),ISNUMBER(AB556)),$B$9,""))</f>
        <v/>
      </c>
      <c r="AE556" s="29">
        <f>IF(COUNT(B556:Z556)&gt;0,AVERAGE(B556:Z556),IF(ISNUMBER(AA556),AA556,""))</f>
        <v/>
      </c>
      <c r="AF556" s="29">
        <f>IF(COUNT(B556:Z556)&gt;1,MAX(B556:Z556)-MIN(B556:Z556),IF(ISNUMBER(AB556),AB556,""))</f>
        <v/>
      </c>
      <c r="AG556" s="29">
        <f>IF(COUNT(B556:Z556)&gt;1,_xlfn.STDEV.S(B556:Z556),IF(ISNUMBER(AC556),AC556,""))</f>
        <v/>
      </c>
      <c r="AH556" s="13">
        <f>IF(AND(ISNUMBER(AE556),ISNUMBER($B$23),ISNUMBER($D$23)),IF(AE556&gt;$D$23,"boven UCL",IF(AE556&lt;$B$23,"onder LCL","")),"")</f>
        <v/>
      </c>
      <c r="AI556" s="13">
        <f>IF(AND(ISNUMBER(AF556),ISNUMBER($B$24),ISNUMBER($D$24)),IF(AF556&gt;$D$24,"boven UCL",IF(AF556&lt;$B$24,"onder LCL","")),"")</f>
        <v/>
      </c>
      <c r="AJ556" s="13">
        <f>IF(AND(ISNUMBER(AE556),ISNUMBER($B$25),ISNUMBER($D$25)),IF(AE556&gt;$D$25,"boven UCL",IF(AE556&lt;$B$25,"onder LCL","")),"")</f>
        <v/>
      </c>
      <c r="AK556" s="13">
        <f>IF(AND(ISNUMBER(AG556),ISNUMBER($B$26),ISNUMBER($D$26)),IF(AG556&gt;$D$26,"boven UCL",IF(AG556&lt;$B$26,"onder LCL","")),"")</f>
        <v/>
      </c>
      <c r="AL556" s="13">
        <f>IF(AND(COUNT(B556:Z556)&gt;0,COUNT(AA556:AC556)&gt;0),"ruwe waarden én getypt: getypte genegeerd",IF(COUNTA(B556:Z556,AA556:AC556)&gt;COUNT(B556:Z556,AA556:AC556),"tekst telt niet mee",IF(COUNT(B556:Z556)=1,"1 waarde: geen R of s","")))</f>
        <v/>
      </c>
    </row>
    <row r="557">
      <c r="A557" t="n">
        <v>506</v>
      </c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28">
        <f>IF(COUNT(B557:Z557)&gt;0,COUNT(B557:Z557),IF(OR(ISNUMBER(AA557),ISNUMBER(AB557)),$B$9,""))</f>
        <v/>
      </c>
      <c r="AE557" s="29">
        <f>IF(COUNT(B557:Z557)&gt;0,AVERAGE(B557:Z557),IF(ISNUMBER(AA557),AA557,""))</f>
        <v/>
      </c>
      <c r="AF557" s="29">
        <f>IF(COUNT(B557:Z557)&gt;1,MAX(B557:Z557)-MIN(B557:Z557),IF(ISNUMBER(AB557),AB557,""))</f>
        <v/>
      </c>
      <c r="AG557" s="29">
        <f>IF(COUNT(B557:Z557)&gt;1,_xlfn.STDEV.S(B557:Z557),IF(ISNUMBER(AC557),AC557,""))</f>
        <v/>
      </c>
      <c r="AH557" s="13">
        <f>IF(AND(ISNUMBER(AE557),ISNUMBER($B$23),ISNUMBER($D$23)),IF(AE557&gt;$D$23,"boven UCL",IF(AE557&lt;$B$23,"onder LCL","")),"")</f>
        <v/>
      </c>
      <c r="AI557" s="13">
        <f>IF(AND(ISNUMBER(AF557),ISNUMBER($B$24),ISNUMBER($D$24)),IF(AF557&gt;$D$24,"boven UCL",IF(AF557&lt;$B$24,"onder LCL","")),"")</f>
        <v/>
      </c>
      <c r="AJ557" s="13">
        <f>IF(AND(ISNUMBER(AE557),ISNUMBER($B$25),ISNUMBER($D$25)),IF(AE557&gt;$D$25,"boven UCL",IF(AE557&lt;$B$25,"onder LCL","")),"")</f>
        <v/>
      </c>
      <c r="AK557" s="13">
        <f>IF(AND(ISNUMBER(AG557),ISNUMBER($B$26),ISNUMBER($D$26)),IF(AG557&gt;$D$26,"boven UCL",IF(AG557&lt;$B$26,"onder LCL","")),"")</f>
        <v/>
      </c>
      <c r="AL557" s="13">
        <f>IF(AND(COUNT(B557:Z557)&gt;0,COUNT(AA557:AC557)&gt;0),"ruwe waarden én getypt: getypte genegeerd",IF(COUNTA(B557:Z557,AA557:AC557)&gt;COUNT(B557:Z557,AA557:AC557),"tekst telt niet mee",IF(COUNT(B557:Z557)=1,"1 waarde: geen R of s","")))</f>
        <v/>
      </c>
    </row>
    <row r="558">
      <c r="A558" t="n">
        <v>507</v>
      </c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28">
        <f>IF(COUNT(B558:Z558)&gt;0,COUNT(B558:Z558),IF(OR(ISNUMBER(AA558),ISNUMBER(AB558)),$B$9,""))</f>
        <v/>
      </c>
      <c r="AE558" s="29">
        <f>IF(COUNT(B558:Z558)&gt;0,AVERAGE(B558:Z558),IF(ISNUMBER(AA558),AA558,""))</f>
        <v/>
      </c>
      <c r="AF558" s="29">
        <f>IF(COUNT(B558:Z558)&gt;1,MAX(B558:Z558)-MIN(B558:Z558),IF(ISNUMBER(AB558),AB558,""))</f>
        <v/>
      </c>
      <c r="AG558" s="29">
        <f>IF(COUNT(B558:Z558)&gt;1,_xlfn.STDEV.S(B558:Z558),IF(ISNUMBER(AC558),AC558,""))</f>
        <v/>
      </c>
      <c r="AH558" s="13">
        <f>IF(AND(ISNUMBER(AE558),ISNUMBER($B$23),ISNUMBER($D$23)),IF(AE558&gt;$D$23,"boven UCL",IF(AE558&lt;$B$23,"onder LCL","")),"")</f>
        <v/>
      </c>
      <c r="AI558" s="13">
        <f>IF(AND(ISNUMBER(AF558),ISNUMBER($B$24),ISNUMBER($D$24)),IF(AF558&gt;$D$24,"boven UCL",IF(AF558&lt;$B$24,"onder LCL","")),"")</f>
        <v/>
      </c>
      <c r="AJ558" s="13">
        <f>IF(AND(ISNUMBER(AE558),ISNUMBER($B$25),ISNUMBER($D$25)),IF(AE558&gt;$D$25,"boven UCL",IF(AE558&lt;$B$25,"onder LCL","")),"")</f>
        <v/>
      </c>
      <c r="AK558" s="13">
        <f>IF(AND(ISNUMBER(AG558),ISNUMBER($B$26),ISNUMBER($D$26)),IF(AG558&gt;$D$26,"boven UCL",IF(AG558&lt;$B$26,"onder LCL","")),"")</f>
        <v/>
      </c>
      <c r="AL558" s="13">
        <f>IF(AND(COUNT(B558:Z558)&gt;0,COUNT(AA558:AC558)&gt;0),"ruwe waarden én getypt: getypte genegeerd",IF(COUNTA(B558:Z558,AA558:AC558)&gt;COUNT(B558:Z558,AA558:AC558),"tekst telt niet mee",IF(COUNT(B558:Z558)=1,"1 waarde: geen R of s","")))</f>
        <v/>
      </c>
    </row>
    <row r="559">
      <c r="A559" t="n">
        <v>508</v>
      </c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28">
        <f>IF(COUNT(B559:Z559)&gt;0,COUNT(B559:Z559),IF(OR(ISNUMBER(AA559),ISNUMBER(AB559)),$B$9,""))</f>
        <v/>
      </c>
      <c r="AE559" s="29">
        <f>IF(COUNT(B559:Z559)&gt;0,AVERAGE(B559:Z559),IF(ISNUMBER(AA559),AA559,""))</f>
        <v/>
      </c>
      <c r="AF559" s="29">
        <f>IF(COUNT(B559:Z559)&gt;1,MAX(B559:Z559)-MIN(B559:Z559),IF(ISNUMBER(AB559),AB559,""))</f>
        <v/>
      </c>
      <c r="AG559" s="29">
        <f>IF(COUNT(B559:Z559)&gt;1,_xlfn.STDEV.S(B559:Z559),IF(ISNUMBER(AC559),AC559,""))</f>
        <v/>
      </c>
      <c r="AH559" s="13">
        <f>IF(AND(ISNUMBER(AE559),ISNUMBER($B$23),ISNUMBER($D$23)),IF(AE559&gt;$D$23,"boven UCL",IF(AE559&lt;$B$23,"onder LCL","")),"")</f>
        <v/>
      </c>
      <c r="AI559" s="13">
        <f>IF(AND(ISNUMBER(AF559),ISNUMBER($B$24),ISNUMBER($D$24)),IF(AF559&gt;$D$24,"boven UCL",IF(AF559&lt;$B$24,"onder LCL","")),"")</f>
        <v/>
      </c>
      <c r="AJ559" s="13">
        <f>IF(AND(ISNUMBER(AE559),ISNUMBER($B$25),ISNUMBER($D$25)),IF(AE559&gt;$D$25,"boven UCL",IF(AE559&lt;$B$25,"onder LCL","")),"")</f>
        <v/>
      </c>
      <c r="AK559" s="13">
        <f>IF(AND(ISNUMBER(AG559),ISNUMBER($B$26),ISNUMBER($D$26)),IF(AG559&gt;$D$26,"boven UCL",IF(AG559&lt;$B$26,"onder LCL","")),"")</f>
        <v/>
      </c>
      <c r="AL559" s="13">
        <f>IF(AND(COUNT(B559:Z559)&gt;0,COUNT(AA559:AC559)&gt;0),"ruwe waarden én getypt: getypte genegeerd",IF(COUNTA(B559:Z559,AA559:AC559)&gt;COUNT(B559:Z559,AA559:AC559),"tekst telt niet mee",IF(COUNT(B559:Z559)=1,"1 waarde: geen R of s","")))</f>
        <v/>
      </c>
    </row>
    <row r="560">
      <c r="A560" t="n">
        <v>509</v>
      </c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28">
        <f>IF(COUNT(B560:Z560)&gt;0,COUNT(B560:Z560),IF(OR(ISNUMBER(AA560),ISNUMBER(AB560)),$B$9,""))</f>
        <v/>
      </c>
      <c r="AE560" s="29">
        <f>IF(COUNT(B560:Z560)&gt;0,AVERAGE(B560:Z560),IF(ISNUMBER(AA560),AA560,""))</f>
        <v/>
      </c>
      <c r="AF560" s="29">
        <f>IF(COUNT(B560:Z560)&gt;1,MAX(B560:Z560)-MIN(B560:Z560),IF(ISNUMBER(AB560),AB560,""))</f>
        <v/>
      </c>
      <c r="AG560" s="29">
        <f>IF(COUNT(B560:Z560)&gt;1,_xlfn.STDEV.S(B560:Z560),IF(ISNUMBER(AC560),AC560,""))</f>
        <v/>
      </c>
      <c r="AH560" s="13">
        <f>IF(AND(ISNUMBER(AE560),ISNUMBER($B$23),ISNUMBER($D$23)),IF(AE560&gt;$D$23,"boven UCL",IF(AE560&lt;$B$23,"onder LCL","")),"")</f>
        <v/>
      </c>
      <c r="AI560" s="13">
        <f>IF(AND(ISNUMBER(AF560),ISNUMBER($B$24),ISNUMBER($D$24)),IF(AF560&gt;$D$24,"boven UCL",IF(AF560&lt;$B$24,"onder LCL","")),"")</f>
        <v/>
      </c>
      <c r="AJ560" s="13">
        <f>IF(AND(ISNUMBER(AE560),ISNUMBER($B$25),ISNUMBER($D$25)),IF(AE560&gt;$D$25,"boven UCL",IF(AE560&lt;$B$25,"onder LCL","")),"")</f>
        <v/>
      </c>
      <c r="AK560" s="13">
        <f>IF(AND(ISNUMBER(AG560),ISNUMBER($B$26),ISNUMBER($D$26)),IF(AG560&gt;$D$26,"boven UCL",IF(AG560&lt;$B$26,"onder LCL","")),"")</f>
        <v/>
      </c>
      <c r="AL560" s="13">
        <f>IF(AND(COUNT(B560:Z560)&gt;0,COUNT(AA560:AC560)&gt;0),"ruwe waarden én getypt: getypte genegeerd",IF(COUNTA(B560:Z560,AA560:AC560)&gt;COUNT(B560:Z560,AA560:AC560),"tekst telt niet mee",IF(COUNT(B560:Z560)=1,"1 waarde: geen R of s","")))</f>
        <v/>
      </c>
    </row>
    <row r="561">
      <c r="A561" t="n">
        <v>510</v>
      </c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28">
        <f>IF(COUNT(B561:Z561)&gt;0,COUNT(B561:Z561),IF(OR(ISNUMBER(AA561),ISNUMBER(AB561)),$B$9,""))</f>
        <v/>
      </c>
      <c r="AE561" s="29">
        <f>IF(COUNT(B561:Z561)&gt;0,AVERAGE(B561:Z561),IF(ISNUMBER(AA561),AA561,""))</f>
        <v/>
      </c>
      <c r="AF561" s="29">
        <f>IF(COUNT(B561:Z561)&gt;1,MAX(B561:Z561)-MIN(B561:Z561),IF(ISNUMBER(AB561),AB561,""))</f>
        <v/>
      </c>
      <c r="AG561" s="29">
        <f>IF(COUNT(B561:Z561)&gt;1,_xlfn.STDEV.S(B561:Z561),IF(ISNUMBER(AC561),AC561,""))</f>
        <v/>
      </c>
      <c r="AH561" s="13">
        <f>IF(AND(ISNUMBER(AE561),ISNUMBER($B$23),ISNUMBER($D$23)),IF(AE561&gt;$D$23,"boven UCL",IF(AE561&lt;$B$23,"onder LCL","")),"")</f>
        <v/>
      </c>
      <c r="AI561" s="13">
        <f>IF(AND(ISNUMBER(AF561),ISNUMBER($B$24),ISNUMBER($D$24)),IF(AF561&gt;$D$24,"boven UCL",IF(AF561&lt;$B$24,"onder LCL","")),"")</f>
        <v/>
      </c>
      <c r="AJ561" s="13">
        <f>IF(AND(ISNUMBER(AE561),ISNUMBER($B$25),ISNUMBER($D$25)),IF(AE561&gt;$D$25,"boven UCL",IF(AE561&lt;$B$25,"onder LCL","")),"")</f>
        <v/>
      </c>
      <c r="AK561" s="13">
        <f>IF(AND(ISNUMBER(AG561),ISNUMBER($B$26),ISNUMBER($D$26)),IF(AG561&gt;$D$26,"boven UCL",IF(AG561&lt;$B$26,"onder LCL","")),"")</f>
        <v/>
      </c>
      <c r="AL561" s="13">
        <f>IF(AND(COUNT(B561:Z561)&gt;0,COUNT(AA561:AC561)&gt;0),"ruwe waarden én getypt: getypte genegeerd",IF(COUNTA(B561:Z561,AA561:AC561)&gt;COUNT(B561:Z561,AA561:AC561),"tekst telt niet mee",IF(COUNT(B561:Z561)=1,"1 waarde: geen R of s","")))</f>
        <v/>
      </c>
    </row>
    <row r="562">
      <c r="A562" t="n">
        <v>511</v>
      </c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28">
        <f>IF(COUNT(B562:Z562)&gt;0,COUNT(B562:Z562),IF(OR(ISNUMBER(AA562),ISNUMBER(AB562)),$B$9,""))</f>
        <v/>
      </c>
      <c r="AE562" s="29">
        <f>IF(COUNT(B562:Z562)&gt;0,AVERAGE(B562:Z562),IF(ISNUMBER(AA562),AA562,""))</f>
        <v/>
      </c>
      <c r="AF562" s="29">
        <f>IF(COUNT(B562:Z562)&gt;1,MAX(B562:Z562)-MIN(B562:Z562),IF(ISNUMBER(AB562),AB562,""))</f>
        <v/>
      </c>
      <c r="AG562" s="29">
        <f>IF(COUNT(B562:Z562)&gt;1,_xlfn.STDEV.S(B562:Z562),IF(ISNUMBER(AC562),AC562,""))</f>
        <v/>
      </c>
      <c r="AH562" s="13">
        <f>IF(AND(ISNUMBER(AE562),ISNUMBER($B$23),ISNUMBER($D$23)),IF(AE562&gt;$D$23,"boven UCL",IF(AE562&lt;$B$23,"onder LCL","")),"")</f>
        <v/>
      </c>
      <c r="AI562" s="13">
        <f>IF(AND(ISNUMBER(AF562),ISNUMBER($B$24),ISNUMBER($D$24)),IF(AF562&gt;$D$24,"boven UCL",IF(AF562&lt;$B$24,"onder LCL","")),"")</f>
        <v/>
      </c>
      <c r="AJ562" s="13">
        <f>IF(AND(ISNUMBER(AE562),ISNUMBER($B$25),ISNUMBER($D$25)),IF(AE562&gt;$D$25,"boven UCL",IF(AE562&lt;$B$25,"onder LCL","")),"")</f>
        <v/>
      </c>
      <c r="AK562" s="13">
        <f>IF(AND(ISNUMBER(AG562),ISNUMBER($B$26),ISNUMBER($D$26)),IF(AG562&gt;$D$26,"boven UCL",IF(AG562&lt;$B$26,"onder LCL","")),"")</f>
        <v/>
      </c>
      <c r="AL562" s="13">
        <f>IF(AND(COUNT(B562:Z562)&gt;0,COUNT(AA562:AC562)&gt;0),"ruwe waarden én getypt: getypte genegeerd",IF(COUNTA(B562:Z562,AA562:AC562)&gt;COUNT(B562:Z562,AA562:AC562),"tekst telt niet mee",IF(COUNT(B562:Z562)=1,"1 waarde: geen R of s","")))</f>
        <v/>
      </c>
    </row>
    <row r="563">
      <c r="A563" t="n">
        <v>512</v>
      </c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28">
        <f>IF(COUNT(B563:Z563)&gt;0,COUNT(B563:Z563),IF(OR(ISNUMBER(AA563),ISNUMBER(AB563)),$B$9,""))</f>
        <v/>
      </c>
      <c r="AE563" s="29">
        <f>IF(COUNT(B563:Z563)&gt;0,AVERAGE(B563:Z563),IF(ISNUMBER(AA563),AA563,""))</f>
        <v/>
      </c>
      <c r="AF563" s="29">
        <f>IF(COUNT(B563:Z563)&gt;1,MAX(B563:Z563)-MIN(B563:Z563),IF(ISNUMBER(AB563),AB563,""))</f>
        <v/>
      </c>
      <c r="AG563" s="29">
        <f>IF(COUNT(B563:Z563)&gt;1,_xlfn.STDEV.S(B563:Z563),IF(ISNUMBER(AC563),AC563,""))</f>
        <v/>
      </c>
      <c r="AH563" s="13">
        <f>IF(AND(ISNUMBER(AE563),ISNUMBER($B$23),ISNUMBER($D$23)),IF(AE563&gt;$D$23,"boven UCL",IF(AE563&lt;$B$23,"onder LCL","")),"")</f>
        <v/>
      </c>
      <c r="AI563" s="13">
        <f>IF(AND(ISNUMBER(AF563),ISNUMBER($B$24),ISNUMBER($D$24)),IF(AF563&gt;$D$24,"boven UCL",IF(AF563&lt;$B$24,"onder LCL","")),"")</f>
        <v/>
      </c>
      <c r="AJ563" s="13">
        <f>IF(AND(ISNUMBER(AE563),ISNUMBER($B$25),ISNUMBER($D$25)),IF(AE563&gt;$D$25,"boven UCL",IF(AE563&lt;$B$25,"onder LCL","")),"")</f>
        <v/>
      </c>
      <c r="AK563" s="13">
        <f>IF(AND(ISNUMBER(AG563),ISNUMBER($B$26),ISNUMBER($D$26)),IF(AG563&gt;$D$26,"boven UCL",IF(AG563&lt;$B$26,"onder LCL","")),"")</f>
        <v/>
      </c>
      <c r="AL563" s="13">
        <f>IF(AND(COUNT(B563:Z563)&gt;0,COUNT(AA563:AC563)&gt;0),"ruwe waarden én getypt: getypte genegeerd",IF(COUNTA(B563:Z563,AA563:AC563)&gt;COUNT(B563:Z563,AA563:AC563),"tekst telt niet mee",IF(COUNT(B563:Z563)=1,"1 waarde: geen R of s","")))</f>
        <v/>
      </c>
    </row>
    <row r="564">
      <c r="A564" t="n">
        <v>513</v>
      </c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28">
        <f>IF(COUNT(B564:Z564)&gt;0,COUNT(B564:Z564),IF(OR(ISNUMBER(AA564),ISNUMBER(AB564)),$B$9,""))</f>
        <v/>
      </c>
      <c r="AE564" s="29">
        <f>IF(COUNT(B564:Z564)&gt;0,AVERAGE(B564:Z564),IF(ISNUMBER(AA564),AA564,""))</f>
        <v/>
      </c>
      <c r="AF564" s="29">
        <f>IF(COUNT(B564:Z564)&gt;1,MAX(B564:Z564)-MIN(B564:Z564),IF(ISNUMBER(AB564),AB564,""))</f>
        <v/>
      </c>
      <c r="AG564" s="29">
        <f>IF(COUNT(B564:Z564)&gt;1,_xlfn.STDEV.S(B564:Z564),IF(ISNUMBER(AC564),AC564,""))</f>
        <v/>
      </c>
      <c r="AH564" s="13">
        <f>IF(AND(ISNUMBER(AE564),ISNUMBER($B$23),ISNUMBER($D$23)),IF(AE564&gt;$D$23,"boven UCL",IF(AE564&lt;$B$23,"onder LCL","")),"")</f>
        <v/>
      </c>
      <c r="AI564" s="13">
        <f>IF(AND(ISNUMBER(AF564),ISNUMBER($B$24),ISNUMBER($D$24)),IF(AF564&gt;$D$24,"boven UCL",IF(AF564&lt;$B$24,"onder LCL","")),"")</f>
        <v/>
      </c>
      <c r="AJ564" s="13">
        <f>IF(AND(ISNUMBER(AE564),ISNUMBER($B$25),ISNUMBER($D$25)),IF(AE564&gt;$D$25,"boven UCL",IF(AE564&lt;$B$25,"onder LCL","")),"")</f>
        <v/>
      </c>
      <c r="AK564" s="13">
        <f>IF(AND(ISNUMBER(AG564),ISNUMBER($B$26),ISNUMBER($D$26)),IF(AG564&gt;$D$26,"boven UCL",IF(AG564&lt;$B$26,"onder LCL","")),"")</f>
        <v/>
      </c>
      <c r="AL564" s="13">
        <f>IF(AND(COUNT(B564:Z564)&gt;0,COUNT(AA564:AC564)&gt;0),"ruwe waarden én getypt: getypte genegeerd",IF(COUNTA(B564:Z564,AA564:AC564)&gt;COUNT(B564:Z564,AA564:AC564),"tekst telt niet mee",IF(COUNT(B564:Z564)=1,"1 waarde: geen R of s","")))</f>
        <v/>
      </c>
    </row>
    <row r="565">
      <c r="A565" t="n">
        <v>514</v>
      </c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28">
        <f>IF(COUNT(B565:Z565)&gt;0,COUNT(B565:Z565),IF(OR(ISNUMBER(AA565),ISNUMBER(AB565)),$B$9,""))</f>
        <v/>
      </c>
      <c r="AE565" s="29">
        <f>IF(COUNT(B565:Z565)&gt;0,AVERAGE(B565:Z565),IF(ISNUMBER(AA565),AA565,""))</f>
        <v/>
      </c>
      <c r="AF565" s="29">
        <f>IF(COUNT(B565:Z565)&gt;1,MAX(B565:Z565)-MIN(B565:Z565),IF(ISNUMBER(AB565),AB565,""))</f>
        <v/>
      </c>
      <c r="AG565" s="29">
        <f>IF(COUNT(B565:Z565)&gt;1,_xlfn.STDEV.S(B565:Z565),IF(ISNUMBER(AC565),AC565,""))</f>
        <v/>
      </c>
      <c r="AH565" s="13">
        <f>IF(AND(ISNUMBER(AE565),ISNUMBER($B$23),ISNUMBER($D$23)),IF(AE565&gt;$D$23,"boven UCL",IF(AE565&lt;$B$23,"onder LCL","")),"")</f>
        <v/>
      </c>
      <c r="AI565" s="13">
        <f>IF(AND(ISNUMBER(AF565),ISNUMBER($B$24),ISNUMBER($D$24)),IF(AF565&gt;$D$24,"boven UCL",IF(AF565&lt;$B$24,"onder LCL","")),"")</f>
        <v/>
      </c>
      <c r="AJ565" s="13">
        <f>IF(AND(ISNUMBER(AE565),ISNUMBER($B$25),ISNUMBER($D$25)),IF(AE565&gt;$D$25,"boven UCL",IF(AE565&lt;$B$25,"onder LCL","")),"")</f>
        <v/>
      </c>
      <c r="AK565" s="13">
        <f>IF(AND(ISNUMBER(AG565),ISNUMBER($B$26),ISNUMBER($D$26)),IF(AG565&gt;$D$26,"boven UCL",IF(AG565&lt;$B$26,"onder LCL","")),"")</f>
        <v/>
      </c>
      <c r="AL565" s="13">
        <f>IF(AND(COUNT(B565:Z565)&gt;0,COUNT(AA565:AC565)&gt;0),"ruwe waarden én getypt: getypte genegeerd",IF(COUNTA(B565:Z565,AA565:AC565)&gt;COUNT(B565:Z565,AA565:AC565),"tekst telt niet mee",IF(COUNT(B565:Z565)=1,"1 waarde: geen R of s","")))</f>
        <v/>
      </c>
    </row>
    <row r="566">
      <c r="A566" t="n">
        <v>515</v>
      </c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28">
        <f>IF(COUNT(B566:Z566)&gt;0,COUNT(B566:Z566),IF(OR(ISNUMBER(AA566),ISNUMBER(AB566)),$B$9,""))</f>
        <v/>
      </c>
      <c r="AE566" s="29">
        <f>IF(COUNT(B566:Z566)&gt;0,AVERAGE(B566:Z566),IF(ISNUMBER(AA566),AA566,""))</f>
        <v/>
      </c>
      <c r="AF566" s="29">
        <f>IF(COUNT(B566:Z566)&gt;1,MAX(B566:Z566)-MIN(B566:Z566),IF(ISNUMBER(AB566),AB566,""))</f>
        <v/>
      </c>
      <c r="AG566" s="29">
        <f>IF(COUNT(B566:Z566)&gt;1,_xlfn.STDEV.S(B566:Z566),IF(ISNUMBER(AC566),AC566,""))</f>
        <v/>
      </c>
      <c r="AH566" s="13">
        <f>IF(AND(ISNUMBER(AE566),ISNUMBER($B$23),ISNUMBER($D$23)),IF(AE566&gt;$D$23,"boven UCL",IF(AE566&lt;$B$23,"onder LCL","")),"")</f>
        <v/>
      </c>
      <c r="AI566" s="13">
        <f>IF(AND(ISNUMBER(AF566),ISNUMBER($B$24),ISNUMBER($D$24)),IF(AF566&gt;$D$24,"boven UCL",IF(AF566&lt;$B$24,"onder LCL","")),"")</f>
        <v/>
      </c>
      <c r="AJ566" s="13">
        <f>IF(AND(ISNUMBER(AE566),ISNUMBER($B$25),ISNUMBER($D$25)),IF(AE566&gt;$D$25,"boven UCL",IF(AE566&lt;$B$25,"onder LCL","")),"")</f>
        <v/>
      </c>
      <c r="AK566" s="13">
        <f>IF(AND(ISNUMBER(AG566),ISNUMBER($B$26),ISNUMBER($D$26)),IF(AG566&gt;$D$26,"boven UCL",IF(AG566&lt;$B$26,"onder LCL","")),"")</f>
        <v/>
      </c>
      <c r="AL566" s="13">
        <f>IF(AND(COUNT(B566:Z566)&gt;0,COUNT(AA566:AC566)&gt;0),"ruwe waarden én getypt: getypte genegeerd",IF(COUNTA(B566:Z566,AA566:AC566)&gt;COUNT(B566:Z566,AA566:AC566),"tekst telt niet mee",IF(COUNT(B566:Z566)=1,"1 waarde: geen R of s","")))</f>
        <v/>
      </c>
    </row>
    <row r="567">
      <c r="A567" t="n">
        <v>516</v>
      </c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28">
        <f>IF(COUNT(B567:Z567)&gt;0,COUNT(B567:Z567),IF(OR(ISNUMBER(AA567),ISNUMBER(AB567)),$B$9,""))</f>
        <v/>
      </c>
      <c r="AE567" s="29">
        <f>IF(COUNT(B567:Z567)&gt;0,AVERAGE(B567:Z567),IF(ISNUMBER(AA567),AA567,""))</f>
        <v/>
      </c>
      <c r="AF567" s="29">
        <f>IF(COUNT(B567:Z567)&gt;1,MAX(B567:Z567)-MIN(B567:Z567),IF(ISNUMBER(AB567),AB567,""))</f>
        <v/>
      </c>
      <c r="AG567" s="29">
        <f>IF(COUNT(B567:Z567)&gt;1,_xlfn.STDEV.S(B567:Z567),IF(ISNUMBER(AC567),AC567,""))</f>
        <v/>
      </c>
      <c r="AH567" s="13">
        <f>IF(AND(ISNUMBER(AE567),ISNUMBER($B$23),ISNUMBER($D$23)),IF(AE567&gt;$D$23,"boven UCL",IF(AE567&lt;$B$23,"onder LCL","")),"")</f>
        <v/>
      </c>
      <c r="AI567" s="13">
        <f>IF(AND(ISNUMBER(AF567),ISNUMBER($B$24),ISNUMBER($D$24)),IF(AF567&gt;$D$24,"boven UCL",IF(AF567&lt;$B$24,"onder LCL","")),"")</f>
        <v/>
      </c>
      <c r="AJ567" s="13">
        <f>IF(AND(ISNUMBER(AE567),ISNUMBER($B$25),ISNUMBER($D$25)),IF(AE567&gt;$D$25,"boven UCL",IF(AE567&lt;$B$25,"onder LCL","")),"")</f>
        <v/>
      </c>
      <c r="AK567" s="13">
        <f>IF(AND(ISNUMBER(AG567),ISNUMBER($B$26),ISNUMBER($D$26)),IF(AG567&gt;$D$26,"boven UCL",IF(AG567&lt;$B$26,"onder LCL","")),"")</f>
        <v/>
      </c>
      <c r="AL567" s="13">
        <f>IF(AND(COUNT(B567:Z567)&gt;0,COUNT(AA567:AC567)&gt;0),"ruwe waarden én getypt: getypte genegeerd",IF(COUNTA(B567:Z567,AA567:AC567)&gt;COUNT(B567:Z567,AA567:AC567),"tekst telt niet mee",IF(COUNT(B567:Z567)=1,"1 waarde: geen R of s","")))</f>
        <v/>
      </c>
    </row>
    <row r="568">
      <c r="A568" t="n">
        <v>517</v>
      </c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28">
        <f>IF(COUNT(B568:Z568)&gt;0,COUNT(B568:Z568),IF(OR(ISNUMBER(AA568),ISNUMBER(AB568)),$B$9,""))</f>
        <v/>
      </c>
      <c r="AE568" s="29">
        <f>IF(COUNT(B568:Z568)&gt;0,AVERAGE(B568:Z568),IF(ISNUMBER(AA568),AA568,""))</f>
        <v/>
      </c>
      <c r="AF568" s="29">
        <f>IF(COUNT(B568:Z568)&gt;1,MAX(B568:Z568)-MIN(B568:Z568),IF(ISNUMBER(AB568),AB568,""))</f>
        <v/>
      </c>
      <c r="AG568" s="29">
        <f>IF(COUNT(B568:Z568)&gt;1,_xlfn.STDEV.S(B568:Z568),IF(ISNUMBER(AC568),AC568,""))</f>
        <v/>
      </c>
      <c r="AH568" s="13">
        <f>IF(AND(ISNUMBER(AE568),ISNUMBER($B$23),ISNUMBER($D$23)),IF(AE568&gt;$D$23,"boven UCL",IF(AE568&lt;$B$23,"onder LCL","")),"")</f>
        <v/>
      </c>
      <c r="AI568" s="13">
        <f>IF(AND(ISNUMBER(AF568),ISNUMBER($B$24),ISNUMBER($D$24)),IF(AF568&gt;$D$24,"boven UCL",IF(AF568&lt;$B$24,"onder LCL","")),"")</f>
        <v/>
      </c>
      <c r="AJ568" s="13">
        <f>IF(AND(ISNUMBER(AE568),ISNUMBER($B$25),ISNUMBER($D$25)),IF(AE568&gt;$D$25,"boven UCL",IF(AE568&lt;$B$25,"onder LCL","")),"")</f>
        <v/>
      </c>
      <c r="AK568" s="13">
        <f>IF(AND(ISNUMBER(AG568),ISNUMBER($B$26),ISNUMBER($D$26)),IF(AG568&gt;$D$26,"boven UCL",IF(AG568&lt;$B$26,"onder LCL","")),"")</f>
        <v/>
      </c>
      <c r="AL568" s="13">
        <f>IF(AND(COUNT(B568:Z568)&gt;0,COUNT(AA568:AC568)&gt;0),"ruwe waarden én getypt: getypte genegeerd",IF(COUNTA(B568:Z568,AA568:AC568)&gt;COUNT(B568:Z568,AA568:AC568),"tekst telt niet mee",IF(COUNT(B568:Z568)=1,"1 waarde: geen R of s","")))</f>
        <v/>
      </c>
    </row>
    <row r="569">
      <c r="A569" t="n">
        <v>518</v>
      </c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28">
        <f>IF(COUNT(B569:Z569)&gt;0,COUNT(B569:Z569),IF(OR(ISNUMBER(AA569),ISNUMBER(AB569)),$B$9,""))</f>
        <v/>
      </c>
      <c r="AE569" s="29">
        <f>IF(COUNT(B569:Z569)&gt;0,AVERAGE(B569:Z569),IF(ISNUMBER(AA569),AA569,""))</f>
        <v/>
      </c>
      <c r="AF569" s="29">
        <f>IF(COUNT(B569:Z569)&gt;1,MAX(B569:Z569)-MIN(B569:Z569),IF(ISNUMBER(AB569),AB569,""))</f>
        <v/>
      </c>
      <c r="AG569" s="29">
        <f>IF(COUNT(B569:Z569)&gt;1,_xlfn.STDEV.S(B569:Z569),IF(ISNUMBER(AC569),AC569,""))</f>
        <v/>
      </c>
      <c r="AH569" s="13">
        <f>IF(AND(ISNUMBER(AE569),ISNUMBER($B$23),ISNUMBER($D$23)),IF(AE569&gt;$D$23,"boven UCL",IF(AE569&lt;$B$23,"onder LCL","")),"")</f>
        <v/>
      </c>
      <c r="AI569" s="13">
        <f>IF(AND(ISNUMBER(AF569),ISNUMBER($B$24),ISNUMBER($D$24)),IF(AF569&gt;$D$24,"boven UCL",IF(AF569&lt;$B$24,"onder LCL","")),"")</f>
        <v/>
      </c>
      <c r="AJ569" s="13">
        <f>IF(AND(ISNUMBER(AE569),ISNUMBER($B$25),ISNUMBER($D$25)),IF(AE569&gt;$D$25,"boven UCL",IF(AE569&lt;$B$25,"onder LCL","")),"")</f>
        <v/>
      </c>
      <c r="AK569" s="13">
        <f>IF(AND(ISNUMBER(AG569),ISNUMBER($B$26),ISNUMBER($D$26)),IF(AG569&gt;$D$26,"boven UCL",IF(AG569&lt;$B$26,"onder LCL","")),"")</f>
        <v/>
      </c>
      <c r="AL569" s="13">
        <f>IF(AND(COUNT(B569:Z569)&gt;0,COUNT(AA569:AC569)&gt;0),"ruwe waarden én getypt: getypte genegeerd",IF(COUNTA(B569:Z569,AA569:AC569)&gt;COUNT(B569:Z569,AA569:AC569),"tekst telt niet mee",IF(COUNT(B569:Z569)=1,"1 waarde: geen R of s","")))</f>
        <v/>
      </c>
    </row>
    <row r="570">
      <c r="A570" t="n">
        <v>519</v>
      </c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28">
        <f>IF(COUNT(B570:Z570)&gt;0,COUNT(B570:Z570),IF(OR(ISNUMBER(AA570),ISNUMBER(AB570)),$B$9,""))</f>
        <v/>
      </c>
      <c r="AE570" s="29">
        <f>IF(COUNT(B570:Z570)&gt;0,AVERAGE(B570:Z570),IF(ISNUMBER(AA570),AA570,""))</f>
        <v/>
      </c>
      <c r="AF570" s="29">
        <f>IF(COUNT(B570:Z570)&gt;1,MAX(B570:Z570)-MIN(B570:Z570),IF(ISNUMBER(AB570),AB570,""))</f>
        <v/>
      </c>
      <c r="AG570" s="29">
        <f>IF(COUNT(B570:Z570)&gt;1,_xlfn.STDEV.S(B570:Z570),IF(ISNUMBER(AC570),AC570,""))</f>
        <v/>
      </c>
      <c r="AH570" s="13">
        <f>IF(AND(ISNUMBER(AE570),ISNUMBER($B$23),ISNUMBER($D$23)),IF(AE570&gt;$D$23,"boven UCL",IF(AE570&lt;$B$23,"onder LCL","")),"")</f>
        <v/>
      </c>
      <c r="AI570" s="13">
        <f>IF(AND(ISNUMBER(AF570),ISNUMBER($B$24),ISNUMBER($D$24)),IF(AF570&gt;$D$24,"boven UCL",IF(AF570&lt;$B$24,"onder LCL","")),"")</f>
        <v/>
      </c>
      <c r="AJ570" s="13">
        <f>IF(AND(ISNUMBER(AE570),ISNUMBER($B$25),ISNUMBER($D$25)),IF(AE570&gt;$D$25,"boven UCL",IF(AE570&lt;$B$25,"onder LCL","")),"")</f>
        <v/>
      </c>
      <c r="AK570" s="13">
        <f>IF(AND(ISNUMBER(AG570),ISNUMBER($B$26),ISNUMBER($D$26)),IF(AG570&gt;$D$26,"boven UCL",IF(AG570&lt;$B$26,"onder LCL","")),"")</f>
        <v/>
      </c>
      <c r="AL570" s="13">
        <f>IF(AND(COUNT(B570:Z570)&gt;0,COUNT(AA570:AC570)&gt;0),"ruwe waarden én getypt: getypte genegeerd",IF(COUNTA(B570:Z570,AA570:AC570)&gt;COUNT(B570:Z570,AA570:AC570),"tekst telt niet mee",IF(COUNT(B570:Z570)=1,"1 waarde: geen R of s","")))</f>
        <v/>
      </c>
    </row>
    <row r="571">
      <c r="A571" t="n">
        <v>520</v>
      </c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28">
        <f>IF(COUNT(B571:Z571)&gt;0,COUNT(B571:Z571),IF(OR(ISNUMBER(AA571),ISNUMBER(AB571)),$B$9,""))</f>
        <v/>
      </c>
      <c r="AE571" s="29">
        <f>IF(COUNT(B571:Z571)&gt;0,AVERAGE(B571:Z571),IF(ISNUMBER(AA571),AA571,""))</f>
        <v/>
      </c>
      <c r="AF571" s="29">
        <f>IF(COUNT(B571:Z571)&gt;1,MAX(B571:Z571)-MIN(B571:Z571),IF(ISNUMBER(AB571),AB571,""))</f>
        <v/>
      </c>
      <c r="AG571" s="29">
        <f>IF(COUNT(B571:Z571)&gt;1,_xlfn.STDEV.S(B571:Z571),IF(ISNUMBER(AC571),AC571,""))</f>
        <v/>
      </c>
      <c r="AH571" s="13">
        <f>IF(AND(ISNUMBER(AE571),ISNUMBER($B$23),ISNUMBER($D$23)),IF(AE571&gt;$D$23,"boven UCL",IF(AE571&lt;$B$23,"onder LCL","")),"")</f>
        <v/>
      </c>
      <c r="AI571" s="13">
        <f>IF(AND(ISNUMBER(AF571),ISNUMBER($B$24),ISNUMBER($D$24)),IF(AF571&gt;$D$24,"boven UCL",IF(AF571&lt;$B$24,"onder LCL","")),"")</f>
        <v/>
      </c>
      <c r="AJ571" s="13">
        <f>IF(AND(ISNUMBER(AE571),ISNUMBER($B$25),ISNUMBER($D$25)),IF(AE571&gt;$D$25,"boven UCL",IF(AE571&lt;$B$25,"onder LCL","")),"")</f>
        <v/>
      </c>
      <c r="AK571" s="13">
        <f>IF(AND(ISNUMBER(AG571),ISNUMBER($B$26),ISNUMBER($D$26)),IF(AG571&gt;$D$26,"boven UCL",IF(AG571&lt;$B$26,"onder LCL","")),"")</f>
        <v/>
      </c>
      <c r="AL571" s="13">
        <f>IF(AND(COUNT(B571:Z571)&gt;0,COUNT(AA571:AC571)&gt;0),"ruwe waarden én getypt: getypte genegeerd",IF(COUNTA(B571:Z571,AA571:AC571)&gt;COUNT(B571:Z571,AA571:AC571),"tekst telt niet mee",IF(COUNT(B571:Z571)=1,"1 waarde: geen R of s","")))</f>
        <v/>
      </c>
    </row>
    <row r="572">
      <c r="A572" t="n">
        <v>521</v>
      </c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28">
        <f>IF(COUNT(B572:Z572)&gt;0,COUNT(B572:Z572),IF(OR(ISNUMBER(AA572),ISNUMBER(AB572)),$B$9,""))</f>
        <v/>
      </c>
      <c r="AE572" s="29">
        <f>IF(COUNT(B572:Z572)&gt;0,AVERAGE(B572:Z572),IF(ISNUMBER(AA572),AA572,""))</f>
        <v/>
      </c>
      <c r="AF572" s="29">
        <f>IF(COUNT(B572:Z572)&gt;1,MAX(B572:Z572)-MIN(B572:Z572),IF(ISNUMBER(AB572),AB572,""))</f>
        <v/>
      </c>
      <c r="AG572" s="29">
        <f>IF(COUNT(B572:Z572)&gt;1,_xlfn.STDEV.S(B572:Z572),IF(ISNUMBER(AC572),AC572,""))</f>
        <v/>
      </c>
      <c r="AH572" s="13">
        <f>IF(AND(ISNUMBER(AE572),ISNUMBER($B$23),ISNUMBER($D$23)),IF(AE572&gt;$D$23,"boven UCL",IF(AE572&lt;$B$23,"onder LCL","")),"")</f>
        <v/>
      </c>
      <c r="AI572" s="13">
        <f>IF(AND(ISNUMBER(AF572),ISNUMBER($B$24),ISNUMBER($D$24)),IF(AF572&gt;$D$24,"boven UCL",IF(AF572&lt;$B$24,"onder LCL","")),"")</f>
        <v/>
      </c>
      <c r="AJ572" s="13">
        <f>IF(AND(ISNUMBER(AE572),ISNUMBER($B$25),ISNUMBER($D$25)),IF(AE572&gt;$D$25,"boven UCL",IF(AE572&lt;$B$25,"onder LCL","")),"")</f>
        <v/>
      </c>
      <c r="AK572" s="13">
        <f>IF(AND(ISNUMBER(AG572),ISNUMBER($B$26),ISNUMBER($D$26)),IF(AG572&gt;$D$26,"boven UCL",IF(AG572&lt;$B$26,"onder LCL","")),"")</f>
        <v/>
      </c>
      <c r="AL572" s="13">
        <f>IF(AND(COUNT(B572:Z572)&gt;0,COUNT(AA572:AC572)&gt;0),"ruwe waarden én getypt: getypte genegeerd",IF(COUNTA(B572:Z572,AA572:AC572)&gt;COUNT(B572:Z572,AA572:AC572),"tekst telt niet mee",IF(COUNT(B572:Z572)=1,"1 waarde: geen R of s","")))</f>
        <v/>
      </c>
    </row>
    <row r="573">
      <c r="A573" t="n">
        <v>522</v>
      </c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28">
        <f>IF(COUNT(B573:Z573)&gt;0,COUNT(B573:Z573),IF(OR(ISNUMBER(AA573),ISNUMBER(AB573)),$B$9,""))</f>
        <v/>
      </c>
      <c r="AE573" s="29">
        <f>IF(COUNT(B573:Z573)&gt;0,AVERAGE(B573:Z573),IF(ISNUMBER(AA573),AA573,""))</f>
        <v/>
      </c>
      <c r="AF573" s="29">
        <f>IF(COUNT(B573:Z573)&gt;1,MAX(B573:Z573)-MIN(B573:Z573),IF(ISNUMBER(AB573),AB573,""))</f>
        <v/>
      </c>
      <c r="AG573" s="29">
        <f>IF(COUNT(B573:Z573)&gt;1,_xlfn.STDEV.S(B573:Z573),IF(ISNUMBER(AC573),AC573,""))</f>
        <v/>
      </c>
      <c r="AH573" s="13">
        <f>IF(AND(ISNUMBER(AE573),ISNUMBER($B$23),ISNUMBER($D$23)),IF(AE573&gt;$D$23,"boven UCL",IF(AE573&lt;$B$23,"onder LCL","")),"")</f>
        <v/>
      </c>
      <c r="AI573" s="13">
        <f>IF(AND(ISNUMBER(AF573),ISNUMBER($B$24),ISNUMBER($D$24)),IF(AF573&gt;$D$24,"boven UCL",IF(AF573&lt;$B$24,"onder LCL","")),"")</f>
        <v/>
      </c>
      <c r="AJ573" s="13">
        <f>IF(AND(ISNUMBER(AE573),ISNUMBER($B$25),ISNUMBER($D$25)),IF(AE573&gt;$D$25,"boven UCL",IF(AE573&lt;$B$25,"onder LCL","")),"")</f>
        <v/>
      </c>
      <c r="AK573" s="13">
        <f>IF(AND(ISNUMBER(AG573),ISNUMBER($B$26),ISNUMBER($D$26)),IF(AG573&gt;$D$26,"boven UCL",IF(AG573&lt;$B$26,"onder LCL","")),"")</f>
        <v/>
      </c>
      <c r="AL573" s="13">
        <f>IF(AND(COUNT(B573:Z573)&gt;0,COUNT(AA573:AC573)&gt;0),"ruwe waarden én getypt: getypte genegeerd",IF(COUNTA(B573:Z573,AA573:AC573)&gt;COUNT(B573:Z573,AA573:AC573),"tekst telt niet mee",IF(COUNT(B573:Z573)=1,"1 waarde: geen R of s","")))</f>
        <v/>
      </c>
    </row>
    <row r="574">
      <c r="A574" t="n">
        <v>523</v>
      </c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28">
        <f>IF(COUNT(B574:Z574)&gt;0,COUNT(B574:Z574),IF(OR(ISNUMBER(AA574),ISNUMBER(AB574)),$B$9,""))</f>
        <v/>
      </c>
      <c r="AE574" s="29">
        <f>IF(COUNT(B574:Z574)&gt;0,AVERAGE(B574:Z574),IF(ISNUMBER(AA574),AA574,""))</f>
        <v/>
      </c>
      <c r="AF574" s="29">
        <f>IF(COUNT(B574:Z574)&gt;1,MAX(B574:Z574)-MIN(B574:Z574),IF(ISNUMBER(AB574),AB574,""))</f>
        <v/>
      </c>
      <c r="AG574" s="29">
        <f>IF(COUNT(B574:Z574)&gt;1,_xlfn.STDEV.S(B574:Z574),IF(ISNUMBER(AC574),AC574,""))</f>
        <v/>
      </c>
      <c r="AH574" s="13">
        <f>IF(AND(ISNUMBER(AE574),ISNUMBER($B$23),ISNUMBER($D$23)),IF(AE574&gt;$D$23,"boven UCL",IF(AE574&lt;$B$23,"onder LCL","")),"")</f>
        <v/>
      </c>
      <c r="AI574" s="13">
        <f>IF(AND(ISNUMBER(AF574),ISNUMBER($B$24),ISNUMBER($D$24)),IF(AF574&gt;$D$24,"boven UCL",IF(AF574&lt;$B$24,"onder LCL","")),"")</f>
        <v/>
      </c>
      <c r="AJ574" s="13">
        <f>IF(AND(ISNUMBER(AE574),ISNUMBER($B$25),ISNUMBER($D$25)),IF(AE574&gt;$D$25,"boven UCL",IF(AE574&lt;$B$25,"onder LCL","")),"")</f>
        <v/>
      </c>
      <c r="AK574" s="13">
        <f>IF(AND(ISNUMBER(AG574),ISNUMBER($B$26),ISNUMBER($D$26)),IF(AG574&gt;$D$26,"boven UCL",IF(AG574&lt;$B$26,"onder LCL","")),"")</f>
        <v/>
      </c>
      <c r="AL574" s="13">
        <f>IF(AND(COUNT(B574:Z574)&gt;0,COUNT(AA574:AC574)&gt;0),"ruwe waarden én getypt: getypte genegeerd",IF(COUNTA(B574:Z574,AA574:AC574)&gt;COUNT(B574:Z574,AA574:AC574),"tekst telt niet mee",IF(COUNT(B574:Z574)=1,"1 waarde: geen R of s","")))</f>
        <v/>
      </c>
    </row>
    <row r="575">
      <c r="A575" t="n">
        <v>524</v>
      </c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28">
        <f>IF(COUNT(B575:Z575)&gt;0,COUNT(B575:Z575),IF(OR(ISNUMBER(AA575),ISNUMBER(AB575)),$B$9,""))</f>
        <v/>
      </c>
      <c r="AE575" s="29">
        <f>IF(COUNT(B575:Z575)&gt;0,AVERAGE(B575:Z575),IF(ISNUMBER(AA575),AA575,""))</f>
        <v/>
      </c>
      <c r="AF575" s="29">
        <f>IF(COUNT(B575:Z575)&gt;1,MAX(B575:Z575)-MIN(B575:Z575),IF(ISNUMBER(AB575),AB575,""))</f>
        <v/>
      </c>
      <c r="AG575" s="29">
        <f>IF(COUNT(B575:Z575)&gt;1,_xlfn.STDEV.S(B575:Z575),IF(ISNUMBER(AC575),AC575,""))</f>
        <v/>
      </c>
      <c r="AH575" s="13">
        <f>IF(AND(ISNUMBER(AE575),ISNUMBER($B$23),ISNUMBER($D$23)),IF(AE575&gt;$D$23,"boven UCL",IF(AE575&lt;$B$23,"onder LCL","")),"")</f>
        <v/>
      </c>
      <c r="AI575" s="13">
        <f>IF(AND(ISNUMBER(AF575),ISNUMBER($B$24),ISNUMBER($D$24)),IF(AF575&gt;$D$24,"boven UCL",IF(AF575&lt;$B$24,"onder LCL","")),"")</f>
        <v/>
      </c>
      <c r="AJ575" s="13">
        <f>IF(AND(ISNUMBER(AE575),ISNUMBER($B$25),ISNUMBER($D$25)),IF(AE575&gt;$D$25,"boven UCL",IF(AE575&lt;$B$25,"onder LCL","")),"")</f>
        <v/>
      </c>
      <c r="AK575" s="13">
        <f>IF(AND(ISNUMBER(AG575),ISNUMBER($B$26),ISNUMBER($D$26)),IF(AG575&gt;$D$26,"boven UCL",IF(AG575&lt;$B$26,"onder LCL","")),"")</f>
        <v/>
      </c>
      <c r="AL575" s="13">
        <f>IF(AND(COUNT(B575:Z575)&gt;0,COUNT(AA575:AC575)&gt;0),"ruwe waarden én getypt: getypte genegeerd",IF(COUNTA(B575:Z575,AA575:AC575)&gt;COUNT(B575:Z575,AA575:AC575),"tekst telt niet mee",IF(COUNT(B575:Z575)=1,"1 waarde: geen R of s","")))</f>
        <v/>
      </c>
    </row>
    <row r="576">
      <c r="A576" t="n">
        <v>525</v>
      </c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28">
        <f>IF(COUNT(B576:Z576)&gt;0,COUNT(B576:Z576),IF(OR(ISNUMBER(AA576),ISNUMBER(AB576)),$B$9,""))</f>
        <v/>
      </c>
      <c r="AE576" s="29">
        <f>IF(COUNT(B576:Z576)&gt;0,AVERAGE(B576:Z576),IF(ISNUMBER(AA576),AA576,""))</f>
        <v/>
      </c>
      <c r="AF576" s="29">
        <f>IF(COUNT(B576:Z576)&gt;1,MAX(B576:Z576)-MIN(B576:Z576),IF(ISNUMBER(AB576),AB576,""))</f>
        <v/>
      </c>
      <c r="AG576" s="29">
        <f>IF(COUNT(B576:Z576)&gt;1,_xlfn.STDEV.S(B576:Z576),IF(ISNUMBER(AC576),AC576,""))</f>
        <v/>
      </c>
      <c r="AH576" s="13">
        <f>IF(AND(ISNUMBER(AE576),ISNUMBER($B$23),ISNUMBER($D$23)),IF(AE576&gt;$D$23,"boven UCL",IF(AE576&lt;$B$23,"onder LCL","")),"")</f>
        <v/>
      </c>
      <c r="AI576" s="13">
        <f>IF(AND(ISNUMBER(AF576),ISNUMBER($B$24),ISNUMBER($D$24)),IF(AF576&gt;$D$24,"boven UCL",IF(AF576&lt;$B$24,"onder LCL","")),"")</f>
        <v/>
      </c>
      <c r="AJ576" s="13">
        <f>IF(AND(ISNUMBER(AE576),ISNUMBER($B$25),ISNUMBER($D$25)),IF(AE576&gt;$D$25,"boven UCL",IF(AE576&lt;$B$25,"onder LCL","")),"")</f>
        <v/>
      </c>
      <c r="AK576" s="13">
        <f>IF(AND(ISNUMBER(AG576),ISNUMBER($B$26),ISNUMBER($D$26)),IF(AG576&gt;$D$26,"boven UCL",IF(AG576&lt;$B$26,"onder LCL","")),"")</f>
        <v/>
      </c>
      <c r="AL576" s="13">
        <f>IF(AND(COUNT(B576:Z576)&gt;0,COUNT(AA576:AC576)&gt;0),"ruwe waarden én getypt: getypte genegeerd",IF(COUNTA(B576:Z576,AA576:AC576)&gt;COUNT(B576:Z576,AA576:AC576),"tekst telt niet mee",IF(COUNT(B576:Z576)=1,"1 waarde: geen R of s","")))</f>
        <v/>
      </c>
    </row>
    <row r="577">
      <c r="A577" t="n">
        <v>526</v>
      </c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28">
        <f>IF(COUNT(B577:Z577)&gt;0,COUNT(B577:Z577),IF(OR(ISNUMBER(AA577),ISNUMBER(AB577)),$B$9,""))</f>
        <v/>
      </c>
      <c r="AE577" s="29">
        <f>IF(COUNT(B577:Z577)&gt;0,AVERAGE(B577:Z577),IF(ISNUMBER(AA577),AA577,""))</f>
        <v/>
      </c>
      <c r="AF577" s="29">
        <f>IF(COUNT(B577:Z577)&gt;1,MAX(B577:Z577)-MIN(B577:Z577),IF(ISNUMBER(AB577),AB577,""))</f>
        <v/>
      </c>
      <c r="AG577" s="29">
        <f>IF(COUNT(B577:Z577)&gt;1,_xlfn.STDEV.S(B577:Z577),IF(ISNUMBER(AC577),AC577,""))</f>
        <v/>
      </c>
      <c r="AH577" s="13">
        <f>IF(AND(ISNUMBER(AE577),ISNUMBER($B$23),ISNUMBER($D$23)),IF(AE577&gt;$D$23,"boven UCL",IF(AE577&lt;$B$23,"onder LCL","")),"")</f>
        <v/>
      </c>
      <c r="AI577" s="13">
        <f>IF(AND(ISNUMBER(AF577),ISNUMBER($B$24),ISNUMBER($D$24)),IF(AF577&gt;$D$24,"boven UCL",IF(AF577&lt;$B$24,"onder LCL","")),"")</f>
        <v/>
      </c>
      <c r="AJ577" s="13">
        <f>IF(AND(ISNUMBER(AE577),ISNUMBER($B$25),ISNUMBER($D$25)),IF(AE577&gt;$D$25,"boven UCL",IF(AE577&lt;$B$25,"onder LCL","")),"")</f>
        <v/>
      </c>
      <c r="AK577" s="13">
        <f>IF(AND(ISNUMBER(AG577),ISNUMBER($B$26),ISNUMBER($D$26)),IF(AG577&gt;$D$26,"boven UCL",IF(AG577&lt;$B$26,"onder LCL","")),"")</f>
        <v/>
      </c>
      <c r="AL577" s="13">
        <f>IF(AND(COUNT(B577:Z577)&gt;0,COUNT(AA577:AC577)&gt;0),"ruwe waarden én getypt: getypte genegeerd",IF(COUNTA(B577:Z577,AA577:AC577)&gt;COUNT(B577:Z577,AA577:AC577),"tekst telt niet mee",IF(COUNT(B577:Z577)=1,"1 waarde: geen R of s","")))</f>
        <v/>
      </c>
    </row>
    <row r="578">
      <c r="A578" t="n">
        <v>527</v>
      </c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28">
        <f>IF(COUNT(B578:Z578)&gt;0,COUNT(B578:Z578),IF(OR(ISNUMBER(AA578),ISNUMBER(AB578)),$B$9,""))</f>
        <v/>
      </c>
      <c r="AE578" s="29">
        <f>IF(COUNT(B578:Z578)&gt;0,AVERAGE(B578:Z578),IF(ISNUMBER(AA578),AA578,""))</f>
        <v/>
      </c>
      <c r="AF578" s="29">
        <f>IF(COUNT(B578:Z578)&gt;1,MAX(B578:Z578)-MIN(B578:Z578),IF(ISNUMBER(AB578),AB578,""))</f>
        <v/>
      </c>
      <c r="AG578" s="29">
        <f>IF(COUNT(B578:Z578)&gt;1,_xlfn.STDEV.S(B578:Z578),IF(ISNUMBER(AC578),AC578,""))</f>
        <v/>
      </c>
      <c r="AH578" s="13">
        <f>IF(AND(ISNUMBER(AE578),ISNUMBER($B$23),ISNUMBER($D$23)),IF(AE578&gt;$D$23,"boven UCL",IF(AE578&lt;$B$23,"onder LCL","")),"")</f>
        <v/>
      </c>
      <c r="AI578" s="13">
        <f>IF(AND(ISNUMBER(AF578),ISNUMBER($B$24),ISNUMBER($D$24)),IF(AF578&gt;$D$24,"boven UCL",IF(AF578&lt;$B$24,"onder LCL","")),"")</f>
        <v/>
      </c>
      <c r="AJ578" s="13">
        <f>IF(AND(ISNUMBER(AE578),ISNUMBER($B$25),ISNUMBER($D$25)),IF(AE578&gt;$D$25,"boven UCL",IF(AE578&lt;$B$25,"onder LCL","")),"")</f>
        <v/>
      </c>
      <c r="AK578" s="13">
        <f>IF(AND(ISNUMBER(AG578),ISNUMBER($B$26),ISNUMBER($D$26)),IF(AG578&gt;$D$26,"boven UCL",IF(AG578&lt;$B$26,"onder LCL","")),"")</f>
        <v/>
      </c>
      <c r="AL578" s="13">
        <f>IF(AND(COUNT(B578:Z578)&gt;0,COUNT(AA578:AC578)&gt;0),"ruwe waarden én getypt: getypte genegeerd",IF(COUNTA(B578:Z578,AA578:AC578)&gt;COUNT(B578:Z578,AA578:AC578),"tekst telt niet mee",IF(COUNT(B578:Z578)=1,"1 waarde: geen R of s","")))</f>
        <v/>
      </c>
    </row>
    <row r="579">
      <c r="A579" t="n">
        <v>528</v>
      </c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28">
        <f>IF(COUNT(B579:Z579)&gt;0,COUNT(B579:Z579),IF(OR(ISNUMBER(AA579),ISNUMBER(AB579)),$B$9,""))</f>
        <v/>
      </c>
      <c r="AE579" s="29">
        <f>IF(COUNT(B579:Z579)&gt;0,AVERAGE(B579:Z579),IF(ISNUMBER(AA579),AA579,""))</f>
        <v/>
      </c>
      <c r="AF579" s="29">
        <f>IF(COUNT(B579:Z579)&gt;1,MAX(B579:Z579)-MIN(B579:Z579),IF(ISNUMBER(AB579),AB579,""))</f>
        <v/>
      </c>
      <c r="AG579" s="29">
        <f>IF(COUNT(B579:Z579)&gt;1,_xlfn.STDEV.S(B579:Z579),IF(ISNUMBER(AC579),AC579,""))</f>
        <v/>
      </c>
      <c r="AH579" s="13">
        <f>IF(AND(ISNUMBER(AE579),ISNUMBER($B$23),ISNUMBER($D$23)),IF(AE579&gt;$D$23,"boven UCL",IF(AE579&lt;$B$23,"onder LCL","")),"")</f>
        <v/>
      </c>
      <c r="AI579" s="13">
        <f>IF(AND(ISNUMBER(AF579),ISNUMBER($B$24),ISNUMBER($D$24)),IF(AF579&gt;$D$24,"boven UCL",IF(AF579&lt;$B$24,"onder LCL","")),"")</f>
        <v/>
      </c>
      <c r="AJ579" s="13">
        <f>IF(AND(ISNUMBER(AE579),ISNUMBER($B$25),ISNUMBER($D$25)),IF(AE579&gt;$D$25,"boven UCL",IF(AE579&lt;$B$25,"onder LCL","")),"")</f>
        <v/>
      </c>
      <c r="AK579" s="13">
        <f>IF(AND(ISNUMBER(AG579),ISNUMBER($B$26),ISNUMBER($D$26)),IF(AG579&gt;$D$26,"boven UCL",IF(AG579&lt;$B$26,"onder LCL","")),"")</f>
        <v/>
      </c>
      <c r="AL579" s="13">
        <f>IF(AND(COUNT(B579:Z579)&gt;0,COUNT(AA579:AC579)&gt;0),"ruwe waarden én getypt: getypte genegeerd",IF(COUNTA(B579:Z579,AA579:AC579)&gt;COUNT(B579:Z579,AA579:AC579),"tekst telt niet mee",IF(COUNT(B579:Z579)=1,"1 waarde: geen R of s","")))</f>
        <v/>
      </c>
    </row>
    <row r="580">
      <c r="A580" t="n">
        <v>529</v>
      </c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28">
        <f>IF(COUNT(B580:Z580)&gt;0,COUNT(B580:Z580),IF(OR(ISNUMBER(AA580),ISNUMBER(AB580)),$B$9,""))</f>
        <v/>
      </c>
      <c r="AE580" s="29">
        <f>IF(COUNT(B580:Z580)&gt;0,AVERAGE(B580:Z580),IF(ISNUMBER(AA580),AA580,""))</f>
        <v/>
      </c>
      <c r="AF580" s="29">
        <f>IF(COUNT(B580:Z580)&gt;1,MAX(B580:Z580)-MIN(B580:Z580),IF(ISNUMBER(AB580),AB580,""))</f>
        <v/>
      </c>
      <c r="AG580" s="29">
        <f>IF(COUNT(B580:Z580)&gt;1,_xlfn.STDEV.S(B580:Z580),IF(ISNUMBER(AC580),AC580,""))</f>
        <v/>
      </c>
      <c r="AH580" s="13">
        <f>IF(AND(ISNUMBER(AE580),ISNUMBER($B$23),ISNUMBER($D$23)),IF(AE580&gt;$D$23,"boven UCL",IF(AE580&lt;$B$23,"onder LCL","")),"")</f>
        <v/>
      </c>
      <c r="AI580" s="13">
        <f>IF(AND(ISNUMBER(AF580),ISNUMBER($B$24),ISNUMBER($D$24)),IF(AF580&gt;$D$24,"boven UCL",IF(AF580&lt;$B$24,"onder LCL","")),"")</f>
        <v/>
      </c>
      <c r="AJ580" s="13">
        <f>IF(AND(ISNUMBER(AE580),ISNUMBER($B$25),ISNUMBER($D$25)),IF(AE580&gt;$D$25,"boven UCL",IF(AE580&lt;$B$25,"onder LCL","")),"")</f>
        <v/>
      </c>
      <c r="AK580" s="13">
        <f>IF(AND(ISNUMBER(AG580),ISNUMBER($B$26),ISNUMBER($D$26)),IF(AG580&gt;$D$26,"boven UCL",IF(AG580&lt;$B$26,"onder LCL","")),"")</f>
        <v/>
      </c>
      <c r="AL580" s="13">
        <f>IF(AND(COUNT(B580:Z580)&gt;0,COUNT(AA580:AC580)&gt;0),"ruwe waarden én getypt: getypte genegeerd",IF(COUNTA(B580:Z580,AA580:AC580)&gt;COUNT(B580:Z580,AA580:AC580),"tekst telt niet mee",IF(COUNT(B580:Z580)=1,"1 waarde: geen R of s","")))</f>
        <v/>
      </c>
    </row>
    <row r="581">
      <c r="A581" t="n">
        <v>530</v>
      </c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28">
        <f>IF(COUNT(B581:Z581)&gt;0,COUNT(B581:Z581),IF(OR(ISNUMBER(AA581),ISNUMBER(AB581)),$B$9,""))</f>
        <v/>
      </c>
      <c r="AE581" s="29">
        <f>IF(COUNT(B581:Z581)&gt;0,AVERAGE(B581:Z581),IF(ISNUMBER(AA581),AA581,""))</f>
        <v/>
      </c>
      <c r="AF581" s="29">
        <f>IF(COUNT(B581:Z581)&gt;1,MAX(B581:Z581)-MIN(B581:Z581),IF(ISNUMBER(AB581),AB581,""))</f>
        <v/>
      </c>
      <c r="AG581" s="29">
        <f>IF(COUNT(B581:Z581)&gt;1,_xlfn.STDEV.S(B581:Z581),IF(ISNUMBER(AC581),AC581,""))</f>
        <v/>
      </c>
      <c r="AH581" s="13">
        <f>IF(AND(ISNUMBER(AE581),ISNUMBER($B$23),ISNUMBER($D$23)),IF(AE581&gt;$D$23,"boven UCL",IF(AE581&lt;$B$23,"onder LCL","")),"")</f>
        <v/>
      </c>
      <c r="AI581" s="13">
        <f>IF(AND(ISNUMBER(AF581),ISNUMBER($B$24),ISNUMBER($D$24)),IF(AF581&gt;$D$24,"boven UCL",IF(AF581&lt;$B$24,"onder LCL","")),"")</f>
        <v/>
      </c>
      <c r="AJ581" s="13">
        <f>IF(AND(ISNUMBER(AE581),ISNUMBER($B$25),ISNUMBER($D$25)),IF(AE581&gt;$D$25,"boven UCL",IF(AE581&lt;$B$25,"onder LCL","")),"")</f>
        <v/>
      </c>
      <c r="AK581" s="13">
        <f>IF(AND(ISNUMBER(AG581),ISNUMBER($B$26),ISNUMBER($D$26)),IF(AG581&gt;$D$26,"boven UCL",IF(AG581&lt;$B$26,"onder LCL","")),"")</f>
        <v/>
      </c>
      <c r="AL581" s="13">
        <f>IF(AND(COUNT(B581:Z581)&gt;0,COUNT(AA581:AC581)&gt;0),"ruwe waarden én getypt: getypte genegeerd",IF(COUNTA(B581:Z581,AA581:AC581)&gt;COUNT(B581:Z581,AA581:AC581),"tekst telt niet mee",IF(COUNT(B581:Z581)=1,"1 waarde: geen R of s","")))</f>
        <v/>
      </c>
    </row>
    <row r="582">
      <c r="A582" t="n">
        <v>531</v>
      </c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28">
        <f>IF(COUNT(B582:Z582)&gt;0,COUNT(B582:Z582),IF(OR(ISNUMBER(AA582),ISNUMBER(AB582)),$B$9,""))</f>
        <v/>
      </c>
      <c r="AE582" s="29">
        <f>IF(COUNT(B582:Z582)&gt;0,AVERAGE(B582:Z582),IF(ISNUMBER(AA582),AA582,""))</f>
        <v/>
      </c>
      <c r="AF582" s="29">
        <f>IF(COUNT(B582:Z582)&gt;1,MAX(B582:Z582)-MIN(B582:Z582),IF(ISNUMBER(AB582),AB582,""))</f>
        <v/>
      </c>
      <c r="AG582" s="29">
        <f>IF(COUNT(B582:Z582)&gt;1,_xlfn.STDEV.S(B582:Z582),IF(ISNUMBER(AC582),AC582,""))</f>
        <v/>
      </c>
      <c r="AH582" s="13">
        <f>IF(AND(ISNUMBER(AE582),ISNUMBER($B$23),ISNUMBER($D$23)),IF(AE582&gt;$D$23,"boven UCL",IF(AE582&lt;$B$23,"onder LCL","")),"")</f>
        <v/>
      </c>
      <c r="AI582" s="13">
        <f>IF(AND(ISNUMBER(AF582),ISNUMBER($B$24),ISNUMBER($D$24)),IF(AF582&gt;$D$24,"boven UCL",IF(AF582&lt;$B$24,"onder LCL","")),"")</f>
        <v/>
      </c>
      <c r="AJ582" s="13">
        <f>IF(AND(ISNUMBER(AE582),ISNUMBER($B$25),ISNUMBER($D$25)),IF(AE582&gt;$D$25,"boven UCL",IF(AE582&lt;$B$25,"onder LCL","")),"")</f>
        <v/>
      </c>
      <c r="AK582" s="13">
        <f>IF(AND(ISNUMBER(AG582),ISNUMBER($B$26),ISNUMBER($D$26)),IF(AG582&gt;$D$26,"boven UCL",IF(AG582&lt;$B$26,"onder LCL","")),"")</f>
        <v/>
      </c>
      <c r="AL582" s="13">
        <f>IF(AND(COUNT(B582:Z582)&gt;0,COUNT(AA582:AC582)&gt;0),"ruwe waarden én getypt: getypte genegeerd",IF(COUNTA(B582:Z582,AA582:AC582)&gt;COUNT(B582:Z582,AA582:AC582),"tekst telt niet mee",IF(COUNT(B582:Z582)=1,"1 waarde: geen R of s","")))</f>
        <v/>
      </c>
    </row>
    <row r="583">
      <c r="A583" t="n">
        <v>532</v>
      </c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28">
        <f>IF(COUNT(B583:Z583)&gt;0,COUNT(B583:Z583),IF(OR(ISNUMBER(AA583),ISNUMBER(AB583)),$B$9,""))</f>
        <v/>
      </c>
      <c r="AE583" s="29">
        <f>IF(COUNT(B583:Z583)&gt;0,AVERAGE(B583:Z583),IF(ISNUMBER(AA583),AA583,""))</f>
        <v/>
      </c>
      <c r="AF583" s="29">
        <f>IF(COUNT(B583:Z583)&gt;1,MAX(B583:Z583)-MIN(B583:Z583),IF(ISNUMBER(AB583),AB583,""))</f>
        <v/>
      </c>
      <c r="AG583" s="29">
        <f>IF(COUNT(B583:Z583)&gt;1,_xlfn.STDEV.S(B583:Z583),IF(ISNUMBER(AC583),AC583,""))</f>
        <v/>
      </c>
      <c r="AH583" s="13">
        <f>IF(AND(ISNUMBER(AE583),ISNUMBER($B$23),ISNUMBER($D$23)),IF(AE583&gt;$D$23,"boven UCL",IF(AE583&lt;$B$23,"onder LCL","")),"")</f>
        <v/>
      </c>
      <c r="AI583" s="13">
        <f>IF(AND(ISNUMBER(AF583),ISNUMBER($B$24),ISNUMBER($D$24)),IF(AF583&gt;$D$24,"boven UCL",IF(AF583&lt;$B$24,"onder LCL","")),"")</f>
        <v/>
      </c>
      <c r="AJ583" s="13">
        <f>IF(AND(ISNUMBER(AE583),ISNUMBER($B$25),ISNUMBER($D$25)),IF(AE583&gt;$D$25,"boven UCL",IF(AE583&lt;$B$25,"onder LCL","")),"")</f>
        <v/>
      </c>
      <c r="AK583" s="13">
        <f>IF(AND(ISNUMBER(AG583),ISNUMBER($B$26),ISNUMBER($D$26)),IF(AG583&gt;$D$26,"boven UCL",IF(AG583&lt;$B$26,"onder LCL","")),"")</f>
        <v/>
      </c>
      <c r="AL583" s="13">
        <f>IF(AND(COUNT(B583:Z583)&gt;0,COUNT(AA583:AC583)&gt;0),"ruwe waarden én getypt: getypte genegeerd",IF(COUNTA(B583:Z583,AA583:AC583)&gt;COUNT(B583:Z583,AA583:AC583),"tekst telt niet mee",IF(COUNT(B583:Z583)=1,"1 waarde: geen R of s","")))</f>
        <v/>
      </c>
    </row>
    <row r="584">
      <c r="A584" t="n">
        <v>533</v>
      </c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28">
        <f>IF(COUNT(B584:Z584)&gt;0,COUNT(B584:Z584),IF(OR(ISNUMBER(AA584),ISNUMBER(AB584)),$B$9,""))</f>
        <v/>
      </c>
      <c r="AE584" s="29">
        <f>IF(COUNT(B584:Z584)&gt;0,AVERAGE(B584:Z584),IF(ISNUMBER(AA584),AA584,""))</f>
        <v/>
      </c>
      <c r="AF584" s="29">
        <f>IF(COUNT(B584:Z584)&gt;1,MAX(B584:Z584)-MIN(B584:Z584),IF(ISNUMBER(AB584),AB584,""))</f>
        <v/>
      </c>
      <c r="AG584" s="29">
        <f>IF(COUNT(B584:Z584)&gt;1,_xlfn.STDEV.S(B584:Z584),IF(ISNUMBER(AC584),AC584,""))</f>
        <v/>
      </c>
      <c r="AH584" s="13">
        <f>IF(AND(ISNUMBER(AE584),ISNUMBER($B$23),ISNUMBER($D$23)),IF(AE584&gt;$D$23,"boven UCL",IF(AE584&lt;$B$23,"onder LCL","")),"")</f>
        <v/>
      </c>
      <c r="AI584" s="13">
        <f>IF(AND(ISNUMBER(AF584),ISNUMBER($B$24),ISNUMBER($D$24)),IF(AF584&gt;$D$24,"boven UCL",IF(AF584&lt;$B$24,"onder LCL","")),"")</f>
        <v/>
      </c>
      <c r="AJ584" s="13">
        <f>IF(AND(ISNUMBER(AE584),ISNUMBER($B$25),ISNUMBER($D$25)),IF(AE584&gt;$D$25,"boven UCL",IF(AE584&lt;$B$25,"onder LCL","")),"")</f>
        <v/>
      </c>
      <c r="AK584" s="13">
        <f>IF(AND(ISNUMBER(AG584),ISNUMBER($B$26),ISNUMBER($D$26)),IF(AG584&gt;$D$26,"boven UCL",IF(AG584&lt;$B$26,"onder LCL","")),"")</f>
        <v/>
      </c>
      <c r="AL584" s="13">
        <f>IF(AND(COUNT(B584:Z584)&gt;0,COUNT(AA584:AC584)&gt;0),"ruwe waarden én getypt: getypte genegeerd",IF(COUNTA(B584:Z584,AA584:AC584)&gt;COUNT(B584:Z584,AA584:AC584),"tekst telt niet mee",IF(COUNT(B584:Z584)=1,"1 waarde: geen R of s","")))</f>
        <v/>
      </c>
    </row>
    <row r="585">
      <c r="A585" t="n">
        <v>534</v>
      </c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28">
        <f>IF(COUNT(B585:Z585)&gt;0,COUNT(B585:Z585),IF(OR(ISNUMBER(AA585),ISNUMBER(AB585)),$B$9,""))</f>
        <v/>
      </c>
      <c r="AE585" s="29">
        <f>IF(COUNT(B585:Z585)&gt;0,AVERAGE(B585:Z585),IF(ISNUMBER(AA585),AA585,""))</f>
        <v/>
      </c>
      <c r="AF585" s="29">
        <f>IF(COUNT(B585:Z585)&gt;1,MAX(B585:Z585)-MIN(B585:Z585),IF(ISNUMBER(AB585),AB585,""))</f>
        <v/>
      </c>
      <c r="AG585" s="29">
        <f>IF(COUNT(B585:Z585)&gt;1,_xlfn.STDEV.S(B585:Z585),IF(ISNUMBER(AC585),AC585,""))</f>
        <v/>
      </c>
      <c r="AH585" s="13">
        <f>IF(AND(ISNUMBER(AE585),ISNUMBER($B$23),ISNUMBER($D$23)),IF(AE585&gt;$D$23,"boven UCL",IF(AE585&lt;$B$23,"onder LCL","")),"")</f>
        <v/>
      </c>
      <c r="AI585" s="13">
        <f>IF(AND(ISNUMBER(AF585),ISNUMBER($B$24),ISNUMBER($D$24)),IF(AF585&gt;$D$24,"boven UCL",IF(AF585&lt;$B$24,"onder LCL","")),"")</f>
        <v/>
      </c>
      <c r="AJ585" s="13">
        <f>IF(AND(ISNUMBER(AE585),ISNUMBER($B$25),ISNUMBER($D$25)),IF(AE585&gt;$D$25,"boven UCL",IF(AE585&lt;$B$25,"onder LCL","")),"")</f>
        <v/>
      </c>
      <c r="AK585" s="13">
        <f>IF(AND(ISNUMBER(AG585),ISNUMBER($B$26),ISNUMBER($D$26)),IF(AG585&gt;$D$26,"boven UCL",IF(AG585&lt;$B$26,"onder LCL","")),"")</f>
        <v/>
      </c>
      <c r="AL585" s="13">
        <f>IF(AND(COUNT(B585:Z585)&gt;0,COUNT(AA585:AC585)&gt;0),"ruwe waarden én getypt: getypte genegeerd",IF(COUNTA(B585:Z585,AA585:AC585)&gt;COUNT(B585:Z585,AA585:AC585),"tekst telt niet mee",IF(COUNT(B585:Z585)=1,"1 waarde: geen R of s","")))</f>
        <v/>
      </c>
    </row>
    <row r="586">
      <c r="A586" t="n">
        <v>535</v>
      </c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28">
        <f>IF(COUNT(B586:Z586)&gt;0,COUNT(B586:Z586),IF(OR(ISNUMBER(AA586),ISNUMBER(AB586)),$B$9,""))</f>
        <v/>
      </c>
      <c r="AE586" s="29">
        <f>IF(COUNT(B586:Z586)&gt;0,AVERAGE(B586:Z586),IF(ISNUMBER(AA586),AA586,""))</f>
        <v/>
      </c>
      <c r="AF586" s="29">
        <f>IF(COUNT(B586:Z586)&gt;1,MAX(B586:Z586)-MIN(B586:Z586),IF(ISNUMBER(AB586),AB586,""))</f>
        <v/>
      </c>
      <c r="AG586" s="29">
        <f>IF(COUNT(B586:Z586)&gt;1,_xlfn.STDEV.S(B586:Z586),IF(ISNUMBER(AC586),AC586,""))</f>
        <v/>
      </c>
      <c r="AH586" s="13">
        <f>IF(AND(ISNUMBER(AE586),ISNUMBER($B$23),ISNUMBER($D$23)),IF(AE586&gt;$D$23,"boven UCL",IF(AE586&lt;$B$23,"onder LCL","")),"")</f>
        <v/>
      </c>
      <c r="AI586" s="13">
        <f>IF(AND(ISNUMBER(AF586),ISNUMBER($B$24),ISNUMBER($D$24)),IF(AF586&gt;$D$24,"boven UCL",IF(AF586&lt;$B$24,"onder LCL","")),"")</f>
        <v/>
      </c>
      <c r="AJ586" s="13">
        <f>IF(AND(ISNUMBER(AE586),ISNUMBER($B$25),ISNUMBER($D$25)),IF(AE586&gt;$D$25,"boven UCL",IF(AE586&lt;$B$25,"onder LCL","")),"")</f>
        <v/>
      </c>
      <c r="AK586" s="13">
        <f>IF(AND(ISNUMBER(AG586),ISNUMBER($B$26),ISNUMBER($D$26)),IF(AG586&gt;$D$26,"boven UCL",IF(AG586&lt;$B$26,"onder LCL","")),"")</f>
        <v/>
      </c>
      <c r="AL586" s="13">
        <f>IF(AND(COUNT(B586:Z586)&gt;0,COUNT(AA586:AC586)&gt;0),"ruwe waarden én getypt: getypte genegeerd",IF(COUNTA(B586:Z586,AA586:AC586)&gt;COUNT(B586:Z586,AA586:AC586),"tekst telt niet mee",IF(COUNT(B586:Z586)=1,"1 waarde: geen R of s","")))</f>
        <v/>
      </c>
    </row>
    <row r="587">
      <c r="A587" t="n">
        <v>536</v>
      </c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28">
        <f>IF(COUNT(B587:Z587)&gt;0,COUNT(B587:Z587),IF(OR(ISNUMBER(AA587),ISNUMBER(AB587)),$B$9,""))</f>
        <v/>
      </c>
      <c r="AE587" s="29">
        <f>IF(COUNT(B587:Z587)&gt;0,AVERAGE(B587:Z587),IF(ISNUMBER(AA587),AA587,""))</f>
        <v/>
      </c>
      <c r="AF587" s="29">
        <f>IF(COUNT(B587:Z587)&gt;1,MAX(B587:Z587)-MIN(B587:Z587),IF(ISNUMBER(AB587),AB587,""))</f>
        <v/>
      </c>
      <c r="AG587" s="29">
        <f>IF(COUNT(B587:Z587)&gt;1,_xlfn.STDEV.S(B587:Z587),IF(ISNUMBER(AC587),AC587,""))</f>
        <v/>
      </c>
      <c r="AH587" s="13">
        <f>IF(AND(ISNUMBER(AE587),ISNUMBER($B$23),ISNUMBER($D$23)),IF(AE587&gt;$D$23,"boven UCL",IF(AE587&lt;$B$23,"onder LCL","")),"")</f>
        <v/>
      </c>
      <c r="AI587" s="13">
        <f>IF(AND(ISNUMBER(AF587),ISNUMBER($B$24),ISNUMBER($D$24)),IF(AF587&gt;$D$24,"boven UCL",IF(AF587&lt;$B$24,"onder LCL","")),"")</f>
        <v/>
      </c>
      <c r="AJ587" s="13">
        <f>IF(AND(ISNUMBER(AE587),ISNUMBER($B$25),ISNUMBER($D$25)),IF(AE587&gt;$D$25,"boven UCL",IF(AE587&lt;$B$25,"onder LCL","")),"")</f>
        <v/>
      </c>
      <c r="AK587" s="13">
        <f>IF(AND(ISNUMBER(AG587),ISNUMBER($B$26),ISNUMBER($D$26)),IF(AG587&gt;$D$26,"boven UCL",IF(AG587&lt;$B$26,"onder LCL","")),"")</f>
        <v/>
      </c>
      <c r="AL587" s="13">
        <f>IF(AND(COUNT(B587:Z587)&gt;0,COUNT(AA587:AC587)&gt;0),"ruwe waarden én getypt: getypte genegeerd",IF(COUNTA(B587:Z587,AA587:AC587)&gt;COUNT(B587:Z587,AA587:AC587),"tekst telt niet mee",IF(COUNT(B587:Z587)=1,"1 waarde: geen R of s","")))</f>
        <v/>
      </c>
    </row>
    <row r="588">
      <c r="A588" t="n">
        <v>537</v>
      </c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28">
        <f>IF(COUNT(B588:Z588)&gt;0,COUNT(B588:Z588),IF(OR(ISNUMBER(AA588),ISNUMBER(AB588)),$B$9,""))</f>
        <v/>
      </c>
      <c r="AE588" s="29">
        <f>IF(COUNT(B588:Z588)&gt;0,AVERAGE(B588:Z588),IF(ISNUMBER(AA588),AA588,""))</f>
        <v/>
      </c>
      <c r="AF588" s="29">
        <f>IF(COUNT(B588:Z588)&gt;1,MAX(B588:Z588)-MIN(B588:Z588),IF(ISNUMBER(AB588),AB588,""))</f>
        <v/>
      </c>
      <c r="AG588" s="29">
        <f>IF(COUNT(B588:Z588)&gt;1,_xlfn.STDEV.S(B588:Z588),IF(ISNUMBER(AC588),AC588,""))</f>
        <v/>
      </c>
      <c r="AH588" s="13">
        <f>IF(AND(ISNUMBER(AE588),ISNUMBER($B$23),ISNUMBER($D$23)),IF(AE588&gt;$D$23,"boven UCL",IF(AE588&lt;$B$23,"onder LCL","")),"")</f>
        <v/>
      </c>
      <c r="AI588" s="13">
        <f>IF(AND(ISNUMBER(AF588),ISNUMBER($B$24),ISNUMBER($D$24)),IF(AF588&gt;$D$24,"boven UCL",IF(AF588&lt;$B$24,"onder LCL","")),"")</f>
        <v/>
      </c>
      <c r="AJ588" s="13">
        <f>IF(AND(ISNUMBER(AE588),ISNUMBER($B$25),ISNUMBER($D$25)),IF(AE588&gt;$D$25,"boven UCL",IF(AE588&lt;$B$25,"onder LCL","")),"")</f>
        <v/>
      </c>
      <c r="AK588" s="13">
        <f>IF(AND(ISNUMBER(AG588),ISNUMBER($B$26),ISNUMBER($D$26)),IF(AG588&gt;$D$26,"boven UCL",IF(AG588&lt;$B$26,"onder LCL","")),"")</f>
        <v/>
      </c>
      <c r="AL588" s="13">
        <f>IF(AND(COUNT(B588:Z588)&gt;0,COUNT(AA588:AC588)&gt;0),"ruwe waarden én getypt: getypte genegeerd",IF(COUNTA(B588:Z588,AA588:AC588)&gt;COUNT(B588:Z588,AA588:AC588),"tekst telt niet mee",IF(COUNT(B588:Z588)=1,"1 waarde: geen R of s","")))</f>
        <v/>
      </c>
    </row>
    <row r="589">
      <c r="A589" t="n">
        <v>538</v>
      </c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28">
        <f>IF(COUNT(B589:Z589)&gt;0,COUNT(B589:Z589),IF(OR(ISNUMBER(AA589),ISNUMBER(AB589)),$B$9,""))</f>
        <v/>
      </c>
      <c r="AE589" s="29">
        <f>IF(COUNT(B589:Z589)&gt;0,AVERAGE(B589:Z589),IF(ISNUMBER(AA589),AA589,""))</f>
        <v/>
      </c>
      <c r="AF589" s="29">
        <f>IF(COUNT(B589:Z589)&gt;1,MAX(B589:Z589)-MIN(B589:Z589),IF(ISNUMBER(AB589),AB589,""))</f>
        <v/>
      </c>
      <c r="AG589" s="29">
        <f>IF(COUNT(B589:Z589)&gt;1,_xlfn.STDEV.S(B589:Z589),IF(ISNUMBER(AC589),AC589,""))</f>
        <v/>
      </c>
      <c r="AH589" s="13">
        <f>IF(AND(ISNUMBER(AE589),ISNUMBER($B$23),ISNUMBER($D$23)),IF(AE589&gt;$D$23,"boven UCL",IF(AE589&lt;$B$23,"onder LCL","")),"")</f>
        <v/>
      </c>
      <c r="AI589" s="13">
        <f>IF(AND(ISNUMBER(AF589),ISNUMBER($B$24),ISNUMBER($D$24)),IF(AF589&gt;$D$24,"boven UCL",IF(AF589&lt;$B$24,"onder LCL","")),"")</f>
        <v/>
      </c>
      <c r="AJ589" s="13">
        <f>IF(AND(ISNUMBER(AE589),ISNUMBER($B$25),ISNUMBER($D$25)),IF(AE589&gt;$D$25,"boven UCL",IF(AE589&lt;$B$25,"onder LCL","")),"")</f>
        <v/>
      </c>
      <c r="AK589" s="13">
        <f>IF(AND(ISNUMBER(AG589),ISNUMBER($B$26),ISNUMBER($D$26)),IF(AG589&gt;$D$26,"boven UCL",IF(AG589&lt;$B$26,"onder LCL","")),"")</f>
        <v/>
      </c>
      <c r="AL589" s="13">
        <f>IF(AND(COUNT(B589:Z589)&gt;0,COUNT(AA589:AC589)&gt;0),"ruwe waarden én getypt: getypte genegeerd",IF(COUNTA(B589:Z589,AA589:AC589)&gt;COUNT(B589:Z589,AA589:AC589),"tekst telt niet mee",IF(COUNT(B589:Z589)=1,"1 waarde: geen R of s","")))</f>
        <v/>
      </c>
    </row>
    <row r="590">
      <c r="A590" t="n">
        <v>539</v>
      </c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28">
        <f>IF(COUNT(B590:Z590)&gt;0,COUNT(B590:Z590),IF(OR(ISNUMBER(AA590),ISNUMBER(AB590)),$B$9,""))</f>
        <v/>
      </c>
      <c r="AE590" s="29">
        <f>IF(COUNT(B590:Z590)&gt;0,AVERAGE(B590:Z590),IF(ISNUMBER(AA590),AA590,""))</f>
        <v/>
      </c>
      <c r="AF590" s="29">
        <f>IF(COUNT(B590:Z590)&gt;1,MAX(B590:Z590)-MIN(B590:Z590),IF(ISNUMBER(AB590),AB590,""))</f>
        <v/>
      </c>
      <c r="AG590" s="29">
        <f>IF(COUNT(B590:Z590)&gt;1,_xlfn.STDEV.S(B590:Z590),IF(ISNUMBER(AC590),AC590,""))</f>
        <v/>
      </c>
      <c r="AH590" s="13">
        <f>IF(AND(ISNUMBER(AE590),ISNUMBER($B$23),ISNUMBER($D$23)),IF(AE590&gt;$D$23,"boven UCL",IF(AE590&lt;$B$23,"onder LCL","")),"")</f>
        <v/>
      </c>
      <c r="AI590" s="13">
        <f>IF(AND(ISNUMBER(AF590),ISNUMBER($B$24),ISNUMBER($D$24)),IF(AF590&gt;$D$24,"boven UCL",IF(AF590&lt;$B$24,"onder LCL","")),"")</f>
        <v/>
      </c>
      <c r="AJ590" s="13">
        <f>IF(AND(ISNUMBER(AE590),ISNUMBER($B$25),ISNUMBER($D$25)),IF(AE590&gt;$D$25,"boven UCL",IF(AE590&lt;$B$25,"onder LCL","")),"")</f>
        <v/>
      </c>
      <c r="AK590" s="13">
        <f>IF(AND(ISNUMBER(AG590),ISNUMBER($B$26),ISNUMBER($D$26)),IF(AG590&gt;$D$26,"boven UCL",IF(AG590&lt;$B$26,"onder LCL","")),"")</f>
        <v/>
      </c>
      <c r="AL590" s="13">
        <f>IF(AND(COUNT(B590:Z590)&gt;0,COUNT(AA590:AC590)&gt;0),"ruwe waarden én getypt: getypte genegeerd",IF(COUNTA(B590:Z590,AA590:AC590)&gt;COUNT(B590:Z590,AA590:AC590),"tekst telt niet mee",IF(COUNT(B590:Z590)=1,"1 waarde: geen R of s","")))</f>
        <v/>
      </c>
    </row>
    <row r="591">
      <c r="A591" t="n">
        <v>540</v>
      </c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28">
        <f>IF(COUNT(B591:Z591)&gt;0,COUNT(B591:Z591),IF(OR(ISNUMBER(AA591),ISNUMBER(AB591)),$B$9,""))</f>
        <v/>
      </c>
      <c r="AE591" s="29">
        <f>IF(COUNT(B591:Z591)&gt;0,AVERAGE(B591:Z591),IF(ISNUMBER(AA591),AA591,""))</f>
        <v/>
      </c>
      <c r="AF591" s="29">
        <f>IF(COUNT(B591:Z591)&gt;1,MAX(B591:Z591)-MIN(B591:Z591),IF(ISNUMBER(AB591),AB591,""))</f>
        <v/>
      </c>
      <c r="AG591" s="29">
        <f>IF(COUNT(B591:Z591)&gt;1,_xlfn.STDEV.S(B591:Z591),IF(ISNUMBER(AC591),AC591,""))</f>
        <v/>
      </c>
      <c r="AH591" s="13">
        <f>IF(AND(ISNUMBER(AE591),ISNUMBER($B$23),ISNUMBER($D$23)),IF(AE591&gt;$D$23,"boven UCL",IF(AE591&lt;$B$23,"onder LCL","")),"")</f>
        <v/>
      </c>
      <c r="AI591" s="13">
        <f>IF(AND(ISNUMBER(AF591),ISNUMBER($B$24),ISNUMBER($D$24)),IF(AF591&gt;$D$24,"boven UCL",IF(AF591&lt;$B$24,"onder LCL","")),"")</f>
        <v/>
      </c>
      <c r="AJ591" s="13">
        <f>IF(AND(ISNUMBER(AE591),ISNUMBER($B$25),ISNUMBER($D$25)),IF(AE591&gt;$D$25,"boven UCL",IF(AE591&lt;$B$25,"onder LCL","")),"")</f>
        <v/>
      </c>
      <c r="AK591" s="13">
        <f>IF(AND(ISNUMBER(AG591),ISNUMBER($B$26),ISNUMBER($D$26)),IF(AG591&gt;$D$26,"boven UCL",IF(AG591&lt;$B$26,"onder LCL","")),"")</f>
        <v/>
      </c>
      <c r="AL591" s="13">
        <f>IF(AND(COUNT(B591:Z591)&gt;0,COUNT(AA591:AC591)&gt;0),"ruwe waarden én getypt: getypte genegeerd",IF(COUNTA(B591:Z591,AA591:AC591)&gt;COUNT(B591:Z591,AA591:AC591),"tekst telt niet mee",IF(COUNT(B591:Z591)=1,"1 waarde: geen R of s","")))</f>
        <v/>
      </c>
    </row>
    <row r="592">
      <c r="A592" t="n">
        <v>541</v>
      </c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28">
        <f>IF(COUNT(B592:Z592)&gt;0,COUNT(B592:Z592),IF(OR(ISNUMBER(AA592),ISNUMBER(AB592)),$B$9,""))</f>
        <v/>
      </c>
      <c r="AE592" s="29">
        <f>IF(COUNT(B592:Z592)&gt;0,AVERAGE(B592:Z592),IF(ISNUMBER(AA592),AA592,""))</f>
        <v/>
      </c>
      <c r="AF592" s="29">
        <f>IF(COUNT(B592:Z592)&gt;1,MAX(B592:Z592)-MIN(B592:Z592),IF(ISNUMBER(AB592),AB592,""))</f>
        <v/>
      </c>
      <c r="AG592" s="29">
        <f>IF(COUNT(B592:Z592)&gt;1,_xlfn.STDEV.S(B592:Z592),IF(ISNUMBER(AC592),AC592,""))</f>
        <v/>
      </c>
      <c r="AH592" s="13">
        <f>IF(AND(ISNUMBER(AE592),ISNUMBER($B$23),ISNUMBER($D$23)),IF(AE592&gt;$D$23,"boven UCL",IF(AE592&lt;$B$23,"onder LCL","")),"")</f>
        <v/>
      </c>
      <c r="AI592" s="13">
        <f>IF(AND(ISNUMBER(AF592),ISNUMBER($B$24),ISNUMBER($D$24)),IF(AF592&gt;$D$24,"boven UCL",IF(AF592&lt;$B$24,"onder LCL","")),"")</f>
        <v/>
      </c>
      <c r="AJ592" s="13">
        <f>IF(AND(ISNUMBER(AE592),ISNUMBER($B$25),ISNUMBER($D$25)),IF(AE592&gt;$D$25,"boven UCL",IF(AE592&lt;$B$25,"onder LCL","")),"")</f>
        <v/>
      </c>
      <c r="AK592" s="13">
        <f>IF(AND(ISNUMBER(AG592),ISNUMBER($B$26),ISNUMBER($D$26)),IF(AG592&gt;$D$26,"boven UCL",IF(AG592&lt;$B$26,"onder LCL","")),"")</f>
        <v/>
      </c>
      <c r="AL592" s="13">
        <f>IF(AND(COUNT(B592:Z592)&gt;0,COUNT(AA592:AC592)&gt;0),"ruwe waarden én getypt: getypte genegeerd",IF(COUNTA(B592:Z592,AA592:AC592)&gt;COUNT(B592:Z592,AA592:AC592),"tekst telt niet mee",IF(COUNT(B592:Z592)=1,"1 waarde: geen R of s","")))</f>
        <v/>
      </c>
    </row>
    <row r="593">
      <c r="A593" t="n">
        <v>542</v>
      </c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28">
        <f>IF(COUNT(B593:Z593)&gt;0,COUNT(B593:Z593),IF(OR(ISNUMBER(AA593),ISNUMBER(AB593)),$B$9,""))</f>
        <v/>
      </c>
      <c r="AE593" s="29">
        <f>IF(COUNT(B593:Z593)&gt;0,AVERAGE(B593:Z593),IF(ISNUMBER(AA593),AA593,""))</f>
        <v/>
      </c>
      <c r="AF593" s="29">
        <f>IF(COUNT(B593:Z593)&gt;1,MAX(B593:Z593)-MIN(B593:Z593),IF(ISNUMBER(AB593),AB593,""))</f>
        <v/>
      </c>
      <c r="AG593" s="29">
        <f>IF(COUNT(B593:Z593)&gt;1,_xlfn.STDEV.S(B593:Z593),IF(ISNUMBER(AC593),AC593,""))</f>
        <v/>
      </c>
      <c r="AH593" s="13">
        <f>IF(AND(ISNUMBER(AE593),ISNUMBER($B$23),ISNUMBER($D$23)),IF(AE593&gt;$D$23,"boven UCL",IF(AE593&lt;$B$23,"onder LCL","")),"")</f>
        <v/>
      </c>
      <c r="AI593" s="13">
        <f>IF(AND(ISNUMBER(AF593),ISNUMBER($B$24),ISNUMBER($D$24)),IF(AF593&gt;$D$24,"boven UCL",IF(AF593&lt;$B$24,"onder LCL","")),"")</f>
        <v/>
      </c>
      <c r="AJ593" s="13">
        <f>IF(AND(ISNUMBER(AE593),ISNUMBER($B$25),ISNUMBER($D$25)),IF(AE593&gt;$D$25,"boven UCL",IF(AE593&lt;$B$25,"onder LCL","")),"")</f>
        <v/>
      </c>
      <c r="AK593" s="13">
        <f>IF(AND(ISNUMBER(AG593),ISNUMBER($B$26),ISNUMBER($D$26)),IF(AG593&gt;$D$26,"boven UCL",IF(AG593&lt;$B$26,"onder LCL","")),"")</f>
        <v/>
      </c>
      <c r="AL593" s="13">
        <f>IF(AND(COUNT(B593:Z593)&gt;0,COUNT(AA593:AC593)&gt;0),"ruwe waarden én getypt: getypte genegeerd",IF(COUNTA(B593:Z593,AA593:AC593)&gt;COUNT(B593:Z593,AA593:AC593),"tekst telt niet mee",IF(COUNT(B593:Z593)=1,"1 waarde: geen R of s","")))</f>
        <v/>
      </c>
    </row>
    <row r="594">
      <c r="A594" t="n">
        <v>543</v>
      </c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28">
        <f>IF(COUNT(B594:Z594)&gt;0,COUNT(B594:Z594),IF(OR(ISNUMBER(AA594),ISNUMBER(AB594)),$B$9,""))</f>
        <v/>
      </c>
      <c r="AE594" s="29">
        <f>IF(COUNT(B594:Z594)&gt;0,AVERAGE(B594:Z594),IF(ISNUMBER(AA594),AA594,""))</f>
        <v/>
      </c>
      <c r="AF594" s="29">
        <f>IF(COUNT(B594:Z594)&gt;1,MAX(B594:Z594)-MIN(B594:Z594),IF(ISNUMBER(AB594),AB594,""))</f>
        <v/>
      </c>
      <c r="AG594" s="29">
        <f>IF(COUNT(B594:Z594)&gt;1,_xlfn.STDEV.S(B594:Z594),IF(ISNUMBER(AC594),AC594,""))</f>
        <v/>
      </c>
      <c r="AH594" s="13">
        <f>IF(AND(ISNUMBER(AE594),ISNUMBER($B$23),ISNUMBER($D$23)),IF(AE594&gt;$D$23,"boven UCL",IF(AE594&lt;$B$23,"onder LCL","")),"")</f>
        <v/>
      </c>
      <c r="AI594" s="13">
        <f>IF(AND(ISNUMBER(AF594),ISNUMBER($B$24),ISNUMBER($D$24)),IF(AF594&gt;$D$24,"boven UCL",IF(AF594&lt;$B$24,"onder LCL","")),"")</f>
        <v/>
      </c>
      <c r="AJ594" s="13">
        <f>IF(AND(ISNUMBER(AE594),ISNUMBER($B$25),ISNUMBER($D$25)),IF(AE594&gt;$D$25,"boven UCL",IF(AE594&lt;$B$25,"onder LCL","")),"")</f>
        <v/>
      </c>
      <c r="AK594" s="13">
        <f>IF(AND(ISNUMBER(AG594),ISNUMBER($B$26),ISNUMBER($D$26)),IF(AG594&gt;$D$26,"boven UCL",IF(AG594&lt;$B$26,"onder LCL","")),"")</f>
        <v/>
      </c>
      <c r="AL594" s="13">
        <f>IF(AND(COUNT(B594:Z594)&gt;0,COUNT(AA594:AC594)&gt;0),"ruwe waarden én getypt: getypte genegeerd",IF(COUNTA(B594:Z594,AA594:AC594)&gt;COUNT(B594:Z594,AA594:AC594),"tekst telt niet mee",IF(COUNT(B594:Z594)=1,"1 waarde: geen R of s","")))</f>
        <v/>
      </c>
    </row>
    <row r="595">
      <c r="A595" t="n">
        <v>544</v>
      </c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28">
        <f>IF(COUNT(B595:Z595)&gt;0,COUNT(B595:Z595),IF(OR(ISNUMBER(AA595),ISNUMBER(AB595)),$B$9,""))</f>
        <v/>
      </c>
      <c r="AE595" s="29">
        <f>IF(COUNT(B595:Z595)&gt;0,AVERAGE(B595:Z595),IF(ISNUMBER(AA595),AA595,""))</f>
        <v/>
      </c>
      <c r="AF595" s="29">
        <f>IF(COUNT(B595:Z595)&gt;1,MAX(B595:Z595)-MIN(B595:Z595),IF(ISNUMBER(AB595),AB595,""))</f>
        <v/>
      </c>
      <c r="AG595" s="29">
        <f>IF(COUNT(B595:Z595)&gt;1,_xlfn.STDEV.S(B595:Z595),IF(ISNUMBER(AC595),AC595,""))</f>
        <v/>
      </c>
      <c r="AH595" s="13">
        <f>IF(AND(ISNUMBER(AE595),ISNUMBER($B$23),ISNUMBER($D$23)),IF(AE595&gt;$D$23,"boven UCL",IF(AE595&lt;$B$23,"onder LCL","")),"")</f>
        <v/>
      </c>
      <c r="AI595" s="13">
        <f>IF(AND(ISNUMBER(AF595),ISNUMBER($B$24),ISNUMBER($D$24)),IF(AF595&gt;$D$24,"boven UCL",IF(AF595&lt;$B$24,"onder LCL","")),"")</f>
        <v/>
      </c>
      <c r="AJ595" s="13">
        <f>IF(AND(ISNUMBER(AE595),ISNUMBER($B$25),ISNUMBER($D$25)),IF(AE595&gt;$D$25,"boven UCL",IF(AE595&lt;$B$25,"onder LCL","")),"")</f>
        <v/>
      </c>
      <c r="AK595" s="13">
        <f>IF(AND(ISNUMBER(AG595),ISNUMBER($B$26),ISNUMBER($D$26)),IF(AG595&gt;$D$26,"boven UCL",IF(AG595&lt;$B$26,"onder LCL","")),"")</f>
        <v/>
      </c>
      <c r="AL595" s="13">
        <f>IF(AND(COUNT(B595:Z595)&gt;0,COUNT(AA595:AC595)&gt;0),"ruwe waarden én getypt: getypte genegeerd",IF(COUNTA(B595:Z595,AA595:AC595)&gt;COUNT(B595:Z595,AA595:AC595),"tekst telt niet mee",IF(COUNT(B595:Z595)=1,"1 waarde: geen R of s","")))</f>
        <v/>
      </c>
    </row>
    <row r="596">
      <c r="A596" t="n">
        <v>545</v>
      </c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28">
        <f>IF(COUNT(B596:Z596)&gt;0,COUNT(B596:Z596),IF(OR(ISNUMBER(AA596),ISNUMBER(AB596)),$B$9,""))</f>
        <v/>
      </c>
      <c r="AE596" s="29">
        <f>IF(COUNT(B596:Z596)&gt;0,AVERAGE(B596:Z596),IF(ISNUMBER(AA596),AA596,""))</f>
        <v/>
      </c>
      <c r="AF596" s="29">
        <f>IF(COUNT(B596:Z596)&gt;1,MAX(B596:Z596)-MIN(B596:Z596),IF(ISNUMBER(AB596),AB596,""))</f>
        <v/>
      </c>
      <c r="AG596" s="29">
        <f>IF(COUNT(B596:Z596)&gt;1,_xlfn.STDEV.S(B596:Z596),IF(ISNUMBER(AC596),AC596,""))</f>
        <v/>
      </c>
      <c r="AH596" s="13">
        <f>IF(AND(ISNUMBER(AE596),ISNUMBER($B$23),ISNUMBER($D$23)),IF(AE596&gt;$D$23,"boven UCL",IF(AE596&lt;$B$23,"onder LCL","")),"")</f>
        <v/>
      </c>
      <c r="AI596" s="13">
        <f>IF(AND(ISNUMBER(AF596),ISNUMBER($B$24),ISNUMBER($D$24)),IF(AF596&gt;$D$24,"boven UCL",IF(AF596&lt;$B$24,"onder LCL","")),"")</f>
        <v/>
      </c>
      <c r="AJ596" s="13">
        <f>IF(AND(ISNUMBER(AE596),ISNUMBER($B$25),ISNUMBER($D$25)),IF(AE596&gt;$D$25,"boven UCL",IF(AE596&lt;$B$25,"onder LCL","")),"")</f>
        <v/>
      </c>
      <c r="AK596" s="13">
        <f>IF(AND(ISNUMBER(AG596),ISNUMBER($B$26),ISNUMBER($D$26)),IF(AG596&gt;$D$26,"boven UCL",IF(AG596&lt;$B$26,"onder LCL","")),"")</f>
        <v/>
      </c>
      <c r="AL596" s="13">
        <f>IF(AND(COUNT(B596:Z596)&gt;0,COUNT(AA596:AC596)&gt;0),"ruwe waarden én getypt: getypte genegeerd",IF(COUNTA(B596:Z596,AA596:AC596)&gt;COUNT(B596:Z596,AA596:AC596),"tekst telt niet mee",IF(COUNT(B596:Z596)=1,"1 waarde: geen R of s","")))</f>
        <v/>
      </c>
    </row>
    <row r="597">
      <c r="A597" t="n">
        <v>546</v>
      </c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28">
        <f>IF(COUNT(B597:Z597)&gt;0,COUNT(B597:Z597),IF(OR(ISNUMBER(AA597),ISNUMBER(AB597)),$B$9,""))</f>
        <v/>
      </c>
      <c r="AE597" s="29">
        <f>IF(COUNT(B597:Z597)&gt;0,AVERAGE(B597:Z597),IF(ISNUMBER(AA597),AA597,""))</f>
        <v/>
      </c>
      <c r="AF597" s="29">
        <f>IF(COUNT(B597:Z597)&gt;1,MAX(B597:Z597)-MIN(B597:Z597),IF(ISNUMBER(AB597),AB597,""))</f>
        <v/>
      </c>
      <c r="AG597" s="29">
        <f>IF(COUNT(B597:Z597)&gt;1,_xlfn.STDEV.S(B597:Z597),IF(ISNUMBER(AC597),AC597,""))</f>
        <v/>
      </c>
      <c r="AH597" s="13">
        <f>IF(AND(ISNUMBER(AE597),ISNUMBER($B$23),ISNUMBER($D$23)),IF(AE597&gt;$D$23,"boven UCL",IF(AE597&lt;$B$23,"onder LCL","")),"")</f>
        <v/>
      </c>
      <c r="AI597" s="13">
        <f>IF(AND(ISNUMBER(AF597),ISNUMBER($B$24),ISNUMBER($D$24)),IF(AF597&gt;$D$24,"boven UCL",IF(AF597&lt;$B$24,"onder LCL","")),"")</f>
        <v/>
      </c>
      <c r="AJ597" s="13">
        <f>IF(AND(ISNUMBER(AE597),ISNUMBER($B$25),ISNUMBER($D$25)),IF(AE597&gt;$D$25,"boven UCL",IF(AE597&lt;$B$25,"onder LCL","")),"")</f>
        <v/>
      </c>
      <c r="AK597" s="13">
        <f>IF(AND(ISNUMBER(AG597),ISNUMBER($B$26),ISNUMBER($D$26)),IF(AG597&gt;$D$26,"boven UCL",IF(AG597&lt;$B$26,"onder LCL","")),"")</f>
        <v/>
      </c>
      <c r="AL597" s="13">
        <f>IF(AND(COUNT(B597:Z597)&gt;0,COUNT(AA597:AC597)&gt;0),"ruwe waarden én getypt: getypte genegeerd",IF(COUNTA(B597:Z597,AA597:AC597)&gt;COUNT(B597:Z597,AA597:AC597),"tekst telt niet mee",IF(COUNT(B597:Z597)=1,"1 waarde: geen R of s","")))</f>
        <v/>
      </c>
    </row>
    <row r="598">
      <c r="A598" t="n">
        <v>547</v>
      </c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28">
        <f>IF(COUNT(B598:Z598)&gt;0,COUNT(B598:Z598),IF(OR(ISNUMBER(AA598),ISNUMBER(AB598)),$B$9,""))</f>
        <v/>
      </c>
      <c r="AE598" s="29">
        <f>IF(COUNT(B598:Z598)&gt;0,AVERAGE(B598:Z598),IF(ISNUMBER(AA598),AA598,""))</f>
        <v/>
      </c>
      <c r="AF598" s="29">
        <f>IF(COUNT(B598:Z598)&gt;1,MAX(B598:Z598)-MIN(B598:Z598),IF(ISNUMBER(AB598),AB598,""))</f>
        <v/>
      </c>
      <c r="AG598" s="29">
        <f>IF(COUNT(B598:Z598)&gt;1,_xlfn.STDEV.S(B598:Z598),IF(ISNUMBER(AC598),AC598,""))</f>
        <v/>
      </c>
      <c r="AH598" s="13">
        <f>IF(AND(ISNUMBER(AE598),ISNUMBER($B$23),ISNUMBER($D$23)),IF(AE598&gt;$D$23,"boven UCL",IF(AE598&lt;$B$23,"onder LCL","")),"")</f>
        <v/>
      </c>
      <c r="AI598" s="13">
        <f>IF(AND(ISNUMBER(AF598),ISNUMBER($B$24),ISNUMBER($D$24)),IF(AF598&gt;$D$24,"boven UCL",IF(AF598&lt;$B$24,"onder LCL","")),"")</f>
        <v/>
      </c>
      <c r="AJ598" s="13">
        <f>IF(AND(ISNUMBER(AE598),ISNUMBER($B$25),ISNUMBER($D$25)),IF(AE598&gt;$D$25,"boven UCL",IF(AE598&lt;$B$25,"onder LCL","")),"")</f>
        <v/>
      </c>
      <c r="AK598" s="13">
        <f>IF(AND(ISNUMBER(AG598),ISNUMBER($B$26),ISNUMBER($D$26)),IF(AG598&gt;$D$26,"boven UCL",IF(AG598&lt;$B$26,"onder LCL","")),"")</f>
        <v/>
      </c>
      <c r="AL598" s="13">
        <f>IF(AND(COUNT(B598:Z598)&gt;0,COUNT(AA598:AC598)&gt;0),"ruwe waarden én getypt: getypte genegeerd",IF(COUNTA(B598:Z598,AA598:AC598)&gt;COUNT(B598:Z598,AA598:AC598),"tekst telt niet mee",IF(COUNT(B598:Z598)=1,"1 waarde: geen R of s","")))</f>
        <v/>
      </c>
    </row>
    <row r="599">
      <c r="A599" t="n">
        <v>548</v>
      </c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28">
        <f>IF(COUNT(B599:Z599)&gt;0,COUNT(B599:Z599),IF(OR(ISNUMBER(AA599),ISNUMBER(AB599)),$B$9,""))</f>
        <v/>
      </c>
      <c r="AE599" s="29">
        <f>IF(COUNT(B599:Z599)&gt;0,AVERAGE(B599:Z599),IF(ISNUMBER(AA599),AA599,""))</f>
        <v/>
      </c>
      <c r="AF599" s="29">
        <f>IF(COUNT(B599:Z599)&gt;1,MAX(B599:Z599)-MIN(B599:Z599),IF(ISNUMBER(AB599),AB599,""))</f>
        <v/>
      </c>
      <c r="AG599" s="29">
        <f>IF(COUNT(B599:Z599)&gt;1,_xlfn.STDEV.S(B599:Z599),IF(ISNUMBER(AC599),AC599,""))</f>
        <v/>
      </c>
      <c r="AH599" s="13">
        <f>IF(AND(ISNUMBER(AE599),ISNUMBER($B$23),ISNUMBER($D$23)),IF(AE599&gt;$D$23,"boven UCL",IF(AE599&lt;$B$23,"onder LCL","")),"")</f>
        <v/>
      </c>
      <c r="AI599" s="13">
        <f>IF(AND(ISNUMBER(AF599),ISNUMBER($B$24),ISNUMBER($D$24)),IF(AF599&gt;$D$24,"boven UCL",IF(AF599&lt;$B$24,"onder LCL","")),"")</f>
        <v/>
      </c>
      <c r="AJ599" s="13">
        <f>IF(AND(ISNUMBER(AE599),ISNUMBER($B$25),ISNUMBER($D$25)),IF(AE599&gt;$D$25,"boven UCL",IF(AE599&lt;$B$25,"onder LCL","")),"")</f>
        <v/>
      </c>
      <c r="AK599" s="13">
        <f>IF(AND(ISNUMBER(AG599),ISNUMBER($B$26),ISNUMBER($D$26)),IF(AG599&gt;$D$26,"boven UCL",IF(AG599&lt;$B$26,"onder LCL","")),"")</f>
        <v/>
      </c>
      <c r="AL599" s="13">
        <f>IF(AND(COUNT(B599:Z599)&gt;0,COUNT(AA599:AC599)&gt;0),"ruwe waarden én getypt: getypte genegeerd",IF(COUNTA(B599:Z599,AA599:AC599)&gt;COUNT(B599:Z599,AA599:AC599),"tekst telt niet mee",IF(COUNT(B599:Z599)=1,"1 waarde: geen R of s","")))</f>
        <v/>
      </c>
    </row>
    <row r="600">
      <c r="A600" t="n">
        <v>549</v>
      </c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28">
        <f>IF(COUNT(B600:Z600)&gt;0,COUNT(B600:Z600),IF(OR(ISNUMBER(AA600),ISNUMBER(AB600)),$B$9,""))</f>
        <v/>
      </c>
      <c r="AE600" s="29">
        <f>IF(COUNT(B600:Z600)&gt;0,AVERAGE(B600:Z600),IF(ISNUMBER(AA600),AA600,""))</f>
        <v/>
      </c>
      <c r="AF600" s="29">
        <f>IF(COUNT(B600:Z600)&gt;1,MAX(B600:Z600)-MIN(B600:Z600),IF(ISNUMBER(AB600),AB600,""))</f>
        <v/>
      </c>
      <c r="AG600" s="29">
        <f>IF(COUNT(B600:Z600)&gt;1,_xlfn.STDEV.S(B600:Z600),IF(ISNUMBER(AC600),AC600,""))</f>
        <v/>
      </c>
      <c r="AH600" s="13">
        <f>IF(AND(ISNUMBER(AE600),ISNUMBER($B$23),ISNUMBER($D$23)),IF(AE600&gt;$D$23,"boven UCL",IF(AE600&lt;$B$23,"onder LCL","")),"")</f>
        <v/>
      </c>
      <c r="AI600" s="13">
        <f>IF(AND(ISNUMBER(AF600),ISNUMBER($B$24),ISNUMBER($D$24)),IF(AF600&gt;$D$24,"boven UCL",IF(AF600&lt;$B$24,"onder LCL","")),"")</f>
        <v/>
      </c>
      <c r="AJ600" s="13">
        <f>IF(AND(ISNUMBER(AE600),ISNUMBER($B$25),ISNUMBER($D$25)),IF(AE600&gt;$D$25,"boven UCL",IF(AE600&lt;$B$25,"onder LCL","")),"")</f>
        <v/>
      </c>
      <c r="AK600" s="13">
        <f>IF(AND(ISNUMBER(AG600),ISNUMBER($B$26),ISNUMBER($D$26)),IF(AG600&gt;$D$26,"boven UCL",IF(AG600&lt;$B$26,"onder LCL","")),"")</f>
        <v/>
      </c>
      <c r="AL600" s="13">
        <f>IF(AND(COUNT(B600:Z600)&gt;0,COUNT(AA600:AC600)&gt;0),"ruwe waarden én getypt: getypte genegeerd",IF(COUNTA(B600:Z600,AA600:AC600)&gt;COUNT(B600:Z600,AA600:AC600),"tekst telt niet mee",IF(COUNT(B600:Z600)=1,"1 waarde: geen R of s","")))</f>
        <v/>
      </c>
    </row>
    <row r="601">
      <c r="A601" t="n">
        <v>550</v>
      </c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28">
        <f>IF(COUNT(B601:Z601)&gt;0,COUNT(B601:Z601),IF(OR(ISNUMBER(AA601),ISNUMBER(AB601)),$B$9,""))</f>
        <v/>
      </c>
      <c r="AE601" s="29">
        <f>IF(COUNT(B601:Z601)&gt;0,AVERAGE(B601:Z601),IF(ISNUMBER(AA601),AA601,""))</f>
        <v/>
      </c>
      <c r="AF601" s="29">
        <f>IF(COUNT(B601:Z601)&gt;1,MAX(B601:Z601)-MIN(B601:Z601),IF(ISNUMBER(AB601),AB601,""))</f>
        <v/>
      </c>
      <c r="AG601" s="29">
        <f>IF(COUNT(B601:Z601)&gt;1,_xlfn.STDEV.S(B601:Z601),IF(ISNUMBER(AC601),AC601,""))</f>
        <v/>
      </c>
      <c r="AH601" s="13">
        <f>IF(AND(ISNUMBER(AE601),ISNUMBER($B$23),ISNUMBER($D$23)),IF(AE601&gt;$D$23,"boven UCL",IF(AE601&lt;$B$23,"onder LCL","")),"")</f>
        <v/>
      </c>
      <c r="AI601" s="13">
        <f>IF(AND(ISNUMBER(AF601),ISNUMBER($B$24),ISNUMBER($D$24)),IF(AF601&gt;$D$24,"boven UCL",IF(AF601&lt;$B$24,"onder LCL","")),"")</f>
        <v/>
      </c>
      <c r="AJ601" s="13">
        <f>IF(AND(ISNUMBER(AE601),ISNUMBER($B$25),ISNUMBER($D$25)),IF(AE601&gt;$D$25,"boven UCL",IF(AE601&lt;$B$25,"onder LCL","")),"")</f>
        <v/>
      </c>
      <c r="AK601" s="13">
        <f>IF(AND(ISNUMBER(AG601),ISNUMBER($B$26),ISNUMBER($D$26)),IF(AG601&gt;$D$26,"boven UCL",IF(AG601&lt;$B$26,"onder LCL","")),"")</f>
        <v/>
      </c>
      <c r="AL601" s="13">
        <f>IF(AND(COUNT(B601:Z601)&gt;0,COUNT(AA601:AC601)&gt;0),"ruwe waarden én getypt: getypte genegeerd",IF(COUNTA(B601:Z601,AA601:AC601)&gt;COUNT(B601:Z601,AA601:AC601),"tekst telt niet mee",IF(COUNT(B601:Z601)=1,"1 waarde: geen R of s","")))</f>
        <v/>
      </c>
    </row>
    <row r="602">
      <c r="A602" t="n">
        <v>551</v>
      </c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28">
        <f>IF(COUNT(B602:Z602)&gt;0,COUNT(B602:Z602),IF(OR(ISNUMBER(AA602),ISNUMBER(AB602)),$B$9,""))</f>
        <v/>
      </c>
      <c r="AE602" s="29">
        <f>IF(COUNT(B602:Z602)&gt;0,AVERAGE(B602:Z602),IF(ISNUMBER(AA602),AA602,""))</f>
        <v/>
      </c>
      <c r="AF602" s="29">
        <f>IF(COUNT(B602:Z602)&gt;1,MAX(B602:Z602)-MIN(B602:Z602),IF(ISNUMBER(AB602),AB602,""))</f>
        <v/>
      </c>
      <c r="AG602" s="29">
        <f>IF(COUNT(B602:Z602)&gt;1,_xlfn.STDEV.S(B602:Z602),IF(ISNUMBER(AC602),AC602,""))</f>
        <v/>
      </c>
      <c r="AH602" s="13">
        <f>IF(AND(ISNUMBER(AE602),ISNUMBER($B$23),ISNUMBER($D$23)),IF(AE602&gt;$D$23,"boven UCL",IF(AE602&lt;$B$23,"onder LCL","")),"")</f>
        <v/>
      </c>
      <c r="AI602" s="13">
        <f>IF(AND(ISNUMBER(AF602),ISNUMBER($B$24),ISNUMBER($D$24)),IF(AF602&gt;$D$24,"boven UCL",IF(AF602&lt;$B$24,"onder LCL","")),"")</f>
        <v/>
      </c>
      <c r="AJ602" s="13">
        <f>IF(AND(ISNUMBER(AE602),ISNUMBER($B$25),ISNUMBER($D$25)),IF(AE602&gt;$D$25,"boven UCL",IF(AE602&lt;$B$25,"onder LCL","")),"")</f>
        <v/>
      </c>
      <c r="AK602" s="13">
        <f>IF(AND(ISNUMBER(AG602),ISNUMBER($B$26),ISNUMBER($D$26)),IF(AG602&gt;$D$26,"boven UCL",IF(AG602&lt;$B$26,"onder LCL","")),"")</f>
        <v/>
      </c>
      <c r="AL602" s="13">
        <f>IF(AND(COUNT(B602:Z602)&gt;0,COUNT(AA602:AC602)&gt;0),"ruwe waarden én getypt: getypte genegeerd",IF(COUNTA(B602:Z602,AA602:AC602)&gt;COUNT(B602:Z602,AA602:AC602),"tekst telt niet mee",IF(COUNT(B602:Z602)=1,"1 waarde: geen R of s","")))</f>
        <v/>
      </c>
    </row>
    <row r="603">
      <c r="A603" t="n">
        <v>552</v>
      </c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28">
        <f>IF(COUNT(B603:Z603)&gt;0,COUNT(B603:Z603),IF(OR(ISNUMBER(AA603),ISNUMBER(AB603)),$B$9,""))</f>
        <v/>
      </c>
      <c r="AE603" s="29">
        <f>IF(COUNT(B603:Z603)&gt;0,AVERAGE(B603:Z603),IF(ISNUMBER(AA603),AA603,""))</f>
        <v/>
      </c>
      <c r="AF603" s="29">
        <f>IF(COUNT(B603:Z603)&gt;1,MAX(B603:Z603)-MIN(B603:Z603),IF(ISNUMBER(AB603),AB603,""))</f>
        <v/>
      </c>
      <c r="AG603" s="29">
        <f>IF(COUNT(B603:Z603)&gt;1,_xlfn.STDEV.S(B603:Z603),IF(ISNUMBER(AC603),AC603,""))</f>
        <v/>
      </c>
      <c r="AH603" s="13">
        <f>IF(AND(ISNUMBER(AE603),ISNUMBER($B$23),ISNUMBER($D$23)),IF(AE603&gt;$D$23,"boven UCL",IF(AE603&lt;$B$23,"onder LCL","")),"")</f>
        <v/>
      </c>
      <c r="AI603" s="13">
        <f>IF(AND(ISNUMBER(AF603),ISNUMBER($B$24),ISNUMBER($D$24)),IF(AF603&gt;$D$24,"boven UCL",IF(AF603&lt;$B$24,"onder LCL","")),"")</f>
        <v/>
      </c>
      <c r="AJ603" s="13">
        <f>IF(AND(ISNUMBER(AE603),ISNUMBER($B$25),ISNUMBER($D$25)),IF(AE603&gt;$D$25,"boven UCL",IF(AE603&lt;$B$25,"onder LCL","")),"")</f>
        <v/>
      </c>
      <c r="AK603" s="13">
        <f>IF(AND(ISNUMBER(AG603),ISNUMBER($B$26),ISNUMBER($D$26)),IF(AG603&gt;$D$26,"boven UCL",IF(AG603&lt;$B$26,"onder LCL","")),"")</f>
        <v/>
      </c>
      <c r="AL603" s="13">
        <f>IF(AND(COUNT(B603:Z603)&gt;0,COUNT(AA603:AC603)&gt;0),"ruwe waarden én getypt: getypte genegeerd",IF(COUNTA(B603:Z603,AA603:AC603)&gt;COUNT(B603:Z603,AA603:AC603),"tekst telt niet mee",IF(COUNT(B603:Z603)=1,"1 waarde: geen R of s","")))</f>
        <v/>
      </c>
    </row>
    <row r="604">
      <c r="A604" t="n">
        <v>553</v>
      </c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28">
        <f>IF(COUNT(B604:Z604)&gt;0,COUNT(B604:Z604),IF(OR(ISNUMBER(AA604),ISNUMBER(AB604)),$B$9,""))</f>
        <v/>
      </c>
      <c r="AE604" s="29">
        <f>IF(COUNT(B604:Z604)&gt;0,AVERAGE(B604:Z604),IF(ISNUMBER(AA604),AA604,""))</f>
        <v/>
      </c>
      <c r="AF604" s="29">
        <f>IF(COUNT(B604:Z604)&gt;1,MAX(B604:Z604)-MIN(B604:Z604),IF(ISNUMBER(AB604),AB604,""))</f>
        <v/>
      </c>
      <c r="AG604" s="29">
        <f>IF(COUNT(B604:Z604)&gt;1,_xlfn.STDEV.S(B604:Z604),IF(ISNUMBER(AC604),AC604,""))</f>
        <v/>
      </c>
      <c r="AH604" s="13">
        <f>IF(AND(ISNUMBER(AE604),ISNUMBER($B$23),ISNUMBER($D$23)),IF(AE604&gt;$D$23,"boven UCL",IF(AE604&lt;$B$23,"onder LCL","")),"")</f>
        <v/>
      </c>
      <c r="AI604" s="13">
        <f>IF(AND(ISNUMBER(AF604),ISNUMBER($B$24),ISNUMBER($D$24)),IF(AF604&gt;$D$24,"boven UCL",IF(AF604&lt;$B$24,"onder LCL","")),"")</f>
        <v/>
      </c>
      <c r="AJ604" s="13">
        <f>IF(AND(ISNUMBER(AE604),ISNUMBER($B$25),ISNUMBER($D$25)),IF(AE604&gt;$D$25,"boven UCL",IF(AE604&lt;$B$25,"onder LCL","")),"")</f>
        <v/>
      </c>
      <c r="AK604" s="13">
        <f>IF(AND(ISNUMBER(AG604),ISNUMBER($B$26),ISNUMBER($D$26)),IF(AG604&gt;$D$26,"boven UCL",IF(AG604&lt;$B$26,"onder LCL","")),"")</f>
        <v/>
      </c>
      <c r="AL604" s="13">
        <f>IF(AND(COUNT(B604:Z604)&gt;0,COUNT(AA604:AC604)&gt;0),"ruwe waarden én getypt: getypte genegeerd",IF(COUNTA(B604:Z604,AA604:AC604)&gt;COUNT(B604:Z604,AA604:AC604),"tekst telt niet mee",IF(COUNT(B604:Z604)=1,"1 waarde: geen R of s","")))</f>
        <v/>
      </c>
    </row>
    <row r="605">
      <c r="A605" t="n">
        <v>554</v>
      </c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28">
        <f>IF(COUNT(B605:Z605)&gt;0,COUNT(B605:Z605),IF(OR(ISNUMBER(AA605),ISNUMBER(AB605)),$B$9,""))</f>
        <v/>
      </c>
      <c r="AE605" s="29">
        <f>IF(COUNT(B605:Z605)&gt;0,AVERAGE(B605:Z605),IF(ISNUMBER(AA605),AA605,""))</f>
        <v/>
      </c>
      <c r="AF605" s="29">
        <f>IF(COUNT(B605:Z605)&gt;1,MAX(B605:Z605)-MIN(B605:Z605),IF(ISNUMBER(AB605),AB605,""))</f>
        <v/>
      </c>
      <c r="AG605" s="29">
        <f>IF(COUNT(B605:Z605)&gt;1,_xlfn.STDEV.S(B605:Z605),IF(ISNUMBER(AC605),AC605,""))</f>
        <v/>
      </c>
      <c r="AH605" s="13">
        <f>IF(AND(ISNUMBER(AE605),ISNUMBER($B$23),ISNUMBER($D$23)),IF(AE605&gt;$D$23,"boven UCL",IF(AE605&lt;$B$23,"onder LCL","")),"")</f>
        <v/>
      </c>
      <c r="AI605" s="13">
        <f>IF(AND(ISNUMBER(AF605),ISNUMBER($B$24),ISNUMBER($D$24)),IF(AF605&gt;$D$24,"boven UCL",IF(AF605&lt;$B$24,"onder LCL","")),"")</f>
        <v/>
      </c>
      <c r="AJ605" s="13">
        <f>IF(AND(ISNUMBER(AE605),ISNUMBER($B$25),ISNUMBER($D$25)),IF(AE605&gt;$D$25,"boven UCL",IF(AE605&lt;$B$25,"onder LCL","")),"")</f>
        <v/>
      </c>
      <c r="AK605" s="13">
        <f>IF(AND(ISNUMBER(AG605),ISNUMBER($B$26),ISNUMBER($D$26)),IF(AG605&gt;$D$26,"boven UCL",IF(AG605&lt;$B$26,"onder LCL","")),"")</f>
        <v/>
      </c>
      <c r="AL605" s="13">
        <f>IF(AND(COUNT(B605:Z605)&gt;0,COUNT(AA605:AC605)&gt;0),"ruwe waarden én getypt: getypte genegeerd",IF(COUNTA(B605:Z605,AA605:AC605)&gt;COUNT(B605:Z605,AA605:AC605),"tekst telt niet mee",IF(COUNT(B605:Z605)=1,"1 waarde: geen R of s","")))</f>
        <v/>
      </c>
    </row>
    <row r="606">
      <c r="A606" t="n">
        <v>555</v>
      </c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28">
        <f>IF(COUNT(B606:Z606)&gt;0,COUNT(B606:Z606),IF(OR(ISNUMBER(AA606),ISNUMBER(AB606)),$B$9,""))</f>
        <v/>
      </c>
      <c r="AE606" s="29">
        <f>IF(COUNT(B606:Z606)&gt;0,AVERAGE(B606:Z606),IF(ISNUMBER(AA606),AA606,""))</f>
        <v/>
      </c>
      <c r="AF606" s="29">
        <f>IF(COUNT(B606:Z606)&gt;1,MAX(B606:Z606)-MIN(B606:Z606),IF(ISNUMBER(AB606),AB606,""))</f>
        <v/>
      </c>
      <c r="AG606" s="29">
        <f>IF(COUNT(B606:Z606)&gt;1,_xlfn.STDEV.S(B606:Z606),IF(ISNUMBER(AC606),AC606,""))</f>
        <v/>
      </c>
      <c r="AH606" s="13">
        <f>IF(AND(ISNUMBER(AE606),ISNUMBER($B$23),ISNUMBER($D$23)),IF(AE606&gt;$D$23,"boven UCL",IF(AE606&lt;$B$23,"onder LCL","")),"")</f>
        <v/>
      </c>
      <c r="AI606" s="13">
        <f>IF(AND(ISNUMBER(AF606),ISNUMBER($B$24),ISNUMBER($D$24)),IF(AF606&gt;$D$24,"boven UCL",IF(AF606&lt;$B$24,"onder LCL","")),"")</f>
        <v/>
      </c>
      <c r="AJ606" s="13">
        <f>IF(AND(ISNUMBER(AE606),ISNUMBER($B$25),ISNUMBER($D$25)),IF(AE606&gt;$D$25,"boven UCL",IF(AE606&lt;$B$25,"onder LCL","")),"")</f>
        <v/>
      </c>
      <c r="AK606" s="13">
        <f>IF(AND(ISNUMBER(AG606),ISNUMBER($B$26),ISNUMBER($D$26)),IF(AG606&gt;$D$26,"boven UCL",IF(AG606&lt;$B$26,"onder LCL","")),"")</f>
        <v/>
      </c>
      <c r="AL606" s="13">
        <f>IF(AND(COUNT(B606:Z606)&gt;0,COUNT(AA606:AC606)&gt;0),"ruwe waarden én getypt: getypte genegeerd",IF(COUNTA(B606:Z606,AA606:AC606)&gt;COUNT(B606:Z606,AA606:AC606),"tekst telt niet mee",IF(COUNT(B606:Z606)=1,"1 waarde: geen R of s","")))</f>
        <v/>
      </c>
    </row>
    <row r="607">
      <c r="A607" t="n">
        <v>556</v>
      </c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28">
        <f>IF(COUNT(B607:Z607)&gt;0,COUNT(B607:Z607),IF(OR(ISNUMBER(AA607),ISNUMBER(AB607)),$B$9,""))</f>
        <v/>
      </c>
      <c r="AE607" s="29">
        <f>IF(COUNT(B607:Z607)&gt;0,AVERAGE(B607:Z607),IF(ISNUMBER(AA607),AA607,""))</f>
        <v/>
      </c>
      <c r="AF607" s="29">
        <f>IF(COUNT(B607:Z607)&gt;1,MAX(B607:Z607)-MIN(B607:Z607),IF(ISNUMBER(AB607),AB607,""))</f>
        <v/>
      </c>
      <c r="AG607" s="29">
        <f>IF(COUNT(B607:Z607)&gt;1,_xlfn.STDEV.S(B607:Z607),IF(ISNUMBER(AC607),AC607,""))</f>
        <v/>
      </c>
      <c r="AH607" s="13">
        <f>IF(AND(ISNUMBER(AE607),ISNUMBER($B$23),ISNUMBER($D$23)),IF(AE607&gt;$D$23,"boven UCL",IF(AE607&lt;$B$23,"onder LCL","")),"")</f>
        <v/>
      </c>
      <c r="AI607" s="13">
        <f>IF(AND(ISNUMBER(AF607),ISNUMBER($B$24),ISNUMBER($D$24)),IF(AF607&gt;$D$24,"boven UCL",IF(AF607&lt;$B$24,"onder LCL","")),"")</f>
        <v/>
      </c>
      <c r="AJ607" s="13">
        <f>IF(AND(ISNUMBER(AE607),ISNUMBER($B$25),ISNUMBER($D$25)),IF(AE607&gt;$D$25,"boven UCL",IF(AE607&lt;$B$25,"onder LCL","")),"")</f>
        <v/>
      </c>
      <c r="AK607" s="13">
        <f>IF(AND(ISNUMBER(AG607),ISNUMBER($B$26),ISNUMBER($D$26)),IF(AG607&gt;$D$26,"boven UCL",IF(AG607&lt;$B$26,"onder LCL","")),"")</f>
        <v/>
      </c>
      <c r="AL607" s="13">
        <f>IF(AND(COUNT(B607:Z607)&gt;0,COUNT(AA607:AC607)&gt;0),"ruwe waarden én getypt: getypte genegeerd",IF(COUNTA(B607:Z607,AA607:AC607)&gt;COUNT(B607:Z607,AA607:AC607),"tekst telt niet mee",IF(COUNT(B607:Z607)=1,"1 waarde: geen R of s","")))</f>
        <v/>
      </c>
    </row>
    <row r="608">
      <c r="A608" t="n">
        <v>557</v>
      </c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28">
        <f>IF(COUNT(B608:Z608)&gt;0,COUNT(B608:Z608),IF(OR(ISNUMBER(AA608),ISNUMBER(AB608)),$B$9,""))</f>
        <v/>
      </c>
      <c r="AE608" s="29">
        <f>IF(COUNT(B608:Z608)&gt;0,AVERAGE(B608:Z608),IF(ISNUMBER(AA608),AA608,""))</f>
        <v/>
      </c>
      <c r="AF608" s="29">
        <f>IF(COUNT(B608:Z608)&gt;1,MAX(B608:Z608)-MIN(B608:Z608),IF(ISNUMBER(AB608),AB608,""))</f>
        <v/>
      </c>
      <c r="AG608" s="29">
        <f>IF(COUNT(B608:Z608)&gt;1,_xlfn.STDEV.S(B608:Z608),IF(ISNUMBER(AC608),AC608,""))</f>
        <v/>
      </c>
      <c r="AH608" s="13">
        <f>IF(AND(ISNUMBER(AE608),ISNUMBER($B$23),ISNUMBER($D$23)),IF(AE608&gt;$D$23,"boven UCL",IF(AE608&lt;$B$23,"onder LCL","")),"")</f>
        <v/>
      </c>
      <c r="AI608" s="13">
        <f>IF(AND(ISNUMBER(AF608),ISNUMBER($B$24),ISNUMBER($D$24)),IF(AF608&gt;$D$24,"boven UCL",IF(AF608&lt;$B$24,"onder LCL","")),"")</f>
        <v/>
      </c>
      <c r="AJ608" s="13">
        <f>IF(AND(ISNUMBER(AE608),ISNUMBER($B$25),ISNUMBER($D$25)),IF(AE608&gt;$D$25,"boven UCL",IF(AE608&lt;$B$25,"onder LCL","")),"")</f>
        <v/>
      </c>
      <c r="AK608" s="13">
        <f>IF(AND(ISNUMBER(AG608),ISNUMBER($B$26),ISNUMBER($D$26)),IF(AG608&gt;$D$26,"boven UCL",IF(AG608&lt;$B$26,"onder LCL","")),"")</f>
        <v/>
      </c>
      <c r="AL608" s="13">
        <f>IF(AND(COUNT(B608:Z608)&gt;0,COUNT(AA608:AC608)&gt;0),"ruwe waarden én getypt: getypte genegeerd",IF(COUNTA(B608:Z608,AA608:AC608)&gt;COUNT(B608:Z608,AA608:AC608),"tekst telt niet mee",IF(COUNT(B608:Z608)=1,"1 waarde: geen R of s","")))</f>
        <v/>
      </c>
    </row>
    <row r="609">
      <c r="A609" t="n">
        <v>558</v>
      </c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28">
        <f>IF(COUNT(B609:Z609)&gt;0,COUNT(B609:Z609),IF(OR(ISNUMBER(AA609),ISNUMBER(AB609)),$B$9,""))</f>
        <v/>
      </c>
      <c r="AE609" s="29">
        <f>IF(COUNT(B609:Z609)&gt;0,AVERAGE(B609:Z609),IF(ISNUMBER(AA609),AA609,""))</f>
        <v/>
      </c>
      <c r="AF609" s="29">
        <f>IF(COUNT(B609:Z609)&gt;1,MAX(B609:Z609)-MIN(B609:Z609),IF(ISNUMBER(AB609),AB609,""))</f>
        <v/>
      </c>
      <c r="AG609" s="29">
        <f>IF(COUNT(B609:Z609)&gt;1,_xlfn.STDEV.S(B609:Z609),IF(ISNUMBER(AC609),AC609,""))</f>
        <v/>
      </c>
      <c r="AH609" s="13">
        <f>IF(AND(ISNUMBER(AE609),ISNUMBER($B$23),ISNUMBER($D$23)),IF(AE609&gt;$D$23,"boven UCL",IF(AE609&lt;$B$23,"onder LCL","")),"")</f>
        <v/>
      </c>
      <c r="AI609" s="13">
        <f>IF(AND(ISNUMBER(AF609),ISNUMBER($B$24),ISNUMBER($D$24)),IF(AF609&gt;$D$24,"boven UCL",IF(AF609&lt;$B$24,"onder LCL","")),"")</f>
        <v/>
      </c>
      <c r="AJ609" s="13">
        <f>IF(AND(ISNUMBER(AE609),ISNUMBER($B$25),ISNUMBER($D$25)),IF(AE609&gt;$D$25,"boven UCL",IF(AE609&lt;$B$25,"onder LCL","")),"")</f>
        <v/>
      </c>
      <c r="AK609" s="13">
        <f>IF(AND(ISNUMBER(AG609),ISNUMBER($B$26),ISNUMBER($D$26)),IF(AG609&gt;$D$26,"boven UCL",IF(AG609&lt;$B$26,"onder LCL","")),"")</f>
        <v/>
      </c>
      <c r="AL609" s="13">
        <f>IF(AND(COUNT(B609:Z609)&gt;0,COUNT(AA609:AC609)&gt;0),"ruwe waarden én getypt: getypte genegeerd",IF(COUNTA(B609:Z609,AA609:AC609)&gt;COUNT(B609:Z609,AA609:AC609),"tekst telt niet mee",IF(COUNT(B609:Z609)=1,"1 waarde: geen R of s","")))</f>
        <v/>
      </c>
    </row>
    <row r="610">
      <c r="A610" t="n">
        <v>559</v>
      </c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28">
        <f>IF(COUNT(B610:Z610)&gt;0,COUNT(B610:Z610),IF(OR(ISNUMBER(AA610),ISNUMBER(AB610)),$B$9,""))</f>
        <v/>
      </c>
      <c r="AE610" s="29">
        <f>IF(COUNT(B610:Z610)&gt;0,AVERAGE(B610:Z610),IF(ISNUMBER(AA610),AA610,""))</f>
        <v/>
      </c>
      <c r="AF610" s="29">
        <f>IF(COUNT(B610:Z610)&gt;1,MAX(B610:Z610)-MIN(B610:Z610),IF(ISNUMBER(AB610),AB610,""))</f>
        <v/>
      </c>
      <c r="AG610" s="29">
        <f>IF(COUNT(B610:Z610)&gt;1,_xlfn.STDEV.S(B610:Z610),IF(ISNUMBER(AC610),AC610,""))</f>
        <v/>
      </c>
      <c r="AH610" s="13">
        <f>IF(AND(ISNUMBER(AE610),ISNUMBER($B$23),ISNUMBER($D$23)),IF(AE610&gt;$D$23,"boven UCL",IF(AE610&lt;$B$23,"onder LCL","")),"")</f>
        <v/>
      </c>
      <c r="AI610" s="13">
        <f>IF(AND(ISNUMBER(AF610),ISNUMBER($B$24),ISNUMBER($D$24)),IF(AF610&gt;$D$24,"boven UCL",IF(AF610&lt;$B$24,"onder LCL","")),"")</f>
        <v/>
      </c>
      <c r="AJ610" s="13">
        <f>IF(AND(ISNUMBER(AE610),ISNUMBER($B$25),ISNUMBER($D$25)),IF(AE610&gt;$D$25,"boven UCL",IF(AE610&lt;$B$25,"onder LCL","")),"")</f>
        <v/>
      </c>
      <c r="AK610" s="13">
        <f>IF(AND(ISNUMBER(AG610),ISNUMBER($B$26),ISNUMBER($D$26)),IF(AG610&gt;$D$26,"boven UCL",IF(AG610&lt;$B$26,"onder LCL","")),"")</f>
        <v/>
      </c>
      <c r="AL610" s="13">
        <f>IF(AND(COUNT(B610:Z610)&gt;0,COUNT(AA610:AC610)&gt;0),"ruwe waarden én getypt: getypte genegeerd",IF(COUNTA(B610:Z610,AA610:AC610)&gt;COUNT(B610:Z610,AA610:AC610),"tekst telt niet mee",IF(COUNT(B610:Z610)=1,"1 waarde: geen R of s","")))</f>
        <v/>
      </c>
    </row>
    <row r="611">
      <c r="A611" t="n">
        <v>560</v>
      </c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28">
        <f>IF(COUNT(B611:Z611)&gt;0,COUNT(B611:Z611),IF(OR(ISNUMBER(AA611),ISNUMBER(AB611)),$B$9,""))</f>
        <v/>
      </c>
      <c r="AE611" s="29">
        <f>IF(COUNT(B611:Z611)&gt;0,AVERAGE(B611:Z611),IF(ISNUMBER(AA611),AA611,""))</f>
        <v/>
      </c>
      <c r="AF611" s="29">
        <f>IF(COUNT(B611:Z611)&gt;1,MAX(B611:Z611)-MIN(B611:Z611),IF(ISNUMBER(AB611),AB611,""))</f>
        <v/>
      </c>
      <c r="AG611" s="29">
        <f>IF(COUNT(B611:Z611)&gt;1,_xlfn.STDEV.S(B611:Z611),IF(ISNUMBER(AC611),AC611,""))</f>
        <v/>
      </c>
      <c r="AH611" s="13">
        <f>IF(AND(ISNUMBER(AE611),ISNUMBER($B$23),ISNUMBER($D$23)),IF(AE611&gt;$D$23,"boven UCL",IF(AE611&lt;$B$23,"onder LCL","")),"")</f>
        <v/>
      </c>
      <c r="AI611" s="13">
        <f>IF(AND(ISNUMBER(AF611),ISNUMBER($B$24),ISNUMBER($D$24)),IF(AF611&gt;$D$24,"boven UCL",IF(AF611&lt;$B$24,"onder LCL","")),"")</f>
        <v/>
      </c>
      <c r="AJ611" s="13">
        <f>IF(AND(ISNUMBER(AE611),ISNUMBER($B$25),ISNUMBER($D$25)),IF(AE611&gt;$D$25,"boven UCL",IF(AE611&lt;$B$25,"onder LCL","")),"")</f>
        <v/>
      </c>
      <c r="AK611" s="13">
        <f>IF(AND(ISNUMBER(AG611),ISNUMBER($B$26),ISNUMBER($D$26)),IF(AG611&gt;$D$26,"boven UCL",IF(AG611&lt;$B$26,"onder LCL","")),"")</f>
        <v/>
      </c>
      <c r="AL611" s="13">
        <f>IF(AND(COUNT(B611:Z611)&gt;0,COUNT(AA611:AC611)&gt;0),"ruwe waarden én getypt: getypte genegeerd",IF(COUNTA(B611:Z611,AA611:AC611)&gt;COUNT(B611:Z611,AA611:AC611),"tekst telt niet mee",IF(COUNT(B611:Z611)=1,"1 waarde: geen R of s","")))</f>
        <v/>
      </c>
    </row>
    <row r="612">
      <c r="A612" t="n">
        <v>561</v>
      </c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28">
        <f>IF(COUNT(B612:Z612)&gt;0,COUNT(B612:Z612),IF(OR(ISNUMBER(AA612),ISNUMBER(AB612)),$B$9,""))</f>
        <v/>
      </c>
      <c r="AE612" s="29">
        <f>IF(COUNT(B612:Z612)&gt;0,AVERAGE(B612:Z612),IF(ISNUMBER(AA612),AA612,""))</f>
        <v/>
      </c>
      <c r="AF612" s="29">
        <f>IF(COUNT(B612:Z612)&gt;1,MAX(B612:Z612)-MIN(B612:Z612),IF(ISNUMBER(AB612),AB612,""))</f>
        <v/>
      </c>
      <c r="AG612" s="29">
        <f>IF(COUNT(B612:Z612)&gt;1,_xlfn.STDEV.S(B612:Z612),IF(ISNUMBER(AC612),AC612,""))</f>
        <v/>
      </c>
      <c r="AH612" s="13">
        <f>IF(AND(ISNUMBER(AE612),ISNUMBER($B$23),ISNUMBER($D$23)),IF(AE612&gt;$D$23,"boven UCL",IF(AE612&lt;$B$23,"onder LCL","")),"")</f>
        <v/>
      </c>
      <c r="AI612" s="13">
        <f>IF(AND(ISNUMBER(AF612),ISNUMBER($B$24),ISNUMBER($D$24)),IF(AF612&gt;$D$24,"boven UCL",IF(AF612&lt;$B$24,"onder LCL","")),"")</f>
        <v/>
      </c>
      <c r="AJ612" s="13">
        <f>IF(AND(ISNUMBER(AE612),ISNUMBER($B$25),ISNUMBER($D$25)),IF(AE612&gt;$D$25,"boven UCL",IF(AE612&lt;$B$25,"onder LCL","")),"")</f>
        <v/>
      </c>
      <c r="AK612" s="13">
        <f>IF(AND(ISNUMBER(AG612),ISNUMBER($B$26),ISNUMBER($D$26)),IF(AG612&gt;$D$26,"boven UCL",IF(AG612&lt;$B$26,"onder LCL","")),"")</f>
        <v/>
      </c>
      <c r="AL612" s="13">
        <f>IF(AND(COUNT(B612:Z612)&gt;0,COUNT(AA612:AC612)&gt;0),"ruwe waarden én getypt: getypte genegeerd",IF(COUNTA(B612:Z612,AA612:AC612)&gt;COUNT(B612:Z612,AA612:AC612),"tekst telt niet mee",IF(COUNT(B612:Z612)=1,"1 waarde: geen R of s","")))</f>
        <v/>
      </c>
    </row>
    <row r="613">
      <c r="A613" t="n">
        <v>562</v>
      </c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28">
        <f>IF(COUNT(B613:Z613)&gt;0,COUNT(B613:Z613),IF(OR(ISNUMBER(AA613),ISNUMBER(AB613)),$B$9,""))</f>
        <v/>
      </c>
      <c r="AE613" s="29">
        <f>IF(COUNT(B613:Z613)&gt;0,AVERAGE(B613:Z613),IF(ISNUMBER(AA613),AA613,""))</f>
        <v/>
      </c>
      <c r="AF613" s="29">
        <f>IF(COUNT(B613:Z613)&gt;1,MAX(B613:Z613)-MIN(B613:Z613),IF(ISNUMBER(AB613),AB613,""))</f>
        <v/>
      </c>
      <c r="AG613" s="29">
        <f>IF(COUNT(B613:Z613)&gt;1,_xlfn.STDEV.S(B613:Z613),IF(ISNUMBER(AC613),AC613,""))</f>
        <v/>
      </c>
      <c r="AH613" s="13">
        <f>IF(AND(ISNUMBER(AE613),ISNUMBER($B$23),ISNUMBER($D$23)),IF(AE613&gt;$D$23,"boven UCL",IF(AE613&lt;$B$23,"onder LCL","")),"")</f>
        <v/>
      </c>
      <c r="AI613" s="13">
        <f>IF(AND(ISNUMBER(AF613),ISNUMBER($B$24),ISNUMBER($D$24)),IF(AF613&gt;$D$24,"boven UCL",IF(AF613&lt;$B$24,"onder LCL","")),"")</f>
        <v/>
      </c>
      <c r="AJ613" s="13">
        <f>IF(AND(ISNUMBER(AE613),ISNUMBER($B$25),ISNUMBER($D$25)),IF(AE613&gt;$D$25,"boven UCL",IF(AE613&lt;$B$25,"onder LCL","")),"")</f>
        <v/>
      </c>
      <c r="AK613" s="13">
        <f>IF(AND(ISNUMBER(AG613),ISNUMBER($B$26),ISNUMBER($D$26)),IF(AG613&gt;$D$26,"boven UCL",IF(AG613&lt;$B$26,"onder LCL","")),"")</f>
        <v/>
      </c>
      <c r="AL613" s="13">
        <f>IF(AND(COUNT(B613:Z613)&gt;0,COUNT(AA613:AC613)&gt;0),"ruwe waarden én getypt: getypte genegeerd",IF(COUNTA(B613:Z613,AA613:AC613)&gt;COUNT(B613:Z613,AA613:AC613),"tekst telt niet mee",IF(COUNT(B613:Z613)=1,"1 waarde: geen R of s","")))</f>
        <v/>
      </c>
    </row>
    <row r="614">
      <c r="A614" t="n">
        <v>563</v>
      </c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28">
        <f>IF(COUNT(B614:Z614)&gt;0,COUNT(B614:Z614),IF(OR(ISNUMBER(AA614),ISNUMBER(AB614)),$B$9,""))</f>
        <v/>
      </c>
      <c r="AE614" s="29">
        <f>IF(COUNT(B614:Z614)&gt;0,AVERAGE(B614:Z614),IF(ISNUMBER(AA614),AA614,""))</f>
        <v/>
      </c>
      <c r="AF614" s="29">
        <f>IF(COUNT(B614:Z614)&gt;1,MAX(B614:Z614)-MIN(B614:Z614),IF(ISNUMBER(AB614),AB614,""))</f>
        <v/>
      </c>
      <c r="AG614" s="29">
        <f>IF(COUNT(B614:Z614)&gt;1,_xlfn.STDEV.S(B614:Z614),IF(ISNUMBER(AC614),AC614,""))</f>
        <v/>
      </c>
      <c r="AH614" s="13">
        <f>IF(AND(ISNUMBER(AE614),ISNUMBER($B$23),ISNUMBER($D$23)),IF(AE614&gt;$D$23,"boven UCL",IF(AE614&lt;$B$23,"onder LCL","")),"")</f>
        <v/>
      </c>
      <c r="AI614" s="13">
        <f>IF(AND(ISNUMBER(AF614),ISNUMBER($B$24),ISNUMBER($D$24)),IF(AF614&gt;$D$24,"boven UCL",IF(AF614&lt;$B$24,"onder LCL","")),"")</f>
        <v/>
      </c>
      <c r="AJ614" s="13">
        <f>IF(AND(ISNUMBER(AE614),ISNUMBER($B$25),ISNUMBER($D$25)),IF(AE614&gt;$D$25,"boven UCL",IF(AE614&lt;$B$25,"onder LCL","")),"")</f>
        <v/>
      </c>
      <c r="AK614" s="13">
        <f>IF(AND(ISNUMBER(AG614),ISNUMBER($B$26),ISNUMBER($D$26)),IF(AG614&gt;$D$26,"boven UCL",IF(AG614&lt;$B$26,"onder LCL","")),"")</f>
        <v/>
      </c>
      <c r="AL614" s="13">
        <f>IF(AND(COUNT(B614:Z614)&gt;0,COUNT(AA614:AC614)&gt;0),"ruwe waarden én getypt: getypte genegeerd",IF(COUNTA(B614:Z614,AA614:AC614)&gt;COUNT(B614:Z614,AA614:AC614),"tekst telt niet mee",IF(COUNT(B614:Z614)=1,"1 waarde: geen R of s","")))</f>
        <v/>
      </c>
    </row>
    <row r="615">
      <c r="A615" t="n">
        <v>564</v>
      </c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28">
        <f>IF(COUNT(B615:Z615)&gt;0,COUNT(B615:Z615),IF(OR(ISNUMBER(AA615),ISNUMBER(AB615)),$B$9,""))</f>
        <v/>
      </c>
      <c r="AE615" s="29">
        <f>IF(COUNT(B615:Z615)&gt;0,AVERAGE(B615:Z615),IF(ISNUMBER(AA615),AA615,""))</f>
        <v/>
      </c>
      <c r="AF615" s="29">
        <f>IF(COUNT(B615:Z615)&gt;1,MAX(B615:Z615)-MIN(B615:Z615),IF(ISNUMBER(AB615),AB615,""))</f>
        <v/>
      </c>
      <c r="AG615" s="29">
        <f>IF(COUNT(B615:Z615)&gt;1,_xlfn.STDEV.S(B615:Z615),IF(ISNUMBER(AC615),AC615,""))</f>
        <v/>
      </c>
      <c r="AH615" s="13">
        <f>IF(AND(ISNUMBER(AE615),ISNUMBER($B$23),ISNUMBER($D$23)),IF(AE615&gt;$D$23,"boven UCL",IF(AE615&lt;$B$23,"onder LCL","")),"")</f>
        <v/>
      </c>
      <c r="AI615" s="13">
        <f>IF(AND(ISNUMBER(AF615),ISNUMBER($B$24),ISNUMBER($D$24)),IF(AF615&gt;$D$24,"boven UCL",IF(AF615&lt;$B$24,"onder LCL","")),"")</f>
        <v/>
      </c>
      <c r="AJ615" s="13">
        <f>IF(AND(ISNUMBER(AE615),ISNUMBER($B$25),ISNUMBER($D$25)),IF(AE615&gt;$D$25,"boven UCL",IF(AE615&lt;$B$25,"onder LCL","")),"")</f>
        <v/>
      </c>
      <c r="AK615" s="13">
        <f>IF(AND(ISNUMBER(AG615),ISNUMBER($B$26),ISNUMBER($D$26)),IF(AG615&gt;$D$26,"boven UCL",IF(AG615&lt;$B$26,"onder LCL","")),"")</f>
        <v/>
      </c>
      <c r="AL615" s="13">
        <f>IF(AND(COUNT(B615:Z615)&gt;0,COUNT(AA615:AC615)&gt;0),"ruwe waarden én getypt: getypte genegeerd",IF(COUNTA(B615:Z615,AA615:AC615)&gt;COUNT(B615:Z615,AA615:AC615),"tekst telt niet mee",IF(COUNT(B615:Z615)=1,"1 waarde: geen R of s","")))</f>
        <v/>
      </c>
    </row>
    <row r="616">
      <c r="A616" t="n">
        <v>565</v>
      </c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28">
        <f>IF(COUNT(B616:Z616)&gt;0,COUNT(B616:Z616),IF(OR(ISNUMBER(AA616),ISNUMBER(AB616)),$B$9,""))</f>
        <v/>
      </c>
      <c r="AE616" s="29">
        <f>IF(COUNT(B616:Z616)&gt;0,AVERAGE(B616:Z616),IF(ISNUMBER(AA616),AA616,""))</f>
        <v/>
      </c>
      <c r="AF616" s="29">
        <f>IF(COUNT(B616:Z616)&gt;1,MAX(B616:Z616)-MIN(B616:Z616),IF(ISNUMBER(AB616),AB616,""))</f>
        <v/>
      </c>
      <c r="AG616" s="29">
        <f>IF(COUNT(B616:Z616)&gt;1,_xlfn.STDEV.S(B616:Z616),IF(ISNUMBER(AC616),AC616,""))</f>
        <v/>
      </c>
      <c r="AH616" s="13">
        <f>IF(AND(ISNUMBER(AE616),ISNUMBER($B$23),ISNUMBER($D$23)),IF(AE616&gt;$D$23,"boven UCL",IF(AE616&lt;$B$23,"onder LCL","")),"")</f>
        <v/>
      </c>
      <c r="AI616" s="13">
        <f>IF(AND(ISNUMBER(AF616),ISNUMBER($B$24),ISNUMBER($D$24)),IF(AF616&gt;$D$24,"boven UCL",IF(AF616&lt;$B$24,"onder LCL","")),"")</f>
        <v/>
      </c>
      <c r="AJ616" s="13">
        <f>IF(AND(ISNUMBER(AE616),ISNUMBER($B$25),ISNUMBER($D$25)),IF(AE616&gt;$D$25,"boven UCL",IF(AE616&lt;$B$25,"onder LCL","")),"")</f>
        <v/>
      </c>
      <c r="AK616" s="13">
        <f>IF(AND(ISNUMBER(AG616),ISNUMBER($B$26),ISNUMBER($D$26)),IF(AG616&gt;$D$26,"boven UCL",IF(AG616&lt;$B$26,"onder LCL","")),"")</f>
        <v/>
      </c>
      <c r="AL616" s="13">
        <f>IF(AND(COUNT(B616:Z616)&gt;0,COUNT(AA616:AC616)&gt;0),"ruwe waarden én getypt: getypte genegeerd",IF(COUNTA(B616:Z616,AA616:AC616)&gt;COUNT(B616:Z616,AA616:AC616),"tekst telt niet mee",IF(COUNT(B616:Z616)=1,"1 waarde: geen R of s","")))</f>
        <v/>
      </c>
    </row>
    <row r="617">
      <c r="A617" t="n">
        <v>566</v>
      </c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28">
        <f>IF(COUNT(B617:Z617)&gt;0,COUNT(B617:Z617),IF(OR(ISNUMBER(AA617),ISNUMBER(AB617)),$B$9,""))</f>
        <v/>
      </c>
      <c r="AE617" s="29">
        <f>IF(COUNT(B617:Z617)&gt;0,AVERAGE(B617:Z617),IF(ISNUMBER(AA617),AA617,""))</f>
        <v/>
      </c>
      <c r="AF617" s="29">
        <f>IF(COUNT(B617:Z617)&gt;1,MAX(B617:Z617)-MIN(B617:Z617),IF(ISNUMBER(AB617),AB617,""))</f>
        <v/>
      </c>
      <c r="AG617" s="29">
        <f>IF(COUNT(B617:Z617)&gt;1,_xlfn.STDEV.S(B617:Z617),IF(ISNUMBER(AC617),AC617,""))</f>
        <v/>
      </c>
      <c r="AH617" s="13">
        <f>IF(AND(ISNUMBER(AE617),ISNUMBER($B$23),ISNUMBER($D$23)),IF(AE617&gt;$D$23,"boven UCL",IF(AE617&lt;$B$23,"onder LCL","")),"")</f>
        <v/>
      </c>
      <c r="AI617" s="13">
        <f>IF(AND(ISNUMBER(AF617),ISNUMBER($B$24),ISNUMBER($D$24)),IF(AF617&gt;$D$24,"boven UCL",IF(AF617&lt;$B$24,"onder LCL","")),"")</f>
        <v/>
      </c>
      <c r="AJ617" s="13">
        <f>IF(AND(ISNUMBER(AE617),ISNUMBER($B$25),ISNUMBER($D$25)),IF(AE617&gt;$D$25,"boven UCL",IF(AE617&lt;$B$25,"onder LCL","")),"")</f>
        <v/>
      </c>
      <c r="AK617" s="13">
        <f>IF(AND(ISNUMBER(AG617),ISNUMBER($B$26),ISNUMBER($D$26)),IF(AG617&gt;$D$26,"boven UCL",IF(AG617&lt;$B$26,"onder LCL","")),"")</f>
        <v/>
      </c>
      <c r="AL617" s="13">
        <f>IF(AND(COUNT(B617:Z617)&gt;0,COUNT(AA617:AC617)&gt;0),"ruwe waarden én getypt: getypte genegeerd",IF(COUNTA(B617:Z617,AA617:AC617)&gt;COUNT(B617:Z617,AA617:AC617),"tekst telt niet mee",IF(COUNT(B617:Z617)=1,"1 waarde: geen R of s","")))</f>
        <v/>
      </c>
    </row>
    <row r="618">
      <c r="A618" t="n">
        <v>567</v>
      </c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28">
        <f>IF(COUNT(B618:Z618)&gt;0,COUNT(B618:Z618),IF(OR(ISNUMBER(AA618),ISNUMBER(AB618)),$B$9,""))</f>
        <v/>
      </c>
      <c r="AE618" s="29">
        <f>IF(COUNT(B618:Z618)&gt;0,AVERAGE(B618:Z618),IF(ISNUMBER(AA618),AA618,""))</f>
        <v/>
      </c>
      <c r="AF618" s="29">
        <f>IF(COUNT(B618:Z618)&gt;1,MAX(B618:Z618)-MIN(B618:Z618),IF(ISNUMBER(AB618),AB618,""))</f>
        <v/>
      </c>
      <c r="AG618" s="29">
        <f>IF(COUNT(B618:Z618)&gt;1,_xlfn.STDEV.S(B618:Z618),IF(ISNUMBER(AC618),AC618,""))</f>
        <v/>
      </c>
      <c r="AH618" s="13">
        <f>IF(AND(ISNUMBER(AE618),ISNUMBER($B$23),ISNUMBER($D$23)),IF(AE618&gt;$D$23,"boven UCL",IF(AE618&lt;$B$23,"onder LCL","")),"")</f>
        <v/>
      </c>
      <c r="AI618" s="13">
        <f>IF(AND(ISNUMBER(AF618),ISNUMBER($B$24),ISNUMBER($D$24)),IF(AF618&gt;$D$24,"boven UCL",IF(AF618&lt;$B$24,"onder LCL","")),"")</f>
        <v/>
      </c>
      <c r="AJ618" s="13">
        <f>IF(AND(ISNUMBER(AE618),ISNUMBER($B$25),ISNUMBER($D$25)),IF(AE618&gt;$D$25,"boven UCL",IF(AE618&lt;$B$25,"onder LCL","")),"")</f>
        <v/>
      </c>
      <c r="AK618" s="13">
        <f>IF(AND(ISNUMBER(AG618),ISNUMBER($B$26),ISNUMBER($D$26)),IF(AG618&gt;$D$26,"boven UCL",IF(AG618&lt;$B$26,"onder LCL","")),"")</f>
        <v/>
      </c>
      <c r="AL618" s="13">
        <f>IF(AND(COUNT(B618:Z618)&gt;0,COUNT(AA618:AC618)&gt;0),"ruwe waarden én getypt: getypte genegeerd",IF(COUNTA(B618:Z618,AA618:AC618)&gt;COUNT(B618:Z618,AA618:AC618),"tekst telt niet mee",IF(COUNT(B618:Z618)=1,"1 waarde: geen R of s","")))</f>
        <v/>
      </c>
    </row>
    <row r="619">
      <c r="A619" t="n">
        <v>568</v>
      </c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28">
        <f>IF(COUNT(B619:Z619)&gt;0,COUNT(B619:Z619),IF(OR(ISNUMBER(AA619),ISNUMBER(AB619)),$B$9,""))</f>
        <v/>
      </c>
      <c r="AE619" s="29">
        <f>IF(COUNT(B619:Z619)&gt;0,AVERAGE(B619:Z619),IF(ISNUMBER(AA619),AA619,""))</f>
        <v/>
      </c>
      <c r="AF619" s="29">
        <f>IF(COUNT(B619:Z619)&gt;1,MAX(B619:Z619)-MIN(B619:Z619),IF(ISNUMBER(AB619),AB619,""))</f>
        <v/>
      </c>
      <c r="AG619" s="29">
        <f>IF(COUNT(B619:Z619)&gt;1,_xlfn.STDEV.S(B619:Z619),IF(ISNUMBER(AC619),AC619,""))</f>
        <v/>
      </c>
      <c r="AH619" s="13">
        <f>IF(AND(ISNUMBER(AE619),ISNUMBER($B$23),ISNUMBER($D$23)),IF(AE619&gt;$D$23,"boven UCL",IF(AE619&lt;$B$23,"onder LCL","")),"")</f>
        <v/>
      </c>
      <c r="AI619" s="13">
        <f>IF(AND(ISNUMBER(AF619),ISNUMBER($B$24),ISNUMBER($D$24)),IF(AF619&gt;$D$24,"boven UCL",IF(AF619&lt;$B$24,"onder LCL","")),"")</f>
        <v/>
      </c>
      <c r="AJ619" s="13">
        <f>IF(AND(ISNUMBER(AE619),ISNUMBER($B$25),ISNUMBER($D$25)),IF(AE619&gt;$D$25,"boven UCL",IF(AE619&lt;$B$25,"onder LCL","")),"")</f>
        <v/>
      </c>
      <c r="AK619" s="13">
        <f>IF(AND(ISNUMBER(AG619),ISNUMBER($B$26),ISNUMBER($D$26)),IF(AG619&gt;$D$26,"boven UCL",IF(AG619&lt;$B$26,"onder LCL","")),"")</f>
        <v/>
      </c>
      <c r="AL619" s="13">
        <f>IF(AND(COUNT(B619:Z619)&gt;0,COUNT(AA619:AC619)&gt;0),"ruwe waarden én getypt: getypte genegeerd",IF(COUNTA(B619:Z619,AA619:AC619)&gt;COUNT(B619:Z619,AA619:AC619),"tekst telt niet mee",IF(COUNT(B619:Z619)=1,"1 waarde: geen R of s","")))</f>
        <v/>
      </c>
    </row>
    <row r="620">
      <c r="A620" t="n">
        <v>569</v>
      </c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28">
        <f>IF(COUNT(B620:Z620)&gt;0,COUNT(B620:Z620),IF(OR(ISNUMBER(AA620),ISNUMBER(AB620)),$B$9,""))</f>
        <v/>
      </c>
      <c r="AE620" s="29">
        <f>IF(COUNT(B620:Z620)&gt;0,AVERAGE(B620:Z620),IF(ISNUMBER(AA620),AA620,""))</f>
        <v/>
      </c>
      <c r="AF620" s="29">
        <f>IF(COUNT(B620:Z620)&gt;1,MAX(B620:Z620)-MIN(B620:Z620),IF(ISNUMBER(AB620),AB620,""))</f>
        <v/>
      </c>
      <c r="AG620" s="29">
        <f>IF(COUNT(B620:Z620)&gt;1,_xlfn.STDEV.S(B620:Z620),IF(ISNUMBER(AC620),AC620,""))</f>
        <v/>
      </c>
      <c r="AH620" s="13">
        <f>IF(AND(ISNUMBER(AE620),ISNUMBER($B$23),ISNUMBER($D$23)),IF(AE620&gt;$D$23,"boven UCL",IF(AE620&lt;$B$23,"onder LCL","")),"")</f>
        <v/>
      </c>
      <c r="AI620" s="13">
        <f>IF(AND(ISNUMBER(AF620),ISNUMBER($B$24),ISNUMBER($D$24)),IF(AF620&gt;$D$24,"boven UCL",IF(AF620&lt;$B$24,"onder LCL","")),"")</f>
        <v/>
      </c>
      <c r="AJ620" s="13">
        <f>IF(AND(ISNUMBER(AE620),ISNUMBER($B$25),ISNUMBER($D$25)),IF(AE620&gt;$D$25,"boven UCL",IF(AE620&lt;$B$25,"onder LCL","")),"")</f>
        <v/>
      </c>
      <c r="AK620" s="13">
        <f>IF(AND(ISNUMBER(AG620),ISNUMBER($B$26),ISNUMBER($D$26)),IF(AG620&gt;$D$26,"boven UCL",IF(AG620&lt;$B$26,"onder LCL","")),"")</f>
        <v/>
      </c>
      <c r="AL620" s="13">
        <f>IF(AND(COUNT(B620:Z620)&gt;0,COUNT(AA620:AC620)&gt;0),"ruwe waarden én getypt: getypte genegeerd",IF(COUNTA(B620:Z620,AA620:AC620)&gt;COUNT(B620:Z620,AA620:AC620),"tekst telt niet mee",IF(COUNT(B620:Z620)=1,"1 waarde: geen R of s","")))</f>
        <v/>
      </c>
    </row>
    <row r="621">
      <c r="A621" t="n">
        <v>570</v>
      </c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28">
        <f>IF(COUNT(B621:Z621)&gt;0,COUNT(B621:Z621),IF(OR(ISNUMBER(AA621),ISNUMBER(AB621)),$B$9,""))</f>
        <v/>
      </c>
      <c r="AE621" s="29">
        <f>IF(COUNT(B621:Z621)&gt;0,AVERAGE(B621:Z621),IF(ISNUMBER(AA621),AA621,""))</f>
        <v/>
      </c>
      <c r="AF621" s="29">
        <f>IF(COUNT(B621:Z621)&gt;1,MAX(B621:Z621)-MIN(B621:Z621),IF(ISNUMBER(AB621),AB621,""))</f>
        <v/>
      </c>
      <c r="AG621" s="29">
        <f>IF(COUNT(B621:Z621)&gt;1,_xlfn.STDEV.S(B621:Z621),IF(ISNUMBER(AC621),AC621,""))</f>
        <v/>
      </c>
      <c r="AH621" s="13">
        <f>IF(AND(ISNUMBER(AE621),ISNUMBER($B$23),ISNUMBER($D$23)),IF(AE621&gt;$D$23,"boven UCL",IF(AE621&lt;$B$23,"onder LCL","")),"")</f>
        <v/>
      </c>
      <c r="AI621" s="13">
        <f>IF(AND(ISNUMBER(AF621),ISNUMBER($B$24),ISNUMBER($D$24)),IF(AF621&gt;$D$24,"boven UCL",IF(AF621&lt;$B$24,"onder LCL","")),"")</f>
        <v/>
      </c>
      <c r="AJ621" s="13">
        <f>IF(AND(ISNUMBER(AE621),ISNUMBER($B$25),ISNUMBER($D$25)),IF(AE621&gt;$D$25,"boven UCL",IF(AE621&lt;$B$25,"onder LCL","")),"")</f>
        <v/>
      </c>
      <c r="AK621" s="13">
        <f>IF(AND(ISNUMBER(AG621),ISNUMBER($B$26),ISNUMBER($D$26)),IF(AG621&gt;$D$26,"boven UCL",IF(AG621&lt;$B$26,"onder LCL","")),"")</f>
        <v/>
      </c>
      <c r="AL621" s="13">
        <f>IF(AND(COUNT(B621:Z621)&gt;0,COUNT(AA621:AC621)&gt;0),"ruwe waarden én getypt: getypte genegeerd",IF(COUNTA(B621:Z621,AA621:AC621)&gt;COUNT(B621:Z621,AA621:AC621),"tekst telt niet mee",IF(COUNT(B621:Z621)=1,"1 waarde: geen R of s","")))</f>
        <v/>
      </c>
    </row>
    <row r="622">
      <c r="A622" t="n">
        <v>571</v>
      </c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28">
        <f>IF(COUNT(B622:Z622)&gt;0,COUNT(B622:Z622),IF(OR(ISNUMBER(AA622),ISNUMBER(AB622)),$B$9,""))</f>
        <v/>
      </c>
      <c r="AE622" s="29">
        <f>IF(COUNT(B622:Z622)&gt;0,AVERAGE(B622:Z622),IF(ISNUMBER(AA622),AA622,""))</f>
        <v/>
      </c>
      <c r="AF622" s="29">
        <f>IF(COUNT(B622:Z622)&gt;1,MAX(B622:Z622)-MIN(B622:Z622),IF(ISNUMBER(AB622),AB622,""))</f>
        <v/>
      </c>
      <c r="AG622" s="29">
        <f>IF(COUNT(B622:Z622)&gt;1,_xlfn.STDEV.S(B622:Z622),IF(ISNUMBER(AC622),AC622,""))</f>
        <v/>
      </c>
      <c r="AH622" s="13">
        <f>IF(AND(ISNUMBER(AE622),ISNUMBER($B$23),ISNUMBER($D$23)),IF(AE622&gt;$D$23,"boven UCL",IF(AE622&lt;$B$23,"onder LCL","")),"")</f>
        <v/>
      </c>
      <c r="AI622" s="13">
        <f>IF(AND(ISNUMBER(AF622),ISNUMBER($B$24),ISNUMBER($D$24)),IF(AF622&gt;$D$24,"boven UCL",IF(AF622&lt;$B$24,"onder LCL","")),"")</f>
        <v/>
      </c>
      <c r="AJ622" s="13">
        <f>IF(AND(ISNUMBER(AE622),ISNUMBER($B$25),ISNUMBER($D$25)),IF(AE622&gt;$D$25,"boven UCL",IF(AE622&lt;$B$25,"onder LCL","")),"")</f>
        <v/>
      </c>
      <c r="AK622" s="13">
        <f>IF(AND(ISNUMBER(AG622),ISNUMBER($B$26),ISNUMBER($D$26)),IF(AG622&gt;$D$26,"boven UCL",IF(AG622&lt;$B$26,"onder LCL","")),"")</f>
        <v/>
      </c>
      <c r="AL622" s="13">
        <f>IF(AND(COUNT(B622:Z622)&gt;0,COUNT(AA622:AC622)&gt;0),"ruwe waarden én getypt: getypte genegeerd",IF(COUNTA(B622:Z622,AA622:AC622)&gt;COUNT(B622:Z622,AA622:AC622),"tekst telt niet mee",IF(COUNT(B622:Z622)=1,"1 waarde: geen R of s","")))</f>
        <v/>
      </c>
    </row>
    <row r="623">
      <c r="A623" t="n">
        <v>572</v>
      </c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28">
        <f>IF(COUNT(B623:Z623)&gt;0,COUNT(B623:Z623),IF(OR(ISNUMBER(AA623),ISNUMBER(AB623)),$B$9,""))</f>
        <v/>
      </c>
      <c r="AE623" s="29">
        <f>IF(COUNT(B623:Z623)&gt;0,AVERAGE(B623:Z623),IF(ISNUMBER(AA623),AA623,""))</f>
        <v/>
      </c>
      <c r="AF623" s="29">
        <f>IF(COUNT(B623:Z623)&gt;1,MAX(B623:Z623)-MIN(B623:Z623),IF(ISNUMBER(AB623),AB623,""))</f>
        <v/>
      </c>
      <c r="AG623" s="29">
        <f>IF(COUNT(B623:Z623)&gt;1,_xlfn.STDEV.S(B623:Z623),IF(ISNUMBER(AC623),AC623,""))</f>
        <v/>
      </c>
      <c r="AH623" s="13">
        <f>IF(AND(ISNUMBER(AE623),ISNUMBER($B$23),ISNUMBER($D$23)),IF(AE623&gt;$D$23,"boven UCL",IF(AE623&lt;$B$23,"onder LCL","")),"")</f>
        <v/>
      </c>
      <c r="AI623" s="13">
        <f>IF(AND(ISNUMBER(AF623),ISNUMBER($B$24),ISNUMBER($D$24)),IF(AF623&gt;$D$24,"boven UCL",IF(AF623&lt;$B$24,"onder LCL","")),"")</f>
        <v/>
      </c>
      <c r="AJ623" s="13">
        <f>IF(AND(ISNUMBER(AE623),ISNUMBER($B$25),ISNUMBER($D$25)),IF(AE623&gt;$D$25,"boven UCL",IF(AE623&lt;$B$25,"onder LCL","")),"")</f>
        <v/>
      </c>
      <c r="AK623" s="13">
        <f>IF(AND(ISNUMBER(AG623),ISNUMBER($B$26),ISNUMBER($D$26)),IF(AG623&gt;$D$26,"boven UCL",IF(AG623&lt;$B$26,"onder LCL","")),"")</f>
        <v/>
      </c>
      <c r="AL623" s="13">
        <f>IF(AND(COUNT(B623:Z623)&gt;0,COUNT(AA623:AC623)&gt;0),"ruwe waarden én getypt: getypte genegeerd",IF(COUNTA(B623:Z623,AA623:AC623)&gt;COUNT(B623:Z623,AA623:AC623),"tekst telt niet mee",IF(COUNT(B623:Z623)=1,"1 waarde: geen R of s","")))</f>
        <v/>
      </c>
    </row>
    <row r="624">
      <c r="A624" t="n">
        <v>573</v>
      </c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28">
        <f>IF(COUNT(B624:Z624)&gt;0,COUNT(B624:Z624),IF(OR(ISNUMBER(AA624),ISNUMBER(AB624)),$B$9,""))</f>
        <v/>
      </c>
      <c r="AE624" s="29">
        <f>IF(COUNT(B624:Z624)&gt;0,AVERAGE(B624:Z624),IF(ISNUMBER(AA624),AA624,""))</f>
        <v/>
      </c>
      <c r="AF624" s="29">
        <f>IF(COUNT(B624:Z624)&gt;1,MAX(B624:Z624)-MIN(B624:Z624),IF(ISNUMBER(AB624),AB624,""))</f>
        <v/>
      </c>
      <c r="AG624" s="29">
        <f>IF(COUNT(B624:Z624)&gt;1,_xlfn.STDEV.S(B624:Z624),IF(ISNUMBER(AC624),AC624,""))</f>
        <v/>
      </c>
      <c r="AH624" s="13">
        <f>IF(AND(ISNUMBER(AE624),ISNUMBER($B$23),ISNUMBER($D$23)),IF(AE624&gt;$D$23,"boven UCL",IF(AE624&lt;$B$23,"onder LCL","")),"")</f>
        <v/>
      </c>
      <c r="AI624" s="13">
        <f>IF(AND(ISNUMBER(AF624),ISNUMBER($B$24),ISNUMBER($D$24)),IF(AF624&gt;$D$24,"boven UCL",IF(AF624&lt;$B$24,"onder LCL","")),"")</f>
        <v/>
      </c>
      <c r="AJ624" s="13">
        <f>IF(AND(ISNUMBER(AE624),ISNUMBER($B$25),ISNUMBER($D$25)),IF(AE624&gt;$D$25,"boven UCL",IF(AE624&lt;$B$25,"onder LCL","")),"")</f>
        <v/>
      </c>
      <c r="AK624" s="13">
        <f>IF(AND(ISNUMBER(AG624),ISNUMBER($B$26),ISNUMBER($D$26)),IF(AG624&gt;$D$26,"boven UCL",IF(AG624&lt;$B$26,"onder LCL","")),"")</f>
        <v/>
      </c>
      <c r="AL624" s="13">
        <f>IF(AND(COUNT(B624:Z624)&gt;0,COUNT(AA624:AC624)&gt;0),"ruwe waarden én getypt: getypte genegeerd",IF(COUNTA(B624:Z624,AA624:AC624)&gt;COUNT(B624:Z624,AA624:AC624),"tekst telt niet mee",IF(COUNT(B624:Z624)=1,"1 waarde: geen R of s","")))</f>
        <v/>
      </c>
    </row>
    <row r="625">
      <c r="A625" t="n">
        <v>574</v>
      </c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28">
        <f>IF(COUNT(B625:Z625)&gt;0,COUNT(B625:Z625),IF(OR(ISNUMBER(AA625),ISNUMBER(AB625)),$B$9,""))</f>
        <v/>
      </c>
      <c r="AE625" s="29">
        <f>IF(COUNT(B625:Z625)&gt;0,AVERAGE(B625:Z625),IF(ISNUMBER(AA625),AA625,""))</f>
        <v/>
      </c>
      <c r="AF625" s="29">
        <f>IF(COUNT(B625:Z625)&gt;1,MAX(B625:Z625)-MIN(B625:Z625),IF(ISNUMBER(AB625),AB625,""))</f>
        <v/>
      </c>
      <c r="AG625" s="29">
        <f>IF(COUNT(B625:Z625)&gt;1,_xlfn.STDEV.S(B625:Z625),IF(ISNUMBER(AC625),AC625,""))</f>
        <v/>
      </c>
      <c r="AH625" s="13">
        <f>IF(AND(ISNUMBER(AE625),ISNUMBER($B$23),ISNUMBER($D$23)),IF(AE625&gt;$D$23,"boven UCL",IF(AE625&lt;$B$23,"onder LCL","")),"")</f>
        <v/>
      </c>
      <c r="AI625" s="13">
        <f>IF(AND(ISNUMBER(AF625),ISNUMBER($B$24),ISNUMBER($D$24)),IF(AF625&gt;$D$24,"boven UCL",IF(AF625&lt;$B$24,"onder LCL","")),"")</f>
        <v/>
      </c>
      <c r="AJ625" s="13">
        <f>IF(AND(ISNUMBER(AE625),ISNUMBER($B$25),ISNUMBER($D$25)),IF(AE625&gt;$D$25,"boven UCL",IF(AE625&lt;$B$25,"onder LCL","")),"")</f>
        <v/>
      </c>
      <c r="AK625" s="13">
        <f>IF(AND(ISNUMBER(AG625),ISNUMBER($B$26),ISNUMBER($D$26)),IF(AG625&gt;$D$26,"boven UCL",IF(AG625&lt;$B$26,"onder LCL","")),"")</f>
        <v/>
      </c>
      <c r="AL625" s="13">
        <f>IF(AND(COUNT(B625:Z625)&gt;0,COUNT(AA625:AC625)&gt;0),"ruwe waarden én getypt: getypte genegeerd",IF(COUNTA(B625:Z625,AA625:AC625)&gt;COUNT(B625:Z625,AA625:AC625),"tekst telt niet mee",IF(COUNT(B625:Z625)=1,"1 waarde: geen R of s","")))</f>
        <v/>
      </c>
    </row>
    <row r="626">
      <c r="A626" t="n">
        <v>575</v>
      </c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28">
        <f>IF(COUNT(B626:Z626)&gt;0,COUNT(B626:Z626),IF(OR(ISNUMBER(AA626),ISNUMBER(AB626)),$B$9,""))</f>
        <v/>
      </c>
      <c r="AE626" s="29">
        <f>IF(COUNT(B626:Z626)&gt;0,AVERAGE(B626:Z626),IF(ISNUMBER(AA626),AA626,""))</f>
        <v/>
      </c>
      <c r="AF626" s="29">
        <f>IF(COUNT(B626:Z626)&gt;1,MAX(B626:Z626)-MIN(B626:Z626),IF(ISNUMBER(AB626),AB626,""))</f>
        <v/>
      </c>
      <c r="AG626" s="29">
        <f>IF(COUNT(B626:Z626)&gt;1,_xlfn.STDEV.S(B626:Z626),IF(ISNUMBER(AC626),AC626,""))</f>
        <v/>
      </c>
      <c r="AH626" s="13">
        <f>IF(AND(ISNUMBER(AE626),ISNUMBER($B$23),ISNUMBER($D$23)),IF(AE626&gt;$D$23,"boven UCL",IF(AE626&lt;$B$23,"onder LCL","")),"")</f>
        <v/>
      </c>
      <c r="AI626" s="13">
        <f>IF(AND(ISNUMBER(AF626),ISNUMBER($B$24),ISNUMBER($D$24)),IF(AF626&gt;$D$24,"boven UCL",IF(AF626&lt;$B$24,"onder LCL","")),"")</f>
        <v/>
      </c>
      <c r="AJ626" s="13">
        <f>IF(AND(ISNUMBER(AE626),ISNUMBER($B$25),ISNUMBER($D$25)),IF(AE626&gt;$D$25,"boven UCL",IF(AE626&lt;$B$25,"onder LCL","")),"")</f>
        <v/>
      </c>
      <c r="AK626" s="13">
        <f>IF(AND(ISNUMBER(AG626),ISNUMBER($B$26),ISNUMBER($D$26)),IF(AG626&gt;$D$26,"boven UCL",IF(AG626&lt;$B$26,"onder LCL","")),"")</f>
        <v/>
      </c>
      <c r="AL626" s="13">
        <f>IF(AND(COUNT(B626:Z626)&gt;0,COUNT(AA626:AC626)&gt;0),"ruwe waarden én getypt: getypte genegeerd",IF(COUNTA(B626:Z626,AA626:AC626)&gt;COUNT(B626:Z626,AA626:AC626),"tekst telt niet mee",IF(COUNT(B626:Z626)=1,"1 waarde: geen R of s","")))</f>
        <v/>
      </c>
    </row>
    <row r="627">
      <c r="A627" t="n">
        <v>576</v>
      </c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28">
        <f>IF(COUNT(B627:Z627)&gt;0,COUNT(B627:Z627),IF(OR(ISNUMBER(AA627),ISNUMBER(AB627)),$B$9,""))</f>
        <v/>
      </c>
      <c r="AE627" s="29">
        <f>IF(COUNT(B627:Z627)&gt;0,AVERAGE(B627:Z627),IF(ISNUMBER(AA627),AA627,""))</f>
        <v/>
      </c>
      <c r="AF627" s="29">
        <f>IF(COUNT(B627:Z627)&gt;1,MAX(B627:Z627)-MIN(B627:Z627),IF(ISNUMBER(AB627),AB627,""))</f>
        <v/>
      </c>
      <c r="AG627" s="29">
        <f>IF(COUNT(B627:Z627)&gt;1,_xlfn.STDEV.S(B627:Z627),IF(ISNUMBER(AC627),AC627,""))</f>
        <v/>
      </c>
      <c r="AH627" s="13">
        <f>IF(AND(ISNUMBER(AE627),ISNUMBER($B$23),ISNUMBER($D$23)),IF(AE627&gt;$D$23,"boven UCL",IF(AE627&lt;$B$23,"onder LCL","")),"")</f>
        <v/>
      </c>
      <c r="AI627" s="13">
        <f>IF(AND(ISNUMBER(AF627),ISNUMBER($B$24),ISNUMBER($D$24)),IF(AF627&gt;$D$24,"boven UCL",IF(AF627&lt;$B$24,"onder LCL","")),"")</f>
        <v/>
      </c>
      <c r="AJ627" s="13">
        <f>IF(AND(ISNUMBER(AE627),ISNUMBER($B$25),ISNUMBER($D$25)),IF(AE627&gt;$D$25,"boven UCL",IF(AE627&lt;$B$25,"onder LCL","")),"")</f>
        <v/>
      </c>
      <c r="AK627" s="13">
        <f>IF(AND(ISNUMBER(AG627),ISNUMBER($B$26),ISNUMBER($D$26)),IF(AG627&gt;$D$26,"boven UCL",IF(AG627&lt;$B$26,"onder LCL","")),"")</f>
        <v/>
      </c>
      <c r="AL627" s="13">
        <f>IF(AND(COUNT(B627:Z627)&gt;0,COUNT(AA627:AC627)&gt;0),"ruwe waarden én getypt: getypte genegeerd",IF(COUNTA(B627:Z627,AA627:AC627)&gt;COUNT(B627:Z627,AA627:AC627),"tekst telt niet mee",IF(COUNT(B627:Z627)=1,"1 waarde: geen R of s","")))</f>
        <v/>
      </c>
    </row>
    <row r="628">
      <c r="A628" t="n">
        <v>577</v>
      </c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28">
        <f>IF(COUNT(B628:Z628)&gt;0,COUNT(B628:Z628),IF(OR(ISNUMBER(AA628),ISNUMBER(AB628)),$B$9,""))</f>
        <v/>
      </c>
      <c r="AE628" s="29">
        <f>IF(COUNT(B628:Z628)&gt;0,AVERAGE(B628:Z628),IF(ISNUMBER(AA628),AA628,""))</f>
        <v/>
      </c>
      <c r="AF628" s="29">
        <f>IF(COUNT(B628:Z628)&gt;1,MAX(B628:Z628)-MIN(B628:Z628),IF(ISNUMBER(AB628),AB628,""))</f>
        <v/>
      </c>
      <c r="AG628" s="29">
        <f>IF(COUNT(B628:Z628)&gt;1,_xlfn.STDEV.S(B628:Z628),IF(ISNUMBER(AC628),AC628,""))</f>
        <v/>
      </c>
      <c r="AH628" s="13">
        <f>IF(AND(ISNUMBER(AE628),ISNUMBER($B$23),ISNUMBER($D$23)),IF(AE628&gt;$D$23,"boven UCL",IF(AE628&lt;$B$23,"onder LCL","")),"")</f>
        <v/>
      </c>
      <c r="AI628" s="13">
        <f>IF(AND(ISNUMBER(AF628),ISNUMBER($B$24),ISNUMBER($D$24)),IF(AF628&gt;$D$24,"boven UCL",IF(AF628&lt;$B$24,"onder LCL","")),"")</f>
        <v/>
      </c>
      <c r="AJ628" s="13">
        <f>IF(AND(ISNUMBER(AE628),ISNUMBER($B$25),ISNUMBER($D$25)),IF(AE628&gt;$D$25,"boven UCL",IF(AE628&lt;$B$25,"onder LCL","")),"")</f>
        <v/>
      </c>
      <c r="AK628" s="13">
        <f>IF(AND(ISNUMBER(AG628),ISNUMBER($B$26),ISNUMBER($D$26)),IF(AG628&gt;$D$26,"boven UCL",IF(AG628&lt;$B$26,"onder LCL","")),"")</f>
        <v/>
      </c>
      <c r="AL628" s="13">
        <f>IF(AND(COUNT(B628:Z628)&gt;0,COUNT(AA628:AC628)&gt;0),"ruwe waarden én getypt: getypte genegeerd",IF(COUNTA(B628:Z628,AA628:AC628)&gt;COUNT(B628:Z628,AA628:AC628),"tekst telt niet mee",IF(COUNT(B628:Z628)=1,"1 waarde: geen R of s","")))</f>
        <v/>
      </c>
    </row>
    <row r="629">
      <c r="A629" t="n">
        <v>578</v>
      </c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28">
        <f>IF(COUNT(B629:Z629)&gt;0,COUNT(B629:Z629),IF(OR(ISNUMBER(AA629),ISNUMBER(AB629)),$B$9,""))</f>
        <v/>
      </c>
      <c r="AE629" s="29">
        <f>IF(COUNT(B629:Z629)&gt;0,AVERAGE(B629:Z629),IF(ISNUMBER(AA629),AA629,""))</f>
        <v/>
      </c>
      <c r="AF629" s="29">
        <f>IF(COUNT(B629:Z629)&gt;1,MAX(B629:Z629)-MIN(B629:Z629),IF(ISNUMBER(AB629),AB629,""))</f>
        <v/>
      </c>
      <c r="AG629" s="29">
        <f>IF(COUNT(B629:Z629)&gt;1,_xlfn.STDEV.S(B629:Z629),IF(ISNUMBER(AC629),AC629,""))</f>
        <v/>
      </c>
      <c r="AH629" s="13">
        <f>IF(AND(ISNUMBER(AE629),ISNUMBER($B$23),ISNUMBER($D$23)),IF(AE629&gt;$D$23,"boven UCL",IF(AE629&lt;$B$23,"onder LCL","")),"")</f>
        <v/>
      </c>
      <c r="AI629" s="13">
        <f>IF(AND(ISNUMBER(AF629),ISNUMBER($B$24),ISNUMBER($D$24)),IF(AF629&gt;$D$24,"boven UCL",IF(AF629&lt;$B$24,"onder LCL","")),"")</f>
        <v/>
      </c>
      <c r="AJ629" s="13">
        <f>IF(AND(ISNUMBER(AE629),ISNUMBER($B$25),ISNUMBER($D$25)),IF(AE629&gt;$D$25,"boven UCL",IF(AE629&lt;$B$25,"onder LCL","")),"")</f>
        <v/>
      </c>
      <c r="AK629" s="13">
        <f>IF(AND(ISNUMBER(AG629),ISNUMBER($B$26),ISNUMBER($D$26)),IF(AG629&gt;$D$26,"boven UCL",IF(AG629&lt;$B$26,"onder LCL","")),"")</f>
        <v/>
      </c>
      <c r="AL629" s="13">
        <f>IF(AND(COUNT(B629:Z629)&gt;0,COUNT(AA629:AC629)&gt;0),"ruwe waarden én getypt: getypte genegeerd",IF(COUNTA(B629:Z629,AA629:AC629)&gt;COUNT(B629:Z629,AA629:AC629),"tekst telt niet mee",IF(COUNT(B629:Z629)=1,"1 waarde: geen R of s","")))</f>
        <v/>
      </c>
    </row>
    <row r="630">
      <c r="A630" t="n">
        <v>579</v>
      </c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28">
        <f>IF(COUNT(B630:Z630)&gt;0,COUNT(B630:Z630),IF(OR(ISNUMBER(AA630),ISNUMBER(AB630)),$B$9,""))</f>
        <v/>
      </c>
      <c r="AE630" s="29">
        <f>IF(COUNT(B630:Z630)&gt;0,AVERAGE(B630:Z630),IF(ISNUMBER(AA630),AA630,""))</f>
        <v/>
      </c>
      <c r="AF630" s="29">
        <f>IF(COUNT(B630:Z630)&gt;1,MAX(B630:Z630)-MIN(B630:Z630),IF(ISNUMBER(AB630),AB630,""))</f>
        <v/>
      </c>
      <c r="AG630" s="29">
        <f>IF(COUNT(B630:Z630)&gt;1,_xlfn.STDEV.S(B630:Z630),IF(ISNUMBER(AC630),AC630,""))</f>
        <v/>
      </c>
      <c r="AH630" s="13">
        <f>IF(AND(ISNUMBER(AE630),ISNUMBER($B$23),ISNUMBER($D$23)),IF(AE630&gt;$D$23,"boven UCL",IF(AE630&lt;$B$23,"onder LCL","")),"")</f>
        <v/>
      </c>
      <c r="AI630" s="13">
        <f>IF(AND(ISNUMBER(AF630),ISNUMBER($B$24),ISNUMBER($D$24)),IF(AF630&gt;$D$24,"boven UCL",IF(AF630&lt;$B$24,"onder LCL","")),"")</f>
        <v/>
      </c>
      <c r="AJ630" s="13">
        <f>IF(AND(ISNUMBER(AE630),ISNUMBER($B$25),ISNUMBER($D$25)),IF(AE630&gt;$D$25,"boven UCL",IF(AE630&lt;$B$25,"onder LCL","")),"")</f>
        <v/>
      </c>
      <c r="AK630" s="13">
        <f>IF(AND(ISNUMBER(AG630),ISNUMBER($B$26),ISNUMBER($D$26)),IF(AG630&gt;$D$26,"boven UCL",IF(AG630&lt;$B$26,"onder LCL","")),"")</f>
        <v/>
      </c>
      <c r="AL630" s="13">
        <f>IF(AND(COUNT(B630:Z630)&gt;0,COUNT(AA630:AC630)&gt;0),"ruwe waarden én getypt: getypte genegeerd",IF(COUNTA(B630:Z630,AA630:AC630)&gt;COUNT(B630:Z630,AA630:AC630),"tekst telt niet mee",IF(COUNT(B630:Z630)=1,"1 waarde: geen R of s","")))</f>
        <v/>
      </c>
    </row>
    <row r="631">
      <c r="A631" t="n">
        <v>580</v>
      </c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28">
        <f>IF(COUNT(B631:Z631)&gt;0,COUNT(B631:Z631),IF(OR(ISNUMBER(AA631),ISNUMBER(AB631)),$B$9,""))</f>
        <v/>
      </c>
      <c r="AE631" s="29">
        <f>IF(COUNT(B631:Z631)&gt;0,AVERAGE(B631:Z631),IF(ISNUMBER(AA631),AA631,""))</f>
        <v/>
      </c>
      <c r="AF631" s="29">
        <f>IF(COUNT(B631:Z631)&gt;1,MAX(B631:Z631)-MIN(B631:Z631),IF(ISNUMBER(AB631),AB631,""))</f>
        <v/>
      </c>
      <c r="AG631" s="29">
        <f>IF(COUNT(B631:Z631)&gt;1,_xlfn.STDEV.S(B631:Z631),IF(ISNUMBER(AC631),AC631,""))</f>
        <v/>
      </c>
      <c r="AH631" s="13">
        <f>IF(AND(ISNUMBER(AE631),ISNUMBER($B$23),ISNUMBER($D$23)),IF(AE631&gt;$D$23,"boven UCL",IF(AE631&lt;$B$23,"onder LCL","")),"")</f>
        <v/>
      </c>
      <c r="AI631" s="13">
        <f>IF(AND(ISNUMBER(AF631),ISNUMBER($B$24),ISNUMBER($D$24)),IF(AF631&gt;$D$24,"boven UCL",IF(AF631&lt;$B$24,"onder LCL","")),"")</f>
        <v/>
      </c>
      <c r="AJ631" s="13">
        <f>IF(AND(ISNUMBER(AE631),ISNUMBER($B$25),ISNUMBER($D$25)),IF(AE631&gt;$D$25,"boven UCL",IF(AE631&lt;$B$25,"onder LCL","")),"")</f>
        <v/>
      </c>
      <c r="AK631" s="13">
        <f>IF(AND(ISNUMBER(AG631),ISNUMBER($B$26),ISNUMBER($D$26)),IF(AG631&gt;$D$26,"boven UCL",IF(AG631&lt;$B$26,"onder LCL","")),"")</f>
        <v/>
      </c>
      <c r="AL631" s="13">
        <f>IF(AND(COUNT(B631:Z631)&gt;0,COUNT(AA631:AC631)&gt;0),"ruwe waarden én getypt: getypte genegeerd",IF(COUNTA(B631:Z631,AA631:AC631)&gt;COUNT(B631:Z631,AA631:AC631),"tekst telt niet mee",IF(COUNT(B631:Z631)=1,"1 waarde: geen R of s","")))</f>
        <v/>
      </c>
    </row>
    <row r="632">
      <c r="A632" t="n">
        <v>581</v>
      </c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28">
        <f>IF(COUNT(B632:Z632)&gt;0,COUNT(B632:Z632),IF(OR(ISNUMBER(AA632),ISNUMBER(AB632)),$B$9,""))</f>
        <v/>
      </c>
      <c r="AE632" s="29">
        <f>IF(COUNT(B632:Z632)&gt;0,AVERAGE(B632:Z632),IF(ISNUMBER(AA632),AA632,""))</f>
        <v/>
      </c>
      <c r="AF632" s="29">
        <f>IF(COUNT(B632:Z632)&gt;1,MAX(B632:Z632)-MIN(B632:Z632),IF(ISNUMBER(AB632),AB632,""))</f>
        <v/>
      </c>
      <c r="AG632" s="29">
        <f>IF(COUNT(B632:Z632)&gt;1,_xlfn.STDEV.S(B632:Z632),IF(ISNUMBER(AC632),AC632,""))</f>
        <v/>
      </c>
      <c r="AH632" s="13">
        <f>IF(AND(ISNUMBER(AE632),ISNUMBER($B$23),ISNUMBER($D$23)),IF(AE632&gt;$D$23,"boven UCL",IF(AE632&lt;$B$23,"onder LCL","")),"")</f>
        <v/>
      </c>
      <c r="AI632" s="13">
        <f>IF(AND(ISNUMBER(AF632),ISNUMBER($B$24),ISNUMBER($D$24)),IF(AF632&gt;$D$24,"boven UCL",IF(AF632&lt;$B$24,"onder LCL","")),"")</f>
        <v/>
      </c>
      <c r="AJ632" s="13">
        <f>IF(AND(ISNUMBER(AE632),ISNUMBER($B$25),ISNUMBER($D$25)),IF(AE632&gt;$D$25,"boven UCL",IF(AE632&lt;$B$25,"onder LCL","")),"")</f>
        <v/>
      </c>
      <c r="AK632" s="13">
        <f>IF(AND(ISNUMBER(AG632),ISNUMBER($B$26),ISNUMBER($D$26)),IF(AG632&gt;$D$26,"boven UCL",IF(AG632&lt;$B$26,"onder LCL","")),"")</f>
        <v/>
      </c>
      <c r="AL632" s="13">
        <f>IF(AND(COUNT(B632:Z632)&gt;0,COUNT(AA632:AC632)&gt;0),"ruwe waarden én getypt: getypte genegeerd",IF(COUNTA(B632:Z632,AA632:AC632)&gt;COUNT(B632:Z632,AA632:AC632),"tekst telt niet mee",IF(COUNT(B632:Z632)=1,"1 waarde: geen R of s","")))</f>
        <v/>
      </c>
    </row>
    <row r="633">
      <c r="A633" t="n">
        <v>582</v>
      </c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28">
        <f>IF(COUNT(B633:Z633)&gt;0,COUNT(B633:Z633),IF(OR(ISNUMBER(AA633),ISNUMBER(AB633)),$B$9,""))</f>
        <v/>
      </c>
      <c r="AE633" s="29">
        <f>IF(COUNT(B633:Z633)&gt;0,AVERAGE(B633:Z633),IF(ISNUMBER(AA633),AA633,""))</f>
        <v/>
      </c>
      <c r="AF633" s="29">
        <f>IF(COUNT(B633:Z633)&gt;1,MAX(B633:Z633)-MIN(B633:Z633),IF(ISNUMBER(AB633),AB633,""))</f>
        <v/>
      </c>
      <c r="AG633" s="29">
        <f>IF(COUNT(B633:Z633)&gt;1,_xlfn.STDEV.S(B633:Z633),IF(ISNUMBER(AC633),AC633,""))</f>
        <v/>
      </c>
      <c r="AH633" s="13">
        <f>IF(AND(ISNUMBER(AE633),ISNUMBER($B$23),ISNUMBER($D$23)),IF(AE633&gt;$D$23,"boven UCL",IF(AE633&lt;$B$23,"onder LCL","")),"")</f>
        <v/>
      </c>
      <c r="AI633" s="13">
        <f>IF(AND(ISNUMBER(AF633),ISNUMBER($B$24),ISNUMBER($D$24)),IF(AF633&gt;$D$24,"boven UCL",IF(AF633&lt;$B$24,"onder LCL","")),"")</f>
        <v/>
      </c>
      <c r="AJ633" s="13">
        <f>IF(AND(ISNUMBER(AE633),ISNUMBER($B$25),ISNUMBER($D$25)),IF(AE633&gt;$D$25,"boven UCL",IF(AE633&lt;$B$25,"onder LCL","")),"")</f>
        <v/>
      </c>
      <c r="AK633" s="13">
        <f>IF(AND(ISNUMBER(AG633),ISNUMBER($B$26),ISNUMBER($D$26)),IF(AG633&gt;$D$26,"boven UCL",IF(AG633&lt;$B$26,"onder LCL","")),"")</f>
        <v/>
      </c>
      <c r="AL633" s="13">
        <f>IF(AND(COUNT(B633:Z633)&gt;0,COUNT(AA633:AC633)&gt;0),"ruwe waarden én getypt: getypte genegeerd",IF(COUNTA(B633:Z633,AA633:AC633)&gt;COUNT(B633:Z633,AA633:AC633),"tekst telt niet mee",IF(COUNT(B633:Z633)=1,"1 waarde: geen R of s","")))</f>
        <v/>
      </c>
    </row>
    <row r="634">
      <c r="A634" t="n">
        <v>583</v>
      </c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28">
        <f>IF(COUNT(B634:Z634)&gt;0,COUNT(B634:Z634),IF(OR(ISNUMBER(AA634),ISNUMBER(AB634)),$B$9,""))</f>
        <v/>
      </c>
      <c r="AE634" s="29">
        <f>IF(COUNT(B634:Z634)&gt;0,AVERAGE(B634:Z634),IF(ISNUMBER(AA634),AA634,""))</f>
        <v/>
      </c>
      <c r="AF634" s="29">
        <f>IF(COUNT(B634:Z634)&gt;1,MAX(B634:Z634)-MIN(B634:Z634),IF(ISNUMBER(AB634),AB634,""))</f>
        <v/>
      </c>
      <c r="AG634" s="29">
        <f>IF(COUNT(B634:Z634)&gt;1,_xlfn.STDEV.S(B634:Z634),IF(ISNUMBER(AC634),AC634,""))</f>
        <v/>
      </c>
      <c r="AH634" s="13">
        <f>IF(AND(ISNUMBER(AE634),ISNUMBER($B$23),ISNUMBER($D$23)),IF(AE634&gt;$D$23,"boven UCL",IF(AE634&lt;$B$23,"onder LCL","")),"")</f>
        <v/>
      </c>
      <c r="AI634" s="13">
        <f>IF(AND(ISNUMBER(AF634),ISNUMBER($B$24),ISNUMBER($D$24)),IF(AF634&gt;$D$24,"boven UCL",IF(AF634&lt;$B$24,"onder LCL","")),"")</f>
        <v/>
      </c>
      <c r="AJ634" s="13">
        <f>IF(AND(ISNUMBER(AE634),ISNUMBER($B$25),ISNUMBER($D$25)),IF(AE634&gt;$D$25,"boven UCL",IF(AE634&lt;$B$25,"onder LCL","")),"")</f>
        <v/>
      </c>
      <c r="AK634" s="13">
        <f>IF(AND(ISNUMBER(AG634),ISNUMBER($B$26),ISNUMBER($D$26)),IF(AG634&gt;$D$26,"boven UCL",IF(AG634&lt;$B$26,"onder LCL","")),"")</f>
        <v/>
      </c>
      <c r="AL634" s="13">
        <f>IF(AND(COUNT(B634:Z634)&gt;0,COUNT(AA634:AC634)&gt;0),"ruwe waarden én getypt: getypte genegeerd",IF(COUNTA(B634:Z634,AA634:AC634)&gt;COUNT(B634:Z634,AA634:AC634),"tekst telt niet mee",IF(COUNT(B634:Z634)=1,"1 waarde: geen R of s","")))</f>
        <v/>
      </c>
    </row>
    <row r="635">
      <c r="A635" t="n">
        <v>584</v>
      </c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28">
        <f>IF(COUNT(B635:Z635)&gt;0,COUNT(B635:Z635),IF(OR(ISNUMBER(AA635),ISNUMBER(AB635)),$B$9,""))</f>
        <v/>
      </c>
      <c r="AE635" s="29">
        <f>IF(COUNT(B635:Z635)&gt;0,AVERAGE(B635:Z635),IF(ISNUMBER(AA635),AA635,""))</f>
        <v/>
      </c>
      <c r="AF635" s="29">
        <f>IF(COUNT(B635:Z635)&gt;1,MAX(B635:Z635)-MIN(B635:Z635),IF(ISNUMBER(AB635),AB635,""))</f>
        <v/>
      </c>
      <c r="AG635" s="29">
        <f>IF(COUNT(B635:Z635)&gt;1,_xlfn.STDEV.S(B635:Z635),IF(ISNUMBER(AC635),AC635,""))</f>
        <v/>
      </c>
      <c r="AH635" s="13">
        <f>IF(AND(ISNUMBER(AE635),ISNUMBER($B$23),ISNUMBER($D$23)),IF(AE635&gt;$D$23,"boven UCL",IF(AE635&lt;$B$23,"onder LCL","")),"")</f>
        <v/>
      </c>
      <c r="AI635" s="13">
        <f>IF(AND(ISNUMBER(AF635),ISNUMBER($B$24),ISNUMBER($D$24)),IF(AF635&gt;$D$24,"boven UCL",IF(AF635&lt;$B$24,"onder LCL","")),"")</f>
        <v/>
      </c>
      <c r="AJ635" s="13">
        <f>IF(AND(ISNUMBER(AE635),ISNUMBER($B$25),ISNUMBER($D$25)),IF(AE635&gt;$D$25,"boven UCL",IF(AE635&lt;$B$25,"onder LCL","")),"")</f>
        <v/>
      </c>
      <c r="AK635" s="13">
        <f>IF(AND(ISNUMBER(AG635),ISNUMBER($B$26),ISNUMBER($D$26)),IF(AG635&gt;$D$26,"boven UCL",IF(AG635&lt;$B$26,"onder LCL","")),"")</f>
        <v/>
      </c>
      <c r="AL635" s="13">
        <f>IF(AND(COUNT(B635:Z635)&gt;0,COUNT(AA635:AC635)&gt;0),"ruwe waarden én getypt: getypte genegeerd",IF(COUNTA(B635:Z635,AA635:AC635)&gt;COUNT(B635:Z635,AA635:AC635),"tekst telt niet mee",IF(COUNT(B635:Z635)=1,"1 waarde: geen R of s","")))</f>
        <v/>
      </c>
    </row>
    <row r="636">
      <c r="A636" t="n">
        <v>585</v>
      </c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28">
        <f>IF(COUNT(B636:Z636)&gt;0,COUNT(B636:Z636),IF(OR(ISNUMBER(AA636),ISNUMBER(AB636)),$B$9,""))</f>
        <v/>
      </c>
      <c r="AE636" s="29">
        <f>IF(COUNT(B636:Z636)&gt;0,AVERAGE(B636:Z636),IF(ISNUMBER(AA636),AA636,""))</f>
        <v/>
      </c>
      <c r="AF636" s="29">
        <f>IF(COUNT(B636:Z636)&gt;1,MAX(B636:Z636)-MIN(B636:Z636),IF(ISNUMBER(AB636),AB636,""))</f>
        <v/>
      </c>
      <c r="AG636" s="29">
        <f>IF(COUNT(B636:Z636)&gt;1,_xlfn.STDEV.S(B636:Z636),IF(ISNUMBER(AC636),AC636,""))</f>
        <v/>
      </c>
      <c r="AH636" s="13">
        <f>IF(AND(ISNUMBER(AE636),ISNUMBER($B$23),ISNUMBER($D$23)),IF(AE636&gt;$D$23,"boven UCL",IF(AE636&lt;$B$23,"onder LCL","")),"")</f>
        <v/>
      </c>
      <c r="AI636" s="13">
        <f>IF(AND(ISNUMBER(AF636),ISNUMBER($B$24),ISNUMBER($D$24)),IF(AF636&gt;$D$24,"boven UCL",IF(AF636&lt;$B$24,"onder LCL","")),"")</f>
        <v/>
      </c>
      <c r="AJ636" s="13">
        <f>IF(AND(ISNUMBER(AE636),ISNUMBER($B$25),ISNUMBER($D$25)),IF(AE636&gt;$D$25,"boven UCL",IF(AE636&lt;$B$25,"onder LCL","")),"")</f>
        <v/>
      </c>
      <c r="AK636" s="13">
        <f>IF(AND(ISNUMBER(AG636),ISNUMBER($B$26),ISNUMBER($D$26)),IF(AG636&gt;$D$26,"boven UCL",IF(AG636&lt;$B$26,"onder LCL","")),"")</f>
        <v/>
      </c>
      <c r="AL636" s="13">
        <f>IF(AND(COUNT(B636:Z636)&gt;0,COUNT(AA636:AC636)&gt;0),"ruwe waarden én getypt: getypte genegeerd",IF(COUNTA(B636:Z636,AA636:AC636)&gt;COUNT(B636:Z636,AA636:AC636),"tekst telt niet mee",IF(COUNT(B636:Z636)=1,"1 waarde: geen R of s","")))</f>
        <v/>
      </c>
    </row>
    <row r="637">
      <c r="A637" t="n">
        <v>586</v>
      </c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28">
        <f>IF(COUNT(B637:Z637)&gt;0,COUNT(B637:Z637),IF(OR(ISNUMBER(AA637),ISNUMBER(AB637)),$B$9,""))</f>
        <v/>
      </c>
      <c r="AE637" s="29">
        <f>IF(COUNT(B637:Z637)&gt;0,AVERAGE(B637:Z637),IF(ISNUMBER(AA637),AA637,""))</f>
        <v/>
      </c>
      <c r="AF637" s="29">
        <f>IF(COUNT(B637:Z637)&gt;1,MAX(B637:Z637)-MIN(B637:Z637),IF(ISNUMBER(AB637),AB637,""))</f>
        <v/>
      </c>
      <c r="AG637" s="29">
        <f>IF(COUNT(B637:Z637)&gt;1,_xlfn.STDEV.S(B637:Z637),IF(ISNUMBER(AC637),AC637,""))</f>
        <v/>
      </c>
      <c r="AH637" s="13">
        <f>IF(AND(ISNUMBER(AE637),ISNUMBER($B$23),ISNUMBER($D$23)),IF(AE637&gt;$D$23,"boven UCL",IF(AE637&lt;$B$23,"onder LCL","")),"")</f>
        <v/>
      </c>
      <c r="AI637" s="13">
        <f>IF(AND(ISNUMBER(AF637),ISNUMBER($B$24),ISNUMBER($D$24)),IF(AF637&gt;$D$24,"boven UCL",IF(AF637&lt;$B$24,"onder LCL","")),"")</f>
        <v/>
      </c>
      <c r="AJ637" s="13">
        <f>IF(AND(ISNUMBER(AE637),ISNUMBER($B$25),ISNUMBER($D$25)),IF(AE637&gt;$D$25,"boven UCL",IF(AE637&lt;$B$25,"onder LCL","")),"")</f>
        <v/>
      </c>
      <c r="AK637" s="13">
        <f>IF(AND(ISNUMBER(AG637),ISNUMBER($B$26),ISNUMBER($D$26)),IF(AG637&gt;$D$26,"boven UCL",IF(AG637&lt;$B$26,"onder LCL","")),"")</f>
        <v/>
      </c>
      <c r="AL637" s="13">
        <f>IF(AND(COUNT(B637:Z637)&gt;0,COUNT(AA637:AC637)&gt;0),"ruwe waarden én getypt: getypte genegeerd",IF(COUNTA(B637:Z637,AA637:AC637)&gt;COUNT(B637:Z637,AA637:AC637),"tekst telt niet mee",IF(COUNT(B637:Z637)=1,"1 waarde: geen R of s","")))</f>
        <v/>
      </c>
    </row>
    <row r="638">
      <c r="A638" t="n">
        <v>587</v>
      </c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28">
        <f>IF(COUNT(B638:Z638)&gt;0,COUNT(B638:Z638),IF(OR(ISNUMBER(AA638),ISNUMBER(AB638)),$B$9,""))</f>
        <v/>
      </c>
      <c r="AE638" s="29">
        <f>IF(COUNT(B638:Z638)&gt;0,AVERAGE(B638:Z638),IF(ISNUMBER(AA638),AA638,""))</f>
        <v/>
      </c>
      <c r="AF638" s="29">
        <f>IF(COUNT(B638:Z638)&gt;1,MAX(B638:Z638)-MIN(B638:Z638),IF(ISNUMBER(AB638),AB638,""))</f>
        <v/>
      </c>
      <c r="AG638" s="29">
        <f>IF(COUNT(B638:Z638)&gt;1,_xlfn.STDEV.S(B638:Z638),IF(ISNUMBER(AC638),AC638,""))</f>
        <v/>
      </c>
      <c r="AH638" s="13">
        <f>IF(AND(ISNUMBER(AE638),ISNUMBER($B$23),ISNUMBER($D$23)),IF(AE638&gt;$D$23,"boven UCL",IF(AE638&lt;$B$23,"onder LCL","")),"")</f>
        <v/>
      </c>
      <c r="AI638" s="13">
        <f>IF(AND(ISNUMBER(AF638),ISNUMBER($B$24),ISNUMBER($D$24)),IF(AF638&gt;$D$24,"boven UCL",IF(AF638&lt;$B$24,"onder LCL","")),"")</f>
        <v/>
      </c>
      <c r="AJ638" s="13">
        <f>IF(AND(ISNUMBER(AE638),ISNUMBER($B$25),ISNUMBER($D$25)),IF(AE638&gt;$D$25,"boven UCL",IF(AE638&lt;$B$25,"onder LCL","")),"")</f>
        <v/>
      </c>
      <c r="AK638" s="13">
        <f>IF(AND(ISNUMBER(AG638),ISNUMBER($B$26),ISNUMBER($D$26)),IF(AG638&gt;$D$26,"boven UCL",IF(AG638&lt;$B$26,"onder LCL","")),"")</f>
        <v/>
      </c>
      <c r="AL638" s="13">
        <f>IF(AND(COUNT(B638:Z638)&gt;0,COUNT(AA638:AC638)&gt;0),"ruwe waarden én getypt: getypte genegeerd",IF(COUNTA(B638:Z638,AA638:AC638)&gt;COUNT(B638:Z638,AA638:AC638),"tekst telt niet mee",IF(COUNT(B638:Z638)=1,"1 waarde: geen R of s","")))</f>
        <v/>
      </c>
    </row>
    <row r="639">
      <c r="A639" t="n">
        <v>588</v>
      </c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28">
        <f>IF(COUNT(B639:Z639)&gt;0,COUNT(B639:Z639),IF(OR(ISNUMBER(AA639),ISNUMBER(AB639)),$B$9,""))</f>
        <v/>
      </c>
      <c r="AE639" s="29">
        <f>IF(COUNT(B639:Z639)&gt;0,AVERAGE(B639:Z639),IF(ISNUMBER(AA639),AA639,""))</f>
        <v/>
      </c>
      <c r="AF639" s="29">
        <f>IF(COUNT(B639:Z639)&gt;1,MAX(B639:Z639)-MIN(B639:Z639),IF(ISNUMBER(AB639),AB639,""))</f>
        <v/>
      </c>
      <c r="AG639" s="29">
        <f>IF(COUNT(B639:Z639)&gt;1,_xlfn.STDEV.S(B639:Z639),IF(ISNUMBER(AC639),AC639,""))</f>
        <v/>
      </c>
      <c r="AH639" s="13">
        <f>IF(AND(ISNUMBER(AE639),ISNUMBER($B$23),ISNUMBER($D$23)),IF(AE639&gt;$D$23,"boven UCL",IF(AE639&lt;$B$23,"onder LCL","")),"")</f>
        <v/>
      </c>
      <c r="AI639" s="13">
        <f>IF(AND(ISNUMBER(AF639),ISNUMBER($B$24),ISNUMBER($D$24)),IF(AF639&gt;$D$24,"boven UCL",IF(AF639&lt;$B$24,"onder LCL","")),"")</f>
        <v/>
      </c>
      <c r="AJ639" s="13">
        <f>IF(AND(ISNUMBER(AE639),ISNUMBER($B$25),ISNUMBER($D$25)),IF(AE639&gt;$D$25,"boven UCL",IF(AE639&lt;$B$25,"onder LCL","")),"")</f>
        <v/>
      </c>
      <c r="AK639" s="13">
        <f>IF(AND(ISNUMBER(AG639),ISNUMBER($B$26),ISNUMBER($D$26)),IF(AG639&gt;$D$26,"boven UCL",IF(AG639&lt;$B$26,"onder LCL","")),"")</f>
        <v/>
      </c>
      <c r="AL639" s="13">
        <f>IF(AND(COUNT(B639:Z639)&gt;0,COUNT(AA639:AC639)&gt;0),"ruwe waarden én getypt: getypte genegeerd",IF(COUNTA(B639:Z639,AA639:AC639)&gt;COUNT(B639:Z639,AA639:AC639),"tekst telt niet mee",IF(COUNT(B639:Z639)=1,"1 waarde: geen R of s","")))</f>
        <v/>
      </c>
    </row>
    <row r="640">
      <c r="A640" t="n">
        <v>589</v>
      </c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28">
        <f>IF(COUNT(B640:Z640)&gt;0,COUNT(B640:Z640),IF(OR(ISNUMBER(AA640),ISNUMBER(AB640)),$B$9,""))</f>
        <v/>
      </c>
      <c r="AE640" s="29">
        <f>IF(COUNT(B640:Z640)&gt;0,AVERAGE(B640:Z640),IF(ISNUMBER(AA640),AA640,""))</f>
        <v/>
      </c>
      <c r="AF640" s="29">
        <f>IF(COUNT(B640:Z640)&gt;1,MAX(B640:Z640)-MIN(B640:Z640),IF(ISNUMBER(AB640),AB640,""))</f>
        <v/>
      </c>
      <c r="AG640" s="29">
        <f>IF(COUNT(B640:Z640)&gt;1,_xlfn.STDEV.S(B640:Z640),IF(ISNUMBER(AC640),AC640,""))</f>
        <v/>
      </c>
      <c r="AH640" s="13">
        <f>IF(AND(ISNUMBER(AE640),ISNUMBER($B$23),ISNUMBER($D$23)),IF(AE640&gt;$D$23,"boven UCL",IF(AE640&lt;$B$23,"onder LCL","")),"")</f>
        <v/>
      </c>
      <c r="AI640" s="13">
        <f>IF(AND(ISNUMBER(AF640),ISNUMBER($B$24),ISNUMBER($D$24)),IF(AF640&gt;$D$24,"boven UCL",IF(AF640&lt;$B$24,"onder LCL","")),"")</f>
        <v/>
      </c>
      <c r="AJ640" s="13">
        <f>IF(AND(ISNUMBER(AE640),ISNUMBER($B$25),ISNUMBER($D$25)),IF(AE640&gt;$D$25,"boven UCL",IF(AE640&lt;$B$25,"onder LCL","")),"")</f>
        <v/>
      </c>
      <c r="AK640" s="13">
        <f>IF(AND(ISNUMBER(AG640),ISNUMBER($B$26),ISNUMBER($D$26)),IF(AG640&gt;$D$26,"boven UCL",IF(AG640&lt;$B$26,"onder LCL","")),"")</f>
        <v/>
      </c>
      <c r="AL640" s="13">
        <f>IF(AND(COUNT(B640:Z640)&gt;0,COUNT(AA640:AC640)&gt;0),"ruwe waarden én getypt: getypte genegeerd",IF(COUNTA(B640:Z640,AA640:AC640)&gt;COUNT(B640:Z640,AA640:AC640),"tekst telt niet mee",IF(COUNT(B640:Z640)=1,"1 waarde: geen R of s","")))</f>
        <v/>
      </c>
    </row>
    <row r="641">
      <c r="A641" t="n">
        <v>590</v>
      </c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28">
        <f>IF(COUNT(B641:Z641)&gt;0,COUNT(B641:Z641),IF(OR(ISNUMBER(AA641),ISNUMBER(AB641)),$B$9,""))</f>
        <v/>
      </c>
      <c r="AE641" s="29">
        <f>IF(COUNT(B641:Z641)&gt;0,AVERAGE(B641:Z641),IF(ISNUMBER(AA641),AA641,""))</f>
        <v/>
      </c>
      <c r="AF641" s="29">
        <f>IF(COUNT(B641:Z641)&gt;1,MAX(B641:Z641)-MIN(B641:Z641),IF(ISNUMBER(AB641),AB641,""))</f>
        <v/>
      </c>
      <c r="AG641" s="29">
        <f>IF(COUNT(B641:Z641)&gt;1,_xlfn.STDEV.S(B641:Z641),IF(ISNUMBER(AC641),AC641,""))</f>
        <v/>
      </c>
      <c r="AH641" s="13">
        <f>IF(AND(ISNUMBER(AE641),ISNUMBER($B$23),ISNUMBER($D$23)),IF(AE641&gt;$D$23,"boven UCL",IF(AE641&lt;$B$23,"onder LCL","")),"")</f>
        <v/>
      </c>
      <c r="AI641" s="13">
        <f>IF(AND(ISNUMBER(AF641),ISNUMBER($B$24),ISNUMBER($D$24)),IF(AF641&gt;$D$24,"boven UCL",IF(AF641&lt;$B$24,"onder LCL","")),"")</f>
        <v/>
      </c>
      <c r="AJ641" s="13">
        <f>IF(AND(ISNUMBER(AE641),ISNUMBER($B$25),ISNUMBER($D$25)),IF(AE641&gt;$D$25,"boven UCL",IF(AE641&lt;$B$25,"onder LCL","")),"")</f>
        <v/>
      </c>
      <c r="AK641" s="13">
        <f>IF(AND(ISNUMBER(AG641),ISNUMBER($B$26),ISNUMBER($D$26)),IF(AG641&gt;$D$26,"boven UCL",IF(AG641&lt;$B$26,"onder LCL","")),"")</f>
        <v/>
      </c>
      <c r="AL641" s="13">
        <f>IF(AND(COUNT(B641:Z641)&gt;0,COUNT(AA641:AC641)&gt;0),"ruwe waarden én getypt: getypte genegeerd",IF(COUNTA(B641:Z641,AA641:AC641)&gt;COUNT(B641:Z641,AA641:AC641),"tekst telt niet mee",IF(COUNT(B641:Z641)=1,"1 waarde: geen R of s","")))</f>
        <v/>
      </c>
    </row>
    <row r="642">
      <c r="A642" t="n">
        <v>591</v>
      </c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28">
        <f>IF(COUNT(B642:Z642)&gt;0,COUNT(B642:Z642),IF(OR(ISNUMBER(AA642),ISNUMBER(AB642)),$B$9,""))</f>
        <v/>
      </c>
      <c r="AE642" s="29">
        <f>IF(COUNT(B642:Z642)&gt;0,AVERAGE(B642:Z642),IF(ISNUMBER(AA642),AA642,""))</f>
        <v/>
      </c>
      <c r="AF642" s="29">
        <f>IF(COUNT(B642:Z642)&gt;1,MAX(B642:Z642)-MIN(B642:Z642),IF(ISNUMBER(AB642),AB642,""))</f>
        <v/>
      </c>
      <c r="AG642" s="29">
        <f>IF(COUNT(B642:Z642)&gt;1,_xlfn.STDEV.S(B642:Z642),IF(ISNUMBER(AC642),AC642,""))</f>
        <v/>
      </c>
      <c r="AH642" s="13">
        <f>IF(AND(ISNUMBER(AE642),ISNUMBER($B$23),ISNUMBER($D$23)),IF(AE642&gt;$D$23,"boven UCL",IF(AE642&lt;$B$23,"onder LCL","")),"")</f>
        <v/>
      </c>
      <c r="AI642" s="13">
        <f>IF(AND(ISNUMBER(AF642),ISNUMBER($B$24),ISNUMBER($D$24)),IF(AF642&gt;$D$24,"boven UCL",IF(AF642&lt;$B$24,"onder LCL","")),"")</f>
        <v/>
      </c>
      <c r="AJ642" s="13">
        <f>IF(AND(ISNUMBER(AE642),ISNUMBER($B$25),ISNUMBER($D$25)),IF(AE642&gt;$D$25,"boven UCL",IF(AE642&lt;$B$25,"onder LCL","")),"")</f>
        <v/>
      </c>
      <c r="AK642" s="13">
        <f>IF(AND(ISNUMBER(AG642),ISNUMBER($B$26),ISNUMBER($D$26)),IF(AG642&gt;$D$26,"boven UCL",IF(AG642&lt;$B$26,"onder LCL","")),"")</f>
        <v/>
      </c>
      <c r="AL642" s="13">
        <f>IF(AND(COUNT(B642:Z642)&gt;0,COUNT(AA642:AC642)&gt;0),"ruwe waarden én getypt: getypte genegeerd",IF(COUNTA(B642:Z642,AA642:AC642)&gt;COUNT(B642:Z642,AA642:AC642),"tekst telt niet mee",IF(COUNT(B642:Z642)=1,"1 waarde: geen R of s","")))</f>
        <v/>
      </c>
    </row>
    <row r="643">
      <c r="A643" t="n">
        <v>592</v>
      </c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28">
        <f>IF(COUNT(B643:Z643)&gt;0,COUNT(B643:Z643),IF(OR(ISNUMBER(AA643),ISNUMBER(AB643)),$B$9,""))</f>
        <v/>
      </c>
      <c r="AE643" s="29">
        <f>IF(COUNT(B643:Z643)&gt;0,AVERAGE(B643:Z643),IF(ISNUMBER(AA643),AA643,""))</f>
        <v/>
      </c>
      <c r="AF643" s="29">
        <f>IF(COUNT(B643:Z643)&gt;1,MAX(B643:Z643)-MIN(B643:Z643),IF(ISNUMBER(AB643),AB643,""))</f>
        <v/>
      </c>
      <c r="AG643" s="29">
        <f>IF(COUNT(B643:Z643)&gt;1,_xlfn.STDEV.S(B643:Z643),IF(ISNUMBER(AC643),AC643,""))</f>
        <v/>
      </c>
      <c r="AH643" s="13">
        <f>IF(AND(ISNUMBER(AE643),ISNUMBER($B$23),ISNUMBER($D$23)),IF(AE643&gt;$D$23,"boven UCL",IF(AE643&lt;$B$23,"onder LCL","")),"")</f>
        <v/>
      </c>
      <c r="AI643" s="13">
        <f>IF(AND(ISNUMBER(AF643),ISNUMBER($B$24),ISNUMBER($D$24)),IF(AF643&gt;$D$24,"boven UCL",IF(AF643&lt;$B$24,"onder LCL","")),"")</f>
        <v/>
      </c>
      <c r="AJ643" s="13">
        <f>IF(AND(ISNUMBER(AE643),ISNUMBER($B$25),ISNUMBER($D$25)),IF(AE643&gt;$D$25,"boven UCL",IF(AE643&lt;$B$25,"onder LCL","")),"")</f>
        <v/>
      </c>
      <c r="AK643" s="13">
        <f>IF(AND(ISNUMBER(AG643),ISNUMBER($B$26),ISNUMBER($D$26)),IF(AG643&gt;$D$26,"boven UCL",IF(AG643&lt;$B$26,"onder LCL","")),"")</f>
        <v/>
      </c>
      <c r="AL643" s="13">
        <f>IF(AND(COUNT(B643:Z643)&gt;0,COUNT(AA643:AC643)&gt;0),"ruwe waarden én getypt: getypte genegeerd",IF(COUNTA(B643:Z643,AA643:AC643)&gt;COUNT(B643:Z643,AA643:AC643),"tekst telt niet mee",IF(COUNT(B643:Z643)=1,"1 waarde: geen R of s","")))</f>
        <v/>
      </c>
    </row>
    <row r="644">
      <c r="A644" t="n">
        <v>593</v>
      </c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28">
        <f>IF(COUNT(B644:Z644)&gt;0,COUNT(B644:Z644),IF(OR(ISNUMBER(AA644),ISNUMBER(AB644)),$B$9,""))</f>
        <v/>
      </c>
      <c r="AE644" s="29">
        <f>IF(COUNT(B644:Z644)&gt;0,AVERAGE(B644:Z644),IF(ISNUMBER(AA644),AA644,""))</f>
        <v/>
      </c>
      <c r="AF644" s="29">
        <f>IF(COUNT(B644:Z644)&gt;1,MAX(B644:Z644)-MIN(B644:Z644),IF(ISNUMBER(AB644),AB644,""))</f>
        <v/>
      </c>
      <c r="AG644" s="29">
        <f>IF(COUNT(B644:Z644)&gt;1,_xlfn.STDEV.S(B644:Z644),IF(ISNUMBER(AC644),AC644,""))</f>
        <v/>
      </c>
      <c r="AH644" s="13">
        <f>IF(AND(ISNUMBER(AE644),ISNUMBER($B$23),ISNUMBER($D$23)),IF(AE644&gt;$D$23,"boven UCL",IF(AE644&lt;$B$23,"onder LCL","")),"")</f>
        <v/>
      </c>
      <c r="AI644" s="13">
        <f>IF(AND(ISNUMBER(AF644),ISNUMBER($B$24),ISNUMBER($D$24)),IF(AF644&gt;$D$24,"boven UCL",IF(AF644&lt;$B$24,"onder LCL","")),"")</f>
        <v/>
      </c>
      <c r="AJ644" s="13">
        <f>IF(AND(ISNUMBER(AE644),ISNUMBER($B$25),ISNUMBER($D$25)),IF(AE644&gt;$D$25,"boven UCL",IF(AE644&lt;$B$25,"onder LCL","")),"")</f>
        <v/>
      </c>
      <c r="AK644" s="13">
        <f>IF(AND(ISNUMBER(AG644),ISNUMBER($B$26),ISNUMBER($D$26)),IF(AG644&gt;$D$26,"boven UCL",IF(AG644&lt;$B$26,"onder LCL","")),"")</f>
        <v/>
      </c>
      <c r="AL644" s="13">
        <f>IF(AND(COUNT(B644:Z644)&gt;0,COUNT(AA644:AC644)&gt;0),"ruwe waarden én getypt: getypte genegeerd",IF(COUNTA(B644:Z644,AA644:AC644)&gt;COUNT(B644:Z644,AA644:AC644),"tekst telt niet mee",IF(COUNT(B644:Z644)=1,"1 waarde: geen R of s","")))</f>
        <v/>
      </c>
    </row>
    <row r="645">
      <c r="A645" t="n">
        <v>594</v>
      </c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28">
        <f>IF(COUNT(B645:Z645)&gt;0,COUNT(B645:Z645),IF(OR(ISNUMBER(AA645),ISNUMBER(AB645)),$B$9,""))</f>
        <v/>
      </c>
      <c r="AE645" s="29">
        <f>IF(COUNT(B645:Z645)&gt;0,AVERAGE(B645:Z645),IF(ISNUMBER(AA645),AA645,""))</f>
        <v/>
      </c>
      <c r="AF645" s="29">
        <f>IF(COUNT(B645:Z645)&gt;1,MAX(B645:Z645)-MIN(B645:Z645),IF(ISNUMBER(AB645),AB645,""))</f>
        <v/>
      </c>
      <c r="AG645" s="29">
        <f>IF(COUNT(B645:Z645)&gt;1,_xlfn.STDEV.S(B645:Z645),IF(ISNUMBER(AC645),AC645,""))</f>
        <v/>
      </c>
      <c r="AH645" s="13">
        <f>IF(AND(ISNUMBER(AE645),ISNUMBER($B$23),ISNUMBER($D$23)),IF(AE645&gt;$D$23,"boven UCL",IF(AE645&lt;$B$23,"onder LCL","")),"")</f>
        <v/>
      </c>
      <c r="AI645" s="13">
        <f>IF(AND(ISNUMBER(AF645),ISNUMBER($B$24),ISNUMBER($D$24)),IF(AF645&gt;$D$24,"boven UCL",IF(AF645&lt;$B$24,"onder LCL","")),"")</f>
        <v/>
      </c>
      <c r="AJ645" s="13">
        <f>IF(AND(ISNUMBER(AE645),ISNUMBER($B$25),ISNUMBER($D$25)),IF(AE645&gt;$D$25,"boven UCL",IF(AE645&lt;$B$25,"onder LCL","")),"")</f>
        <v/>
      </c>
      <c r="AK645" s="13">
        <f>IF(AND(ISNUMBER(AG645),ISNUMBER($B$26),ISNUMBER($D$26)),IF(AG645&gt;$D$26,"boven UCL",IF(AG645&lt;$B$26,"onder LCL","")),"")</f>
        <v/>
      </c>
      <c r="AL645" s="13">
        <f>IF(AND(COUNT(B645:Z645)&gt;0,COUNT(AA645:AC645)&gt;0),"ruwe waarden én getypt: getypte genegeerd",IF(COUNTA(B645:Z645,AA645:AC645)&gt;COUNT(B645:Z645,AA645:AC645),"tekst telt niet mee",IF(COUNT(B645:Z645)=1,"1 waarde: geen R of s","")))</f>
        <v/>
      </c>
    </row>
    <row r="646">
      <c r="A646" t="n">
        <v>595</v>
      </c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28">
        <f>IF(COUNT(B646:Z646)&gt;0,COUNT(B646:Z646),IF(OR(ISNUMBER(AA646),ISNUMBER(AB646)),$B$9,""))</f>
        <v/>
      </c>
      <c r="AE646" s="29">
        <f>IF(COUNT(B646:Z646)&gt;0,AVERAGE(B646:Z646),IF(ISNUMBER(AA646),AA646,""))</f>
        <v/>
      </c>
      <c r="AF646" s="29">
        <f>IF(COUNT(B646:Z646)&gt;1,MAX(B646:Z646)-MIN(B646:Z646),IF(ISNUMBER(AB646),AB646,""))</f>
        <v/>
      </c>
      <c r="AG646" s="29">
        <f>IF(COUNT(B646:Z646)&gt;1,_xlfn.STDEV.S(B646:Z646),IF(ISNUMBER(AC646),AC646,""))</f>
        <v/>
      </c>
      <c r="AH646" s="13">
        <f>IF(AND(ISNUMBER(AE646),ISNUMBER($B$23),ISNUMBER($D$23)),IF(AE646&gt;$D$23,"boven UCL",IF(AE646&lt;$B$23,"onder LCL","")),"")</f>
        <v/>
      </c>
      <c r="AI646" s="13">
        <f>IF(AND(ISNUMBER(AF646),ISNUMBER($B$24),ISNUMBER($D$24)),IF(AF646&gt;$D$24,"boven UCL",IF(AF646&lt;$B$24,"onder LCL","")),"")</f>
        <v/>
      </c>
      <c r="AJ646" s="13">
        <f>IF(AND(ISNUMBER(AE646),ISNUMBER($B$25),ISNUMBER($D$25)),IF(AE646&gt;$D$25,"boven UCL",IF(AE646&lt;$B$25,"onder LCL","")),"")</f>
        <v/>
      </c>
      <c r="AK646" s="13">
        <f>IF(AND(ISNUMBER(AG646),ISNUMBER($B$26),ISNUMBER($D$26)),IF(AG646&gt;$D$26,"boven UCL",IF(AG646&lt;$B$26,"onder LCL","")),"")</f>
        <v/>
      </c>
      <c r="AL646" s="13">
        <f>IF(AND(COUNT(B646:Z646)&gt;0,COUNT(AA646:AC646)&gt;0),"ruwe waarden én getypt: getypte genegeerd",IF(COUNTA(B646:Z646,AA646:AC646)&gt;COUNT(B646:Z646,AA646:AC646),"tekst telt niet mee",IF(COUNT(B646:Z646)=1,"1 waarde: geen R of s","")))</f>
        <v/>
      </c>
    </row>
    <row r="647">
      <c r="A647" t="n">
        <v>596</v>
      </c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28">
        <f>IF(COUNT(B647:Z647)&gt;0,COUNT(B647:Z647),IF(OR(ISNUMBER(AA647),ISNUMBER(AB647)),$B$9,""))</f>
        <v/>
      </c>
      <c r="AE647" s="29">
        <f>IF(COUNT(B647:Z647)&gt;0,AVERAGE(B647:Z647),IF(ISNUMBER(AA647),AA647,""))</f>
        <v/>
      </c>
      <c r="AF647" s="29">
        <f>IF(COUNT(B647:Z647)&gt;1,MAX(B647:Z647)-MIN(B647:Z647),IF(ISNUMBER(AB647),AB647,""))</f>
        <v/>
      </c>
      <c r="AG647" s="29">
        <f>IF(COUNT(B647:Z647)&gt;1,_xlfn.STDEV.S(B647:Z647),IF(ISNUMBER(AC647),AC647,""))</f>
        <v/>
      </c>
      <c r="AH647" s="13">
        <f>IF(AND(ISNUMBER(AE647),ISNUMBER($B$23),ISNUMBER($D$23)),IF(AE647&gt;$D$23,"boven UCL",IF(AE647&lt;$B$23,"onder LCL","")),"")</f>
        <v/>
      </c>
      <c r="AI647" s="13">
        <f>IF(AND(ISNUMBER(AF647),ISNUMBER($B$24),ISNUMBER($D$24)),IF(AF647&gt;$D$24,"boven UCL",IF(AF647&lt;$B$24,"onder LCL","")),"")</f>
        <v/>
      </c>
      <c r="AJ647" s="13">
        <f>IF(AND(ISNUMBER(AE647),ISNUMBER($B$25),ISNUMBER($D$25)),IF(AE647&gt;$D$25,"boven UCL",IF(AE647&lt;$B$25,"onder LCL","")),"")</f>
        <v/>
      </c>
      <c r="AK647" s="13">
        <f>IF(AND(ISNUMBER(AG647),ISNUMBER($B$26),ISNUMBER($D$26)),IF(AG647&gt;$D$26,"boven UCL",IF(AG647&lt;$B$26,"onder LCL","")),"")</f>
        <v/>
      </c>
      <c r="AL647" s="13">
        <f>IF(AND(COUNT(B647:Z647)&gt;0,COUNT(AA647:AC647)&gt;0),"ruwe waarden én getypt: getypte genegeerd",IF(COUNTA(B647:Z647,AA647:AC647)&gt;COUNT(B647:Z647,AA647:AC647),"tekst telt niet mee",IF(COUNT(B647:Z647)=1,"1 waarde: geen R of s","")))</f>
        <v/>
      </c>
    </row>
    <row r="648">
      <c r="A648" t="n">
        <v>597</v>
      </c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28">
        <f>IF(COUNT(B648:Z648)&gt;0,COUNT(B648:Z648),IF(OR(ISNUMBER(AA648),ISNUMBER(AB648)),$B$9,""))</f>
        <v/>
      </c>
      <c r="AE648" s="29">
        <f>IF(COUNT(B648:Z648)&gt;0,AVERAGE(B648:Z648),IF(ISNUMBER(AA648),AA648,""))</f>
        <v/>
      </c>
      <c r="AF648" s="29">
        <f>IF(COUNT(B648:Z648)&gt;1,MAX(B648:Z648)-MIN(B648:Z648),IF(ISNUMBER(AB648),AB648,""))</f>
        <v/>
      </c>
      <c r="AG648" s="29">
        <f>IF(COUNT(B648:Z648)&gt;1,_xlfn.STDEV.S(B648:Z648),IF(ISNUMBER(AC648),AC648,""))</f>
        <v/>
      </c>
      <c r="AH648" s="13">
        <f>IF(AND(ISNUMBER(AE648),ISNUMBER($B$23),ISNUMBER($D$23)),IF(AE648&gt;$D$23,"boven UCL",IF(AE648&lt;$B$23,"onder LCL","")),"")</f>
        <v/>
      </c>
      <c r="AI648" s="13">
        <f>IF(AND(ISNUMBER(AF648),ISNUMBER($B$24),ISNUMBER($D$24)),IF(AF648&gt;$D$24,"boven UCL",IF(AF648&lt;$B$24,"onder LCL","")),"")</f>
        <v/>
      </c>
      <c r="AJ648" s="13">
        <f>IF(AND(ISNUMBER(AE648),ISNUMBER($B$25),ISNUMBER($D$25)),IF(AE648&gt;$D$25,"boven UCL",IF(AE648&lt;$B$25,"onder LCL","")),"")</f>
        <v/>
      </c>
      <c r="AK648" s="13">
        <f>IF(AND(ISNUMBER(AG648),ISNUMBER($B$26),ISNUMBER($D$26)),IF(AG648&gt;$D$26,"boven UCL",IF(AG648&lt;$B$26,"onder LCL","")),"")</f>
        <v/>
      </c>
      <c r="AL648" s="13">
        <f>IF(AND(COUNT(B648:Z648)&gt;0,COUNT(AA648:AC648)&gt;0),"ruwe waarden én getypt: getypte genegeerd",IF(COUNTA(B648:Z648,AA648:AC648)&gt;COUNT(B648:Z648,AA648:AC648),"tekst telt niet mee",IF(COUNT(B648:Z648)=1,"1 waarde: geen R of s","")))</f>
        <v/>
      </c>
    </row>
    <row r="649">
      <c r="A649" t="n">
        <v>598</v>
      </c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28">
        <f>IF(COUNT(B649:Z649)&gt;0,COUNT(B649:Z649),IF(OR(ISNUMBER(AA649),ISNUMBER(AB649)),$B$9,""))</f>
        <v/>
      </c>
      <c r="AE649" s="29">
        <f>IF(COUNT(B649:Z649)&gt;0,AVERAGE(B649:Z649),IF(ISNUMBER(AA649),AA649,""))</f>
        <v/>
      </c>
      <c r="AF649" s="29">
        <f>IF(COUNT(B649:Z649)&gt;1,MAX(B649:Z649)-MIN(B649:Z649),IF(ISNUMBER(AB649),AB649,""))</f>
        <v/>
      </c>
      <c r="AG649" s="29">
        <f>IF(COUNT(B649:Z649)&gt;1,_xlfn.STDEV.S(B649:Z649),IF(ISNUMBER(AC649),AC649,""))</f>
        <v/>
      </c>
      <c r="AH649" s="13">
        <f>IF(AND(ISNUMBER(AE649),ISNUMBER($B$23),ISNUMBER($D$23)),IF(AE649&gt;$D$23,"boven UCL",IF(AE649&lt;$B$23,"onder LCL","")),"")</f>
        <v/>
      </c>
      <c r="AI649" s="13">
        <f>IF(AND(ISNUMBER(AF649),ISNUMBER($B$24),ISNUMBER($D$24)),IF(AF649&gt;$D$24,"boven UCL",IF(AF649&lt;$B$24,"onder LCL","")),"")</f>
        <v/>
      </c>
      <c r="AJ649" s="13">
        <f>IF(AND(ISNUMBER(AE649),ISNUMBER($B$25),ISNUMBER($D$25)),IF(AE649&gt;$D$25,"boven UCL",IF(AE649&lt;$B$25,"onder LCL","")),"")</f>
        <v/>
      </c>
      <c r="AK649" s="13">
        <f>IF(AND(ISNUMBER(AG649),ISNUMBER($B$26),ISNUMBER($D$26)),IF(AG649&gt;$D$26,"boven UCL",IF(AG649&lt;$B$26,"onder LCL","")),"")</f>
        <v/>
      </c>
      <c r="AL649" s="13">
        <f>IF(AND(COUNT(B649:Z649)&gt;0,COUNT(AA649:AC649)&gt;0),"ruwe waarden én getypt: getypte genegeerd",IF(COUNTA(B649:Z649,AA649:AC649)&gt;COUNT(B649:Z649,AA649:AC649),"tekst telt niet mee",IF(COUNT(B649:Z649)=1,"1 waarde: geen R of s","")))</f>
        <v/>
      </c>
    </row>
    <row r="650">
      <c r="A650" t="n">
        <v>599</v>
      </c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28">
        <f>IF(COUNT(B650:Z650)&gt;0,COUNT(B650:Z650),IF(OR(ISNUMBER(AA650),ISNUMBER(AB650)),$B$9,""))</f>
        <v/>
      </c>
      <c r="AE650" s="29">
        <f>IF(COUNT(B650:Z650)&gt;0,AVERAGE(B650:Z650),IF(ISNUMBER(AA650),AA650,""))</f>
        <v/>
      </c>
      <c r="AF650" s="29">
        <f>IF(COUNT(B650:Z650)&gt;1,MAX(B650:Z650)-MIN(B650:Z650),IF(ISNUMBER(AB650),AB650,""))</f>
        <v/>
      </c>
      <c r="AG650" s="29">
        <f>IF(COUNT(B650:Z650)&gt;1,_xlfn.STDEV.S(B650:Z650),IF(ISNUMBER(AC650),AC650,""))</f>
        <v/>
      </c>
      <c r="AH650" s="13">
        <f>IF(AND(ISNUMBER(AE650),ISNUMBER($B$23),ISNUMBER($D$23)),IF(AE650&gt;$D$23,"boven UCL",IF(AE650&lt;$B$23,"onder LCL","")),"")</f>
        <v/>
      </c>
      <c r="AI650" s="13">
        <f>IF(AND(ISNUMBER(AF650),ISNUMBER($B$24),ISNUMBER($D$24)),IF(AF650&gt;$D$24,"boven UCL",IF(AF650&lt;$B$24,"onder LCL","")),"")</f>
        <v/>
      </c>
      <c r="AJ650" s="13">
        <f>IF(AND(ISNUMBER(AE650),ISNUMBER($B$25),ISNUMBER($D$25)),IF(AE650&gt;$D$25,"boven UCL",IF(AE650&lt;$B$25,"onder LCL","")),"")</f>
        <v/>
      </c>
      <c r="AK650" s="13">
        <f>IF(AND(ISNUMBER(AG650),ISNUMBER($B$26),ISNUMBER($D$26)),IF(AG650&gt;$D$26,"boven UCL",IF(AG650&lt;$B$26,"onder LCL","")),"")</f>
        <v/>
      </c>
      <c r="AL650" s="13">
        <f>IF(AND(COUNT(B650:Z650)&gt;0,COUNT(AA650:AC650)&gt;0),"ruwe waarden én getypt: getypte genegeerd",IF(COUNTA(B650:Z650,AA650:AC650)&gt;COUNT(B650:Z650,AA650:AC650),"tekst telt niet mee",IF(COUNT(B650:Z650)=1,"1 waarde: geen R of s","")))</f>
        <v/>
      </c>
    </row>
    <row r="651">
      <c r="A651" t="n">
        <v>600</v>
      </c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28">
        <f>IF(COUNT(B651:Z651)&gt;0,COUNT(B651:Z651),IF(OR(ISNUMBER(AA651),ISNUMBER(AB651)),$B$9,""))</f>
        <v/>
      </c>
      <c r="AE651" s="29">
        <f>IF(COUNT(B651:Z651)&gt;0,AVERAGE(B651:Z651),IF(ISNUMBER(AA651),AA651,""))</f>
        <v/>
      </c>
      <c r="AF651" s="29">
        <f>IF(COUNT(B651:Z651)&gt;1,MAX(B651:Z651)-MIN(B651:Z651),IF(ISNUMBER(AB651),AB651,""))</f>
        <v/>
      </c>
      <c r="AG651" s="29">
        <f>IF(COUNT(B651:Z651)&gt;1,_xlfn.STDEV.S(B651:Z651),IF(ISNUMBER(AC651),AC651,""))</f>
        <v/>
      </c>
      <c r="AH651" s="13">
        <f>IF(AND(ISNUMBER(AE651),ISNUMBER($B$23),ISNUMBER($D$23)),IF(AE651&gt;$D$23,"boven UCL",IF(AE651&lt;$B$23,"onder LCL","")),"")</f>
        <v/>
      </c>
      <c r="AI651" s="13">
        <f>IF(AND(ISNUMBER(AF651),ISNUMBER($B$24),ISNUMBER($D$24)),IF(AF651&gt;$D$24,"boven UCL",IF(AF651&lt;$B$24,"onder LCL","")),"")</f>
        <v/>
      </c>
      <c r="AJ651" s="13">
        <f>IF(AND(ISNUMBER(AE651),ISNUMBER($B$25),ISNUMBER($D$25)),IF(AE651&gt;$D$25,"boven UCL",IF(AE651&lt;$B$25,"onder LCL","")),"")</f>
        <v/>
      </c>
      <c r="AK651" s="13">
        <f>IF(AND(ISNUMBER(AG651),ISNUMBER($B$26),ISNUMBER($D$26)),IF(AG651&gt;$D$26,"boven UCL",IF(AG651&lt;$B$26,"onder LCL","")),"")</f>
        <v/>
      </c>
      <c r="AL651" s="13">
        <f>IF(AND(COUNT(B651:Z651)&gt;0,COUNT(AA651:AC651)&gt;0),"ruwe waarden én getypt: getypte genegeerd",IF(COUNTA(B651:Z651,AA651:AC651)&gt;COUNT(B651:Z651,AA651:AC651),"tekst telt niet mee",IF(COUNT(B651:Z651)=1,"1 waarde: geen R of s","")))</f>
        <v/>
      </c>
    </row>
    <row r="652">
      <c r="A652" t="n">
        <v>601</v>
      </c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28">
        <f>IF(COUNT(B652:Z652)&gt;0,COUNT(B652:Z652),IF(OR(ISNUMBER(AA652),ISNUMBER(AB652)),$B$9,""))</f>
        <v/>
      </c>
      <c r="AE652" s="29">
        <f>IF(COUNT(B652:Z652)&gt;0,AVERAGE(B652:Z652),IF(ISNUMBER(AA652),AA652,""))</f>
        <v/>
      </c>
      <c r="AF652" s="29">
        <f>IF(COUNT(B652:Z652)&gt;1,MAX(B652:Z652)-MIN(B652:Z652),IF(ISNUMBER(AB652),AB652,""))</f>
        <v/>
      </c>
      <c r="AG652" s="29">
        <f>IF(COUNT(B652:Z652)&gt;1,_xlfn.STDEV.S(B652:Z652),IF(ISNUMBER(AC652),AC652,""))</f>
        <v/>
      </c>
      <c r="AH652" s="13">
        <f>IF(AND(ISNUMBER(AE652),ISNUMBER($B$23),ISNUMBER($D$23)),IF(AE652&gt;$D$23,"boven UCL",IF(AE652&lt;$B$23,"onder LCL","")),"")</f>
        <v/>
      </c>
      <c r="AI652" s="13">
        <f>IF(AND(ISNUMBER(AF652),ISNUMBER($B$24),ISNUMBER($D$24)),IF(AF652&gt;$D$24,"boven UCL",IF(AF652&lt;$B$24,"onder LCL","")),"")</f>
        <v/>
      </c>
      <c r="AJ652" s="13">
        <f>IF(AND(ISNUMBER(AE652),ISNUMBER($B$25),ISNUMBER($D$25)),IF(AE652&gt;$D$25,"boven UCL",IF(AE652&lt;$B$25,"onder LCL","")),"")</f>
        <v/>
      </c>
      <c r="AK652" s="13">
        <f>IF(AND(ISNUMBER(AG652),ISNUMBER($B$26),ISNUMBER($D$26)),IF(AG652&gt;$D$26,"boven UCL",IF(AG652&lt;$B$26,"onder LCL","")),"")</f>
        <v/>
      </c>
      <c r="AL652" s="13">
        <f>IF(AND(COUNT(B652:Z652)&gt;0,COUNT(AA652:AC652)&gt;0),"ruwe waarden én getypt: getypte genegeerd",IF(COUNTA(B652:Z652,AA652:AC652)&gt;COUNT(B652:Z652,AA652:AC652),"tekst telt niet mee",IF(COUNT(B652:Z652)=1,"1 waarde: geen R of s","")))</f>
        <v/>
      </c>
    </row>
    <row r="653">
      <c r="A653" t="n">
        <v>602</v>
      </c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28">
        <f>IF(COUNT(B653:Z653)&gt;0,COUNT(B653:Z653),IF(OR(ISNUMBER(AA653),ISNUMBER(AB653)),$B$9,""))</f>
        <v/>
      </c>
      <c r="AE653" s="29">
        <f>IF(COUNT(B653:Z653)&gt;0,AVERAGE(B653:Z653),IF(ISNUMBER(AA653),AA653,""))</f>
        <v/>
      </c>
      <c r="AF653" s="29">
        <f>IF(COUNT(B653:Z653)&gt;1,MAX(B653:Z653)-MIN(B653:Z653),IF(ISNUMBER(AB653),AB653,""))</f>
        <v/>
      </c>
      <c r="AG653" s="29">
        <f>IF(COUNT(B653:Z653)&gt;1,_xlfn.STDEV.S(B653:Z653),IF(ISNUMBER(AC653),AC653,""))</f>
        <v/>
      </c>
      <c r="AH653" s="13">
        <f>IF(AND(ISNUMBER(AE653),ISNUMBER($B$23),ISNUMBER($D$23)),IF(AE653&gt;$D$23,"boven UCL",IF(AE653&lt;$B$23,"onder LCL","")),"")</f>
        <v/>
      </c>
      <c r="AI653" s="13">
        <f>IF(AND(ISNUMBER(AF653),ISNUMBER($B$24),ISNUMBER($D$24)),IF(AF653&gt;$D$24,"boven UCL",IF(AF653&lt;$B$24,"onder LCL","")),"")</f>
        <v/>
      </c>
      <c r="AJ653" s="13">
        <f>IF(AND(ISNUMBER(AE653),ISNUMBER($B$25),ISNUMBER($D$25)),IF(AE653&gt;$D$25,"boven UCL",IF(AE653&lt;$B$25,"onder LCL","")),"")</f>
        <v/>
      </c>
      <c r="AK653" s="13">
        <f>IF(AND(ISNUMBER(AG653),ISNUMBER($B$26),ISNUMBER($D$26)),IF(AG653&gt;$D$26,"boven UCL",IF(AG653&lt;$B$26,"onder LCL","")),"")</f>
        <v/>
      </c>
      <c r="AL653" s="13">
        <f>IF(AND(COUNT(B653:Z653)&gt;0,COUNT(AA653:AC653)&gt;0),"ruwe waarden én getypt: getypte genegeerd",IF(COUNTA(B653:Z653,AA653:AC653)&gt;COUNT(B653:Z653,AA653:AC653),"tekst telt niet mee",IF(COUNT(B653:Z653)=1,"1 waarde: geen R of s","")))</f>
        <v/>
      </c>
    </row>
    <row r="654">
      <c r="A654" t="n">
        <v>603</v>
      </c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28">
        <f>IF(COUNT(B654:Z654)&gt;0,COUNT(B654:Z654),IF(OR(ISNUMBER(AA654),ISNUMBER(AB654)),$B$9,""))</f>
        <v/>
      </c>
      <c r="AE654" s="29">
        <f>IF(COUNT(B654:Z654)&gt;0,AVERAGE(B654:Z654),IF(ISNUMBER(AA654),AA654,""))</f>
        <v/>
      </c>
      <c r="AF654" s="29">
        <f>IF(COUNT(B654:Z654)&gt;1,MAX(B654:Z654)-MIN(B654:Z654),IF(ISNUMBER(AB654),AB654,""))</f>
        <v/>
      </c>
      <c r="AG654" s="29">
        <f>IF(COUNT(B654:Z654)&gt;1,_xlfn.STDEV.S(B654:Z654),IF(ISNUMBER(AC654),AC654,""))</f>
        <v/>
      </c>
      <c r="AH654" s="13">
        <f>IF(AND(ISNUMBER(AE654),ISNUMBER($B$23),ISNUMBER($D$23)),IF(AE654&gt;$D$23,"boven UCL",IF(AE654&lt;$B$23,"onder LCL","")),"")</f>
        <v/>
      </c>
      <c r="AI654" s="13">
        <f>IF(AND(ISNUMBER(AF654),ISNUMBER($B$24),ISNUMBER($D$24)),IF(AF654&gt;$D$24,"boven UCL",IF(AF654&lt;$B$24,"onder LCL","")),"")</f>
        <v/>
      </c>
      <c r="AJ654" s="13">
        <f>IF(AND(ISNUMBER(AE654),ISNUMBER($B$25),ISNUMBER($D$25)),IF(AE654&gt;$D$25,"boven UCL",IF(AE654&lt;$B$25,"onder LCL","")),"")</f>
        <v/>
      </c>
      <c r="AK654" s="13">
        <f>IF(AND(ISNUMBER(AG654),ISNUMBER($B$26),ISNUMBER($D$26)),IF(AG654&gt;$D$26,"boven UCL",IF(AG654&lt;$B$26,"onder LCL","")),"")</f>
        <v/>
      </c>
      <c r="AL654" s="13">
        <f>IF(AND(COUNT(B654:Z654)&gt;0,COUNT(AA654:AC654)&gt;0),"ruwe waarden én getypt: getypte genegeerd",IF(COUNTA(B654:Z654,AA654:AC654)&gt;COUNT(B654:Z654,AA654:AC654),"tekst telt niet mee",IF(COUNT(B654:Z654)=1,"1 waarde: geen R of s","")))</f>
        <v/>
      </c>
    </row>
    <row r="655">
      <c r="A655" t="n">
        <v>604</v>
      </c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28">
        <f>IF(COUNT(B655:Z655)&gt;0,COUNT(B655:Z655),IF(OR(ISNUMBER(AA655),ISNUMBER(AB655)),$B$9,""))</f>
        <v/>
      </c>
      <c r="AE655" s="29">
        <f>IF(COUNT(B655:Z655)&gt;0,AVERAGE(B655:Z655),IF(ISNUMBER(AA655),AA655,""))</f>
        <v/>
      </c>
      <c r="AF655" s="29">
        <f>IF(COUNT(B655:Z655)&gt;1,MAX(B655:Z655)-MIN(B655:Z655),IF(ISNUMBER(AB655),AB655,""))</f>
        <v/>
      </c>
      <c r="AG655" s="29">
        <f>IF(COUNT(B655:Z655)&gt;1,_xlfn.STDEV.S(B655:Z655),IF(ISNUMBER(AC655),AC655,""))</f>
        <v/>
      </c>
      <c r="AH655" s="13">
        <f>IF(AND(ISNUMBER(AE655),ISNUMBER($B$23),ISNUMBER($D$23)),IF(AE655&gt;$D$23,"boven UCL",IF(AE655&lt;$B$23,"onder LCL","")),"")</f>
        <v/>
      </c>
      <c r="AI655" s="13">
        <f>IF(AND(ISNUMBER(AF655),ISNUMBER($B$24),ISNUMBER($D$24)),IF(AF655&gt;$D$24,"boven UCL",IF(AF655&lt;$B$24,"onder LCL","")),"")</f>
        <v/>
      </c>
      <c r="AJ655" s="13">
        <f>IF(AND(ISNUMBER(AE655),ISNUMBER($B$25),ISNUMBER($D$25)),IF(AE655&gt;$D$25,"boven UCL",IF(AE655&lt;$B$25,"onder LCL","")),"")</f>
        <v/>
      </c>
      <c r="AK655" s="13">
        <f>IF(AND(ISNUMBER(AG655),ISNUMBER($B$26),ISNUMBER($D$26)),IF(AG655&gt;$D$26,"boven UCL",IF(AG655&lt;$B$26,"onder LCL","")),"")</f>
        <v/>
      </c>
      <c r="AL655" s="13">
        <f>IF(AND(COUNT(B655:Z655)&gt;0,COUNT(AA655:AC655)&gt;0),"ruwe waarden én getypt: getypte genegeerd",IF(COUNTA(B655:Z655,AA655:AC655)&gt;COUNT(B655:Z655,AA655:AC655),"tekst telt niet mee",IF(COUNT(B655:Z655)=1,"1 waarde: geen R of s","")))</f>
        <v/>
      </c>
    </row>
    <row r="656">
      <c r="A656" t="n">
        <v>605</v>
      </c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28">
        <f>IF(COUNT(B656:Z656)&gt;0,COUNT(B656:Z656),IF(OR(ISNUMBER(AA656),ISNUMBER(AB656)),$B$9,""))</f>
        <v/>
      </c>
      <c r="AE656" s="29">
        <f>IF(COUNT(B656:Z656)&gt;0,AVERAGE(B656:Z656),IF(ISNUMBER(AA656),AA656,""))</f>
        <v/>
      </c>
      <c r="AF656" s="29">
        <f>IF(COUNT(B656:Z656)&gt;1,MAX(B656:Z656)-MIN(B656:Z656),IF(ISNUMBER(AB656),AB656,""))</f>
        <v/>
      </c>
      <c r="AG656" s="29">
        <f>IF(COUNT(B656:Z656)&gt;1,_xlfn.STDEV.S(B656:Z656),IF(ISNUMBER(AC656),AC656,""))</f>
        <v/>
      </c>
      <c r="AH656" s="13">
        <f>IF(AND(ISNUMBER(AE656),ISNUMBER($B$23),ISNUMBER($D$23)),IF(AE656&gt;$D$23,"boven UCL",IF(AE656&lt;$B$23,"onder LCL","")),"")</f>
        <v/>
      </c>
      <c r="AI656" s="13">
        <f>IF(AND(ISNUMBER(AF656),ISNUMBER($B$24),ISNUMBER($D$24)),IF(AF656&gt;$D$24,"boven UCL",IF(AF656&lt;$B$24,"onder LCL","")),"")</f>
        <v/>
      </c>
      <c r="AJ656" s="13">
        <f>IF(AND(ISNUMBER(AE656),ISNUMBER($B$25),ISNUMBER($D$25)),IF(AE656&gt;$D$25,"boven UCL",IF(AE656&lt;$B$25,"onder LCL","")),"")</f>
        <v/>
      </c>
      <c r="AK656" s="13">
        <f>IF(AND(ISNUMBER(AG656),ISNUMBER($B$26),ISNUMBER($D$26)),IF(AG656&gt;$D$26,"boven UCL",IF(AG656&lt;$B$26,"onder LCL","")),"")</f>
        <v/>
      </c>
      <c r="AL656" s="13">
        <f>IF(AND(COUNT(B656:Z656)&gt;0,COUNT(AA656:AC656)&gt;0),"ruwe waarden én getypt: getypte genegeerd",IF(COUNTA(B656:Z656,AA656:AC656)&gt;COUNT(B656:Z656,AA656:AC656),"tekst telt niet mee",IF(COUNT(B656:Z656)=1,"1 waarde: geen R of s","")))</f>
        <v/>
      </c>
    </row>
    <row r="657">
      <c r="A657" t="n">
        <v>606</v>
      </c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28">
        <f>IF(COUNT(B657:Z657)&gt;0,COUNT(B657:Z657),IF(OR(ISNUMBER(AA657),ISNUMBER(AB657)),$B$9,""))</f>
        <v/>
      </c>
      <c r="AE657" s="29">
        <f>IF(COUNT(B657:Z657)&gt;0,AVERAGE(B657:Z657),IF(ISNUMBER(AA657),AA657,""))</f>
        <v/>
      </c>
      <c r="AF657" s="29">
        <f>IF(COUNT(B657:Z657)&gt;1,MAX(B657:Z657)-MIN(B657:Z657),IF(ISNUMBER(AB657),AB657,""))</f>
        <v/>
      </c>
      <c r="AG657" s="29">
        <f>IF(COUNT(B657:Z657)&gt;1,_xlfn.STDEV.S(B657:Z657),IF(ISNUMBER(AC657),AC657,""))</f>
        <v/>
      </c>
      <c r="AH657" s="13">
        <f>IF(AND(ISNUMBER(AE657),ISNUMBER($B$23),ISNUMBER($D$23)),IF(AE657&gt;$D$23,"boven UCL",IF(AE657&lt;$B$23,"onder LCL","")),"")</f>
        <v/>
      </c>
      <c r="AI657" s="13">
        <f>IF(AND(ISNUMBER(AF657),ISNUMBER($B$24),ISNUMBER($D$24)),IF(AF657&gt;$D$24,"boven UCL",IF(AF657&lt;$B$24,"onder LCL","")),"")</f>
        <v/>
      </c>
      <c r="AJ657" s="13">
        <f>IF(AND(ISNUMBER(AE657),ISNUMBER($B$25),ISNUMBER($D$25)),IF(AE657&gt;$D$25,"boven UCL",IF(AE657&lt;$B$25,"onder LCL","")),"")</f>
        <v/>
      </c>
      <c r="AK657" s="13">
        <f>IF(AND(ISNUMBER(AG657),ISNUMBER($B$26),ISNUMBER($D$26)),IF(AG657&gt;$D$26,"boven UCL",IF(AG657&lt;$B$26,"onder LCL","")),"")</f>
        <v/>
      </c>
      <c r="AL657" s="13">
        <f>IF(AND(COUNT(B657:Z657)&gt;0,COUNT(AA657:AC657)&gt;0),"ruwe waarden én getypt: getypte genegeerd",IF(COUNTA(B657:Z657,AA657:AC657)&gt;COUNT(B657:Z657,AA657:AC657),"tekst telt niet mee",IF(COUNT(B657:Z657)=1,"1 waarde: geen R of s","")))</f>
        <v/>
      </c>
    </row>
    <row r="658">
      <c r="A658" t="n">
        <v>607</v>
      </c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28">
        <f>IF(COUNT(B658:Z658)&gt;0,COUNT(B658:Z658),IF(OR(ISNUMBER(AA658),ISNUMBER(AB658)),$B$9,""))</f>
        <v/>
      </c>
      <c r="AE658" s="29">
        <f>IF(COUNT(B658:Z658)&gt;0,AVERAGE(B658:Z658),IF(ISNUMBER(AA658),AA658,""))</f>
        <v/>
      </c>
      <c r="AF658" s="29">
        <f>IF(COUNT(B658:Z658)&gt;1,MAX(B658:Z658)-MIN(B658:Z658),IF(ISNUMBER(AB658),AB658,""))</f>
        <v/>
      </c>
      <c r="AG658" s="29">
        <f>IF(COUNT(B658:Z658)&gt;1,_xlfn.STDEV.S(B658:Z658),IF(ISNUMBER(AC658),AC658,""))</f>
        <v/>
      </c>
      <c r="AH658" s="13">
        <f>IF(AND(ISNUMBER(AE658),ISNUMBER($B$23),ISNUMBER($D$23)),IF(AE658&gt;$D$23,"boven UCL",IF(AE658&lt;$B$23,"onder LCL","")),"")</f>
        <v/>
      </c>
      <c r="AI658" s="13">
        <f>IF(AND(ISNUMBER(AF658),ISNUMBER($B$24),ISNUMBER($D$24)),IF(AF658&gt;$D$24,"boven UCL",IF(AF658&lt;$B$24,"onder LCL","")),"")</f>
        <v/>
      </c>
      <c r="AJ658" s="13">
        <f>IF(AND(ISNUMBER(AE658),ISNUMBER($B$25),ISNUMBER($D$25)),IF(AE658&gt;$D$25,"boven UCL",IF(AE658&lt;$B$25,"onder LCL","")),"")</f>
        <v/>
      </c>
      <c r="AK658" s="13">
        <f>IF(AND(ISNUMBER(AG658),ISNUMBER($B$26),ISNUMBER($D$26)),IF(AG658&gt;$D$26,"boven UCL",IF(AG658&lt;$B$26,"onder LCL","")),"")</f>
        <v/>
      </c>
      <c r="AL658" s="13">
        <f>IF(AND(COUNT(B658:Z658)&gt;0,COUNT(AA658:AC658)&gt;0),"ruwe waarden én getypt: getypte genegeerd",IF(COUNTA(B658:Z658,AA658:AC658)&gt;COUNT(B658:Z658,AA658:AC658),"tekst telt niet mee",IF(COUNT(B658:Z658)=1,"1 waarde: geen R of s","")))</f>
        <v/>
      </c>
    </row>
    <row r="659">
      <c r="A659" t="n">
        <v>608</v>
      </c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28">
        <f>IF(COUNT(B659:Z659)&gt;0,COUNT(B659:Z659),IF(OR(ISNUMBER(AA659),ISNUMBER(AB659)),$B$9,""))</f>
        <v/>
      </c>
      <c r="AE659" s="29">
        <f>IF(COUNT(B659:Z659)&gt;0,AVERAGE(B659:Z659),IF(ISNUMBER(AA659),AA659,""))</f>
        <v/>
      </c>
      <c r="AF659" s="29">
        <f>IF(COUNT(B659:Z659)&gt;1,MAX(B659:Z659)-MIN(B659:Z659),IF(ISNUMBER(AB659),AB659,""))</f>
        <v/>
      </c>
      <c r="AG659" s="29">
        <f>IF(COUNT(B659:Z659)&gt;1,_xlfn.STDEV.S(B659:Z659),IF(ISNUMBER(AC659),AC659,""))</f>
        <v/>
      </c>
      <c r="AH659" s="13">
        <f>IF(AND(ISNUMBER(AE659),ISNUMBER($B$23),ISNUMBER($D$23)),IF(AE659&gt;$D$23,"boven UCL",IF(AE659&lt;$B$23,"onder LCL","")),"")</f>
        <v/>
      </c>
      <c r="AI659" s="13">
        <f>IF(AND(ISNUMBER(AF659),ISNUMBER($B$24),ISNUMBER($D$24)),IF(AF659&gt;$D$24,"boven UCL",IF(AF659&lt;$B$24,"onder LCL","")),"")</f>
        <v/>
      </c>
      <c r="AJ659" s="13">
        <f>IF(AND(ISNUMBER(AE659),ISNUMBER($B$25),ISNUMBER($D$25)),IF(AE659&gt;$D$25,"boven UCL",IF(AE659&lt;$B$25,"onder LCL","")),"")</f>
        <v/>
      </c>
      <c r="AK659" s="13">
        <f>IF(AND(ISNUMBER(AG659),ISNUMBER($B$26),ISNUMBER($D$26)),IF(AG659&gt;$D$26,"boven UCL",IF(AG659&lt;$B$26,"onder LCL","")),"")</f>
        <v/>
      </c>
      <c r="AL659" s="13">
        <f>IF(AND(COUNT(B659:Z659)&gt;0,COUNT(AA659:AC659)&gt;0),"ruwe waarden én getypt: getypte genegeerd",IF(COUNTA(B659:Z659,AA659:AC659)&gt;COUNT(B659:Z659,AA659:AC659),"tekst telt niet mee",IF(COUNT(B659:Z659)=1,"1 waarde: geen R of s","")))</f>
        <v/>
      </c>
    </row>
    <row r="660">
      <c r="A660" t="n">
        <v>609</v>
      </c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28">
        <f>IF(COUNT(B660:Z660)&gt;0,COUNT(B660:Z660),IF(OR(ISNUMBER(AA660),ISNUMBER(AB660)),$B$9,""))</f>
        <v/>
      </c>
      <c r="AE660" s="29">
        <f>IF(COUNT(B660:Z660)&gt;0,AVERAGE(B660:Z660),IF(ISNUMBER(AA660),AA660,""))</f>
        <v/>
      </c>
      <c r="AF660" s="29">
        <f>IF(COUNT(B660:Z660)&gt;1,MAX(B660:Z660)-MIN(B660:Z660),IF(ISNUMBER(AB660),AB660,""))</f>
        <v/>
      </c>
      <c r="AG660" s="29">
        <f>IF(COUNT(B660:Z660)&gt;1,_xlfn.STDEV.S(B660:Z660),IF(ISNUMBER(AC660),AC660,""))</f>
        <v/>
      </c>
      <c r="AH660" s="13">
        <f>IF(AND(ISNUMBER(AE660),ISNUMBER($B$23),ISNUMBER($D$23)),IF(AE660&gt;$D$23,"boven UCL",IF(AE660&lt;$B$23,"onder LCL","")),"")</f>
        <v/>
      </c>
      <c r="AI660" s="13">
        <f>IF(AND(ISNUMBER(AF660),ISNUMBER($B$24),ISNUMBER($D$24)),IF(AF660&gt;$D$24,"boven UCL",IF(AF660&lt;$B$24,"onder LCL","")),"")</f>
        <v/>
      </c>
      <c r="AJ660" s="13">
        <f>IF(AND(ISNUMBER(AE660),ISNUMBER($B$25),ISNUMBER($D$25)),IF(AE660&gt;$D$25,"boven UCL",IF(AE660&lt;$B$25,"onder LCL","")),"")</f>
        <v/>
      </c>
      <c r="AK660" s="13">
        <f>IF(AND(ISNUMBER(AG660),ISNUMBER($B$26),ISNUMBER($D$26)),IF(AG660&gt;$D$26,"boven UCL",IF(AG660&lt;$B$26,"onder LCL","")),"")</f>
        <v/>
      </c>
      <c r="AL660" s="13">
        <f>IF(AND(COUNT(B660:Z660)&gt;0,COUNT(AA660:AC660)&gt;0),"ruwe waarden én getypt: getypte genegeerd",IF(COUNTA(B660:Z660,AA660:AC660)&gt;COUNT(B660:Z660,AA660:AC660),"tekst telt niet mee",IF(COUNT(B660:Z660)=1,"1 waarde: geen R of s","")))</f>
        <v/>
      </c>
    </row>
    <row r="661">
      <c r="A661" t="n">
        <v>610</v>
      </c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28">
        <f>IF(COUNT(B661:Z661)&gt;0,COUNT(B661:Z661),IF(OR(ISNUMBER(AA661),ISNUMBER(AB661)),$B$9,""))</f>
        <v/>
      </c>
      <c r="AE661" s="29">
        <f>IF(COUNT(B661:Z661)&gt;0,AVERAGE(B661:Z661),IF(ISNUMBER(AA661),AA661,""))</f>
        <v/>
      </c>
      <c r="AF661" s="29">
        <f>IF(COUNT(B661:Z661)&gt;1,MAX(B661:Z661)-MIN(B661:Z661),IF(ISNUMBER(AB661),AB661,""))</f>
        <v/>
      </c>
      <c r="AG661" s="29">
        <f>IF(COUNT(B661:Z661)&gt;1,_xlfn.STDEV.S(B661:Z661),IF(ISNUMBER(AC661),AC661,""))</f>
        <v/>
      </c>
      <c r="AH661" s="13">
        <f>IF(AND(ISNUMBER(AE661),ISNUMBER($B$23),ISNUMBER($D$23)),IF(AE661&gt;$D$23,"boven UCL",IF(AE661&lt;$B$23,"onder LCL","")),"")</f>
        <v/>
      </c>
      <c r="AI661" s="13">
        <f>IF(AND(ISNUMBER(AF661),ISNUMBER($B$24),ISNUMBER($D$24)),IF(AF661&gt;$D$24,"boven UCL",IF(AF661&lt;$B$24,"onder LCL","")),"")</f>
        <v/>
      </c>
      <c r="AJ661" s="13">
        <f>IF(AND(ISNUMBER(AE661),ISNUMBER($B$25),ISNUMBER($D$25)),IF(AE661&gt;$D$25,"boven UCL",IF(AE661&lt;$B$25,"onder LCL","")),"")</f>
        <v/>
      </c>
      <c r="AK661" s="13">
        <f>IF(AND(ISNUMBER(AG661),ISNUMBER($B$26),ISNUMBER($D$26)),IF(AG661&gt;$D$26,"boven UCL",IF(AG661&lt;$B$26,"onder LCL","")),"")</f>
        <v/>
      </c>
      <c r="AL661" s="13">
        <f>IF(AND(COUNT(B661:Z661)&gt;0,COUNT(AA661:AC661)&gt;0),"ruwe waarden én getypt: getypte genegeerd",IF(COUNTA(B661:Z661,AA661:AC661)&gt;COUNT(B661:Z661,AA661:AC661),"tekst telt niet mee",IF(COUNT(B661:Z661)=1,"1 waarde: geen R of s","")))</f>
        <v/>
      </c>
    </row>
    <row r="662">
      <c r="A662" t="n">
        <v>611</v>
      </c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28">
        <f>IF(COUNT(B662:Z662)&gt;0,COUNT(B662:Z662),IF(OR(ISNUMBER(AA662),ISNUMBER(AB662)),$B$9,""))</f>
        <v/>
      </c>
      <c r="AE662" s="29">
        <f>IF(COUNT(B662:Z662)&gt;0,AVERAGE(B662:Z662),IF(ISNUMBER(AA662),AA662,""))</f>
        <v/>
      </c>
      <c r="AF662" s="29">
        <f>IF(COUNT(B662:Z662)&gt;1,MAX(B662:Z662)-MIN(B662:Z662),IF(ISNUMBER(AB662),AB662,""))</f>
        <v/>
      </c>
      <c r="AG662" s="29">
        <f>IF(COUNT(B662:Z662)&gt;1,_xlfn.STDEV.S(B662:Z662),IF(ISNUMBER(AC662),AC662,""))</f>
        <v/>
      </c>
      <c r="AH662" s="13">
        <f>IF(AND(ISNUMBER(AE662),ISNUMBER($B$23),ISNUMBER($D$23)),IF(AE662&gt;$D$23,"boven UCL",IF(AE662&lt;$B$23,"onder LCL","")),"")</f>
        <v/>
      </c>
      <c r="AI662" s="13">
        <f>IF(AND(ISNUMBER(AF662),ISNUMBER($B$24),ISNUMBER($D$24)),IF(AF662&gt;$D$24,"boven UCL",IF(AF662&lt;$B$24,"onder LCL","")),"")</f>
        <v/>
      </c>
      <c r="AJ662" s="13">
        <f>IF(AND(ISNUMBER(AE662),ISNUMBER($B$25),ISNUMBER($D$25)),IF(AE662&gt;$D$25,"boven UCL",IF(AE662&lt;$B$25,"onder LCL","")),"")</f>
        <v/>
      </c>
      <c r="AK662" s="13">
        <f>IF(AND(ISNUMBER(AG662),ISNUMBER($B$26),ISNUMBER($D$26)),IF(AG662&gt;$D$26,"boven UCL",IF(AG662&lt;$B$26,"onder LCL","")),"")</f>
        <v/>
      </c>
      <c r="AL662" s="13">
        <f>IF(AND(COUNT(B662:Z662)&gt;0,COUNT(AA662:AC662)&gt;0),"ruwe waarden én getypt: getypte genegeerd",IF(COUNTA(B662:Z662,AA662:AC662)&gt;COUNT(B662:Z662,AA662:AC662),"tekst telt niet mee",IF(COUNT(B662:Z662)=1,"1 waarde: geen R of s","")))</f>
        <v/>
      </c>
    </row>
    <row r="663">
      <c r="A663" t="n">
        <v>612</v>
      </c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28">
        <f>IF(COUNT(B663:Z663)&gt;0,COUNT(B663:Z663),IF(OR(ISNUMBER(AA663),ISNUMBER(AB663)),$B$9,""))</f>
        <v/>
      </c>
      <c r="AE663" s="29">
        <f>IF(COUNT(B663:Z663)&gt;0,AVERAGE(B663:Z663),IF(ISNUMBER(AA663),AA663,""))</f>
        <v/>
      </c>
      <c r="AF663" s="29">
        <f>IF(COUNT(B663:Z663)&gt;1,MAX(B663:Z663)-MIN(B663:Z663),IF(ISNUMBER(AB663),AB663,""))</f>
        <v/>
      </c>
      <c r="AG663" s="29">
        <f>IF(COUNT(B663:Z663)&gt;1,_xlfn.STDEV.S(B663:Z663),IF(ISNUMBER(AC663),AC663,""))</f>
        <v/>
      </c>
      <c r="AH663" s="13">
        <f>IF(AND(ISNUMBER(AE663),ISNUMBER($B$23),ISNUMBER($D$23)),IF(AE663&gt;$D$23,"boven UCL",IF(AE663&lt;$B$23,"onder LCL","")),"")</f>
        <v/>
      </c>
      <c r="AI663" s="13">
        <f>IF(AND(ISNUMBER(AF663),ISNUMBER($B$24),ISNUMBER($D$24)),IF(AF663&gt;$D$24,"boven UCL",IF(AF663&lt;$B$24,"onder LCL","")),"")</f>
        <v/>
      </c>
      <c r="AJ663" s="13">
        <f>IF(AND(ISNUMBER(AE663),ISNUMBER($B$25),ISNUMBER($D$25)),IF(AE663&gt;$D$25,"boven UCL",IF(AE663&lt;$B$25,"onder LCL","")),"")</f>
        <v/>
      </c>
      <c r="AK663" s="13">
        <f>IF(AND(ISNUMBER(AG663),ISNUMBER($B$26),ISNUMBER($D$26)),IF(AG663&gt;$D$26,"boven UCL",IF(AG663&lt;$B$26,"onder LCL","")),"")</f>
        <v/>
      </c>
      <c r="AL663" s="13">
        <f>IF(AND(COUNT(B663:Z663)&gt;0,COUNT(AA663:AC663)&gt;0),"ruwe waarden én getypt: getypte genegeerd",IF(COUNTA(B663:Z663,AA663:AC663)&gt;COUNT(B663:Z663,AA663:AC663),"tekst telt niet mee",IF(COUNT(B663:Z663)=1,"1 waarde: geen R of s","")))</f>
        <v/>
      </c>
    </row>
    <row r="664">
      <c r="A664" t="n">
        <v>613</v>
      </c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28">
        <f>IF(COUNT(B664:Z664)&gt;0,COUNT(B664:Z664),IF(OR(ISNUMBER(AA664),ISNUMBER(AB664)),$B$9,""))</f>
        <v/>
      </c>
      <c r="AE664" s="29">
        <f>IF(COUNT(B664:Z664)&gt;0,AVERAGE(B664:Z664),IF(ISNUMBER(AA664),AA664,""))</f>
        <v/>
      </c>
      <c r="AF664" s="29">
        <f>IF(COUNT(B664:Z664)&gt;1,MAX(B664:Z664)-MIN(B664:Z664),IF(ISNUMBER(AB664),AB664,""))</f>
        <v/>
      </c>
      <c r="AG664" s="29">
        <f>IF(COUNT(B664:Z664)&gt;1,_xlfn.STDEV.S(B664:Z664),IF(ISNUMBER(AC664),AC664,""))</f>
        <v/>
      </c>
      <c r="AH664" s="13">
        <f>IF(AND(ISNUMBER(AE664),ISNUMBER($B$23),ISNUMBER($D$23)),IF(AE664&gt;$D$23,"boven UCL",IF(AE664&lt;$B$23,"onder LCL","")),"")</f>
        <v/>
      </c>
      <c r="AI664" s="13">
        <f>IF(AND(ISNUMBER(AF664),ISNUMBER($B$24),ISNUMBER($D$24)),IF(AF664&gt;$D$24,"boven UCL",IF(AF664&lt;$B$24,"onder LCL","")),"")</f>
        <v/>
      </c>
      <c r="AJ664" s="13">
        <f>IF(AND(ISNUMBER(AE664),ISNUMBER($B$25),ISNUMBER($D$25)),IF(AE664&gt;$D$25,"boven UCL",IF(AE664&lt;$B$25,"onder LCL","")),"")</f>
        <v/>
      </c>
      <c r="AK664" s="13">
        <f>IF(AND(ISNUMBER(AG664),ISNUMBER($B$26),ISNUMBER($D$26)),IF(AG664&gt;$D$26,"boven UCL",IF(AG664&lt;$B$26,"onder LCL","")),"")</f>
        <v/>
      </c>
      <c r="AL664" s="13">
        <f>IF(AND(COUNT(B664:Z664)&gt;0,COUNT(AA664:AC664)&gt;0),"ruwe waarden én getypt: getypte genegeerd",IF(COUNTA(B664:Z664,AA664:AC664)&gt;COUNT(B664:Z664,AA664:AC664),"tekst telt niet mee",IF(COUNT(B664:Z664)=1,"1 waarde: geen R of s","")))</f>
        <v/>
      </c>
    </row>
    <row r="665">
      <c r="A665" t="n">
        <v>614</v>
      </c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28">
        <f>IF(COUNT(B665:Z665)&gt;0,COUNT(B665:Z665),IF(OR(ISNUMBER(AA665),ISNUMBER(AB665)),$B$9,""))</f>
        <v/>
      </c>
      <c r="AE665" s="29">
        <f>IF(COUNT(B665:Z665)&gt;0,AVERAGE(B665:Z665),IF(ISNUMBER(AA665),AA665,""))</f>
        <v/>
      </c>
      <c r="AF665" s="29">
        <f>IF(COUNT(B665:Z665)&gt;1,MAX(B665:Z665)-MIN(B665:Z665),IF(ISNUMBER(AB665),AB665,""))</f>
        <v/>
      </c>
      <c r="AG665" s="29">
        <f>IF(COUNT(B665:Z665)&gt;1,_xlfn.STDEV.S(B665:Z665),IF(ISNUMBER(AC665),AC665,""))</f>
        <v/>
      </c>
      <c r="AH665" s="13">
        <f>IF(AND(ISNUMBER(AE665),ISNUMBER($B$23),ISNUMBER($D$23)),IF(AE665&gt;$D$23,"boven UCL",IF(AE665&lt;$B$23,"onder LCL","")),"")</f>
        <v/>
      </c>
      <c r="AI665" s="13">
        <f>IF(AND(ISNUMBER(AF665),ISNUMBER($B$24),ISNUMBER($D$24)),IF(AF665&gt;$D$24,"boven UCL",IF(AF665&lt;$B$24,"onder LCL","")),"")</f>
        <v/>
      </c>
      <c r="AJ665" s="13">
        <f>IF(AND(ISNUMBER(AE665),ISNUMBER($B$25),ISNUMBER($D$25)),IF(AE665&gt;$D$25,"boven UCL",IF(AE665&lt;$B$25,"onder LCL","")),"")</f>
        <v/>
      </c>
      <c r="AK665" s="13">
        <f>IF(AND(ISNUMBER(AG665),ISNUMBER($B$26),ISNUMBER($D$26)),IF(AG665&gt;$D$26,"boven UCL",IF(AG665&lt;$B$26,"onder LCL","")),"")</f>
        <v/>
      </c>
      <c r="AL665" s="13">
        <f>IF(AND(COUNT(B665:Z665)&gt;0,COUNT(AA665:AC665)&gt;0),"ruwe waarden én getypt: getypte genegeerd",IF(COUNTA(B665:Z665,AA665:AC665)&gt;COUNT(B665:Z665,AA665:AC665),"tekst telt niet mee",IF(COUNT(B665:Z665)=1,"1 waarde: geen R of s","")))</f>
        <v/>
      </c>
    </row>
    <row r="666">
      <c r="A666" t="n">
        <v>615</v>
      </c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28">
        <f>IF(COUNT(B666:Z666)&gt;0,COUNT(B666:Z666),IF(OR(ISNUMBER(AA666),ISNUMBER(AB666)),$B$9,""))</f>
        <v/>
      </c>
      <c r="AE666" s="29">
        <f>IF(COUNT(B666:Z666)&gt;0,AVERAGE(B666:Z666),IF(ISNUMBER(AA666),AA666,""))</f>
        <v/>
      </c>
      <c r="AF666" s="29">
        <f>IF(COUNT(B666:Z666)&gt;1,MAX(B666:Z666)-MIN(B666:Z666),IF(ISNUMBER(AB666),AB666,""))</f>
        <v/>
      </c>
      <c r="AG666" s="29">
        <f>IF(COUNT(B666:Z666)&gt;1,_xlfn.STDEV.S(B666:Z666),IF(ISNUMBER(AC666),AC666,""))</f>
        <v/>
      </c>
      <c r="AH666" s="13">
        <f>IF(AND(ISNUMBER(AE666),ISNUMBER($B$23),ISNUMBER($D$23)),IF(AE666&gt;$D$23,"boven UCL",IF(AE666&lt;$B$23,"onder LCL","")),"")</f>
        <v/>
      </c>
      <c r="AI666" s="13">
        <f>IF(AND(ISNUMBER(AF666),ISNUMBER($B$24),ISNUMBER($D$24)),IF(AF666&gt;$D$24,"boven UCL",IF(AF666&lt;$B$24,"onder LCL","")),"")</f>
        <v/>
      </c>
      <c r="AJ666" s="13">
        <f>IF(AND(ISNUMBER(AE666),ISNUMBER($B$25),ISNUMBER($D$25)),IF(AE666&gt;$D$25,"boven UCL",IF(AE666&lt;$B$25,"onder LCL","")),"")</f>
        <v/>
      </c>
      <c r="AK666" s="13">
        <f>IF(AND(ISNUMBER(AG666),ISNUMBER($B$26),ISNUMBER($D$26)),IF(AG666&gt;$D$26,"boven UCL",IF(AG666&lt;$B$26,"onder LCL","")),"")</f>
        <v/>
      </c>
      <c r="AL666" s="13">
        <f>IF(AND(COUNT(B666:Z666)&gt;0,COUNT(AA666:AC666)&gt;0),"ruwe waarden én getypt: getypte genegeerd",IF(COUNTA(B666:Z666,AA666:AC666)&gt;COUNT(B666:Z666,AA666:AC666),"tekst telt niet mee",IF(COUNT(B666:Z666)=1,"1 waarde: geen R of s","")))</f>
        <v/>
      </c>
    </row>
    <row r="667">
      <c r="A667" t="n">
        <v>616</v>
      </c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28">
        <f>IF(COUNT(B667:Z667)&gt;0,COUNT(B667:Z667),IF(OR(ISNUMBER(AA667),ISNUMBER(AB667)),$B$9,""))</f>
        <v/>
      </c>
      <c r="AE667" s="29">
        <f>IF(COUNT(B667:Z667)&gt;0,AVERAGE(B667:Z667),IF(ISNUMBER(AA667),AA667,""))</f>
        <v/>
      </c>
      <c r="AF667" s="29">
        <f>IF(COUNT(B667:Z667)&gt;1,MAX(B667:Z667)-MIN(B667:Z667),IF(ISNUMBER(AB667),AB667,""))</f>
        <v/>
      </c>
      <c r="AG667" s="29">
        <f>IF(COUNT(B667:Z667)&gt;1,_xlfn.STDEV.S(B667:Z667),IF(ISNUMBER(AC667),AC667,""))</f>
        <v/>
      </c>
      <c r="AH667" s="13">
        <f>IF(AND(ISNUMBER(AE667),ISNUMBER($B$23),ISNUMBER($D$23)),IF(AE667&gt;$D$23,"boven UCL",IF(AE667&lt;$B$23,"onder LCL","")),"")</f>
        <v/>
      </c>
      <c r="AI667" s="13">
        <f>IF(AND(ISNUMBER(AF667),ISNUMBER($B$24),ISNUMBER($D$24)),IF(AF667&gt;$D$24,"boven UCL",IF(AF667&lt;$B$24,"onder LCL","")),"")</f>
        <v/>
      </c>
      <c r="AJ667" s="13">
        <f>IF(AND(ISNUMBER(AE667),ISNUMBER($B$25),ISNUMBER($D$25)),IF(AE667&gt;$D$25,"boven UCL",IF(AE667&lt;$B$25,"onder LCL","")),"")</f>
        <v/>
      </c>
      <c r="AK667" s="13">
        <f>IF(AND(ISNUMBER(AG667),ISNUMBER($B$26),ISNUMBER($D$26)),IF(AG667&gt;$D$26,"boven UCL",IF(AG667&lt;$B$26,"onder LCL","")),"")</f>
        <v/>
      </c>
      <c r="AL667" s="13">
        <f>IF(AND(COUNT(B667:Z667)&gt;0,COUNT(AA667:AC667)&gt;0),"ruwe waarden én getypt: getypte genegeerd",IF(COUNTA(B667:Z667,AA667:AC667)&gt;COUNT(B667:Z667,AA667:AC667),"tekst telt niet mee",IF(COUNT(B667:Z667)=1,"1 waarde: geen R of s","")))</f>
        <v/>
      </c>
    </row>
    <row r="668">
      <c r="A668" t="n">
        <v>617</v>
      </c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28">
        <f>IF(COUNT(B668:Z668)&gt;0,COUNT(B668:Z668),IF(OR(ISNUMBER(AA668),ISNUMBER(AB668)),$B$9,""))</f>
        <v/>
      </c>
      <c r="AE668" s="29">
        <f>IF(COUNT(B668:Z668)&gt;0,AVERAGE(B668:Z668),IF(ISNUMBER(AA668),AA668,""))</f>
        <v/>
      </c>
      <c r="AF668" s="29">
        <f>IF(COUNT(B668:Z668)&gt;1,MAX(B668:Z668)-MIN(B668:Z668),IF(ISNUMBER(AB668),AB668,""))</f>
        <v/>
      </c>
      <c r="AG668" s="29">
        <f>IF(COUNT(B668:Z668)&gt;1,_xlfn.STDEV.S(B668:Z668),IF(ISNUMBER(AC668),AC668,""))</f>
        <v/>
      </c>
      <c r="AH668" s="13">
        <f>IF(AND(ISNUMBER(AE668),ISNUMBER($B$23),ISNUMBER($D$23)),IF(AE668&gt;$D$23,"boven UCL",IF(AE668&lt;$B$23,"onder LCL","")),"")</f>
        <v/>
      </c>
      <c r="AI668" s="13">
        <f>IF(AND(ISNUMBER(AF668),ISNUMBER($B$24),ISNUMBER($D$24)),IF(AF668&gt;$D$24,"boven UCL",IF(AF668&lt;$B$24,"onder LCL","")),"")</f>
        <v/>
      </c>
      <c r="AJ668" s="13">
        <f>IF(AND(ISNUMBER(AE668),ISNUMBER($B$25),ISNUMBER($D$25)),IF(AE668&gt;$D$25,"boven UCL",IF(AE668&lt;$B$25,"onder LCL","")),"")</f>
        <v/>
      </c>
      <c r="AK668" s="13">
        <f>IF(AND(ISNUMBER(AG668),ISNUMBER($B$26),ISNUMBER($D$26)),IF(AG668&gt;$D$26,"boven UCL",IF(AG668&lt;$B$26,"onder LCL","")),"")</f>
        <v/>
      </c>
      <c r="AL668" s="13">
        <f>IF(AND(COUNT(B668:Z668)&gt;0,COUNT(AA668:AC668)&gt;0),"ruwe waarden én getypt: getypte genegeerd",IF(COUNTA(B668:Z668,AA668:AC668)&gt;COUNT(B668:Z668,AA668:AC668),"tekst telt niet mee",IF(COUNT(B668:Z668)=1,"1 waarde: geen R of s","")))</f>
        <v/>
      </c>
    </row>
    <row r="669">
      <c r="A669" t="n">
        <v>618</v>
      </c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28">
        <f>IF(COUNT(B669:Z669)&gt;0,COUNT(B669:Z669),IF(OR(ISNUMBER(AA669),ISNUMBER(AB669)),$B$9,""))</f>
        <v/>
      </c>
      <c r="AE669" s="29">
        <f>IF(COUNT(B669:Z669)&gt;0,AVERAGE(B669:Z669),IF(ISNUMBER(AA669),AA669,""))</f>
        <v/>
      </c>
      <c r="AF669" s="29">
        <f>IF(COUNT(B669:Z669)&gt;1,MAX(B669:Z669)-MIN(B669:Z669),IF(ISNUMBER(AB669),AB669,""))</f>
        <v/>
      </c>
      <c r="AG669" s="29">
        <f>IF(COUNT(B669:Z669)&gt;1,_xlfn.STDEV.S(B669:Z669),IF(ISNUMBER(AC669),AC669,""))</f>
        <v/>
      </c>
      <c r="AH669" s="13">
        <f>IF(AND(ISNUMBER(AE669),ISNUMBER($B$23),ISNUMBER($D$23)),IF(AE669&gt;$D$23,"boven UCL",IF(AE669&lt;$B$23,"onder LCL","")),"")</f>
        <v/>
      </c>
      <c r="AI669" s="13">
        <f>IF(AND(ISNUMBER(AF669),ISNUMBER($B$24),ISNUMBER($D$24)),IF(AF669&gt;$D$24,"boven UCL",IF(AF669&lt;$B$24,"onder LCL","")),"")</f>
        <v/>
      </c>
      <c r="AJ669" s="13">
        <f>IF(AND(ISNUMBER(AE669),ISNUMBER($B$25),ISNUMBER($D$25)),IF(AE669&gt;$D$25,"boven UCL",IF(AE669&lt;$B$25,"onder LCL","")),"")</f>
        <v/>
      </c>
      <c r="AK669" s="13">
        <f>IF(AND(ISNUMBER(AG669),ISNUMBER($B$26),ISNUMBER($D$26)),IF(AG669&gt;$D$26,"boven UCL",IF(AG669&lt;$B$26,"onder LCL","")),"")</f>
        <v/>
      </c>
      <c r="AL669" s="13">
        <f>IF(AND(COUNT(B669:Z669)&gt;0,COUNT(AA669:AC669)&gt;0),"ruwe waarden én getypt: getypte genegeerd",IF(COUNTA(B669:Z669,AA669:AC669)&gt;COUNT(B669:Z669,AA669:AC669),"tekst telt niet mee",IF(COUNT(B669:Z669)=1,"1 waarde: geen R of s","")))</f>
        <v/>
      </c>
    </row>
    <row r="670">
      <c r="A670" t="n">
        <v>619</v>
      </c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28">
        <f>IF(COUNT(B670:Z670)&gt;0,COUNT(B670:Z670),IF(OR(ISNUMBER(AA670),ISNUMBER(AB670)),$B$9,""))</f>
        <v/>
      </c>
      <c r="AE670" s="29">
        <f>IF(COUNT(B670:Z670)&gt;0,AVERAGE(B670:Z670),IF(ISNUMBER(AA670),AA670,""))</f>
        <v/>
      </c>
      <c r="AF670" s="29">
        <f>IF(COUNT(B670:Z670)&gt;1,MAX(B670:Z670)-MIN(B670:Z670),IF(ISNUMBER(AB670),AB670,""))</f>
        <v/>
      </c>
      <c r="AG670" s="29">
        <f>IF(COUNT(B670:Z670)&gt;1,_xlfn.STDEV.S(B670:Z670),IF(ISNUMBER(AC670),AC670,""))</f>
        <v/>
      </c>
      <c r="AH670" s="13">
        <f>IF(AND(ISNUMBER(AE670),ISNUMBER($B$23),ISNUMBER($D$23)),IF(AE670&gt;$D$23,"boven UCL",IF(AE670&lt;$B$23,"onder LCL","")),"")</f>
        <v/>
      </c>
      <c r="AI670" s="13">
        <f>IF(AND(ISNUMBER(AF670),ISNUMBER($B$24),ISNUMBER($D$24)),IF(AF670&gt;$D$24,"boven UCL",IF(AF670&lt;$B$24,"onder LCL","")),"")</f>
        <v/>
      </c>
      <c r="AJ670" s="13">
        <f>IF(AND(ISNUMBER(AE670),ISNUMBER($B$25),ISNUMBER($D$25)),IF(AE670&gt;$D$25,"boven UCL",IF(AE670&lt;$B$25,"onder LCL","")),"")</f>
        <v/>
      </c>
      <c r="AK670" s="13">
        <f>IF(AND(ISNUMBER(AG670),ISNUMBER($B$26),ISNUMBER($D$26)),IF(AG670&gt;$D$26,"boven UCL",IF(AG670&lt;$B$26,"onder LCL","")),"")</f>
        <v/>
      </c>
      <c r="AL670" s="13">
        <f>IF(AND(COUNT(B670:Z670)&gt;0,COUNT(AA670:AC670)&gt;0),"ruwe waarden én getypt: getypte genegeerd",IF(COUNTA(B670:Z670,AA670:AC670)&gt;COUNT(B670:Z670,AA670:AC670),"tekst telt niet mee",IF(COUNT(B670:Z670)=1,"1 waarde: geen R of s","")))</f>
        <v/>
      </c>
    </row>
    <row r="671">
      <c r="A671" t="n">
        <v>620</v>
      </c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28">
        <f>IF(COUNT(B671:Z671)&gt;0,COUNT(B671:Z671),IF(OR(ISNUMBER(AA671),ISNUMBER(AB671)),$B$9,""))</f>
        <v/>
      </c>
      <c r="AE671" s="29">
        <f>IF(COUNT(B671:Z671)&gt;0,AVERAGE(B671:Z671),IF(ISNUMBER(AA671),AA671,""))</f>
        <v/>
      </c>
      <c r="AF671" s="29">
        <f>IF(COUNT(B671:Z671)&gt;1,MAX(B671:Z671)-MIN(B671:Z671),IF(ISNUMBER(AB671),AB671,""))</f>
        <v/>
      </c>
      <c r="AG671" s="29">
        <f>IF(COUNT(B671:Z671)&gt;1,_xlfn.STDEV.S(B671:Z671),IF(ISNUMBER(AC671),AC671,""))</f>
        <v/>
      </c>
      <c r="AH671" s="13">
        <f>IF(AND(ISNUMBER(AE671),ISNUMBER($B$23),ISNUMBER($D$23)),IF(AE671&gt;$D$23,"boven UCL",IF(AE671&lt;$B$23,"onder LCL","")),"")</f>
        <v/>
      </c>
      <c r="AI671" s="13">
        <f>IF(AND(ISNUMBER(AF671),ISNUMBER($B$24),ISNUMBER($D$24)),IF(AF671&gt;$D$24,"boven UCL",IF(AF671&lt;$B$24,"onder LCL","")),"")</f>
        <v/>
      </c>
      <c r="AJ671" s="13">
        <f>IF(AND(ISNUMBER(AE671),ISNUMBER($B$25),ISNUMBER($D$25)),IF(AE671&gt;$D$25,"boven UCL",IF(AE671&lt;$B$25,"onder LCL","")),"")</f>
        <v/>
      </c>
      <c r="AK671" s="13">
        <f>IF(AND(ISNUMBER(AG671),ISNUMBER($B$26),ISNUMBER($D$26)),IF(AG671&gt;$D$26,"boven UCL",IF(AG671&lt;$B$26,"onder LCL","")),"")</f>
        <v/>
      </c>
      <c r="AL671" s="13">
        <f>IF(AND(COUNT(B671:Z671)&gt;0,COUNT(AA671:AC671)&gt;0),"ruwe waarden én getypt: getypte genegeerd",IF(COUNTA(B671:Z671,AA671:AC671)&gt;COUNT(B671:Z671,AA671:AC671),"tekst telt niet mee",IF(COUNT(B671:Z671)=1,"1 waarde: geen R of s","")))</f>
        <v/>
      </c>
    </row>
    <row r="672">
      <c r="A672" t="n">
        <v>621</v>
      </c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28">
        <f>IF(COUNT(B672:Z672)&gt;0,COUNT(B672:Z672),IF(OR(ISNUMBER(AA672),ISNUMBER(AB672)),$B$9,""))</f>
        <v/>
      </c>
      <c r="AE672" s="29">
        <f>IF(COUNT(B672:Z672)&gt;0,AVERAGE(B672:Z672),IF(ISNUMBER(AA672),AA672,""))</f>
        <v/>
      </c>
      <c r="AF672" s="29">
        <f>IF(COUNT(B672:Z672)&gt;1,MAX(B672:Z672)-MIN(B672:Z672),IF(ISNUMBER(AB672),AB672,""))</f>
        <v/>
      </c>
      <c r="AG672" s="29">
        <f>IF(COUNT(B672:Z672)&gt;1,_xlfn.STDEV.S(B672:Z672),IF(ISNUMBER(AC672),AC672,""))</f>
        <v/>
      </c>
      <c r="AH672" s="13">
        <f>IF(AND(ISNUMBER(AE672),ISNUMBER($B$23),ISNUMBER($D$23)),IF(AE672&gt;$D$23,"boven UCL",IF(AE672&lt;$B$23,"onder LCL","")),"")</f>
        <v/>
      </c>
      <c r="AI672" s="13">
        <f>IF(AND(ISNUMBER(AF672),ISNUMBER($B$24),ISNUMBER($D$24)),IF(AF672&gt;$D$24,"boven UCL",IF(AF672&lt;$B$24,"onder LCL","")),"")</f>
        <v/>
      </c>
      <c r="AJ672" s="13">
        <f>IF(AND(ISNUMBER(AE672),ISNUMBER($B$25),ISNUMBER($D$25)),IF(AE672&gt;$D$25,"boven UCL",IF(AE672&lt;$B$25,"onder LCL","")),"")</f>
        <v/>
      </c>
      <c r="AK672" s="13">
        <f>IF(AND(ISNUMBER(AG672),ISNUMBER($B$26),ISNUMBER($D$26)),IF(AG672&gt;$D$26,"boven UCL",IF(AG672&lt;$B$26,"onder LCL","")),"")</f>
        <v/>
      </c>
      <c r="AL672" s="13">
        <f>IF(AND(COUNT(B672:Z672)&gt;0,COUNT(AA672:AC672)&gt;0),"ruwe waarden én getypt: getypte genegeerd",IF(COUNTA(B672:Z672,AA672:AC672)&gt;COUNT(B672:Z672,AA672:AC672),"tekst telt niet mee",IF(COUNT(B672:Z672)=1,"1 waarde: geen R of s","")))</f>
        <v/>
      </c>
    </row>
    <row r="673">
      <c r="A673" t="n">
        <v>622</v>
      </c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28">
        <f>IF(COUNT(B673:Z673)&gt;0,COUNT(B673:Z673),IF(OR(ISNUMBER(AA673),ISNUMBER(AB673)),$B$9,""))</f>
        <v/>
      </c>
      <c r="AE673" s="29">
        <f>IF(COUNT(B673:Z673)&gt;0,AVERAGE(B673:Z673),IF(ISNUMBER(AA673),AA673,""))</f>
        <v/>
      </c>
      <c r="AF673" s="29">
        <f>IF(COUNT(B673:Z673)&gt;1,MAX(B673:Z673)-MIN(B673:Z673),IF(ISNUMBER(AB673),AB673,""))</f>
        <v/>
      </c>
      <c r="AG673" s="29">
        <f>IF(COUNT(B673:Z673)&gt;1,_xlfn.STDEV.S(B673:Z673),IF(ISNUMBER(AC673),AC673,""))</f>
        <v/>
      </c>
      <c r="AH673" s="13">
        <f>IF(AND(ISNUMBER(AE673),ISNUMBER($B$23),ISNUMBER($D$23)),IF(AE673&gt;$D$23,"boven UCL",IF(AE673&lt;$B$23,"onder LCL","")),"")</f>
        <v/>
      </c>
      <c r="AI673" s="13">
        <f>IF(AND(ISNUMBER(AF673),ISNUMBER($B$24),ISNUMBER($D$24)),IF(AF673&gt;$D$24,"boven UCL",IF(AF673&lt;$B$24,"onder LCL","")),"")</f>
        <v/>
      </c>
      <c r="AJ673" s="13">
        <f>IF(AND(ISNUMBER(AE673),ISNUMBER($B$25),ISNUMBER($D$25)),IF(AE673&gt;$D$25,"boven UCL",IF(AE673&lt;$B$25,"onder LCL","")),"")</f>
        <v/>
      </c>
      <c r="AK673" s="13">
        <f>IF(AND(ISNUMBER(AG673),ISNUMBER($B$26),ISNUMBER($D$26)),IF(AG673&gt;$D$26,"boven UCL",IF(AG673&lt;$B$26,"onder LCL","")),"")</f>
        <v/>
      </c>
      <c r="AL673" s="13">
        <f>IF(AND(COUNT(B673:Z673)&gt;0,COUNT(AA673:AC673)&gt;0),"ruwe waarden én getypt: getypte genegeerd",IF(COUNTA(B673:Z673,AA673:AC673)&gt;COUNT(B673:Z673,AA673:AC673),"tekst telt niet mee",IF(COUNT(B673:Z673)=1,"1 waarde: geen R of s","")))</f>
        <v/>
      </c>
    </row>
    <row r="674">
      <c r="A674" t="n">
        <v>623</v>
      </c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28">
        <f>IF(COUNT(B674:Z674)&gt;0,COUNT(B674:Z674),IF(OR(ISNUMBER(AA674),ISNUMBER(AB674)),$B$9,""))</f>
        <v/>
      </c>
      <c r="AE674" s="29">
        <f>IF(COUNT(B674:Z674)&gt;0,AVERAGE(B674:Z674),IF(ISNUMBER(AA674),AA674,""))</f>
        <v/>
      </c>
      <c r="AF674" s="29">
        <f>IF(COUNT(B674:Z674)&gt;1,MAX(B674:Z674)-MIN(B674:Z674),IF(ISNUMBER(AB674),AB674,""))</f>
        <v/>
      </c>
      <c r="AG674" s="29">
        <f>IF(COUNT(B674:Z674)&gt;1,_xlfn.STDEV.S(B674:Z674),IF(ISNUMBER(AC674),AC674,""))</f>
        <v/>
      </c>
      <c r="AH674" s="13">
        <f>IF(AND(ISNUMBER(AE674),ISNUMBER($B$23),ISNUMBER($D$23)),IF(AE674&gt;$D$23,"boven UCL",IF(AE674&lt;$B$23,"onder LCL","")),"")</f>
        <v/>
      </c>
      <c r="AI674" s="13">
        <f>IF(AND(ISNUMBER(AF674),ISNUMBER($B$24),ISNUMBER($D$24)),IF(AF674&gt;$D$24,"boven UCL",IF(AF674&lt;$B$24,"onder LCL","")),"")</f>
        <v/>
      </c>
      <c r="AJ674" s="13">
        <f>IF(AND(ISNUMBER(AE674),ISNUMBER($B$25),ISNUMBER($D$25)),IF(AE674&gt;$D$25,"boven UCL",IF(AE674&lt;$B$25,"onder LCL","")),"")</f>
        <v/>
      </c>
      <c r="AK674" s="13">
        <f>IF(AND(ISNUMBER(AG674),ISNUMBER($B$26),ISNUMBER($D$26)),IF(AG674&gt;$D$26,"boven UCL",IF(AG674&lt;$B$26,"onder LCL","")),"")</f>
        <v/>
      </c>
      <c r="AL674" s="13">
        <f>IF(AND(COUNT(B674:Z674)&gt;0,COUNT(AA674:AC674)&gt;0),"ruwe waarden én getypt: getypte genegeerd",IF(COUNTA(B674:Z674,AA674:AC674)&gt;COUNT(B674:Z674,AA674:AC674),"tekst telt niet mee",IF(COUNT(B674:Z674)=1,"1 waarde: geen R of s","")))</f>
        <v/>
      </c>
    </row>
    <row r="675">
      <c r="A675" t="n">
        <v>624</v>
      </c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28">
        <f>IF(COUNT(B675:Z675)&gt;0,COUNT(B675:Z675),IF(OR(ISNUMBER(AA675),ISNUMBER(AB675)),$B$9,""))</f>
        <v/>
      </c>
      <c r="AE675" s="29">
        <f>IF(COUNT(B675:Z675)&gt;0,AVERAGE(B675:Z675),IF(ISNUMBER(AA675),AA675,""))</f>
        <v/>
      </c>
      <c r="AF675" s="29">
        <f>IF(COUNT(B675:Z675)&gt;1,MAX(B675:Z675)-MIN(B675:Z675),IF(ISNUMBER(AB675),AB675,""))</f>
        <v/>
      </c>
      <c r="AG675" s="29">
        <f>IF(COUNT(B675:Z675)&gt;1,_xlfn.STDEV.S(B675:Z675),IF(ISNUMBER(AC675),AC675,""))</f>
        <v/>
      </c>
      <c r="AH675" s="13">
        <f>IF(AND(ISNUMBER(AE675),ISNUMBER($B$23),ISNUMBER($D$23)),IF(AE675&gt;$D$23,"boven UCL",IF(AE675&lt;$B$23,"onder LCL","")),"")</f>
        <v/>
      </c>
      <c r="AI675" s="13">
        <f>IF(AND(ISNUMBER(AF675),ISNUMBER($B$24),ISNUMBER($D$24)),IF(AF675&gt;$D$24,"boven UCL",IF(AF675&lt;$B$24,"onder LCL","")),"")</f>
        <v/>
      </c>
      <c r="AJ675" s="13">
        <f>IF(AND(ISNUMBER(AE675),ISNUMBER($B$25),ISNUMBER($D$25)),IF(AE675&gt;$D$25,"boven UCL",IF(AE675&lt;$B$25,"onder LCL","")),"")</f>
        <v/>
      </c>
      <c r="AK675" s="13">
        <f>IF(AND(ISNUMBER(AG675),ISNUMBER($B$26),ISNUMBER($D$26)),IF(AG675&gt;$D$26,"boven UCL",IF(AG675&lt;$B$26,"onder LCL","")),"")</f>
        <v/>
      </c>
      <c r="AL675" s="13">
        <f>IF(AND(COUNT(B675:Z675)&gt;0,COUNT(AA675:AC675)&gt;0),"ruwe waarden én getypt: getypte genegeerd",IF(COUNTA(B675:Z675,AA675:AC675)&gt;COUNT(B675:Z675,AA675:AC675),"tekst telt niet mee",IF(COUNT(B675:Z675)=1,"1 waarde: geen R of s","")))</f>
        <v/>
      </c>
    </row>
    <row r="676">
      <c r="A676" t="n">
        <v>625</v>
      </c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28">
        <f>IF(COUNT(B676:Z676)&gt;0,COUNT(B676:Z676),IF(OR(ISNUMBER(AA676),ISNUMBER(AB676)),$B$9,""))</f>
        <v/>
      </c>
      <c r="AE676" s="29">
        <f>IF(COUNT(B676:Z676)&gt;0,AVERAGE(B676:Z676),IF(ISNUMBER(AA676),AA676,""))</f>
        <v/>
      </c>
      <c r="AF676" s="29">
        <f>IF(COUNT(B676:Z676)&gt;1,MAX(B676:Z676)-MIN(B676:Z676),IF(ISNUMBER(AB676),AB676,""))</f>
        <v/>
      </c>
      <c r="AG676" s="29">
        <f>IF(COUNT(B676:Z676)&gt;1,_xlfn.STDEV.S(B676:Z676),IF(ISNUMBER(AC676),AC676,""))</f>
        <v/>
      </c>
      <c r="AH676" s="13">
        <f>IF(AND(ISNUMBER(AE676),ISNUMBER($B$23),ISNUMBER($D$23)),IF(AE676&gt;$D$23,"boven UCL",IF(AE676&lt;$B$23,"onder LCL","")),"")</f>
        <v/>
      </c>
      <c r="AI676" s="13">
        <f>IF(AND(ISNUMBER(AF676),ISNUMBER($B$24),ISNUMBER($D$24)),IF(AF676&gt;$D$24,"boven UCL",IF(AF676&lt;$B$24,"onder LCL","")),"")</f>
        <v/>
      </c>
      <c r="AJ676" s="13">
        <f>IF(AND(ISNUMBER(AE676),ISNUMBER($B$25),ISNUMBER($D$25)),IF(AE676&gt;$D$25,"boven UCL",IF(AE676&lt;$B$25,"onder LCL","")),"")</f>
        <v/>
      </c>
      <c r="AK676" s="13">
        <f>IF(AND(ISNUMBER(AG676),ISNUMBER($B$26),ISNUMBER($D$26)),IF(AG676&gt;$D$26,"boven UCL",IF(AG676&lt;$B$26,"onder LCL","")),"")</f>
        <v/>
      </c>
      <c r="AL676" s="13">
        <f>IF(AND(COUNT(B676:Z676)&gt;0,COUNT(AA676:AC676)&gt;0),"ruwe waarden én getypt: getypte genegeerd",IF(COUNTA(B676:Z676,AA676:AC676)&gt;COUNT(B676:Z676,AA676:AC676),"tekst telt niet mee",IF(COUNT(B676:Z676)=1,"1 waarde: geen R of s","")))</f>
        <v/>
      </c>
    </row>
    <row r="677">
      <c r="A677" t="n">
        <v>626</v>
      </c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28">
        <f>IF(COUNT(B677:Z677)&gt;0,COUNT(B677:Z677),IF(OR(ISNUMBER(AA677),ISNUMBER(AB677)),$B$9,""))</f>
        <v/>
      </c>
      <c r="AE677" s="29">
        <f>IF(COUNT(B677:Z677)&gt;0,AVERAGE(B677:Z677),IF(ISNUMBER(AA677),AA677,""))</f>
        <v/>
      </c>
      <c r="AF677" s="29">
        <f>IF(COUNT(B677:Z677)&gt;1,MAX(B677:Z677)-MIN(B677:Z677),IF(ISNUMBER(AB677),AB677,""))</f>
        <v/>
      </c>
      <c r="AG677" s="29">
        <f>IF(COUNT(B677:Z677)&gt;1,_xlfn.STDEV.S(B677:Z677),IF(ISNUMBER(AC677),AC677,""))</f>
        <v/>
      </c>
      <c r="AH677" s="13">
        <f>IF(AND(ISNUMBER(AE677),ISNUMBER($B$23),ISNUMBER($D$23)),IF(AE677&gt;$D$23,"boven UCL",IF(AE677&lt;$B$23,"onder LCL","")),"")</f>
        <v/>
      </c>
      <c r="AI677" s="13">
        <f>IF(AND(ISNUMBER(AF677),ISNUMBER($B$24),ISNUMBER($D$24)),IF(AF677&gt;$D$24,"boven UCL",IF(AF677&lt;$B$24,"onder LCL","")),"")</f>
        <v/>
      </c>
      <c r="AJ677" s="13">
        <f>IF(AND(ISNUMBER(AE677),ISNUMBER($B$25),ISNUMBER($D$25)),IF(AE677&gt;$D$25,"boven UCL",IF(AE677&lt;$B$25,"onder LCL","")),"")</f>
        <v/>
      </c>
      <c r="AK677" s="13">
        <f>IF(AND(ISNUMBER(AG677),ISNUMBER($B$26),ISNUMBER($D$26)),IF(AG677&gt;$D$26,"boven UCL",IF(AG677&lt;$B$26,"onder LCL","")),"")</f>
        <v/>
      </c>
      <c r="AL677" s="13">
        <f>IF(AND(COUNT(B677:Z677)&gt;0,COUNT(AA677:AC677)&gt;0),"ruwe waarden én getypt: getypte genegeerd",IF(COUNTA(B677:Z677,AA677:AC677)&gt;COUNT(B677:Z677,AA677:AC677),"tekst telt niet mee",IF(COUNT(B677:Z677)=1,"1 waarde: geen R of s","")))</f>
        <v/>
      </c>
    </row>
    <row r="678">
      <c r="A678" t="n">
        <v>627</v>
      </c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28">
        <f>IF(COUNT(B678:Z678)&gt;0,COUNT(B678:Z678),IF(OR(ISNUMBER(AA678),ISNUMBER(AB678)),$B$9,""))</f>
        <v/>
      </c>
      <c r="AE678" s="29">
        <f>IF(COUNT(B678:Z678)&gt;0,AVERAGE(B678:Z678),IF(ISNUMBER(AA678),AA678,""))</f>
        <v/>
      </c>
      <c r="AF678" s="29">
        <f>IF(COUNT(B678:Z678)&gt;1,MAX(B678:Z678)-MIN(B678:Z678),IF(ISNUMBER(AB678),AB678,""))</f>
        <v/>
      </c>
      <c r="AG678" s="29">
        <f>IF(COUNT(B678:Z678)&gt;1,_xlfn.STDEV.S(B678:Z678),IF(ISNUMBER(AC678),AC678,""))</f>
        <v/>
      </c>
      <c r="AH678" s="13">
        <f>IF(AND(ISNUMBER(AE678),ISNUMBER($B$23),ISNUMBER($D$23)),IF(AE678&gt;$D$23,"boven UCL",IF(AE678&lt;$B$23,"onder LCL","")),"")</f>
        <v/>
      </c>
      <c r="AI678" s="13">
        <f>IF(AND(ISNUMBER(AF678),ISNUMBER($B$24),ISNUMBER($D$24)),IF(AF678&gt;$D$24,"boven UCL",IF(AF678&lt;$B$24,"onder LCL","")),"")</f>
        <v/>
      </c>
      <c r="AJ678" s="13">
        <f>IF(AND(ISNUMBER(AE678),ISNUMBER($B$25),ISNUMBER($D$25)),IF(AE678&gt;$D$25,"boven UCL",IF(AE678&lt;$B$25,"onder LCL","")),"")</f>
        <v/>
      </c>
      <c r="AK678" s="13">
        <f>IF(AND(ISNUMBER(AG678),ISNUMBER($B$26),ISNUMBER($D$26)),IF(AG678&gt;$D$26,"boven UCL",IF(AG678&lt;$B$26,"onder LCL","")),"")</f>
        <v/>
      </c>
      <c r="AL678" s="13">
        <f>IF(AND(COUNT(B678:Z678)&gt;0,COUNT(AA678:AC678)&gt;0),"ruwe waarden én getypt: getypte genegeerd",IF(COUNTA(B678:Z678,AA678:AC678)&gt;COUNT(B678:Z678,AA678:AC678),"tekst telt niet mee",IF(COUNT(B678:Z678)=1,"1 waarde: geen R of s","")))</f>
        <v/>
      </c>
    </row>
    <row r="679">
      <c r="A679" t="n">
        <v>628</v>
      </c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28">
        <f>IF(COUNT(B679:Z679)&gt;0,COUNT(B679:Z679),IF(OR(ISNUMBER(AA679),ISNUMBER(AB679)),$B$9,""))</f>
        <v/>
      </c>
      <c r="AE679" s="29">
        <f>IF(COUNT(B679:Z679)&gt;0,AVERAGE(B679:Z679),IF(ISNUMBER(AA679),AA679,""))</f>
        <v/>
      </c>
      <c r="AF679" s="29">
        <f>IF(COUNT(B679:Z679)&gt;1,MAX(B679:Z679)-MIN(B679:Z679),IF(ISNUMBER(AB679),AB679,""))</f>
        <v/>
      </c>
      <c r="AG679" s="29">
        <f>IF(COUNT(B679:Z679)&gt;1,_xlfn.STDEV.S(B679:Z679),IF(ISNUMBER(AC679),AC679,""))</f>
        <v/>
      </c>
      <c r="AH679" s="13">
        <f>IF(AND(ISNUMBER(AE679),ISNUMBER($B$23),ISNUMBER($D$23)),IF(AE679&gt;$D$23,"boven UCL",IF(AE679&lt;$B$23,"onder LCL","")),"")</f>
        <v/>
      </c>
      <c r="AI679" s="13">
        <f>IF(AND(ISNUMBER(AF679),ISNUMBER($B$24),ISNUMBER($D$24)),IF(AF679&gt;$D$24,"boven UCL",IF(AF679&lt;$B$24,"onder LCL","")),"")</f>
        <v/>
      </c>
      <c r="AJ679" s="13">
        <f>IF(AND(ISNUMBER(AE679),ISNUMBER($B$25),ISNUMBER($D$25)),IF(AE679&gt;$D$25,"boven UCL",IF(AE679&lt;$B$25,"onder LCL","")),"")</f>
        <v/>
      </c>
      <c r="AK679" s="13">
        <f>IF(AND(ISNUMBER(AG679),ISNUMBER($B$26),ISNUMBER($D$26)),IF(AG679&gt;$D$26,"boven UCL",IF(AG679&lt;$B$26,"onder LCL","")),"")</f>
        <v/>
      </c>
      <c r="AL679" s="13">
        <f>IF(AND(COUNT(B679:Z679)&gt;0,COUNT(AA679:AC679)&gt;0),"ruwe waarden én getypt: getypte genegeerd",IF(COUNTA(B679:Z679,AA679:AC679)&gt;COUNT(B679:Z679,AA679:AC679),"tekst telt niet mee",IF(COUNT(B679:Z679)=1,"1 waarde: geen R of s","")))</f>
        <v/>
      </c>
    </row>
    <row r="680">
      <c r="A680" t="n">
        <v>629</v>
      </c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28">
        <f>IF(COUNT(B680:Z680)&gt;0,COUNT(B680:Z680),IF(OR(ISNUMBER(AA680),ISNUMBER(AB680)),$B$9,""))</f>
        <v/>
      </c>
      <c r="AE680" s="29">
        <f>IF(COUNT(B680:Z680)&gt;0,AVERAGE(B680:Z680),IF(ISNUMBER(AA680),AA680,""))</f>
        <v/>
      </c>
      <c r="AF680" s="29">
        <f>IF(COUNT(B680:Z680)&gt;1,MAX(B680:Z680)-MIN(B680:Z680),IF(ISNUMBER(AB680),AB680,""))</f>
        <v/>
      </c>
      <c r="AG680" s="29">
        <f>IF(COUNT(B680:Z680)&gt;1,_xlfn.STDEV.S(B680:Z680),IF(ISNUMBER(AC680),AC680,""))</f>
        <v/>
      </c>
      <c r="AH680" s="13">
        <f>IF(AND(ISNUMBER(AE680),ISNUMBER($B$23),ISNUMBER($D$23)),IF(AE680&gt;$D$23,"boven UCL",IF(AE680&lt;$B$23,"onder LCL","")),"")</f>
        <v/>
      </c>
      <c r="AI680" s="13">
        <f>IF(AND(ISNUMBER(AF680),ISNUMBER($B$24),ISNUMBER($D$24)),IF(AF680&gt;$D$24,"boven UCL",IF(AF680&lt;$B$24,"onder LCL","")),"")</f>
        <v/>
      </c>
      <c r="AJ680" s="13">
        <f>IF(AND(ISNUMBER(AE680),ISNUMBER($B$25),ISNUMBER($D$25)),IF(AE680&gt;$D$25,"boven UCL",IF(AE680&lt;$B$25,"onder LCL","")),"")</f>
        <v/>
      </c>
      <c r="AK680" s="13">
        <f>IF(AND(ISNUMBER(AG680),ISNUMBER($B$26),ISNUMBER($D$26)),IF(AG680&gt;$D$26,"boven UCL",IF(AG680&lt;$B$26,"onder LCL","")),"")</f>
        <v/>
      </c>
      <c r="AL680" s="13">
        <f>IF(AND(COUNT(B680:Z680)&gt;0,COUNT(AA680:AC680)&gt;0),"ruwe waarden én getypt: getypte genegeerd",IF(COUNTA(B680:Z680,AA680:AC680)&gt;COUNT(B680:Z680,AA680:AC680),"tekst telt niet mee",IF(COUNT(B680:Z680)=1,"1 waarde: geen R of s","")))</f>
        <v/>
      </c>
    </row>
    <row r="681">
      <c r="A681" t="n">
        <v>630</v>
      </c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28">
        <f>IF(COUNT(B681:Z681)&gt;0,COUNT(B681:Z681),IF(OR(ISNUMBER(AA681),ISNUMBER(AB681)),$B$9,""))</f>
        <v/>
      </c>
      <c r="AE681" s="29">
        <f>IF(COUNT(B681:Z681)&gt;0,AVERAGE(B681:Z681),IF(ISNUMBER(AA681),AA681,""))</f>
        <v/>
      </c>
      <c r="AF681" s="29">
        <f>IF(COUNT(B681:Z681)&gt;1,MAX(B681:Z681)-MIN(B681:Z681),IF(ISNUMBER(AB681),AB681,""))</f>
        <v/>
      </c>
      <c r="AG681" s="29">
        <f>IF(COUNT(B681:Z681)&gt;1,_xlfn.STDEV.S(B681:Z681),IF(ISNUMBER(AC681),AC681,""))</f>
        <v/>
      </c>
      <c r="AH681" s="13">
        <f>IF(AND(ISNUMBER(AE681),ISNUMBER($B$23),ISNUMBER($D$23)),IF(AE681&gt;$D$23,"boven UCL",IF(AE681&lt;$B$23,"onder LCL","")),"")</f>
        <v/>
      </c>
      <c r="AI681" s="13">
        <f>IF(AND(ISNUMBER(AF681),ISNUMBER($B$24),ISNUMBER($D$24)),IF(AF681&gt;$D$24,"boven UCL",IF(AF681&lt;$B$24,"onder LCL","")),"")</f>
        <v/>
      </c>
      <c r="AJ681" s="13">
        <f>IF(AND(ISNUMBER(AE681),ISNUMBER($B$25),ISNUMBER($D$25)),IF(AE681&gt;$D$25,"boven UCL",IF(AE681&lt;$B$25,"onder LCL","")),"")</f>
        <v/>
      </c>
      <c r="AK681" s="13">
        <f>IF(AND(ISNUMBER(AG681),ISNUMBER($B$26),ISNUMBER($D$26)),IF(AG681&gt;$D$26,"boven UCL",IF(AG681&lt;$B$26,"onder LCL","")),"")</f>
        <v/>
      </c>
      <c r="AL681" s="13">
        <f>IF(AND(COUNT(B681:Z681)&gt;0,COUNT(AA681:AC681)&gt;0),"ruwe waarden én getypt: getypte genegeerd",IF(COUNTA(B681:Z681,AA681:AC681)&gt;COUNT(B681:Z681,AA681:AC681),"tekst telt niet mee",IF(COUNT(B681:Z681)=1,"1 waarde: geen R of s","")))</f>
        <v/>
      </c>
    </row>
    <row r="682">
      <c r="A682" t="n">
        <v>631</v>
      </c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28">
        <f>IF(COUNT(B682:Z682)&gt;0,COUNT(B682:Z682),IF(OR(ISNUMBER(AA682),ISNUMBER(AB682)),$B$9,""))</f>
        <v/>
      </c>
      <c r="AE682" s="29">
        <f>IF(COUNT(B682:Z682)&gt;0,AVERAGE(B682:Z682),IF(ISNUMBER(AA682),AA682,""))</f>
        <v/>
      </c>
      <c r="AF682" s="29">
        <f>IF(COUNT(B682:Z682)&gt;1,MAX(B682:Z682)-MIN(B682:Z682),IF(ISNUMBER(AB682),AB682,""))</f>
        <v/>
      </c>
      <c r="AG682" s="29">
        <f>IF(COUNT(B682:Z682)&gt;1,_xlfn.STDEV.S(B682:Z682),IF(ISNUMBER(AC682),AC682,""))</f>
        <v/>
      </c>
      <c r="AH682" s="13">
        <f>IF(AND(ISNUMBER(AE682),ISNUMBER($B$23),ISNUMBER($D$23)),IF(AE682&gt;$D$23,"boven UCL",IF(AE682&lt;$B$23,"onder LCL","")),"")</f>
        <v/>
      </c>
      <c r="AI682" s="13">
        <f>IF(AND(ISNUMBER(AF682),ISNUMBER($B$24),ISNUMBER($D$24)),IF(AF682&gt;$D$24,"boven UCL",IF(AF682&lt;$B$24,"onder LCL","")),"")</f>
        <v/>
      </c>
      <c r="AJ682" s="13">
        <f>IF(AND(ISNUMBER(AE682),ISNUMBER($B$25),ISNUMBER($D$25)),IF(AE682&gt;$D$25,"boven UCL",IF(AE682&lt;$B$25,"onder LCL","")),"")</f>
        <v/>
      </c>
      <c r="AK682" s="13">
        <f>IF(AND(ISNUMBER(AG682),ISNUMBER($B$26),ISNUMBER($D$26)),IF(AG682&gt;$D$26,"boven UCL",IF(AG682&lt;$B$26,"onder LCL","")),"")</f>
        <v/>
      </c>
      <c r="AL682" s="13">
        <f>IF(AND(COUNT(B682:Z682)&gt;0,COUNT(AA682:AC682)&gt;0),"ruwe waarden én getypt: getypte genegeerd",IF(COUNTA(B682:Z682,AA682:AC682)&gt;COUNT(B682:Z682,AA682:AC682),"tekst telt niet mee",IF(COUNT(B682:Z682)=1,"1 waarde: geen R of s","")))</f>
        <v/>
      </c>
    </row>
    <row r="683">
      <c r="A683" t="n">
        <v>632</v>
      </c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28">
        <f>IF(COUNT(B683:Z683)&gt;0,COUNT(B683:Z683),IF(OR(ISNUMBER(AA683),ISNUMBER(AB683)),$B$9,""))</f>
        <v/>
      </c>
      <c r="AE683" s="29">
        <f>IF(COUNT(B683:Z683)&gt;0,AVERAGE(B683:Z683),IF(ISNUMBER(AA683),AA683,""))</f>
        <v/>
      </c>
      <c r="AF683" s="29">
        <f>IF(COUNT(B683:Z683)&gt;1,MAX(B683:Z683)-MIN(B683:Z683),IF(ISNUMBER(AB683),AB683,""))</f>
        <v/>
      </c>
      <c r="AG683" s="29">
        <f>IF(COUNT(B683:Z683)&gt;1,_xlfn.STDEV.S(B683:Z683),IF(ISNUMBER(AC683),AC683,""))</f>
        <v/>
      </c>
      <c r="AH683" s="13">
        <f>IF(AND(ISNUMBER(AE683),ISNUMBER($B$23),ISNUMBER($D$23)),IF(AE683&gt;$D$23,"boven UCL",IF(AE683&lt;$B$23,"onder LCL","")),"")</f>
        <v/>
      </c>
      <c r="AI683" s="13">
        <f>IF(AND(ISNUMBER(AF683),ISNUMBER($B$24),ISNUMBER($D$24)),IF(AF683&gt;$D$24,"boven UCL",IF(AF683&lt;$B$24,"onder LCL","")),"")</f>
        <v/>
      </c>
      <c r="AJ683" s="13">
        <f>IF(AND(ISNUMBER(AE683),ISNUMBER($B$25),ISNUMBER($D$25)),IF(AE683&gt;$D$25,"boven UCL",IF(AE683&lt;$B$25,"onder LCL","")),"")</f>
        <v/>
      </c>
      <c r="AK683" s="13">
        <f>IF(AND(ISNUMBER(AG683),ISNUMBER($B$26),ISNUMBER($D$26)),IF(AG683&gt;$D$26,"boven UCL",IF(AG683&lt;$B$26,"onder LCL","")),"")</f>
        <v/>
      </c>
      <c r="AL683" s="13">
        <f>IF(AND(COUNT(B683:Z683)&gt;0,COUNT(AA683:AC683)&gt;0),"ruwe waarden én getypt: getypte genegeerd",IF(COUNTA(B683:Z683,AA683:AC683)&gt;COUNT(B683:Z683,AA683:AC683),"tekst telt niet mee",IF(COUNT(B683:Z683)=1,"1 waarde: geen R of s","")))</f>
        <v/>
      </c>
    </row>
    <row r="684">
      <c r="A684" t="n">
        <v>633</v>
      </c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28">
        <f>IF(COUNT(B684:Z684)&gt;0,COUNT(B684:Z684),IF(OR(ISNUMBER(AA684),ISNUMBER(AB684)),$B$9,""))</f>
        <v/>
      </c>
      <c r="AE684" s="29">
        <f>IF(COUNT(B684:Z684)&gt;0,AVERAGE(B684:Z684),IF(ISNUMBER(AA684),AA684,""))</f>
        <v/>
      </c>
      <c r="AF684" s="29">
        <f>IF(COUNT(B684:Z684)&gt;1,MAX(B684:Z684)-MIN(B684:Z684),IF(ISNUMBER(AB684),AB684,""))</f>
        <v/>
      </c>
      <c r="AG684" s="29">
        <f>IF(COUNT(B684:Z684)&gt;1,_xlfn.STDEV.S(B684:Z684),IF(ISNUMBER(AC684),AC684,""))</f>
        <v/>
      </c>
      <c r="AH684" s="13">
        <f>IF(AND(ISNUMBER(AE684),ISNUMBER($B$23),ISNUMBER($D$23)),IF(AE684&gt;$D$23,"boven UCL",IF(AE684&lt;$B$23,"onder LCL","")),"")</f>
        <v/>
      </c>
      <c r="AI684" s="13">
        <f>IF(AND(ISNUMBER(AF684),ISNUMBER($B$24),ISNUMBER($D$24)),IF(AF684&gt;$D$24,"boven UCL",IF(AF684&lt;$B$24,"onder LCL","")),"")</f>
        <v/>
      </c>
      <c r="AJ684" s="13">
        <f>IF(AND(ISNUMBER(AE684),ISNUMBER($B$25),ISNUMBER($D$25)),IF(AE684&gt;$D$25,"boven UCL",IF(AE684&lt;$B$25,"onder LCL","")),"")</f>
        <v/>
      </c>
      <c r="AK684" s="13">
        <f>IF(AND(ISNUMBER(AG684),ISNUMBER($B$26),ISNUMBER($D$26)),IF(AG684&gt;$D$26,"boven UCL",IF(AG684&lt;$B$26,"onder LCL","")),"")</f>
        <v/>
      </c>
      <c r="AL684" s="13">
        <f>IF(AND(COUNT(B684:Z684)&gt;0,COUNT(AA684:AC684)&gt;0),"ruwe waarden én getypt: getypte genegeerd",IF(COUNTA(B684:Z684,AA684:AC684)&gt;COUNT(B684:Z684,AA684:AC684),"tekst telt niet mee",IF(COUNT(B684:Z684)=1,"1 waarde: geen R of s","")))</f>
        <v/>
      </c>
    </row>
    <row r="685">
      <c r="A685" t="n">
        <v>634</v>
      </c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28">
        <f>IF(COUNT(B685:Z685)&gt;0,COUNT(B685:Z685),IF(OR(ISNUMBER(AA685),ISNUMBER(AB685)),$B$9,""))</f>
        <v/>
      </c>
      <c r="AE685" s="29">
        <f>IF(COUNT(B685:Z685)&gt;0,AVERAGE(B685:Z685),IF(ISNUMBER(AA685),AA685,""))</f>
        <v/>
      </c>
      <c r="AF685" s="29">
        <f>IF(COUNT(B685:Z685)&gt;1,MAX(B685:Z685)-MIN(B685:Z685),IF(ISNUMBER(AB685),AB685,""))</f>
        <v/>
      </c>
      <c r="AG685" s="29">
        <f>IF(COUNT(B685:Z685)&gt;1,_xlfn.STDEV.S(B685:Z685),IF(ISNUMBER(AC685),AC685,""))</f>
        <v/>
      </c>
      <c r="AH685" s="13">
        <f>IF(AND(ISNUMBER(AE685),ISNUMBER($B$23),ISNUMBER($D$23)),IF(AE685&gt;$D$23,"boven UCL",IF(AE685&lt;$B$23,"onder LCL","")),"")</f>
        <v/>
      </c>
      <c r="AI685" s="13">
        <f>IF(AND(ISNUMBER(AF685),ISNUMBER($B$24),ISNUMBER($D$24)),IF(AF685&gt;$D$24,"boven UCL",IF(AF685&lt;$B$24,"onder LCL","")),"")</f>
        <v/>
      </c>
      <c r="AJ685" s="13">
        <f>IF(AND(ISNUMBER(AE685),ISNUMBER($B$25),ISNUMBER($D$25)),IF(AE685&gt;$D$25,"boven UCL",IF(AE685&lt;$B$25,"onder LCL","")),"")</f>
        <v/>
      </c>
      <c r="AK685" s="13">
        <f>IF(AND(ISNUMBER(AG685),ISNUMBER($B$26),ISNUMBER($D$26)),IF(AG685&gt;$D$26,"boven UCL",IF(AG685&lt;$B$26,"onder LCL","")),"")</f>
        <v/>
      </c>
      <c r="AL685" s="13">
        <f>IF(AND(COUNT(B685:Z685)&gt;0,COUNT(AA685:AC685)&gt;0),"ruwe waarden én getypt: getypte genegeerd",IF(COUNTA(B685:Z685,AA685:AC685)&gt;COUNT(B685:Z685,AA685:AC685),"tekst telt niet mee",IF(COUNT(B685:Z685)=1,"1 waarde: geen R of s","")))</f>
        <v/>
      </c>
    </row>
    <row r="686">
      <c r="A686" t="n">
        <v>635</v>
      </c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28">
        <f>IF(COUNT(B686:Z686)&gt;0,COUNT(B686:Z686),IF(OR(ISNUMBER(AA686),ISNUMBER(AB686)),$B$9,""))</f>
        <v/>
      </c>
      <c r="AE686" s="29">
        <f>IF(COUNT(B686:Z686)&gt;0,AVERAGE(B686:Z686),IF(ISNUMBER(AA686),AA686,""))</f>
        <v/>
      </c>
      <c r="AF686" s="29">
        <f>IF(COUNT(B686:Z686)&gt;1,MAX(B686:Z686)-MIN(B686:Z686),IF(ISNUMBER(AB686),AB686,""))</f>
        <v/>
      </c>
      <c r="AG686" s="29">
        <f>IF(COUNT(B686:Z686)&gt;1,_xlfn.STDEV.S(B686:Z686),IF(ISNUMBER(AC686),AC686,""))</f>
        <v/>
      </c>
      <c r="AH686" s="13">
        <f>IF(AND(ISNUMBER(AE686),ISNUMBER($B$23),ISNUMBER($D$23)),IF(AE686&gt;$D$23,"boven UCL",IF(AE686&lt;$B$23,"onder LCL","")),"")</f>
        <v/>
      </c>
      <c r="AI686" s="13">
        <f>IF(AND(ISNUMBER(AF686),ISNUMBER($B$24),ISNUMBER($D$24)),IF(AF686&gt;$D$24,"boven UCL",IF(AF686&lt;$B$24,"onder LCL","")),"")</f>
        <v/>
      </c>
      <c r="AJ686" s="13">
        <f>IF(AND(ISNUMBER(AE686),ISNUMBER($B$25),ISNUMBER($D$25)),IF(AE686&gt;$D$25,"boven UCL",IF(AE686&lt;$B$25,"onder LCL","")),"")</f>
        <v/>
      </c>
      <c r="AK686" s="13">
        <f>IF(AND(ISNUMBER(AG686),ISNUMBER($B$26),ISNUMBER($D$26)),IF(AG686&gt;$D$26,"boven UCL",IF(AG686&lt;$B$26,"onder LCL","")),"")</f>
        <v/>
      </c>
      <c r="AL686" s="13">
        <f>IF(AND(COUNT(B686:Z686)&gt;0,COUNT(AA686:AC686)&gt;0),"ruwe waarden én getypt: getypte genegeerd",IF(COUNTA(B686:Z686,AA686:AC686)&gt;COUNT(B686:Z686,AA686:AC686),"tekst telt niet mee",IF(COUNT(B686:Z686)=1,"1 waarde: geen R of s","")))</f>
        <v/>
      </c>
    </row>
    <row r="687">
      <c r="A687" t="n">
        <v>636</v>
      </c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28">
        <f>IF(COUNT(B687:Z687)&gt;0,COUNT(B687:Z687),IF(OR(ISNUMBER(AA687),ISNUMBER(AB687)),$B$9,""))</f>
        <v/>
      </c>
      <c r="AE687" s="29">
        <f>IF(COUNT(B687:Z687)&gt;0,AVERAGE(B687:Z687),IF(ISNUMBER(AA687),AA687,""))</f>
        <v/>
      </c>
      <c r="AF687" s="29">
        <f>IF(COUNT(B687:Z687)&gt;1,MAX(B687:Z687)-MIN(B687:Z687),IF(ISNUMBER(AB687),AB687,""))</f>
        <v/>
      </c>
      <c r="AG687" s="29">
        <f>IF(COUNT(B687:Z687)&gt;1,_xlfn.STDEV.S(B687:Z687),IF(ISNUMBER(AC687),AC687,""))</f>
        <v/>
      </c>
      <c r="AH687" s="13">
        <f>IF(AND(ISNUMBER(AE687),ISNUMBER($B$23),ISNUMBER($D$23)),IF(AE687&gt;$D$23,"boven UCL",IF(AE687&lt;$B$23,"onder LCL","")),"")</f>
        <v/>
      </c>
      <c r="AI687" s="13">
        <f>IF(AND(ISNUMBER(AF687),ISNUMBER($B$24),ISNUMBER($D$24)),IF(AF687&gt;$D$24,"boven UCL",IF(AF687&lt;$B$24,"onder LCL","")),"")</f>
        <v/>
      </c>
      <c r="AJ687" s="13">
        <f>IF(AND(ISNUMBER(AE687),ISNUMBER($B$25),ISNUMBER($D$25)),IF(AE687&gt;$D$25,"boven UCL",IF(AE687&lt;$B$25,"onder LCL","")),"")</f>
        <v/>
      </c>
      <c r="AK687" s="13">
        <f>IF(AND(ISNUMBER(AG687),ISNUMBER($B$26),ISNUMBER($D$26)),IF(AG687&gt;$D$26,"boven UCL",IF(AG687&lt;$B$26,"onder LCL","")),"")</f>
        <v/>
      </c>
      <c r="AL687" s="13">
        <f>IF(AND(COUNT(B687:Z687)&gt;0,COUNT(AA687:AC687)&gt;0),"ruwe waarden én getypt: getypte genegeerd",IF(COUNTA(B687:Z687,AA687:AC687)&gt;COUNT(B687:Z687,AA687:AC687),"tekst telt niet mee",IF(COUNT(B687:Z687)=1,"1 waarde: geen R of s","")))</f>
        <v/>
      </c>
    </row>
    <row r="688">
      <c r="A688" t="n">
        <v>637</v>
      </c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28">
        <f>IF(COUNT(B688:Z688)&gt;0,COUNT(B688:Z688),IF(OR(ISNUMBER(AA688),ISNUMBER(AB688)),$B$9,""))</f>
        <v/>
      </c>
      <c r="AE688" s="29">
        <f>IF(COUNT(B688:Z688)&gt;0,AVERAGE(B688:Z688),IF(ISNUMBER(AA688),AA688,""))</f>
        <v/>
      </c>
      <c r="AF688" s="29">
        <f>IF(COUNT(B688:Z688)&gt;1,MAX(B688:Z688)-MIN(B688:Z688),IF(ISNUMBER(AB688),AB688,""))</f>
        <v/>
      </c>
      <c r="AG688" s="29">
        <f>IF(COUNT(B688:Z688)&gt;1,_xlfn.STDEV.S(B688:Z688),IF(ISNUMBER(AC688),AC688,""))</f>
        <v/>
      </c>
      <c r="AH688" s="13">
        <f>IF(AND(ISNUMBER(AE688),ISNUMBER($B$23),ISNUMBER($D$23)),IF(AE688&gt;$D$23,"boven UCL",IF(AE688&lt;$B$23,"onder LCL","")),"")</f>
        <v/>
      </c>
      <c r="AI688" s="13">
        <f>IF(AND(ISNUMBER(AF688),ISNUMBER($B$24),ISNUMBER($D$24)),IF(AF688&gt;$D$24,"boven UCL",IF(AF688&lt;$B$24,"onder LCL","")),"")</f>
        <v/>
      </c>
      <c r="AJ688" s="13">
        <f>IF(AND(ISNUMBER(AE688),ISNUMBER($B$25),ISNUMBER($D$25)),IF(AE688&gt;$D$25,"boven UCL",IF(AE688&lt;$B$25,"onder LCL","")),"")</f>
        <v/>
      </c>
      <c r="AK688" s="13">
        <f>IF(AND(ISNUMBER(AG688),ISNUMBER($B$26),ISNUMBER($D$26)),IF(AG688&gt;$D$26,"boven UCL",IF(AG688&lt;$B$26,"onder LCL","")),"")</f>
        <v/>
      </c>
      <c r="AL688" s="13">
        <f>IF(AND(COUNT(B688:Z688)&gt;0,COUNT(AA688:AC688)&gt;0),"ruwe waarden én getypt: getypte genegeerd",IF(COUNTA(B688:Z688,AA688:AC688)&gt;COUNT(B688:Z688,AA688:AC688),"tekst telt niet mee",IF(COUNT(B688:Z688)=1,"1 waarde: geen R of s","")))</f>
        <v/>
      </c>
    </row>
    <row r="689">
      <c r="A689" t="n">
        <v>638</v>
      </c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28">
        <f>IF(COUNT(B689:Z689)&gt;0,COUNT(B689:Z689),IF(OR(ISNUMBER(AA689),ISNUMBER(AB689)),$B$9,""))</f>
        <v/>
      </c>
      <c r="AE689" s="29">
        <f>IF(COUNT(B689:Z689)&gt;0,AVERAGE(B689:Z689),IF(ISNUMBER(AA689),AA689,""))</f>
        <v/>
      </c>
      <c r="AF689" s="29">
        <f>IF(COUNT(B689:Z689)&gt;1,MAX(B689:Z689)-MIN(B689:Z689),IF(ISNUMBER(AB689),AB689,""))</f>
        <v/>
      </c>
      <c r="AG689" s="29">
        <f>IF(COUNT(B689:Z689)&gt;1,_xlfn.STDEV.S(B689:Z689),IF(ISNUMBER(AC689),AC689,""))</f>
        <v/>
      </c>
      <c r="AH689" s="13">
        <f>IF(AND(ISNUMBER(AE689),ISNUMBER($B$23),ISNUMBER($D$23)),IF(AE689&gt;$D$23,"boven UCL",IF(AE689&lt;$B$23,"onder LCL","")),"")</f>
        <v/>
      </c>
      <c r="AI689" s="13">
        <f>IF(AND(ISNUMBER(AF689),ISNUMBER($B$24),ISNUMBER($D$24)),IF(AF689&gt;$D$24,"boven UCL",IF(AF689&lt;$B$24,"onder LCL","")),"")</f>
        <v/>
      </c>
      <c r="AJ689" s="13">
        <f>IF(AND(ISNUMBER(AE689),ISNUMBER($B$25),ISNUMBER($D$25)),IF(AE689&gt;$D$25,"boven UCL",IF(AE689&lt;$B$25,"onder LCL","")),"")</f>
        <v/>
      </c>
      <c r="AK689" s="13">
        <f>IF(AND(ISNUMBER(AG689),ISNUMBER($B$26),ISNUMBER($D$26)),IF(AG689&gt;$D$26,"boven UCL",IF(AG689&lt;$B$26,"onder LCL","")),"")</f>
        <v/>
      </c>
      <c r="AL689" s="13">
        <f>IF(AND(COUNT(B689:Z689)&gt;0,COUNT(AA689:AC689)&gt;0),"ruwe waarden én getypt: getypte genegeerd",IF(COUNTA(B689:Z689,AA689:AC689)&gt;COUNT(B689:Z689,AA689:AC689),"tekst telt niet mee",IF(COUNT(B689:Z689)=1,"1 waarde: geen R of s","")))</f>
        <v/>
      </c>
    </row>
    <row r="690">
      <c r="A690" t="n">
        <v>639</v>
      </c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28">
        <f>IF(COUNT(B690:Z690)&gt;0,COUNT(B690:Z690),IF(OR(ISNUMBER(AA690),ISNUMBER(AB690)),$B$9,""))</f>
        <v/>
      </c>
      <c r="AE690" s="29">
        <f>IF(COUNT(B690:Z690)&gt;0,AVERAGE(B690:Z690),IF(ISNUMBER(AA690),AA690,""))</f>
        <v/>
      </c>
      <c r="AF690" s="29">
        <f>IF(COUNT(B690:Z690)&gt;1,MAX(B690:Z690)-MIN(B690:Z690),IF(ISNUMBER(AB690),AB690,""))</f>
        <v/>
      </c>
      <c r="AG690" s="29">
        <f>IF(COUNT(B690:Z690)&gt;1,_xlfn.STDEV.S(B690:Z690),IF(ISNUMBER(AC690),AC690,""))</f>
        <v/>
      </c>
      <c r="AH690" s="13">
        <f>IF(AND(ISNUMBER(AE690),ISNUMBER($B$23),ISNUMBER($D$23)),IF(AE690&gt;$D$23,"boven UCL",IF(AE690&lt;$B$23,"onder LCL","")),"")</f>
        <v/>
      </c>
      <c r="AI690" s="13">
        <f>IF(AND(ISNUMBER(AF690),ISNUMBER($B$24),ISNUMBER($D$24)),IF(AF690&gt;$D$24,"boven UCL",IF(AF690&lt;$B$24,"onder LCL","")),"")</f>
        <v/>
      </c>
      <c r="AJ690" s="13">
        <f>IF(AND(ISNUMBER(AE690),ISNUMBER($B$25),ISNUMBER($D$25)),IF(AE690&gt;$D$25,"boven UCL",IF(AE690&lt;$B$25,"onder LCL","")),"")</f>
        <v/>
      </c>
      <c r="AK690" s="13">
        <f>IF(AND(ISNUMBER(AG690),ISNUMBER($B$26),ISNUMBER($D$26)),IF(AG690&gt;$D$26,"boven UCL",IF(AG690&lt;$B$26,"onder LCL","")),"")</f>
        <v/>
      </c>
      <c r="AL690" s="13">
        <f>IF(AND(COUNT(B690:Z690)&gt;0,COUNT(AA690:AC690)&gt;0),"ruwe waarden én getypt: getypte genegeerd",IF(COUNTA(B690:Z690,AA690:AC690)&gt;COUNT(B690:Z690,AA690:AC690),"tekst telt niet mee",IF(COUNT(B690:Z690)=1,"1 waarde: geen R of s","")))</f>
        <v/>
      </c>
    </row>
    <row r="691">
      <c r="A691" t="n">
        <v>640</v>
      </c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28">
        <f>IF(COUNT(B691:Z691)&gt;0,COUNT(B691:Z691),IF(OR(ISNUMBER(AA691),ISNUMBER(AB691)),$B$9,""))</f>
        <v/>
      </c>
      <c r="AE691" s="29">
        <f>IF(COUNT(B691:Z691)&gt;0,AVERAGE(B691:Z691),IF(ISNUMBER(AA691),AA691,""))</f>
        <v/>
      </c>
      <c r="AF691" s="29">
        <f>IF(COUNT(B691:Z691)&gt;1,MAX(B691:Z691)-MIN(B691:Z691),IF(ISNUMBER(AB691),AB691,""))</f>
        <v/>
      </c>
      <c r="AG691" s="29">
        <f>IF(COUNT(B691:Z691)&gt;1,_xlfn.STDEV.S(B691:Z691),IF(ISNUMBER(AC691),AC691,""))</f>
        <v/>
      </c>
      <c r="AH691" s="13">
        <f>IF(AND(ISNUMBER(AE691),ISNUMBER($B$23),ISNUMBER($D$23)),IF(AE691&gt;$D$23,"boven UCL",IF(AE691&lt;$B$23,"onder LCL","")),"")</f>
        <v/>
      </c>
      <c r="AI691" s="13">
        <f>IF(AND(ISNUMBER(AF691),ISNUMBER($B$24),ISNUMBER($D$24)),IF(AF691&gt;$D$24,"boven UCL",IF(AF691&lt;$B$24,"onder LCL","")),"")</f>
        <v/>
      </c>
      <c r="AJ691" s="13">
        <f>IF(AND(ISNUMBER(AE691),ISNUMBER($B$25),ISNUMBER($D$25)),IF(AE691&gt;$D$25,"boven UCL",IF(AE691&lt;$B$25,"onder LCL","")),"")</f>
        <v/>
      </c>
      <c r="AK691" s="13">
        <f>IF(AND(ISNUMBER(AG691),ISNUMBER($B$26),ISNUMBER($D$26)),IF(AG691&gt;$D$26,"boven UCL",IF(AG691&lt;$B$26,"onder LCL","")),"")</f>
        <v/>
      </c>
      <c r="AL691" s="13">
        <f>IF(AND(COUNT(B691:Z691)&gt;0,COUNT(AA691:AC691)&gt;0),"ruwe waarden én getypt: getypte genegeerd",IF(COUNTA(B691:Z691,AA691:AC691)&gt;COUNT(B691:Z691,AA691:AC691),"tekst telt niet mee",IF(COUNT(B691:Z691)=1,"1 waarde: geen R of s","")))</f>
        <v/>
      </c>
    </row>
    <row r="692">
      <c r="A692" t="n">
        <v>641</v>
      </c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28">
        <f>IF(COUNT(B692:Z692)&gt;0,COUNT(B692:Z692),IF(OR(ISNUMBER(AA692),ISNUMBER(AB692)),$B$9,""))</f>
        <v/>
      </c>
      <c r="AE692" s="29">
        <f>IF(COUNT(B692:Z692)&gt;0,AVERAGE(B692:Z692),IF(ISNUMBER(AA692),AA692,""))</f>
        <v/>
      </c>
      <c r="AF692" s="29">
        <f>IF(COUNT(B692:Z692)&gt;1,MAX(B692:Z692)-MIN(B692:Z692),IF(ISNUMBER(AB692),AB692,""))</f>
        <v/>
      </c>
      <c r="AG692" s="29">
        <f>IF(COUNT(B692:Z692)&gt;1,_xlfn.STDEV.S(B692:Z692),IF(ISNUMBER(AC692),AC692,""))</f>
        <v/>
      </c>
      <c r="AH692" s="13">
        <f>IF(AND(ISNUMBER(AE692),ISNUMBER($B$23),ISNUMBER($D$23)),IF(AE692&gt;$D$23,"boven UCL",IF(AE692&lt;$B$23,"onder LCL","")),"")</f>
        <v/>
      </c>
      <c r="AI692" s="13">
        <f>IF(AND(ISNUMBER(AF692),ISNUMBER($B$24),ISNUMBER($D$24)),IF(AF692&gt;$D$24,"boven UCL",IF(AF692&lt;$B$24,"onder LCL","")),"")</f>
        <v/>
      </c>
      <c r="AJ692" s="13">
        <f>IF(AND(ISNUMBER(AE692),ISNUMBER($B$25),ISNUMBER($D$25)),IF(AE692&gt;$D$25,"boven UCL",IF(AE692&lt;$B$25,"onder LCL","")),"")</f>
        <v/>
      </c>
      <c r="AK692" s="13">
        <f>IF(AND(ISNUMBER(AG692),ISNUMBER($B$26),ISNUMBER($D$26)),IF(AG692&gt;$D$26,"boven UCL",IF(AG692&lt;$B$26,"onder LCL","")),"")</f>
        <v/>
      </c>
      <c r="AL692" s="13">
        <f>IF(AND(COUNT(B692:Z692)&gt;0,COUNT(AA692:AC692)&gt;0),"ruwe waarden én getypt: getypte genegeerd",IF(COUNTA(B692:Z692,AA692:AC692)&gt;COUNT(B692:Z692,AA692:AC692),"tekst telt niet mee",IF(COUNT(B692:Z692)=1,"1 waarde: geen R of s","")))</f>
        <v/>
      </c>
    </row>
    <row r="693">
      <c r="A693" t="n">
        <v>642</v>
      </c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28">
        <f>IF(COUNT(B693:Z693)&gt;0,COUNT(B693:Z693),IF(OR(ISNUMBER(AA693),ISNUMBER(AB693)),$B$9,""))</f>
        <v/>
      </c>
      <c r="AE693" s="29">
        <f>IF(COUNT(B693:Z693)&gt;0,AVERAGE(B693:Z693),IF(ISNUMBER(AA693),AA693,""))</f>
        <v/>
      </c>
      <c r="AF693" s="29">
        <f>IF(COUNT(B693:Z693)&gt;1,MAX(B693:Z693)-MIN(B693:Z693),IF(ISNUMBER(AB693),AB693,""))</f>
        <v/>
      </c>
      <c r="AG693" s="29">
        <f>IF(COUNT(B693:Z693)&gt;1,_xlfn.STDEV.S(B693:Z693),IF(ISNUMBER(AC693),AC693,""))</f>
        <v/>
      </c>
      <c r="AH693" s="13">
        <f>IF(AND(ISNUMBER(AE693),ISNUMBER($B$23),ISNUMBER($D$23)),IF(AE693&gt;$D$23,"boven UCL",IF(AE693&lt;$B$23,"onder LCL","")),"")</f>
        <v/>
      </c>
      <c r="AI693" s="13">
        <f>IF(AND(ISNUMBER(AF693),ISNUMBER($B$24),ISNUMBER($D$24)),IF(AF693&gt;$D$24,"boven UCL",IF(AF693&lt;$B$24,"onder LCL","")),"")</f>
        <v/>
      </c>
      <c r="AJ693" s="13">
        <f>IF(AND(ISNUMBER(AE693),ISNUMBER($B$25),ISNUMBER($D$25)),IF(AE693&gt;$D$25,"boven UCL",IF(AE693&lt;$B$25,"onder LCL","")),"")</f>
        <v/>
      </c>
      <c r="AK693" s="13">
        <f>IF(AND(ISNUMBER(AG693),ISNUMBER($B$26),ISNUMBER($D$26)),IF(AG693&gt;$D$26,"boven UCL",IF(AG693&lt;$B$26,"onder LCL","")),"")</f>
        <v/>
      </c>
      <c r="AL693" s="13">
        <f>IF(AND(COUNT(B693:Z693)&gt;0,COUNT(AA693:AC693)&gt;0),"ruwe waarden én getypt: getypte genegeerd",IF(COUNTA(B693:Z693,AA693:AC693)&gt;COUNT(B693:Z693,AA693:AC693),"tekst telt niet mee",IF(COUNT(B693:Z693)=1,"1 waarde: geen R of s","")))</f>
        <v/>
      </c>
    </row>
    <row r="694">
      <c r="A694" t="n">
        <v>643</v>
      </c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28">
        <f>IF(COUNT(B694:Z694)&gt;0,COUNT(B694:Z694),IF(OR(ISNUMBER(AA694),ISNUMBER(AB694)),$B$9,""))</f>
        <v/>
      </c>
      <c r="AE694" s="29">
        <f>IF(COUNT(B694:Z694)&gt;0,AVERAGE(B694:Z694),IF(ISNUMBER(AA694),AA694,""))</f>
        <v/>
      </c>
      <c r="AF694" s="29">
        <f>IF(COUNT(B694:Z694)&gt;1,MAX(B694:Z694)-MIN(B694:Z694),IF(ISNUMBER(AB694),AB694,""))</f>
        <v/>
      </c>
      <c r="AG694" s="29">
        <f>IF(COUNT(B694:Z694)&gt;1,_xlfn.STDEV.S(B694:Z694),IF(ISNUMBER(AC694),AC694,""))</f>
        <v/>
      </c>
      <c r="AH694" s="13">
        <f>IF(AND(ISNUMBER(AE694),ISNUMBER($B$23),ISNUMBER($D$23)),IF(AE694&gt;$D$23,"boven UCL",IF(AE694&lt;$B$23,"onder LCL","")),"")</f>
        <v/>
      </c>
      <c r="AI694" s="13">
        <f>IF(AND(ISNUMBER(AF694),ISNUMBER($B$24),ISNUMBER($D$24)),IF(AF694&gt;$D$24,"boven UCL",IF(AF694&lt;$B$24,"onder LCL","")),"")</f>
        <v/>
      </c>
      <c r="AJ694" s="13">
        <f>IF(AND(ISNUMBER(AE694),ISNUMBER($B$25),ISNUMBER($D$25)),IF(AE694&gt;$D$25,"boven UCL",IF(AE694&lt;$B$25,"onder LCL","")),"")</f>
        <v/>
      </c>
      <c r="AK694" s="13">
        <f>IF(AND(ISNUMBER(AG694),ISNUMBER($B$26),ISNUMBER($D$26)),IF(AG694&gt;$D$26,"boven UCL",IF(AG694&lt;$B$26,"onder LCL","")),"")</f>
        <v/>
      </c>
      <c r="AL694" s="13">
        <f>IF(AND(COUNT(B694:Z694)&gt;0,COUNT(AA694:AC694)&gt;0),"ruwe waarden én getypt: getypte genegeerd",IF(COUNTA(B694:Z694,AA694:AC694)&gt;COUNT(B694:Z694,AA694:AC694),"tekst telt niet mee",IF(COUNT(B694:Z694)=1,"1 waarde: geen R of s","")))</f>
        <v/>
      </c>
    </row>
    <row r="695">
      <c r="A695" t="n">
        <v>644</v>
      </c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28">
        <f>IF(COUNT(B695:Z695)&gt;0,COUNT(B695:Z695),IF(OR(ISNUMBER(AA695),ISNUMBER(AB695)),$B$9,""))</f>
        <v/>
      </c>
      <c r="AE695" s="29">
        <f>IF(COUNT(B695:Z695)&gt;0,AVERAGE(B695:Z695),IF(ISNUMBER(AA695),AA695,""))</f>
        <v/>
      </c>
      <c r="AF695" s="29">
        <f>IF(COUNT(B695:Z695)&gt;1,MAX(B695:Z695)-MIN(B695:Z695),IF(ISNUMBER(AB695),AB695,""))</f>
        <v/>
      </c>
      <c r="AG695" s="29">
        <f>IF(COUNT(B695:Z695)&gt;1,_xlfn.STDEV.S(B695:Z695),IF(ISNUMBER(AC695),AC695,""))</f>
        <v/>
      </c>
      <c r="AH695" s="13">
        <f>IF(AND(ISNUMBER(AE695),ISNUMBER($B$23),ISNUMBER($D$23)),IF(AE695&gt;$D$23,"boven UCL",IF(AE695&lt;$B$23,"onder LCL","")),"")</f>
        <v/>
      </c>
      <c r="AI695" s="13">
        <f>IF(AND(ISNUMBER(AF695),ISNUMBER($B$24),ISNUMBER($D$24)),IF(AF695&gt;$D$24,"boven UCL",IF(AF695&lt;$B$24,"onder LCL","")),"")</f>
        <v/>
      </c>
      <c r="AJ695" s="13">
        <f>IF(AND(ISNUMBER(AE695),ISNUMBER($B$25),ISNUMBER($D$25)),IF(AE695&gt;$D$25,"boven UCL",IF(AE695&lt;$B$25,"onder LCL","")),"")</f>
        <v/>
      </c>
      <c r="AK695" s="13">
        <f>IF(AND(ISNUMBER(AG695),ISNUMBER($B$26),ISNUMBER($D$26)),IF(AG695&gt;$D$26,"boven UCL",IF(AG695&lt;$B$26,"onder LCL","")),"")</f>
        <v/>
      </c>
      <c r="AL695" s="13">
        <f>IF(AND(COUNT(B695:Z695)&gt;0,COUNT(AA695:AC695)&gt;0),"ruwe waarden én getypt: getypte genegeerd",IF(COUNTA(B695:Z695,AA695:AC695)&gt;COUNT(B695:Z695,AA695:AC695),"tekst telt niet mee",IF(COUNT(B695:Z695)=1,"1 waarde: geen R of s","")))</f>
        <v/>
      </c>
    </row>
    <row r="696">
      <c r="A696" t="n">
        <v>645</v>
      </c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28">
        <f>IF(COUNT(B696:Z696)&gt;0,COUNT(B696:Z696),IF(OR(ISNUMBER(AA696),ISNUMBER(AB696)),$B$9,""))</f>
        <v/>
      </c>
      <c r="AE696" s="29">
        <f>IF(COUNT(B696:Z696)&gt;0,AVERAGE(B696:Z696),IF(ISNUMBER(AA696),AA696,""))</f>
        <v/>
      </c>
      <c r="AF696" s="29">
        <f>IF(COUNT(B696:Z696)&gt;1,MAX(B696:Z696)-MIN(B696:Z696),IF(ISNUMBER(AB696),AB696,""))</f>
        <v/>
      </c>
      <c r="AG696" s="29">
        <f>IF(COUNT(B696:Z696)&gt;1,_xlfn.STDEV.S(B696:Z696),IF(ISNUMBER(AC696),AC696,""))</f>
        <v/>
      </c>
      <c r="AH696" s="13">
        <f>IF(AND(ISNUMBER(AE696),ISNUMBER($B$23),ISNUMBER($D$23)),IF(AE696&gt;$D$23,"boven UCL",IF(AE696&lt;$B$23,"onder LCL","")),"")</f>
        <v/>
      </c>
      <c r="AI696" s="13">
        <f>IF(AND(ISNUMBER(AF696),ISNUMBER($B$24),ISNUMBER($D$24)),IF(AF696&gt;$D$24,"boven UCL",IF(AF696&lt;$B$24,"onder LCL","")),"")</f>
        <v/>
      </c>
      <c r="AJ696" s="13">
        <f>IF(AND(ISNUMBER(AE696),ISNUMBER($B$25),ISNUMBER($D$25)),IF(AE696&gt;$D$25,"boven UCL",IF(AE696&lt;$B$25,"onder LCL","")),"")</f>
        <v/>
      </c>
      <c r="AK696" s="13">
        <f>IF(AND(ISNUMBER(AG696),ISNUMBER($B$26),ISNUMBER($D$26)),IF(AG696&gt;$D$26,"boven UCL",IF(AG696&lt;$B$26,"onder LCL","")),"")</f>
        <v/>
      </c>
      <c r="AL696" s="13">
        <f>IF(AND(COUNT(B696:Z696)&gt;0,COUNT(AA696:AC696)&gt;0),"ruwe waarden én getypt: getypte genegeerd",IF(COUNTA(B696:Z696,AA696:AC696)&gt;COUNT(B696:Z696,AA696:AC696),"tekst telt niet mee",IF(COUNT(B696:Z696)=1,"1 waarde: geen R of s","")))</f>
        <v/>
      </c>
    </row>
    <row r="697">
      <c r="A697" t="n">
        <v>646</v>
      </c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28">
        <f>IF(COUNT(B697:Z697)&gt;0,COUNT(B697:Z697),IF(OR(ISNUMBER(AA697),ISNUMBER(AB697)),$B$9,""))</f>
        <v/>
      </c>
      <c r="AE697" s="29">
        <f>IF(COUNT(B697:Z697)&gt;0,AVERAGE(B697:Z697),IF(ISNUMBER(AA697),AA697,""))</f>
        <v/>
      </c>
      <c r="AF697" s="29">
        <f>IF(COUNT(B697:Z697)&gt;1,MAX(B697:Z697)-MIN(B697:Z697),IF(ISNUMBER(AB697),AB697,""))</f>
        <v/>
      </c>
      <c r="AG697" s="29">
        <f>IF(COUNT(B697:Z697)&gt;1,_xlfn.STDEV.S(B697:Z697),IF(ISNUMBER(AC697),AC697,""))</f>
        <v/>
      </c>
      <c r="AH697" s="13">
        <f>IF(AND(ISNUMBER(AE697),ISNUMBER($B$23),ISNUMBER($D$23)),IF(AE697&gt;$D$23,"boven UCL",IF(AE697&lt;$B$23,"onder LCL","")),"")</f>
        <v/>
      </c>
      <c r="AI697" s="13">
        <f>IF(AND(ISNUMBER(AF697),ISNUMBER($B$24),ISNUMBER($D$24)),IF(AF697&gt;$D$24,"boven UCL",IF(AF697&lt;$B$24,"onder LCL","")),"")</f>
        <v/>
      </c>
      <c r="AJ697" s="13">
        <f>IF(AND(ISNUMBER(AE697),ISNUMBER($B$25),ISNUMBER($D$25)),IF(AE697&gt;$D$25,"boven UCL",IF(AE697&lt;$B$25,"onder LCL","")),"")</f>
        <v/>
      </c>
      <c r="AK697" s="13">
        <f>IF(AND(ISNUMBER(AG697),ISNUMBER($B$26),ISNUMBER($D$26)),IF(AG697&gt;$D$26,"boven UCL",IF(AG697&lt;$B$26,"onder LCL","")),"")</f>
        <v/>
      </c>
      <c r="AL697" s="13">
        <f>IF(AND(COUNT(B697:Z697)&gt;0,COUNT(AA697:AC697)&gt;0),"ruwe waarden én getypt: getypte genegeerd",IF(COUNTA(B697:Z697,AA697:AC697)&gt;COUNT(B697:Z697,AA697:AC697),"tekst telt niet mee",IF(COUNT(B697:Z697)=1,"1 waarde: geen R of s","")))</f>
        <v/>
      </c>
    </row>
    <row r="698">
      <c r="A698" t="n">
        <v>647</v>
      </c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28">
        <f>IF(COUNT(B698:Z698)&gt;0,COUNT(B698:Z698),IF(OR(ISNUMBER(AA698),ISNUMBER(AB698)),$B$9,""))</f>
        <v/>
      </c>
      <c r="AE698" s="29">
        <f>IF(COUNT(B698:Z698)&gt;0,AVERAGE(B698:Z698),IF(ISNUMBER(AA698),AA698,""))</f>
        <v/>
      </c>
      <c r="AF698" s="29">
        <f>IF(COUNT(B698:Z698)&gt;1,MAX(B698:Z698)-MIN(B698:Z698),IF(ISNUMBER(AB698),AB698,""))</f>
        <v/>
      </c>
      <c r="AG698" s="29">
        <f>IF(COUNT(B698:Z698)&gt;1,_xlfn.STDEV.S(B698:Z698),IF(ISNUMBER(AC698),AC698,""))</f>
        <v/>
      </c>
      <c r="AH698" s="13">
        <f>IF(AND(ISNUMBER(AE698),ISNUMBER($B$23),ISNUMBER($D$23)),IF(AE698&gt;$D$23,"boven UCL",IF(AE698&lt;$B$23,"onder LCL","")),"")</f>
        <v/>
      </c>
      <c r="AI698" s="13">
        <f>IF(AND(ISNUMBER(AF698),ISNUMBER($B$24),ISNUMBER($D$24)),IF(AF698&gt;$D$24,"boven UCL",IF(AF698&lt;$B$24,"onder LCL","")),"")</f>
        <v/>
      </c>
      <c r="AJ698" s="13">
        <f>IF(AND(ISNUMBER(AE698),ISNUMBER($B$25),ISNUMBER($D$25)),IF(AE698&gt;$D$25,"boven UCL",IF(AE698&lt;$B$25,"onder LCL","")),"")</f>
        <v/>
      </c>
      <c r="AK698" s="13">
        <f>IF(AND(ISNUMBER(AG698),ISNUMBER($B$26),ISNUMBER($D$26)),IF(AG698&gt;$D$26,"boven UCL",IF(AG698&lt;$B$26,"onder LCL","")),"")</f>
        <v/>
      </c>
      <c r="AL698" s="13">
        <f>IF(AND(COUNT(B698:Z698)&gt;0,COUNT(AA698:AC698)&gt;0),"ruwe waarden én getypt: getypte genegeerd",IF(COUNTA(B698:Z698,AA698:AC698)&gt;COUNT(B698:Z698,AA698:AC698),"tekst telt niet mee",IF(COUNT(B698:Z698)=1,"1 waarde: geen R of s","")))</f>
        <v/>
      </c>
    </row>
    <row r="699">
      <c r="A699" t="n">
        <v>648</v>
      </c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28">
        <f>IF(COUNT(B699:Z699)&gt;0,COUNT(B699:Z699),IF(OR(ISNUMBER(AA699),ISNUMBER(AB699)),$B$9,""))</f>
        <v/>
      </c>
      <c r="AE699" s="29">
        <f>IF(COUNT(B699:Z699)&gt;0,AVERAGE(B699:Z699),IF(ISNUMBER(AA699),AA699,""))</f>
        <v/>
      </c>
      <c r="AF699" s="29">
        <f>IF(COUNT(B699:Z699)&gt;1,MAX(B699:Z699)-MIN(B699:Z699),IF(ISNUMBER(AB699),AB699,""))</f>
        <v/>
      </c>
      <c r="AG699" s="29">
        <f>IF(COUNT(B699:Z699)&gt;1,_xlfn.STDEV.S(B699:Z699),IF(ISNUMBER(AC699),AC699,""))</f>
        <v/>
      </c>
      <c r="AH699" s="13">
        <f>IF(AND(ISNUMBER(AE699),ISNUMBER($B$23),ISNUMBER($D$23)),IF(AE699&gt;$D$23,"boven UCL",IF(AE699&lt;$B$23,"onder LCL","")),"")</f>
        <v/>
      </c>
      <c r="AI699" s="13">
        <f>IF(AND(ISNUMBER(AF699),ISNUMBER($B$24),ISNUMBER($D$24)),IF(AF699&gt;$D$24,"boven UCL",IF(AF699&lt;$B$24,"onder LCL","")),"")</f>
        <v/>
      </c>
      <c r="AJ699" s="13">
        <f>IF(AND(ISNUMBER(AE699),ISNUMBER($B$25),ISNUMBER($D$25)),IF(AE699&gt;$D$25,"boven UCL",IF(AE699&lt;$B$25,"onder LCL","")),"")</f>
        <v/>
      </c>
      <c r="AK699" s="13">
        <f>IF(AND(ISNUMBER(AG699),ISNUMBER($B$26),ISNUMBER($D$26)),IF(AG699&gt;$D$26,"boven UCL",IF(AG699&lt;$B$26,"onder LCL","")),"")</f>
        <v/>
      </c>
      <c r="AL699" s="13">
        <f>IF(AND(COUNT(B699:Z699)&gt;0,COUNT(AA699:AC699)&gt;0),"ruwe waarden én getypt: getypte genegeerd",IF(COUNTA(B699:Z699,AA699:AC699)&gt;COUNT(B699:Z699,AA699:AC699),"tekst telt niet mee",IF(COUNT(B699:Z699)=1,"1 waarde: geen R of s","")))</f>
        <v/>
      </c>
    </row>
    <row r="700">
      <c r="A700" t="n">
        <v>649</v>
      </c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28">
        <f>IF(COUNT(B700:Z700)&gt;0,COUNT(B700:Z700),IF(OR(ISNUMBER(AA700),ISNUMBER(AB700)),$B$9,""))</f>
        <v/>
      </c>
      <c r="AE700" s="29">
        <f>IF(COUNT(B700:Z700)&gt;0,AVERAGE(B700:Z700),IF(ISNUMBER(AA700),AA700,""))</f>
        <v/>
      </c>
      <c r="AF700" s="29">
        <f>IF(COUNT(B700:Z700)&gt;1,MAX(B700:Z700)-MIN(B700:Z700),IF(ISNUMBER(AB700),AB700,""))</f>
        <v/>
      </c>
      <c r="AG700" s="29">
        <f>IF(COUNT(B700:Z700)&gt;1,_xlfn.STDEV.S(B700:Z700),IF(ISNUMBER(AC700),AC700,""))</f>
        <v/>
      </c>
      <c r="AH700" s="13">
        <f>IF(AND(ISNUMBER(AE700),ISNUMBER($B$23),ISNUMBER($D$23)),IF(AE700&gt;$D$23,"boven UCL",IF(AE700&lt;$B$23,"onder LCL","")),"")</f>
        <v/>
      </c>
      <c r="AI700" s="13">
        <f>IF(AND(ISNUMBER(AF700),ISNUMBER($B$24),ISNUMBER($D$24)),IF(AF700&gt;$D$24,"boven UCL",IF(AF700&lt;$B$24,"onder LCL","")),"")</f>
        <v/>
      </c>
      <c r="AJ700" s="13">
        <f>IF(AND(ISNUMBER(AE700),ISNUMBER($B$25),ISNUMBER($D$25)),IF(AE700&gt;$D$25,"boven UCL",IF(AE700&lt;$B$25,"onder LCL","")),"")</f>
        <v/>
      </c>
      <c r="AK700" s="13">
        <f>IF(AND(ISNUMBER(AG700),ISNUMBER($B$26),ISNUMBER($D$26)),IF(AG700&gt;$D$26,"boven UCL",IF(AG700&lt;$B$26,"onder LCL","")),"")</f>
        <v/>
      </c>
      <c r="AL700" s="13">
        <f>IF(AND(COUNT(B700:Z700)&gt;0,COUNT(AA700:AC700)&gt;0),"ruwe waarden én getypt: getypte genegeerd",IF(COUNTA(B700:Z700,AA700:AC700)&gt;COUNT(B700:Z700,AA700:AC700),"tekst telt niet mee",IF(COUNT(B700:Z700)=1,"1 waarde: geen R of s","")))</f>
        <v/>
      </c>
    </row>
    <row r="701">
      <c r="A701" t="n">
        <v>650</v>
      </c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28">
        <f>IF(COUNT(B701:Z701)&gt;0,COUNT(B701:Z701),IF(OR(ISNUMBER(AA701),ISNUMBER(AB701)),$B$9,""))</f>
        <v/>
      </c>
      <c r="AE701" s="29">
        <f>IF(COUNT(B701:Z701)&gt;0,AVERAGE(B701:Z701),IF(ISNUMBER(AA701),AA701,""))</f>
        <v/>
      </c>
      <c r="AF701" s="29">
        <f>IF(COUNT(B701:Z701)&gt;1,MAX(B701:Z701)-MIN(B701:Z701),IF(ISNUMBER(AB701),AB701,""))</f>
        <v/>
      </c>
      <c r="AG701" s="29">
        <f>IF(COUNT(B701:Z701)&gt;1,_xlfn.STDEV.S(B701:Z701),IF(ISNUMBER(AC701),AC701,""))</f>
        <v/>
      </c>
      <c r="AH701" s="13">
        <f>IF(AND(ISNUMBER(AE701),ISNUMBER($B$23),ISNUMBER($D$23)),IF(AE701&gt;$D$23,"boven UCL",IF(AE701&lt;$B$23,"onder LCL","")),"")</f>
        <v/>
      </c>
      <c r="AI701" s="13">
        <f>IF(AND(ISNUMBER(AF701),ISNUMBER($B$24),ISNUMBER($D$24)),IF(AF701&gt;$D$24,"boven UCL",IF(AF701&lt;$B$24,"onder LCL","")),"")</f>
        <v/>
      </c>
      <c r="AJ701" s="13">
        <f>IF(AND(ISNUMBER(AE701),ISNUMBER($B$25),ISNUMBER($D$25)),IF(AE701&gt;$D$25,"boven UCL",IF(AE701&lt;$B$25,"onder LCL","")),"")</f>
        <v/>
      </c>
      <c r="AK701" s="13">
        <f>IF(AND(ISNUMBER(AG701),ISNUMBER($B$26),ISNUMBER($D$26)),IF(AG701&gt;$D$26,"boven UCL",IF(AG701&lt;$B$26,"onder LCL","")),"")</f>
        <v/>
      </c>
      <c r="AL701" s="13">
        <f>IF(AND(COUNT(B701:Z701)&gt;0,COUNT(AA701:AC701)&gt;0),"ruwe waarden én getypt: getypte genegeerd",IF(COUNTA(B701:Z701,AA701:AC701)&gt;COUNT(B701:Z701,AA701:AC701),"tekst telt niet mee",IF(COUNT(B701:Z701)=1,"1 waarde: geen R of s","")))</f>
        <v/>
      </c>
    </row>
    <row r="702">
      <c r="A702" t="n">
        <v>651</v>
      </c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28">
        <f>IF(COUNT(B702:Z702)&gt;0,COUNT(B702:Z702),IF(OR(ISNUMBER(AA702),ISNUMBER(AB702)),$B$9,""))</f>
        <v/>
      </c>
      <c r="AE702" s="29">
        <f>IF(COUNT(B702:Z702)&gt;0,AVERAGE(B702:Z702),IF(ISNUMBER(AA702),AA702,""))</f>
        <v/>
      </c>
      <c r="AF702" s="29">
        <f>IF(COUNT(B702:Z702)&gt;1,MAX(B702:Z702)-MIN(B702:Z702),IF(ISNUMBER(AB702),AB702,""))</f>
        <v/>
      </c>
      <c r="AG702" s="29">
        <f>IF(COUNT(B702:Z702)&gt;1,_xlfn.STDEV.S(B702:Z702),IF(ISNUMBER(AC702),AC702,""))</f>
        <v/>
      </c>
      <c r="AH702" s="13">
        <f>IF(AND(ISNUMBER(AE702),ISNUMBER($B$23),ISNUMBER($D$23)),IF(AE702&gt;$D$23,"boven UCL",IF(AE702&lt;$B$23,"onder LCL","")),"")</f>
        <v/>
      </c>
      <c r="AI702" s="13">
        <f>IF(AND(ISNUMBER(AF702),ISNUMBER($B$24),ISNUMBER($D$24)),IF(AF702&gt;$D$24,"boven UCL",IF(AF702&lt;$B$24,"onder LCL","")),"")</f>
        <v/>
      </c>
      <c r="AJ702" s="13">
        <f>IF(AND(ISNUMBER(AE702),ISNUMBER($B$25),ISNUMBER($D$25)),IF(AE702&gt;$D$25,"boven UCL",IF(AE702&lt;$B$25,"onder LCL","")),"")</f>
        <v/>
      </c>
      <c r="AK702" s="13">
        <f>IF(AND(ISNUMBER(AG702),ISNUMBER($B$26),ISNUMBER($D$26)),IF(AG702&gt;$D$26,"boven UCL",IF(AG702&lt;$B$26,"onder LCL","")),"")</f>
        <v/>
      </c>
      <c r="AL702" s="13">
        <f>IF(AND(COUNT(B702:Z702)&gt;0,COUNT(AA702:AC702)&gt;0),"ruwe waarden én getypt: getypte genegeerd",IF(COUNTA(B702:Z702,AA702:AC702)&gt;COUNT(B702:Z702,AA702:AC702),"tekst telt niet mee",IF(COUNT(B702:Z702)=1,"1 waarde: geen R of s","")))</f>
        <v/>
      </c>
    </row>
    <row r="703">
      <c r="A703" t="n">
        <v>652</v>
      </c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28">
        <f>IF(COUNT(B703:Z703)&gt;0,COUNT(B703:Z703),IF(OR(ISNUMBER(AA703),ISNUMBER(AB703)),$B$9,""))</f>
        <v/>
      </c>
      <c r="AE703" s="29">
        <f>IF(COUNT(B703:Z703)&gt;0,AVERAGE(B703:Z703),IF(ISNUMBER(AA703),AA703,""))</f>
        <v/>
      </c>
      <c r="AF703" s="29">
        <f>IF(COUNT(B703:Z703)&gt;1,MAX(B703:Z703)-MIN(B703:Z703),IF(ISNUMBER(AB703),AB703,""))</f>
        <v/>
      </c>
      <c r="AG703" s="29">
        <f>IF(COUNT(B703:Z703)&gt;1,_xlfn.STDEV.S(B703:Z703),IF(ISNUMBER(AC703),AC703,""))</f>
        <v/>
      </c>
      <c r="AH703" s="13">
        <f>IF(AND(ISNUMBER(AE703),ISNUMBER($B$23),ISNUMBER($D$23)),IF(AE703&gt;$D$23,"boven UCL",IF(AE703&lt;$B$23,"onder LCL","")),"")</f>
        <v/>
      </c>
      <c r="AI703" s="13">
        <f>IF(AND(ISNUMBER(AF703),ISNUMBER($B$24),ISNUMBER($D$24)),IF(AF703&gt;$D$24,"boven UCL",IF(AF703&lt;$B$24,"onder LCL","")),"")</f>
        <v/>
      </c>
      <c r="AJ703" s="13">
        <f>IF(AND(ISNUMBER(AE703),ISNUMBER($B$25),ISNUMBER($D$25)),IF(AE703&gt;$D$25,"boven UCL",IF(AE703&lt;$B$25,"onder LCL","")),"")</f>
        <v/>
      </c>
      <c r="AK703" s="13">
        <f>IF(AND(ISNUMBER(AG703),ISNUMBER($B$26),ISNUMBER($D$26)),IF(AG703&gt;$D$26,"boven UCL",IF(AG703&lt;$B$26,"onder LCL","")),"")</f>
        <v/>
      </c>
      <c r="AL703" s="13">
        <f>IF(AND(COUNT(B703:Z703)&gt;0,COUNT(AA703:AC703)&gt;0),"ruwe waarden én getypt: getypte genegeerd",IF(COUNTA(B703:Z703,AA703:AC703)&gt;COUNT(B703:Z703,AA703:AC703),"tekst telt niet mee",IF(COUNT(B703:Z703)=1,"1 waarde: geen R of s","")))</f>
        <v/>
      </c>
    </row>
    <row r="704">
      <c r="A704" t="n">
        <v>653</v>
      </c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28">
        <f>IF(COUNT(B704:Z704)&gt;0,COUNT(B704:Z704),IF(OR(ISNUMBER(AA704),ISNUMBER(AB704)),$B$9,""))</f>
        <v/>
      </c>
      <c r="AE704" s="29">
        <f>IF(COUNT(B704:Z704)&gt;0,AVERAGE(B704:Z704),IF(ISNUMBER(AA704),AA704,""))</f>
        <v/>
      </c>
      <c r="AF704" s="29">
        <f>IF(COUNT(B704:Z704)&gt;1,MAX(B704:Z704)-MIN(B704:Z704),IF(ISNUMBER(AB704),AB704,""))</f>
        <v/>
      </c>
      <c r="AG704" s="29">
        <f>IF(COUNT(B704:Z704)&gt;1,_xlfn.STDEV.S(B704:Z704),IF(ISNUMBER(AC704),AC704,""))</f>
        <v/>
      </c>
      <c r="AH704" s="13">
        <f>IF(AND(ISNUMBER(AE704),ISNUMBER($B$23),ISNUMBER($D$23)),IF(AE704&gt;$D$23,"boven UCL",IF(AE704&lt;$B$23,"onder LCL","")),"")</f>
        <v/>
      </c>
      <c r="AI704" s="13">
        <f>IF(AND(ISNUMBER(AF704),ISNUMBER($B$24),ISNUMBER($D$24)),IF(AF704&gt;$D$24,"boven UCL",IF(AF704&lt;$B$24,"onder LCL","")),"")</f>
        <v/>
      </c>
      <c r="AJ704" s="13">
        <f>IF(AND(ISNUMBER(AE704),ISNUMBER($B$25),ISNUMBER($D$25)),IF(AE704&gt;$D$25,"boven UCL",IF(AE704&lt;$B$25,"onder LCL","")),"")</f>
        <v/>
      </c>
      <c r="AK704" s="13">
        <f>IF(AND(ISNUMBER(AG704),ISNUMBER($B$26),ISNUMBER($D$26)),IF(AG704&gt;$D$26,"boven UCL",IF(AG704&lt;$B$26,"onder LCL","")),"")</f>
        <v/>
      </c>
      <c r="AL704" s="13">
        <f>IF(AND(COUNT(B704:Z704)&gt;0,COUNT(AA704:AC704)&gt;0),"ruwe waarden én getypt: getypte genegeerd",IF(COUNTA(B704:Z704,AA704:AC704)&gt;COUNT(B704:Z704,AA704:AC704),"tekst telt niet mee",IF(COUNT(B704:Z704)=1,"1 waarde: geen R of s","")))</f>
        <v/>
      </c>
    </row>
    <row r="705">
      <c r="A705" t="n">
        <v>654</v>
      </c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28">
        <f>IF(COUNT(B705:Z705)&gt;0,COUNT(B705:Z705),IF(OR(ISNUMBER(AA705),ISNUMBER(AB705)),$B$9,""))</f>
        <v/>
      </c>
      <c r="AE705" s="29">
        <f>IF(COUNT(B705:Z705)&gt;0,AVERAGE(B705:Z705),IF(ISNUMBER(AA705),AA705,""))</f>
        <v/>
      </c>
      <c r="AF705" s="29">
        <f>IF(COUNT(B705:Z705)&gt;1,MAX(B705:Z705)-MIN(B705:Z705),IF(ISNUMBER(AB705),AB705,""))</f>
        <v/>
      </c>
      <c r="AG705" s="29">
        <f>IF(COUNT(B705:Z705)&gt;1,_xlfn.STDEV.S(B705:Z705),IF(ISNUMBER(AC705),AC705,""))</f>
        <v/>
      </c>
      <c r="AH705" s="13">
        <f>IF(AND(ISNUMBER(AE705),ISNUMBER($B$23),ISNUMBER($D$23)),IF(AE705&gt;$D$23,"boven UCL",IF(AE705&lt;$B$23,"onder LCL","")),"")</f>
        <v/>
      </c>
      <c r="AI705" s="13">
        <f>IF(AND(ISNUMBER(AF705),ISNUMBER($B$24),ISNUMBER($D$24)),IF(AF705&gt;$D$24,"boven UCL",IF(AF705&lt;$B$24,"onder LCL","")),"")</f>
        <v/>
      </c>
      <c r="AJ705" s="13">
        <f>IF(AND(ISNUMBER(AE705),ISNUMBER($B$25),ISNUMBER($D$25)),IF(AE705&gt;$D$25,"boven UCL",IF(AE705&lt;$B$25,"onder LCL","")),"")</f>
        <v/>
      </c>
      <c r="AK705" s="13">
        <f>IF(AND(ISNUMBER(AG705),ISNUMBER($B$26),ISNUMBER($D$26)),IF(AG705&gt;$D$26,"boven UCL",IF(AG705&lt;$B$26,"onder LCL","")),"")</f>
        <v/>
      </c>
      <c r="AL705" s="13">
        <f>IF(AND(COUNT(B705:Z705)&gt;0,COUNT(AA705:AC705)&gt;0),"ruwe waarden én getypt: getypte genegeerd",IF(COUNTA(B705:Z705,AA705:AC705)&gt;COUNT(B705:Z705,AA705:AC705),"tekst telt niet mee",IF(COUNT(B705:Z705)=1,"1 waarde: geen R of s","")))</f>
        <v/>
      </c>
    </row>
    <row r="706">
      <c r="A706" t="n">
        <v>655</v>
      </c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28">
        <f>IF(COUNT(B706:Z706)&gt;0,COUNT(B706:Z706),IF(OR(ISNUMBER(AA706),ISNUMBER(AB706)),$B$9,""))</f>
        <v/>
      </c>
      <c r="AE706" s="29">
        <f>IF(COUNT(B706:Z706)&gt;0,AVERAGE(B706:Z706),IF(ISNUMBER(AA706),AA706,""))</f>
        <v/>
      </c>
      <c r="AF706" s="29">
        <f>IF(COUNT(B706:Z706)&gt;1,MAX(B706:Z706)-MIN(B706:Z706),IF(ISNUMBER(AB706),AB706,""))</f>
        <v/>
      </c>
      <c r="AG706" s="29">
        <f>IF(COUNT(B706:Z706)&gt;1,_xlfn.STDEV.S(B706:Z706),IF(ISNUMBER(AC706),AC706,""))</f>
        <v/>
      </c>
      <c r="AH706" s="13">
        <f>IF(AND(ISNUMBER(AE706),ISNUMBER($B$23),ISNUMBER($D$23)),IF(AE706&gt;$D$23,"boven UCL",IF(AE706&lt;$B$23,"onder LCL","")),"")</f>
        <v/>
      </c>
      <c r="AI706" s="13">
        <f>IF(AND(ISNUMBER(AF706),ISNUMBER($B$24),ISNUMBER($D$24)),IF(AF706&gt;$D$24,"boven UCL",IF(AF706&lt;$B$24,"onder LCL","")),"")</f>
        <v/>
      </c>
      <c r="AJ706" s="13">
        <f>IF(AND(ISNUMBER(AE706),ISNUMBER($B$25),ISNUMBER($D$25)),IF(AE706&gt;$D$25,"boven UCL",IF(AE706&lt;$B$25,"onder LCL","")),"")</f>
        <v/>
      </c>
      <c r="AK706" s="13">
        <f>IF(AND(ISNUMBER(AG706),ISNUMBER($B$26),ISNUMBER($D$26)),IF(AG706&gt;$D$26,"boven UCL",IF(AG706&lt;$B$26,"onder LCL","")),"")</f>
        <v/>
      </c>
      <c r="AL706" s="13">
        <f>IF(AND(COUNT(B706:Z706)&gt;0,COUNT(AA706:AC706)&gt;0),"ruwe waarden én getypt: getypte genegeerd",IF(COUNTA(B706:Z706,AA706:AC706)&gt;COUNT(B706:Z706,AA706:AC706),"tekst telt niet mee",IF(COUNT(B706:Z706)=1,"1 waarde: geen R of s","")))</f>
        <v/>
      </c>
    </row>
    <row r="707">
      <c r="A707" t="n">
        <v>656</v>
      </c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28">
        <f>IF(COUNT(B707:Z707)&gt;0,COUNT(B707:Z707),IF(OR(ISNUMBER(AA707),ISNUMBER(AB707)),$B$9,""))</f>
        <v/>
      </c>
      <c r="AE707" s="29">
        <f>IF(COUNT(B707:Z707)&gt;0,AVERAGE(B707:Z707),IF(ISNUMBER(AA707),AA707,""))</f>
        <v/>
      </c>
      <c r="AF707" s="29">
        <f>IF(COUNT(B707:Z707)&gt;1,MAX(B707:Z707)-MIN(B707:Z707),IF(ISNUMBER(AB707),AB707,""))</f>
        <v/>
      </c>
      <c r="AG707" s="29">
        <f>IF(COUNT(B707:Z707)&gt;1,_xlfn.STDEV.S(B707:Z707),IF(ISNUMBER(AC707),AC707,""))</f>
        <v/>
      </c>
      <c r="AH707" s="13">
        <f>IF(AND(ISNUMBER(AE707),ISNUMBER($B$23),ISNUMBER($D$23)),IF(AE707&gt;$D$23,"boven UCL",IF(AE707&lt;$B$23,"onder LCL","")),"")</f>
        <v/>
      </c>
      <c r="AI707" s="13">
        <f>IF(AND(ISNUMBER(AF707),ISNUMBER($B$24),ISNUMBER($D$24)),IF(AF707&gt;$D$24,"boven UCL",IF(AF707&lt;$B$24,"onder LCL","")),"")</f>
        <v/>
      </c>
      <c r="AJ707" s="13">
        <f>IF(AND(ISNUMBER(AE707),ISNUMBER($B$25),ISNUMBER($D$25)),IF(AE707&gt;$D$25,"boven UCL",IF(AE707&lt;$B$25,"onder LCL","")),"")</f>
        <v/>
      </c>
      <c r="AK707" s="13">
        <f>IF(AND(ISNUMBER(AG707),ISNUMBER($B$26),ISNUMBER($D$26)),IF(AG707&gt;$D$26,"boven UCL",IF(AG707&lt;$B$26,"onder LCL","")),"")</f>
        <v/>
      </c>
      <c r="AL707" s="13">
        <f>IF(AND(COUNT(B707:Z707)&gt;0,COUNT(AA707:AC707)&gt;0),"ruwe waarden én getypt: getypte genegeerd",IF(COUNTA(B707:Z707,AA707:AC707)&gt;COUNT(B707:Z707,AA707:AC707),"tekst telt niet mee",IF(COUNT(B707:Z707)=1,"1 waarde: geen R of s","")))</f>
        <v/>
      </c>
    </row>
    <row r="708">
      <c r="A708" t="n">
        <v>657</v>
      </c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28">
        <f>IF(COUNT(B708:Z708)&gt;0,COUNT(B708:Z708),IF(OR(ISNUMBER(AA708),ISNUMBER(AB708)),$B$9,""))</f>
        <v/>
      </c>
      <c r="AE708" s="29">
        <f>IF(COUNT(B708:Z708)&gt;0,AVERAGE(B708:Z708),IF(ISNUMBER(AA708),AA708,""))</f>
        <v/>
      </c>
      <c r="AF708" s="29">
        <f>IF(COUNT(B708:Z708)&gt;1,MAX(B708:Z708)-MIN(B708:Z708),IF(ISNUMBER(AB708),AB708,""))</f>
        <v/>
      </c>
      <c r="AG708" s="29">
        <f>IF(COUNT(B708:Z708)&gt;1,_xlfn.STDEV.S(B708:Z708),IF(ISNUMBER(AC708),AC708,""))</f>
        <v/>
      </c>
      <c r="AH708" s="13">
        <f>IF(AND(ISNUMBER(AE708),ISNUMBER($B$23),ISNUMBER($D$23)),IF(AE708&gt;$D$23,"boven UCL",IF(AE708&lt;$B$23,"onder LCL","")),"")</f>
        <v/>
      </c>
      <c r="AI708" s="13">
        <f>IF(AND(ISNUMBER(AF708),ISNUMBER($B$24),ISNUMBER($D$24)),IF(AF708&gt;$D$24,"boven UCL",IF(AF708&lt;$B$24,"onder LCL","")),"")</f>
        <v/>
      </c>
      <c r="AJ708" s="13">
        <f>IF(AND(ISNUMBER(AE708),ISNUMBER($B$25),ISNUMBER($D$25)),IF(AE708&gt;$D$25,"boven UCL",IF(AE708&lt;$B$25,"onder LCL","")),"")</f>
        <v/>
      </c>
      <c r="AK708" s="13">
        <f>IF(AND(ISNUMBER(AG708),ISNUMBER($B$26),ISNUMBER($D$26)),IF(AG708&gt;$D$26,"boven UCL",IF(AG708&lt;$B$26,"onder LCL","")),"")</f>
        <v/>
      </c>
      <c r="AL708" s="13">
        <f>IF(AND(COUNT(B708:Z708)&gt;0,COUNT(AA708:AC708)&gt;0),"ruwe waarden én getypt: getypte genegeerd",IF(COUNTA(B708:Z708,AA708:AC708)&gt;COUNT(B708:Z708,AA708:AC708),"tekst telt niet mee",IF(COUNT(B708:Z708)=1,"1 waarde: geen R of s","")))</f>
        <v/>
      </c>
    </row>
    <row r="709">
      <c r="A709" t="n">
        <v>658</v>
      </c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28">
        <f>IF(COUNT(B709:Z709)&gt;0,COUNT(B709:Z709),IF(OR(ISNUMBER(AA709),ISNUMBER(AB709)),$B$9,""))</f>
        <v/>
      </c>
      <c r="AE709" s="29">
        <f>IF(COUNT(B709:Z709)&gt;0,AVERAGE(B709:Z709),IF(ISNUMBER(AA709),AA709,""))</f>
        <v/>
      </c>
      <c r="AF709" s="29">
        <f>IF(COUNT(B709:Z709)&gt;1,MAX(B709:Z709)-MIN(B709:Z709),IF(ISNUMBER(AB709),AB709,""))</f>
        <v/>
      </c>
      <c r="AG709" s="29">
        <f>IF(COUNT(B709:Z709)&gt;1,_xlfn.STDEV.S(B709:Z709),IF(ISNUMBER(AC709),AC709,""))</f>
        <v/>
      </c>
      <c r="AH709" s="13">
        <f>IF(AND(ISNUMBER(AE709),ISNUMBER($B$23),ISNUMBER($D$23)),IF(AE709&gt;$D$23,"boven UCL",IF(AE709&lt;$B$23,"onder LCL","")),"")</f>
        <v/>
      </c>
      <c r="AI709" s="13">
        <f>IF(AND(ISNUMBER(AF709),ISNUMBER($B$24),ISNUMBER($D$24)),IF(AF709&gt;$D$24,"boven UCL",IF(AF709&lt;$B$24,"onder LCL","")),"")</f>
        <v/>
      </c>
      <c r="AJ709" s="13">
        <f>IF(AND(ISNUMBER(AE709),ISNUMBER($B$25),ISNUMBER($D$25)),IF(AE709&gt;$D$25,"boven UCL",IF(AE709&lt;$B$25,"onder LCL","")),"")</f>
        <v/>
      </c>
      <c r="AK709" s="13">
        <f>IF(AND(ISNUMBER(AG709),ISNUMBER($B$26),ISNUMBER($D$26)),IF(AG709&gt;$D$26,"boven UCL",IF(AG709&lt;$B$26,"onder LCL","")),"")</f>
        <v/>
      </c>
      <c r="AL709" s="13">
        <f>IF(AND(COUNT(B709:Z709)&gt;0,COUNT(AA709:AC709)&gt;0),"ruwe waarden én getypt: getypte genegeerd",IF(COUNTA(B709:Z709,AA709:AC709)&gt;COUNT(B709:Z709,AA709:AC709),"tekst telt niet mee",IF(COUNT(B709:Z709)=1,"1 waarde: geen R of s","")))</f>
        <v/>
      </c>
    </row>
    <row r="710">
      <c r="A710" t="n">
        <v>659</v>
      </c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28">
        <f>IF(COUNT(B710:Z710)&gt;0,COUNT(B710:Z710),IF(OR(ISNUMBER(AA710),ISNUMBER(AB710)),$B$9,""))</f>
        <v/>
      </c>
      <c r="AE710" s="29">
        <f>IF(COUNT(B710:Z710)&gt;0,AVERAGE(B710:Z710),IF(ISNUMBER(AA710),AA710,""))</f>
        <v/>
      </c>
      <c r="AF710" s="29">
        <f>IF(COUNT(B710:Z710)&gt;1,MAX(B710:Z710)-MIN(B710:Z710),IF(ISNUMBER(AB710),AB710,""))</f>
        <v/>
      </c>
      <c r="AG710" s="29">
        <f>IF(COUNT(B710:Z710)&gt;1,_xlfn.STDEV.S(B710:Z710),IF(ISNUMBER(AC710),AC710,""))</f>
        <v/>
      </c>
      <c r="AH710" s="13">
        <f>IF(AND(ISNUMBER(AE710),ISNUMBER($B$23),ISNUMBER($D$23)),IF(AE710&gt;$D$23,"boven UCL",IF(AE710&lt;$B$23,"onder LCL","")),"")</f>
        <v/>
      </c>
      <c r="AI710" s="13">
        <f>IF(AND(ISNUMBER(AF710),ISNUMBER($B$24),ISNUMBER($D$24)),IF(AF710&gt;$D$24,"boven UCL",IF(AF710&lt;$B$24,"onder LCL","")),"")</f>
        <v/>
      </c>
      <c r="AJ710" s="13">
        <f>IF(AND(ISNUMBER(AE710),ISNUMBER($B$25),ISNUMBER($D$25)),IF(AE710&gt;$D$25,"boven UCL",IF(AE710&lt;$B$25,"onder LCL","")),"")</f>
        <v/>
      </c>
      <c r="AK710" s="13">
        <f>IF(AND(ISNUMBER(AG710),ISNUMBER($B$26),ISNUMBER($D$26)),IF(AG710&gt;$D$26,"boven UCL",IF(AG710&lt;$B$26,"onder LCL","")),"")</f>
        <v/>
      </c>
      <c r="AL710" s="13">
        <f>IF(AND(COUNT(B710:Z710)&gt;0,COUNT(AA710:AC710)&gt;0),"ruwe waarden én getypt: getypte genegeerd",IF(COUNTA(B710:Z710,AA710:AC710)&gt;COUNT(B710:Z710,AA710:AC710),"tekst telt niet mee",IF(COUNT(B710:Z710)=1,"1 waarde: geen R of s","")))</f>
        <v/>
      </c>
    </row>
    <row r="711">
      <c r="A711" t="n">
        <v>660</v>
      </c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28">
        <f>IF(COUNT(B711:Z711)&gt;0,COUNT(B711:Z711),IF(OR(ISNUMBER(AA711),ISNUMBER(AB711)),$B$9,""))</f>
        <v/>
      </c>
      <c r="AE711" s="29">
        <f>IF(COUNT(B711:Z711)&gt;0,AVERAGE(B711:Z711),IF(ISNUMBER(AA711),AA711,""))</f>
        <v/>
      </c>
      <c r="AF711" s="29">
        <f>IF(COUNT(B711:Z711)&gt;1,MAX(B711:Z711)-MIN(B711:Z711),IF(ISNUMBER(AB711),AB711,""))</f>
        <v/>
      </c>
      <c r="AG711" s="29">
        <f>IF(COUNT(B711:Z711)&gt;1,_xlfn.STDEV.S(B711:Z711),IF(ISNUMBER(AC711),AC711,""))</f>
        <v/>
      </c>
      <c r="AH711" s="13">
        <f>IF(AND(ISNUMBER(AE711),ISNUMBER($B$23),ISNUMBER($D$23)),IF(AE711&gt;$D$23,"boven UCL",IF(AE711&lt;$B$23,"onder LCL","")),"")</f>
        <v/>
      </c>
      <c r="AI711" s="13">
        <f>IF(AND(ISNUMBER(AF711),ISNUMBER($B$24),ISNUMBER($D$24)),IF(AF711&gt;$D$24,"boven UCL",IF(AF711&lt;$B$24,"onder LCL","")),"")</f>
        <v/>
      </c>
      <c r="AJ711" s="13">
        <f>IF(AND(ISNUMBER(AE711),ISNUMBER($B$25),ISNUMBER($D$25)),IF(AE711&gt;$D$25,"boven UCL",IF(AE711&lt;$B$25,"onder LCL","")),"")</f>
        <v/>
      </c>
      <c r="AK711" s="13">
        <f>IF(AND(ISNUMBER(AG711),ISNUMBER($B$26),ISNUMBER($D$26)),IF(AG711&gt;$D$26,"boven UCL",IF(AG711&lt;$B$26,"onder LCL","")),"")</f>
        <v/>
      </c>
      <c r="AL711" s="13">
        <f>IF(AND(COUNT(B711:Z711)&gt;0,COUNT(AA711:AC711)&gt;0),"ruwe waarden én getypt: getypte genegeerd",IF(COUNTA(B711:Z711,AA711:AC711)&gt;COUNT(B711:Z711,AA711:AC711),"tekst telt niet mee",IF(COUNT(B711:Z711)=1,"1 waarde: geen R of s","")))</f>
        <v/>
      </c>
    </row>
    <row r="712">
      <c r="A712" t="n">
        <v>661</v>
      </c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28">
        <f>IF(COUNT(B712:Z712)&gt;0,COUNT(B712:Z712),IF(OR(ISNUMBER(AA712),ISNUMBER(AB712)),$B$9,""))</f>
        <v/>
      </c>
      <c r="AE712" s="29">
        <f>IF(COUNT(B712:Z712)&gt;0,AVERAGE(B712:Z712),IF(ISNUMBER(AA712),AA712,""))</f>
        <v/>
      </c>
      <c r="AF712" s="29">
        <f>IF(COUNT(B712:Z712)&gt;1,MAX(B712:Z712)-MIN(B712:Z712),IF(ISNUMBER(AB712),AB712,""))</f>
        <v/>
      </c>
      <c r="AG712" s="29">
        <f>IF(COUNT(B712:Z712)&gt;1,_xlfn.STDEV.S(B712:Z712),IF(ISNUMBER(AC712),AC712,""))</f>
        <v/>
      </c>
      <c r="AH712" s="13">
        <f>IF(AND(ISNUMBER(AE712),ISNUMBER($B$23),ISNUMBER($D$23)),IF(AE712&gt;$D$23,"boven UCL",IF(AE712&lt;$B$23,"onder LCL","")),"")</f>
        <v/>
      </c>
      <c r="AI712" s="13">
        <f>IF(AND(ISNUMBER(AF712),ISNUMBER($B$24),ISNUMBER($D$24)),IF(AF712&gt;$D$24,"boven UCL",IF(AF712&lt;$B$24,"onder LCL","")),"")</f>
        <v/>
      </c>
      <c r="AJ712" s="13">
        <f>IF(AND(ISNUMBER(AE712),ISNUMBER($B$25),ISNUMBER($D$25)),IF(AE712&gt;$D$25,"boven UCL",IF(AE712&lt;$B$25,"onder LCL","")),"")</f>
        <v/>
      </c>
      <c r="AK712" s="13">
        <f>IF(AND(ISNUMBER(AG712),ISNUMBER($B$26),ISNUMBER($D$26)),IF(AG712&gt;$D$26,"boven UCL",IF(AG712&lt;$B$26,"onder LCL","")),"")</f>
        <v/>
      </c>
      <c r="AL712" s="13">
        <f>IF(AND(COUNT(B712:Z712)&gt;0,COUNT(AA712:AC712)&gt;0),"ruwe waarden én getypt: getypte genegeerd",IF(COUNTA(B712:Z712,AA712:AC712)&gt;COUNT(B712:Z712,AA712:AC712),"tekst telt niet mee",IF(COUNT(B712:Z712)=1,"1 waarde: geen R of s","")))</f>
        <v/>
      </c>
    </row>
    <row r="713">
      <c r="A713" t="n">
        <v>662</v>
      </c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28">
        <f>IF(COUNT(B713:Z713)&gt;0,COUNT(B713:Z713),IF(OR(ISNUMBER(AA713),ISNUMBER(AB713)),$B$9,""))</f>
        <v/>
      </c>
      <c r="AE713" s="29">
        <f>IF(COUNT(B713:Z713)&gt;0,AVERAGE(B713:Z713),IF(ISNUMBER(AA713),AA713,""))</f>
        <v/>
      </c>
      <c r="AF713" s="29">
        <f>IF(COUNT(B713:Z713)&gt;1,MAX(B713:Z713)-MIN(B713:Z713),IF(ISNUMBER(AB713),AB713,""))</f>
        <v/>
      </c>
      <c r="AG713" s="29">
        <f>IF(COUNT(B713:Z713)&gt;1,_xlfn.STDEV.S(B713:Z713),IF(ISNUMBER(AC713),AC713,""))</f>
        <v/>
      </c>
      <c r="AH713" s="13">
        <f>IF(AND(ISNUMBER(AE713),ISNUMBER($B$23),ISNUMBER($D$23)),IF(AE713&gt;$D$23,"boven UCL",IF(AE713&lt;$B$23,"onder LCL","")),"")</f>
        <v/>
      </c>
      <c r="AI713" s="13">
        <f>IF(AND(ISNUMBER(AF713),ISNUMBER($B$24),ISNUMBER($D$24)),IF(AF713&gt;$D$24,"boven UCL",IF(AF713&lt;$B$24,"onder LCL","")),"")</f>
        <v/>
      </c>
      <c r="AJ713" s="13">
        <f>IF(AND(ISNUMBER(AE713),ISNUMBER($B$25),ISNUMBER($D$25)),IF(AE713&gt;$D$25,"boven UCL",IF(AE713&lt;$B$25,"onder LCL","")),"")</f>
        <v/>
      </c>
      <c r="AK713" s="13">
        <f>IF(AND(ISNUMBER(AG713),ISNUMBER($B$26),ISNUMBER($D$26)),IF(AG713&gt;$D$26,"boven UCL",IF(AG713&lt;$B$26,"onder LCL","")),"")</f>
        <v/>
      </c>
      <c r="AL713" s="13">
        <f>IF(AND(COUNT(B713:Z713)&gt;0,COUNT(AA713:AC713)&gt;0),"ruwe waarden én getypt: getypte genegeerd",IF(COUNTA(B713:Z713,AA713:AC713)&gt;COUNT(B713:Z713,AA713:AC713),"tekst telt niet mee",IF(COUNT(B713:Z713)=1,"1 waarde: geen R of s","")))</f>
        <v/>
      </c>
    </row>
    <row r="714">
      <c r="A714" t="n">
        <v>663</v>
      </c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28">
        <f>IF(COUNT(B714:Z714)&gt;0,COUNT(B714:Z714),IF(OR(ISNUMBER(AA714),ISNUMBER(AB714)),$B$9,""))</f>
        <v/>
      </c>
      <c r="AE714" s="29">
        <f>IF(COUNT(B714:Z714)&gt;0,AVERAGE(B714:Z714),IF(ISNUMBER(AA714),AA714,""))</f>
        <v/>
      </c>
      <c r="AF714" s="29">
        <f>IF(COUNT(B714:Z714)&gt;1,MAX(B714:Z714)-MIN(B714:Z714),IF(ISNUMBER(AB714),AB714,""))</f>
        <v/>
      </c>
      <c r="AG714" s="29">
        <f>IF(COUNT(B714:Z714)&gt;1,_xlfn.STDEV.S(B714:Z714),IF(ISNUMBER(AC714),AC714,""))</f>
        <v/>
      </c>
      <c r="AH714" s="13">
        <f>IF(AND(ISNUMBER(AE714),ISNUMBER($B$23),ISNUMBER($D$23)),IF(AE714&gt;$D$23,"boven UCL",IF(AE714&lt;$B$23,"onder LCL","")),"")</f>
        <v/>
      </c>
      <c r="AI714" s="13">
        <f>IF(AND(ISNUMBER(AF714),ISNUMBER($B$24),ISNUMBER($D$24)),IF(AF714&gt;$D$24,"boven UCL",IF(AF714&lt;$B$24,"onder LCL","")),"")</f>
        <v/>
      </c>
      <c r="AJ714" s="13">
        <f>IF(AND(ISNUMBER(AE714),ISNUMBER($B$25),ISNUMBER($D$25)),IF(AE714&gt;$D$25,"boven UCL",IF(AE714&lt;$B$25,"onder LCL","")),"")</f>
        <v/>
      </c>
      <c r="AK714" s="13">
        <f>IF(AND(ISNUMBER(AG714),ISNUMBER($B$26),ISNUMBER($D$26)),IF(AG714&gt;$D$26,"boven UCL",IF(AG714&lt;$B$26,"onder LCL","")),"")</f>
        <v/>
      </c>
      <c r="AL714" s="13">
        <f>IF(AND(COUNT(B714:Z714)&gt;0,COUNT(AA714:AC714)&gt;0),"ruwe waarden én getypt: getypte genegeerd",IF(COUNTA(B714:Z714,AA714:AC714)&gt;COUNT(B714:Z714,AA714:AC714),"tekst telt niet mee",IF(COUNT(B714:Z714)=1,"1 waarde: geen R of s","")))</f>
        <v/>
      </c>
    </row>
    <row r="715">
      <c r="A715" t="n">
        <v>664</v>
      </c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28">
        <f>IF(COUNT(B715:Z715)&gt;0,COUNT(B715:Z715),IF(OR(ISNUMBER(AA715),ISNUMBER(AB715)),$B$9,""))</f>
        <v/>
      </c>
      <c r="AE715" s="29">
        <f>IF(COUNT(B715:Z715)&gt;0,AVERAGE(B715:Z715),IF(ISNUMBER(AA715),AA715,""))</f>
        <v/>
      </c>
      <c r="AF715" s="29">
        <f>IF(COUNT(B715:Z715)&gt;1,MAX(B715:Z715)-MIN(B715:Z715),IF(ISNUMBER(AB715),AB715,""))</f>
        <v/>
      </c>
      <c r="AG715" s="29">
        <f>IF(COUNT(B715:Z715)&gt;1,_xlfn.STDEV.S(B715:Z715),IF(ISNUMBER(AC715),AC715,""))</f>
        <v/>
      </c>
      <c r="AH715" s="13">
        <f>IF(AND(ISNUMBER(AE715),ISNUMBER($B$23),ISNUMBER($D$23)),IF(AE715&gt;$D$23,"boven UCL",IF(AE715&lt;$B$23,"onder LCL","")),"")</f>
        <v/>
      </c>
      <c r="AI715" s="13">
        <f>IF(AND(ISNUMBER(AF715),ISNUMBER($B$24),ISNUMBER($D$24)),IF(AF715&gt;$D$24,"boven UCL",IF(AF715&lt;$B$24,"onder LCL","")),"")</f>
        <v/>
      </c>
      <c r="AJ715" s="13">
        <f>IF(AND(ISNUMBER(AE715),ISNUMBER($B$25),ISNUMBER($D$25)),IF(AE715&gt;$D$25,"boven UCL",IF(AE715&lt;$B$25,"onder LCL","")),"")</f>
        <v/>
      </c>
      <c r="AK715" s="13">
        <f>IF(AND(ISNUMBER(AG715),ISNUMBER($B$26),ISNUMBER($D$26)),IF(AG715&gt;$D$26,"boven UCL",IF(AG715&lt;$B$26,"onder LCL","")),"")</f>
        <v/>
      </c>
      <c r="AL715" s="13">
        <f>IF(AND(COUNT(B715:Z715)&gt;0,COUNT(AA715:AC715)&gt;0),"ruwe waarden én getypt: getypte genegeerd",IF(COUNTA(B715:Z715,AA715:AC715)&gt;COUNT(B715:Z715,AA715:AC715),"tekst telt niet mee",IF(COUNT(B715:Z715)=1,"1 waarde: geen R of s","")))</f>
        <v/>
      </c>
    </row>
    <row r="716">
      <c r="A716" t="n">
        <v>665</v>
      </c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28">
        <f>IF(COUNT(B716:Z716)&gt;0,COUNT(B716:Z716),IF(OR(ISNUMBER(AA716),ISNUMBER(AB716)),$B$9,""))</f>
        <v/>
      </c>
      <c r="AE716" s="29">
        <f>IF(COUNT(B716:Z716)&gt;0,AVERAGE(B716:Z716),IF(ISNUMBER(AA716),AA716,""))</f>
        <v/>
      </c>
      <c r="AF716" s="29">
        <f>IF(COUNT(B716:Z716)&gt;1,MAX(B716:Z716)-MIN(B716:Z716),IF(ISNUMBER(AB716),AB716,""))</f>
        <v/>
      </c>
      <c r="AG716" s="29">
        <f>IF(COUNT(B716:Z716)&gt;1,_xlfn.STDEV.S(B716:Z716),IF(ISNUMBER(AC716),AC716,""))</f>
        <v/>
      </c>
      <c r="AH716" s="13">
        <f>IF(AND(ISNUMBER(AE716),ISNUMBER($B$23),ISNUMBER($D$23)),IF(AE716&gt;$D$23,"boven UCL",IF(AE716&lt;$B$23,"onder LCL","")),"")</f>
        <v/>
      </c>
      <c r="AI716" s="13">
        <f>IF(AND(ISNUMBER(AF716),ISNUMBER($B$24),ISNUMBER($D$24)),IF(AF716&gt;$D$24,"boven UCL",IF(AF716&lt;$B$24,"onder LCL","")),"")</f>
        <v/>
      </c>
      <c r="AJ716" s="13">
        <f>IF(AND(ISNUMBER(AE716),ISNUMBER($B$25),ISNUMBER($D$25)),IF(AE716&gt;$D$25,"boven UCL",IF(AE716&lt;$B$25,"onder LCL","")),"")</f>
        <v/>
      </c>
      <c r="AK716" s="13">
        <f>IF(AND(ISNUMBER(AG716),ISNUMBER($B$26),ISNUMBER($D$26)),IF(AG716&gt;$D$26,"boven UCL",IF(AG716&lt;$B$26,"onder LCL","")),"")</f>
        <v/>
      </c>
      <c r="AL716" s="13">
        <f>IF(AND(COUNT(B716:Z716)&gt;0,COUNT(AA716:AC716)&gt;0),"ruwe waarden én getypt: getypte genegeerd",IF(COUNTA(B716:Z716,AA716:AC716)&gt;COUNT(B716:Z716,AA716:AC716),"tekst telt niet mee",IF(COUNT(B716:Z716)=1,"1 waarde: geen R of s","")))</f>
        <v/>
      </c>
    </row>
    <row r="717">
      <c r="A717" t="n">
        <v>666</v>
      </c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28">
        <f>IF(COUNT(B717:Z717)&gt;0,COUNT(B717:Z717),IF(OR(ISNUMBER(AA717),ISNUMBER(AB717)),$B$9,""))</f>
        <v/>
      </c>
      <c r="AE717" s="29">
        <f>IF(COUNT(B717:Z717)&gt;0,AVERAGE(B717:Z717),IF(ISNUMBER(AA717),AA717,""))</f>
        <v/>
      </c>
      <c r="AF717" s="29">
        <f>IF(COUNT(B717:Z717)&gt;1,MAX(B717:Z717)-MIN(B717:Z717),IF(ISNUMBER(AB717),AB717,""))</f>
        <v/>
      </c>
      <c r="AG717" s="29">
        <f>IF(COUNT(B717:Z717)&gt;1,_xlfn.STDEV.S(B717:Z717),IF(ISNUMBER(AC717),AC717,""))</f>
        <v/>
      </c>
      <c r="AH717" s="13">
        <f>IF(AND(ISNUMBER(AE717),ISNUMBER($B$23),ISNUMBER($D$23)),IF(AE717&gt;$D$23,"boven UCL",IF(AE717&lt;$B$23,"onder LCL","")),"")</f>
        <v/>
      </c>
      <c r="AI717" s="13">
        <f>IF(AND(ISNUMBER(AF717),ISNUMBER($B$24),ISNUMBER($D$24)),IF(AF717&gt;$D$24,"boven UCL",IF(AF717&lt;$B$24,"onder LCL","")),"")</f>
        <v/>
      </c>
      <c r="AJ717" s="13">
        <f>IF(AND(ISNUMBER(AE717),ISNUMBER($B$25),ISNUMBER($D$25)),IF(AE717&gt;$D$25,"boven UCL",IF(AE717&lt;$B$25,"onder LCL","")),"")</f>
        <v/>
      </c>
      <c r="AK717" s="13">
        <f>IF(AND(ISNUMBER(AG717),ISNUMBER($B$26),ISNUMBER($D$26)),IF(AG717&gt;$D$26,"boven UCL",IF(AG717&lt;$B$26,"onder LCL","")),"")</f>
        <v/>
      </c>
      <c r="AL717" s="13">
        <f>IF(AND(COUNT(B717:Z717)&gt;0,COUNT(AA717:AC717)&gt;0),"ruwe waarden én getypt: getypte genegeerd",IF(COUNTA(B717:Z717,AA717:AC717)&gt;COUNT(B717:Z717,AA717:AC717),"tekst telt niet mee",IF(COUNT(B717:Z717)=1,"1 waarde: geen R of s","")))</f>
        <v/>
      </c>
    </row>
    <row r="718">
      <c r="A718" t="n">
        <v>667</v>
      </c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28">
        <f>IF(COUNT(B718:Z718)&gt;0,COUNT(B718:Z718),IF(OR(ISNUMBER(AA718),ISNUMBER(AB718)),$B$9,""))</f>
        <v/>
      </c>
      <c r="AE718" s="29">
        <f>IF(COUNT(B718:Z718)&gt;0,AVERAGE(B718:Z718),IF(ISNUMBER(AA718),AA718,""))</f>
        <v/>
      </c>
      <c r="AF718" s="29">
        <f>IF(COUNT(B718:Z718)&gt;1,MAX(B718:Z718)-MIN(B718:Z718),IF(ISNUMBER(AB718),AB718,""))</f>
        <v/>
      </c>
      <c r="AG718" s="29">
        <f>IF(COUNT(B718:Z718)&gt;1,_xlfn.STDEV.S(B718:Z718),IF(ISNUMBER(AC718),AC718,""))</f>
        <v/>
      </c>
      <c r="AH718" s="13">
        <f>IF(AND(ISNUMBER(AE718),ISNUMBER($B$23),ISNUMBER($D$23)),IF(AE718&gt;$D$23,"boven UCL",IF(AE718&lt;$B$23,"onder LCL","")),"")</f>
        <v/>
      </c>
      <c r="AI718" s="13">
        <f>IF(AND(ISNUMBER(AF718),ISNUMBER($B$24),ISNUMBER($D$24)),IF(AF718&gt;$D$24,"boven UCL",IF(AF718&lt;$B$24,"onder LCL","")),"")</f>
        <v/>
      </c>
      <c r="AJ718" s="13">
        <f>IF(AND(ISNUMBER(AE718),ISNUMBER($B$25),ISNUMBER($D$25)),IF(AE718&gt;$D$25,"boven UCL",IF(AE718&lt;$B$25,"onder LCL","")),"")</f>
        <v/>
      </c>
      <c r="AK718" s="13">
        <f>IF(AND(ISNUMBER(AG718),ISNUMBER($B$26),ISNUMBER($D$26)),IF(AG718&gt;$D$26,"boven UCL",IF(AG718&lt;$B$26,"onder LCL","")),"")</f>
        <v/>
      </c>
      <c r="AL718" s="13">
        <f>IF(AND(COUNT(B718:Z718)&gt;0,COUNT(AA718:AC718)&gt;0),"ruwe waarden én getypt: getypte genegeerd",IF(COUNTA(B718:Z718,AA718:AC718)&gt;COUNT(B718:Z718,AA718:AC718),"tekst telt niet mee",IF(COUNT(B718:Z718)=1,"1 waarde: geen R of s","")))</f>
        <v/>
      </c>
    </row>
    <row r="719">
      <c r="A719" t="n">
        <v>668</v>
      </c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28">
        <f>IF(COUNT(B719:Z719)&gt;0,COUNT(B719:Z719),IF(OR(ISNUMBER(AA719),ISNUMBER(AB719)),$B$9,""))</f>
        <v/>
      </c>
      <c r="AE719" s="29">
        <f>IF(COUNT(B719:Z719)&gt;0,AVERAGE(B719:Z719),IF(ISNUMBER(AA719),AA719,""))</f>
        <v/>
      </c>
      <c r="AF719" s="29">
        <f>IF(COUNT(B719:Z719)&gt;1,MAX(B719:Z719)-MIN(B719:Z719),IF(ISNUMBER(AB719),AB719,""))</f>
        <v/>
      </c>
      <c r="AG719" s="29">
        <f>IF(COUNT(B719:Z719)&gt;1,_xlfn.STDEV.S(B719:Z719),IF(ISNUMBER(AC719),AC719,""))</f>
        <v/>
      </c>
      <c r="AH719" s="13">
        <f>IF(AND(ISNUMBER(AE719),ISNUMBER($B$23),ISNUMBER($D$23)),IF(AE719&gt;$D$23,"boven UCL",IF(AE719&lt;$B$23,"onder LCL","")),"")</f>
        <v/>
      </c>
      <c r="AI719" s="13">
        <f>IF(AND(ISNUMBER(AF719),ISNUMBER($B$24),ISNUMBER($D$24)),IF(AF719&gt;$D$24,"boven UCL",IF(AF719&lt;$B$24,"onder LCL","")),"")</f>
        <v/>
      </c>
      <c r="AJ719" s="13">
        <f>IF(AND(ISNUMBER(AE719),ISNUMBER($B$25),ISNUMBER($D$25)),IF(AE719&gt;$D$25,"boven UCL",IF(AE719&lt;$B$25,"onder LCL","")),"")</f>
        <v/>
      </c>
      <c r="AK719" s="13">
        <f>IF(AND(ISNUMBER(AG719),ISNUMBER($B$26),ISNUMBER($D$26)),IF(AG719&gt;$D$26,"boven UCL",IF(AG719&lt;$B$26,"onder LCL","")),"")</f>
        <v/>
      </c>
      <c r="AL719" s="13">
        <f>IF(AND(COUNT(B719:Z719)&gt;0,COUNT(AA719:AC719)&gt;0),"ruwe waarden én getypt: getypte genegeerd",IF(COUNTA(B719:Z719,AA719:AC719)&gt;COUNT(B719:Z719,AA719:AC719),"tekst telt niet mee",IF(COUNT(B719:Z719)=1,"1 waarde: geen R of s","")))</f>
        <v/>
      </c>
    </row>
    <row r="720">
      <c r="A720" t="n">
        <v>669</v>
      </c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28">
        <f>IF(COUNT(B720:Z720)&gt;0,COUNT(B720:Z720),IF(OR(ISNUMBER(AA720),ISNUMBER(AB720)),$B$9,""))</f>
        <v/>
      </c>
      <c r="AE720" s="29">
        <f>IF(COUNT(B720:Z720)&gt;0,AVERAGE(B720:Z720),IF(ISNUMBER(AA720),AA720,""))</f>
        <v/>
      </c>
      <c r="AF720" s="29">
        <f>IF(COUNT(B720:Z720)&gt;1,MAX(B720:Z720)-MIN(B720:Z720),IF(ISNUMBER(AB720),AB720,""))</f>
        <v/>
      </c>
      <c r="AG720" s="29">
        <f>IF(COUNT(B720:Z720)&gt;1,_xlfn.STDEV.S(B720:Z720),IF(ISNUMBER(AC720),AC720,""))</f>
        <v/>
      </c>
      <c r="AH720" s="13">
        <f>IF(AND(ISNUMBER(AE720),ISNUMBER($B$23),ISNUMBER($D$23)),IF(AE720&gt;$D$23,"boven UCL",IF(AE720&lt;$B$23,"onder LCL","")),"")</f>
        <v/>
      </c>
      <c r="AI720" s="13">
        <f>IF(AND(ISNUMBER(AF720),ISNUMBER($B$24),ISNUMBER($D$24)),IF(AF720&gt;$D$24,"boven UCL",IF(AF720&lt;$B$24,"onder LCL","")),"")</f>
        <v/>
      </c>
      <c r="AJ720" s="13">
        <f>IF(AND(ISNUMBER(AE720),ISNUMBER($B$25),ISNUMBER($D$25)),IF(AE720&gt;$D$25,"boven UCL",IF(AE720&lt;$B$25,"onder LCL","")),"")</f>
        <v/>
      </c>
      <c r="AK720" s="13">
        <f>IF(AND(ISNUMBER(AG720),ISNUMBER($B$26),ISNUMBER($D$26)),IF(AG720&gt;$D$26,"boven UCL",IF(AG720&lt;$B$26,"onder LCL","")),"")</f>
        <v/>
      </c>
      <c r="AL720" s="13">
        <f>IF(AND(COUNT(B720:Z720)&gt;0,COUNT(AA720:AC720)&gt;0),"ruwe waarden én getypt: getypte genegeerd",IF(COUNTA(B720:Z720,AA720:AC720)&gt;COUNT(B720:Z720,AA720:AC720),"tekst telt niet mee",IF(COUNT(B720:Z720)=1,"1 waarde: geen R of s","")))</f>
        <v/>
      </c>
    </row>
    <row r="721">
      <c r="A721" t="n">
        <v>670</v>
      </c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28">
        <f>IF(COUNT(B721:Z721)&gt;0,COUNT(B721:Z721),IF(OR(ISNUMBER(AA721),ISNUMBER(AB721)),$B$9,""))</f>
        <v/>
      </c>
      <c r="AE721" s="29">
        <f>IF(COUNT(B721:Z721)&gt;0,AVERAGE(B721:Z721),IF(ISNUMBER(AA721),AA721,""))</f>
        <v/>
      </c>
      <c r="AF721" s="29">
        <f>IF(COUNT(B721:Z721)&gt;1,MAX(B721:Z721)-MIN(B721:Z721),IF(ISNUMBER(AB721),AB721,""))</f>
        <v/>
      </c>
      <c r="AG721" s="29">
        <f>IF(COUNT(B721:Z721)&gt;1,_xlfn.STDEV.S(B721:Z721),IF(ISNUMBER(AC721),AC721,""))</f>
        <v/>
      </c>
      <c r="AH721" s="13">
        <f>IF(AND(ISNUMBER(AE721),ISNUMBER($B$23),ISNUMBER($D$23)),IF(AE721&gt;$D$23,"boven UCL",IF(AE721&lt;$B$23,"onder LCL","")),"")</f>
        <v/>
      </c>
      <c r="AI721" s="13">
        <f>IF(AND(ISNUMBER(AF721),ISNUMBER($B$24),ISNUMBER($D$24)),IF(AF721&gt;$D$24,"boven UCL",IF(AF721&lt;$B$24,"onder LCL","")),"")</f>
        <v/>
      </c>
      <c r="AJ721" s="13">
        <f>IF(AND(ISNUMBER(AE721),ISNUMBER($B$25),ISNUMBER($D$25)),IF(AE721&gt;$D$25,"boven UCL",IF(AE721&lt;$B$25,"onder LCL","")),"")</f>
        <v/>
      </c>
      <c r="AK721" s="13">
        <f>IF(AND(ISNUMBER(AG721),ISNUMBER($B$26),ISNUMBER($D$26)),IF(AG721&gt;$D$26,"boven UCL",IF(AG721&lt;$B$26,"onder LCL","")),"")</f>
        <v/>
      </c>
      <c r="AL721" s="13">
        <f>IF(AND(COUNT(B721:Z721)&gt;0,COUNT(AA721:AC721)&gt;0),"ruwe waarden én getypt: getypte genegeerd",IF(COUNTA(B721:Z721,AA721:AC721)&gt;COUNT(B721:Z721,AA721:AC721),"tekst telt niet mee",IF(COUNT(B721:Z721)=1,"1 waarde: geen R of s","")))</f>
        <v/>
      </c>
    </row>
    <row r="722">
      <c r="A722" t="n">
        <v>671</v>
      </c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28">
        <f>IF(COUNT(B722:Z722)&gt;0,COUNT(B722:Z722),IF(OR(ISNUMBER(AA722),ISNUMBER(AB722)),$B$9,""))</f>
        <v/>
      </c>
      <c r="AE722" s="29">
        <f>IF(COUNT(B722:Z722)&gt;0,AVERAGE(B722:Z722),IF(ISNUMBER(AA722),AA722,""))</f>
        <v/>
      </c>
      <c r="AF722" s="29">
        <f>IF(COUNT(B722:Z722)&gt;1,MAX(B722:Z722)-MIN(B722:Z722),IF(ISNUMBER(AB722),AB722,""))</f>
        <v/>
      </c>
      <c r="AG722" s="29">
        <f>IF(COUNT(B722:Z722)&gt;1,_xlfn.STDEV.S(B722:Z722),IF(ISNUMBER(AC722),AC722,""))</f>
        <v/>
      </c>
      <c r="AH722" s="13">
        <f>IF(AND(ISNUMBER(AE722),ISNUMBER($B$23),ISNUMBER($D$23)),IF(AE722&gt;$D$23,"boven UCL",IF(AE722&lt;$B$23,"onder LCL","")),"")</f>
        <v/>
      </c>
      <c r="AI722" s="13">
        <f>IF(AND(ISNUMBER(AF722),ISNUMBER($B$24),ISNUMBER($D$24)),IF(AF722&gt;$D$24,"boven UCL",IF(AF722&lt;$B$24,"onder LCL","")),"")</f>
        <v/>
      </c>
      <c r="AJ722" s="13">
        <f>IF(AND(ISNUMBER(AE722),ISNUMBER($B$25),ISNUMBER($D$25)),IF(AE722&gt;$D$25,"boven UCL",IF(AE722&lt;$B$25,"onder LCL","")),"")</f>
        <v/>
      </c>
      <c r="AK722" s="13">
        <f>IF(AND(ISNUMBER(AG722),ISNUMBER($B$26),ISNUMBER($D$26)),IF(AG722&gt;$D$26,"boven UCL",IF(AG722&lt;$B$26,"onder LCL","")),"")</f>
        <v/>
      </c>
      <c r="AL722" s="13">
        <f>IF(AND(COUNT(B722:Z722)&gt;0,COUNT(AA722:AC722)&gt;0),"ruwe waarden én getypt: getypte genegeerd",IF(COUNTA(B722:Z722,AA722:AC722)&gt;COUNT(B722:Z722,AA722:AC722),"tekst telt niet mee",IF(COUNT(B722:Z722)=1,"1 waarde: geen R of s","")))</f>
        <v/>
      </c>
    </row>
    <row r="723">
      <c r="A723" t="n">
        <v>672</v>
      </c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28">
        <f>IF(COUNT(B723:Z723)&gt;0,COUNT(B723:Z723),IF(OR(ISNUMBER(AA723),ISNUMBER(AB723)),$B$9,""))</f>
        <v/>
      </c>
      <c r="AE723" s="29">
        <f>IF(COUNT(B723:Z723)&gt;0,AVERAGE(B723:Z723),IF(ISNUMBER(AA723),AA723,""))</f>
        <v/>
      </c>
      <c r="AF723" s="29">
        <f>IF(COUNT(B723:Z723)&gt;1,MAX(B723:Z723)-MIN(B723:Z723),IF(ISNUMBER(AB723),AB723,""))</f>
        <v/>
      </c>
      <c r="AG723" s="29">
        <f>IF(COUNT(B723:Z723)&gt;1,_xlfn.STDEV.S(B723:Z723),IF(ISNUMBER(AC723),AC723,""))</f>
        <v/>
      </c>
      <c r="AH723" s="13">
        <f>IF(AND(ISNUMBER(AE723),ISNUMBER($B$23),ISNUMBER($D$23)),IF(AE723&gt;$D$23,"boven UCL",IF(AE723&lt;$B$23,"onder LCL","")),"")</f>
        <v/>
      </c>
      <c r="AI723" s="13">
        <f>IF(AND(ISNUMBER(AF723),ISNUMBER($B$24),ISNUMBER($D$24)),IF(AF723&gt;$D$24,"boven UCL",IF(AF723&lt;$B$24,"onder LCL","")),"")</f>
        <v/>
      </c>
      <c r="AJ723" s="13">
        <f>IF(AND(ISNUMBER(AE723),ISNUMBER($B$25),ISNUMBER($D$25)),IF(AE723&gt;$D$25,"boven UCL",IF(AE723&lt;$B$25,"onder LCL","")),"")</f>
        <v/>
      </c>
      <c r="AK723" s="13">
        <f>IF(AND(ISNUMBER(AG723),ISNUMBER($B$26),ISNUMBER($D$26)),IF(AG723&gt;$D$26,"boven UCL",IF(AG723&lt;$B$26,"onder LCL","")),"")</f>
        <v/>
      </c>
      <c r="AL723" s="13">
        <f>IF(AND(COUNT(B723:Z723)&gt;0,COUNT(AA723:AC723)&gt;0),"ruwe waarden én getypt: getypte genegeerd",IF(COUNTA(B723:Z723,AA723:AC723)&gt;COUNT(B723:Z723,AA723:AC723),"tekst telt niet mee",IF(COUNT(B723:Z723)=1,"1 waarde: geen R of s","")))</f>
        <v/>
      </c>
    </row>
    <row r="724">
      <c r="A724" t="n">
        <v>673</v>
      </c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28">
        <f>IF(COUNT(B724:Z724)&gt;0,COUNT(B724:Z724),IF(OR(ISNUMBER(AA724),ISNUMBER(AB724)),$B$9,""))</f>
        <v/>
      </c>
      <c r="AE724" s="29">
        <f>IF(COUNT(B724:Z724)&gt;0,AVERAGE(B724:Z724),IF(ISNUMBER(AA724),AA724,""))</f>
        <v/>
      </c>
      <c r="AF724" s="29">
        <f>IF(COUNT(B724:Z724)&gt;1,MAX(B724:Z724)-MIN(B724:Z724),IF(ISNUMBER(AB724),AB724,""))</f>
        <v/>
      </c>
      <c r="AG724" s="29">
        <f>IF(COUNT(B724:Z724)&gt;1,_xlfn.STDEV.S(B724:Z724),IF(ISNUMBER(AC724),AC724,""))</f>
        <v/>
      </c>
      <c r="AH724" s="13">
        <f>IF(AND(ISNUMBER(AE724),ISNUMBER($B$23),ISNUMBER($D$23)),IF(AE724&gt;$D$23,"boven UCL",IF(AE724&lt;$B$23,"onder LCL","")),"")</f>
        <v/>
      </c>
      <c r="AI724" s="13">
        <f>IF(AND(ISNUMBER(AF724),ISNUMBER($B$24),ISNUMBER($D$24)),IF(AF724&gt;$D$24,"boven UCL",IF(AF724&lt;$B$24,"onder LCL","")),"")</f>
        <v/>
      </c>
      <c r="AJ724" s="13">
        <f>IF(AND(ISNUMBER(AE724),ISNUMBER($B$25),ISNUMBER($D$25)),IF(AE724&gt;$D$25,"boven UCL",IF(AE724&lt;$B$25,"onder LCL","")),"")</f>
        <v/>
      </c>
      <c r="AK724" s="13">
        <f>IF(AND(ISNUMBER(AG724),ISNUMBER($B$26),ISNUMBER($D$26)),IF(AG724&gt;$D$26,"boven UCL",IF(AG724&lt;$B$26,"onder LCL","")),"")</f>
        <v/>
      </c>
      <c r="AL724" s="13">
        <f>IF(AND(COUNT(B724:Z724)&gt;0,COUNT(AA724:AC724)&gt;0),"ruwe waarden én getypt: getypte genegeerd",IF(COUNTA(B724:Z724,AA724:AC724)&gt;COUNT(B724:Z724,AA724:AC724),"tekst telt niet mee",IF(COUNT(B724:Z724)=1,"1 waarde: geen R of s","")))</f>
        <v/>
      </c>
    </row>
    <row r="725">
      <c r="A725" t="n">
        <v>674</v>
      </c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28">
        <f>IF(COUNT(B725:Z725)&gt;0,COUNT(B725:Z725),IF(OR(ISNUMBER(AA725),ISNUMBER(AB725)),$B$9,""))</f>
        <v/>
      </c>
      <c r="AE725" s="29">
        <f>IF(COUNT(B725:Z725)&gt;0,AVERAGE(B725:Z725),IF(ISNUMBER(AA725),AA725,""))</f>
        <v/>
      </c>
      <c r="AF725" s="29">
        <f>IF(COUNT(B725:Z725)&gt;1,MAX(B725:Z725)-MIN(B725:Z725),IF(ISNUMBER(AB725),AB725,""))</f>
        <v/>
      </c>
      <c r="AG725" s="29">
        <f>IF(COUNT(B725:Z725)&gt;1,_xlfn.STDEV.S(B725:Z725),IF(ISNUMBER(AC725),AC725,""))</f>
        <v/>
      </c>
      <c r="AH725" s="13">
        <f>IF(AND(ISNUMBER(AE725),ISNUMBER($B$23),ISNUMBER($D$23)),IF(AE725&gt;$D$23,"boven UCL",IF(AE725&lt;$B$23,"onder LCL","")),"")</f>
        <v/>
      </c>
      <c r="AI725" s="13">
        <f>IF(AND(ISNUMBER(AF725),ISNUMBER($B$24),ISNUMBER($D$24)),IF(AF725&gt;$D$24,"boven UCL",IF(AF725&lt;$B$24,"onder LCL","")),"")</f>
        <v/>
      </c>
      <c r="AJ725" s="13">
        <f>IF(AND(ISNUMBER(AE725),ISNUMBER($B$25),ISNUMBER($D$25)),IF(AE725&gt;$D$25,"boven UCL",IF(AE725&lt;$B$25,"onder LCL","")),"")</f>
        <v/>
      </c>
      <c r="AK725" s="13">
        <f>IF(AND(ISNUMBER(AG725),ISNUMBER($B$26),ISNUMBER($D$26)),IF(AG725&gt;$D$26,"boven UCL",IF(AG725&lt;$B$26,"onder LCL","")),"")</f>
        <v/>
      </c>
      <c r="AL725" s="13">
        <f>IF(AND(COUNT(B725:Z725)&gt;0,COUNT(AA725:AC725)&gt;0),"ruwe waarden én getypt: getypte genegeerd",IF(COUNTA(B725:Z725,AA725:AC725)&gt;COUNT(B725:Z725,AA725:AC725),"tekst telt niet mee",IF(COUNT(B725:Z725)=1,"1 waarde: geen R of s","")))</f>
        <v/>
      </c>
    </row>
    <row r="726">
      <c r="A726" t="n">
        <v>675</v>
      </c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28">
        <f>IF(COUNT(B726:Z726)&gt;0,COUNT(B726:Z726),IF(OR(ISNUMBER(AA726),ISNUMBER(AB726)),$B$9,""))</f>
        <v/>
      </c>
      <c r="AE726" s="29">
        <f>IF(COUNT(B726:Z726)&gt;0,AVERAGE(B726:Z726),IF(ISNUMBER(AA726),AA726,""))</f>
        <v/>
      </c>
      <c r="AF726" s="29">
        <f>IF(COUNT(B726:Z726)&gt;1,MAX(B726:Z726)-MIN(B726:Z726),IF(ISNUMBER(AB726),AB726,""))</f>
        <v/>
      </c>
      <c r="AG726" s="29">
        <f>IF(COUNT(B726:Z726)&gt;1,_xlfn.STDEV.S(B726:Z726),IF(ISNUMBER(AC726),AC726,""))</f>
        <v/>
      </c>
      <c r="AH726" s="13">
        <f>IF(AND(ISNUMBER(AE726),ISNUMBER($B$23),ISNUMBER($D$23)),IF(AE726&gt;$D$23,"boven UCL",IF(AE726&lt;$B$23,"onder LCL","")),"")</f>
        <v/>
      </c>
      <c r="AI726" s="13">
        <f>IF(AND(ISNUMBER(AF726),ISNUMBER($B$24),ISNUMBER($D$24)),IF(AF726&gt;$D$24,"boven UCL",IF(AF726&lt;$B$24,"onder LCL","")),"")</f>
        <v/>
      </c>
      <c r="AJ726" s="13">
        <f>IF(AND(ISNUMBER(AE726),ISNUMBER($B$25),ISNUMBER($D$25)),IF(AE726&gt;$D$25,"boven UCL",IF(AE726&lt;$B$25,"onder LCL","")),"")</f>
        <v/>
      </c>
      <c r="AK726" s="13">
        <f>IF(AND(ISNUMBER(AG726),ISNUMBER($B$26),ISNUMBER($D$26)),IF(AG726&gt;$D$26,"boven UCL",IF(AG726&lt;$B$26,"onder LCL","")),"")</f>
        <v/>
      </c>
      <c r="AL726" s="13">
        <f>IF(AND(COUNT(B726:Z726)&gt;0,COUNT(AA726:AC726)&gt;0),"ruwe waarden én getypt: getypte genegeerd",IF(COUNTA(B726:Z726,AA726:AC726)&gt;COUNT(B726:Z726,AA726:AC726),"tekst telt niet mee",IF(COUNT(B726:Z726)=1,"1 waarde: geen R of s","")))</f>
        <v/>
      </c>
    </row>
    <row r="727">
      <c r="A727" t="n">
        <v>676</v>
      </c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28">
        <f>IF(COUNT(B727:Z727)&gt;0,COUNT(B727:Z727),IF(OR(ISNUMBER(AA727),ISNUMBER(AB727)),$B$9,""))</f>
        <v/>
      </c>
      <c r="AE727" s="29">
        <f>IF(COUNT(B727:Z727)&gt;0,AVERAGE(B727:Z727),IF(ISNUMBER(AA727),AA727,""))</f>
        <v/>
      </c>
      <c r="AF727" s="29">
        <f>IF(COUNT(B727:Z727)&gt;1,MAX(B727:Z727)-MIN(B727:Z727),IF(ISNUMBER(AB727),AB727,""))</f>
        <v/>
      </c>
      <c r="AG727" s="29">
        <f>IF(COUNT(B727:Z727)&gt;1,_xlfn.STDEV.S(B727:Z727),IF(ISNUMBER(AC727),AC727,""))</f>
        <v/>
      </c>
      <c r="AH727" s="13">
        <f>IF(AND(ISNUMBER(AE727),ISNUMBER($B$23),ISNUMBER($D$23)),IF(AE727&gt;$D$23,"boven UCL",IF(AE727&lt;$B$23,"onder LCL","")),"")</f>
        <v/>
      </c>
      <c r="AI727" s="13">
        <f>IF(AND(ISNUMBER(AF727),ISNUMBER($B$24),ISNUMBER($D$24)),IF(AF727&gt;$D$24,"boven UCL",IF(AF727&lt;$B$24,"onder LCL","")),"")</f>
        <v/>
      </c>
      <c r="AJ727" s="13">
        <f>IF(AND(ISNUMBER(AE727),ISNUMBER($B$25),ISNUMBER($D$25)),IF(AE727&gt;$D$25,"boven UCL",IF(AE727&lt;$B$25,"onder LCL","")),"")</f>
        <v/>
      </c>
      <c r="AK727" s="13">
        <f>IF(AND(ISNUMBER(AG727),ISNUMBER($B$26),ISNUMBER($D$26)),IF(AG727&gt;$D$26,"boven UCL",IF(AG727&lt;$B$26,"onder LCL","")),"")</f>
        <v/>
      </c>
      <c r="AL727" s="13">
        <f>IF(AND(COUNT(B727:Z727)&gt;0,COUNT(AA727:AC727)&gt;0),"ruwe waarden én getypt: getypte genegeerd",IF(COUNTA(B727:Z727,AA727:AC727)&gt;COUNT(B727:Z727,AA727:AC727),"tekst telt niet mee",IF(COUNT(B727:Z727)=1,"1 waarde: geen R of s","")))</f>
        <v/>
      </c>
    </row>
    <row r="728">
      <c r="A728" t="n">
        <v>677</v>
      </c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28">
        <f>IF(COUNT(B728:Z728)&gt;0,COUNT(B728:Z728),IF(OR(ISNUMBER(AA728),ISNUMBER(AB728)),$B$9,""))</f>
        <v/>
      </c>
      <c r="AE728" s="29">
        <f>IF(COUNT(B728:Z728)&gt;0,AVERAGE(B728:Z728),IF(ISNUMBER(AA728),AA728,""))</f>
        <v/>
      </c>
      <c r="AF728" s="29">
        <f>IF(COUNT(B728:Z728)&gt;1,MAX(B728:Z728)-MIN(B728:Z728),IF(ISNUMBER(AB728),AB728,""))</f>
        <v/>
      </c>
      <c r="AG728" s="29">
        <f>IF(COUNT(B728:Z728)&gt;1,_xlfn.STDEV.S(B728:Z728),IF(ISNUMBER(AC728),AC728,""))</f>
        <v/>
      </c>
      <c r="AH728" s="13">
        <f>IF(AND(ISNUMBER(AE728),ISNUMBER($B$23),ISNUMBER($D$23)),IF(AE728&gt;$D$23,"boven UCL",IF(AE728&lt;$B$23,"onder LCL","")),"")</f>
        <v/>
      </c>
      <c r="AI728" s="13">
        <f>IF(AND(ISNUMBER(AF728),ISNUMBER($B$24),ISNUMBER($D$24)),IF(AF728&gt;$D$24,"boven UCL",IF(AF728&lt;$B$24,"onder LCL","")),"")</f>
        <v/>
      </c>
      <c r="AJ728" s="13">
        <f>IF(AND(ISNUMBER(AE728),ISNUMBER($B$25),ISNUMBER($D$25)),IF(AE728&gt;$D$25,"boven UCL",IF(AE728&lt;$B$25,"onder LCL","")),"")</f>
        <v/>
      </c>
      <c r="AK728" s="13">
        <f>IF(AND(ISNUMBER(AG728),ISNUMBER($B$26),ISNUMBER($D$26)),IF(AG728&gt;$D$26,"boven UCL",IF(AG728&lt;$B$26,"onder LCL","")),"")</f>
        <v/>
      </c>
      <c r="AL728" s="13">
        <f>IF(AND(COUNT(B728:Z728)&gt;0,COUNT(AA728:AC728)&gt;0),"ruwe waarden én getypt: getypte genegeerd",IF(COUNTA(B728:Z728,AA728:AC728)&gt;COUNT(B728:Z728,AA728:AC728),"tekst telt niet mee",IF(COUNT(B728:Z728)=1,"1 waarde: geen R of s","")))</f>
        <v/>
      </c>
    </row>
    <row r="729">
      <c r="A729" t="n">
        <v>678</v>
      </c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28">
        <f>IF(COUNT(B729:Z729)&gt;0,COUNT(B729:Z729),IF(OR(ISNUMBER(AA729),ISNUMBER(AB729)),$B$9,""))</f>
        <v/>
      </c>
      <c r="AE729" s="29">
        <f>IF(COUNT(B729:Z729)&gt;0,AVERAGE(B729:Z729),IF(ISNUMBER(AA729),AA729,""))</f>
        <v/>
      </c>
      <c r="AF729" s="29">
        <f>IF(COUNT(B729:Z729)&gt;1,MAX(B729:Z729)-MIN(B729:Z729),IF(ISNUMBER(AB729),AB729,""))</f>
        <v/>
      </c>
      <c r="AG729" s="29">
        <f>IF(COUNT(B729:Z729)&gt;1,_xlfn.STDEV.S(B729:Z729),IF(ISNUMBER(AC729),AC729,""))</f>
        <v/>
      </c>
      <c r="AH729" s="13">
        <f>IF(AND(ISNUMBER(AE729),ISNUMBER($B$23),ISNUMBER($D$23)),IF(AE729&gt;$D$23,"boven UCL",IF(AE729&lt;$B$23,"onder LCL","")),"")</f>
        <v/>
      </c>
      <c r="AI729" s="13">
        <f>IF(AND(ISNUMBER(AF729),ISNUMBER($B$24),ISNUMBER($D$24)),IF(AF729&gt;$D$24,"boven UCL",IF(AF729&lt;$B$24,"onder LCL","")),"")</f>
        <v/>
      </c>
      <c r="AJ729" s="13">
        <f>IF(AND(ISNUMBER(AE729),ISNUMBER($B$25),ISNUMBER($D$25)),IF(AE729&gt;$D$25,"boven UCL",IF(AE729&lt;$B$25,"onder LCL","")),"")</f>
        <v/>
      </c>
      <c r="AK729" s="13">
        <f>IF(AND(ISNUMBER(AG729),ISNUMBER($B$26),ISNUMBER($D$26)),IF(AG729&gt;$D$26,"boven UCL",IF(AG729&lt;$B$26,"onder LCL","")),"")</f>
        <v/>
      </c>
      <c r="AL729" s="13">
        <f>IF(AND(COUNT(B729:Z729)&gt;0,COUNT(AA729:AC729)&gt;0),"ruwe waarden én getypt: getypte genegeerd",IF(COUNTA(B729:Z729,AA729:AC729)&gt;COUNT(B729:Z729,AA729:AC729),"tekst telt niet mee",IF(COUNT(B729:Z729)=1,"1 waarde: geen R of s","")))</f>
        <v/>
      </c>
    </row>
    <row r="730">
      <c r="A730" t="n">
        <v>679</v>
      </c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28">
        <f>IF(COUNT(B730:Z730)&gt;0,COUNT(B730:Z730),IF(OR(ISNUMBER(AA730),ISNUMBER(AB730)),$B$9,""))</f>
        <v/>
      </c>
      <c r="AE730" s="29">
        <f>IF(COUNT(B730:Z730)&gt;0,AVERAGE(B730:Z730),IF(ISNUMBER(AA730),AA730,""))</f>
        <v/>
      </c>
      <c r="AF730" s="29">
        <f>IF(COUNT(B730:Z730)&gt;1,MAX(B730:Z730)-MIN(B730:Z730),IF(ISNUMBER(AB730),AB730,""))</f>
        <v/>
      </c>
      <c r="AG730" s="29">
        <f>IF(COUNT(B730:Z730)&gt;1,_xlfn.STDEV.S(B730:Z730),IF(ISNUMBER(AC730),AC730,""))</f>
        <v/>
      </c>
      <c r="AH730" s="13">
        <f>IF(AND(ISNUMBER(AE730),ISNUMBER($B$23),ISNUMBER($D$23)),IF(AE730&gt;$D$23,"boven UCL",IF(AE730&lt;$B$23,"onder LCL","")),"")</f>
        <v/>
      </c>
      <c r="AI730" s="13">
        <f>IF(AND(ISNUMBER(AF730),ISNUMBER($B$24),ISNUMBER($D$24)),IF(AF730&gt;$D$24,"boven UCL",IF(AF730&lt;$B$24,"onder LCL","")),"")</f>
        <v/>
      </c>
      <c r="AJ730" s="13">
        <f>IF(AND(ISNUMBER(AE730),ISNUMBER($B$25),ISNUMBER($D$25)),IF(AE730&gt;$D$25,"boven UCL",IF(AE730&lt;$B$25,"onder LCL","")),"")</f>
        <v/>
      </c>
      <c r="AK730" s="13">
        <f>IF(AND(ISNUMBER(AG730),ISNUMBER($B$26),ISNUMBER($D$26)),IF(AG730&gt;$D$26,"boven UCL",IF(AG730&lt;$B$26,"onder LCL","")),"")</f>
        <v/>
      </c>
      <c r="AL730" s="13">
        <f>IF(AND(COUNT(B730:Z730)&gt;0,COUNT(AA730:AC730)&gt;0),"ruwe waarden én getypt: getypte genegeerd",IF(COUNTA(B730:Z730,AA730:AC730)&gt;COUNT(B730:Z730,AA730:AC730),"tekst telt niet mee",IF(COUNT(B730:Z730)=1,"1 waarde: geen R of s","")))</f>
        <v/>
      </c>
    </row>
    <row r="731">
      <c r="A731" t="n">
        <v>680</v>
      </c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28">
        <f>IF(COUNT(B731:Z731)&gt;0,COUNT(B731:Z731),IF(OR(ISNUMBER(AA731),ISNUMBER(AB731)),$B$9,""))</f>
        <v/>
      </c>
      <c r="AE731" s="29">
        <f>IF(COUNT(B731:Z731)&gt;0,AVERAGE(B731:Z731),IF(ISNUMBER(AA731),AA731,""))</f>
        <v/>
      </c>
      <c r="AF731" s="29">
        <f>IF(COUNT(B731:Z731)&gt;1,MAX(B731:Z731)-MIN(B731:Z731),IF(ISNUMBER(AB731),AB731,""))</f>
        <v/>
      </c>
      <c r="AG731" s="29">
        <f>IF(COUNT(B731:Z731)&gt;1,_xlfn.STDEV.S(B731:Z731),IF(ISNUMBER(AC731),AC731,""))</f>
        <v/>
      </c>
      <c r="AH731" s="13">
        <f>IF(AND(ISNUMBER(AE731),ISNUMBER($B$23),ISNUMBER($D$23)),IF(AE731&gt;$D$23,"boven UCL",IF(AE731&lt;$B$23,"onder LCL","")),"")</f>
        <v/>
      </c>
      <c r="AI731" s="13">
        <f>IF(AND(ISNUMBER(AF731),ISNUMBER($B$24),ISNUMBER($D$24)),IF(AF731&gt;$D$24,"boven UCL",IF(AF731&lt;$B$24,"onder LCL","")),"")</f>
        <v/>
      </c>
      <c r="AJ731" s="13">
        <f>IF(AND(ISNUMBER(AE731),ISNUMBER($B$25),ISNUMBER($D$25)),IF(AE731&gt;$D$25,"boven UCL",IF(AE731&lt;$B$25,"onder LCL","")),"")</f>
        <v/>
      </c>
      <c r="AK731" s="13">
        <f>IF(AND(ISNUMBER(AG731),ISNUMBER($B$26),ISNUMBER($D$26)),IF(AG731&gt;$D$26,"boven UCL",IF(AG731&lt;$B$26,"onder LCL","")),"")</f>
        <v/>
      </c>
      <c r="AL731" s="13">
        <f>IF(AND(COUNT(B731:Z731)&gt;0,COUNT(AA731:AC731)&gt;0),"ruwe waarden én getypt: getypte genegeerd",IF(COUNTA(B731:Z731,AA731:AC731)&gt;COUNT(B731:Z731,AA731:AC731),"tekst telt niet mee",IF(COUNT(B731:Z731)=1,"1 waarde: geen R of s","")))</f>
        <v/>
      </c>
    </row>
    <row r="732">
      <c r="A732" t="n">
        <v>681</v>
      </c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28">
        <f>IF(COUNT(B732:Z732)&gt;0,COUNT(B732:Z732),IF(OR(ISNUMBER(AA732),ISNUMBER(AB732)),$B$9,""))</f>
        <v/>
      </c>
      <c r="AE732" s="29">
        <f>IF(COUNT(B732:Z732)&gt;0,AVERAGE(B732:Z732),IF(ISNUMBER(AA732),AA732,""))</f>
        <v/>
      </c>
      <c r="AF732" s="29">
        <f>IF(COUNT(B732:Z732)&gt;1,MAX(B732:Z732)-MIN(B732:Z732),IF(ISNUMBER(AB732),AB732,""))</f>
        <v/>
      </c>
      <c r="AG732" s="29">
        <f>IF(COUNT(B732:Z732)&gt;1,_xlfn.STDEV.S(B732:Z732),IF(ISNUMBER(AC732),AC732,""))</f>
        <v/>
      </c>
      <c r="AH732" s="13">
        <f>IF(AND(ISNUMBER(AE732),ISNUMBER($B$23),ISNUMBER($D$23)),IF(AE732&gt;$D$23,"boven UCL",IF(AE732&lt;$B$23,"onder LCL","")),"")</f>
        <v/>
      </c>
      <c r="AI732" s="13">
        <f>IF(AND(ISNUMBER(AF732),ISNUMBER($B$24),ISNUMBER($D$24)),IF(AF732&gt;$D$24,"boven UCL",IF(AF732&lt;$B$24,"onder LCL","")),"")</f>
        <v/>
      </c>
      <c r="AJ732" s="13">
        <f>IF(AND(ISNUMBER(AE732),ISNUMBER($B$25),ISNUMBER($D$25)),IF(AE732&gt;$D$25,"boven UCL",IF(AE732&lt;$B$25,"onder LCL","")),"")</f>
        <v/>
      </c>
      <c r="AK732" s="13">
        <f>IF(AND(ISNUMBER(AG732),ISNUMBER($B$26),ISNUMBER($D$26)),IF(AG732&gt;$D$26,"boven UCL",IF(AG732&lt;$B$26,"onder LCL","")),"")</f>
        <v/>
      </c>
      <c r="AL732" s="13">
        <f>IF(AND(COUNT(B732:Z732)&gt;0,COUNT(AA732:AC732)&gt;0),"ruwe waarden én getypt: getypte genegeerd",IF(COUNTA(B732:Z732,AA732:AC732)&gt;COUNT(B732:Z732,AA732:AC732),"tekst telt niet mee",IF(COUNT(B732:Z732)=1,"1 waarde: geen R of s","")))</f>
        <v/>
      </c>
    </row>
    <row r="733">
      <c r="A733" t="n">
        <v>682</v>
      </c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28">
        <f>IF(COUNT(B733:Z733)&gt;0,COUNT(B733:Z733),IF(OR(ISNUMBER(AA733),ISNUMBER(AB733)),$B$9,""))</f>
        <v/>
      </c>
      <c r="AE733" s="29">
        <f>IF(COUNT(B733:Z733)&gt;0,AVERAGE(B733:Z733),IF(ISNUMBER(AA733),AA733,""))</f>
        <v/>
      </c>
      <c r="AF733" s="29">
        <f>IF(COUNT(B733:Z733)&gt;1,MAX(B733:Z733)-MIN(B733:Z733),IF(ISNUMBER(AB733),AB733,""))</f>
        <v/>
      </c>
      <c r="AG733" s="29">
        <f>IF(COUNT(B733:Z733)&gt;1,_xlfn.STDEV.S(B733:Z733),IF(ISNUMBER(AC733),AC733,""))</f>
        <v/>
      </c>
      <c r="AH733" s="13">
        <f>IF(AND(ISNUMBER(AE733),ISNUMBER($B$23),ISNUMBER($D$23)),IF(AE733&gt;$D$23,"boven UCL",IF(AE733&lt;$B$23,"onder LCL","")),"")</f>
        <v/>
      </c>
      <c r="AI733" s="13">
        <f>IF(AND(ISNUMBER(AF733),ISNUMBER($B$24),ISNUMBER($D$24)),IF(AF733&gt;$D$24,"boven UCL",IF(AF733&lt;$B$24,"onder LCL","")),"")</f>
        <v/>
      </c>
      <c r="AJ733" s="13">
        <f>IF(AND(ISNUMBER(AE733),ISNUMBER($B$25),ISNUMBER($D$25)),IF(AE733&gt;$D$25,"boven UCL",IF(AE733&lt;$B$25,"onder LCL","")),"")</f>
        <v/>
      </c>
      <c r="AK733" s="13">
        <f>IF(AND(ISNUMBER(AG733),ISNUMBER($B$26),ISNUMBER($D$26)),IF(AG733&gt;$D$26,"boven UCL",IF(AG733&lt;$B$26,"onder LCL","")),"")</f>
        <v/>
      </c>
      <c r="AL733" s="13">
        <f>IF(AND(COUNT(B733:Z733)&gt;0,COUNT(AA733:AC733)&gt;0),"ruwe waarden én getypt: getypte genegeerd",IF(COUNTA(B733:Z733,AA733:AC733)&gt;COUNT(B733:Z733,AA733:AC733),"tekst telt niet mee",IF(COUNT(B733:Z733)=1,"1 waarde: geen R of s","")))</f>
        <v/>
      </c>
    </row>
    <row r="734">
      <c r="A734" t="n">
        <v>683</v>
      </c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28">
        <f>IF(COUNT(B734:Z734)&gt;0,COUNT(B734:Z734),IF(OR(ISNUMBER(AA734),ISNUMBER(AB734)),$B$9,""))</f>
        <v/>
      </c>
      <c r="AE734" s="29">
        <f>IF(COUNT(B734:Z734)&gt;0,AVERAGE(B734:Z734),IF(ISNUMBER(AA734),AA734,""))</f>
        <v/>
      </c>
      <c r="AF734" s="29">
        <f>IF(COUNT(B734:Z734)&gt;1,MAX(B734:Z734)-MIN(B734:Z734),IF(ISNUMBER(AB734),AB734,""))</f>
        <v/>
      </c>
      <c r="AG734" s="29">
        <f>IF(COUNT(B734:Z734)&gt;1,_xlfn.STDEV.S(B734:Z734),IF(ISNUMBER(AC734),AC734,""))</f>
        <v/>
      </c>
      <c r="AH734" s="13">
        <f>IF(AND(ISNUMBER(AE734),ISNUMBER($B$23),ISNUMBER($D$23)),IF(AE734&gt;$D$23,"boven UCL",IF(AE734&lt;$B$23,"onder LCL","")),"")</f>
        <v/>
      </c>
      <c r="AI734" s="13">
        <f>IF(AND(ISNUMBER(AF734),ISNUMBER($B$24),ISNUMBER($D$24)),IF(AF734&gt;$D$24,"boven UCL",IF(AF734&lt;$B$24,"onder LCL","")),"")</f>
        <v/>
      </c>
      <c r="AJ734" s="13">
        <f>IF(AND(ISNUMBER(AE734),ISNUMBER($B$25),ISNUMBER($D$25)),IF(AE734&gt;$D$25,"boven UCL",IF(AE734&lt;$B$25,"onder LCL","")),"")</f>
        <v/>
      </c>
      <c r="AK734" s="13">
        <f>IF(AND(ISNUMBER(AG734),ISNUMBER($B$26),ISNUMBER($D$26)),IF(AG734&gt;$D$26,"boven UCL",IF(AG734&lt;$B$26,"onder LCL","")),"")</f>
        <v/>
      </c>
      <c r="AL734" s="13">
        <f>IF(AND(COUNT(B734:Z734)&gt;0,COUNT(AA734:AC734)&gt;0),"ruwe waarden én getypt: getypte genegeerd",IF(COUNTA(B734:Z734,AA734:AC734)&gt;COUNT(B734:Z734,AA734:AC734),"tekst telt niet mee",IF(COUNT(B734:Z734)=1,"1 waarde: geen R of s","")))</f>
        <v/>
      </c>
    </row>
    <row r="735">
      <c r="A735" t="n">
        <v>684</v>
      </c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28">
        <f>IF(COUNT(B735:Z735)&gt;0,COUNT(B735:Z735),IF(OR(ISNUMBER(AA735),ISNUMBER(AB735)),$B$9,""))</f>
        <v/>
      </c>
      <c r="AE735" s="29">
        <f>IF(COUNT(B735:Z735)&gt;0,AVERAGE(B735:Z735),IF(ISNUMBER(AA735),AA735,""))</f>
        <v/>
      </c>
      <c r="AF735" s="29">
        <f>IF(COUNT(B735:Z735)&gt;1,MAX(B735:Z735)-MIN(B735:Z735),IF(ISNUMBER(AB735),AB735,""))</f>
        <v/>
      </c>
      <c r="AG735" s="29">
        <f>IF(COUNT(B735:Z735)&gt;1,_xlfn.STDEV.S(B735:Z735),IF(ISNUMBER(AC735),AC735,""))</f>
        <v/>
      </c>
      <c r="AH735" s="13">
        <f>IF(AND(ISNUMBER(AE735),ISNUMBER($B$23),ISNUMBER($D$23)),IF(AE735&gt;$D$23,"boven UCL",IF(AE735&lt;$B$23,"onder LCL","")),"")</f>
        <v/>
      </c>
      <c r="AI735" s="13">
        <f>IF(AND(ISNUMBER(AF735),ISNUMBER($B$24),ISNUMBER($D$24)),IF(AF735&gt;$D$24,"boven UCL",IF(AF735&lt;$B$24,"onder LCL","")),"")</f>
        <v/>
      </c>
      <c r="AJ735" s="13">
        <f>IF(AND(ISNUMBER(AE735),ISNUMBER($B$25),ISNUMBER($D$25)),IF(AE735&gt;$D$25,"boven UCL",IF(AE735&lt;$B$25,"onder LCL","")),"")</f>
        <v/>
      </c>
      <c r="AK735" s="13">
        <f>IF(AND(ISNUMBER(AG735),ISNUMBER($B$26),ISNUMBER($D$26)),IF(AG735&gt;$D$26,"boven UCL",IF(AG735&lt;$B$26,"onder LCL","")),"")</f>
        <v/>
      </c>
      <c r="AL735" s="13">
        <f>IF(AND(COUNT(B735:Z735)&gt;0,COUNT(AA735:AC735)&gt;0),"ruwe waarden én getypt: getypte genegeerd",IF(COUNTA(B735:Z735,AA735:AC735)&gt;COUNT(B735:Z735,AA735:AC735),"tekst telt niet mee",IF(COUNT(B735:Z735)=1,"1 waarde: geen R of s","")))</f>
        <v/>
      </c>
    </row>
    <row r="736">
      <c r="A736" t="n">
        <v>685</v>
      </c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28">
        <f>IF(COUNT(B736:Z736)&gt;0,COUNT(B736:Z736),IF(OR(ISNUMBER(AA736),ISNUMBER(AB736)),$B$9,""))</f>
        <v/>
      </c>
      <c r="AE736" s="29">
        <f>IF(COUNT(B736:Z736)&gt;0,AVERAGE(B736:Z736),IF(ISNUMBER(AA736),AA736,""))</f>
        <v/>
      </c>
      <c r="AF736" s="29">
        <f>IF(COUNT(B736:Z736)&gt;1,MAX(B736:Z736)-MIN(B736:Z736),IF(ISNUMBER(AB736),AB736,""))</f>
        <v/>
      </c>
      <c r="AG736" s="29">
        <f>IF(COUNT(B736:Z736)&gt;1,_xlfn.STDEV.S(B736:Z736),IF(ISNUMBER(AC736),AC736,""))</f>
        <v/>
      </c>
      <c r="AH736" s="13">
        <f>IF(AND(ISNUMBER(AE736),ISNUMBER($B$23),ISNUMBER($D$23)),IF(AE736&gt;$D$23,"boven UCL",IF(AE736&lt;$B$23,"onder LCL","")),"")</f>
        <v/>
      </c>
      <c r="AI736" s="13">
        <f>IF(AND(ISNUMBER(AF736),ISNUMBER($B$24),ISNUMBER($D$24)),IF(AF736&gt;$D$24,"boven UCL",IF(AF736&lt;$B$24,"onder LCL","")),"")</f>
        <v/>
      </c>
      <c r="AJ736" s="13">
        <f>IF(AND(ISNUMBER(AE736),ISNUMBER($B$25),ISNUMBER($D$25)),IF(AE736&gt;$D$25,"boven UCL",IF(AE736&lt;$B$25,"onder LCL","")),"")</f>
        <v/>
      </c>
      <c r="AK736" s="13">
        <f>IF(AND(ISNUMBER(AG736),ISNUMBER($B$26),ISNUMBER($D$26)),IF(AG736&gt;$D$26,"boven UCL",IF(AG736&lt;$B$26,"onder LCL","")),"")</f>
        <v/>
      </c>
      <c r="AL736" s="13">
        <f>IF(AND(COUNT(B736:Z736)&gt;0,COUNT(AA736:AC736)&gt;0),"ruwe waarden én getypt: getypte genegeerd",IF(COUNTA(B736:Z736,AA736:AC736)&gt;COUNT(B736:Z736,AA736:AC736),"tekst telt niet mee",IF(COUNT(B736:Z736)=1,"1 waarde: geen R of s","")))</f>
        <v/>
      </c>
    </row>
    <row r="737">
      <c r="A737" t="n">
        <v>686</v>
      </c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28">
        <f>IF(COUNT(B737:Z737)&gt;0,COUNT(B737:Z737),IF(OR(ISNUMBER(AA737),ISNUMBER(AB737)),$B$9,""))</f>
        <v/>
      </c>
      <c r="AE737" s="29">
        <f>IF(COUNT(B737:Z737)&gt;0,AVERAGE(B737:Z737),IF(ISNUMBER(AA737),AA737,""))</f>
        <v/>
      </c>
      <c r="AF737" s="29">
        <f>IF(COUNT(B737:Z737)&gt;1,MAX(B737:Z737)-MIN(B737:Z737),IF(ISNUMBER(AB737),AB737,""))</f>
        <v/>
      </c>
      <c r="AG737" s="29">
        <f>IF(COUNT(B737:Z737)&gt;1,_xlfn.STDEV.S(B737:Z737),IF(ISNUMBER(AC737),AC737,""))</f>
        <v/>
      </c>
      <c r="AH737" s="13">
        <f>IF(AND(ISNUMBER(AE737),ISNUMBER($B$23),ISNUMBER($D$23)),IF(AE737&gt;$D$23,"boven UCL",IF(AE737&lt;$B$23,"onder LCL","")),"")</f>
        <v/>
      </c>
      <c r="AI737" s="13">
        <f>IF(AND(ISNUMBER(AF737),ISNUMBER($B$24),ISNUMBER($D$24)),IF(AF737&gt;$D$24,"boven UCL",IF(AF737&lt;$B$24,"onder LCL","")),"")</f>
        <v/>
      </c>
      <c r="AJ737" s="13">
        <f>IF(AND(ISNUMBER(AE737),ISNUMBER($B$25),ISNUMBER($D$25)),IF(AE737&gt;$D$25,"boven UCL",IF(AE737&lt;$B$25,"onder LCL","")),"")</f>
        <v/>
      </c>
      <c r="AK737" s="13">
        <f>IF(AND(ISNUMBER(AG737),ISNUMBER($B$26),ISNUMBER($D$26)),IF(AG737&gt;$D$26,"boven UCL",IF(AG737&lt;$B$26,"onder LCL","")),"")</f>
        <v/>
      </c>
      <c r="AL737" s="13">
        <f>IF(AND(COUNT(B737:Z737)&gt;0,COUNT(AA737:AC737)&gt;0),"ruwe waarden én getypt: getypte genegeerd",IF(COUNTA(B737:Z737,AA737:AC737)&gt;COUNT(B737:Z737,AA737:AC737),"tekst telt niet mee",IF(COUNT(B737:Z737)=1,"1 waarde: geen R of s","")))</f>
        <v/>
      </c>
    </row>
    <row r="738">
      <c r="A738" t="n">
        <v>687</v>
      </c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28">
        <f>IF(COUNT(B738:Z738)&gt;0,COUNT(B738:Z738),IF(OR(ISNUMBER(AA738),ISNUMBER(AB738)),$B$9,""))</f>
        <v/>
      </c>
      <c r="AE738" s="29">
        <f>IF(COUNT(B738:Z738)&gt;0,AVERAGE(B738:Z738),IF(ISNUMBER(AA738),AA738,""))</f>
        <v/>
      </c>
      <c r="AF738" s="29">
        <f>IF(COUNT(B738:Z738)&gt;1,MAX(B738:Z738)-MIN(B738:Z738),IF(ISNUMBER(AB738),AB738,""))</f>
        <v/>
      </c>
      <c r="AG738" s="29">
        <f>IF(COUNT(B738:Z738)&gt;1,_xlfn.STDEV.S(B738:Z738),IF(ISNUMBER(AC738),AC738,""))</f>
        <v/>
      </c>
      <c r="AH738" s="13">
        <f>IF(AND(ISNUMBER(AE738),ISNUMBER($B$23),ISNUMBER($D$23)),IF(AE738&gt;$D$23,"boven UCL",IF(AE738&lt;$B$23,"onder LCL","")),"")</f>
        <v/>
      </c>
      <c r="AI738" s="13">
        <f>IF(AND(ISNUMBER(AF738),ISNUMBER($B$24),ISNUMBER($D$24)),IF(AF738&gt;$D$24,"boven UCL",IF(AF738&lt;$B$24,"onder LCL","")),"")</f>
        <v/>
      </c>
      <c r="AJ738" s="13">
        <f>IF(AND(ISNUMBER(AE738),ISNUMBER($B$25),ISNUMBER($D$25)),IF(AE738&gt;$D$25,"boven UCL",IF(AE738&lt;$B$25,"onder LCL","")),"")</f>
        <v/>
      </c>
      <c r="AK738" s="13">
        <f>IF(AND(ISNUMBER(AG738),ISNUMBER($B$26),ISNUMBER($D$26)),IF(AG738&gt;$D$26,"boven UCL",IF(AG738&lt;$B$26,"onder LCL","")),"")</f>
        <v/>
      </c>
      <c r="AL738" s="13">
        <f>IF(AND(COUNT(B738:Z738)&gt;0,COUNT(AA738:AC738)&gt;0),"ruwe waarden én getypt: getypte genegeerd",IF(COUNTA(B738:Z738,AA738:AC738)&gt;COUNT(B738:Z738,AA738:AC738),"tekst telt niet mee",IF(COUNT(B738:Z738)=1,"1 waarde: geen R of s","")))</f>
        <v/>
      </c>
    </row>
    <row r="739">
      <c r="A739" t="n">
        <v>688</v>
      </c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28">
        <f>IF(COUNT(B739:Z739)&gt;0,COUNT(B739:Z739),IF(OR(ISNUMBER(AA739),ISNUMBER(AB739)),$B$9,""))</f>
        <v/>
      </c>
      <c r="AE739" s="29">
        <f>IF(COUNT(B739:Z739)&gt;0,AVERAGE(B739:Z739),IF(ISNUMBER(AA739),AA739,""))</f>
        <v/>
      </c>
      <c r="AF739" s="29">
        <f>IF(COUNT(B739:Z739)&gt;1,MAX(B739:Z739)-MIN(B739:Z739),IF(ISNUMBER(AB739),AB739,""))</f>
        <v/>
      </c>
      <c r="AG739" s="29">
        <f>IF(COUNT(B739:Z739)&gt;1,_xlfn.STDEV.S(B739:Z739),IF(ISNUMBER(AC739),AC739,""))</f>
        <v/>
      </c>
      <c r="AH739" s="13">
        <f>IF(AND(ISNUMBER(AE739),ISNUMBER($B$23),ISNUMBER($D$23)),IF(AE739&gt;$D$23,"boven UCL",IF(AE739&lt;$B$23,"onder LCL","")),"")</f>
        <v/>
      </c>
      <c r="AI739" s="13">
        <f>IF(AND(ISNUMBER(AF739),ISNUMBER($B$24),ISNUMBER($D$24)),IF(AF739&gt;$D$24,"boven UCL",IF(AF739&lt;$B$24,"onder LCL","")),"")</f>
        <v/>
      </c>
      <c r="AJ739" s="13">
        <f>IF(AND(ISNUMBER(AE739),ISNUMBER($B$25),ISNUMBER($D$25)),IF(AE739&gt;$D$25,"boven UCL",IF(AE739&lt;$B$25,"onder LCL","")),"")</f>
        <v/>
      </c>
      <c r="AK739" s="13">
        <f>IF(AND(ISNUMBER(AG739),ISNUMBER($B$26),ISNUMBER($D$26)),IF(AG739&gt;$D$26,"boven UCL",IF(AG739&lt;$B$26,"onder LCL","")),"")</f>
        <v/>
      </c>
      <c r="AL739" s="13">
        <f>IF(AND(COUNT(B739:Z739)&gt;0,COUNT(AA739:AC739)&gt;0),"ruwe waarden én getypt: getypte genegeerd",IF(COUNTA(B739:Z739,AA739:AC739)&gt;COUNT(B739:Z739,AA739:AC739),"tekst telt niet mee",IF(COUNT(B739:Z739)=1,"1 waarde: geen R of s","")))</f>
        <v/>
      </c>
    </row>
    <row r="740">
      <c r="A740" t="n">
        <v>689</v>
      </c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28">
        <f>IF(COUNT(B740:Z740)&gt;0,COUNT(B740:Z740),IF(OR(ISNUMBER(AA740),ISNUMBER(AB740)),$B$9,""))</f>
        <v/>
      </c>
      <c r="AE740" s="29">
        <f>IF(COUNT(B740:Z740)&gt;0,AVERAGE(B740:Z740),IF(ISNUMBER(AA740),AA740,""))</f>
        <v/>
      </c>
      <c r="AF740" s="29">
        <f>IF(COUNT(B740:Z740)&gt;1,MAX(B740:Z740)-MIN(B740:Z740),IF(ISNUMBER(AB740),AB740,""))</f>
        <v/>
      </c>
      <c r="AG740" s="29">
        <f>IF(COUNT(B740:Z740)&gt;1,_xlfn.STDEV.S(B740:Z740),IF(ISNUMBER(AC740),AC740,""))</f>
        <v/>
      </c>
      <c r="AH740" s="13">
        <f>IF(AND(ISNUMBER(AE740),ISNUMBER($B$23),ISNUMBER($D$23)),IF(AE740&gt;$D$23,"boven UCL",IF(AE740&lt;$B$23,"onder LCL","")),"")</f>
        <v/>
      </c>
      <c r="AI740" s="13">
        <f>IF(AND(ISNUMBER(AF740),ISNUMBER($B$24),ISNUMBER($D$24)),IF(AF740&gt;$D$24,"boven UCL",IF(AF740&lt;$B$24,"onder LCL","")),"")</f>
        <v/>
      </c>
      <c r="AJ740" s="13">
        <f>IF(AND(ISNUMBER(AE740),ISNUMBER($B$25),ISNUMBER($D$25)),IF(AE740&gt;$D$25,"boven UCL",IF(AE740&lt;$B$25,"onder LCL","")),"")</f>
        <v/>
      </c>
      <c r="AK740" s="13">
        <f>IF(AND(ISNUMBER(AG740),ISNUMBER($B$26),ISNUMBER($D$26)),IF(AG740&gt;$D$26,"boven UCL",IF(AG740&lt;$B$26,"onder LCL","")),"")</f>
        <v/>
      </c>
      <c r="AL740" s="13">
        <f>IF(AND(COUNT(B740:Z740)&gt;0,COUNT(AA740:AC740)&gt;0),"ruwe waarden én getypt: getypte genegeerd",IF(COUNTA(B740:Z740,AA740:AC740)&gt;COUNT(B740:Z740,AA740:AC740),"tekst telt niet mee",IF(COUNT(B740:Z740)=1,"1 waarde: geen R of s","")))</f>
        <v/>
      </c>
    </row>
    <row r="741">
      <c r="A741" t="n">
        <v>690</v>
      </c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28">
        <f>IF(COUNT(B741:Z741)&gt;0,COUNT(B741:Z741),IF(OR(ISNUMBER(AA741),ISNUMBER(AB741)),$B$9,""))</f>
        <v/>
      </c>
      <c r="AE741" s="29">
        <f>IF(COUNT(B741:Z741)&gt;0,AVERAGE(B741:Z741),IF(ISNUMBER(AA741),AA741,""))</f>
        <v/>
      </c>
      <c r="AF741" s="29">
        <f>IF(COUNT(B741:Z741)&gt;1,MAX(B741:Z741)-MIN(B741:Z741),IF(ISNUMBER(AB741),AB741,""))</f>
        <v/>
      </c>
      <c r="AG741" s="29">
        <f>IF(COUNT(B741:Z741)&gt;1,_xlfn.STDEV.S(B741:Z741),IF(ISNUMBER(AC741),AC741,""))</f>
        <v/>
      </c>
      <c r="AH741" s="13">
        <f>IF(AND(ISNUMBER(AE741),ISNUMBER($B$23),ISNUMBER($D$23)),IF(AE741&gt;$D$23,"boven UCL",IF(AE741&lt;$B$23,"onder LCL","")),"")</f>
        <v/>
      </c>
      <c r="AI741" s="13">
        <f>IF(AND(ISNUMBER(AF741),ISNUMBER($B$24),ISNUMBER($D$24)),IF(AF741&gt;$D$24,"boven UCL",IF(AF741&lt;$B$24,"onder LCL","")),"")</f>
        <v/>
      </c>
      <c r="AJ741" s="13">
        <f>IF(AND(ISNUMBER(AE741),ISNUMBER($B$25),ISNUMBER($D$25)),IF(AE741&gt;$D$25,"boven UCL",IF(AE741&lt;$B$25,"onder LCL","")),"")</f>
        <v/>
      </c>
      <c r="AK741" s="13">
        <f>IF(AND(ISNUMBER(AG741),ISNUMBER($B$26),ISNUMBER($D$26)),IF(AG741&gt;$D$26,"boven UCL",IF(AG741&lt;$B$26,"onder LCL","")),"")</f>
        <v/>
      </c>
      <c r="AL741" s="13">
        <f>IF(AND(COUNT(B741:Z741)&gt;0,COUNT(AA741:AC741)&gt;0),"ruwe waarden én getypt: getypte genegeerd",IF(COUNTA(B741:Z741,AA741:AC741)&gt;COUNT(B741:Z741,AA741:AC741),"tekst telt niet mee",IF(COUNT(B741:Z741)=1,"1 waarde: geen R of s","")))</f>
        <v/>
      </c>
    </row>
    <row r="742">
      <c r="A742" t="n">
        <v>691</v>
      </c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28">
        <f>IF(COUNT(B742:Z742)&gt;0,COUNT(B742:Z742),IF(OR(ISNUMBER(AA742),ISNUMBER(AB742)),$B$9,""))</f>
        <v/>
      </c>
      <c r="AE742" s="29">
        <f>IF(COUNT(B742:Z742)&gt;0,AVERAGE(B742:Z742),IF(ISNUMBER(AA742),AA742,""))</f>
        <v/>
      </c>
      <c r="AF742" s="29">
        <f>IF(COUNT(B742:Z742)&gt;1,MAX(B742:Z742)-MIN(B742:Z742),IF(ISNUMBER(AB742),AB742,""))</f>
        <v/>
      </c>
      <c r="AG742" s="29">
        <f>IF(COUNT(B742:Z742)&gt;1,_xlfn.STDEV.S(B742:Z742),IF(ISNUMBER(AC742),AC742,""))</f>
        <v/>
      </c>
      <c r="AH742" s="13">
        <f>IF(AND(ISNUMBER(AE742),ISNUMBER($B$23),ISNUMBER($D$23)),IF(AE742&gt;$D$23,"boven UCL",IF(AE742&lt;$B$23,"onder LCL","")),"")</f>
        <v/>
      </c>
      <c r="AI742" s="13">
        <f>IF(AND(ISNUMBER(AF742),ISNUMBER($B$24),ISNUMBER($D$24)),IF(AF742&gt;$D$24,"boven UCL",IF(AF742&lt;$B$24,"onder LCL","")),"")</f>
        <v/>
      </c>
      <c r="AJ742" s="13">
        <f>IF(AND(ISNUMBER(AE742),ISNUMBER($B$25),ISNUMBER($D$25)),IF(AE742&gt;$D$25,"boven UCL",IF(AE742&lt;$B$25,"onder LCL","")),"")</f>
        <v/>
      </c>
      <c r="AK742" s="13">
        <f>IF(AND(ISNUMBER(AG742),ISNUMBER($B$26),ISNUMBER($D$26)),IF(AG742&gt;$D$26,"boven UCL",IF(AG742&lt;$B$26,"onder LCL","")),"")</f>
        <v/>
      </c>
      <c r="AL742" s="13">
        <f>IF(AND(COUNT(B742:Z742)&gt;0,COUNT(AA742:AC742)&gt;0),"ruwe waarden én getypt: getypte genegeerd",IF(COUNTA(B742:Z742,AA742:AC742)&gt;COUNT(B742:Z742,AA742:AC742),"tekst telt niet mee",IF(COUNT(B742:Z742)=1,"1 waarde: geen R of s","")))</f>
        <v/>
      </c>
    </row>
    <row r="743">
      <c r="A743" t="n">
        <v>692</v>
      </c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28">
        <f>IF(COUNT(B743:Z743)&gt;0,COUNT(B743:Z743),IF(OR(ISNUMBER(AA743),ISNUMBER(AB743)),$B$9,""))</f>
        <v/>
      </c>
      <c r="AE743" s="29">
        <f>IF(COUNT(B743:Z743)&gt;0,AVERAGE(B743:Z743),IF(ISNUMBER(AA743),AA743,""))</f>
        <v/>
      </c>
      <c r="AF743" s="29">
        <f>IF(COUNT(B743:Z743)&gt;1,MAX(B743:Z743)-MIN(B743:Z743),IF(ISNUMBER(AB743),AB743,""))</f>
        <v/>
      </c>
      <c r="AG743" s="29">
        <f>IF(COUNT(B743:Z743)&gt;1,_xlfn.STDEV.S(B743:Z743),IF(ISNUMBER(AC743),AC743,""))</f>
        <v/>
      </c>
      <c r="AH743" s="13">
        <f>IF(AND(ISNUMBER(AE743),ISNUMBER($B$23),ISNUMBER($D$23)),IF(AE743&gt;$D$23,"boven UCL",IF(AE743&lt;$B$23,"onder LCL","")),"")</f>
        <v/>
      </c>
      <c r="AI743" s="13">
        <f>IF(AND(ISNUMBER(AF743),ISNUMBER($B$24),ISNUMBER($D$24)),IF(AF743&gt;$D$24,"boven UCL",IF(AF743&lt;$B$24,"onder LCL","")),"")</f>
        <v/>
      </c>
      <c r="AJ743" s="13">
        <f>IF(AND(ISNUMBER(AE743),ISNUMBER($B$25),ISNUMBER($D$25)),IF(AE743&gt;$D$25,"boven UCL",IF(AE743&lt;$B$25,"onder LCL","")),"")</f>
        <v/>
      </c>
      <c r="AK743" s="13">
        <f>IF(AND(ISNUMBER(AG743),ISNUMBER($B$26),ISNUMBER($D$26)),IF(AG743&gt;$D$26,"boven UCL",IF(AG743&lt;$B$26,"onder LCL","")),"")</f>
        <v/>
      </c>
      <c r="AL743" s="13">
        <f>IF(AND(COUNT(B743:Z743)&gt;0,COUNT(AA743:AC743)&gt;0),"ruwe waarden én getypt: getypte genegeerd",IF(COUNTA(B743:Z743,AA743:AC743)&gt;COUNT(B743:Z743,AA743:AC743),"tekst telt niet mee",IF(COUNT(B743:Z743)=1,"1 waarde: geen R of s","")))</f>
        <v/>
      </c>
    </row>
    <row r="744">
      <c r="A744" t="n">
        <v>693</v>
      </c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28">
        <f>IF(COUNT(B744:Z744)&gt;0,COUNT(B744:Z744),IF(OR(ISNUMBER(AA744),ISNUMBER(AB744)),$B$9,""))</f>
        <v/>
      </c>
      <c r="AE744" s="29">
        <f>IF(COUNT(B744:Z744)&gt;0,AVERAGE(B744:Z744),IF(ISNUMBER(AA744),AA744,""))</f>
        <v/>
      </c>
      <c r="AF744" s="29">
        <f>IF(COUNT(B744:Z744)&gt;1,MAX(B744:Z744)-MIN(B744:Z744),IF(ISNUMBER(AB744),AB744,""))</f>
        <v/>
      </c>
      <c r="AG744" s="29">
        <f>IF(COUNT(B744:Z744)&gt;1,_xlfn.STDEV.S(B744:Z744),IF(ISNUMBER(AC744),AC744,""))</f>
        <v/>
      </c>
      <c r="AH744" s="13">
        <f>IF(AND(ISNUMBER(AE744),ISNUMBER($B$23),ISNUMBER($D$23)),IF(AE744&gt;$D$23,"boven UCL",IF(AE744&lt;$B$23,"onder LCL","")),"")</f>
        <v/>
      </c>
      <c r="AI744" s="13">
        <f>IF(AND(ISNUMBER(AF744),ISNUMBER($B$24),ISNUMBER($D$24)),IF(AF744&gt;$D$24,"boven UCL",IF(AF744&lt;$B$24,"onder LCL","")),"")</f>
        <v/>
      </c>
      <c r="AJ744" s="13">
        <f>IF(AND(ISNUMBER(AE744),ISNUMBER($B$25),ISNUMBER($D$25)),IF(AE744&gt;$D$25,"boven UCL",IF(AE744&lt;$B$25,"onder LCL","")),"")</f>
        <v/>
      </c>
      <c r="AK744" s="13">
        <f>IF(AND(ISNUMBER(AG744),ISNUMBER($B$26),ISNUMBER($D$26)),IF(AG744&gt;$D$26,"boven UCL",IF(AG744&lt;$B$26,"onder LCL","")),"")</f>
        <v/>
      </c>
      <c r="AL744" s="13">
        <f>IF(AND(COUNT(B744:Z744)&gt;0,COUNT(AA744:AC744)&gt;0),"ruwe waarden én getypt: getypte genegeerd",IF(COUNTA(B744:Z744,AA744:AC744)&gt;COUNT(B744:Z744,AA744:AC744),"tekst telt niet mee",IF(COUNT(B744:Z744)=1,"1 waarde: geen R of s","")))</f>
        <v/>
      </c>
    </row>
    <row r="745">
      <c r="A745" t="n">
        <v>694</v>
      </c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28">
        <f>IF(COUNT(B745:Z745)&gt;0,COUNT(B745:Z745),IF(OR(ISNUMBER(AA745),ISNUMBER(AB745)),$B$9,""))</f>
        <v/>
      </c>
      <c r="AE745" s="29">
        <f>IF(COUNT(B745:Z745)&gt;0,AVERAGE(B745:Z745),IF(ISNUMBER(AA745),AA745,""))</f>
        <v/>
      </c>
      <c r="AF745" s="29">
        <f>IF(COUNT(B745:Z745)&gt;1,MAX(B745:Z745)-MIN(B745:Z745),IF(ISNUMBER(AB745),AB745,""))</f>
        <v/>
      </c>
      <c r="AG745" s="29">
        <f>IF(COUNT(B745:Z745)&gt;1,_xlfn.STDEV.S(B745:Z745),IF(ISNUMBER(AC745),AC745,""))</f>
        <v/>
      </c>
      <c r="AH745" s="13">
        <f>IF(AND(ISNUMBER(AE745),ISNUMBER($B$23),ISNUMBER($D$23)),IF(AE745&gt;$D$23,"boven UCL",IF(AE745&lt;$B$23,"onder LCL","")),"")</f>
        <v/>
      </c>
      <c r="AI745" s="13">
        <f>IF(AND(ISNUMBER(AF745),ISNUMBER($B$24),ISNUMBER($D$24)),IF(AF745&gt;$D$24,"boven UCL",IF(AF745&lt;$B$24,"onder LCL","")),"")</f>
        <v/>
      </c>
      <c r="AJ745" s="13">
        <f>IF(AND(ISNUMBER(AE745),ISNUMBER($B$25),ISNUMBER($D$25)),IF(AE745&gt;$D$25,"boven UCL",IF(AE745&lt;$B$25,"onder LCL","")),"")</f>
        <v/>
      </c>
      <c r="AK745" s="13">
        <f>IF(AND(ISNUMBER(AG745),ISNUMBER($B$26),ISNUMBER($D$26)),IF(AG745&gt;$D$26,"boven UCL",IF(AG745&lt;$B$26,"onder LCL","")),"")</f>
        <v/>
      </c>
      <c r="AL745" s="13">
        <f>IF(AND(COUNT(B745:Z745)&gt;0,COUNT(AA745:AC745)&gt;0),"ruwe waarden én getypt: getypte genegeerd",IF(COUNTA(B745:Z745,AA745:AC745)&gt;COUNT(B745:Z745,AA745:AC745),"tekst telt niet mee",IF(COUNT(B745:Z745)=1,"1 waarde: geen R of s","")))</f>
        <v/>
      </c>
    </row>
    <row r="746">
      <c r="A746" t="n">
        <v>695</v>
      </c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28">
        <f>IF(COUNT(B746:Z746)&gt;0,COUNT(B746:Z746),IF(OR(ISNUMBER(AA746),ISNUMBER(AB746)),$B$9,""))</f>
        <v/>
      </c>
      <c r="AE746" s="29">
        <f>IF(COUNT(B746:Z746)&gt;0,AVERAGE(B746:Z746),IF(ISNUMBER(AA746),AA746,""))</f>
        <v/>
      </c>
      <c r="AF746" s="29">
        <f>IF(COUNT(B746:Z746)&gt;1,MAX(B746:Z746)-MIN(B746:Z746),IF(ISNUMBER(AB746),AB746,""))</f>
        <v/>
      </c>
      <c r="AG746" s="29">
        <f>IF(COUNT(B746:Z746)&gt;1,_xlfn.STDEV.S(B746:Z746),IF(ISNUMBER(AC746),AC746,""))</f>
        <v/>
      </c>
      <c r="AH746" s="13">
        <f>IF(AND(ISNUMBER(AE746),ISNUMBER($B$23),ISNUMBER($D$23)),IF(AE746&gt;$D$23,"boven UCL",IF(AE746&lt;$B$23,"onder LCL","")),"")</f>
        <v/>
      </c>
      <c r="AI746" s="13">
        <f>IF(AND(ISNUMBER(AF746),ISNUMBER($B$24),ISNUMBER($D$24)),IF(AF746&gt;$D$24,"boven UCL",IF(AF746&lt;$B$24,"onder LCL","")),"")</f>
        <v/>
      </c>
      <c r="AJ746" s="13">
        <f>IF(AND(ISNUMBER(AE746),ISNUMBER($B$25),ISNUMBER($D$25)),IF(AE746&gt;$D$25,"boven UCL",IF(AE746&lt;$B$25,"onder LCL","")),"")</f>
        <v/>
      </c>
      <c r="AK746" s="13">
        <f>IF(AND(ISNUMBER(AG746),ISNUMBER($B$26),ISNUMBER($D$26)),IF(AG746&gt;$D$26,"boven UCL",IF(AG746&lt;$B$26,"onder LCL","")),"")</f>
        <v/>
      </c>
      <c r="AL746" s="13">
        <f>IF(AND(COUNT(B746:Z746)&gt;0,COUNT(AA746:AC746)&gt;0),"ruwe waarden én getypt: getypte genegeerd",IF(COUNTA(B746:Z746,AA746:AC746)&gt;COUNT(B746:Z746,AA746:AC746),"tekst telt niet mee",IF(COUNT(B746:Z746)=1,"1 waarde: geen R of s","")))</f>
        <v/>
      </c>
    </row>
    <row r="747">
      <c r="A747" t="n">
        <v>696</v>
      </c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28">
        <f>IF(COUNT(B747:Z747)&gt;0,COUNT(B747:Z747),IF(OR(ISNUMBER(AA747),ISNUMBER(AB747)),$B$9,""))</f>
        <v/>
      </c>
      <c r="AE747" s="29">
        <f>IF(COUNT(B747:Z747)&gt;0,AVERAGE(B747:Z747),IF(ISNUMBER(AA747),AA747,""))</f>
        <v/>
      </c>
      <c r="AF747" s="29">
        <f>IF(COUNT(B747:Z747)&gt;1,MAX(B747:Z747)-MIN(B747:Z747),IF(ISNUMBER(AB747),AB747,""))</f>
        <v/>
      </c>
      <c r="AG747" s="29">
        <f>IF(COUNT(B747:Z747)&gt;1,_xlfn.STDEV.S(B747:Z747),IF(ISNUMBER(AC747),AC747,""))</f>
        <v/>
      </c>
      <c r="AH747" s="13">
        <f>IF(AND(ISNUMBER(AE747),ISNUMBER($B$23),ISNUMBER($D$23)),IF(AE747&gt;$D$23,"boven UCL",IF(AE747&lt;$B$23,"onder LCL","")),"")</f>
        <v/>
      </c>
      <c r="AI747" s="13">
        <f>IF(AND(ISNUMBER(AF747),ISNUMBER($B$24),ISNUMBER($D$24)),IF(AF747&gt;$D$24,"boven UCL",IF(AF747&lt;$B$24,"onder LCL","")),"")</f>
        <v/>
      </c>
      <c r="AJ747" s="13">
        <f>IF(AND(ISNUMBER(AE747),ISNUMBER($B$25),ISNUMBER($D$25)),IF(AE747&gt;$D$25,"boven UCL",IF(AE747&lt;$B$25,"onder LCL","")),"")</f>
        <v/>
      </c>
      <c r="AK747" s="13">
        <f>IF(AND(ISNUMBER(AG747),ISNUMBER($B$26),ISNUMBER($D$26)),IF(AG747&gt;$D$26,"boven UCL",IF(AG747&lt;$B$26,"onder LCL","")),"")</f>
        <v/>
      </c>
      <c r="AL747" s="13">
        <f>IF(AND(COUNT(B747:Z747)&gt;0,COUNT(AA747:AC747)&gt;0),"ruwe waarden én getypt: getypte genegeerd",IF(COUNTA(B747:Z747,AA747:AC747)&gt;COUNT(B747:Z747,AA747:AC747),"tekst telt niet mee",IF(COUNT(B747:Z747)=1,"1 waarde: geen R of s","")))</f>
        <v/>
      </c>
    </row>
    <row r="748">
      <c r="A748" t="n">
        <v>697</v>
      </c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28">
        <f>IF(COUNT(B748:Z748)&gt;0,COUNT(B748:Z748),IF(OR(ISNUMBER(AA748),ISNUMBER(AB748)),$B$9,""))</f>
        <v/>
      </c>
      <c r="AE748" s="29">
        <f>IF(COUNT(B748:Z748)&gt;0,AVERAGE(B748:Z748),IF(ISNUMBER(AA748),AA748,""))</f>
        <v/>
      </c>
      <c r="AF748" s="29">
        <f>IF(COUNT(B748:Z748)&gt;1,MAX(B748:Z748)-MIN(B748:Z748),IF(ISNUMBER(AB748),AB748,""))</f>
        <v/>
      </c>
      <c r="AG748" s="29">
        <f>IF(COUNT(B748:Z748)&gt;1,_xlfn.STDEV.S(B748:Z748),IF(ISNUMBER(AC748),AC748,""))</f>
        <v/>
      </c>
      <c r="AH748" s="13">
        <f>IF(AND(ISNUMBER(AE748),ISNUMBER($B$23),ISNUMBER($D$23)),IF(AE748&gt;$D$23,"boven UCL",IF(AE748&lt;$B$23,"onder LCL","")),"")</f>
        <v/>
      </c>
      <c r="AI748" s="13">
        <f>IF(AND(ISNUMBER(AF748),ISNUMBER($B$24),ISNUMBER($D$24)),IF(AF748&gt;$D$24,"boven UCL",IF(AF748&lt;$B$24,"onder LCL","")),"")</f>
        <v/>
      </c>
      <c r="AJ748" s="13">
        <f>IF(AND(ISNUMBER(AE748),ISNUMBER($B$25),ISNUMBER($D$25)),IF(AE748&gt;$D$25,"boven UCL",IF(AE748&lt;$B$25,"onder LCL","")),"")</f>
        <v/>
      </c>
      <c r="AK748" s="13">
        <f>IF(AND(ISNUMBER(AG748),ISNUMBER($B$26),ISNUMBER($D$26)),IF(AG748&gt;$D$26,"boven UCL",IF(AG748&lt;$B$26,"onder LCL","")),"")</f>
        <v/>
      </c>
      <c r="AL748" s="13">
        <f>IF(AND(COUNT(B748:Z748)&gt;0,COUNT(AA748:AC748)&gt;0),"ruwe waarden én getypt: getypte genegeerd",IF(COUNTA(B748:Z748,AA748:AC748)&gt;COUNT(B748:Z748,AA748:AC748),"tekst telt niet mee",IF(COUNT(B748:Z748)=1,"1 waarde: geen R of s","")))</f>
        <v/>
      </c>
    </row>
    <row r="749">
      <c r="A749" t="n">
        <v>698</v>
      </c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28">
        <f>IF(COUNT(B749:Z749)&gt;0,COUNT(B749:Z749),IF(OR(ISNUMBER(AA749),ISNUMBER(AB749)),$B$9,""))</f>
        <v/>
      </c>
      <c r="AE749" s="29">
        <f>IF(COUNT(B749:Z749)&gt;0,AVERAGE(B749:Z749),IF(ISNUMBER(AA749),AA749,""))</f>
        <v/>
      </c>
      <c r="AF749" s="29">
        <f>IF(COUNT(B749:Z749)&gt;1,MAX(B749:Z749)-MIN(B749:Z749),IF(ISNUMBER(AB749),AB749,""))</f>
        <v/>
      </c>
      <c r="AG749" s="29">
        <f>IF(COUNT(B749:Z749)&gt;1,_xlfn.STDEV.S(B749:Z749),IF(ISNUMBER(AC749),AC749,""))</f>
        <v/>
      </c>
      <c r="AH749" s="13">
        <f>IF(AND(ISNUMBER(AE749),ISNUMBER($B$23),ISNUMBER($D$23)),IF(AE749&gt;$D$23,"boven UCL",IF(AE749&lt;$B$23,"onder LCL","")),"")</f>
        <v/>
      </c>
      <c r="AI749" s="13">
        <f>IF(AND(ISNUMBER(AF749),ISNUMBER($B$24),ISNUMBER($D$24)),IF(AF749&gt;$D$24,"boven UCL",IF(AF749&lt;$B$24,"onder LCL","")),"")</f>
        <v/>
      </c>
      <c r="AJ749" s="13">
        <f>IF(AND(ISNUMBER(AE749),ISNUMBER($B$25),ISNUMBER($D$25)),IF(AE749&gt;$D$25,"boven UCL",IF(AE749&lt;$B$25,"onder LCL","")),"")</f>
        <v/>
      </c>
      <c r="AK749" s="13">
        <f>IF(AND(ISNUMBER(AG749),ISNUMBER($B$26),ISNUMBER($D$26)),IF(AG749&gt;$D$26,"boven UCL",IF(AG749&lt;$B$26,"onder LCL","")),"")</f>
        <v/>
      </c>
      <c r="AL749" s="13">
        <f>IF(AND(COUNT(B749:Z749)&gt;0,COUNT(AA749:AC749)&gt;0),"ruwe waarden én getypt: getypte genegeerd",IF(COUNTA(B749:Z749,AA749:AC749)&gt;COUNT(B749:Z749,AA749:AC749),"tekst telt niet mee",IF(COUNT(B749:Z749)=1,"1 waarde: geen R of s","")))</f>
        <v/>
      </c>
    </row>
    <row r="750">
      <c r="A750" t="n">
        <v>699</v>
      </c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28">
        <f>IF(COUNT(B750:Z750)&gt;0,COUNT(B750:Z750),IF(OR(ISNUMBER(AA750),ISNUMBER(AB750)),$B$9,""))</f>
        <v/>
      </c>
      <c r="AE750" s="29">
        <f>IF(COUNT(B750:Z750)&gt;0,AVERAGE(B750:Z750),IF(ISNUMBER(AA750),AA750,""))</f>
        <v/>
      </c>
      <c r="AF750" s="29">
        <f>IF(COUNT(B750:Z750)&gt;1,MAX(B750:Z750)-MIN(B750:Z750),IF(ISNUMBER(AB750),AB750,""))</f>
        <v/>
      </c>
      <c r="AG750" s="29">
        <f>IF(COUNT(B750:Z750)&gt;1,_xlfn.STDEV.S(B750:Z750),IF(ISNUMBER(AC750),AC750,""))</f>
        <v/>
      </c>
      <c r="AH750" s="13">
        <f>IF(AND(ISNUMBER(AE750),ISNUMBER($B$23),ISNUMBER($D$23)),IF(AE750&gt;$D$23,"boven UCL",IF(AE750&lt;$B$23,"onder LCL","")),"")</f>
        <v/>
      </c>
      <c r="AI750" s="13">
        <f>IF(AND(ISNUMBER(AF750),ISNUMBER($B$24),ISNUMBER($D$24)),IF(AF750&gt;$D$24,"boven UCL",IF(AF750&lt;$B$24,"onder LCL","")),"")</f>
        <v/>
      </c>
      <c r="AJ750" s="13">
        <f>IF(AND(ISNUMBER(AE750),ISNUMBER($B$25),ISNUMBER($D$25)),IF(AE750&gt;$D$25,"boven UCL",IF(AE750&lt;$B$25,"onder LCL","")),"")</f>
        <v/>
      </c>
      <c r="AK750" s="13">
        <f>IF(AND(ISNUMBER(AG750),ISNUMBER($B$26),ISNUMBER($D$26)),IF(AG750&gt;$D$26,"boven UCL",IF(AG750&lt;$B$26,"onder LCL","")),"")</f>
        <v/>
      </c>
      <c r="AL750" s="13">
        <f>IF(AND(COUNT(B750:Z750)&gt;0,COUNT(AA750:AC750)&gt;0),"ruwe waarden én getypt: getypte genegeerd",IF(COUNTA(B750:Z750,AA750:AC750)&gt;COUNT(B750:Z750,AA750:AC750),"tekst telt niet mee",IF(COUNT(B750:Z750)=1,"1 waarde: geen R of s","")))</f>
        <v/>
      </c>
    </row>
    <row r="751">
      <c r="A751" t="n">
        <v>700</v>
      </c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28">
        <f>IF(COUNT(B751:Z751)&gt;0,COUNT(B751:Z751),IF(OR(ISNUMBER(AA751),ISNUMBER(AB751)),$B$9,""))</f>
        <v/>
      </c>
      <c r="AE751" s="29">
        <f>IF(COUNT(B751:Z751)&gt;0,AVERAGE(B751:Z751),IF(ISNUMBER(AA751),AA751,""))</f>
        <v/>
      </c>
      <c r="AF751" s="29">
        <f>IF(COUNT(B751:Z751)&gt;1,MAX(B751:Z751)-MIN(B751:Z751),IF(ISNUMBER(AB751),AB751,""))</f>
        <v/>
      </c>
      <c r="AG751" s="29">
        <f>IF(COUNT(B751:Z751)&gt;1,_xlfn.STDEV.S(B751:Z751),IF(ISNUMBER(AC751),AC751,""))</f>
        <v/>
      </c>
      <c r="AH751" s="13">
        <f>IF(AND(ISNUMBER(AE751),ISNUMBER($B$23),ISNUMBER($D$23)),IF(AE751&gt;$D$23,"boven UCL",IF(AE751&lt;$B$23,"onder LCL","")),"")</f>
        <v/>
      </c>
      <c r="AI751" s="13">
        <f>IF(AND(ISNUMBER(AF751),ISNUMBER($B$24),ISNUMBER($D$24)),IF(AF751&gt;$D$24,"boven UCL",IF(AF751&lt;$B$24,"onder LCL","")),"")</f>
        <v/>
      </c>
      <c r="AJ751" s="13">
        <f>IF(AND(ISNUMBER(AE751),ISNUMBER($B$25),ISNUMBER($D$25)),IF(AE751&gt;$D$25,"boven UCL",IF(AE751&lt;$B$25,"onder LCL","")),"")</f>
        <v/>
      </c>
      <c r="AK751" s="13">
        <f>IF(AND(ISNUMBER(AG751),ISNUMBER($B$26),ISNUMBER($D$26)),IF(AG751&gt;$D$26,"boven UCL",IF(AG751&lt;$B$26,"onder LCL","")),"")</f>
        <v/>
      </c>
      <c r="AL751" s="13">
        <f>IF(AND(COUNT(B751:Z751)&gt;0,COUNT(AA751:AC751)&gt;0),"ruwe waarden én getypt: getypte genegeerd",IF(COUNTA(B751:Z751,AA751:AC751)&gt;COUNT(B751:Z751,AA751:AC751),"tekst telt niet mee",IF(COUNT(B751:Z751)=1,"1 waarde: geen R of s","")))</f>
        <v/>
      </c>
    </row>
    <row r="752">
      <c r="A752" t="n">
        <v>701</v>
      </c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28">
        <f>IF(COUNT(B752:Z752)&gt;0,COUNT(B752:Z752),IF(OR(ISNUMBER(AA752),ISNUMBER(AB752)),$B$9,""))</f>
        <v/>
      </c>
      <c r="AE752" s="29">
        <f>IF(COUNT(B752:Z752)&gt;0,AVERAGE(B752:Z752),IF(ISNUMBER(AA752),AA752,""))</f>
        <v/>
      </c>
      <c r="AF752" s="29">
        <f>IF(COUNT(B752:Z752)&gt;1,MAX(B752:Z752)-MIN(B752:Z752),IF(ISNUMBER(AB752),AB752,""))</f>
        <v/>
      </c>
      <c r="AG752" s="29">
        <f>IF(COUNT(B752:Z752)&gt;1,_xlfn.STDEV.S(B752:Z752),IF(ISNUMBER(AC752),AC752,""))</f>
        <v/>
      </c>
      <c r="AH752" s="13">
        <f>IF(AND(ISNUMBER(AE752),ISNUMBER($B$23),ISNUMBER($D$23)),IF(AE752&gt;$D$23,"boven UCL",IF(AE752&lt;$B$23,"onder LCL","")),"")</f>
        <v/>
      </c>
      <c r="AI752" s="13">
        <f>IF(AND(ISNUMBER(AF752),ISNUMBER($B$24),ISNUMBER($D$24)),IF(AF752&gt;$D$24,"boven UCL",IF(AF752&lt;$B$24,"onder LCL","")),"")</f>
        <v/>
      </c>
      <c r="AJ752" s="13">
        <f>IF(AND(ISNUMBER(AE752),ISNUMBER($B$25),ISNUMBER($D$25)),IF(AE752&gt;$D$25,"boven UCL",IF(AE752&lt;$B$25,"onder LCL","")),"")</f>
        <v/>
      </c>
      <c r="AK752" s="13">
        <f>IF(AND(ISNUMBER(AG752),ISNUMBER($B$26),ISNUMBER($D$26)),IF(AG752&gt;$D$26,"boven UCL",IF(AG752&lt;$B$26,"onder LCL","")),"")</f>
        <v/>
      </c>
      <c r="AL752" s="13">
        <f>IF(AND(COUNT(B752:Z752)&gt;0,COUNT(AA752:AC752)&gt;0),"ruwe waarden én getypt: getypte genegeerd",IF(COUNTA(B752:Z752,AA752:AC752)&gt;COUNT(B752:Z752,AA752:AC752),"tekst telt niet mee",IF(COUNT(B752:Z752)=1,"1 waarde: geen R of s","")))</f>
        <v/>
      </c>
    </row>
    <row r="753">
      <c r="A753" t="n">
        <v>702</v>
      </c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28">
        <f>IF(COUNT(B753:Z753)&gt;0,COUNT(B753:Z753),IF(OR(ISNUMBER(AA753),ISNUMBER(AB753)),$B$9,""))</f>
        <v/>
      </c>
      <c r="AE753" s="29">
        <f>IF(COUNT(B753:Z753)&gt;0,AVERAGE(B753:Z753),IF(ISNUMBER(AA753),AA753,""))</f>
        <v/>
      </c>
      <c r="AF753" s="29">
        <f>IF(COUNT(B753:Z753)&gt;1,MAX(B753:Z753)-MIN(B753:Z753),IF(ISNUMBER(AB753),AB753,""))</f>
        <v/>
      </c>
      <c r="AG753" s="29">
        <f>IF(COUNT(B753:Z753)&gt;1,_xlfn.STDEV.S(B753:Z753),IF(ISNUMBER(AC753),AC753,""))</f>
        <v/>
      </c>
      <c r="AH753" s="13">
        <f>IF(AND(ISNUMBER(AE753),ISNUMBER($B$23),ISNUMBER($D$23)),IF(AE753&gt;$D$23,"boven UCL",IF(AE753&lt;$B$23,"onder LCL","")),"")</f>
        <v/>
      </c>
      <c r="AI753" s="13">
        <f>IF(AND(ISNUMBER(AF753),ISNUMBER($B$24),ISNUMBER($D$24)),IF(AF753&gt;$D$24,"boven UCL",IF(AF753&lt;$B$24,"onder LCL","")),"")</f>
        <v/>
      </c>
      <c r="AJ753" s="13">
        <f>IF(AND(ISNUMBER(AE753),ISNUMBER($B$25),ISNUMBER($D$25)),IF(AE753&gt;$D$25,"boven UCL",IF(AE753&lt;$B$25,"onder LCL","")),"")</f>
        <v/>
      </c>
      <c r="AK753" s="13">
        <f>IF(AND(ISNUMBER(AG753),ISNUMBER($B$26),ISNUMBER($D$26)),IF(AG753&gt;$D$26,"boven UCL",IF(AG753&lt;$B$26,"onder LCL","")),"")</f>
        <v/>
      </c>
      <c r="AL753" s="13">
        <f>IF(AND(COUNT(B753:Z753)&gt;0,COUNT(AA753:AC753)&gt;0),"ruwe waarden én getypt: getypte genegeerd",IF(COUNTA(B753:Z753,AA753:AC753)&gt;COUNT(B753:Z753,AA753:AC753),"tekst telt niet mee",IF(COUNT(B753:Z753)=1,"1 waarde: geen R of s","")))</f>
        <v/>
      </c>
    </row>
    <row r="754">
      <c r="A754" t="n">
        <v>703</v>
      </c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28">
        <f>IF(COUNT(B754:Z754)&gt;0,COUNT(B754:Z754),IF(OR(ISNUMBER(AA754),ISNUMBER(AB754)),$B$9,""))</f>
        <v/>
      </c>
      <c r="AE754" s="29">
        <f>IF(COUNT(B754:Z754)&gt;0,AVERAGE(B754:Z754),IF(ISNUMBER(AA754),AA754,""))</f>
        <v/>
      </c>
      <c r="AF754" s="29">
        <f>IF(COUNT(B754:Z754)&gt;1,MAX(B754:Z754)-MIN(B754:Z754),IF(ISNUMBER(AB754),AB754,""))</f>
        <v/>
      </c>
      <c r="AG754" s="29">
        <f>IF(COUNT(B754:Z754)&gt;1,_xlfn.STDEV.S(B754:Z754),IF(ISNUMBER(AC754),AC754,""))</f>
        <v/>
      </c>
      <c r="AH754" s="13">
        <f>IF(AND(ISNUMBER(AE754),ISNUMBER($B$23),ISNUMBER($D$23)),IF(AE754&gt;$D$23,"boven UCL",IF(AE754&lt;$B$23,"onder LCL","")),"")</f>
        <v/>
      </c>
      <c r="AI754" s="13">
        <f>IF(AND(ISNUMBER(AF754),ISNUMBER($B$24),ISNUMBER($D$24)),IF(AF754&gt;$D$24,"boven UCL",IF(AF754&lt;$B$24,"onder LCL","")),"")</f>
        <v/>
      </c>
      <c r="AJ754" s="13">
        <f>IF(AND(ISNUMBER(AE754),ISNUMBER($B$25),ISNUMBER($D$25)),IF(AE754&gt;$D$25,"boven UCL",IF(AE754&lt;$B$25,"onder LCL","")),"")</f>
        <v/>
      </c>
      <c r="AK754" s="13">
        <f>IF(AND(ISNUMBER(AG754),ISNUMBER($B$26),ISNUMBER($D$26)),IF(AG754&gt;$D$26,"boven UCL",IF(AG754&lt;$B$26,"onder LCL","")),"")</f>
        <v/>
      </c>
      <c r="AL754" s="13">
        <f>IF(AND(COUNT(B754:Z754)&gt;0,COUNT(AA754:AC754)&gt;0),"ruwe waarden én getypt: getypte genegeerd",IF(COUNTA(B754:Z754,AA754:AC754)&gt;COUNT(B754:Z754,AA754:AC754),"tekst telt niet mee",IF(COUNT(B754:Z754)=1,"1 waarde: geen R of s","")))</f>
        <v/>
      </c>
    </row>
    <row r="755">
      <c r="A755" t="n">
        <v>704</v>
      </c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28">
        <f>IF(COUNT(B755:Z755)&gt;0,COUNT(B755:Z755),IF(OR(ISNUMBER(AA755),ISNUMBER(AB755)),$B$9,""))</f>
        <v/>
      </c>
      <c r="AE755" s="29">
        <f>IF(COUNT(B755:Z755)&gt;0,AVERAGE(B755:Z755),IF(ISNUMBER(AA755),AA755,""))</f>
        <v/>
      </c>
      <c r="AF755" s="29">
        <f>IF(COUNT(B755:Z755)&gt;1,MAX(B755:Z755)-MIN(B755:Z755),IF(ISNUMBER(AB755),AB755,""))</f>
        <v/>
      </c>
      <c r="AG755" s="29">
        <f>IF(COUNT(B755:Z755)&gt;1,_xlfn.STDEV.S(B755:Z755),IF(ISNUMBER(AC755),AC755,""))</f>
        <v/>
      </c>
      <c r="AH755" s="13">
        <f>IF(AND(ISNUMBER(AE755),ISNUMBER($B$23),ISNUMBER($D$23)),IF(AE755&gt;$D$23,"boven UCL",IF(AE755&lt;$B$23,"onder LCL","")),"")</f>
        <v/>
      </c>
      <c r="AI755" s="13">
        <f>IF(AND(ISNUMBER(AF755),ISNUMBER($B$24),ISNUMBER($D$24)),IF(AF755&gt;$D$24,"boven UCL",IF(AF755&lt;$B$24,"onder LCL","")),"")</f>
        <v/>
      </c>
      <c r="AJ755" s="13">
        <f>IF(AND(ISNUMBER(AE755),ISNUMBER($B$25),ISNUMBER($D$25)),IF(AE755&gt;$D$25,"boven UCL",IF(AE755&lt;$B$25,"onder LCL","")),"")</f>
        <v/>
      </c>
      <c r="AK755" s="13">
        <f>IF(AND(ISNUMBER(AG755),ISNUMBER($B$26),ISNUMBER($D$26)),IF(AG755&gt;$D$26,"boven UCL",IF(AG755&lt;$B$26,"onder LCL","")),"")</f>
        <v/>
      </c>
      <c r="AL755" s="13">
        <f>IF(AND(COUNT(B755:Z755)&gt;0,COUNT(AA755:AC755)&gt;0),"ruwe waarden én getypt: getypte genegeerd",IF(COUNTA(B755:Z755,AA755:AC755)&gt;COUNT(B755:Z755,AA755:AC755),"tekst telt niet mee",IF(COUNT(B755:Z755)=1,"1 waarde: geen R of s","")))</f>
        <v/>
      </c>
    </row>
    <row r="756">
      <c r="A756" t="n">
        <v>705</v>
      </c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28">
        <f>IF(COUNT(B756:Z756)&gt;0,COUNT(B756:Z756),IF(OR(ISNUMBER(AA756),ISNUMBER(AB756)),$B$9,""))</f>
        <v/>
      </c>
      <c r="AE756" s="29">
        <f>IF(COUNT(B756:Z756)&gt;0,AVERAGE(B756:Z756),IF(ISNUMBER(AA756),AA756,""))</f>
        <v/>
      </c>
      <c r="AF756" s="29">
        <f>IF(COUNT(B756:Z756)&gt;1,MAX(B756:Z756)-MIN(B756:Z756),IF(ISNUMBER(AB756),AB756,""))</f>
        <v/>
      </c>
      <c r="AG756" s="29">
        <f>IF(COUNT(B756:Z756)&gt;1,_xlfn.STDEV.S(B756:Z756),IF(ISNUMBER(AC756),AC756,""))</f>
        <v/>
      </c>
      <c r="AH756" s="13">
        <f>IF(AND(ISNUMBER(AE756),ISNUMBER($B$23),ISNUMBER($D$23)),IF(AE756&gt;$D$23,"boven UCL",IF(AE756&lt;$B$23,"onder LCL","")),"")</f>
        <v/>
      </c>
      <c r="AI756" s="13">
        <f>IF(AND(ISNUMBER(AF756),ISNUMBER($B$24),ISNUMBER($D$24)),IF(AF756&gt;$D$24,"boven UCL",IF(AF756&lt;$B$24,"onder LCL","")),"")</f>
        <v/>
      </c>
      <c r="AJ756" s="13">
        <f>IF(AND(ISNUMBER(AE756),ISNUMBER($B$25),ISNUMBER($D$25)),IF(AE756&gt;$D$25,"boven UCL",IF(AE756&lt;$B$25,"onder LCL","")),"")</f>
        <v/>
      </c>
      <c r="AK756" s="13">
        <f>IF(AND(ISNUMBER(AG756),ISNUMBER($B$26),ISNUMBER($D$26)),IF(AG756&gt;$D$26,"boven UCL",IF(AG756&lt;$B$26,"onder LCL","")),"")</f>
        <v/>
      </c>
      <c r="AL756" s="13">
        <f>IF(AND(COUNT(B756:Z756)&gt;0,COUNT(AA756:AC756)&gt;0),"ruwe waarden én getypt: getypte genegeerd",IF(COUNTA(B756:Z756,AA756:AC756)&gt;COUNT(B756:Z756,AA756:AC756),"tekst telt niet mee",IF(COUNT(B756:Z756)=1,"1 waarde: geen R of s","")))</f>
        <v/>
      </c>
    </row>
    <row r="757">
      <c r="A757" t="n">
        <v>706</v>
      </c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28">
        <f>IF(COUNT(B757:Z757)&gt;0,COUNT(B757:Z757),IF(OR(ISNUMBER(AA757),ISNUMBER(AB757)),$B$9,""))</f>
        <v/>
      </c>
      <c r="AE757" s="29">
        <f>IF(COUNT(B757:Z757)&gt;0,AVERAGE(B757:Z757),IF(ISNUMBER(AA757),AA757,""))</f>
        <v/>
      </c>
      <c r="AF757" s="29">
        <f>IF(COUNT(B757:Z757)&gt;1,MAX(B757:Z757)-MIN(B757:Z757),IF(ISNUMBER(AB757),AB757,""))</f>
        <v/>
      </c>
      <c r="AG757" s="29">
        <f>IF(COUNT(B757:Z757)&gt;1,_xlfn.STDEV.S(B757:Z757),IF(ISNUMBER(AC757),AC757,""))</f>
        <v/>
      </c>
      <c r="AH757" s="13">
        <f>IF(AND(ISNUMBER(AE757),ISNUMBER($B$23),ISNUMBER($D$23)),IF(AE757&gt;$D$23,"boven UCL",IF(AE757&lt;$B$23,"onder LCL","")),"")</f>
        <v/>
      </c>
      <c r="AI757" s="13">
        <f>IF(AND(ISNUMBER(AF757),ISNUMBER($B$24),ISNUMBER($D$24)),IF(AF757&gt;$D$24,"boven UCL",IF(AF757&lt;$B$24,"onder LCL","")),"")</f>
        <v/>
      </c>
      <c r="AJ757" s="13">
        <f>IF(AND(ISNUMBER(AE757),ISNUMBER($B$25),ISNUMBER($D$25)),IF(AE757&gt;$D$25,"boven UCL",IF(AE757&lt;$B$25,"onder LCL","")),"")</f>
        <v/>
      </c>
      <c r="AK757" s="13">
        <f>IF(AND(ISNUMBER(AG757),ISNUMBER($B$26),ISNUMBER($D$26)),IF(AG757&gt;$D$26,"boven UCL",IF(AG757&lt;$B$26,"onder LCL","")),"")</f>
        <v/>
      </c>
      <c r="AL757" s="13">
        <f>IF(AND(COUNT(B757:Z757)&gt;0,COUNT(AA757:AC757)&gt;0),"ruwe waarden én getypt: getypte genegeerd",IF(COUNTA(B757:Z757,AA757:AC757)&gt;COUNT(B757:Z757,AA757:AC757),"tekst telt niet mee",IF(COUNT(B757:Z757)=1,"1 waarde: geen R of s","")))</f>
        <v/>
      </c>
    </row>
    <row r="758">
      <c r="A758" t="n">
        <v>707</v>
      </c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28">
        <f>IF(COUNT(B758:Z758)&gt;0,COUNT(B758:Z758),IF(OR(ISNUMBER(AA758),ISNUMBER(AB758)),$B$9,""))</f>
        <v/>
      </c>
      <c r="AE758" s="29">
        <f>IF(COUNT(B758:Z758)&gt;0,AVERAGE(B758:Z758),IF(ISNUMBER(AA758),AA758,""))</f>
        <v/>
      </c>
      <c r="AF758" s="29">
        <f>IF(COUNT(B758:Z758)&gt;1,MAX(B758:Z758)-MIN(B758:Z758),IF(ISNUMBER(AB758),AB758,""))</f>
        <v/>
      </c>
      <c r="AG758" s="29">
        <f>IF(COUNT(B758:Z758)&gt;1,_xlfn.STDEV.S(B758:Z758),IF(ISNUMBER(AC758),AC758,""))</f>
        <v/>
      </c>
      <c r="AH758" s="13">
        <f>IF(AND(ISNUMBER(AE758),ISNUMBER($B$23),ISNUMBER($D$23)),IF(AE758&gt;$D$23,"boven UCL",IF(AE758&lt;$B$23,"onder LCL","")),"")</f>
        <v/>
      </c>
      <c r="AI758" s="13">
        <f>IF(AND(ISNUMBER(AF758),ISNUMBER($B$24),ISNUMBER($D$24)),IF(AF758&gt;$D$24,"boven UCL",IF(AF758&lt;$B$24,"onder LCL","")),"")</f>
        <v/>
      </c>
      <c r="AJ758" s="13">
        <f>IF(AND(ISNUMBER(AE758),ISNUMBER($B$25),ISNUMBER($D$25)),IF(AE758&gt;$D$25,"boven UCL",IF(AE758&lt;$B$25,"onder LCL","")),"")</f>
        <v/>
      </c>
      <c r="AK758" s="13">
        <f>IF(AND(ISNUMBER(AG758),ISNUMBER($B$26),ISNUMBER($D$26)),IF(AG758&gt;$D$26,"boven UCL",IF(AG758&lt;$B$26,"onder LCL","")),"")</f>
        <v/>
      </c>
      <c r="AL758" s="13">
        <f>IF(AND(COUNT(B758:Z758)&gt;0,COUNT(AA758:AC758)&gt;0),"ruwe waarden én getypt: getypte genegeerd",IF(COUNTA(B758:Z758,AA758:AC758)&gt;COUNT(B758:Z758,AA758:AC758),"tekst telt niet mee",IF(COUNT(B758:Z758)=1,"1 waarde: geen R of s","")))</f>
        <v/>
      </c>
    </row>
    <row r="759">
      <c r="A759" t="n">
        <v>708</v>
      </c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28">
        <f>IF(COUNT(B759:Z759)&gt;0,COUNT(B759:Z759),IF(OR(ISNUMBER(AA759),ISNUMBER(AB759)),$B$9,""))</f>
        <v/>
      </c>
      <c r="AE759" s="29">
        <f>IF(COUNT(B759:Z759)&gt;0,AVERAGE(B759:Z759),IF(ISNUMBER(AA759),AA759,""))</f>
        <v/>
      </c>
      <c r="AF759" s="29">
        <f>IF(COUNT(B759:Z759)&gt;1,MAX(B759:Z759)-MIN(B759:Z759),IF(ISNUMBER(AB759),AB759,""))</f>
        <v/>
      </c>
      <c r="AG759" s="29">
        <f>IF(COUNT(B759:Z759)&gt;1,_xlfn.STDEV.S(B759:Z759),IF(ISNUMBER(AC759),AC759,""))</f>
        <v/>
      </c>
      <c r="AH759" s="13">
        <f>IF(AND(ISNUMBER(AE759),ISNUMBER($B$23),ISNUMBER($D$23)),IF(AE759&gt;$D$23,"boven UCL",IF(AE759&lt;$B$23,"onder LCL","")),"")</f>
        <v/>
      </c>
      <c r="AI759" s="13">
        <f>IF(AND(ISNUMBER(AF759),ISNUMBER($B$24),ISNUMBER($D$24)),IF(AF759&gt;$D$24,"boven UCL",IF(AF759&lt;$B$24,"onder LCL","")),"")</f>
        <v/>
      </c>
      <c r="AJ759" s="13">
        <f>IF(AND(ISNUMBER(AE759),ISNUMBER($B$25),ISNUMBER($D$25)),IF(AE759&gt;$D$25,"boven UCL",IF(AE759&lt;$B$25,"onder LCL","")),"")</f>
        <v/>
      </c>
      <c r="AK759" s="13">
        <f>IF(AND(ISNUMBER(AG759),ISNUMBER($B$26),ISNUMBER($D$26)),IF(AG759&gt;$D$26,"boven UCL",IF(AG759&lt;$B$26,"onder LCL","")),"")</f>
        <v/>
      </c>
      <c r="AL759" s="13">
        <f>IF(AND(COUNT(B759:Z759)&gt;0,COUNT(AA759:AC759)&gt;0),"ruwe waarden én getypt: getypte genegeerd",IF(COUNTA(B759:Z759,AA759:AC759)&gt;COUNT(B759:Z759,AA759:AC759),"tekst telt niet mee",IF(COUNT(B759:Z759)=1,"1 waarde: geen R of s","")))</f>
        <v/>
      </c>
    </row>
    <row r="760">
      <c r="A760" t="n">
        <v>709</v>
      </c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28">
        <f>IF(COUNT(B760:Z760)&gt;0,COUNT(B760:Z760),IF(OR(ISNUMBER(AA760),ISNUMBER(AB760)),$B$9,""))</f>
        <v/>
      </c>
      <c r="AE760" s="29">
        <f>IF(COUNT(B760:Z760)&gt;0,AVERAGE(B760:Z760),IF(ISNUMBER(AA760),AA760,""))</f>
        <v/>
      </c>
      <c r="AF760" s="29">
        <f>IF(COUNT(B760:Z760)&gt;1,MAX(B760:Z760)-MIN(B760:Z760),IF(ISNUMBER(AB760),AB760,""))</f>
        <v/>
      </c>
      <c r="AG760" s="29">
        <f>IF(COUNT(B760:Z760)&gt;1,_xlfn.STDEV.S(B760:Z760),IF(ISNUMBER(AC760),AC760,""))</f>
        <v/>
      </c>
      <c r="AH760" s="13">
        <f>IF(AND(ISNUMBER(AE760),ISNUMBER($B$23),ISNUMBER($D$23)),IF(AE760&gt;$D$23,"boven UCL",IF(AE760&lt;$B$23,"onder LCL","")),"")</f>
        <v/>
      </c>
      <c r="AI760" s="13">
        <f>IF(AND(ISNUMBER(AF760),ISNUMBER($B$24),ISNUMBER($D$24)),IF(AF760&gt;$D$24,"boven UCL",IF(AF760&lt;$B$24,"onder LCL","")),"")</f>
        <v/>
      </c>
      <c r="AJ760" s="13">
        <f>IF(AND(ISNUMBER(AE760),ISNUMBER($B$25),ISNUMBER($D$25)),IF(AE760&gt;$D$25,"boven UCL",IF(AE760&lt;$B$25,"onder LCL","")),"")</f>
        <v/>
      </c>
      <c r="AK760" s="13">
        <f>IF(AND(ISNUMBER(AG760),ISNUMBER($B$26),ISNUMBER($D$26)),IF(AG760&gt;$D$26,"boven UCL",IF(AG760&lt;$B$26,"onder LCL","")),"")</f>
        <v/>
      </c>
      <c r="AL760" s="13">
        <f>IF(AND(COUNT(B760:Z760)&gt;0,COUNT(AA760:AC760)&gt;0),"ruwe waarden én getypt: getypte genegeerd",IF(COUNTA(B760:Z760,AA760:AC760)&gt;COUNT(B760:Z760,AA760:AC760),"tekst telt niet mee",IF(COUNT(B760:Z760)=1,"1 waarde: geen R of s","")))</f>
        <v/>
      </c>
    </row>
    <row r="761">
      <c r="A761" t="n">
        <v>710</v>
      </c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28">
        <f>IF(COUNT(B761:Z761)&gt;0,COUNT(B761:Z761),IF(OR(ISNUMBER(AA761),ISNUMBER(AB761)),$B$9,""))</f>
        <v/>
      </c>
      <c r="AE761" s="29">
        <f>IF(COUNT(B761:Z761)&gt;0,AVERAGE(B761:Z761),IF(ISNUMBER(AA761),AA761,""))</f>
        <v/>
      </c>
      <c r="AF761" s="29">
        <f>IF(COUNT(B761:Z761)&gt;1,MAX(B761:Z761)-MIN(B761:Z761),IF(ISNUMBER(AB761),AB761,""))</f>
        <v/>
      </c>
      <c r="AG761" s="29">
        <f>IF(COUNT(B761:Z761)&gt;1,_xlfn.STDEV.S(B761:Z761),IF(ISNUMBER(AC761),AC761,""))</f>
        <v/>
      </c>
      <c r="AH761" s="13">
        <f>IF(AND(ISNUMBER(AE761),ISNUMBER($B$23),ISNUMBER($D$23)),IF(AE761&gt;$D$23,"boven UCL",IF(AE761&lt;$B$23,"onder LCL","")),"")</f>
        <v/>
      </c>
      <c r="AI761" s="13">
        <f>IF(AND(ISNUMBER(AF761),ISNUMBER($B$24),ISNUMBER($D$24)),IF(AF761&gt;$D$24,"boven UCL",IF(AF761&lt;$B$24,"onder LCL","")),"")</f>
        <v/>
      </c>
      <c r="AJ761" s="13">
        <f>IF(AND(ISNUMBER(AE761),ISNUMBER($B$25),ISNUMBER($D$25)),IF(AE761&gt;$D$25,"boven UCL",IF(AE761&lt;$B$25,"onder LCL","")),"")</f>
        <v/>
      </c>
      <c r="AK761" s="13">
        <f>IF(AND(ISNUMBER(AG761),ISNUMBER($B$26),ISNUMBER($D$26)),IF(AG761&gt;$D$26,"boven UCL",IF(AG761&lt;$B$26,"onder LCL","")),"")</f>
        <v/>
      </c>
      <c r="AL761" s="13">
        <f>IF(AND(COUNT(B761:Z761)&gt;0,COUNT(AA761:AC761)&gt;0),"ruwe waarden én getypt: getypte genegeerd",IF(COUNTA(B761:Z761,AA761:AC761)&gt;COUNT(B761:Z761,AA761:AC761),"tekst telt niet mee",IF(COUNT(B761:Z761)=1,"1 waarde: geen R of s","")))</f>
        <v/>
      </c>
    </row>
    <row r="762">
      <c r="A762" t="n">
        <v>711</v>
      </c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28">
        <f>IF(COUNT(B762:Z762)&gt;0,COUNT(B762:Z762),IF(OR(ISNUMBER(AA762),ISNUMBER(AB762)),$B$9,""))</f>
        <v/>
      </c>
      <c r="AE762" s="29">
        <f>IF(COUNT(B762:Z762)&gt;0,AVERAGE(B762:Z762),IF(ISNUMBER(AA762),AA762,""))</f>
        <v/>
      </c>
      <c r="AF762" s="29">
        <f>IF(COUNT(B762:Z762)&gt;1,MAX(B762:Z762)-MIN(B762:Z762),IF(ISNUMBER(AB762),AB762,""))</f>
        <v/>
      </c>
      <c r="AG762" s="29">
        <f>IF(COUNT(B762:Z762)&gt;1,_xlfn.STDEV.S(B762:Z762),IF(ISNUMBER(AC762),AC762,""))</f>
        <v/>
      </c>
      <c r="AH762" s="13">
        <f>IF(AND(ISNUMBER(AE762),ISNUMBER($B$23),ISNUMBER($D$23)),IF(AE762&gt;$D$23,"boven UCL",IF(AE762&lt;$B$23,"onder LCL","")),"")</f>
        <v/>
      </c>
      <c r="AI762" s="13">
        <f>IF(AND(ISNUMBER(AF762),ISNUMBER($B$24),ISNUMBER($D$24)),IF(AF762&gt;$D$24,"boven UCL",IF(AF762&lt;$B$24,"onder LCL","")),"")</f>
        <v/>
      </c>
      <c r="AJ762" s="13">
        <f>IF(AND(ISNUMBER(AE762),ISNUMBER($B$25),ISNUMBER($D$25)),IF(AE762&gt;$D$25,"boven UCL",IF(AE762&lt;$B$25,"onder LCL","")),"")</f>
        <v/>
      </c>
      <c r="AK762" s="13">
        <f>IF(AND(ISNUMBER(AG762),ISNUMBER($B$26),ISNUMBER($D$26)),IF(AG762&gt;$D$26,"boven UCL",IF(AG762&lt;$B$26,"onder LCL","")),"")</f>
        <v/>
      </c>
      <c r="AL762" s="13">
        <f>IF(AND(COUNT(B762:Z762)&gt;0,COUNT(AA762:AC762)&gt;0),"ruwe waarden én getypt: getypte genegeerd",IF(COUNTA(B762:Z762,AA762:AC762)&gt;COUNT(B762:Z762,AA762:AC762),"tekst telt niet mee",IF(COUNT(B762:Z762)=1,"1 waarde: geen R of s","")))</f>
        <v/>
      </c>
    </row>
    <row r="763">
      <c r="A763" t="n">
        <v>712</v>
      </c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28">
        <f>IF(COUNT(B763:Z763)&gt;0,COUNT(B763:Z763),IF(OR(ISNUMBER(AA763),ISNUMBER(AB763)),$B$9,""))</f>
        <v/>
      </c>
      <c r="AE763" s="29">
        <f>IF(COUNT(B763:Z763)&gt;0,AVERAGE(B763:Z763),IF(ISNUMBER(AA763),AA763,""))</f>
        <v/>
      </c>
      <c r="AF763" s="29">
        <f>IF(COUNT(B763:Z763)&gt;1,MAX(B763:Z763)-MIN(B763:Z763),IF(ISNUMBER(AB763),AB763,""))</f>
        <v/>
      </c>
      <c r="AG763" s="29">
        <f>IF(COUNT(B763:Z763)&gt;1,_xlfn.STDEV.S(B763:Z763),IF(ISNUMBER(AC763),AC763,""))</f>
        <v/>
      </c>
      <c r="AH763" s="13">
        <f>IF(AND(ISNUMBER(AE763),ISNUMBER($B$23),ISNUMBER($D$23)),IF(AE763&gt;$D$23,"boven UCL",IF(AE763&lt;$B$23,"onder LCL","")),"")</f>
        <v/>
      </c>
      <c r="AI763" s="13">
        <f>IF(AND(ISNUMBER(AF763),ISNUMBER($B$24),ISNUMBER($D$24)),IF(AF763&gt;$D$24,"boven UCL",IF(AF763&lt;$B$24,"onder LCL","")),"")</f>
        <v/>
      </c>
      <c r="AJ763" s="13">
        <f>IF(AND(ISNUMBER(AE763),ISNUMBER($B$25),ISNUMBER($D$25)),IF(AE763&gt;$D$25,"boven UCL",IF(AE763&lt;$B$25,"onder LCL","")),"")</f>
        <v/>
      </c>
      <c r="AK763" s="13">
        <f>IF(AND(ISNUMBER(AG763),ISNUMBER($B$26),ISNUMBER($D$26)),IF(AG763&gt;$D$26,"boven UCL",IF(AG763&lt;$B$26,"onder LCL","")),"")</f>
        <v/>
      </c>
      <c r="AL763" s="13">
        <f>IF(AND(COUNT(B763:Z763)&gt;0,COUNT(AA763:AC763)&gt;0),"ruwe waarden én getypt: getypte genegeerd",IF(COUNTA(B763:Z763,AA763:AC763)&gt;COUNT(B763:Z763,AA763:AC763),"tekst telt niet mee",IF(COUNT(B763:Z763)=1,"1 waarde: geen R of s","")))</f>
        <v/>
      </c>
    </row>
    <row r="764">
      <c r="A764" t="n">
        <v>713</v>
      </c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28">
        <f>IF(COUNT(B764:Z764)&gt;0,COUNT(B764:Z764),IF(OR(ISNUMBER(AA764),ISNUMBER(AB764)),$B$9,""))</f>
        <v/>
      </c>
      <c r="AE764" s="29">
        <f>IF(COUNT(B764:Z764)&gt;0,AVERAGE(B764:Z764),IF(ISNUMBER(AA764),AA764,""))</f>
        <v/>
      </c>
      <c r="AF764" s="29">
        <f>IF(COUNT(B764:Z764)&gt;1,MAX(B764:Z764)-MIN(B764:Z764),IF(ISNUMBER(AB764),AB764,""))</f>
        <v/>
      </c>
      <c r="AG764" s="29">
        <f>IF(COUNT(B764:Z764)&gt;1,_xlfn.STDEV.S(B764:Z764),IF(ISNUMBER(AC764),AC764,""))</f>
        <v/>
      </c>
      <c r="AH764" s="13">
        <f>IF(AND(ISNUMBER(AE764),ISNUMBER($B$23),ISNUMBER($D$23)),IF(AE764&gt;$D$23,"boven UCL",IF(AE764&lt;$B$23,"onder LCL","")),"")</f>
        <v/>
      </c>
      <c r="AI764" s="13">
        <f>IF(AND(ISNUMBER(AF764),ISNUMBER($B$24),ISNUMBER($D$24)),IF(AF764&gt;$D$24,"boven UCL",IF(AF764&lt;$B$24,"onder LCL","")),"")</f>
        <v/>
      </c>
      <c r="AJ764" s="13">
        <f>IF(AND(ISNUMBER(AE764),ISNUMBER($B$25),ISNUMBER($D$25)),IF(AE764&gt;$D$25,"boven UCL",IF(AE764&lt;$B$25,"onder LCL","")),"")</f>
        <v/>
      </c>
      <c r="AK764" s="13">
        <f>IF(AND(ISNUMBER(AG764),ISNUMBER($B$26),ISNUMBER($D$26)),IF(AG764&gt;$D$26,"boven UCL",IF(AG764&lt;$B$26,"onder LCL","")),"")</f>
        <v/>
      </c>
      <c r="AL764" s="13">
        <f>IF(AND(COUNT(B764:Z764)&gt;0,COUNT(AA764:AC764)&gt;0),"ruwe waarden én getypt: getypte genegeerd",IF(COUNTA(B764:Z764,AA764:AC764)&gt;COUNT(B764:Z764,AA764:AC764),"tekst telt niet mee",IF(COUNT(B764:Z764)=1,"1 waarde: geen R of s","")))</f>
        <v/>
      </c>
    </row>
    <row r="765">
      <c r="A765" t="n">
        <v>714</v>
      </c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28">
        <f>IF(COUNT(B765:Z765)&gt;0,COUNT(B765:Z765),IF(OR(ISNUMBER(AA765),ISNUMBER(AB765)),$B$9,""))</f>
        <v/>
      </c>
      <c r="AE765" s="29">
        <f>IF(COUNT(B765:Z765)&gt;0,AVERAGE(B765:Z765),IF(ISNUMBER(AA765),AA765,""))</f>
        <v/>
      </c>
      <c r="AF765" s="29">
        <f>IF(COUNT(B765:Z765)&gt;1,MAX(B765:Z765)-MIN(B765:Z765),IF(ISNUMBER(AB765),AB765,""))</f>
        <v/>
      </c>
      <c r="AG765" s="29">
        <f>IF(COUNT(B765:Z765)&gt;1,_xlfn.STDEV.S(B765:Z765),IF(ISNUMBER(AC765),AC765,""))</f>
        <v/>
      </c>
      <c r="AH765" s="13">
        <f>IF(AND(ISNUMBER(AE765),ISNUMBER($B$23),ISNUMBER($D$23)),IF(AE765&gt;$D$23,"boven UCL",IF(AE765&lt;$B$23,"onder LCL","")),"")</f>
        <v/>
      </c>
      <c r="AI765" s="13">
        <f>IF(AND(ISNUMBER(AF765),ISNUMBER($B$24),ISNUMBER($D$24)),IF(AF765&gt;$D$24,"boven UCL",IF(AF765&lt;$B$24,"onder LCL","")),"")</f>
        <v/>
      </c>
      <c r="AJ765" s="13">
        <f>IF(AND(ISNUMBER(AE765),ISNUMBER($B$25),ISNUMBER($D$25)),IF(AE765&gt;$D$25,"boven UCL",IF(AE765&lt;$B$25,"onder LCL","")),"")</f>
        <v/>
      </c>
      <c r="AK765" s="13">
        <f>IF(AND(ISNUMBER(AG765),ISNUMBER($B$26),ISNUMBER($D$26)),IF(AG765&gt;$D$26,"boven UCL",IF(AG765&lt;$B$26,"onder LCL","")),"")</f>
        <v/>
      </c>
      <c r="AL765" s="13">
        <f>IF(AND(COUNT(B765:Z765)&gt;0,COUNT(AA765:AC765)&gt;0),"ruwe waarden én getypt: getypte genegeerd",IF(COUNTA(B765:Z765,AA765:AC765)&gt;COUNT(B765:Z765,AA765:AC765),"tekst telt niet mee",IF(COUNT(B765:Z765)=1,"1 waarde: geen R of s","")))</f>
        <v/>
      </c>
    </row>
    <row r="766">
      <c r="A766" t="n">
        <v>715</v>
      </c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28">
        <f>IF(COUNT(B766:Z766)&gt;0,COUNT(B766:Z766),IF(OR(ISNUMBER(AA766),ISNUMBER(AB766)),$B$9,""))</f>
        <v/>
      </c>
      <c r="AE766" s="29">
        <f>IF(COUNT(B766:Z766)&gt;0,AVERAGE(B766:Z766),IF(ISNUMBER(AA766),AA766,""))</f>
        <v/>
      </c>
      <c r="AF766" s="29">
        <f>IF(COUNT(B766:Z766)&gt;1,MAX(B766:Z766)-MIN(B766:Z766),IF(ISNUMBER(AB766),AB766,""))</f>
        <v/>
      </c>
      <c r="AG766" s="29">
        <f>IF(COUNT(B766:Z766)&gt;1,_xlfn.STDEV.S(B766:Z766),IF(ISNUMBER(AC766),AC766,""))</f>
        <v/>
      </c>
      <c r="AH766" s="13">
        <f>IF(AND(ISNUMBER(AE766),ISNUMBER($B$23),ISNUMBER($D$23)),IF(AE766&gt;$D$23,"boven UCL",IF(AE766&lt;$B$23,"onder LCL","")),"")</f>
        <v/>
      </c>
      <c r="AI766" s="13">
        <f>IF(AND(ISNUMBER(AF766),ISNUMBER($B$24),ISNUMBER($D$24)),IF(AF766&gt;$D$24,"boven UCL",IF(AF766&lt;$B$24,"onder LCL","")),"")</f>
        <v/>
      </c>
      <c r="AJ766" s="13">
        <f>IF(AND(ISNUMBER(AE766),ISNUMBER($B$25),ISNUMBER($D$25)),IF(AE766&gt;$D$25,"boven UCL",IF(AE766&lt;$B$25,"onder LCL","")),"")</f>
        <v/>
      </c>
      <c r="AK766" s="13">
        <f>IF(AND(ISNUMBER(AG766),ISNUMBER($B$26),ISNUMBER($D$26)),IF(AG766&gt;$D$26,"boven UCL",IF(AG766&lt;$B$26,"onder LCL","")),"")</f>
        <v/>
      </c>
      <c r="AL766" s="13">
        <f>IF(AND(COUNT(B766:Z766)&gt;0,COUNT(AA766:AC766)&gt;0),"ruwe waarden én getypt: getypte genegeerd",IF(COUNTA(B766:Z766,AA766:AC766)&gt;COUNT(B766:Z766,AA766:AC766),"tekst telt niet mee",IF(COUNT(B766:Z766)=1,"1 waarde: geen R of s","")))</f>
        <v/>
      </c>
    </row>
    <row r="767">
      <c r="A767" t="n">
        <v>716</v>
      </c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28">
        <f>IF(COUNT(B767:Z767)&gt;0,COUNT(B767:Z767),IF(OR(ISNUMBER(AA767),ISNUMBER(AB767)),$B$9,""))</f>
        <v/>
      </c>
      <c r="AE767" s="29">
        <f>IF(COUNT(B767:Z767)&gt;0,AVERAGE(B767:Z767),IF(ISNUMBER(AA767),AA767,""))</f>
        <v/>
      </c>
      <c r="AF767" s="29">
        <f>IF(COUNT(B767:Z767)&gt;1,MAX(B767:Z767)-MIN(B767:Z767),IF(ISNUMBER(AB767),AB767,""))</f>
        <v/>
      </c>
      <c r="AG767" s="29">
        <f>IF(COUNT(B767:Z767)&gt;1,_xlfn.STDEV.S(B767:Z767),IF(ISNUMBER(AC767),AC767,""))</f>
        <v/>
      </c>
      <c r="AH767" s="13">
        <f>IF(AND(ISNUMBER(AE767),ISNUMBER($B$23),ISNUMBER($D$23)),IF(AE767&gt;$D$23,"boven UCL",IF(AE767&lt;$B$23,"onder LCL","")),"")</f>
        <v/>
      </c>
      <c r="AI767" s="13">
        <f>IF(AND(ISNUMBER(AF767),ISNUMBER($B$24),ISNUMBER($D$24)),IF(AF767&gt;$D$24,"boven UCL",IF(AF767&lt;$B$24,"onder LCL","")),"")</f>
        <v/>
      </c>
      <c r="AJ767" s="13">
        <f>IF(AND(ISNUMBER(AE767),ISNUMBER($B$25),ISNUMBER($D$25)),IF(AE767&gt;$D$25,"boven UCL",IF(AE767&lt;$B$25,"onder LCL","")),"")</f>
        <v/>
      </c>
      <c r="AK767" s="13">
        <f>IF(AND(ISNUMBER(AG767),ISNUMBER($B$26),ISNUMBER($D$26)),IF(AG767&gt;$D$26,"boven UCL",IF(AG767&lt;$B$26,"onder LCL","")),"")</f>
        <v/>
      </c>
      <c r="AL767" s="13">
        <f>IF(AND(COUNT(B767:Z767)&gt;0,COUNT(AA767:AC767)&gt;0),"ruwe waarden én getypt: getypte genegeerd",IF(COUNTA(B767:Z767,AA767:AC767)&gt;COUNT(B767:Z767,AA767:AC767),"tekst telt niet mee",IF(COUNT(B767:Z767)=1,"1 waarde: geen R of s","")))</f>
        <v/>
      </c>
    </row>
    <row r="768">
      <c r="A768" t="n">
        <v>717</v>
      </c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28">
        <f>IF(COUNT(B768:Z768)&gt;0,COUNT(B768:Z768),IF(OR(ISNUMBER(AA768),ISNUMBER(AB768)),$B$9,""))</f>
        <v/>
      </c>
      <c r="AE768" s="29">
        <f>IF(COUNT(B768:Z768)&gt;0,AVERAGE(B768:Z768),IF(ISNUMBER(AA768),AA768,""))</f>
        <v/>
      </c>
      <c r="AF768" s="29">
        <f>IF(COUNT(B768:Z768)&gt;1,MAX(B768:Z768)-MIN(B768:Z768),IF(ISNUMBER(AB768),AB768,""))</f>
        <v/>
      </c>
      <c r="AG768" s="29">
        <f>IF(COUNT(B768:Z768)&gt;1,_xlfn.STDEV.S(B768:Z768),IF(ISNUMBER(AC768),AC768,""))</f>
        <v/>
      </c>
      <c r="AH768" s="13">
        <f>IF(AND(ISNUMBER(AE768),ISNUMBER($B$23),ISNUMBER($D$23)),IF(AE768&gt;$D$23,"boven UCL",IF(AE768&lt;$B$23,"onder LCL","")),"")</f>
        <v/>
      </c>
      <c r="AI768" s="13">
        <f>IF(AND(ISNUMBER(AF768),ISNUMBER($B$24),ISNUMBER($D$24)),IF(AF768&gt;$D$24,"boven UCL",IF(AF768&lt;$B$24,"onder LCL","")),"")</f>
        <v/>
      </c>
      <c r="AJ768" s="13">
        <f>IF(AND(ISNUMBER(AE768),ISNUMBER($B$25),ISNUMBER($D$25)),IF(AE768&gt;$D$25,"boven UCL",IF(AE768&lt;$B$25,"onder LCL","")),"")</f>
        <v/>
      </c>
      <c r="AK768" s="13">
        <f>IF(AND(ISNUMBER(AG768),ISNUMBER($B$26),ISNUMBER($D$26)),IF(AG768&gt;$D$26,"boven UCL",IF(AG768&lt;$B$26,"onder LCL","")),"")</f>
        <v/>
      </c>
      <c r="AL768" s="13">
        <f>IF(AND(COUNT(B768:Z768)&gt;0,COUNT(AA768:AC768)&gt;0),"ruwe waarden én getypt: getypte genegeerd",IF(COUNTA(B768:Z768,AA768:AC768)&gt;COUNT(B768:Z768,AA768:AC768),"tekst telt niet mee",IF(COUNT(B768:Z768)=1,"1 waarde: geen R of s","")))</f>
        <v/>
      </c>
    </row>
    <row r="769">
      <c r="A769" t="n">
        <v>718</v>
      </c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28">
        <f>IF(COUNT(B769:Z769)&gt;0,COUNT(B769:Z769),IF(OR(ISNUMBER(AA769),ISNUMBER(AB769)),$B$9,""))</f>
        <v/>
      </c>
      <c r="AE769" s="29">
        <f>IF(COUNT(B769:Z769)&gt;0,AVERAGE(B769:Z769),IF(ISNUMBER(AA769),AA769,""))</f>
        <v/>
      </c>
      <c r="AF769" s="29">
        <f>IF(COUNT(B769:Z769)&gt;1,MAX(B769:Z769)-MIN(B769:Z769),IF(ISNUMBER(AB769),AB769,""))</f>
        <v/>
      </c>
      <c r="AG769" s="29">
        <f>IF(COUNT(B769:Z769)&gt;1,_xlfn.STDEV.S(B769:Z769),IF(ISNUMBER(AC769),AC769,""))</f>
        <v/>
      </c>
      <c r="AH769" s="13">
        <f>IF(AND(ISNUMBER(AE769),ISNUMBER($B$23),ISNUMBER($D$23)),IF(AE769&gt;$D$23,"boven UCL",IF(AE769&lt;$B$23,"onder LCL","")),"")</f>
        <v/>
      </c>
      <c r="AI769" s="13">
        <f>IF(AND(ISNUMBER(AF769),ISNUMBER($B$24),ISNUMBER($D$24)),IF(AF769&gt;$D$24,"boven UCL",IF(AF769&lt;$B$24,"onder LCL","")),"")</f>
        <v/>
      </c>
      <c r="AJ769" s="13">
        <f>IF(AND(ISNUMBER(AE769),ISNUMBER($B$25),ISNUMBER($D$25)),IF(AE769&gt;$D$25,"boven UCL",IF(AE769&lt;$B$25,"onder LCL","")),"")</f>
        <v/>
      </c>
      <c r="AK769" s="13">
        <f>IF(AND(ISNUMBER(AG769),ISNUMBER($B$26),ISNUMBER($D$26)),IF(AG769&gt;$D$26,"boven UCL",IF(AG769&lt;$B$26,"onder LCL","")),"")</f>
        <v/>
      </c>
      <c r="AL769" s="13">
        <f>IF(AND(COUNT(B769:Z769)&gt;0,COUNT(AA769:AC769)&gt;0),"ruwe waarden én getypt: getypte genegeerd",IF(COUNTA(B769:Z769,AA769:AC769)&gt;COUNT(B769:Z769,AA769:AC769),"tekst telt niet mee",IF(COUNT(B769:Z769)=1,"1 waarde: geen R of s","")))</f>
        <v/>
      </c>
    </row>
    <row r="770">
      <c r="A770" t="n">
        <v>719</v>
      </c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28">
        <f>IF(COUNT(B770:Z770)&gt;0,COUNT(B770:Z770),IF(OR(ISNUMBER(AA770),ISNUMBER(AB770)),$B$9,""))</f>
        <v/>
      </c>
      <c r="AE770" s="29">
        <f>IF(COUNT(B770:Z770)&gt;0,AVERAGE(B770:Z770),IF(ISNUMBER(AA770),AA770,""))</f>
        <v/>
      </c>
      <c r="AF770" s="29">
        <f>IF(COUNT(B770:Z770)&gt;1,MAX(B770:Z770)-MIN(B770:Z770),IF(ISNUMBER(AB770),AB770,""))</f>
        <v/>
      </c>
      <c r="AG770" s="29">
        <f>IF(COUNT(B770:Z770)&gt;1,_xlfn.STDEV.S(B770:Z770),IF(ISNUMBER(AC770),AC770,""))</f>
        <v/>
      </c>
      <c r="AH770" s="13">
        <f>IF(AND(ISNUMBER(AE770),ISNUMBER($B$23),ISNUMBER($D$23)),IF(AE770&gt;$D$23,"boven UCL",IF(AE770&lt;$B$23,"onder LCL","")),"")</f>
        <v/>
      </c>
      <c r="AI770" s="13">
        <f>IF(AND(ISNUMBER(AF770),ISNUMBER($B$24),ISNUMBER($D$24)),IF(AF770&gt;$D$24,"boven UCL",IF(AF770&lt;$B$24,"onder LCL","")),"")</f>
        <v/>
      </c>
      <c r="AJ770" s="13">
        <f>IF(AND(ISNUMBER(AE770),ISNUMBER($B$25),ISNUMBER($D$25)),IF(AE770&gt;$D$25,"boven UCL",IF(AE770&lt;$B$25,"onder LCL","")),"")</f>
        <v/>
      </c>
      <c r="AK770" s="13">
        <f>IF(AND(ISNUMBER(AG770),ISNUMBER($B$26),ISNUMBER($D$26)),IF(AG770&gt;$D$26,"boven UCL",IF(AG770&lt;$B$26,"onder LCL","")),"")</f>
        <v/>
      </c>
      <c r="AL770" s="13">
        <f>IF(AND(COUNT(B770:Z770)&gt;0,COUNT(AA770:AC770)&gt;0),"ruwe waarden én getypt: getypte genegeerd",IF(COUNTA(B770:Z770,AA770:AC770)&gt;COUNT(B770:Z770,AA770:AC770),"tekst telt niet mee",IF(COUNT(B770:Z770)=1,"1 waarde: geen R of s","")))</f>
        <v/>
      </c>
    </row>
    <row r="771">
      <c r="A771" t="n">
        <v>720</v>
      </c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28">
        <f>IF(COUNT(B771:Z771)&gt;0,COUNT(B771:Z771),IF(OR(ISNUMBER(AA771),ISNUMBER(AB771)),$B$9,""))</f>
        <v/>
      </c>
      <c r="AE771" s="29">
        <f>IF(COUNT(B771:Z771)&gt;0,AVERAGE(B771:Z771),IF(ISNUMBER(AA771),AA771,""))</f>
        <v/>
      </c>
      <c r="AF771" s="29">
        <f>IF(COUNT(B771:Z771)&gt;1,MAX(B771:Z771)-MIN(B771:Z771),IF(ISNUMBER(AB771),AB771,""))</f>
        <v/>
      </c>
      <c r="AG771" s="29">
        <f>IF(COUNT(B771:Z771)&gt;1,_xlfn.STDEV.S(B771:Z771),IF(ISNUMBER(AC771),AC771,""))</f>
        <v/>
      </c>
      <c r="AH771" s="13">
        <f>IF(AND(ISNUMBER(AE771),ISNUMBER($B$23),ISNUMBER($D$23)),IF(AE771&gt;$D$23,"boven UCL",IF(AE771&lt;$B$23,"onder LCL","")),"")</f>
        <v/>
      </c>
      <c r="AI771" s="13">
        <f>IF(AND(ISNUMBER(AF771),ISNUMBER($B$24),ISNUMBER($D$24)),IF(AF771&gt;$D$24,"boven UCL",IF(AF771&lt;$B$24,"onder LCL","")),"")</f>
        <v/>
      </c>
      <c r="AJ771" s="13">
        <f>IF(AND(ISNUMBER(AE771),ISNUMBER($B$25),ISNUMBER($D$25)),IF(AE771&gt;$D$25,"boven UCL",IF(AE771&lt;$B$25,"onder LCL","")),"")</f>
        <v/>
      </c>
      <c r="AK771" s="13">
        <f>IF(AND(ISNUMBER(AG771),ISNUMBER($B$26),ISNUMBER($D$26)),IF(AG771&gt;$D$26,"boven UCL",IF(AG771&lt;$B$26,"onder LCL","")),"")</f>
        <v/>
      </c>
      <c r="AL771" s="13">
        <f>IF(AND(COUNT(B771:Z771)&gt;0,COUNT(AA771:AC771)&gt;0),"ruwe waarden én getypt: getypte genegeerd",IF(COUNTA(B771:Z771,AA771:AC771)&gt;COUNT(B771:Z771,AA771:AC771),"tekst telt niet mee",IF(COUNT(B771:Z771)=1,"1 waarde: geen R of s","")))</f>
        <v/>
      </c>
    </row>
    <row r="772">
      <c r="A772" t="n">
        <v>721</v>
      </c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28">
        <f>IF(COUNT(B772:Z772)&gt;0,COUNT(B772:Z772),IF(OR(ISNUMBER(AA772),ISNUMBER(AB772)),$B$9,""))</f>
        <v/>
      </c>
      <c r="AE772" s="29">
        <f>IF(COUNT(B772:Z772)&gt;0,AVERAGE(B772:Z772),IF(ISNUMBER(AA772),AA772,""))</f>
        <v/>
      </c>
      <c r="AF772" s="29">
        <f>IF(COUNT(B772:Z772)&gt;1,MAX(B772:Z772)-MIN(B772:Z772),IF(ISNUMBER(AB772),AB772,""))</f>
        <v/>
      </c>
      <c r="AG772" s="29">
        <f>IF(COUNT(B772:Z772)&gt;1,_xlfn.STDEV.S(B772:Z772),IF(ISNUMBER(AC772),AC772,""))</f>
        <v/>
      </c>
      <c r="AH772" s="13">
        <f>IF(AND(ISNUMBER(AE772),ISNUMBER($B$23),ISNUMBER($D$23)),IF(AE772&gt;$D$23,"boven UCL",IF(AE772&lt;$B$23,"onder LCL","")),"")</f>
        <v/>
      </c>
      <c r="AI772" s="13">
        <f>IF(AND(ISNUMBER(AF772),ISNUMBER($B$24),ISNUMBER($D$24)),IF(AF772&gt;$D$24,"boven UCL",IF(AF772&lt;$B$24,"onder LCL","")),"")</f>
        <v/>
      </c>
      <c r="AJ772" s="13">
        <f>IF(AND(ISNUMBER(AE772),ISNUMBER($B$25),ISNUMBER($D$25)),IF(AE772&gt;$D$25,"boven UCL",IF(AE772&lt;$B$25,"onder LCL","")),"")</f>
        <v/>
      </c>
      <c r="AK772" s="13">
        <f>IF(AND(ISNUMBER(AG772),ISNUMBER($B$26),ISNUMBER($D$26)),IF(AG772&gt;$D$26,"boven UCL",IF(AG772&lt;$B$26,"onder LCL","")),"")</f>
        <v/>
      </c>
      <c r="AL772" s="13">
        <f>IF(AND(COUNT(B772:Z772)&gt;0,COUNT(AA772:AC772)&gt;0),"ruwe waarden én getypt: getypte genegeerd",IF(COUNTA(B772:Z772,AA772:AC772)&gt;COUNT(B772:Z772,AA772:AC772),"tekst telt niet mee",IF(COUNT(B772:Z772)=1,"1 waarde: geen R of s","")))</f>
        <v/>
      </c>
    </row>
    <row r="773">
      <c r="A773" t="n">
        <v>722</v>
      </c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28">
        <f>IF(COUNT(B773:Z773)&gt;0,COUNT(B773:Z773),IF(OR(ISNUMBER(AA773),ISNUMBER(AB773)),$B$9,""))</f>
        <v/>
      </c>
      <c r="AE773" s="29">
        <f>IF(COUNT(B773:Z773)&gt;0,AVERAGE(B773:Z773),IF(ISNUMBER(AA773),AA773,""))</f>
        <v/>
      </c>
      <c r="AF773" s="29">
        <f>IF(COUNT(B773:Z773)&gt;1,MAX(B773:Z773)-MIN(B773:Z773),IF(ISNUMBER(AB773),AB773,""))</f>
        <v/>
      </c>
      <c r="AG773" s="29">
        <f>IF(COUNT(B773:Z773)&gt;1,_xlfn.STDEV.S(B773:Z773),IF(ISNUMBER(AC773),AC773,""))</f>
        <v/>
      </c>
      <c r="AH773" s="13">
        <f>IF(AND(ISNUMBER(AE773),ISNUMBER($B$23),ISNUMBER($D$23)),IF(AE773&gt;$D$23,"boven UCL",IF(AE773&lt;$B$23,"onder LCL","")),"")</f>
        <v/>
      </c>
      <c r="AI773" s="13">
        <f>IF(AND(ISNUMBER(AF773),ISNUMBER($B$24),ISNUMBER($D$24)),IF(AF773&gt;$D$24,"boven UCL",IF(AF773&lt;$B$24,"onder LCL","")),"")</f>
        <v/>
      </c>
      <c r="AJ773" s="13">
        <f>IF(AND(ISNUMBER(AE773),ISNUMBER($B$25),ISNUMBER($D$25)),IF(AE773&gt;$D$25,"boven UCL",IF(AE773&lt;$B$25,"onder LCL","")),"")</f>
        <v/>
      </c>
      <c r="AK773" s="13">
        <f>IF(AND(ISNUMBER(AG773),ISNUMBER($B$26),ISNUMBER($D$26)),IF(AG773&gt;$D$26,"boven UCL",IF(AG773&lt;$B$26,"onder LCL","")),"")</f>
        <v/>
      </c>
      <c r="AL773" s="13">
        <f>IF(AND(COUNT(B773:Z773)&gt;0,COUNT(AA773:AC773)&gt;0),"ruwe waarden én getypt: getypte genegeerd",IF(COUNTA(B773:Z773,AA773:AC773)&gt;COUNT(B773:Z773,AA773:AC773),"tekst telt niet mee",IF(COUNT(B773:Z773)=1,"1 waarde: geen R of s","")))</f>
        <v/>
      </c>
    </row>
    <row r="774">
      <c r="A774" t="n">
        <v>723</v>
      </c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28">
        <f>IF(COUNT(B774:Z774)&gt;0,COUNT(B774:Z774),IF(OR(ISNUMBER(AA774),ISNUMBER(AB774)),$B$9,""))</f>
        <v/>
      </c>
      <c r="AE774" s="29">
        <f>IF(COUNT(B774:Z774)&gt;0,AVERAGE(B774:Z774),IF(ISNUMBER(AA774),AA774,""))</f>
        <v/>
      </c>
      <c r="AF774" s="29">
        <f>IF(COUNT(B774:Z774)&gt;1,MAX(B774:Z774)-MIN(B774:Z774),IF(ISNUMBER(AB774),AB774,""))</f>
        <v/>
      </c>
      <c r="AG774" s="29">
        <f>IF(COUNT(B774:Z774)&gt;1,_xlfn.STDEV.S(B774:Z774),IF(ISNUMBER(AC774),AC774,""))</f>
        <v/>
      </c>
      <c r="AH774" s="13">
        <f>IF(AND(ISNUMBER(AE774),ISNUMBER($B$23),ISNUMBER($D$23)),IF(AE774&gt;$D$23,"boven UCL",IF(AE774&lt;$B$23,"onder LCL","")),"")</f>
        <v/>
      </c>
      <c r="AI774" s="13">
        <f>IF(AND(ISNUMBER(AF774),ISNUMBER($B$24),ISNUMBER($D$24)),IF(AF774&gt;$D$24,"boven UCL",IF(AF774&lt;$B$24,"onder LCL","")),"")</f>
        <v/>
      </c>
      <c r="AJ774" s="13">
        <f>IF(AND(ISNUMBER(AE774),ISNUMBER($B$25),ISNUMBER($D$25)),IF(AE774&gt;$D$25,"boven UCL",IF(AE774&lt;$B$25,"onder LCL","")),"")</f>
        <v/>
      </c>
      <c r="AK774" s="13">
        <f>IF(AND(ISNUMBER(AG774),ISNUMBER($B$26),ISNUMBER($D$26)),IF(AG774&gt;$D$26,"boven UCL",IF(AG774&lt;$B$26,"onder LCL","")),"")</f>
        <v/>
      </c>
      <c r="AL774" s="13">
        <f>IF(AND(COUNT(B774:Z774)&gt;0,COUNT(AA774:AC774)&gt;0),"ruwe waarden én getypt: getypte genegeerd",IF(COUNTA(B774:Z774,AA774:AC774)&gt;COUNT(B774:Z774,AA774:AC774),"tekst telt niet mee",IF(COUNT(B774:Z774)=1,"1 waarde: geen R of s","")))</f>
        <v/>
      </c>
    </row>
    <row r="775">
      <c r="A775" t="n">
        <v>724</v>
      </c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28">
        <f>IF(COUNT(B775:Z775)&gt;0,COUNT(B775:Z775),IF(OR(ISNUMBER(AA775),ISNUMBER(AB775)),$B$9,""))</f>
        <v/>
      </c>
      <c r="AE775" s="29">
        <f>IF(COUNT(B775:Z775)&gt;0,AVERAGE(B775:Z775),IF(ISNUMBER(AA775),AA775,""))</f>
        <v/>
      </c>
      <c r="AF775" s="29">
        <f>IF(COUNT(B775:Z775)&gt;1,MAX(B775:Z775)-MIN(B775:Z775),IF(ISNUMBER(AB775),AB775,""))</f>
        <v/>
      </c>
      <c r="AG775" s="29">
        <f>IF(COUNT(B775:Z775)&gt;1,_xlfn.STDEV.S(B775:Z775),IF(ISNUMBER(AC775),AC775,""))</f>
        <v/>
      </c>
      <c r="AH775" s="13">
        <f>IF(AND(ISNUMBER(AE775),ISNUMBER($B$23),ISNUMBER($D$23)),IF(AE775&gt;$D$23,"boven UCL",IF(AE775&lt;$B$23,"onder LCL","")),"")</f>
        <v/>
      </c>
      <c r="AI775" s="13">
        <f>IF(AND(ISNUMBER(AF775),ISNUMBER($B$24),ISNUMBER($D$24)),IF(AF775&gt;$D$24,"boven UCL",IF(AF775&lt;$B$24,"onder LCL","")),"")</f>
        <v/>
      </c>
      <c r="AJ775" s="13">
        <f>IF(AND(ISNUMBER(AE775),ISNUMBER($B$25),ISNUMBER($D$25)),IF(AE775&gt;$D$25,"boven UCL",IF(AE775&lt;$B$25,"onder LCL","")),"")</f>
        <v/>
      </c>
      <c r="AK775" s="13">
        <f>IF(AND(ISNUMBER(AG775),ISNUMBER($B$26),ISNUMBER($D$26)),IF(AG775&gt;$D$26,"boven UCL",IF(AG775&lt;$B$26,"onder LCL","")),"")</f>
        <v/>
      </c>
      <c r="AL775" s="13">
        <f>IF(AND(COUNT(B775:Z775)&gt;0,COUNT(AA775:AC775)&gt;0),"ruwe waarden én getypt: getypte genegeerd",IF(COUNTA(B775:Z775,AA775:AC775)&gt;COUNT(B775:Z775,AA775:AC775),"tekst telt niet mee",IF(COUNT(B775:Z775)=1,"1 waarde: geen R of s","")))</f>
        <v/>
      </c>
    </row>
    <row r="776">
      <c r="A776" t="n">
        <v>725</v>
      </c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28">
        <f>IF(COUNT(B776:Z776)&gt;0,COUNT(B776:Z776),IF(OR(ISNUMBER(AA776),ISNUMBER(AB776)),$B$9,""))</f>
        <v/>
      </c>
      <c r="AE776" s="29">
        <f>IF(COUNT(B776:Z776)&gt;0,AVERAGE(B776:Z776),IF(ISNUMBER(AA776),AA776,""))</f>
        <v/>
      </c>
      <c r="AF776" s="29">
        <f>IF(COUNT(B776:Z776)&gt;1,MAX(B776:Z776)-MIN(B776:Z776),IF(ISNUMBER(AB776),AB776,""))</f>
        <v/>
      </c>
      <c r="AG776" s="29">
        <f>IF(COUNT(B776:Z776)&gt;1,_xlfn.STDEV.S(B776:Z776),IF(ISNUMBER(AC776),AC776,""))</f>
        <v/>
      </c>
      <c r="AH776" s="13">
        <f>IF(AND(ISNUMBER(AE776),ISNUMBER($B$23),ISNUMBER($D$23)),IF(AE776&gt;$D$23,"boven UCL",IF(AE776&lt;$B$23,"onder LCL","")),"")</f>
        <v/>
      </c>
      <c r="AI776" s="13">
        <f>IF(AND(ISNUMBER(AF776),ISNUMBER($B$24),ISNUMBER($D$24)),IF(AF776&gt;$D$24,"boven UCL",IF(AF776&lt;$B$24,"onder LCL","")),"")</f>
        <v/>
      </c>
      <c r="AJ776" s="13">
        <f>IF(AND(ISNUMBER(AE776),ISNUMBER($B$25),ISNUMBER($D$25)),IF(AE776&gt;$D$25,"boven UCL",IF(AE776&lt;$B$25,"onder LCL","")),"")</f>
        <v/>
      </c>
      <c r="AK776" s="13">
        <f>IF(AND(ISNUMBER(AG776),ISNUMBER($B$26),ISNUMBER($D$26)),IF(AG776&gt;$D$26,"boven UCL",IF(AG776&lt;$B$26,"onder LCL","")),"")</f>
        <v/>
      </c>
      <c r="AL776" s="13">
        <f>IF(AND(COUNT(B776:Z776)&gt;0,COUNT(AA776:AC776)&gt;0),"ruwe waarden én getypt: getypte genegeerd",IF(COUNTA(B776:Z776,AA776:AC776)&gt;COUNT(B776:Z776,AA776:AC776),"tekst telt niet mee",IF(COUNT(B776:Z776)=1,"1 waarde: geen R of s","")))</f>
        <v/>
      </c>
    </row>
    <row r="777">
      <c r="A777" t="n">
        <v>726</v>
      </c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28">
        <f>IF(COUNT(B777:Z777)&gt;0,COUNT(B777:Z777),IF(OR(ISNUMBER(AA777),ISNUMBER(AB777)),$B$9,""))</f>
        <v/>
      </c>
      <c r="AE777" s="29">
        <f>IF(COUNT(B777:Z777)&gt;0,AVERAGE(B777:Z777),IF(ISNUMBER(AA777),AA777,""))</f>
        <v/>
      </c>
      <c r="AF777" s="29">
        <f>IF(COUNT(B777:Z777)&gt;1,MAX(B777:Z777)-MIN(B777:Z777),IF(ISNUMBER(AB777),AB777,""))</f>
        <v/>
      </c>
      <c r="AG777" s="29">
        <f>IF(COUNT(B777:Z777)&gt;1,_xlfn.STDEV.S(B777:Z777),IF(ISNUMBER(AC777),AC777,""))</f>
        <v/>
      </c>
      <c r="AH777" s="13">
        <f>IF(AND(ISNUMBER(AE777),ISNUMBER($B$23),ISNUMBER($D$23)),IF(AE777&gt;$D$23,"boven UCL",IF(AE777&lt;$B$23,"onder LCL","")),"")</f>
        <v/>
      </c>
      <c r="AI777" s="13">
        <f>IF(AND(ISNUMBER(AF777),ISNUMBER($B$24),ISNUMBER($D$24)),IF(AF777&gt;$D$24,"boven UCL",IF(AF777&lt;$B$24,"onder LCL","")),"")</f>
        <v/>
      </c>
      <c r="AJ777" s="13">
        <f>IF(AND(ISNUMBER(AE777),ISNUMBER($B$25),ISNUMBER($D$25)),IF(AE777&gt;$D$25,"boven UCL",IF(AE777&lt;$B$25,"onder LCL","")),"")</f>
        <v/>
      </c>
      <c r="AK777" s="13">
        <f>IF(AND(ISNUMBER(AG777),ISNUMBER($B$26),ISNUMBER($D$26)),IF(AG777&gt;$D$26,"boven UCL",IF(AG777&lt;$B$26,"onder LCL","")),"")</f>
        <v/>
      </c>
      <c r="AL777" s="13">
        <f>IF(AND(COUNT(B777:Z777)&gt;0,COUNT(AA777:AC777)&gt;0),"ruwe waarden én getypt: getypte genegeerd",IF(COUNTA(B777:Z777,AA777:AC777)&gt;COUNT(B777:Z777,AA777:AC777),"tekst telt niet mee",IF(COUNT(B777:Z777)=1,"1 waarde: geen R of s","")))</f>
        <v/>
      </c>
    </row>
    <row r="778">
      <c r="A778" t="n">
        <v>727</v>
      </c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28">
        <f>IF(COUNT(B778:Z778)&gt;0,COUNT(B778:Z778),IF(OR(ISNUMBER(AA778),ISNUMBER(AB778)),$B$9,""))</f>
        <v/>
      </c>
      <c r="AE778" s="29">
        <f>IF(COUNT(B778:Z778)&gt;0,AVERAGE(B778:Z778),IF(ISNUMBER(AA778),AA778,""))</f>
        <v/>
      </c>
      <c r="AF778" s="29">
        <f>IF(COUNT(B778:Z778)&gt;1,MAX(B778:Z778)-MIN(B778:Z778),IF(ISNUMBER(AB778),AB778,""))</f>
        <v/>
      </c>
      <c r="AG778" s="29">
        <f>IF(COUNT(B778:Z778)&gt;1,_xlfn.STDEV.S(B778:Z778),IF(ISNUMBER(AC778),AC778,""))</f>
        <v/>
      </c>
      <c r="AH778" s="13">
        <f>IF(AND(ISNUMBER(AE778),ISNUMBER($B$23),ISNUMBER($D$23)),IF(AE778&gt;$D$23,"boven UCL",IF(AE778&lt;$B$23,"onder LCL","")),"")</f>
        <v/>
      </c>
      <c r="AI778" s="13">
        <f>IF(AND(ISNUMBER(AF778),ISNUMBER($B$24),ISNUMBER($D$24)),IF(AF778&gt;$D$24,"boven UCL",IF(AF778&lt;$B$24,"onder LCL","")),"")</f>
        <v/>
      </c>
      <c r="AJ778" s="13">
        <f>IF(AND(ISNUMBER(AE778),ISNUMBER($B$25),ISNUMBER($D$25)),IF(AE778&gt;$D$25,"boven UCL",IF(AE778&lt;$B$25,"onder LCL","")),"")</f>
        <v/>
      </c>
      <c r="AK778" s="13">
        <f>IF(AND(ISNUMBER(AG778),ISNUMBER($B$26),ISNUMBER($D$26)),IF(AG778&gt;$D$26,"boven UCL",IF(AG778&lt;$B$26,"onder LCL","")),"")</f>
        <v/>
      </c>
      <c r="AL778" s="13">
        <f>IF(AND(COUNT(B778:Z778)&gt;0,COUNT(AA778:AC778)&gt;0),"ruwe waarden én getypt: getypte genegeerd",IF(COUNTA(B778:Z778,AA778:AC778)&gt;COUNT(B778:Z778,AA778:AC778),"tekst telt niet mee",IF(COUNT(B778:Z778)=1,"1 waarde: geen R of s","")))</f>
        <v/>
      </c>
    </row>
    <row r="779">
      <c r="A779" t="n">
        <v>728</v>
      </c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28">
        <f>IF(COUNT(B779:Z779)&gt;0,COUNT(B779:Z779),IF(OR(ISNUMBER(AA779),ISNUMBER(AB779)),$B$9,""))</f>
        <v/>
      </c>
      <c r="AE779" s="29">
        <f>IF(COUNT(B779:Z779)&gt;0,AVERAGE(B779:Z779),IF(ISNUMBER(AA779),AA779,""))</f>
        <v/>
      </c>
      <c r="AF779" s="29">
        <f>IF(COUNT(B779:Z779)&gt;1,MAX(B779:Z779)-MIN(B779:Z779),IF(ISNUMBER(AB779),AB779,""))</f>
        <v/>
      </c>
      <c r="AG779" s="29">
        <f>IF(COUNT(B779:Z779)&gt;1,_xlfn.STDEV.S(B779:Z779),IF(ISNUMBER(AC779),AC779,""))</f>
        <v/>
      </c>
      <c r="AH779" s="13">
        <f>IF(AND(ISNUMBER(AE779),ISNUMBER($B$23),ISNUMBER($D$23)),IF(AE779&gt;$D$23,"boven UCL",IF(AE779&lt;$B$23,"onder LCL","")),"")</f>
        <v/>
      </c>
      <c r="AI779" s="13">
        <f>IF(AND(ISNUMBER(AF779),ISNUMBER($B$24),ISNUMBER($D$24)),IF(AF779&gt;$D$24,"boven UCL",IF(AF779&lt;$B$24,"onder LCL","")),"")</f>
        <v/>
      </c>
      <c r="AJ779" s="13">
        <f>IF(AND(ISNUMBER(AE779),ISNUMBER($B$25),ISNUMBER($D$25)),IF(AE779&gt;$D$25,"boven UCL",IF(AE779&lt;$B$25,"onder LCL","")),"")</f>
        <v/>
      </c>
      <c r="AK779" s="13">
        <f>IF(AND(ISNUMBER(AG779),ISNUMBER($B$26),ISNUMBER($D$26)),IF(AG779&gt;$D$26,"boven UCL",IF(AG779&lt;$B$26,"onder LCL","")),"")</f>
        <v/>
      </c>
      <c r="AL779" s="13">
        <f>IF(AND(COUNT(B779:Z779)&gt;0,COUNT(AA779:AC779)&gt;0),"ruwe waarden én getypt: getypte genegeerd",IF(COUNTA(B779:Z779,AA779:AC779)&gt;COUNT(B779:Z779,AA779:AC779),"tekst telt niet mee",IF(COUNT(B779:Z779)=1,"1 waarde: geen R of s","")))</f>
        <v/>
      </c>
    </row>
    <row r="780">
      <c r="A780" t="n">
        <v>729</v>
      </c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28">
        <f>IF(COUNT(B780:Z780)&gt;0,COUNT(B780:Z780),IF(OR(ISNUMBER(AA780),ISNUMBER(AB780)),$B$9,""))</f>
        <v/>
      </c>
      <c r="AE780" s="29">
        <f>IF(COUNT(B780:Z780)&gt;0,AVERAGE(B780:Z780),IF(ISNUMBER(AA780),AA780,""))</f>
        <v/>
      </c>
      <c r="AF780" s="29">
        <f>IF(COUNT(B780:Z780)&gt;1,MAX(B780:Z780)-MIN(B780:Z780),IF(ISNUMBER(AB780),AB780,""))</f>
        <v/>
      </c>
      <c r="AG780" s="29">
        <f>IF(COUNT(B780:Z780)&gt;1,_xlfn.STDEV.S(B780:Z780),IF(ISNUMBER(AC780),AC780,""))</f>
        <v/>
      </c>
      <c r="AH780" s="13">
        <f>IF(AND(ISNUMBER(AE780),ISNUMBER($B$23),ISNUMBER($D$23)),IF(AE780&gt;$D$23,"boven UCL",IF(AE780&lt;$B$23,"onder LCL","")),"")</f>
        <v/>
      </c>
      <c r="AI780" s="13">
        <f>IF(AND(ISNUMBER(AF780),ISNUMBER($B$24),ISNUMBER($D$24)),IF(AF780&gt;$D$24,"boven UCL",IF(AF780&lt;$B$24,"onder LCL","")),"")</f>
        <v/>
      </c>
      <c r="AJ780" s="13">
        <f>IF(AND(ISNUMBER(AE780),ISNUMBER($B$25),ISNUMBER($D$25)),IF(AE780&gt;$D$25,"boven UCL",IF(AE780&lt;$B$25,"onder LCL","")),"")</f>
        <v/>
      </c>
      <c r="AK780" s="13">
        <f>IF(AND(ISNUMBER(AG780),ISNUMBER($B$26),ISNUMBER($D$26)),IF(AG780&gt;$D$26,"boven UCL",IF(AG780&lt;$B$26,"onder LCL","")),"")</f>
        <v/>
      </c>
      <c r="AL780" s="13">
        <f>IF(AND(COUNT(B780:Z780)&gt;0,COUNT(AA780:AC780)&gt;0),"ruwe waarden én getypt: getypte genegeerd",IF(COUNTA(B780:Z780,AA780:AC780)&gt;COUNT(B780:Z780,AA780:AC780),"tekst telt niet mee",IF(COUNT(B780:Z780)=1,"1 waarde: geen R of s","")))</f>
        <v/>
      </c>
    </row>
    <row r="781">
      <c r="A781" t="n">
        <v>730</v>
      </c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28">
        <f>IF(COUNT(B781:Z781)&gt;0,COUNT(B781:Z781),IF(OR(ISNUMBER(AA781),ISNUMBER(AB781)),$B$9,""))</f>
        <v/>
      </c>
      <c r="AE781" s="29">
        <f>IF(COUNT(B781:Z781)&gt;0,AVERAGE(B781:Z781),IF(ISNUMBER(AA781),AA781,""))</f>
        <v/>
      </c>
      <c r="AF781" s="29">
        <f>IF(COUNT(B781:Z781)&gt;1,MAX(B781:Z781)-MIN(B781:Z781),IF(ISNUMBER(AB781),AB781,""))</f>
        <v/>
      </c>
      <c r="AG781" s="29">
        <f>IF(COUNT(B781:Z781)&gt;1,_xlfn.STDEV.S(B781:Z781),IF(ISNUMBER(AC781),AC781,""))</f>
        <v/>
      </c>
      <c r="AH781" s="13">
        <f>IF(AND(ISNUMBER(AE781),ISNUMBER($B$23),ISNUMBER($D$23)),IF(AE781&gt;$D$23,"boven UCL",IF(AE781&lt;$B$23,"onder LCL","")),"")</f>
        <v/>
      </c>
      <c r="AI781" s="13">
        <f>IF(AND(ISNUMBER(AF781),ISNUMBER($B$24),ISNUMBER($D$24)),IF(AF781&gt;$D$24,"boven UCL",IF(AF781&lt;$B$24,"onder LCL","")),"")</f>
        <v/>
      </c>
      <c r="AJ781" s="13">
        <f>IF(AND(ISNUMBER(AE781),ISNUMBER($B$25),ISNUMBER($D$25)),IF(AE781&gt;$D$25,"boven UCL",IF(AE781&lt;$B$25,"onder LCL","")),"")</f>
        <v/>
      </c>
      <c r="AK781" s="13">
        <f>IF(AND(ISNUMBER(AG781),ISNUMBER($B$26),ISNUMBER($D$26)),IF(AG781&gt;$D$26,"boven UCL",IF(AG781&lt;$B$26,"onder LCL","")),"")</f>
        <v/>
      </c>
      <c r="AL781" s="13">
        <f>IF(AND(COUNT(B781:Z781)&gt;0,COUNT(AA781:AC781)&gt;0),"ruwe waarden én getypt: getypte genegeerd",IF(COUNTA(B781:Z781,AA781:AC781)&gt;COUNT(B781:Z781,AA781:AC781),"tekst telt niet mee",IF(COUNT(B781:Z781)=1,"1 waarde: geen R of s","")))</f>
        <v/>
      </c>
    </row>
    <row r="782">
      <c r="A782" t="n">
        <v>731</v>
      </c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28">
        <f>IF(COUNT(B782:Z782)&gt;0,COUNT(B782:Z782),IF(OR(ISNUMBER(AA782),ISNUMBER(AB782)),$B$9,""))</f>
        <v/>
      </c>
      <c r="AE782" s="29">
        <f>IF(COUNT(B782:Z782)&gt;0,AVERAGE(B782:Z782),IF(ISNUMBER(AA782),AA782,""))</f>
        <v/>
      </c>
      <c r="AF782" s="29">
        <f>IF(COUNT(B782:Z782)&gt;1,MAX(B782:Z782)-MIN(B782:Z782),IF(ISNUMBER(AB782),AB782,""))</f>
        <v/>
      </c>
      <c r="AG782" s="29">
        <f>IF(COUNT(B782:Z782)&gt;1,_xlfn.STDEV.S(B782:Z782),IF(ISNUMBER(AC782),AC782,""))</f>
        <v/>
      </c>
      <c r="AH782" s="13">
        <f>IF(AND(ISNUMBER(AE782),ISNUMBER($B$23),ISNUMBER($D$23)),IF(AE782&gt;$D$23,"boven UCL",IF(AE782&lt;$B$23,"onder LCL","")),"")</f>
        <v/>
      </c>
      <c r="AI782" s="13">
        <f>IF(AND(ISNUMBER(AF782),ISNUMBER($B$24),ISNUMBER($D$24)),IF(AF782&gt;$D$24,"boven UCL",IF(AF782&lt;$B$24,"onder LCL","")),"")</f>
        <v/>
      </c>
      <c r="AJ782" s="13">
        <f>IF(AND(ISNUMBER(AE782),ISNUMBER($B$25),ISNUMBER($D$25)),IF(AE782&gt;$D$25,"boven UCL",IF(AE782&lt;$B$25,"onder LCL","")),"")</f>
        <v/>
      </c>
      <c r="AK782" s="13">
        <f>IF(AND(ISNUMBER(AG782),ISNUMBER($B$26),ISNUMBER($D$26)),IF(AG782&gt;$D$26,"boven UCL",IF(AG782&lt;$B$26,"onder LCL","")),"")</f>
        <v/>
      </c>
      <c r="AL782" s="13">
        <f>IF(AND(COUNT(B782:Z782)&gt;0,COUNT(AA782:AC782)&gt;0),"ruwe waarden én getypt: getypte genegeerd",IF(COUNTA(B782:Z782,AA782:AC782)&gt;COUNT(B782:Z782,AA782:AC782),"tekst telt niet mee",IF(COUNT(B782:Z782)=1,"1 waarde: geen R of s","")))</f>
        <v/>
      </c>
    </row>
    <row r="783">
      <c r="A783" t="n">
        <v>732</v>
      </c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28">
        <f>IF(COUNT(B783:Z783)&gt;0,COUNT(B783:Z783),IF(OR(ISNUMBER(AA783),ISNUMBER(AB783)),$B$9,""))</f>
        <v/>
      </c>
      <c r="AE783" s="29">
        <f>IF(COUNT(B783:Z783)&gt;0,AVERAGE(B783:Z783),IF(ISNUMBER(AA783),AA783,""))</f>
        <v/>
      </c>
      <c r="AF783" s="29">
        <f>IF(COUNT(B783:Z783)&gt;1,MAX(B783:Z783)-MIN(B783:Z783),IF(ISNUMBER(AB783),AB783,""))</f>
        <v/>
      </c>
      <c r="AG783" s="29">
        <f>IF(COUNT(B783:Z783)&gt;1,_xlfn.STDEV.S(B783:Z783),IF(ISNUMBER(AC783),AC783,""))</f>
        <v/>
      </c>
      <c r="AH783" s="13">
        <f>IF(AND(ISNUMBER(AE783),ISNUMBER($B$23),ISNUMBER($D$23)),IF(AE783&gt;$D$23,"boven UCL",IF(AE783&lt;$B$23,"onder LCL","")),"")</f>
        <v/>
      </c>
      <c r="AI783" s="13">
        <f>IF(AND(ISNUMBER(AF783),ISNUMBER($B$24),ISNUMBER($D$24)),IF(AF783&gt;$D$24,"boven UCL",IF(AF783&lt;$B$24,"onder LCL","")),"")</f>
        <v/>
      </c>
      <c r="AJ783" s="13">
        <f>IF(AND(ISNUMBER(AE783),ISNUMBER($B$25),ISNUMBER($D$25)),IF(AE783&gt;$D$25,"boven UCL",IF(AE783&lt;$B$25,"onder LCL","")),"")</f>
        <v/>
      </c>
      <c r="AK783" s="13">
        <f>IF(AND(ISNUMBER(AG783),ISNUMBER($B$26),ISNUMBER($D$26)),IF(AG783&gt;$D$26,"boven UCL",IF(AG783&lt;$B$26,"onder LCL","")),"")</f>
        <v/>
      </c>
      <c r="AL783" s="13">
        <f>IF(AND(COUNT(B783:Z783)&gt;0,COUNT(AA783:AC783)&gt;0),"ruwe waarden én getypt: getypte genegeerd",IF(COUNTA(B783:Z783,AA783:AC783)&gt;COUNT(B783:Z783,AA783:AC783),"tekst telt niet mee",IF(COUNT(B783:Z783)=1,"1 waarde: geen R of s","")))</f>
        <v/>
      </c>
    </row>
    <row r="784">
      <c r="A784" t="n">
        <v>733</v>
      </c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28">
        <f>IF(COUNT(B784:Z784)&gt;0,COUNT(B784:Z784),IF(OR(ISNUMBER(AA784),ISNUMBER(AB784)),$B$9,""))</f>
        <v/>
      </c>
      <c r="AE784" s="29">
        <f>IF(COUNT(B784:Z784)&gt;0,AVERAGE(B784:Z784),IF(ISNUMBER(AA784),AA784,""))</f>
        <v/>
      </c>
      <c r="AF784" s="29">
        <f>IF(COUNT(B784:Z784)&gt;1,MAX(B784:Z784)-MIN(B784:Z784),IF(ISNUMBER(AB784),AB784,""))</f>
        <v/>
      </c>
      <c r="AG784" s="29">
        <f>IF(COUNT(B784:Z784)&gt;1,_xlfn.STDEV.S(B784:Z784),IF(ISNUMBER(AC784),AC784,""))</f>
        <v/>
      </c>
      <c r="AH784" s="13">
        <f>IF(AND(ISNUMBER(AE784),ISNUMBER($B$23),ISNUMBER($D$23)),IF(AE784&gt;$D$23,"boven UCL",IF(AE784&lt;$B$23,"onder LCL","")),"")</f>
        <v/>
      </c>
      <c r="AI784" s="13">
        <f>IF(AND(ISNUMBER(AF784),ISNUMBER($B$24),ISNUMBER($D$24)),IF(AF784&gt;$D$24,"boven UCL",IF(AF784&lt;$B$24,"onder LCL","")),"")</f>
        <v/>
      </c>
      <c r="AJ784" s="13">
        <f>IF(AND(ISNUMBER(AE784),ISNUMBER($B$25),ISNUMBER($D$25)),IF(AE784&gt;$D$25,"boven UCL",IF(AE784&lt;$B$25,"onder LCL","")),"")</f>
        <v/>
      </c>
      <c r="AK784" s="13">
        <f>IF(AND(ISNUMBER(AG784),ISNUMBER($B$26),ISNUMBER($D$26)),IF(AG784&gt;$D$26,"boven UCL",IF(AG784&lt;$B$26,"onder LCL","")),"")</f>
        <v/>
      </c>
      <c r="AL784" s="13">
        <f>IF(AND(COUNT(B784:Z784)&gt;0,COUNT(AA784:AC784)&gt;0),"ruwe waarden én getypt: getypte genegeerd",IF(COUNTA(B784:Z784,AA784:AC784)&gt;COUNT(B784:Z784,AA784:AC784),"tekst telt niet mee",IF(COUNT(B784:Z784)=1,"1 waarde: geen R of s","")))</f>
        <v/>
      </c>
    </row>
    <row r="785">
      <c r="A785" t="n">
        <v>734</v>
      </c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28">
        <f>IF(COUNT(B785:Z785)&gt;0,COUNT(B785:Z785),IF(OR(ISNUMBER(AA785),ISNUMBER(AB785)),$B$9,""))</f>
        <v/>
      </c>
      <c r="AE785" s="29">
        <f>IF(COUNT(B785:Z785)&gt;0,AVERAGE(B785:Z785),IF(ISNUMBER(AA785),AA785,""))</f>
        <v/>
      </c>
      <c r="AF785" s="29">
        <f>IF(COUNT(B785:Z785)&gt;1,MAX(B785:Z785)-MIN(B785:Z785),IF(ISNUMBER(AB785),AB785,""))</f>
        <v/>
      </c>
      <c r="AG785" s="29">
        <f>IF(COUNT(B785:Z785)&gt;1,_xlfn.STDEV.S(B785:Z785),IF(ISNUMBER(AC785),AC785,""))</f>
        <v/>
      </c>
      <c r="AH785" s="13">
        <f>IF(AND(ISNUMBER(AE785),ISNUMBER($B$23),ISNUMBER($D$23)),IF(AE785&gt;$D$23,"boven UCL",IF(AE785&lt;$B$23,"onder LCL","")),"")</f>
        <v/>
      </c>
      <c r="AI785" s="13">
        <f>IF(AND(ISNUMBER(AF785),ISNUMBER($B$24),ISNUMBER($D$24)),IF(AF785&gt;$D$24,"boven UCL",IF(AF785&lt;$B$24,"onder LCL","")),"")</f>
        <v/>
      </c>
      <c r="AJ785" s="13">
        <f>IF(AND(ISNUMBER(AE785),ISNUMBER($B$25),ISNUMBER($D$25)),IF(AE785&gt;$D$25,"boven UCL",IF(AE785&lt;$B$25,"onder LCL","")),"")</f>
        <v/>
      </c>
      <c r="AK785" s="13">
        <f>IF(AND(ISNUMBER(AG785),ISNUMBER($B$26),ISNUMBER($D$26)),IF(AG785&gt;$D$26,"boven UCL",IF(AG785&lt;$B$26,"onder LCL","")),"")</f>
        <v/>
      </c>
      <c r="AL785" s="13">
        <f>IF(AND(COUNT(B785:Z785)&gt;0,COUNT(AA785:AC785)&gt;0),"ruwe waarden én getypt: getypte genegeerd",IF(COUNTA(B785:Z785,AA785:AC785)&gt;COUNT(B785:Z785,AA785:AC785),"tekst telt niet mee",IF(COUNT(B785:Z785)=1,"1 waarde: geen R of s","")))</f>
        <v/>
      </c>
    </row>
    <row r="786">
      <c r="A786" t="n">
        <v>735</v>
      </c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28">
        <f>IF(COUNT(B786:Z786)&gt;0,COUNT(B786:Z786),IF(OR(ISNUMBER(AA786),ISNUMBER(AB786)),$B$9,""))</f>
        <v/>
      </c>
      <c r="AE786" s="29">
        <f>IF(COUNT(B786:Z786)&gt;0,AVERAGE(B786:Z786),IF(ISNUMBER(AA786),AA786,""))</f>
        <v/>
      </c>
      <c r="AF786" s="29">
        <f>IF(COUNT(B786:Z786)&gt;1,MAX(B786:Z786)-MIN(B786:Z786),IF(ISNUMBER(AB786),AB786,""))</f>
        <v/>
      </c>
      <c r="AG786" s="29">
        <f>IF(COUNT(B786:Z786)&gt;1,_xlfn.STDEV.S(B786:Z786),IF(ISNUMBER(AC786),AC786,""))</f>
        <v/>
      </c>
      <c r="AH786" s="13">
        <f>IF(AND(ISNUMBER(AE786),ISNUMBER($B$23),ISNUMBER($D$23)),IF(AE786&gt;$D$23,"boven UCL",IF(AE786&lt;$B$23,"onder LCL","")),"")</f>
        <v/>
      </c>
      <c r="AI786" s="13">
        <f>IF(AND(ISNUMBER(AF786),ISNUMBER($B$24),ISNUMBER($D$24)),IF(AF786&gt;$D$24,"boven UCL",IF(AF786&lt;$B$24,"onder LCL","")),"")</f>
        <v/>
      </c>
      <c r="AJ786" s="13">
        <f>IF(AND(ISNUMBER(AE786),ISNUMBER($B$25),ISNUMBER($D$25)),IF(AE786&gt;$D$25,"boven UCL",IF(AE786&lt;$B$25,"onder LCL","")),"")</f>
        <v/>
      </c>
      <c r="AK786" s="13">
        <f>IF(AND(ISNUMBER(AG786),ISNUMBER($B$26),ISNUMBER($D$26)),IF(AG786&gt;$D$26,"boven UCL",IF(AG786&lt;$B$26,"onder LCL","")),"")</f>
        <v/>
      </c>
      <c r="AL786" s="13">
        <f>IF(AND(COUNT(B786:Z786)&gt;0,COUNT(AA786:AC786)&gt;0),"ruwe waarden én getypt: getypte genegeerd",IF(COUNTA(B786:Z786,AA786:AC786)&gt;COUNT(B786:Z786,AA786:AC786),"tekst telt niet mee",IF(COUNT(B786:Z786)=1,"1 waarde: geen R of s","")))</f>
        <v/>
      </c>
    </row>
    <row r="787">
      <c r="A787" t="n">
        <v>736</v>
      </c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28">
        <f>IF(COUNT(B787:Z787)&gt;0,COUNT(B787:Z787),IF(OR(ISNUMBER(AA787),ISNUMBER(AB787)),$B$9,""))</f>
        <v/>
      </c>
      <c r="AE787" s="29">
        <f>IF(COUNT(B787:Z787)&gt;0,AVERAGE(B787:Z787),IF(ISNUMBER(AA787),AA787,""))</f>
        <v/>
      </c>
      <c r="AF787" s="29">
        <f>IF(COUNT(B787:Z787)&gt;1,MAX(B787:Z787)-MIN(B787:Z787),IF(ISNUMBER(AB787),AB787,""))</f>
        <v/>
      </c>
      <c r="AG787" s="29">
        <f>IF(COUNT(B787:Z787)&gt;1,_xlfn.STDEV.S(B787:Z787),IF(ISNUMBER(AC787),AC787,""))</f>
        <v/>
      </c>
      <c r="AH787" s="13">
        <f>IF(AND(ISNUMBER(AE787),ISNUMBER($B$23),ISNUMBER($D$23)),IF(AE787&gt;$D$23,"boven UCL",IF(AE787&lt;$B$23,"onder LCL","")),"")</f>
        <v/>
      </c>
      <c r="AI787" s="13">
        <f>IF(AND(ISNUMBER(AF787),ISNUMBER($B$24),ISNUMBER($D$24)),IF(AF787&gt;$D$24,"boven UCL",IF(AF787&lt;$B$24,"onder LCL","")),"")</f>
        <v/>
      </c>
      <c r="AJ787" s="13">
        <f>IF(AND(ISNUMBER(AE787),ISNUMBER($B$25),ISNUMBER($D$25)),IF(AE787&gt;$D$25,"boven UCL",IF(AE787&lt;$B$25,"onder LCL","")),"")</f>
        <v/>
      </c>
      <c r="AK787" s="13">
        <f>IF(AND(ISNUMBER(AG787),ISNUMBER($B$26),ISNUMBER($D$26)),IF(AG787&gt;$D$26,"boven UCL",IF(AG787&lt;$B$26,"onder LCL","")),"")</f>
        <v/>
      </c>
      <c r="AL787" s="13">
        <f>IF(AND(COUNT(B787:Z787)&gt;0,COUNT(AA787:AC787)&gt;0),"ruwe waarden én getypt: getypte genegeerd",IF(COUNTA(B787:Z787,AA787:AC787)&gt;COUNT(B787:Z787,AA787:AC787),"tekst telt niet mee",IF(COUNT(B787:Z787)=1,"1 waarde: geen R of s","")))</f>
        <v/>
      </c>
    </row>
    <row r="788">
      <c r="A788" t="n">
        <v>737</v>
      </c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28">
        <f>IF(COUNT(B788:Z788)&gt;0,COUNT(B788:Z788),IF(OR(ISNUMBER(AA788),ISNUMBER(AB788)),$B$9,""))</f>
        <v/>
      </c>
      <c r="AE788" s="29">
        <f>IF(COUNT(B788:Z788)&gt;0,AVERAGE(B788:Z788),IF(ISNUMBER(AA788),AA788,""))</f>
        <v/>
      </c>
      <c r="AF788" s="29">
        <f>IF(COUNT(B788:Z788)&gt;1,MAX(B788:Z788)-MIN(B788:Z788),IF(ISNUMBER(AB788),AB788,""))</f>
        <v/>
      </c>
      <c r="AG788" s="29">
        <f>IF(COUNT(B788:Z788)&gt;1,_xlfn.STDEV.S(B788:Z788),IF(ISNUMBER(AC788),AC788,""))</f>
        <v/>
      </c>
      <c r="AH788" s="13">
        <f>IF(AND(ISNUMBER(AE788),ISNUMBER($B$23),ISNUMBER($D$23)),IF(AE788&gt;$D$23,"boven UCL",IF(AE788&lt;$B$23,"onder LCL","")),"")</f>
        <v/>
      </c>
      <c r="AI788" s="13">
        <f>IF(AND(ISNUMBER(AF788),ISNUMBER($B$24),ISNUMBER($D$24)),IF(AF788&gt;$D$24,"boven UCL",IF(AF788&lt;$B$24,"onder LCL","")),"")</f>
        <v/>
      </c>
      <c r="AJ788" s="13">
        <f>IF(AND(ISNUMBER(AE788),ISNUMBER($B$25),ISNUMBER($D$25)),IF(AE788&gt;$D$25,"boven UCL",IF(AE788&lt;$B$25,"onder LCL","")),"")</f>
        <v/>
      </c>
      <c r="AK788" s="13">
        <f>IF(AND(ISNUMBER(AG788),ISNUMBER($B$26),ISNUMBER($D$26)),IF(AG788&gt;$D$26,"boven UCL",IF(AG788&lt;$B$26,"onder LCL","")),"")</f>
        <v/>
      </c>
      <c r="AL788" s="13">
        <f>IF(AND(COUNT(B788:Z788)&gt;0,COUNT(AA788:AC788)&gt;0),"ruwe waarden én getypt: getypte genegeerd",IF(COUNTA(B788:Z788,AA788:AC788)&gt;COUNT(B788:Z788,AA788:AC788),"tekst telt niet mee",IF(COUNT(B788:Z788)=1,"1 waarde: geen R of s","")))</f>
        <v/>
      </c>
    </row>
    <row r="789">
      <c r="A789" t="n">
        <v>738</v>
      </c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28">
        <f>IF(COUNT(B789:Z789)&gt;0,COUNT(B789:Z789),IF(OR(ISNUMBER(AA789),ISNUMBER(AB789)),$B$9,""))</f>
        <v/>
      </c>
      <c r="AE789" s="29">
        <f>IF(COUNT(B789:Z789)&gt;0,AVERAGE(B789:Z789),IF(ISNUMBER(AA789),AA789,""))</f>
        <v/>
      </c>
      <c r="AF789" s="29">
        <f>IF(COUNT(B789:Z789)&gt;1,MAX(B789:Z789)-MIN(B789:Z789),IF(ISNUMBER(AB789),AB789,""))</f>
        <v/>
      </c>
      <c r="AG789" s="29">
        <f>IF(COUNT(B789:Z789)&gt;1,_xlfn.STDEV.S(B789:Z789),IF(ISNUMBER(AC789),AC789,""))</f>
        <v/>
      </c>
      <c r="AH789" s="13">
        <f>IF(AND(ISNUMBER(AE789),ISNUMBER($B$23),ISNUMBER($D$23)),IF(AE789&gt;$D$23,"boven UCL",IF(AE789&lt;$B$23,"onder LCL","")),"")</f>
        <v/>
      </c>
      <c r="AI789" s="13">
        <f>IF(AND(ISNUMBER(AF789),ISNUMBER($B$24),ISNUMBER($D$24)),IF(AF789&gt;$D$24,"boven UCL",IF(AF789&lt;$B$24,"onder LCL","")),"")</f>
        <v/>
      </c>
      <c r="AJ789" s="13">
        <f>IF(AND(ISNUMBER(AE789),ISNUMBER($B$25),ISNUMBER($D$25)),IF(AE789&gt;$D$25,"boven UCL",IF(AE789&lt;$B$25,"onder LCL","")),"")</f>
        <v/>
      </c>
      <c r="AK789" s="13">
        <f>IF(AND(ISNUMBER(AG789),ISNUMBER($B$26),ISNUMBER($D$26)),IF(AG789&gt;$D$26,"boven UCL",IF(AG789&lt;$B$26,"onder LCL","")),"")</f>
        <v/>
      </c>
      <c r="AL789" s="13">
        <f>IF(AND(COUNT(B789:Z789)&gt;0,COUNT(AA789:AC789)&gt;0),"ruwe waarden én getypt: getypte genegeerd",IF(COUNTA(B789:Z789,AA789:AC789)&gt;COUNT(B789:Z789,AA789:AC789),"tekst telt niet mee",IF(COUNT(B789:Z789)=1,"1 waarde: geen R of s","")))</f>
        <v/>
      </c>
    </row>
    <row r="790">
      <c r="A790" t="n">
        <v>739</v>
      </c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28">
        <f>IF(COUNT(B790:Z790)&gt;0,COUNT(B790:Z790),IF(OR(ISNUMBER(AA790),ISNUMBER(AB790)),$B$9,""))</f>
        <v/>
      </c>
      <c r="AE790" s="29">
        <f>IF(COUNT(B790:Z790)&gt;0,AVERAGE(B790:Z790),IF(ISNUMBER(AA790),AA790,""))</f>
        <v/>
      </c>
      <c r="AF790" s="29">
        <f>IF(COUNT(B790:Z790)&gt;1,MAX(B790:Z790)-MIN(B790:Z790),IF(ISNUMBER(AB790),AB790,""))</f>
        <v/>
      </c>
      <c r="AG790" s="29">
        <f>IF(COUNT(B790:Z790)&gt;1,_xlfn.STDEV.S(B790:Z790),IF(ISNUMBER(AC790),AC790,""))</f>
        <v/>
      </c>
      <c r="AH790" s="13">
        <f>IF(AND(ISNUMBER(AE790),ISNUMBER($B$23),ISNUMBER($D$23)),IF(AE790&gt;$D$23,"boven UCL",IF(AE790&lt;$B$23,"onder LCL","")),"")</f>
        <v/>
      </c>
      <c r="AI790" s="13">
        <f>IF(AND(ISNUMBER(AF790),ISNUMBER($B$24),ISNUMBER($D$24)),IF(AF790&gt;$D$24,"boven UCL",IF(AF790&lt;$B$24,"onder LCL","")),"")</f>
        <v/>
      </c>
      <c r="AJ790" s="13">
        <f>IF(AND(ISNUMBER(AE790),ISNUMBER($B$25),ISNUMBER($D$25)),IF(AE790&gt;$D$25,"boven UCL",IF(AE790&lt;$B$25,"onder LCL","")),"")</f>
        <v/>
      </c>
      <c r="AK790" s="13">
        <f>IF(AND(ISNUMBER(AG790),ISNUMBER($B$26),ISNUMBER($D$26)),IF(AG790&gt;$D$26,"boven UCL",IF(AG790&lt;$B$26,"onder LCL","")),"")</f>
        <v/>
      </c>
      <c r="AL790" s="13">
        <f>IF(AND(COUNT(B790:Z790)&gt;0,COUNT(AA790:AC790)&gt;0),"ruwe waarden én getypt: getypte genegeerd",IF(COUNTA(B790:Z790,AA790:AC790)&gt;COUNT(B790:Z790,AA790:AC790),"tekst telt niet mee",IF(COUNT(B790:Z790)=1,"1 waarde: geen R of s","")))</f>
        <v/>
      </c>
    </row>
    <row r="791">
      <c r="A791" t="n">
        <v>740</v>
      </c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28">
        <f>IF(COUNT(B791:Z791)&gt;0,COUNT(B791:Z791),IF(OR(ISNUMBER(AA791),ISNUMBER(AB791)),$B$9,""))</f>
        <v/>
      </c>
      <c r="AE791" s="29">
        <f>IF(COUNT(B791:Z791)&gt;0,AVERAGE(B791:Z791),IF(ISNUMBER(AA791),AA791,""))</f>
        <v/>
      </c>
      <c r="AF791" s="29">
        <f>IF(COUNT(B791:Z791)&gt;1,MAX(B791:Z791)-MIN(B791:Z791),IF(ISNUMBER(AB791),AB791,""))</f>
        <v/>
      </c>
      <c r="AG791" s="29">
        <f>IF(COUNT(B791:Z791)&gt;1,_xlfn.STDEV.S(B791:Z791),IF(ISNUMBER(AC791),AC791,""))</f>
        <v/>
      </c>
      <c r="AH791" s="13">
        <f>IF(AND(ISNUMBER(AE791),ISNUMBER($B$23),ISNUMBER($D$23)),IF(AE791&gt;$D$23,"boven UCL",IF(AE791&lt;$B$23,"onder LCL","")),"")</f>
        <v/>
      </c>
      <c r="AI791" s="13">
        <f>IF(AND(ISNUMBER(AF791),ISNUMBER($B$24),ISNUMBER($D$24)),IF(AF791&gt;$D$24,"boven UCL",IF(AF791&lt;$B$24,"onder LCL","")),"")</f>
        <v/>
      </c>
      <c r="AJ791" s="13">
        <f>IF(AND(ISNUMBER(AE791),ISNUMBER($B$25),ISNUMBER($D$25)),IF(AE791&gt;$D$25,"boven UCL",IF(AE791&lt;$B$25,"onder LCL","")),"")</f>
        <v/>
      </c>
      <c r="AK791" s="13">
        <f>IF(AND(ISNUMBER(AG791),ISNUMBER($B$26),ISNUMBER($D$26)),IF(AG791&gt;$D$26,"boven UCL",IF(AG791&lt;$B$26,"onder LCL","")),"")</f>
        <v/>
      </c>
      <c r="AL791" s="13">
        <f>IF(AND(COUNT(B791:Z791)&gt;0,COUNT(AA791:AC791)&gt;0),"ruwe waarden én getypt: getypte genegeerd",IF(COUNTA(B791:Z791,AA791:AC791)&gt;COUNT(B791:Z791,AA791:AC791),"tekst telt niet mee",IF(COUNT(B791:Z791)=1,"1 waarde: geen R of s","")))</f>
        <v/>
      </c>
    </row>
    <row r="792">
      <c r="A792" t="n">
        <v>741</v>
      </c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28">
        <f>IF(COUNT(B792:Z792)&gt;0,COUNT(B792:Z792),IF(OR(ISNUMBER(AA792),ISNUMBER(AB792)),$B$9,""))</f>
        <v/>
      </c>
      <c r="AE792" s="29">
        <f>IF(COUNT(B792:Z792)&gt;0,AVERAGE(B792:Z792),IF(ISNUMBER(AA792),AA792,""))</f>
        <v/>
      </c>
      <c r="AF792" s="29">
        <f>IF(COUNT(B792:Z792)&gt;1,MAX(B792:Z792)-MIN(B792:Z792),IF(ISNUMBER(AB792),AB792,""))</f>
        <v/>
      </c>
      <c r="AG792" s="29">
        <f>IF(COUNT(B792:Z792)&gt;1,_xlfn.STDEV.S(B792:Z792),IF(ISNUMBER(AC792),AC792,""))</f>
        <v/>
      </c>
      <c r="AH792" s="13">
        <f>IF(AND(ISNUMBER(AE792),ISNUMBER($B$23),ISNUMBER($D$23)),IF(AE792&gt;$D$23,"boven UCL",IF(AE792&lt;$B$23,"onder LCL","")),"")</f>
        <v/>
      </c>
      <c r="AI792" s="13">
        <f>IF(AND(ISNUMBER(AF792),ISNUMBER($B$24),ISNUMBER($D$24)),IF(AF792&gt;$D$24,"boven UCL",IF(AF792&lt;$B$24,"onder LCL","")),"")</f>
        <v/>
      </c>
      <c r="AJ792" s="13">
        <f>IF(AND(ISNUMBER(AE792),ISNUMBER($B$25),ISNUMBER($D$25)),IF(AE792&gt;$D$25,"boven UCL",IF(AE792&lt;$B$25,"onder LCL","")),"")</f>
        <v/>
      </c>
      <c r="AK792" s="13">
        <f>IF(AND(ISNUMBER(AG792),ISNUMBER($B$26),ISNUMBER($D$26)),IF(AG792&gt;$D$26,"boven UCL",IF(AG792&lt;$B$26,"onder LCL","")),"")</f>
        <v/>
      </c>
      <c r="AL792" s="13">
        <f>IF(AND(COUNT(B792:Z792)&gt;0,COUNT(AA792:AC792)&gt;0),"ruwe waarden én getypt: getypte genegeerd",IF(COUNTA(B792:Z792,AA792:AC792)&gt;COUNT(B792:Z792,AA792:AC792),"tekst telt niet mee",IF(COUNT(B792:Z792)=1,"1 waarde: geen R of s","")))</f>
        <v/>
      </c>
    </row>
    <row r="793">
      <c r="A793" t="n">
        <v>742</v>
      </c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28">
        <f>IF(COUNT(B793:Z793)&gt;0,COUNT(B793:Z793),IF(OR(ISNUMBER(AA793),ISNUMBER(AB793)),$B$9,""))</f>
        <v/>
      </c>
      <c r="AE793" s="29">
        <f>IF(COUNT(B793:Z793)&gt;0,AVERAGE(B793:Z793),IF(ISNUMBER(AA793),AA793,""))</f>
        <v/>
      </c>
      <c r="AF793" s="29">
        <f>IF(COUNT(B793:Z793)&gt;1,MAX(B793:Z793)-MIN(B793:Z793),IF(ISNUMBER(AB793),AB793,""))</f>
        <v/>
      </c>
      <c r="AG793" s="29">
        <f>IF(COUNT(B793:Z793)&gt;1,_xlfn.STDEV.S(B793:Z793),IF(ISNUMBER(AC793),AC793,""))</f>
        <v/>
      </c>
      <c r="AH793" s="13">
        <f>IF(AND(ISNUMBER(AE793),ISNUMBER($B$23),ISNUMBER($D$23)),IF(AE793&gt;$D$23,"boven UCL",IF(AE793&lt;$B$23,"onder LCL","")),"")</f>
        <v/>
      </c>
      <c r="AI793" s="13">
        <f>IF(AND(ISNUMBER(AF793),ISNUMBER($B$24),ISNUMBER($D$24)),IF(AF793&gt;$D$24,"boven UCL",IF(AF793&lt;$B$24,"onder LCL","")),"")</f>
        <v/>
      </c>
      <c r="AJ793" s="13">
        <f>IF(AND(ISNUMBER(AE793),ISNUMBER($B$25),ISNUMBER($D$25)),IF(AE793&gt;$D$25,"boven UCL",IF(AE793&lt;$B$25,"onder LCL","")),"")</f>
        <v/>
      </c>
      <c r="AK793" s="13">
        <f>IF(AND(ISNUMBER(AG793),ISNUMBER($B$26),ISNUMBER($D$26)),IF(AG793&gt;$D$26,"boven UCL",IF(AG793&lt;$B$26,"onder LCL","")),"")</f>
        <v/>
      </c>
      <c r="AL793" s="13">
        <f>IF(AND(COUNT(B793:Z793)&gt;0,COUNT(AA793:AC793)&gt;0),"ruwe waarden én getypt: getypte genegeerd",IF(COUNTA(B793:Z793,AA793:AC793)&gt;COUNT(B793:Z793,AA793:AC793),"tekst telt niet mee",IF(COUNT(B793:Z793)=1,"1 waarde: geen R of s","")))</f>
        <v/>
      </c>
    </row>
    <row r="794">
      <c r="A794" t="n">
        <v>743</v>
      </c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28">
        <f>IF(COUNT(B794:Z794)&gt;0,COUNT(B794:Z794),IF(OR(ISNUMBER(AA794),ISNUMBER(AB794)),$B$9,""))</f>
        <v/>
      </c>
      <c r="AE794" s="29">
        <f>IF(COUNT(B794:Z794)&gt;0,AVERAGE(B794:Z794),IF(ISNUMBER(AA794),AA794,""))</f>
        <v/>
      </c>
      <c r="AF794" s="29">
        <f>IF(COUNT(B794:Z794)&gt;1,MAX(B794:Z794)-MIN(B794:Z794),IF(ISNUMBER(AB794),AB794,""))</f>
        <v/>
      </c>
      <c r="AG794" s="29">
        <f>IF(COUNT(B794:Z794)&gt;1,_xlfn.STDEV.S(B794:Z794),IF(ISNUMBER(AC794),AC794,""))</f>
        <v/>
      </c>
      <c r="AH794" s="13">
        <f>IF(AND(ISNUMBER(AE794),ISNUMBER($B$23),ISNUMBER($D$23)),IF(AE794&gt;$D$23,"boven UCL",IF(AE794&lt;$B$23,"onder LCL","")),"")</f>
        <v/>
      </c>
      <c r="AI794" s="13">
        <f>IF(AND(ISNUMBER(AF794),ISNUMBER($B$24),ISNUMBER($D$24)),IF(AF794&gt;$D$24,"boven UCL",IF(AF794&lt;$B$24,"onder LCL","")),"")</f>
        <v/>
      </c>
      <c r="AJ794" s="13">
        <f>IF(AND(ISNUMBER(AE794),ISNUMBER($B$25),ISNUMBER($D$25)),IF(AE794&gt;$D$25,"boven UCL",IF(AE794&lt;$B$25,"onder LCL","")),"")</f>
        <v/>
      </c>
      <c r="AK794" s="13">
        <f>IF(AND(ISNUMBER(AG794),ISNUMBER($B$26),ISNUMBER($D$26)),IF(AG794&gt;$D$26,"boven UCL",IF(AG794&lt;$B$26,"onder LCL","")),"")</f>
        <v/>
      </c>
      <c r="AL794" s="13">
        <f>IF(AND(COUNT(B794:Z794)&gt;0,COUNT(AA794:AC794)&gt;0),"ruwe waarden én getypt: getypte genegeerd",IF(COUNTA(B794:Z794,AA794:AC794)&gt;COUNT(B794:Z794,AA794:AC794),"tekst telt niet mee",IF(COUNT(B794:Z794)=1,"1 waarde: geen R of s","")))</f>
        <v/>
      </c>
    </row>
    <row r="795">
      <c r="A795" t="n">
        <v>744</v>
      </c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28">
        <f>IF(COUNT(B795:Z795)&gt;0,COUNT(B795:Z795),IF(OR(ISNUMBER(AA795),ISNUMBER(AB795)),$B$9,""))</f>
        <v/>
      </c>
      <c r="AE795" s="29">
        <f>IF(COUNT(B795:Z795)&gt;0,AVERAGE(B795:Z795),IF(ISNUMBER(AA795),AA795,""))</f>
        <v/>
      </c>
      <c r="AF795" s="29">
        <f>IF(COUNT(B795:Z795)&gt;1,MAX(B795:Z795)-MIN(B795:Z795),IF(ISNUMBER(AB795),AB795,""))</f>
        <v/>
      </c>
      <c r="AG795" s="29">
        <f>IF(COUNT(B795:Z795)&gt;1,_xlfn.STDEV.S(B795:Z795),IF(ISNUMBER(AC795),AC795,""))</f>
        <v/>
      </c>
      <c r="AH795" s="13">
        <f>IF(AND(ISNUMBER(AE795),ISNUMBER($B$23),ISNUMBER($D$23)),IF(AE795&gt;$D$23,"boven UCL",IF(AE795&lt;$B$23,"onder LCL","")),"")</f>
        <v/>
      </c>
      <c r="AI795" s="13">
        <f>IF(AND(ISNUMBER(AF795),ISNUMBER($B$24),ISNUMBER($D$24)),IF(AF795&gt;$D$24,"boven UCL",IF(AF795&lt;$B$24,"onder LCL","")),"")</f>
        <v/>
      </c>
      <c r="AJ795" s="13">
        <f>IF(AND(ISNUMBER(AE795),ISNUMBER($B$25),ISNUMBER($D$25)),IF(AE795&gt;$D$25,"boven UCL",IF(AE795&lt;$B$25,"onder LCL","")),"")</f>
        <v/>
      </c>
      <c r="AK795" s="13">
        <f>IF(AND(ISNUMBER(AG795),ISNUMBER($B$26),ISNUMBER($D$26)),IF(AG795&gt;$D$26,"boven UCL",IF(AG795&lt;$B$26,"onder LCL","")),"")</f>
        <v/>
      </c>
      <c r="AL795" s="13">
        <f>IF(AND(COUNT(B795:Z795)&gt;0,COUNT(AA795:AC795)&gt;0),"ruwe waarden én getypt: getypte genegeerd",IF(COUNTA(B795:Z795,AA795:AC795)&gt;COUNT(B795:Z795,AA795:AC795),"tekst telt niet mee",IF(COUNT(B795:Z795)=1,"1 waarde: geen R of s","")))</f>
        <v/>
      </c>
    </row>
    <row r="796">
      <c r="A796" t="n">
        <v>745</v>
      </c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28">
        <f>IF(COUNT(B796:Z796)&gt;0,COUNT(B796:Z796),IF(OR(ISNUMBER(AA796),ISNUMBER(AB796)),$B$9,""))</f>
        <v/>
      </c>
      <c r="AE796" s="29">
        <f>IF(COUNT(B796:Z796)&gt;0,AVERAGE(B796:Z796),IF(ISNUMBER(AA796),AA796,""))</f>
        <v/>
      </c>
      <c r="AF796" s="29">
        <f>IF(COUNT(B796:Z796)&gt;1,MAX(B796:Z796)-MIN(B796:Z796),IF(ISNUMBER(AB796),AB796,""))</f>
        <v/>
      </c>
      <c r="AG796" s="29">
        <f>IF(COUNT(B796:Z796)&gt;1,_xlfn.STDEV.S(B796:Z796),IF(ISNUMBER(AC796),AC796,""))</f>
        <v/>
      </c>
      <c r="AH796" s="13">
        <f>IF(AND(ISNUMBER(AE796),ISNUMBER($B$23),ISNUMBER($D$23)),IF(AE796&gt;$D$23,"boven UCL",IF(AE796&lt;$B$23,"onder LCL","")),"")</f>
        <v/>
      </c>
      <c r="AI796" s="13">
        <f>IF(AND(ISNUMBER(AF796),ISNUMBER($B$24),ISNUMBER($D$24)),IF(AF796&gt;$D$24,"boven UCL",IF(AF796&lt;$B$24,"onder LCL","")),"")</f>
        <v/>
      </c>
      <c r="AJ796" s="13">
        <f>IF(AND(ISNUMBER(AE796),ISNUMBER($B$25),ISNUMBER($D$25)),IF(AE796&gt;$D$25,"boven UCL",IF(AE796&lt;$B$25,"onder LCL","")),"")</f>
        <v/>
      </c>
      <c r="AK796" s="13">
        <f>IF(AND(ISNUMBER(AG796),ISNUMBER($B$26),ISNUMBER($D$26)),IF(AG796&gt;$D$26,"boven UCL",IF(AG796&lt;$B$26,"onder LCL","")),"")</f>
        <v/>
      </c>
      <c r="AL796" s="13">
        <f>IF(AND(COUNT(B796:Z796)&gt;0,COUNT(AA796:AC796)&gt;0),"ruwe waarden én getypt: getypte genegeerd",IF(COUNTA(B796:Z796,AA796:AC796)&gt;COUNT(B796:Z796,AA796:AC796),"tekst telt niet mee",IF(COUNT(B796:Z796)=1,"1 waarde: geen R of s","")))</f>
        <v/>
      </c>
    </row>
    <row r="797">
      <c r="A797" t="n">
        <v>746</v>
      </c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28">
        <f>IF(COUNT(B797:Z797)&gt;0,COUNT(B797:Z797),IF(OR(ISNUMBER(AA797),ISNUMBER(AB797)),$B$9,""))</f>
        <v/>
      </c>
      <c r="AE797" s="29">
        <f>IF(COUNT(B797:Z797)&gt;0,AVERAGE(B797:Z797),IF(ISNUMBER(AA797),AA797,""))</f>
        <v/>
      </c>
      <c r="AF797" s="29">
        <f>IF(COUNT(B797:Z797)&gt;1,MAX(B797:Z797)-MIN(B797:Z797),IF(ISNUMBER(AB797),AB797,""))</f>
        <v/>
      </c>
      <c r="AG797" s="29">
        <f>IF(COUNT(B797:Z797)&gt;1,_xlfn.STDEV.S(B797:Z797),IF(ISNUMBER(AC797),AC797,""))</f>
        <v/>
      </c>
      <c r="AH797" s="13">
        <f>IF(AND(ISNUMBER(AE797),ISNUMBER($B$23),ISNUMBER($D$23)),IF(AE797&gt;$D$23,"boven UCL",IF(AE797&lt;$B$23,"onder LCL","")),"")</f>
        <v/>
      </c>
      <c r="AI797" s="13">
        <f>IF(AND(ISNUMBER(AF797),ISNUMBER($B$24),ISNUMBER($D$24)),IF(AF797&gt;$D$24,"boven UCL",IF(AF797&lt;$B$24,"onder LCL","")),"")</f>
        <v/>
      </c>
      <c r="AJ797" s="13">
        <f>IF(AND(ISNUMBER(AE797),ISNUMBER($B$25),ISNUMBER($D$25)),IF(AE797&gt;$D$25,"boven UCL",IF(AE797&lt;$B$25,"onder LCL","")),"")</f>
        <v/>
      </c>
      <c r="AK797" s="13">
        <f>IF(AND(ISNUMBER(AG797),ISNUMBER($B$26),ISNUMBER($D$26)),IF(AG797&gt;$D$26,"boven UCL",IF(AG797&lt;$B$26,"onder LCL","")),"")</f>
        <v/>
      </c>
      <c r="AL797" s="13">
        <f>IF(AND(COUNT(B797:Z797)&gt;0,COUNT(AA797:AC797)&gt;0),"ruwe waarden én getypt: getypte genegeerd",IF(COUNTA(B797:Z797,AA797:AC797)&gt;COUNT(B797:Z797,AA797:AC797),"tekst telt niet mee",IF(COUNT(B797:Z797)=1,"1 waarde: geen R of s","")))</f>
        <v/>
      </c>
    </row>
    <row r="798">
      <c r="A798" t="n">
        <v>747</v>
      </c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28">
        <f>IF(COUNT(B798:Z798)&gt;0,COUNT(B798:Z798),IF(OR(ISNUMBER(AA798),ISNUMBER(AB798)),$B$9,""))</f>
        <v/>
      </c>
      <c r="AE798" s="29">
        <f>IF(COUNT(B798:Z798)&gt;0,AVERAGE(B798:Z798),IF(ISNUMBER(AA798),AA798,""))</f>
        <v/>
      </c>
      <c r="AF798" s="29">
        <f>IF(COUNT(B798:Z798)&gt;1,MAX(B798:Z798)-MIN(B798:Z798),IF(ISNUMBER(AB798),AB798,""))</f>
        <v/>
      </c>
      <c r="AG798" s="29">
        <f>IF(COUNT(B798:Z798)&gt;1,_xlfn.STDEV.S(B798:Z798),IF(ISNUMBER(AC798),AC798,""))</f>
        <v/>
      </c>
      <c r="AH798" s="13">
        <f>IF(AND(ISNUMBER(AE798),ISNUMBER($B$23),ISNUMBER($D$23)),IF(AE798&gt;$D$23,"boven UCL",IF(AE798&lt;$B$23,"onder LCL","")),"")</f>
        <v/>
      </c>
      <c r="AI798" s="13">
        <f>IF(AND(ISNUMBER(AF798),ISNUMBER($B$24),ISNUMBER($D$24)),IF(AF798&gt;$D$24,"boven UCL",IF(AF798&lt;$B$24,"onder LCL","")),"")</f>
        <v/>
      </c>
      <c r="AJ798" s="13">
        <f>IF(AND(ISNUMBER(AE798),ISNUMBER($B$25),ISNUMBER($D$25)),IF(AE798&gt;$D$25,"boven UCL",IF(AE798&lt;$B$25,"onder LCL","")),"")</f>
        <v/>
      </c>
      <c r="AK798" s="13">
        <f>IF(AND(ISNUMBER(AG798),ISNUMBER($B$26),ISNUMBER($D$26)),IF(AG798&gt;$D$26,"boven UCL",IF(AG798&lt;$B$26,"onder LCL","")),"")</f>
        <v/>
      </c>
      <c r="AL798" s="13">
        <f>IF(AND(COUNT(B798:Z798)&gt;0,COUNT(AA798:AC798)&gt;0),"ruwe waarden én getypt: getypte genegeerd",IF(COUNTA(B798:Z798,AA798:AC798)&gt;COUNT(B798:Z798,AA798:AC798),"tekst telt niet mee",IF(COUNT(B798:Z798)=1,"1 waarde: geen R of s","")))</f>
        <v/>
      </c>
    </row>
    <row r="799">
      <c r="A799" t="n">
        <v>748</v>
      </c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28">
        <f>IF(COUNT(B799:Z799)&gt;0,COUNT(B799:Z799),IF(OR(ISNUMBER(AA799),ISNUMBER(AB799)),$B$9,""))</f>
        <v/>
      </c>
      <c r="AE799" s="29">
        <f>IF(COUNT(B799:Z799)&gt;0,AVERAGE(B799:Z799),IF(ISNUMBER(AA799),AA799,""))</f>
        <v/>
      </c>
      <c r="AF799" s="29">
        <f>IF(COUNT(B799:Z799)&gt;1,MAX(B799:Z799)-MIN(B799:Z799),IF(ISNUMBER(AB799),AB799,""))</f>
        <v/>
      </c>
      <c r="AG799" s="29">
        <f>IF(COUNT(B799:Z799)&gt;1,_xlfn.STDEV.S(B799:Z799),IF(ISNUMBER(AC799),AC799,""))</f>
        <v/>
      </c>
      <c r="AH799" s="13">
        <f>IF(AND(ISNUMBER(AE799),ISNUMBER($B$23),ISNUMBER($D$23)),IF(AE799&gt;$D$23,"boven UCL",IF(AE799&lt;$B$23,"onder LCL","")),"")</f>
        <v/>
      </c>
      <c r="AI799" s="13">
        <f>IF(AND(ISNUMBER(AF799),ISNUMBER($B$24),ISNUMBER($D$24)),IF(AF799&gt;$D$24,"boven UCL",IF(AF799&lt;$B$24,"onder LCL","")),"")</f>
        <v/>
      </c>
      <c r="AJ799" s="13">
        <f>IF(AND(ISNUMBER(AE799),ISNUMBER($B$25),ISNUMBER($D$25)),IF(AE799&gt;$D$25,"boven UCL",IF(AE799&lt;$B$25,"onder LCL","")),"")</f>
        <v/>
      </c>
      <c r="AK799" s="13">
        <f>IF(AND(ISNUMBER(AG799),ISNUMBER($B$26),ISNUMBER($D$26)),IF(AG799&gt;$D$26,"boven UCL",IF(AG799&lt;$B$26,"onder LCL","")),"")</f>
        <v/>
      </c>
      <c r="AL799" s="13">
        <f>IF(AND(COUNT(B799:Z799)&gt;0,COUNT(AA799:AC799)&gt;0),"ruwe waarden én getypt: getypte genegeerd",IF(COUNTA(B799:Z799,AA799:AC799)&gt;COUNT(B799:Z799,AA799:AC799),"tekst telt niet mee",IF(COUNT(B799:Z799)=1,"1 waarde: geen R of s","")))</f>
        <v/>
      </c>
    </row>
    <row r="800">
      <c r="A800" t="n">
        <v>749</v>
      </c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28">
        <f>IF(COUNT(B800:Z800)&gt;0,COUNT(B800:Z800),IF(OR(ISNUMBER(AA800),ISNUMBER(AB800)),$B$9,""))</f>
        <v/>
      </c>
      <c r="AE800" s="29">
        <f>IF(COUNT(B800:Z800)&gt;0,AVERAGE(B800:Z800),IF(ISNUMBER(AA800),AA800,""))</f>
        <v/>
      </c>
      <c r="AF800" s="29">
        <f>IF(COUNT(B800:Z800)&gt;1,MAX(B800:Z800)-MIN(B800:Z800),IF(ISNUMBER(AB800),AB800,""))</f>
        <v/>
      </c>
      <c r="AG800" s="29">
        <f>IF(COUNT(B800:Z800)&gt;1,_xlfn.STDEV.S(B800:Z800),IF(ISNUMBER(AC800),AC800,""))</f>
        <v/>
      </c>
      <c r="AH800" s="13">
        <f>IF(AND(ISNUMBER(AE800),ISNUMBER($B$23),ISNUMBER($D$23)),IF(AE800&gt;$D$23,"boven UCL",IF(AE800&lt;$B$23,"onder LCL","")),"")</f>
        <v/>
      </c>
      <c r="AI800" s="13">
        <f>IF(AND(ISNUMBER(AF800),ISNUMBER($B$24),ISNUMBER($D$24)),IF(AF800&gt;$D$24,"boven UCL",IF(AF800&lt;$B$24,"onder LCL","")),"")</f>
        <v/>
      </c>
      <c r="AJ800" s="13">
        <f>IF(AND(ISNUMBER(AE800),ISNUMBER($B$25),ISNUMBER($D$25)),IF(AE800&gt;$D$25,"boven UCL",IF(AE800&lt;$B$25,"onder LCL","")),"")</f>
        <v/>
      </c>
      <c r="AK800" s="13">
        <f>IF(AND(ISNUMBER(AG800),ISNUMBER($B$26),ISNUMBER($D$26)),IF(AG800&gt;$D$26,"boven UCL",IF(AG800&lt;$B$26,"onder LCL","")),"")</f>
        <v/>
      </c>
      <c r="AL800" s="13">
        <f>IF(AND(COUNT(B800:Z800)&gt;0,COUNT(AA800:AC800)&gt;0),"ruwe waarden én getypt: getypte genegeerd",IF(COUNTA(B800:Z800,AA800:AC800)&gt;COUNT(B800:Z800,AA800:AC800),"tekst telt niet mee",IF(COUNT(B800:Z800)=1,"1 waarde: geen R of s","")))</f>
        <v/>
      </c>
    </row>
    <row r="801">
      <c r="A801" t="n">
        <v>750</v>
      </c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28">
        <f>IF(COUNT(B801:Z801)&gt;0,COUNT(B801:Z801),IF(OR(ISNUMBER(AA801),ISNUMBER(AB801)),$B$9,""))</f>
        <v/>
      </c>
      <c r="AE801" s="29">
        <f>IF(COUNT(B801:Z801)&gt;0,AVERAGE(B801:Z801),IF(ISNUMBER(AA801),AA801,""))</f>
        <v/>
      </c>
      <c r="AF801" s="29">
        <f>IF(COUNT(B801:Z801)&gt;1,MAX(B801:Z801)-MIN(B801:Z801),IF(ISNUMBER(AB801),AB801,""))</f>
        <v/>
      </c>
      <c r="AG801" s="29">
        <f>IF(COUNT(B801:Z801)&gt;1,_xlfn.STDEV.S(B801:Z801),IF(ISNUMBER(AC801),AC801,""))</f>
        <v/>
      </c>
      <c r="AH801" s="13">
        <f>IF(AND(ISNUMBER(AE801),ISNUMBER($B$23),ISNUMBER($D$23)),IF(AE801&gt;$D$23,"boven UCL",IF(AE801&lt;$B$23,"onder LCL","")),"")</f>
        <v/>
      </c>
      <c r="AI801" s="13">
        <f>IF(AND(ISNUMBER(AF801),ISNUMBER($B$24),ISNUMBER($D$24)),IF(AF801&gt;$D$24,"boven UCL",IF(AF801&lt;$B$24,"onder LCL","")),"")</f>
        <v/>
      </c>
      <c r="AJ801" s="13">
        <f>IF(AND(ISNUMBER(AE801),ISNUMBER($B$25),ISNUMBER($D$25)),IF(AE801&gt;$D$25,"boven UCL",IF(AE801&lt;$B$25,"onder LCL","")),"")</f>
        <v/>
      </c>
      <c r="AK801" s="13">
        <f>IF(AND(ISNUMBER(AG801),ISNUMBER($B$26),ISNUMBER($D$26)),IF(AG801&gt;$D$26,"boven UCL",IF(AG801&lt;$B$26,"onder LCL","")),"")</f>
        <v/>
      </c>
      <c r="AL801" s="13">
        <f>IF(AND(COUNT(B801:Z801)&gt;0,COUNT(AA801:AC801)&gt;0),"ruwe waarden én getypt: getypte genegeerd",IF(COUNTA(B801:Z801,AA801:AC801)&gt;COUNT(B801:Z801,AA801:AC801),"tekst telt niet mee",IF(COUNT(B801:Z801)=1,"1 waarde: geen R of s","")))</f>
        <v/>
      </c>
    </row>
    <row r="802">
      <c r="A802" t="n">
        <v>751</v>
      </c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28">
        <f>IF(COUNT(B802:Z802)&gt;0,COUNT(B802:Z802),IF(OR(ISNUMBER(AA802),ISNUMBER(AB802)),$B$9,""))</f>
        <v/>
      </c>
      <c r="AE802" s="29">
        <f>IF(COUNT(B802:Z802)&gt;0,AVERAGE(B802:Z802),IF(ISNUMBER(AA802),AA802,""))</f>
        <v/>
      </c>
      <c r="AF802" s="29">
        <f>IF(COUNT(B802:Z802)&gt;1,MAX(B802:Z802)-MIN(B802:Z802),IF(ISNUMBER(AB802),AB802,""))</f>
        <v/>
      </c>
      <c r="AG802" s="29">
        <f>IF(COUNT(B802:Z802)&gt;1,_xlfn.STDEV.S(B802:Z802),IF(ISNUMBER(AC802),AC802,""))</f>
        <v/>
      </c>
      <c r="AH802" s="13">
        <f>IF(AND(ISNUMBER(AE802),ISNUMBER($B$23),ISNUMBER($D$23)),IF(AE802&gt;$D$23,"boven UCL",IF(AE802&lt;$B$23,"onder LCL","")),"")</f>
        <v/>
      </c>
      <c r="AI802" s="13">
        <f>IF(AND(ISNUMBER(AF802),ISNUMBER($B$24),ISNUMBER($D$24)),IF(AF802&gt;$D$24,"boven UCL",IF(AF802&lt;$B$24,"onder LCL","")),"")</f>
        <v/>
      </c>
      <c r="AJ802" s="13">
        <f>IF(AND(ISNUMBER(AE802),ISNUMBER($B$25),ISNUMBER($D$25)),IF(AE802&gt;$D$25,"boven UCL",IF(AE802&lt;$B$25,"onder LCL","")),"")</f>
        <v/>
      </c>
      <c r="AK802" s="13">
        <f>IF(AND(ISNUMBER(AG802),ISNUMBER($B$26),ISNUMBER($D$26)),IF(AG802&gt;$D$26,"boven UCL",IF(AG802&lt;$B$26,"onder LCL","")),"")</f>
        <v/>
      </c>
      <c r="AL802" s="13">
        <f>IF(AND(COUNT(B802:Z802)&gt;0,COUNT(AA802:AC802)&gt;0),"ruwe waarden én getypt: getypte genegeerd",IF(COUNTA(B802:Z802,AA802:AC802)&gt;COUNT(B802:Z802,AA802:AC802),"tekst telt niet mee",IF(COUNT(B802:Z802)=1,"1 waarde: geen R of s","")))</f>
        <v/>
      </c>
    </row>
    <row r="803">
      <c r="A803" t="n">
        <v>752</v>
      </c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28">
        <f>IF(COUNT(B803:Z803)&gt;0,COUNT(B803:Z803),IF(OR(ISNUMBER(AA803),ISNUMBER(AB803)),$B$9,""))</f>
        <v/>
      </c>
      <c r="AE803" s="29">
        <f>IF(COUNT(B803:Z803)&gt;0,AVERAGE(B803:Z803),IF(ISNUMBER(AA803),AA803,""))</f>
        <v/>
      </c>
      <c r="AF803" s="29">
        <f>IF(COUNT(B803:Z803)&gt;1,MAX(B803:Z803)-MIN(B803:Z803),IF(ISNUMBER(AB803),AB803,""))</f>
        <v/>
      </c>
      <c r="AG803" s="29">
        <f>IF(COUNT(B803:Z803)&gt;1,_xlfn.STDEV.S(B803:Z803),IF(ISNUMBER(AC803),AC803,""))</f>
        <v/>
      </c>
      <c r="AH803" s="13">
        <f>IF(AND(ISNUMBER(AE803),ISNUMBER($B$23),ISNUMBER($D$23)),IF(AE803&gt;$D$23,"boven UCL",IF(AE803&lt;$B$23,"onder LCL","")),"")</f>
        <v/>
      </c>
      <c r="AI803" s="13">
        <f>IF(AND(ISNUMBER(AF803),ISNUMBER($B$24),ISNUMBER($D$24)),IF(AF803&gt;$D$24,"boven UCL",IF(AF803&lt;$B$24,"onder LCL","")),"")</f>
        <v/>
      </c>
      <c r="AJ803" s="13">
        <f>IF(AND(ISNUMBER(AE803),ISNUMBER($B$25),ISNUMBER($D$25)),IF(AE803&gt;$D$25,"boven UCL",IF(AE803&lt;$B$25,"onder LCL","")),"")</f>
        <v/>
      </c>
      <c r="AK803" s="13">
        <f>IF(AND(ISNUMBER(AG803),ISNUMBER($B$26),ISNUMBER($D$26)),IF(AG803&gt;$D$26,"boven UCL",IF(AG803&lt;$B$26,"onder LCL","")),"")</f>
        <v/>
      </c>
      <c r="AL803" s="13">
        <f>IF(AND(COUNT(B803:Z803)&gt;0,COUNT(AA803:AC803)&gt;0),"ruwe waarden én getypt: getypte genegeerd",IF(COUNTA(B803:Z803,AA803:AC803)&gt;COUNT(B803:Z803,AA803:AC803),"tekst telt niet mee",IF(COUNT(B803:Z803)=1,"1 waarde: geen R of s","")))</f>
        <v/>
      </c>
    </row>
    <row r="804">
      <c r="A804" t="n">
        <v>753</v>
      </c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28">
        <f>IF(COUNT(B804:Z804)&gt;0,COUNT(B804:Z804),IF(OR(ISNUMBER(AA804),ISNUMBER(AB804)),$B$9,""))</f>
        <v/>
      </c>
      <c r="AE804" s="29">
        <f>IF(COUNT(B804:Z804)&gt;0,AVERAGE(B804:Z804),IF(ISNUMBER(AA804),AA804,""))</f>
        <v/>
      </c>
      <c r="AF804" s="29">
        <f>IF(COUNT(B804:Z804)&gt;1,MAX(B804:Z804)-MIN(B804:Z804),IF(ISNUMBER(AB804),AB804,""))</f>
        <v/>
      </c>
      <c r="AG804" s="29">
        <f>IF(COUNT(B804:Z804)&gt;1,_xlfn.STDEV.S(B804:Z804),IF(ISNUMBER(AC804),AC804,""))</f>
        <v/>
      </c>
      <c r="AH804" s="13">
        <f>IF(AND(ISNUMBER(AE804),ISNUMBER($B$23),ISNUMBER($D$23)),IF(AE804&gt;$D$23,"boven UCL",IF(AE804&lt;$B$23,"onder LCL","")),"")</f>
        <v/>
      </c>
      <c r="AI804" s="13">
        <f>IF(AND(ISNUMBER(AF804),ISNUMBER($B$24),ISNUMBER($D$24)),IF(AF804&gt;$D$24,"boven UCL",IF(AF804&lt;$B$24,"onder LCL","")),"")</f>
        <v/>
      </c>
      <c r="AJ804" s="13">
        <f>IF(AND(ISNUMBER(AE804),ISNUMBER($B$25),ISNUMBER($D$25)),IF(AE804&gt;$D$25,"boven UCL",IF(AE804&lt;$B$25,"onder LCL","")),"")</f>
        <v/>
      </c>
      <c r="AK804" s="13">
        <f>IF(AND(ISNUMBER(AG804),ISNUMBER($B$26),ISNUMBER($D$26)),IF(AG804&gt;$D$26,"boven UCL",IF(AG804&lt;$B$26,"onder LCL","")),"")</f>
        <v/>
      </c>
      <c r="AL804" s="13">
        <f>IF(AND(COUNT(B804:Z804)&gt;0,COUNT(AA804:AC804)&gt;0),"ruwe waarden én getypt: getypte genegeerd",IF(COUNTA(B804:Z804,AA804:AC804)&gt;COUNT(B804:Z804,AA804:AC804),"tekst telt niet mee",IF(COUNT(B804:Z804)=1,"1 waarde: geen R of s","")))</f>
        <v/>
      </c>
    </row>
    <row r="805">
      <c r="A805" t="n">
        <v>754</v>
      </c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28">
        <f>IF(COUNT(B805:Z805)&gt;0,COUNT(B805:Z805),IF(OR(ISNUMBER(AA805),ISNUMBER(AB805)),$B$9,""))</f>
        <v/>
      </c>
      <c r="AE805" s="29">
        <f>IF(COUNT(B805:Z805)&gt;0,AVERAGE(B805:Z805),IF(ISNUMBER(AA805),AA805,""))</f>
        <v/>
      </c>
      <c r="AF805" s="29">
        <f>IF(COUNT(B805:Z805)&gt;1,MAX(B805:Z805)-MIN(B805:Z805),IF(ISNUMBER(AB805),AB805,""))</f>
        <v/>
      </c>
      <c r="AG805" s="29">
        <f>IF(COUNT(B805:Z805)&gt;1,_xlfn.STDEV.S(B805:Z805),IF(ISNUMBER(AC805),AC805,""))</f>
        <v/>
      </c>
      <c r="AH805" s="13">
        <f>IF(AND(ISNUMBER(AE805),ISNUMBER($B$23),ISNUMBER($D$23)),IF(AE805&gt;$D$23,"boven UCL",IF(AE805&lt;$B$23,"onder LCL","")),"")</f>
        <v/>
      </c>
      <c r="AI805" s="13">
        <f>IF(AND(ISNUMBER(AF805),ISNUMBER($B$24),ISNUMBER($D$24)),IF(AF805&gt;$D$24,"boven UCL",IF(AF805&lt;$B$24,"onder LCL","")),"")</f>
        <v/>
      </c>
      <c r="AJ805" s="13">
        <f>IF(AND(ISNUMBER(AE805),ISNUMBER($B$25),ISNUMBER($D$25)),IF(AE805&gt;$D$25,"boven UCL",IF(AE805&lt;$B$25,"onder LCL","")),"")</f>
        <v/>
      </c>
      <c r="AK805" s="13">
        <f>IF(AND(ISNUMBER(AG805),ISNUMBER($B$26),ISNUMBER($D$26)),IF(AG805&gt;$D$26,"boven UCL",IF(AG805&lt;$B$26,"onder LCL","")),"")</f>
        <v/>
      </c>
      <c r="AL805" s="13">
        <f>IF(AND(COUNT(B805:Z805)&gt;0,COUNT(AA805:AC805)&gt;0),"ruwe waarden én getypt: getypte genegeerd",IF(COUNTA(B805:Z805,AA805:AC805)&gt;COUNT(B805:Z805,AA805:AC805),"tekst telt niet mee",IF(COUNT(B805:Z805)=1,"1 waarde: geen R of s","")))</f>
        <v/>
      </c>
    </row>
    <row r="806">
      <c r="A806" t="n">
        <v>755</v>
      </c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28">
        <f>IF(COUNT(B806:Z806)&gt;0,COUNT(B806:Z806),IF(OR(ISNUMBER(AA806),ISNUMBER(AB806)),$B$9,""))</f>
        <v/>
      </c>
      <c r="AE806" s="29">
        <f>IF(COUNT(B806:Z806)&gt;0,AVERAGE(B806:Z806),IF(ISNUMBER(AA806),AA806,""))</f>
        <v/>
      </c>
      <c r="AF806" s="29">
        <f>IF(COUNT(B806:Z806)&gt;1,MAX(B806:Z806)-MIN(B806:Z806),IF(ISNUMBER(AB806),AB806,""))</f>
        <v/>
      </c>
      <c r="AG806" s="29">
        <f>IF(COUNT(B806:Z806)&gt;1,_xlfn.STDEV.S(B806:Z806),IF(ISNUMBER(AC806),AC806,""))</f>
        <v/>
      </c>
      <c r="AH806" s="13">
        <f>IF(AND(ISNUMBER(AE806),ISNUMBER($B$23),ISNUMBER($D$23)),IF(AE806&gt;$D$23,"boven UCL",IF(AE806&lt;$B$23,"onder LCL","")),"")</f>
        <v/>
      </c>
      <c r="AI806" s="13">
        <f>IF(AND(ISNUMBER(AF806),ISNUMBER($B$24),ISNUMBER($D$24)),IF(AF806&gt;$D$24,"boven UCL",IF(AF806&lt;$B$24,"onder LCL","")),"")</f>
        <v/>
      </c>
      <c r="AJ806" s="13">
        <f>IF(AND(ISNUMBER(AE806),ISNUMBER($B$25),ISNUMBER($D$25)),IF(AE806&gt;$D$25,"boven UCL",IF(AE806&lt;$B$25,"onder LCL","")),"")</f>
        <v/>
      </c>
      <c r="AK806" s="13">
        <f>IF(AND(ISNUMBER(AG806),ISNUMBER($B$26),ISNUMBER($D$26)),IF(AG806&gt;$D$26,"boven UCL",IF(AG806&lt;$B$26,"onder LCL","")),"")</f>
        <v/>
      </c>
      <c r="AL806" s="13">
        <f>IF(AND(COUNT(B806:Z806)&gt;0,COUNT(AA806:AC806)&gt;0),"ruwe waarden én getypt: getypte genegeerd",IF(COUNTA(B806:Z806,AA806:AC806)&gt;COUNT(B806:Z806,AA806:AC806),"tekst telt niet mee",IF(COUNT(B806:Z806)=1,"1 waarde: geen R of s","")))</f>
        <v/>
      </c>
    </row>
    <row r="807">
      <c r="A807" t="n">
        <v>756</v>
      </c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28">
        <f>IF(COUNT(B807:Z807)&gt;0,COUNT(B807:Z807),IF(OR(ISNUMBER(AA807),ISNUMBER(AB807)),$B$9,""))</f>
        <v/>
      </c>
      <c r="AE807" s="29">
        <f>IF(COUNT(B807:Z807)&gt;0,AVERAGE(B807:Z807),IF(ISNUMBER(AA807),AA807,""))</f>
        <v/>
      </c>
      <c r="AF807" s="29">
        <f>IF(COUNT(B807:Z807)&gt;1,MAX(B807:Z807)-MIN(B807:Z807),IF(ISNUMBER(AB807),AB807,""))</f>
        <v/>
      </c>
      <c r="AG807" s="29">
        <f>IF(COUNT(B807:Z807)&gt;1,_xlfn.STDEV.S(B807:Z807),IF(ISNUMBER(AC807),AC807,""))</f>
        <v/>
      </c>
      <c r="AH807" s="13">
        <f>IF(AND(ISNUMBER(AE807),ISNUMBER($B$23),ISNUMBER($D$23)),IF(AE807&gt;$D$23,"boven UCL",IF(AE807&lt;$B$23,"onder LCL","")),"")</f>
        <v/>
      </c>
      <c r="AI807" s="13">
        <f>IF(AND(ISNUMBER(AF807),ISNUMBER($B$24),ISNUMBER($D$24)),IF(AF807&gt;$D$24,"boven UCL",IF(AF807&lt;$B$24,"onder LCL","")),"")</f>
        <v/>
      </c>
      <c r="AJ807" s="13">
        <f>IF(AND(ISNUMBER(AE807),ISNUMBER($B$25),ISNUMBER($D$25)),IF(AE807&gt;$D$25,"boven UCL",IF(AE807&lt;$B$25,"onder LCL","")),"")</f>
        <v/>
      </c>
      <c r="AK807" s="13">
        <f>IF(AND(ISNUMBER(AG807),ISNUMBER($B$26),ISNUMBER($D$26)),IF(AG807&gt;$D$26,"boven UCL",IF(AG807&lt;$B$26,"onder LCL","")),"")</f>
        <v/>
      </c>
      <c r="AL807" s="13">
        <f>IF(AND(COUNT(B807:Z807)&gt;0,COUNT(AA807:AC807)&gt;0),"ruwe waarden én getypt: getypte genegeerd",IF(COUNTA(B807:Z807,AA807:AC807)&gt;COUNT(B807:Z807,AA807:AC807),"tekst telt niet mee",IF(COUNT(B807:Z807)=1,"1 waarde: geen R of s","")))</f>
        <v/>
      </c>
    </row>
    <row r="808">
      <c r="A808" t="n">
        <v>757</v>
      </c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28">
        <f>IF(COUNT(B808:Z808)&gt;0,COUNT(B808:Z808),IF(OR(ISNUMBER(AA808),ISNUMBER(AB808)),$B$9,""))</f>
        <v/>
      </c>
      <c r="AE808" s="29">
        <f>IF(COUNT(B808:Z808)&gt;0,AVERAGE(B808:Z808),IF(ISNUMBER(AA808),AA808,""))</f>
        <v/>
      </c>
      <c r="AF808" s="29">
        <f>IF(COUNT(B808:Z808)&gt;1,MAX(B808:Z808)-MIN(B808:Z808),IF(ISNUMBER(AB808),AB808,""))</f>
        <v/>
      </c>
      <c r="AG808" s="29">
        <f>IF(COUNT(B808:Z808)&gt;1,_xlfn.STDEV.S(B808:Z808),IF(ISNUMBER(AC808),AC808,""))</f>
        <v/>
      </c>
      <c r="AH808" s="13">
        <f>IF(AND(ISNUMBER(AE808),ISNUMBER($B$23),ISNUMBER($D$23)),IF(AE808&gt;$D$23,"boven UCL",IF(AE808&lt;$B$23,"onder LCL","")),"")</f>
        <v/>
      </c>
      <c r="AI808" s="13">
        <f>IF(AND(ISNUMBER(AF808),ISNUMBER($B$24),ISNUMBER($D$24)),IF(AF808&gt;$D$24,"boven UCL",IF(AF808&lt;$B$24,"onder LCL","")),"")</f>
        <v/>
      </c>
      <c r="AJ808" s="13">
        <f>IF(AND(ISNUMBER(AE808),ISNUMBER($B$25),ISNUMBER($D$25)),IF(AE808&gt;$D$25,"boven UCL",IF(AE808&lt;$B$25,"onder LCL","")),"")</f>
        <v/>
      </c>
      <c r="AK808" s="13">
        <f>IF(AND(ISNUMBER(AG808),ISNUMBER($B$26),ISNUMBER($D$26)),IF(AG808&gt;$D$26,"boven UCL",IF(AG808&lt;$B$26,"onder LCL","")),"")</f>
        <v/>
      </c>
      <c r="AL808" s="13">
        <f>IF(AND(COUNT(B808:Z808)&gt;0,COUNT(AA808:AC808)&gt;0),"ruwe waarden én getypt: getypte genegeerd",IF(COUNTA(B808:Z808,AA808:AC808)&gt;COUNT(B808:Z808,AA808:AC808),"tekst telt niet mee",IF(COUNT(B808:Z808)=1,"1 waarde: geen R of s","")))</f>
        <v/>
      </c>
    </row>
    <row r="809">
      <c r="A809" t="n">
        <v>758</v>
      </c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28">
        <f>IF(COUNT(B809:Z809)&gt;0,COUNT(B809:Z809),IF(OR(ISNUMBER(AA809),ISNUMBER(AB809)),$B$9,""))</f>
        <v/>
      </c>
      <c r="AE809" s="29">
        <f>IF(COUNT(B809:Z809)&gt;0,AVERAGE(B809:Z809),IF(ISNUMBER(AA809),AA809,""))</f>
        <v/>
      </c>
      <c r="AF809" s="29">
        <f>IF(COUNT(B809:Z809)&gt;1,MAX(B809:Z809)-MIN(B809:Z809),IF(ISNUMBER(AB809),AB809,""))</f>
        <v/>
      </c>
      <c r="AG809" s="29">
        <f>IF(COUNT(B809:Z809)&gt;1,_xlfn.STDEV.S(B809:Z809),IF(ISNUMBER(AC809),AC809,""))</f>
        <v/>
      </c>
      <c r="AH809" s="13">
        <f>IF(AND(ISNUMBER(AE809),ISNUMBER($B$23),ISNUMBER($D$23)),IF(AE809&gt;$D$23,"boven UCL",IF(AE809&lt;$B$23,"onder LCL","")),"")</f>
        <v/>
      </c>
      <c r="AI809" s="13">
        <f>IF(AND(ISNUMBER(AF809),ISNUMBER($B$24),ISNUMBER($D$24)),IF(AF809&gt;$D$24,"boven UCL",IF(AF809&lt;$B$24,"onder LCL","")),"")</f>
        <v/>
      </c>
      <c r="AJ809" s="13">
        <f>IF(AND(ISNUMBER(AE809),ISNUMBER($B$25),ISNUMBER($D$25)),IF(AE809&gt;$D$25,"boven UCL",IF(AE809&lt;$B$25,"onder LCL","")),"")</f>
        <v/>
      </c>
      <c r="AK809" s="13">
        <f>IF(AND(ISNUMBER(AG809),ISNUMBER($B$26),ISNUMBER($D$26)),IF(AG809&gt;$D$26,"boven UCL",IF(AG809&lt;$B$26,"onder LCL","")),"")</f>
        <v/>
      </c>
      <c r="AL809" s="13">
        <f>IF(AND(COUNT(B809:Z809)&gt;0,COUNT(AA809:AC809)&gt;0),"ruwe waarden én getypt: getypte genegeerd",IF(COUNTA(B809:Z809,AA809:AC809)&gt;COUNT(B809:Z809,AA809:AC809),"tekst telt niet mee",IF(COUNT(B809:Z809)=1,"1 waarde: geen R of s","")))</f>
        <v/>
      </c>
    </row>
    <row r="810">
      <c r="A810" t="n">
        <v>759</v>
      </c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28">
        <f>IF(COUNT(B810:Z810)&gt;0,COUNT(B810:Z810),IF(OR(ISNUMBER(AA810),ISNUMBER(AB810)),$B$9,""))</f>
        <v/>
      </c>
      <c r="AE810" s="29">
        <f>IF(COUNT(B810:Z810)&gt;0,AVERAGE(B810:Z810),IF(ISNUMBER(AA810),AA810,""))</f>
        <v/>
      </c>
      <c r="AF810" s="29">
        <f>IF(COUNT(B810:Z810)&gt;1,MAX(B810:Z810)-MIN(B810:Z810),IF(ISNUMBER(AB810),AB810,""))</f>
        <v/>
      </c>
      <c r="AG810" s="29">
        <f>IF(COUNT(B810:Z810)&gt;1,_xlfn.STDEV.S(B810:Z810),IF(ISNUMBER(AC810),AC810,""))</f>
        <v/>
      </c>
      <c r="AH810" s="13">
        <f>IF(AND(ISNUMBER(AE810),ISNUMBER($B$23),ISNUMBER($D$23)),IF(AE810&gt;$D$23,"boven UCL",IF(AE810&lt;$B$23,"onder LCL","")),"")</f>
        <v/>
      </c>
      <c r="AI810" s="13">
        <f>IF(AND(ISNUMBER(AF810),ISNUMBER($B$24),ISNUMBER($D$24)),IF(AF810&gt;$D$24,"boven UCL",IF(AF810&lt;$B$24,"onder LCL","")),"")</f>
        <v/>
      </c>
      <c r="AJ810" s="13">
        <f>IF(AND(ISNUMBER(AE810),ISNUMBER($B$25),ISNUMBER($D$25)),IF(AE810&gt;$D$25,"boven UCL",IF(AE810&lt;$B$25,"onder LCL","")),"")</f>
        <v/>
      </c>
      <c r="AK810" s="13">
        <f>IF(AND(ISNUMBER(AG810),ISNUMBER($B$26),ISNUMBER($D$26)),IF(AG810&gt;$D$26,"boven UCL",IF(AG810&lt;$B$26,"onder LCL","")),"")</f>
        <v/>
      </c>
      <c r="AL810" s="13">
        <f>IF(AND(COUNT(B810:Z810)&gt;0,COUNT(AA810:AC810)&gt;0),"ruwe waarden én getypt: getypte genegeerd",IF(COUNTA(B810:Z810,AA810:AC810)&gt;COUNT(B810:Z810,AA810:AC810),"tekst telt niet mee",IF(COUNT(B810:Z810)=1,"1 waarde: geen R of s","")))</f>
        <v/>
      </c>
    </row>
    <row r="811">
      <c r="A811" t="n">
        <v>760</v>
      </c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28">
        <f>IF(COUNT(B811:Z811)&gt;0,COUNT(B811:Z811),IF(OR(ISNUMBER(AA811),ISNUMBER(AB811)),$B$9,""))</f>
        <v/>
      </c>
      <c r="AE811" s="29">
        <f>IF(COUNT(B811:Z811)&gt;0,AVERAGE(B811:Z811),IF(ISNUMBER(AA811),AA811,""))</f>
        <v/>
      </c>
      <c r="AF811" s="29">
        <f>IF(COUNT(B811:Z811)&gt;1,MAX(B811:Z811)-MIN(B811:Z811),IF(ISNUMBER(AB811),AB811,""))</f>
        <v/>
      </c>
      <c r="AG811" s="29">
        <f>IF(COUNT(B811:Z811)&gt;1,_xlfn.STDEV.S(B811:Z811),IF(ISNUMBER(AC811),AC811,""))</f>
        <v/>
      </c>
      <c r="AH811" s="13">
        <f>IF(AND(ISNUMBER(AE811),ISNUMBER($B$23),ISNUMBER($D$23)),IF(AE811&gt;$D$23,"boven UCL",IF(AE811&lt;$B$23,"onder LCL","")),"")</f>
        <v/>
      </c>
      <c r="AI811" s="13">
        <f>IF(AND(ISNUMBER(AF811),ISNUMBER($B$24),ISNUMBER($D$24)),IF(AF811&gt;$D$24,"boven UCL",IF(AF811&lt;$B$24,"onder LCL","")),"")</f>
        <v/>
      </c>
      <c r="AJ811" s="13">
        <f>IF(AND(ISNUMBER(AE811),ISNUMBER($B$25),ISNUMBER($D$25)),IF(AE811&gt;$D$25,"boven UCL",IF(AE811&lt;$B$25,"onder LCL","")),"")</f>
        <v/>
      </c>
      <c r="AK811" s="13">
        <f>IF(AND(ISNUMBER(AG811),ISNUMBER($B$26),ISNUMBER($D$26)),IF(AG811&gt;$D$26,"boven UCL",IF(AG811&lt;$B$26,"onder LCL","")),"")</f>
        <v/>
      </c>
      <c r="AL811" s="13">
        <f>IF(AND(COUNT(B811:Z811)&gt;0,COUNT(AA811:AC811)&gt;0),"ruwe waarden én getypt: getypte genegeerd",IF(COUNTA(B811:Z811,AA811:AC811)&gt;COUNT(B811:Z811,AA811:AC811),"tekst telt niet mee",IF(COUNT(B811:Z811)=1,"1 waarde: geen R of s","")))</f>
        <v/>
      </c>
    </row>
    <row r="812">
      <c r="A812" t="n">
        <v>761</v>
      </c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28">
        <f>IF(COUNT(B812:Z812)&gt;0,COUNT(B812:Z812),IF(OR(ISNUMBER(AA812),ISNUMBER(AB812)),$B$9,""))</f>
        <v/>
      </c>
      <c r="AE812" s="29">
        <f>IF(COUNT(B812:Z812)&gt;0,AVERAGE(B812:Z812),IF(ISNUMBER(AA812),AA812,""))</f>
        <v/>
      </c>
      <c r="AF812" s="29">
        <f>IF(COUNT(B812:Z812)&gt;1,MAX(B812:Z812)-MIN(B812:Z812),IF(ISNUMBER(AB812),AB812,""))</f>
        <v/>
      </c>
      <c r="AG812" s="29">
        <f>IF(COUNT(B812:Z812)&gt;1,_xlfn.STDEV.S(B812:Z812),IF(ISNUMBER(AC812),AC812,""))</f>
        <v/>
      </c>
      <c r="AH812" s="13">
        <f>IF(AND(ISNUMBER(AE812),ISNUMBER($B$23),ISNUMBER($D$23)),IF(AE812&gt;$D$23,"boven UCL",IF(AE812&lt;$B$23,"onder LCL","")),"")</f>
        <v/>
      </c>
      <c r="AI812" s="13">
        <f>IF(AND(ISNUMBER(AF812),ISNUMBER($B$24),ISNUMBER($D$24)),IF(AF812&gt;$D$24,"boven UCL",IF(AF812&lt;$B$24,"onder LCL","")),"")</f>
        <v/>
      </c>
      <c r="AJ812" s="13">
        <f>IF(AND(ISNUMBER(AE812),ISNUMBER($B$25),ISNUMBER($D$25)),IF(AE812&gt;$D$25,"boven UCL",IF(AE812&lt;$B$25,"onder LCL","")),"")</f>
        <v/>
      </c>
      <c r="AK812" s="13">
        <f>IF(AND(ISNUMBER(AG812),ISNUMBER($B$26),ISNUMBER($D$26)),IF(AG812&gt;$D$26,"boven UCL",IF(AG812&lt;$B$26,"onder LCL","")),"")</f>
        <v/>
      </c>
      <c r="AL812" s="13">
        <f>IF(AND(COUNT(B812:Z812)&gt;0,COUNT(AA812:AC812)&gt;0),"ruwe waarden én getypt: getypte genegeerd",IF(COUNTA(B812:Z812,AA812:AC812)&gt;COUNT(B812:Z812,AA812:AC812),"tekst telt niet mee",IF(COUNT(B812:Z812)=1,"1 waarde: geen R of s","")))</f>
        <v/>
      </c>
    </row>
    <row r="813">
      <c r="A813" t="n">
        <v>762</v>
      </c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28">
        <f>IF(COUNT(B813:Z813)&gt;0,COUNT(B813:Z813),IF(OR(ISNUMBER(AA813),ISNUMBER(AB813)),$B$9,""))</f>
        <v/>
      </c>
      <c r="AE813" s="29">
        <f>IF(COUNT(B813:Z813)&gt;0,AVERAGE(B813:Z813),IF(ISNUMBER(AA813),AA813,""))</f>
        <v/>
      </c>
      <c r="AF813" s="29">
        <f>IF(COUNT(B813:Z813)&gt;1,MAX(B813:Z813)-MIN(B813:Z813),IF(ISNUMBER(AB813),AB813,""))</f>
        <v/>
      </c>
      <c r="AG813" s="29">
        <f>IF(COUNT(B813:Z813)&gt;1,_xlfn.STDEV.S(B813:Z813),IF(ISNUMBER(AC813),AC813,""))</f>
        <v/>
      </c>
      <c r="AH813" s="13">
        <f>IF(AND(ISNUMBER(AE813),ISNUMBER($B$23),ISNUMBER($D$23)),IF(AE813&gt;$D$23,"boven UCL",IF(AE813&lt;$B$23,"onder LCL","")),"")</f>
        <v/>
      </c>
      <c r="AI813" s="13">
        <f>IF(AND(ISNUMBER(AF813),ISNUMBER($B$24),ISNUMBER($D$24)),IF(AF813&gt;$D$24,"boven UCL",IF(AF813&lt;$B$24,"onder LCL","")),"")</f>
        <v/>
      </c>
      <c r="AJ813" s="13">
        <f>IF(AND(ISNUMBER(AE813),ISNUMBER($B$25),ISNUMBER($D$25)),IF(AE813&gt;$D$25,"boven UCL",IF(AE813&lt;$B$25,"onder LCL","")),"")</f>
        <v/>
      </c>
      <c r="AK813" s="13">
        <f>IF(AND(ISNUMBER(AG813),ISNUMBER($B$26),ISNUMBER($D$26)),IF(AG813&gt;$D$26,"boven UCL",IF(AG813&lt;$B$26,"onder LCL","")),"")</f>
        <v/>
      </c>
      <c r="AL813" s="13">
        <f>IF(AND(COUNT(B813:Z813)&gt;0,COUNT(AA813:AC813)&gt;0),"ruwe waarden én getypt: getypte genegeerd",IF(COUNTA(B813:Z813,AA813:AC813)&gt;COUNT(B813:Z813,AA813:AC813),"tekst telt niet mee",IF(COUNT(B813:Z813)=1,"1 waarde: geen R of s","")))</f>
        <v/>
      </c>
    </row>
    <row r="814">
      <c r="A814" t="n">
        <v>763</v>
      </c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28">
        <f>IF(COUNT(B814:Z814)&gt;0,COUNT(B814:Z814),IF(OR(ISNUMBER(AA814),ISNUMBER(AB814)),$B$9,""))</f>
        <v/>
      </c>
      <c r="AE814" s="29">
        <f>IF(COUNT(B814:Z814)&gt;0,AVERAGE(B814:Z814),IF(ISNUMBER(AA814),AA814,""))</f>
        <v/>
      </c>
      <c r="AF814" s="29">
        <f>IF(COUNT(B814:Z814)&gt;1,MAX(B814:Z814)-MIN(B814:Z814),IF(ISNUMBER(AB814),AB814,""))</f>
        <v/>
      </c>
      <c r="AG814" s="29">
        <f>IF(COUNT(B814:Z814)&gt;1,_xlfn.STDEV.S(B814:Z814),IF(ISNUMBER(AC814),AC814,""))</f>
        <v/>
      </c>
      <c r="AH814" s="13">
        <f>IF(AND(ISNUMBER(AE814),ISNUMBER($B$23),ISNUMBER($D$23)),IF(AE814&gt;$D$23,"boven UCL",IF(AE814&lt;$B$23,"onder LCL","")),"")</f>
        <v/>
      </c>
      <c r="AI814" s="13">
        <f>IF(AND(ISNUMBER(AF814),ISNUMBER($B$24),ISNUMBER($D$24)),IF(AF814&gt;$D$24,"boven UCL",IF(AF814&lt;$B$24,"onder LCL","")),"")</f>
        <v/>
      </c>
      <c r="AJ814" s="13">
        <f>IF(AND(ISNUMBER(AE814),ISNUMBER($B$25),ISNUMBER($D$25)),IF(AE814&gt;$D$25,"boven UCL",IF(AE814&lt;$B$25,"onder LCL","")),"")</f>
        <v/>
      </c>
      <c r="AK814" s="13">
        <f>IF(AND(ISNUMBER(AG814),ISNUMBER($B$26),ISNUMBER($D$26)),IF(AG814&gt;$D$26,"boven UCL",IF(AG814&lt;$B$26,"onder LCL","")),"")</f>
        <v/>
      </c>
      <c r="AL814" s="13">
        <f>IF(AND(COUNT(B814:Z814)&gt;0,COUNT(AA814:AC814)&gt;0),"ruwe waarden én getypt: getypte genegeerd",IF(COUNTA(B814:Z814,AA814:AC814)&gt;COUNT(B814:Z814,AA814:AC814),"tekst telt niet mee",IF(COUNT(B814:Z814)=1,"1 waarde: geen R of s","")))</f>
        <v/>
      </c>
    </row>
    <row r="815">
      <c r="A815" t="n">
        <v>764</v>
      </c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28">
        <f>IF(COUNT(B815:Z815)&gt;0,COUNT(B815:Z815),IF(OR(ISNUMBER(AA815),ISNUMBER(AB815)),$B$9,""))</f>
        <v/>
      </c>
      <c r="AE815" s="29">
        <f>IF(COUNT(B815:Z815)&gt;0,AVERAGE(B815:Z815),IF(ISNUMBER(AA815),AA815,""))</f>
        <v/>
      </c>
      <c r="AF815" s="29">
        <f>IF(COUNT(B815:Z815)&gt;1,MAX(B815:Z815)-MIN(B815:Z815),IF(ISNUMBER(AB815),AB815,""))</f>
        <v/>
      </c>
      <c r="AG815" s="29">
        <f>IF(COUNT(B815:Z815)&gt;1,_xlfn.STDEV.S(B815:Z815),IF(ISNUMBER(AC815),AC815,""))</f>
        <v/>
      </c>
      <c r="AH815" s="13">
        <f>IF(AND(ISNUMBER(AE815),ISNUMBER($B$23),ISNUMBER($D$23)),IF(AE815&gt;$D$23,"boven UCL",IF(AE815&lt;$B$23,"onder LCL","")),"")</f>
        <v/>
      </c>
      <c r="AI815" s="13">
        <f>IF(AND(ISNUMBER(AF815),ISNUMBER($B$24),ISNUMBER($D$24)),IF(AF815&gt;$D$24,"boven UCL",IF(AF815&lt;$B$24,"onder LCL","")),"")</f>
        <v/>
      </c>
      <c r="AJ815" s="13">
        <f>IF(AND(ISNUMBER(AE815),ISNUMBER($B$25),ISNUMBER($D$25)),IF(AE815&gt;$D$25,"boven UCL",IF(AE815&lt;$B$25,"onder LCL","")),"")</f>
        <v/>
      </c>
      <c r="AK815" s="13">
        <f>IF(AND(ISNUMBER(AG815),ISNUMBER($B$26),ISNUMBER($D$26)),IF(AG815&gt;$D$26,"boven UCL",IF(AG815&lt;$B$26,"onder LCL","")),"")</f>
        <v/>
      </c>
      <c r="AL815" s="13">
        <f>IF(AND(COUNT(B815:Z815)&gt;0,COUNT(AA815:AC815)&gt;0),"ruwe waarden én getypt: getypte genegeerd",IF(COUNTA(B815:Z815,AA815:AC815)&gt;COUNT(B815:Z815,AA815:AC815),"tekst telt niet mee",IF(COUNT(B815:Z815)=1,"1 waarde: geen R of s","")))</f>
        <v/>
      </c>
    </row>
    <row r="816">
      <c r="A816" t="n">
        <v>765</v>
      </c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28">
        <f>IF(COUNT(B816:Z816)&gt;0,COUNT(B816:Z816),IF(OR(ISNUMBER(AA816),ISNUMBER(AB816)),$B$9,""))</f>
        <v/>
      </c>
      <c r="AE816" s="29">
        <f>IF(COUNT(B816:Z816)&gt;0,AVERAGE(B816:Z816),IF(ISNUMBER(AA816),AA816,""))</f>
        <v/>
      </c>
      <c r="AF816" s="29">
        <f>IF(COUNT(B816:Z816)&gt;1,MAX(B816:Z816)-MIN(B816:Z816),IF(ISNUMBER(AB816),AB816,""))</f>
        <v/>
      </c>
      <c r="AG816" s="29">
        <f>IF(COUNT(B816:Z816)&gt;1,_xlfn.STDEV.S(B816:Z816),IF(ISNUMBER(AC816),AC816,""))</f>
        <v/>
      </c>
      <c r="AH816" s="13">
        <f>IF(AND(ISNUMBER(AE816),ISNUMBER($B$23),ISNUMBER($D$23)),IF(AE816&gt;$D$23,"boven UCL",IF(AE816&lt;$B$23,"onder LCL","")),"")</f>
        <v/>
      </c>
      <c r="AI816" s="13">
        <f>IF(AND(ISNUMBER(AF816),ISNUMBER($B$24),ISNUMBER($D$24)),IF(AF816&gt;$D$24,"boven UCL",IF(AF816&lt;$B$24,"onder LCL","")),"")</f>
        <v/>
      </c>
      <c r="AJ816" s="13">
        <f>IF(AND(ISNUMBER(AE816),ISNUMBER($B$25),ISNUMBER($D$25)),IF(AE816&gt;$D$25,"boven UCL",IF(AE816&lt;$B$25,"onder LCL","")),"")</f>
        <v/>
      </c>
      <c r="AK816" s="13">
        <f>IF(AND(ISNUMBER(AG816),ISNUMBER($B$26),ISNUMBER($D$26)),IF(AG816&gt;$D$26,"boven UCL",IF(AG816&lt;$B$26,"onder LCL","")),"")</f>
        <v/>
      </c>
      <c r="AL816" s="13">
        <f>IF(AND(COUNT(B816:Z816)&gt;0,COUNT(AA816:AC816)&gt;0),"ruwe waarden én getypt: getypte genegeerd",IF(COUNTA(B816:Z816,AA816:AC816)&gt;COUNT(B816:Z816,AA816:AC816),"tekst telt niet mee",IF(COUNT(B816:Z816)=1,"1 waarde: geen R of s","")))</f>
        <v/>
      </c>
    </row>
    <row r="817">
      <c r="A817" t="n">
        <v>766</v>
      </c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28">
        <f>IF(COUNT(B817:Z817)&gt;0,COUNT(B817:Z817),IF(OR(ISNUMBER(AA817),ISNUMBER(AB817)),$B$9,""))</f>
        <v/>
      </c>
      <c r="AE817" s="29">
        <f>IF(COUNT(B817:Z817)&gt;0,AVERAGE(B817:Z817),IF(ISNUMBER(AA817),AA817,""))</f>
        <v/>
      </c>
      <c r="AF817" s="29">
        <f>IF(COUNT(B817:Z817)&gt;1,MAX(B817:Z817)-MIN(B817:Z817),IF(ISNUMBER(AB817),AB817,""))</f>
        <v/>
      </c>
      <c r="AG817" s="29">
        <f>IF(COUNT(B817:Z817)&gt;1,_xlfn.STDEV.S(B817:Z817),IF(ISNUMBER(AC817),AC817,""))</f>
        <v/>
      </c>
      <c r="AH817" s="13">
        <f>IF(AND(ISNUMBER(AE817),ISNUMBER($B$23),ISNUMBER($D$23)),IF(AE817&gt;$D$23,"boven UCL",IF(AE817&lt;$B$23,"onder LCL","")),"")</f>
        <v/>
      </c>
      <c r="AI817" s="13">
        <f>IF(AND(ISNUMBER(AF817),ISNUMBER($B$24),ISNUMBER($D$24)),IF(AF817&gt;$D$24,"boven UCL",IF(AF817&lt;$B$24,"onder LCL","")),"")</f>
        <v/>
      </c>
      <c r="AJ817" s="13">
        <f>IF(AND(ISNUMBER(AE817),ISNUMBER($B$25),ISNUMBER($D$25)),IF(AE817&gt;$D$25,"boven UCL",IF(AE817&lt;$B$25,"onder LCL","")),"")</f>
        <v/>
      </c>
      <c r="AK817" s="13">
        <f>IF(AND(ISNUMBER(AG817),ISNUMBER($B$26),ISNUMBER($D$26)),IF(AG817&gt;$D$26,"boven UCL",IF(AG817&lt;$B$26,"onder LCL","")),"")</f>
        <v/>
      </c>
      <c r="AL817" s="13">
        <f>IF(AND(COUNT(B817:Z817)&gt;0,COUNT(AA817:AC817)&gt;0),"ruwe waarden én getypt: getypte genegeerd",IF(COUNTA(B817:Z817,AA817:AC817)&gt;COUNT(B817:Z817,AA817:AC817),"tekst telt niet mee",IF(COUNT(B817:Z817)=1,"1 waarde: geen R of s","")))</f>
        <v/>
      </c>
    </row>
    <row r="818">
      <c r="A818" t="n">
        <v>767</v>
      </c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28">
        <f>IF(COUNT(B818:Z818)&gt;0,COUNT(B818:Z818),IF(OR(ISNUMBER(AA818),ISNUMBER(AB818)),$B$9,""))</f>
        <v/>
      </c>
      <c r="AE818" s="29">
        <f>IF(COUNT(B818:Z818)&gt;0,AVERAGE(B818:Z818),IF(ISNUMBER(AA818),AA818,""))</f>
        <v/>
      </c>
      <c r="AF818" s="29">
        <f>IF(COUNT(B818:Z818)&gt;1,MAX(B818:Z818)-MIN(B818:Z818),IF(ISNUMBER(AB818),AB818,""))</f>
        <v/>
      </c>
      <c r="AG818" s="29">
        <f>IF(COUNT(B818:Z818)&gt;1,_xlfn.STDEV.S(B818:Z818),IF(ISNUMBER(AC818),AC818,""))</f>
        <v/>
      </c>
      <c r="AH818" s="13">
        <f>IF(AND(ISNUMBER(AE818),ISNUMBER($B$23),ISNUMBER($D$23)),IF(AE818&gt;$D$23,"boven UCL",IF(AE818&lt;$B$23,"onder LCL","")),"")</f>
        <v/>
      </c>
      <c r="AI818" s="13">
        <f>IF(AND(ISNUMBER(AF818),ISNUMBER($B$24),ISNUMBER($D$24)),IF(AF818&gt;$D$24,"boven UCL",IF(AF818&lt;$B$24,"onder LCL","")),"")</f>
        <v/>
      </c>
      <c r="AJ818" s="13">
        <f>IF(AND(ISNUMBER(AE818),ISNUMBER($B$25),ISNUMBER($D$25)),IF(AE818&gt;$D$25,"boven UCL",IF(AE818&lt;$B$25,"onder LCL","")),"")</f>
        <v/>
      </c>
      <c r="AK818" s="13">
        <f>IF(AND(ISNUMBER(AG818),ISNUMBER($B$26),ISNUMBER($D$26)),IF(AG818&gt;$D$26,"boven UCL",IF(AG818&lt;$B$26,"onder LCL","")),"")</f>
        <v/>
      </c>
      <c r="AL818" s="13">
        <f>IF(AND(COUNT(B818:Z818)&gt;0,COUNT(AA818:AC818)&gt;0),"ruwe waarden én getypt: getypte genegeerd",IF(COUNTA(B818:Z818,AA818:AC818)&gt;COUNT(B818:Z818,AA818:AC818),"tekst telt niet mee",IF(COUNT(B818:Z818)=1,"1 waarde: geen R of s","")))</f>
        <v/>
      </c>
    </row>
    <row r="819">
      <c r="A819" t="n">
        <v>768</v>
      </c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28">
        <f>IF(COUNT(B819:Z819)&gt;0,COUNT(B819:Z819),IF(OR(ISNUMBER(AA819),ISNUMBER(AB819)),$B$9,""))</f>
        <v/>
      </c>
      <c r="AE819" s="29">
        <f>IF(COUNT(B819:Z819)&gt;0,AVERAGE(B819:Z819),IF(ISNUMBER(AA819),AA819,""))</f>
        <v/>
      </c>
      <c r="AF819" s="29">
        <f>IF(COUNT(B819:Z819)&gt;1,MAX(B819:Z819)-MIN(B819:Z819),IF(ISNUMBER(AB819),AB819,""))</f>
        <v/>
      </c>
      <c r="AG819" s="29">
        <f>IF(COUNT(B819:Z819)&gt;1,_xlfn.STDEV.S(B819:Z819),IF(ISNUMBER(AC819),AC819,""))</f>
        <v/>
      </c>
      <c r="AH819" s="13">
        <f>IF(AND(ISNUMBER(AE819),ISNUMBER($B$23),ISNUMBER($D$23)),IF(AE819&gt;$D$23,"boven UCL",IF(AE819&lt;$B$23,"onder LCL","")),"")</f>
        <v/>
      </c>
      <c r="AI819" s="13">
        <f>IF(AND(ISNUMBER(AF819),ISNUMBER($B$24),ISNUMBER($D$24)),IF(AF819&gt;$D$24,"boven UCL",IF(AF819&lt;$B$24,"onder LCL","")),"")</f>
        <v/>
      </c>
      <c r="AJ819" s="13">
        <f>IF(AND(ISNUMBER(AE819),ISNUMBER($B$25),ISNUMBER($D$25)),IF(AE819&gt;$D$25,"boven UCL",IF(AE819&lt;$B$25,"onder LCL","")),"")</f>
        <v/>
      </c>
      <c r="AK819" s="13">
        <f>IF(AND(ISNUMBER(AG819),ISNUMBER($B$26),ISNUMBER($D$26)),IF(AG819&gt;$D$26,"boven UCL",IF(AG819&lt;$B$26,"onder LCL","")),"")</f>
        <v/>
      </c>
      <c r="AL819" s="13">
        <f>IF(AND(COUNT(B819:Z819)&gt;0,COUNT(AA819:AC819)&gt;0),"ruwe waarden én getypt: getypte genegeerd",IF(COUNTA(B819:Z819,AA819:AC819)&gt;COUNT(B819:Z819,AA819:AC819),"tekst telt niet mee",IF(COUNT(B819:Z819)=1,"1 waarde: geen R of s","")))</f>
        <v/>
      </c>
    </row>
    <row r="820">
      <c r="A820" t="n">
        <v>769</v>
      </c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28">
        <f>IF(COUNT(B820:Z820)&gt;0,COUNT(B820:Z820),IF(OR(ISNUMBER(AA820),ISNUMBER(AB820)),$B$9,""))</f>
        <v/>
      </c>
      <c r="AE820" s="29">
        <f>IF(COUNT(B820:Z820)&gt;0,AVERAGE(B820:Z820),IF(ISNUMBER(AA820),AA820,""))</f>
        <v/>
      </c>
      <c r="AF820" s="29">
        <f>IF(COUNT(B820:Z820)&gt;1,MAX(B820:Z820)-MIN(B820:Z820),IF(ISNUMBER(AB820),AB820,""))</f>
        <v/>
      </c>
      <c r="AG820" s="29">
        <f>IF(COUNT(B820:Z820)&gt;1,_xlfn.STDEV.S(B820:Z820),IF(ISNUMBER(AC820),AC820,""))</f>
        <v/>
      </c>
      <c r="AH820" s="13">
        <f>IF(AND(ISNUMBER(AE820),ISNUMBER($B$23),ISNUMBER($D$23)),IF(AE820&gt;$D$23,"boven UCL",IF(AE820&lt;$B$23,"onder LCL","")),"")</f>
        <v/>
      </c>
      <c r="AI820" s="13">
        <f>IF(AND(ISNUMBER(AF820),ISNUMBER($B$24),ISNUMBER($D$24)),IF(AF820&gt;$D$24,"boven UCL",IF(AF820&lt;$B$24,"onder LCL","")),"")</f>
        <v/>
      </c>
      <c r="AJ820" s="13">
        <f>IF(AND(ISNUMBER(AE820),ISNUMBER($B$25),ISNUMBER($D$25)),IF(AE820&gt;$D$25,"boven UCL",IF(AE820&lt;$B$25,"onder LCL","")),"")</f>
        <v/>
      </c>
      <c r="AK820" s="13">
        <f>IF(AND(ISNUMBER(AG820),ISNUMBER($B$26),ISNUMBER($D$26)),IF(AG820&gt;$D$26,"boven UCL",IF(AG820&lt;$B$26,"onder LCL","")),"")</f>
        <v/>
      </c>
      <c r="AL820" s="13">
        <f>IF(AND(COUNT(B820:Z820)&gt;0,COUNT(AA820:AC820)&gt;0),"ruwe waarden én getypt: getypte genegeerd",IF(COUNTA(B820:Z820,AA820:AC820)&gt;COUNT(B820:Z820,AA820:AC820),"tekst telt niet mee",IF(COUNT(B820:Z820)=1,"1 waarde: geen R of s","")))</f>
        <v/>
      </c>
    </row>
    <row r="821">
      <c r="A821" t="n">
        <v>770</v>
      </c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28">
        <f>IF(COUNT(B821:Z821)&gt;0,COUNT(B821:Z821),IF(OR(ISNUMBER(AA821),ISNUMBER(AB821)),$B$9,""))</f>
        <v/>
      </c>
      <c r="AE821" s="29">
        <f>IF(COUNT(B821:Z821)&gt;0,AVERAGE(B821:Z821),IF(ISNUMBER(AA821),AA821,""))</f>
        <v/>
      </c>
      <c r="AF821" s="29">
        <f>IF(COUNT(B821:Z821)&gt;1,MAX(B821:Z821)-MIN(B821:Z821),IF(ISNUMBER(AB821),AB821,""))</f>
        <v/>
      </c>
      <c r="AG821" s="29">
        <f>IF(COUNT(B821:Z821)&gt;1,_xlfn.STDEV.S(B821:Z821),IF(ISNUMBER(AC821),AC821,""))</f>
        <v/>
      </c>
      <c r="AH821" s="13">
        <f>IF(AND(ISNUMBER(AE821),ISNUMBER($B$23),ISNUMBER($D$23)),IF(AE821&gt;$D$23,"boven UCL",IF(AE821&lt;$B$23,"onder LCL","")),"")</f>
        <v/>
      </c>
      <c r="AI821" s="13">
        <f>IF(AND(ISNUMBER(AF821),ISNUMBER($B$24),ISNUMBER($D$24)),IF(AF821&gt;$D$24,"boven UCL",IF(AF821&lt;$B$24,"onder LCL","")),"")</f>
        <v/>
      </c>
      <c r="AJ821" s="13">
        <f>IF(AND(ISNUMBER(AE821),ISNUMBER($B$25),ISNUMBER($D$25)),IF(AE821&gt;$D$25,"boven UCL",IF(AE821&lt;$B$25,"onder LCL","")),"")</f>
        <v/>
      </c>
      <c r="AK821" s="13">
        <f>IF(AND(ISNUMBER(AG821),ISNUMBER($B$26),ISNUMBER($D$26)),IF(AG821&gt;$D$26,"boven UCL",IF(AG821&lt;$B$26,"onder LCL","")),"")</f>
        <v/>
      </c>
      <c r="AL821" s="13">
        <f>IF(AND(COUNT(B821:Z821)&gt;0,COUNT(AA821:AC821)&gt;0),"ruwe waarden én getypt: getypte genegeerd",IF(COUNTA(B821:Z821,AA821:AC821)&gt;COUNT(B821:Z821,AA821:AC821),"tekst telt niet mee",IF(COUNT(B821:Z821)=1,"1 waarde: geen R of s","")))</f>
        <v/>
      </c>
    </row>
    <row r="822">
      <c r="A822" t="n">
        <v>771</v>
      </c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28">
        <f>IF(COUNT(B822:Z822)&gt;0,COUNT(B822:Z822),IF(OR(ISNUMBER(AA822),ISNUMBER(AB822)),$B$9,""))</f>
        <v/>
      </c>
      <c r="AE822" s="29">
        <f>IF(COUNT(B822:Z822)&gt;0,AVERAGE(B822:Z822),IF(ISNUMBER(AA822),AA822,""))</f>
        <v/>
      </c>
      <c r="AF822" s="29">
        <f>IF(COUNT(B822:Z822)&gt;1,MAX(B822:Z822)-MIN(B822:Z822),IF(ISNUMBER(AB822),AB822,""))</f>
        <v/>
      </c>
      <c r="AG822" s="29">
        <f>IF(COUNT(B822:Z822)&gt;1,_xlfn.STDEV.S(B822:Z822),IF(ISNUMBER(AC822),AC822,""))</f>
        <v/>
      </c>
      <c r="AH822" s="13">
        <f>IF(AND(ISNUMBER(AE822),ISNUMBER($B$23),ISNUMBER($D$23)),IF(AE822&gt;$D$23,"boven UCL",IF(AE822&lt;$B$23,"onder LCL","")),"")</f>
        <v/>
      </c>
      <c r="AI822" s="13">
        <f>IF(AND(ISNUMBER(AF822),ISNUMBER($B$24),ISNUMBER($D$24)),IF(AF822&gt;$D$24,"boven UCL",IF(AF822&lt;$B$24,"onder LCL","")),"")</f>
        <v/>
      </c>
      <c r="AJ822" s="13">
        <f>IF(AND(ISNUMBER(AE822),ISNUMBER($B$25),ISNUMBER($D$25)),IF(AE822&gt;$D$25,"boven UCL",IF(AE822&lt;$B$25,"onder LCL","")),"")</f>
        <v/>
      </c>
      <c r="AK822" s="13">
        <f>IF(AND(ISNUMBER(AG822),ISNUMBER($B$26),ISNUMBER($D$26)),IF(AG822&gt;$D$26,"boven UCL",IF(AG822&lt;$B$26,"onder LCL","")),"")</f>
        <v/>
      </c>
      <c r="AL822" s="13">
        <f>IF(AND(COUNT(B822:Z822)&gt;0,COUNT(AA822:AC822)&gt;0),"ruwe waarden én getypt: getypte genegeerd",IF(COUNTA(B822:Z822,AA822:AC822)&gt;COUNT(B822:Z822,AA822:AC822),"tekst telt niet mee",IF(COUNT(B822:Z822)=1,"1 waarde: geen R of s","")))</f>
        <v/>
      </c>
    </row>
    <row r="823">
      <c r="A823" t="n">
        <v>772</v>
      </c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28">
        <f>IF(COUNT(B823:Z823)&gt;0,COUNT(B823:Z823),IF(OR(ISNUMBER(AA823),ISNUMBER(AB823)),$B$9,""))</f>
        <v/>
      </c>
      <c r="AE823" s="29">
        <f>IF(COUNT(B823:Z823)&gt;0,AVERAGE(B823:Z823),IF(ISNUMBER(AA823),AA823,""))</f>
        <v/>
      </c>
      <c r="AF823" s="29">
        <f>IF(COUNT(B823:Z823)&gt;1,MAX(B823:Z823)-MIN(B823:Z823),IF(ISNUMBER(AB823),AB823,""))</f>
        <v/>
      </c>
      <c r="AG823" s="29">
        <f>IF(COUNT(B823:Z823)&gt;1,_xlfn.STDEV.S(B823:Z823),IF(ISNUMBER(AC823),AC823,""))</f>
        <v/>
      </c>
      <c r="AH823" s="13">
        <f>IF(AND(ISNUMBER(AE823),ISNUMBER($B$23),ISNUMBER($D$23)),IF(AE823&gt;$D$23,"boven UCL",IF(AE823&lt;$B$23,"onder LCL","")),"")</f>
        <v/>
      </c>
      <c r="AI823" s="13">
        <f>IF(AND(ISNUMBER(AF823),ISNUMBER($B$24),ISNUMBER($D$24)),IF(AF823&gt;$D$24,"boven UCL",IF(AF823&lt;$B$24,"onder LCL","")),"")</f>
        <v/>
      </c>
      <c r="AJ823" s="13">
        <f>IF(AND(ISNUMBER(AE823),ISNUMBER($B$25),ISNUMBER($D$25)),IF(AE823&gt;$D$25,"boven UCL",IF(AE823&lt;$B$25,"onder LCL","")),"")</f>
        <v/>
      </c>
      <c r="AK823" s="13">
        <f>IF(AND(ISNUMBER(AG823),ISNUMBER($B$26),ISNUMBER($D$26)),IF(AG823&gt;$D$26,"boven UCL",IF(AG823&lt;$B$26,"onder LCL","")),"")</f>
        <v/>
      </c>
      <c r="AL823" s="13">
        <f>IF(AND(COUNT(B823:Z823)&gt;0,COUNT(AA823:AC823)&gt;0),"ruwe waarden én getypt: getypte genegeerd",IF(COUNTA(B823:Z823,AA823:AC823)&gt;COUNT(B823:Z823,AA823:AC823),"tekst telt niet mee",IF(COUNT(B823:Z823)=1,"1 waarde: geen R of s","")))</f>
        <v/>
      </c>
    </row>
    <row r="824">
      <c r="A824" t="n">
        <v>773</v>
      </c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28">
        <f>IF(COUNT(B824:Z824)&gt;0,COUNT(B824:Z824),IF(OR(ISNUMBER(AA824),ISNUMBER(AB824)),$B$9,""))</f>
        <v/>
      </c>
      <c r="AE824" s="29">
        <f>IF(COUNT(B824:Z824)&gt;0,AVERAGE(B824:Z824),IF(ISNUMBER(AA824),AA824,""))</f>
        <v/>
      </c>
      <c r="AF824" s="29">
        <f>IF(COUNT(B824:Z824)&gt;1,MAX(B824:Z824)-MIN(B824:Z824),IF(ISNUMBER(AB824),AB824,""))</f>
        <v/>
      </c>
      <c r="AG824" s="29">
        <f>IF(COUNT(B824:Z824)&gt;1,_xlfn.STDEV.S(B824:Z824),IF(ISNUMBER(AC824),AC824,""))</f>
        <v/>
      </c>
      <c r="AH824" s="13">
        <f>IF(AND(ISNUMBER(AE824),ISNUMBER($B$23),ISNUMBER($D$23)),IF(AE824&gt;$D$23,"boven UCL",IF(AE824&lt;$B$23,"onder LCL","")),"")</f>
        <v/>
      </c>
      <c r="AI824" s="13">
        <f>IF(AND(ISNUMBER(AF824),ISNUMBER($B$24),ISNUMBER($D$24)),IF(AF824&gt;$D$24,"boven UCL",IF(AF824&lt;$B$24,"onder LCL","")),"")</f>
        <v/>
      </c>
      <c r="AJ824" s="13">
        <f>IF(AND(ISNUMBER(AE824),ISNUMBER($B$25),ISNUMBER($D$25)),IF(AE824&gt;$D$25,"boven UCL",IF(AE824&lt;$B$25,"onder LCL","")),"")</f>
        <v/>
      </c>
      <c r="AK824" s="13">
        <f>IF(AND(ISNUMBER(AG824),ISNUMBER($B$26),ISNUMBER($D$26)),IF(AG824&gt;$D$26,"boven UCL",IF(AG824&lt;$B$26,"onder LCL","")),"")</f>
        <v/>
      </c>
      <c r="AL824" s="13">
        <f>IF(AND(COUNT(B824:Z824)&gt;0,COUNT(AA824:AC824)&gt;0),"ruwe waarden én getypt: getypte genegeerd",IF(COUNTA(B824:Z824,AA824:AC824)&gt;COUNT(B824:Z824,AA824:AC824),"tekst telt niet mee",IF(COUNT(B824:Z824)=1,"1 waarde: geen R of s","")))</f>
        <v/>
      </c>
    </row>
    <row r="825">
      <c r="A825" t="n">
        <v>774</v>
      </c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28">
        <f>IF(COUNT(B825:Z825)&gt;0,COUNT(B825:Z825),IF(OR(ISNUMBER(AA825),ISNUMBER(AB825)),$B$9,""))</f>
        <v/>
      </c>
      <c r="AE825" s="29">
        <f>IF(COUNT(B825:Z825)&gt;0,AVERAGE(B825:Z825),IF(ISNUMBER(AA825),AA825,""))</f>
        <v/>
      </c>
      <c r="AF825" s="29">
        <f>IF(COUNT(B825:Z825)&gt;1,MAX(B825:Z825)-MIN(B825:Z825),IF(ISNUMBER(AB825),AB825,""))</f>
        <v/>
      </c>
      <c r="AG825" s="29">
        <f>IF(COUNT(B825:Z825)&gt;1,_xlfn.STDEV.S(B825:Z825),IF(ISNUMBER(AC825),AC825,""))</f>
        <v/>
      </c>
      <c r="AH825" s="13">
        <f>IF(AND(ISNUMBER(AE825),ISNUMBER($B$23),ISNUMBER($D$23)),IF(AE825&gt;$D$23,"boven UCL",IF(AE825&lt;$B$23,"onder LCL","")),"")</f>
        <v/>
      </c>
      <c r="AI825" s="13">
        <f>IF(AND(ISNUMBER(AF825),ISNUMBER($B$24),ISNUMBER($D$24)),IF(AF825&gt;$D$24,"boven UCL",IF(AF825&lt;$B$24,"onder LCL","")),"")</f>
        <v/>
      </c>
      <c r="AJ825" s="13">
        <f>IF(AND(ISNUMBER(AE825),ISNUMBER($B$25),ISNUMBER($D$25)),IF(AE825&gt;$D$25,"boven UCL",IF(AE825&lt;$B$25,"onder LCL","")),"")</f>
        <v/>
      </c>
      <c r="AK825" s="13">
        <f>IF(AND(ISNUMBER(AG825),ISNUMBER($B$26),ISNUMBER($D$26)),IF(AG825&gt;$D$26,"boven UCL",IF(AG825&lt;$B$26,"onder LCL","")),"")</f>
        <v/>
      </c>
      <c r="AL825" s="13">
        <f>IF(AND(COUNT(B825:Z825)&gt;0,COUNT(AA825:AC825)&gt;0),"ruwe waarden én getypt: getypte genegeerd",IF(COUNTA(B825:Z825,AA825:AC825)&gt;COUNT(B825:Z825,AA825:AC825),"tekst telt niet mee",IF(COUNT(B825:Z825)=1,"1 waarde: geen R of s","")))</f>
        <v/>
      </c>
    </row>
    <row r="826">
      <c r="A826" t="n">
        <v>775</v>
      </c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28">
        <f>IF(COUNT(B826:Z826)&gt;0,COUNT(B826:Z826),IF(OR(ISNUMBER(AA826),ISNUMBER(AB826)),$B$9,""))</f>
        <v/>
      </c>
      <c r="AE826" s="29">
        <f>IF(COUNT(B826:Z826)&gt;0,AVERAGE(B826:Z826),IF(ISNUMBER(AA826),AA826,""))</f>
        <v/>
      </c>
      <c r="AF826" s="29">
        <f>IF(COUNT(B826:Z826)&gt;1,MAX(B826:Z826)-MIN(B826:Z826),IF(ISNUMBER(AB826),AB826,""))</f>
        <v/>
      </c>
      <c r="AG826" s="29">
        <f>IF(COUNT(B826:Z826)&gt;1,_xlfn.STDEV.S(B826:Z826),IF(ISNUMBER(AC826),AC826,""))</f>
        <v/>
      </c>
      <c r="AH826" s="13">
        <f>IF(AND(ISNUMBER(AE826),ISNUMBER($B$23),ISNUMBER($D$23)),IF(AE826&gt;$D$23,"boven UCL",IF(AE826&lt;$B$23,"onder LCL","")),"")</f>
        <v/>
      </c>
      <c r="AI826" s="13">
        <f>IF(AND(ISNUMBER(AF826),ISNUMBER($B$24),ISNUMBER($D$24)),IF(AF826&gt;$D$24,"boven UCL",IF(AF826&lt;$B$24,"onder LCL","")),"")</f>
        <v/>
      </c>
      <c r="AJ826" s="13">
        <f>IF(AND(ISNUMBER(AE826),ISNUMBER($B$25),ISNUMBER($D$25)),IF(AE826&gt;$D$25,"boven UCL",IF(AE826&lt;$B$25,"onder LCL","")),"")</f>
        <v/>
      </c>
      <c r="AK826" s="13">
        <f>IF(AND(ISNUMBER(AG826),ISNUMBER($B$26),ISNUMBER($D$26)),IF(AG826&gt;$D$26,"boven UCL",IF(AG826&lt;$B$26,"onder LCL","")),"")</f>
        <v/>
      </c>
      <c r="AL826" s="13">
        <f>IF(AND(COUNT(B826:Z826)&gt;0,COUNT(AA826:AC826)&gt;0),"ruwe waarden én getypt: getypte genegeerd",IF(COUNTA(B826:Z826,AA826:AC826)&gt;COUNT(B826:Z826,AA826:AC826),"tekst telt niet mee",IF(COUNT(B826:Z826)=1,"1 waarde: geen R of s","")))</f>
        <v/>
      </c>
    </row>
    <row r="827">
      <c r="A827" t="n">
        <v>776</v>
      </c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28">
        <f>IF(COUNT(B827:Z827)&gt;0,COUNT(B827:Z827),IF(OR(ISNUMBER(AA827),ISNUMBER(AB827)),$B$9,""))</f>
        <v/>
      </c>
      <c r="AE827" s="29">
        <f>IF(COUNT(B827:Z827)&gt;0,AVERAGE(B827:Z827),IF(ISNUMBER(AA827),AA827,""))</f>
        <v/>
      </c>
      <c r="AF827" s="29">
        <f>IF(COUNT(B827:Z827)&gt;1,MAX(B827:Z827)-MIN(B827:Z827),IF(ISNUMBER(AB827),AB827,""))</f>
        <v/>
      </c>
      <c r="AG827" s="29">
        <f>IF(COUNT(B827:Z827)&gt;1,_xlfn.STDEV.S(B827:Z827),IF(ISNUMBER(AC827),AC827,""))</f>
        <v/>
      </c>
      <c r="AH827" s="13">
        <f>IF(AND(ISNUMBER(AE827),ISNUMBER($B$23),ISNUMBER($D$23)),IF(AE827&gt;$D$23,"boven UCL",IF(AE827&lt;$B$23,"onder LCL","")),"")</f>
        <v/>
      </c>
      <c r="AI827" s="13">
        <f>IF(AND(ISNUMBER(AF827),ISNUMBER($B$24),ISNUMBER($D$24)),IF(AF827&gt;$D$24,"boven UCL",IF(AF827&lt;$B$24,"onder LCL","")),"")</f>
        <v/>
      </c>
      <c r="AJ827" s="13">
        <f>IF(AND(ISNUMBER(AE827),ISNUMBER($B$25),ISNUMBER($D$25)),IF(AE827&gt;$D$25,"boven UCL",IF(AE827&lt;$B$25,"onder LCL","")),"")</f>
        <v/>
      </c>
      <c r="AK827" s="13">
        <f>IF(AND(ISNUMBER(AG827),ISNUMBER($B$26),ISNUMBER($D$26)),IF(AG827&gt;$D$26,"boven UCL",IF(AG827&lt;$B$26,"onder LCL","")),"")</f>
        <v/>
      </c>
      <c r="AL827" s="13">
        <f>IF(AND(COUNT(B827:Z827)&gt;0,COUNT(AA827:AC827)&gt;0),"ruwe waarden én getypt: getypte genegeerd",IF(COUNTA(B827:Z827,AA827:AC827)&gt;COUNT(B827:Z827,AA827:AC827),"tekst telt niet mee",IF(COUNT(B827:Z827)=1,"1 waarde: geen R of s","")))</f>
        <v/>
      </c>
    </row>
    <row r="828">
      <c r="A828" t="n">
        <v>777</v>
      </c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28">
        <f>IF(COUNT(B828:Z828)&gt;0,COUNT(B828:Z828),IF(OR(ISNUMBER(AA828),ISNUMBER(AB828)),$B$9,""))</f>
        <v/>
      </c>
      <c r="AE828" s="29">
        <f>IF(COUNT(B828:Z828)&gt;0,AVERAGE(B828:Z828),IF(ISNUMBER(AA828),AA828,""))</f>
        <v/>
      </c>
      <c r="AF828" s="29">
        <f>IF(COUNT(B828:Z828)&gt;1,MAX(B828:Z828)-MIN(B828:Z828),IF(ISNUMBER(AB828),AB828,""))</f>
        <v/>
      </c>
      <c r="AG828" s="29">
        <f>IF(COUNT(B828:Z828)&gt;1,_xlfn.STDEV.S(B828:Z828),IF(ISNUMBER(AC828),AC828,""))</f>
        <v/>
      </c>
      <c r="AH828" s="13">
        <f>IF(AND(ISNUMBER(AE828),ISNUMBER($B$23),ISNUMBER($D$23)),IF(AE828&gt;$D$23,"boven UCL",IF(AE828&lt;$B$23,"onder LCL","")),"")</f>
        <v/>
      </c>
      <c r="AI828" s="13">
        <f>IF(AND(ISNUMBER(AF828),ISNUMBER($B$24),ISNUMBER($D$24)),IF(AF828&gt;$D$24,"boven UCL",IF(AF828&lt;$B$24,"onder LCL","")),"")</f>
        <v/>
      </c>
      <c r="AJ828" s="13">
        <f>IF(AND(ISNUMBER(AE828),ISNUMBER($B$25),ISNUMBER($D$25)),IF(AE828&gt;$D$25,"boven UCL",IF(AE828&lt;$B$25,"onder LCL","")),"")</f>
        <v/>
      </c>
      <c r="AK828" s="13">
        <f>IF(AND(ISNUMBER(AG828),ISNUMBER($B$26),ISNUMBER($D$26)),IF(AG828&gt;$D$26,"boven UCL",IF(AG828&lt;$B$26,"onder LCL","")),"")</f>
        <v/>
      </c>
      <c r="AL828" s="13">
        <f>IF(AND(COUNT(B828:Z828)&gt;0,COUNT(AA828:AC828)&gt;0),"ruwe waarden én getypt: getypte genegeerd",IF(COUNTA(B828:Z828,AA828:AC828)&gt;COUNT(B828:Z828,AA828:AC828),"tekst telt niet mee",IF(COUNT(B828:Z828)=1,"1 waarde: geen R of s","")))</f>
        <v/>
      </c>
    </row>
    <row r="829">
      <c r="A829" t="n">
        <v>778</v>
      </c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28">
        <f>IF(COUNT(B829:Z829)&gt;0,COUNT(B829:Z829),IF(OR(ISNUMBER(AA829),ISNUMBER(AB829)),$B$9,""))</f>
        <v/>
      </c>
      <c r="AE829" s="29">
        <f>IF(COUNT(B829:Z829)&gt;0,AVERAGE(B829:Z829),IF(ISNUMBER(AA829),AA829,""))</f>
        <v/>
      </c>
      <c r="AF829" s="29">
        <f>IF(COUNT(B829:Z829)&gt;1,MAX(B829:Z829)-MIN(B829:Z829),IF(ISNUMBER(AB829),AB829,""))</f>
        <v/>
      </c>
      <c r="AG829" s="29">
        <f>IF(COUNT(B829:Z829)&gt;1,_xlfn.STDEV.S(B829:Z829),IF(ISNUMBER(AC829),AC829,""))</f>
        <v/>
      </c>
      <c r="AH829" s="13">
        <f>IF(AND(ISNUMBER(AE829),ISNUMBER($B$23),ISNUMBER($D$23)),IF(AE829&gt;$D$23,"boven UCL",IF(AE829&lt;$B$23,"onder LCL","")),"")</f>
        <v/>
      </c>
      <c r="AI829" s="13">
        <f>IF(AND(ISNUMBER(AF829),ISNUMBER($B$24),ISNUMBER($D$24)),IF(AF829&gt;$D$24,"boven UCL",IF(AF829&lt;$B$24,"onder LCL","")),"")</f>
        <v/>
      </c>
      <c r="AJ829" s="13">
        <f>IF(AND(ISNUMBER(AE829),ISNUMBER($B$25),ISNUMBER($D$25)),IF(AE829&gt;$D$25,"boven UCL",IF(AE829&lt;$B$25,"onder LCL","")),"")</f>
        <v/>
      </c>
      <c r="AK829" s="13">
        <f>IF(AND(ISNUMBER(AG829),ISNUMBER($B$26),ISNUMBER($D$26)),IF(AG829&gt;$D$26,"boven UCL",IF(AG829&lt;$B$26,"onder LCL","")),"")</f>
        <v/>
      </c>
      <c r="AL829" s="13">
        <f>IF(AND(COUNT(B829:Z829)&gt;0,COUNT(AA829:AC829)&gt;0),"ruwe waarden én getypt: getypte genegeerd",IF(COUNTA(B829:Z829,AA829:AC829)&gt;COUNT(B829:Z829,AA829:AC829),"tekst telt niet mee",IF(COUNT(B829:Z829)=1,"1 waarde: geen R of s","")))</f>
        <v/>
      </c>
    </row>
    <row r="830">
      <c r="A830" t="n">
        <v>779</v>
      </c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28">
        <f>IF(COUNT(B830:Z830)&gt;0,COUNT(B830:Z830),IF(OR(ISNUMBER(AA830),ISNUMBER(AB830)),$B$9,""))</f>
        <v/>
      </c>
      <c r="AE830" s="29">
        <f>IF(COUNT(B830:Z830)&gt;0,AVERAGE(B830:Z830),IF(ISNUMBER(AA830),AA830,""))</f>
        <v/>
      </c>
      <c r="AF830" s="29">
        <f>IF(COUNT(B830:Z830)&gt;1,MAX(B830:Z830)-MIN(B830:Z830),IF(ISNUMBER(AB830),AB830,""))</f>
        <v/>
      </c>
      <c r="AG830" s="29">
        <f>IF(COUNT(B830:Z830)&gt;1,_xlfn.STDEV.S(B830:Z830),IF(ISNUMBER(AC830),AC830,""))</f>
        <v/>
      </c>
      <c r="AH830" s="13">
        <f>IF(AND(ISNUMBER(AE830),ISNUMBER($B$23),ISNUMBER($D$23)),IF(AE830&gt;$D$23,"boven UCL",IF(AE830&lt;$B$23,"onder LCL","")),"")</f>
        <v/>
      </c>
      <c r="AI830" s="13">
        <f>IF(AND(ISNUMBER(AF830),ISNUMBER($B$24),ISNUMBER($D$24)),IF(AF830&gt;$D$24,"boven UCL",IF(AF830&lt;$B$24,"onder LCL","")),"")</f>
        <v/>
      </c>
      <c r="AJ830" s="13">
        <f>IF(AND(ISNUMBER(AE830),ISNUMBER($B$25),ISNUMBER($D$25)),IF(AE830&gt;$D$25,"boven UCL",IF(AE830&lt;$B$25,"onder LCL","")),"")</f>
        <v/>
      </c>
      <c r="AK830" s="13">
        <f>IF(AND(ISNUMBER(AG830),ISNUMBER($B$26),ISNUMBER($D$26)),IF(AG830&gt;$D$26,"boven UCL",IF(AG830&lt;$B$26,"onder LCL","")),"")</f>
        <v/>
      </c>
      <c r="AL830" s="13">
        <f>IF(AND(COUNT(B830:Z830)&gt;0,COUNT(AA830:AC830)&gt;0),"ruwe waarden én getypt: getypte genegeerd",IF(COUNTA(B830:Z830,AA830:AC830)&gt;COUNT(B830:Z830,AA830:AC830),"tekst telt niet mee",IF(COUNT(B830:Z830)=1,"1 waarde: geen R of s","")))</f>
        <v/>
      </c>
    </row>
    <row r="831">
      <c r="A831" t="n">
        <v>780</v>
      </c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28">
        <f>IF(COUNT(B831:Z831)&gt;0,COUNT(B831:Z831),IF(OR(ISNUMBER(AA831),ISNUMBER(AB831)),$B$9,""))</f>
        <v/>
      </c>
      <c r="AE831" s="29">
        <f>IF(COUNT(B831:Z831)&gt;0,AVERAGE(B831:Z831),IF(ISNUMBER(AA831),AA831,""))</f>
        <v/>
      </c>
      <c r="AF831" s="29">
        <f>IF(COUNT(B831:Z831)&gt;1,MAX(B831:Z831)-MIN(B831:Z831),IF(ISNUMBER(AB831),AB831,""))</f>
        <v/>
      </c>
      <c r="AG831" s="29">
        <f>IF(COUNT(B831:Z831)&gt;1,_xlfn.STDEV.S(B831:Z831),IF(ISNUMBER(AC831),AC831,""))</f>
        <v/>
      </c>
      <c r="AH831" s="13">
        <f>IF(AND(ISNUMBER(AE831),ISNUMBER($B$23),ISNUMBER($D$23)),IF(AE831&gt;$D$23,"boven UCL",IF(AE831&lt;$B$23,"onder LCL","")),"")</f>
        <v/>
      </c>
      <c r="AI831" s="13">
        <f>IF(AND(ISNUMBER(AF831),ISNUMBER($B$24),ISNUMBER($D$24)),IF(AF831&gt;$D$24,"boven UCL",IF(AF831&lt;$B$24,"onder LCL","")),"")</f>
        <v/>
      </c>
      <c r="AJ831" s="13">
        <f>IF(AND(ISNUMBER(AE831),ISNUMBER($B$25),ISNUMBER($D$25)),IF(AE831&gt;$D$25,"boven UCL",IF(AE831&lt;$B$25,"onder LCL","")),"")</f>
        <v/>
      </c>
      <c r="AK831" s="13">
        <f>IF(AND(ISNUMBER(AG831),ISNUMBER($B$26),ISNUMBER($D$26)),IF(AG831&gt;$D$26,"boven UCL",IF(AG831&lt;$B$26,"onder LCL","")),"")</f>
        <v/>
      </c>
      <c r="AL831" s="13">
        <f>IF(AND(COUNT(B831:Z831)&gt;0,COUNT(AA831:AC831)&gt;0),"ruwe waarden én getypt: getypte genegeerd",IF(COUNTA(B831:Z831,AA831:AC831)&gt;COUNT(B831:Z831,AA831:AC831),"tekst telt niet mee",IF(COUNT(B831:Z831)=1,"1 waarde: geen R of s","")))</f>
        <v/>
      </c>
    </row>
    <row r="832">
      <c r="A832" t="n">
        <v>781</v>
      </c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28">
        <f>IF(COUNT(B832:Z832)&gt;0,COUNT(B832:Z832),IF(OR(ISNUMBER(AA832),ISNUMBER(AB832)),$B$9,""))</f>
        <v/>
      </c>
      <c r="AE832" s="29">
        <f>IF(COUNT(B832:Z832)&gt;0,AVERAGE(B832:Z832),IF(ISNUMBER(AA832),AA832,""))</f>
        <v/>
      </c>
      <c r="AF832" s="29">
        <f>IF(COUNT(B832:Z832)&gt;1,MAX(B832:Z832)-MIN(B832:Z832),IF(ISNUMBER(AB832),AB832,""))</f>
        <v/>
      </c>
      <c r="AG832" s="29">
        <f>IF(COUNT(B832:Z832)&gt;1,_xlfn.STDEV.S(B832:Z832),IF(ISNUMBER(AC832),AC832,""))</f>
        <v/>
      </c>
      <c r="AH832" s="13">
        <f>IF(AND(ISNUMBER(AE832),ISNUMBER($B$23),ISNUMBER($D$23)),IF(AE832&gt;$D$23,"boven UCL",IF(AE832&lt;$B$23,"onder LCL","")),"")</f>
        <v/>
      </c>
      <c r="AI832" s="13">
        <f>IF(AND(ISNUMBER(AF832),ISNUMBER($B$24),ISNUMBER($D$24)),IF(AF832&gt;$D$24,"boven UCL",IF(AF832&lt;$B$24,"onder LCL","")),"")</f>
        <v/>
      </c>
      <c r="AJ832" s="13">
        <f>IF(AND(ISNUMBER(AE832),ISNUMBER($B$25),ISNUMBER($D$25)),IF(AE832&gt;$D$25,"boven UCL",IF(AE832&lt;$B$25,"onder LCL","")),"")</f>
        <v/>
      </c>
      <c r="AK832" s="13">
        <f>IF(AND(ISNUMBER(AG832),ISNUMBER($B$26),ISNUMBER($D$26)),IF(AG832&gt;$D$26,"boven UCL",IF(AG832&lt;$B$26,"onder LCL","")),"")</f>
        <v/>
      </c>
      <c r="AL832" s="13">
        <f>IF(AND(COUNT(B832:Z832)&gt;0,COUNT(AA832:AC832)&gt;0),"ruwe waarden én getypt: getypte genegeerd",IF(COUNTA(B832:Z832,AA832:AC832)&gt;COUNT(B832:Z832,AA832:AC832),"tekst telt niet mee",IF(COUNT(B832:Z832)=1,"1 waarde: geen R of s","")))</f>
        <v/>
      </c>
    </row>
    <row r="833">
      <c r="A833" t="n">
        <v>782</v>
      </c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28">
        <f>IF(COUNT(B833:Z833)&gt;0,COUNT(B833:Z833),IF(OR(ISNUMBER(AA833),ISNUMBER(AB833)),$B$9,""))</f>
        <v/>
      </c>
      <c r="AE833" s="29">
        <f>IF(COUNT(B833:Z833)&gt;0,AVERAGE(B833:Z833),IF(ISNUMBER(AA833),AA833,""))</f>
        <v/>
      </c>
      <c r="AF833" s="29">
        <f>IF(COUNT(B833:Z833)&gt;1,MAX(B833:Z833)-MIN(B833:Z833),IF(ISNUMBER(AB833),AB833,""))</f>
        <v/>
      </c>
      <c r="AG833" s="29">
        <f>IF(COUNT(B833:Z833)&gt;1,_xlfn.STDEV.S(B833:Z833),IF(ISNUMBER(AC833),AC833,""))</f>
        <v/>
      </c>
      <c r="AH833" s="13">
        <f>IF(AND(ISNUMBER(AE833),ISNUMBER($B$23),ISNUMBER($D$23)),IF(AE833&gt;$D$23,"boven UCL",IF(AE833&lt;$B$23,"onder LCL","")),"")</f>
        <v/>
      </c>
      <c r="AI833" s="13">
        <f>IF(AND(ISNUMBER(AF833),ISNUMBER($B$24),ISNUMBER($D$24)),IF(AF833&gt;$D$24,"boven UCL",IF(AF833&lt;$B$24,"onder LCL","")),"")</f>
        <v/>
      </c>
      <c r="AJ833" s="13">
        <f>IF(AND(ISNUMBER(AE833),ISNUMBER($B$25),ISNUMBER($D$25)),IF(AE833&gt;$D$25,"boven UCL",IF(AE833&lt;$B$25,"onder LCL","")),"")</f>
        <v/>
      </c>
      <c r="AK833" s="13">
        <f>IF(AND(ISNUMBER(AG833),ISNUMBER($B$26),ISNUMBER($D$26)),IF(AG833&gt;$D$26,"boven UCL",IF(AG833&lt;$B$26,"onder LCL","")),"")</f>
        <v/>
      </c>
      <c r="AL833" s="13">
        <f>IF(AND(COUNT(B833:Z833)&gt;0,COUNT(AA833:AC833)&gt;0),"ruwe waarden én getypt: getypte genegeerd",IF(COUNTA(B833:Z833,AA833:AC833)&gt;COUNT(B833:Z833,AA833:AC833),"tekst telt niet mee",IF(COUNT(B833:Z833)=1,"1 waarde: geen R of s","")))</f>
        <v/>
      </c>
    </row>
    <row r="834">
      <c r="A834" t="n">
        <v>783</v>
      </c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28">
        <f>IF(COUNT(B834:Z834)&gt;0,COUNT(B834:Z834),IF(OR(ISNUMBER(AA834),ISNUMBER(AB834)),$B$9,""))</f>
        <v/>
      </c>
      <c r="AE834" s="29">
        <f>IF(COUNT(B834:Z834)&gt;0,AVERAGE(B834:Z834),IF(ISNUMBER(AA834),AA834,""))</f>
        <v/>
      </c>
      <c r="AF834" s="29">
        <f>IF(COUNT(B834:Z834)&gt;1,MAX(B834:Z834)-MIN(B834:Z834),IF(ISNUMBER(AB834),AB834,""))</f>
        <v/>
      </c>
      <c r="AG834" s="29">
        <f>IF(COUNT(B834:Z834)&gt;1,_xlfn.STDEV.S(B834:Z834),IF(ISNUMBER(AC834),AC834,""))</f>
        <v/>
      </c>
      <c r="AH834" s="13">
        <f>IF(AND(ISNUMBER(AE834),ISNUMBER($B$23),ISNUMBER($D$23)),IF(AE834&gt;$D$23,"boven UCL",IF(AE834&lt;$B$23,"onder LCL","")),"")</f>
        <v/>
      </c>
      <c r="AI834" s="13">
        <f>IF(AND(ISNUMBER(AF834),ISNUMBER($B$24),ISNUMBER($D$24)),IF(AF834&gt;$D$24,"boven UCL",IF(AF834&lt;$B$24,"onder LCL","")),"")</f>
        <v/>
      </c>
      <c r="AJ834" s="13">
        <f>IF(AND(ISNUMBER(AE834),ISNUMBER($B$25),ISNUMBER($D$25)),IF(AE834&gt;$D$25,"boven UCL",IF(AE834&lt;$B$25,"onder LCL","")),"")</f>
        <v/>
      </c>
      <c r="AK834" s="13">
        <f>IF(AND(ISNUMBER(AG834),ISNUMBER($B$26),ISNUMBER($D$26)),IF(AG834&gt;$D$26,"boven UCL",IF(AG834&lt;$B$26,"onder LCL","")),"")</f>
        <v/>
      </c>
      <c r="AL834" s="13">
        <f>IF(AND(COUNT(B834:Z834)&gt;0,COUNT(AA834:AC834)&gt;0),"ruwe waarden én getypt: getypte genegeerd",IF(COUNTA(B834:Z834,AA834:AC834)&gt;COUNT(B834:Z834,AA834:AC834),"tekst telt niet mee",IF(COUNT(B834:Z834)=1,"1 waarde: geen R of s","")))</f>
        <v/>
      </c>
    </row>
    <row r="835">
      <c r="A835" t="n">
        <v>784</v>
      </c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28">
        <f>IF(COUNT(B835:Z835)&gt;0,COUNT(B835:Z835),IF(OR(ISNUMBER(AA835),ISNUMBER(AB835)),$B$9,""))</f>
        <v/>
      </c>
      <c r="AE835" s="29">
        <f>IF(COUNT(B835:Z835)&gt;0,AVERAGE(B835:Z835),IF(ISNUMBER(AA835),AA835,""))</f>
        <v/>
      </c>
      <c r="AF835" s="29">
        <f>IF(COUNT(B835:Z835)&gt;1,MAX(B835:Z835)-MIN(B835:Z835),IF(ISNUMBER(AB835),AB835,""))</f>
        <v/>
      </c>
      <c r="AG835" s="29">
        <f>IF(COUNT(B835:Z835)&gt;1,_xlfn.STDEV.S(B835:Z835),IF(ISNUMBER(AC835),AC835,""))</f>
        <v/>
      </c>
      <c r="AH835" s="13">
        <f>IF(AND(ISNUMBER(AE835),ISNUMBER($B$23),ISNUMBER($D$23)),IF(AE835&gt;$D$23,"boven UCL",IF(AE835&lt;$B$23,"onder LCL","")),"")</f>
        <v/>
      </c>
      <c r="AI835" s="13">
        <f>IF(AND(ISNUMBER(AF835),ISNUMBER($B$24),ISNUMBER($D$24)),IF(AF835&gt;$D$24,"boven UCL",IF(AF835&lt;$B$24,"onder LCL","")),"")</f>
        <v/>
      </c>
      <c r="AJ835" s="13">
        <f>IF(AND(ISNUMBER(AE835),ISNUMBER($B$25),ISNUMBER($D$25)),IF(AE835&gt;$D$25,"boven UCL",IF(AE835&lt;$B$25,"onder LCL","")),"")</f>
        <v/>
      </c>
      <c r="AK835" s="13">
        <f>IF(AND(ISNUMBER(AG835),ISNUMBER($B$26),ISNUMBER($D$26)),IF(AG835&gt;$D$26,"boven UCL",IF(AG835&lt;$B$26,"onder LCL","")),"")</f>
        <v/>
      </c>
      <c r="AL835" s="13">
        <f>IF(AND(COUNT(B835:Z835)&gt;0,COUNT(AA835:AC835)&gt;0),"ruwe waarden én getypt: getypte genegeerd",IF(COUNTA(B835:Z835,AA835:AC835)&gt;COUNT(B835:Z835,AA835:AC835),"tekst telt niet mee",IF(COUNT(B835:Z835)=1,"1 waarde: geen R of s","")))</f>
        <v/>
      </c>
    </row>
    <row r="836">
      <c r="A836" t="n">
        <v>785</v>
      </c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28">
        <f>IF(COUNT(B836:Z836)&gt;0,COUNT(B836:Z836),IF(OR(ISNUMBER(AA836),ISNUMBER(AB836)),$B$9,""))</f>
        <v/>
      </c>
      <c r="AE836" s="29">
        <f>IF(COUNT(B836:Z836)&gt;0,AVERAGE(B836:Z836),IF(ISNUMBER(AA836),AA836,""))</f>
        <v/>
      </c>
      <c r="AF836" s="29">
        <f>IF(COUNT(B836:Z836)&gt;1,MAX(B836:Z836)-MIN(B836:Z836),IF(ISNUMBER(AB836),AB836,""))</f>
        <v/>
      </c>
      <c r="AG836" s="29">
        <f>IF(COUNT(B836:Z836)&gt;1,_xlfn.STDEV.S(B836:Z836),IF(ISNUMBER(AC836),AC836,""))</f>
        <v/>
      </c>
      <c r="AH836" s="13">
        <f>IF(AND(ISNUMBER(AE836),ISNUMBER($B$23),ISNUMBER($D$23)),IF(AE836&gt;$D$23,"boven UCL",IF(AE836&lt;$B$23,"onder LCL","")),"")</f>
        <v/>
      </c>
      <c r="AI836" s="13">
        <f>IF(AND(ISNUMBER(AF836),ISNUMBER($B$24),ISNUMBER($D$24)),IF(AF836&gt;$D$24,"boven UCL",IF(AF836&lt;$B$24,"onder LCL","")),"")</f>
        <v/>
      </c>
      <c r="AJ836" s="13">
        <f>IF(AND(ISNUMBER(AE836),ISNUMBER($B$25),ISNUMBER($D$25)),IF(AE836&gt;$D$25,"boven UCL",IF(AE836&lt;$B$25,"onder LCL","")),"")</f>
        <v/>
      </c>
      <c r="AK836" s="13">
        <f>IF(AND(ISNUMBER(AG836),ISNUMBER($B$26),ISNUMBER($D$26)),IF(AG836&gt;$D$26,"boven UCL",IF(AG836&lt;$B$26,"onder LCL","")),"")</f>
        <v/>
      </c>
      <c r="AL836" s="13">
        <f>IF(AND(COUNT(B836:Z836)&gt;0,COUNT(AA836:AC836)&gt;0),"ruwe waarden én getypt: getypte genegeerd",IF(COUNTA(B836:Z836,AA836:AC836)&gt;COUNT(B836:Z836,AA836:AC836),"tekst telt niet mee",IF(COUNT(B836:Z836)=1,"1 waarde: geen R of s","")))</f>
        <v/>
      </c>
    </row>
    <row r="837">
      <c r="A837" t="n">
        <v>786</v>
      </c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28">
        <f>IF(COUNT(B837:Z837)&gt;0,COUNT(B837:Z837),IF(OR(ISNUMBER(AA837),ISNUMBER(AB837)),$B$9,""))</f>
        <v/>
      </c>
      <c r="AE837" s="29">
        <f>IF(COUNT(B837:Z837)&gt;0,AVERAGE(B837:Z837),IF(ISNUMBER(AA837),AA837,""))</f>
        <v/>
      </c>
      <c r="AF837" s="29">
        <f>IF(COUNT(B837:Z837)&gt;1,MAX(B837:Z837)-MIN(B837:Z837),IF(ISNUMBER(AB837),AB837,""))</f>
        <v/>
      </c>
      <c r="AG837" s="29">
        <f>IF(COUNT(B837:Z837)&gt;1,_xlfn.STDEV.S(B837:Z837),IF(ISNUMBER(AC837),AC837,""))</f>
        <v/>
      </c>
      <c r="AH837" s="13">
        <f>IF(AND(ISNUMBER(AE837),ISNUMBER($B$23),ISNUMBER($D$23)),IF(AE837&gt;$D$23,"boven UCL",IF(AE837&lt;$B$23,"onder LCL","")),"")</f>
        <v/>
      </c>
      <c r="AI837" s="13">
        <f>IF(AND(ISNUMBER(AF837),ISNUMBER($B$24),ISNUMBER($D$24)),IF(AF837&gt;$D$24,"boven UCL",IF(AF837&lt;$B$24,"onder LCL","")),"")</f>
        <v/>
      </c>
      <c r="AJ837" s="13">
        <f>IF(AND(ISNUMBER(AE837),ISNUMBER($B$25),ISNUMBER($D$25)),IF(AE837&gt;$D$25,"boven UCL",IF(AE837&lt;$B$25,"onder LCL","")),"")</f>
        <v/>
      </c>
      <c r="AK837" s="13">
        <f>IF(AND(ISNUMBER(AG837),ISNUMBER($B$26),ISNUMBER($D$26)),IF(AG837&gt;$D$26,"boven UCL",IF(AG837&lt;$B$26,"onder LCL","")),"")</f>
        <v/>
      </c>
      <c r="AL837" s="13">
        <f>IF(AND(COUNT(B837:Z837)&gt;0,COUNT(AA837:AC837)&gt;0),"ruwe waarden én getypt: getypte genegeerd",IF(COUNTA(B837:Z837,AA837:AC837)&gt;COUNT(B837:Z837,AA837:AC837),"tekst telt niet mee",IF(COUNT(B837:Z837)=1,"1 waarde: geen R of s","")))</f>
        <v/>
      </c>
    </row>
    <row r="838">
      <c r="A838" t="n">
        <v>787</v>
      </c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28">
        <f>IF(COUNT(B838:Z838)&gt;0,COUNT(B838:Z838),IF(OR(ISNUMBER(AA838),ISNUMBER(AB838)),$B$9,""))</f>
        <v/>
      </c>
      <c r="AE838" s="29">
        <f>IF(COUNT(B838:Z838)&gt;0,AVERAGE(B838:Z838),IF(ISNUMBER(AA838),AA838,""))</f>
        <v/>
      </c>
      <c r="AF838" s="29">
        <f>IF(COUNT(B838:Z838)&gt;1,MAX(B838:Z838)-MIN(B838:Z838),IF(ISNUMBER(AB838),AB838,""))</f>
        <v/>
      </c>
      <c r="AG838" s="29">
        <f>IF(COUNT(B838:Z838)&gt;1,_xlfn.STDEV.S(B838:Z838),IF(ISNUMBER(AC838),AC838,""))</f>
        <v/>
      </c>
      <c r="AH838" s="13">
        <f>IF(AND(ISNUMBER(AE838),ISNUMBER($B$23),ISNUMBER($D$23)),IF(AE838&gt;$D$23,"boven UCL",IF(AE838&lt;$B$23,"onder LCL","")),"")</f>
        <v/>
      </c>
      <c r="AI838" s="13">
        <f>IF(AND(ISNUMBER(AF838),ISNUMBER($B$24),ISNUMBER($D$24)),IF(AF838&gt;$D$24,"boven UCL",IF(AF838&lt;$B$24,"onder LCL","")),"")</f>
        <v/>
      </c>
      <c r="AJ838" s="13">
        <f>IF(AND(ISNUMBER(AE838),ISNUMBER($B$25),ISNUMBER($D$25)),IF(AE838&gt;$D$25,"boven UCL",IF(AE838&lt;$B$25,"onder LCL","")),"")</f>
        <v/>
      </c>
      <c r="AK838" s="13">
        <f>IF(AND(ISNUMBER(AG838),ISNUMBER($B$26),ISNUMBER($D$26)),IF(AG838&gt;$D$26,"boven UCL",IF(AG838&lt;$B$26,"onder LCL","")),"")</f>
        <v/>
      </c>
      <c r="AL838" s="13">
        <f>IF(AND(COUNT(B838:Z838)&gt;0,COUNT(AA838:AC838)&gt;0),"ruwe waarden én getypt: getypte genegeerd",IF(COUNTA(B838:Z838,AA838:AC838)&gt;COUNT(B838:Z838,AA838:AC838),"tekst telt niet mee",IF(COUNT(B838:Z838)=1,"1 waarde: geen R of s","")))</f>
        <v/>
      </c>
    </row>
    <row r="839">
      <c r="A839" t="n">
        <v>788</v>
      </c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28">
        <f>IF(COUNT(B839:Z839)&gt;0,COUNT(B839:Z839),IF(OR(ISNUMBER(AA839),ISNUMBER(AB839)),$B$9,""))</f>
        <v/>
      </c>
      <c r="AE839" s="29">
        <f>IF(COUNT(B839:Z839)&gt;0,AVERAGE(B839:Z839),IF(ISNUMBER(AA839),AA839,""))</f>
        <v/>
      </c>
      <c r="AF839" s="29">
        <f>IF(COUNT(B839:Z839)&gt;1,MAX(B839:Z839)-MIN(B839:Z839),IF(ISNUMBER(AB839),AB839,""))</f>
        <v/>
      </c>
      <c r="AG839" s="29">
        <f>IF(COUNT(B839:Z839)&gt;1,_xlfn.STDEV.S(B839:Z839),IF(ISNUMBER(AC839),AC839,""))</f>
        <v/>
      </c>
      <c r="AH839" s="13">
        <f>IF(AND(ISNUMBER(AE839),ISNUMBER($B$23),ISNUMBER($D$23)),IF(AE839&gt;$D$23,"boven UCL",IF(AE839&lt;$B$23,"onder LCL","")),"")</f>
        <v/>
      </c>
      <c r="AI839" s="13">
        <f>IF(AND(ISNUMBER(AF839),ISNUMBER($B$24),ISNUMBER($D$24)),IF(AF839&gt;$D$24,"boven UCL",IF(AF839&lt;$B$24,"onder LCL","")),"")</f>
        <v/>
      </c>
      <c r="AJ839" s="13">
        <f>IF(AND(ISNUMBER(AE839),ISNUMBER($B$25),ISNUMBER($D$25)),IF(AE839&gt;$D$25,"boven UCL",IF(AE839&lt;$B$25,"onder LCL","")),"")</f>
        <v/>
      </c>
      <c r="AK839" s="13">
        <f>IF(AND(ISNUMBER(AG839),ISNUMBER($B$26),ISNUMBER($D$26)),IF(AG839&gt;$D$26,"boven UCL",IF(AG839&lt;$B$26,"onder LCL","")),"")</f>
        <v/>
      </c>
      <c r="AL839" s="13">
        <f>IF(AND(COUNT(B839:Z839)&gt;0,COUNT(AA839:AC839)&gt;0),"ruwe waarden én getypt: getypte genegeerd",IF(COUNTA(B839:Z839,AA839:AC839)&gt;COUNT(B839:Z839,AA839:AC839),"tekst telt niet mee",IF(COUNT(B839:Z839)=1,"1 waarde: geen R of s","")))</f>
        <v/>
      </c>
    </row>
    <row r="840">
      <c r="A840" t="n">
        <v>789</v>
      </c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28">
        <f>IF(COUNT(B840:Z840)&gt;0,COUNT(B840:Z840),IF(OR(ISNUMBER(AA840),ISNUMBER(AB840)),$B$9,""))</f>
        <v/>
      </c>
      <c r="AE840" s="29">
        <f>IF(COUNT(B840:Z840)&gt;0,AVERAGE(B840:Z840),IF(ISNUMBER(AA840),AA840,""))</f>
        <v/>
      </c>
      <c r="AF840" s="29">
        <f>IF(COUNT(B840:Z840)&gt;1,MAX(B840:Z840)-MIN(B840:Z840),IF(ISNUMBER(AB840),AB840,""))</f>
        <v/>
      </c>
      <c r="AG840" s="29">
        <f>IF(COUNT(B840:Z840)&gt;1,_xlfn.STDEV.S(B840:Z840),IF(ISNUMBER(AC840),AC840,""))</f>
        <v/>
      </c>
      <c r="AH840" s="13">
        <f>IF(AND(ISNUMBER(AE840),ISNUMBER($B$23),ISNUMBER($D$23)),IF(AE840&gt;$D$23,"boven UCL",IF(AE840&lt;$B$23,"onder LCL","")),"")</f>
        <v/>
      </c>
      <c r="AI840" s="13">
        <f>IF(AND(ISNUMBER(AF840),ISNUMBER($B$24),ISNUMBER($D$24)),IF(AF840&gt;$D$24,"boven UCL",IF(AF840&lt;$B$24,"onder LCL","")),"")</f>
        <v/>
      </c>
      <c r="AJ840" s="13">
        <f>IF(AND(ISNUMBER(AE840),ISNUMBER($B$25),ISNUMBER($D$25)),IF(AE840&gt;$D$25,"boven UCL",IF(AE840&lt;$B$25,"onder LCL","")),"")</f>
        <v/>
      </c>
      <c r="AK840" s="13">
        <f>IF(AND(ISNUMBER(AG840),ISNUMBER($B$26),ISNUMBER($D$26)),IF(AG840&gt;$D$26,"boven UCL",IF(AG840&lt;$B$26,"onder LCL","")),"")</f>
        <v/>
      </c>
      <c r="AL840" s="13">
        <f>IF(AND(COUNT(B840:Z840)&gt;0,COUNT(AA840:AC840)&gt;0),"ruwe waarden én getypt: getypte genegeerd",IF(COUNTA(B840:Z840,AA840:AC840)&gt;COUNT(B840:Z840,AA840:AC840),"tekst telt niet mee",IF(COUNT(B840:Z840)=1,"1 waarde: geen R of s","")))</f>
        <v/>
      </c>
    </row>
    <row r="841">
      <c r="A841" t="n">
        <v>790</v>
      </c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28">
        <f>IF(COUNT(B841:Z841)&gt;0,COUNT(B841:Z841),IF(OR(ISNUMBER(AA841),ISNUMBER(AB841)),$B$9,""))</f>
        <v/>
      </c>
      <c r="AE841" s="29">
        <f>IF(COUNT(B841:Z841)&gt;0,AVERAGE(B841:Z841),IF(ISNUMBER(AA841),AA841,""))</f>
        <v/>
      </c>
      <c r="AF841" s="29">
        <f>IF(COUNT(B841:Z841)&gt;1,MAX(B841:Z841)-MIN(B841:Z841),IF(ISNUMBER(AB841),AB841,""))</f>
        <v/>
      </c>
      <c r="AG841" s="29">
        <f>IF(COUNT(B841:Z841)&gt;1,_xlfn.STDEV.S(B841:Z841),IF(ISNUMBER(AC841),AC841,""))</f>
        <v/>
      </c>
      <c r="AH841" s="13">
        <f>IF(AND(ISNUMBER(AE841),ISNUMBER($B$23),ISNUMBER($D$23)),IF(AE841&gt;$D$23,"boven UCL",IF(AE841&lt;$B$23,"onder LCL","")),"")</f>
        <v/>
      </c>
      <c r="AI841" s="13">
        <f>IF(AND(ISNUMBER(AF841),ISNUMBER($B$24),ISNUMBER($D$24)),IF(AF841&gt;$D$24,"boven UCL",IF(AF841&lt;$B$24,"onder LCL","")),"")</f>
        <v/>
      </c>
      <c r="AJ841" s="13">
        <f>IF(AND(ISNUMBER(AE841),ISNUMBER($B$25),ISNUMBER($D$25)),IF(AE841&gt;$D$25,"boven UCL",IF(AE841&lt;$B$25,"onder LCL","")),"")</f>
        <v/>
      </c>
      <c r="AK841" s="13">
        <f>IF(AND(ISNUMBER(AG841),ISNUMBER($B$26),ISNUMBER($D$26)),IF(AG841&gt;$D$26,"boven UCL",IF(AG841&lt;$B$26,"onder LCL","")),"")</f>
        <v/>
      </c>
      <c r="AL841" s="13">
        <f>IF(AND(COUNT(B841:Z841)&gt;0,COUNT(AA841:AC841)&gt;0),"ruwe waarden én getypt: getypte genegeerd",IF(COUNTA(B841:Z841,AA841:AC841)&gt;COUNT(B841:Z841,AA841:AC841),"tekst telt niet mee",IF(COUNT(B841:Z841)=1,"1 waarde: geen R of s","")))</f>
        <v/>
      </c>
    </row>
    <row r="842">
      <c r="A842" t="n">
        <v>791</v>
      </c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28">
        <f>IF(COUNT(B842:Z842)&gt;0,COUNT(B842:Z842),IF(OR(ISNUMBER(AA842),ISNUMBER(AB842)),$B$9,""))</f>
        <v/>
      </c>
      <c r="AE842" s="29">
        <f>IF(COUNT(B842:Z842)&gt;0,AVERAGE(B842:Z842),IF(ISNUMBER(AA842),AA842,""))</f>
        <v/>
      </c>
      <c r="AF842" s="29">
        <f>IF(COUNT(B842:Z842)&gt;1,MAX(B842:Z842)-MIN(B842:Z842),IF(ISNUMBER(AB842),AB842,""))</f>
        <v/>
      </c>
      <c r="AG842" s="29">
        <f>IF(COUNT(B842:Z842)&gt;1,_xlfn.STDEV.S(B842:Z842),IF(ISNUMBER(AC842),AC842,""))</f>
        <v/>
      </c>
      <c r="AH842" s="13">
        <f>IF(AND(ISNUMBER(AE842),ISNUMBER($B$23),ISNUMBER($D$23)),IF(AE842&gt;$D$23,"boven UCL",IF(AE842&lt;$B$23,"onder LCL","")),"")</f>
        <v/>
      </c>
      <c r="AI842" s="13">
        <f>IF(AND(ISNUMBER(AF842),ISNUMBER($B$24),ISNUMBER($D$24)),IF(AF842&gt;$D$24,"boven UCL",IF(AF842&lt;$B$24,"onder LCL","")),"")</f>
        <v/>
      </c>
      <c r="AJ842" s="13">
        <f>IF(AND(ISNUMBER(AE842),ISNUMBER($B$25),ISNUMBER($D$25)),IF(AE842&gt;$D$25,"boven UCL",IF(AE842&lt;$B$25,"onder LCL","")),"")</f>
        <v/>
      </c>
      <c r="AK842" s="13">
        <f>IF(AND(ISNUMBER(AG842),ISNUMBER($B$26),ISNUMBER($D$26)),IF(AG842&gt;$D$26,"boven UCL",IF(AG842&lt;$B$26,"onder LCL","")),"")</f>
        <v/>
      </c>
      <c r="AL842" s="13">
        <f>IF(AND(COUNT(B842:Z842)&gt;0,COUNT(AA842:AC842)&gt;0),"ruwe waarden én getypt: getypte genegeerd",IF(COUNTA(B842:Z842,AA842:AC842)&gt;COUNT(B842:Z842,AA842:AC842),"tekst telt niet mee",IF(COUNT(B842:Z842)=1,"1 waarde: geen R of s","")))</f>
        <v/>
      </c>
    </row>
    <row r="843">
      <c r="A843" t="n">
        <v>792</v>
      </c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28">
        <f>IF(COUNT(B843:Z843)&gt;0,COUNT(B843:Z843),IF(OR(ISNUMBER(AA843),ISNUMBER(AB843)),$B$9,""))</f>
        <v/>
      </c>
      <c r="AE843" s="29">
        <f>IF(COUNT(B843:Z843)&gt;0,AVERAGE(B843:Z843),IF(ISNUMBER(AA843),AA843,""))</f>
        <v/>
      </c>
      <c r="AF843" s="29">
        <f>IF(COUNT(B843:Z843)&gt;1,MAX(B843:Z843)-MIN(B843:Z843),IF(ISNUMBER(AB843),AB843,""))</f>
        <v/>
      </c>
      <c r="AG843" s="29">
        <f>IF(COUNT(B843:Z843)&gt;1,_xlfn.STDEV.S(B843:Z843),IF(ISNUMBER(AC843),AC843,""))</f>
        <v/>
      </c>
      <c r="AH843" s="13">
        <f>IF(AND(ISNUMBER(AE843),ISNUMBER($B$23),ISNUMBER($D$23)),IF(AE843&gt;$D$23,"boven UCL",IF(AE843&lt;$B$23,"onder LCL","")),"")</f>
        <v/>
      </c>
      <c r="AI843" s="13">
        <f>IF(AND(ISNUMBER(AF843),ISNUMBER($B$24),ISNUMBER($D$24)),IF(AF843&gt;$D$24,"boven UCL",IF(AF843&lt;$B$24,"onder LCL","")),"")</f>
        <v/>
      </c>
      <c r="AJ843" s="13">
        <f>IF(AND(ISNUMBER(AE843),ISNUMBER($B$25),ISNUMBER($D$25)),IF(AE843&gt;$D$25,"boven UCL",IF(AE843&lt;$B$25,"onder LCL","")),"")</f>
        <v/>
      </c>
      <c r="AK843" s="13">
        <f>IF(AND(ISNUMBER(AG843),ISNUMBER($B$26),ISNUMBER($D$26)),IF(AG843&gt;$D$26,"boven UCL",IF(AG843&lt;$B$26,"onder LCL","")),"")</f>
        <v/>
      </c>
      <c r="AL843" s="13">
        <f>IF(AND(COUNT(B843:Z843)&gt;0,COUNT(AA843:AC843)&gt;0),"ruwe waarden én getypt: getypte genegeerd",IF(COUNTA(B843:Z843,AA843:AC843)&gt;COUNT(B843:Z843,AA843:AC843),"tekst telt niet mee",IF(COUNT(B843:Z843)=1,"1 waarde: geen R of s","")))</f>
        <v/>
      </c>
    </row>
    <row r="844">
      <c r="A844" t="n">
        <v>793</v>
      </c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28">
        <f>IF(COUNT(B844:Z844)&gt;0,COUNT(B844:Z844),IF(OR(ISNUMBER(AA844),ISNUMBER(AB844)),$B$9,""))</f>
        <v/>
      </c>
      <c r="AE844" s="29">
        <f>IF(COUNT(B844:Z844)&gt;0,AVERAGE(B844:Z844),IF(ISNUMBER(AA844),AA844,""))</f>
        <v/>
      </c>
      <c r="AF844" s="29">
        <f>IF(COUNT(B844:Z844)&gt;1,MAX(B844:Z844)-MIN(B844:Z844),IF(ISNUMBER(AB844),AB844,""))</f>
        <v/>
      </c>
      <c r="AG844" s="29">
        <f>IF(COUNT(B844:Z844)&gt;1,_xlfn.STDEV.S(B844:Z844),IF(ISNUMBER(AC844),AC844,""))</f>
        <v/>
      </c>
      <c r="AH844" s="13">
        <f>IF(AND(ISNUMBER(AE844),ISNUMBER($B$23),ISNUMBER($D$23)),IF(AE844&gt;$D$23,"boven UCL",IF(AE844&lt;$B$23,"onder LCL","")),"")</f>
        <v/>
      </c>
      <c r="AI844" s="13">
        <f>IF(AND(ISNUMBER(AF844),ISNUMBER($B$24),ISNUMBER($D$24)),IF(AF844&gt;$D$24,"boven UCL",IF(AF844&lt;$B$24,"onder LCL","")),"")</f>
        <v/>
      </c>
      <c r="AJ844" s="13">
        <f>IF(AND(ISNUMBER(AE844),ISNUMBER($B$25),ISNUMBER($D$25)),IF(AE844&gt;$D$25,"boven UCL",IF(AE844&lt;$B$25,"onder LCL","")),"")</f>
        <v/>
      </c>
      <c r="AK844" s="13">
        <f>IF(AND(ISNUMBER(AG844),ISNUMBER($B$26),ISNUMBER($D$26)),IF(AG844&gt;$D$26,"boven UCL",IF(AG844&lt;$B$26,"onder LCL","")),"")</f>
        <v/>
      </c>
      <c r="AL844" s="13">
        <f>IF(AND(COUNT(B844:Z844)&gt;0,COUNT(AA844:AC844)&gt;0),"ruwe waarden én getypt: getypte genegeerd",IF(COUNTA(B844:Z844,AA844:AC844)&gt;COUNT(B844:Z844,AA844:AC844),"tekst telt niet mee",IF(COUNT(B844:Z844)=1,"1 waarde: geen R of s","")))</f>
        <v/>
      </c>
    </row>
    <row r="845">
      <c r="A845" t="n">
        <v>794</v>
      </c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28">
        <f>IF(COUNT(B845:Z845)&gt;0,COUNT(B845:Z845),IF(OR(ISNUMBER(AA845),ISNUMBER(AB845)),$B$9,""))</f>
        <v/>
      </c>
      <c r="AE845" s="29">
        <f>IF(COUNT(B845:Z845)&gt;0,AVERAGE(B845:Z845),IF(ISNUMBER(AA845),AA845,""))</f>
        <v/>
      </c>
      <c r="AF845" s="29">
        <f>IF(COUNT(B845:Z845)&gt;1,MAX(B845:Z845)-MIN(B845:Z845),IF(ISNUMBER(AB845),AB845,""))</f>
        <v/>
      </c>
      <c r="AG845" s="29">
        <f>IF(COUNT(B845:Z845)&gt;1,_xlfn.STDEV.S(B845:Z845),IF(ISNUMBER(AC845),AC845,""))</f>
        <v/>
      </c>
      <c r="AH845" s="13">
        <f>IF(AND(ISNUMBER(AE845),ISNUMBER($B$23),ISNUMBER($D$23)),IF(AE845&gt;$D$23,"boven UCL",IF(AE845&lt;$B$23,"onder LCL","")),"")</f>
        <v/>
      </c>
      <c r="AI845" s="13">
        <f>IF(AND(ISNUMBER(AF845),ISNUMBER($B$24),ISNUMBER($D$24)),IF(AF845&gt;$D$24,"boven UCL",IF(AF845&lt;$B$24,"onder LCL","")),"")</f>
        <v/>
      </c>
      <c r="AJ845" s="13">
        <f>IF(AND(ISNUMBER(AE845),ISNUMBER($B$25),ISNUMBER($D$25)),IF(AE845&gt;$D$25,"boven UCL",IF(AE845&lt;$B$25,"onder LCL","")),"")</f>
        <v/>
      </c>
      <c r="AK845" s="13">
        <f>IF(AND(ISNUMBER(AG845),ISNUMBER($B$26),ISNUMBER($D$26)),IF(AG845&gt;$D$26,"boven UCL",IF(AG845&lt;$B$26,"onder LCL","")),"")</f>
        <v/>
      </c>
      <c r="AL845" s="13">
        <f>IF(AND(COUNT(B845:Z845)&gt;0,COUNT(AA845:AC845)&gt;0),"ruwe waarden én getypt: getypte genegeerd",IF(COUNTA(B845:Z845,AA845:AC845)&gt;COUNT(B845:Z845,AA845:AC845),"tekst telt niet mee",IF(COUNT(B845:Z845)=1,"1 waarde: geen R of s","")))</f>
        <v/>
      </c>
    </row>
    <row r="846">
      <c r="A846" t="n">
        <v>795</v>
      </c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28">
        <f>IF(COUNT(B846:Z846)&gt;0,COUNT(B846:Z846),IF(OR(ISNUMBER(AA846),ISNUMBER(AB846)),$B$9,""))</f>
        <v/>
      </c>
      <c r="AE846" s="29">
        <f>IF(COUNT(B846:Z846)&gt;0,AVERAGE(B846:Z846),IF(ISNUMBER(AA846),AA846,""))</f>
        <v/>
      </c>
      <c r="AF846" s="29">
        <f>IF(COUNT(B846:Z846)&gt;1,MAX(B846:Z846)-MIN(B846:Z846),IF(ISNUMBER(AB846),AB846,""))</f>
        <v/>
      </c>
      <c r="AG846" s="29">
        <f>IF(COUNT(B846:Z846)&gt;1,_xlfn.STDEV.S(B846:Z846),IF(ISNUMBER(AC846),AC846,""))</f>
        <v/>
      </c>
      <c r="AH846" s="13">
        <f>IF(AND(ISNUMBER(AE846),ISNUMBER($B$23),ISNUMBER($D$23)),IF(AE846&gt;$D$23,"boven UCL",IF(AE846&lt;$B$23,"onder LCL","")),"")</f>
        <v/>
      </c>
      <c r="AI846" s="13">
        <f>IF(AND(ISNUMBER(AF846),ISNUMBER($B$24),ISNUMBER($D$24)),IF(AF846&gt;$D$24,"boven UCL",IF(AF846&lt;$B$24,"onder LCL","")),"")</f>
        <v/>
      </c>
      <c r="AJ846" s="13">
        <f>IF(AND(ISNUMBER(AE846),ISNUMBER($B$25),ISNUMBER($D$25)),IF(AE846&gt;$D$25,"boven UCL",IF(AE846&lt;$B$25,"onder LCL","")),"")</f>
        <v/>
      </c>
      <c r="AK846" s="13">
        <f>IF(AND(ISNUMBER(AG846),ISNUMBER($B$26),ISNUMBER($D$26)),IF(AG846&gt;$D$26,"boven UCL",IF(AG846&lt;$B$26,"onder LCL","")),"")</f>
        <v/>
      </c>
      <c r="AL846" s="13">
        <f>IF(AND(COUNT(B846:Z846)&gt;0,COUNT(AA846:AC846)&gt;0),"ruwe waarden én getypt: getypte genegeerd",IF(COUNTA(B846:Z846,AA846:AC846)&gt;COUNT(B846:Z846,AA846:AC846),"tekst telt niet mee",IF(COUNT(B846:Z846)=1,"1 waarde: geen R of s","")))</f>
        <v/>
      </c>
    </row>
    <row r="847">
      <c r="A847" t="n">
        <v>796</v>
      </c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28">
        <f>IF(COUNT(B847:Z847)&gt;0,COUNT(B847:Z847),IF(OR(ISNUMBER(AA847),ISNUMBER(AB847)),$B$9,""))</f>
        <v/>
      </c>
      <c r="AE847" s="29">
        <f>IF(COUNT(B847:Z847)&gt;0,AVERAGE(B847:Z847),IF(ISNUMBER(AA847),AA847,""))</f>
        <v/>
      </c>
      <c r="AF847" s="29">
        <f>IF(COUNT(B847:Z847)&gt;1,MAX(B847:Z847)-MIN(B847:Z847),IF(ISNUMBER(AB847),AB847,""))</f>
        <v/>
      </c>
      <c r="AG847" s="29">
        <f>IF(COUNT(B847:Z847)&gt;1,_xlfn.STDEV.S(B847:Z847),IF(ISNUMBER(AC847),AC847,""))</f>
        <v/>
      </c>
      <c r="AH847" s="13">
        <f>IF(AND(ISNUMBER(AE847),ISNUMBER($B$23),ISNUMBER($D$23)),IF(AE847&gt;$D$23,"boven UCL",IF(AE847&lt;$B$23,"onder LCL","")),"")</f>
        <v/>
      </c>
      <c r="AI847" s="13">
        <f>IF(AND(ISNUMBER(AF847),ISNUMBER($B$24),ISNUMBER($D$24)),IF(AF847&gt;$D$24,"boven UCL",IF(AF847&lt;$B$24,"onder LCL","")),"")</f>
        <v/>
      </c>
      <c r="AJ847" s="13">
        <f>IF(AND(ISNUMBER(AE847),ISNUMBER($B$25),ISNUMBER($D$25)),IF(AE847&gt;$D$25,"boven UCL",IF(AE847&lt;$B$25,"onder LCL","")),"")</f>
        <v/>
      </c>
      <c r="AK847" s="13">
        <f>IF(AND(ISNUMBER(AG847),ISNUMBER($B$26),ISNUMBER($D$26)),IF(AG847&gt;$D$26,"boven UCL",IF(AG847&lt;$B$26,"onder LCL","")),"")</f>
        <v/>
      </c>
      <c r="AL847" s="13">
        <f>IF(AND(COUNT(B847:Z847)&gt;0,COUNT(AA847:AC847)&gt;0),"ruwe waarden én getypt: getypte genegeerd",IF(COUNTA(B847:Z847,AA847:AC847)&gt;COUNT(B847:Z847,AA847:AC847),"tekst telt niet mee",IF(COUNT(B847:Z847)=1,"1 waarde: geen R of s","")))</f>
        <v/>
      </c>
    </row>
    <row r="848">
      <c r="A848" t="n">
        <v>797</v>
      </c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28">
        <f>IF(COUNT(B848:Z848)&gt;0,COUNT(B848:Z848),IF(OR(ISNUMBER(AA848),ISNUMBER(AB848)),$B$9,""))</f>
        <v/>
      </c>
      <c r="AE848" s="29">
        <f>IF(COUNT(B848:Z848)&gt;0,AVERAGE(B848:Z848),IF(ISNUMBER(AA848),AA848,""))</f>
        <v/>
      </c>
      <c r="AF848" s="29">
        <f>IF(COUNT(B848:Z848)&gt;1,MAX(B848:Z848)-MIN(B848:Z848),IF(ISNUMBER(AB848),AB848,""))</f>
        <v/>
      </c>
      <c r="AG848" s="29">
        <f>IF(COUNT(B848:Z848)&gt;1,_xlfn.STDEV.S(B848:Z848),IF(ISNUMBER(AC848),AC848,""))</f>
        <v/>
      </c>
      <c r="AH848" s="13">
        <f>IF(AND(ISNUMBER(AE848),ISNUMBER($B$23),ISNUMBER($D$23)),IF(AE848&gt;$D$23,"boven UCL",IF(AE848&lt;$B$23,"onder LCL","")),"")</f>
        <v/>
      </c>
      <c r="AI848" s="13">
        <f>IF(AND(ISNUMBER(AF848),ISNUMBER($B$24),ISNUMBER($D$24)),IF(AF848&gt;$D$24,"boven UCL",IF(AF848&lt;$B$24,"onder LCL","")),"")</f>
        <v/>
      </c>
      <c r="AJ848" s="13">
        <f>IF(AND(ISNUMBER(AE848),ISNUMBER($B$25),ISNUMBER($D$25)),IF(AE848&gt;$D$25,"boven UCL",IF(AE848&lt;$B$25,"onder LCL","")),"")</f>
        <v/>
      </c>
      <c r="AK848" s="13">
        <f>IF(AND(ISNUMBER(AG848),ISNUMBER($B$26),ISNUMBER($D$26)),IF(AG848&gt;$D$26,"boven UCL",IF(AG848&lt;$B$26,"onder LCL","")),"")</f>
        <v/>
      </c>
      <c r="AL848" s="13">
        <f>IF(AND(COUNT(B848:Z848)&gt;0,COUNT(AA848:AC848)&gt;0),"ruwe waarden én getypt: getypte genegeerd",IF(COUNTA(B848:Z848,AA848:AC848)&gt;COUNT(B848:Z848,AA848:AC848),"tekst telt niet mee",IF(COUNT(B848:Z848)=1,"1 waarde: geen R of s","")))</f>
        <v/>
      </c>
    </row>
    <row r="849">
      <c r="A849" t="n">
        <v>798</v>
      </c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28">
        <f>IF(COUNT(B849:Z849)&gt;0,COUNT(B849:Z849),IF(OR(ISNUMBER(AA849),ISNUMBER(AB849)),$B$9,""))</f>
        <v/>
      </c>
      <c r="AE849" s="29">
        <f>IF(COUNT(B849:Z849)&gt;0,AVERAGE(B849:Z849),IF(ISNUMBER(AA849),AA849,""))</f>
        <v/>
      </c>
      <c r="AF849" s="29">
        <f>IF(COUNT(B849:Z849)&gt;1,MAX(B849:Z849)-MIN(B849:Z849),IF(ISNUMBER(AB849),AB849,""))</f>
        <v/>
      </c>
      <c r="AG849" s="29">
        <f>IF(COUNT(B849:Z849)&gt;1,_xlfn.STDEV.S(B849:Z849),IF(ISNUMBER(AC849),AC849,""))</f>
        <v/>
      </c>
      <c r="AH849" s="13">
        <f>IF(AND(ISNUMBER(AE849),ISNUMBER($B$23),ISNUMBER($D$23)),IF(AE849&gt;$D$23,"boven UCL",IF(AE849&lt;$B$23,"onder LCL","")),"")</f>
        <v/>
      </c>
      <c r="AI849" s="13">
        <f>IF(AND(ISNUMBER(AF849),ISNUMBER($B$24),ISNUMBER($D$24)),IF(AF849&gt;$D$24,"boven UCL",IF(AF849&lt;$B$24,"onder LCL","")),"")</f>
        <v/>
      </c>
      <c r="AJ849" s="13">
        <f>IF(AND(ISNUMBER(AE849),ISNUMBER($B$25),ISNUMBER($D$25)),IF(AE849&gt;$D$25,"boven UCL",IF(AE849&lt;$B$25,"onder LCL","")),"")</f>
        <v/>
      </c>
      <c r="AK849" s="13">
        <f>IF(AND(ISNUMBER(AG849),ISNUMBER($B$26),ISNUMBER($D$26)),IF(AG849&gt;$D$26,"boven UCL",IF(AG849&lt;$B$26,"onder LCL","")),"")</f>
        <v/>
      </c>
      <c r="AL849" s="13">
        <f>IF(AND(COUNT(B849:Z849)&gt;0,COUNT(AA849:AC849)&gt;0),"ruwe waarden én getypt: getypte genegeerd",IF(COUNTA(B849:Z849,AA849:AC849)&gt;COUNT(B849:Z849,AA849:AC849),"tekst telt niet mee",IF(COUNT(B849:Z849)=1,"1 waarde: geen R of s","")))</f>
        <v/>
      </c>
    </row>
    <row r="850">
      <c r="A850" t="n">
        <v>799</v>
      </c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28">
        <f>IF(COUNT(B850:Z850)&gt;0,COUNT(B850:Z850),IF(OR(ISNUMBER(AA850),ISNUMBER(AB850)),$B$9,""))</f>
        <v/>
      </c>
      <c r="AE850" s="29">
        <f>IF(COUNT(B850:Z850)&gt;0,AVERAGE(B850:Z850),IF(ISNUMBER(AA850),AA850,""))</f>
        <v/>
      </c>
      <c r="AF850" s="29">
        <f>IF(COUNT(B850:Z850)&gt;1,MAX(B850:Z850)-MIN(B850:Z850),IF(ISNUMBER(AB850),AB850,""))</f>
        <v/>
      </c>
      <c r="AG850" s="29">
        <f>IF(COUNT(B850:Z850)&gt;1,_xlfn.STDEV.S(B850:Z850),IF(ISNUMBER(AC850),AC850,""))</f>
        <v/>
      </c>
      <c r="AH850" s="13">
        <f>IF(AND(ISNUMBER(AE850),ISNUMBER($B$23),ISNUMBER($D$23)),IF(AE850&gt;$D$23,"boven UCL",IF(AE850&lt;$B$23,"onder LCL","")),"")</f>
        <v/>
      </c>
      <c r="AI850" s="13">
        <f>IF(AND(ISNUMBER(AF850),ISNUMBER($B$24),ISNUMBER($D$24)),IF(AF850&gt;$D$24,"boven UCL",IF(AF850&lt;$B$24,"onder LCL","")),"")</f>
        <v/>
      </c>
      <c r="AJ850" s="13">
        <f>IF(AND(ISNUMBER(AE850),ISNUMBER($B$25),ISNUMBER($D$25)),IF(AE850&gt;$D$25,"boven UCL",IF(AE850&lt;$B$25,"onder LCL","")),"")</f>
        <v/>
      </c>
      <c r="AK850" s="13">
        <f>IF(AND(ISNUMBER(AG850),ISNUMBER($B$26),ISNUMBER($D$26)),IF(AG850&gt;$D$26,"boven UCL",IF(AG850&lt;$B$26,"onder LCL","")),"")</f>
        <v/>
      </c>
      <c r="AL850" s="13">
        <f>IF(AND(COUNT(B850:Z850)&gt;0,COUNT(AA850:AC850)&gt;0),"ruwe waarden én getypt: getypte genegeerd",IF(COUNTA(B850:Z850,AA850:AC850)&gt;COUNT(B850:Z850,AA850:AC850),"tekst telt niet mee",IF(COUNT(B850:Z850)=1,"1 waarde: geen R of s","")))</f>
        <v/>
      </c>
    </row>
    <row r="851">
      <c r="A851" t="n">
        <v>800</v>
      </c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28">
        <f>IF(COUNT(B851:Z851)&gt;0,COUNT(B851:Z851),IF(OR(ISNUMBER(AA851),ISNUMBER(AB851)),$B$9,""))</f>
        <v/>
      </c>
      <c r="AE851" s="29">
        <f>IF(COUNT(B851:Z851)&gt;0,AVERAGE(B851:Z851),IF(ISNUMBER(AA851),AA851,""))</f>
        <v/>
      </c>
      <c r="AF851" s="29">
        <f>IF(COUNT(B851:Z851)&gt;1,MAX(B851:Z851)-MIN(B851:Z851),IF(ISNUMBER(AB851),AB851,""))</f>
        <v/>
      </c>
      <c r="AG851" s="29">
        <f>IF(COUNT(B851:Z851)&gt;1,_xlfn.STDEV.S(B851:Z851),IF(ISNUMBER(AC851),AC851,""))</f>
        <v/>
      </c>
      <c r="AH851" s="13">
        <f>IF(AND(ISNUMBER(AE851),ISNUMBER($B$23),ISNUMBER($D$23)),IF(AE851&gt;$D$23,"boven UCL",IF(AE851&lt;$B$23,"onder LCL","")),"")</f>
        <v/>
      </c>
      <c r="AI851" s="13">
        <f>IF(AND(ISNUMBER(AF851),ISNUMBER($B$24),ISNUMBER($D$24)),IF(AF851&gt;$D$24,"boven UCL",IF(AF851&lt;$B$24,"onder LCL","")),"")</f>
        <v/>
      </c>
      <c r="AJ851" s="13">
        <f>IF(AND(ISNUMBER(AE851),ISNUMBER($B$25),ISNUMBER($D$25)),IF(AE851&gt;$D$25,"boven UCL",IF(AE851&lt;$B$25,"onder LCL","")),"")</f>
        <v/>
      </c>
      <c r="AK851" s="13">
        <f>IF(AND(ISNUMBER(AG851),ISNUMBER($B$26),ISNUMBER($D$26)),IF(AG851&gt;$D$26,"boven UCL",IF(AG851&lt;$B$26,"onder LCL","")),"")</f>
        <v/>
      </c>
      <c r="AL851" s="13">
        <f>IF(AND(COUNT(B851:Z851)&gt;0,COUNT(AA851:AC851)&gt;0),"ruwe waarden én getypt: getypte genegeerd",IF(COUNTA(B851:Z851,AA851:AC851)&gt;COUNT(B851:Z851,AA851:AC851),"tekst telt niet mee",IF(COUNT(B851:Z851)=1,"1 waarde: geen R of s","")))</f>
        <v/>
      </c>
    </row>
    <row r="852">
      <c r="A852" t="n">
        <v>801</v>
      </c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28">
        <f>IF(COUNT(B852:Z852)&gt;0,COUNT(B852:Z852),IF(OR(ISNUMBER(AA852),ISNUMBER(AB852)),$B$9,""))</f>
        <v/>
      </c>
      <c r="AE852" s="29">
        <f>IF(COUNT(B852:Z852)&gt;0,AVERAGE(B852:Z852),IF(ISNUMBER(AA852),AA852,""))</f>
        <v/>
      </c>
      <c r="AF852" s="29">
        <f>IF(COUNT(B852:Z852)&gt;1,MAX(B852:Z852)-MIN(B852:Z852),IF(ISNUMBER(AB852),AB852,""))</f>
        <v/>
      </c>
      <c r="AG852" s="29">
        <f>IF(COUNT(B852:Z852)&gt;1,_xlfn.STDEV.S(B852:Z852),IF(ISNUMBER(AC852),AC852,""))</f>
        <v/>
      </c>
      <c r="AH852" s="13">
        <f>IF(AND(ISNUMBER(AE852),ISNUMBER($B$23),ISNUMBER($D$23)),IF(AE852&gt;$D$23,"boven UCL",IF(AE852&lt;$B$23,"onder LCL","")),"")</f>
        <v/>
      </c>
      <c r="AI852" s="13">
        <f>IF(AND(ISNUMBER(AF852),ISNUMBER($B$24),ISNUMBER($D$24)),IF(AF852&gt;$D$24,"boven UCL",IF(AF852&lt;$B$24,"onder LCL","")),"")</f>
        <v/>
      </c>
      <c r="AJ852" s="13">
        <f>IF(AND(ISNUMBER(AE852),ISNUMBER($B$25),ISNUMBER($D$25)),IF(AE852&gt;$D$25,"boven UCL",IF(AE852&lt;$B$25,"onder LCL","")),"")</f>
        <v/>
      </c>
      <c r="AK852" s="13">
        <f>IF(AND(ISNUMBER(AG852),ISNUMBER($B$26),ISNUMBER($D$26)),IF(AG852&gt;$D$26,"boven UCL",IF(AG852&lt;$B$26,"onder LCL","")),"")</f>
        <v/>
      </c>
      <c r="AL852" s="13">
        <f>IF(AND(COUNT(B852:Z852)&gt;0,COUNT(AA852:AC852)&gt;0),"ruwe waarden én getypt: getypte genegeerd",IF(COUNTA(B852:Z852,AA852:AC852)&gt;COUNT(B852:Z852,AA852:AC852),"tekst telt niet mee",IF(COUNT(B852:Z852)=1,"1 waarde: geen R of s","")))</f>
        <v/>
      </c>
    </row>
    <row r="853">
      <c r="A853" t="n">
        <v>802</v>
      </c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28">
        <f>IF(COUNT(B853:Z853)&gt;0,COUNT(B853:Z853),IF(OR(ISNUMBER(AA853),ISNUMBER(AB853)),$B$9,""))</f>
        <v/>
      </c>
      <c r="AE853" s="29">
        <f>IF(COUNT(B853:Z853)&gt;0,AVERAGE(B853:Z853),IF(ISNUMBER(AA853),AA853,""))</f>
        <v/>
      </c>
      <c r="AF853" s="29">
        <f>IF(COUNT(B853:Z853)&gt;1,MAX(B853:Z853)-MIN(B853:Z853),IF(ISNUMBER(AB853),AB853,""))</f>
        <v/>
      </c>
      <c r="AG853" s="29">
        <f>IF(COUNT(B853:Z853)&gt;1,_xlfn.STDEV.S(B853:Z853),IF(ISNUMBER(AC853),AC853,""))</f>
        <v/>
      </c>
      <c r="AH853" s="13">
        <f>IF(AND(ISNUMBER(AE853),ISNUMBER($B$23),ISNUMBER($D$23)),IF(AE853&gt;$D$23,"boven UCL",IF(AE853&lt;$B$23,"onder LCL","")),"")</f>
        <v/>
      </c>
      <c r="AI853" s="13">
        <f>IF(AND(ISNUMBER(AF853),ISNUMBER($B$24),ISNUMBER($D$24)),IF(AF853&gt;$D$24,"boven UCL",IF(AF853&lt;$B$24,"onder LCL","")),"")</f>
        <v/>
      </c>
      <c r="AJ853" s="13">
        <f>IF(AND(ISNUMBER(AE853),ISNUMBER($B$25),ISNUMBER($D$25)),IF(AE853&gt;$D$25,"boven UCL",IF(AE853&lt;$B$25,"onder LCL","")),"")</f>
        <v/>
      </c>
      <c r="AK853" s="13">
        <f>IF(AND(ISNUMBER(AG853),ISNUMBER($B$26),ISNUMBER($D$26)),IF(AG853&gt;$D$26,"boven UCL",IF(AG853&lt;$B$26,"onder LCL","")),"")</f>
        <v/>
      </c>
      <c r="AL853" s="13">
        <f>IF(AND(COUNT(B853:Z853)&gt;0,COUNT(AA853:AC853)&gt;0),"ruwe waarden én getypt: getypte genegeerd",IF(COUNTA(B853:Z853,AA853:AC853)&gt;COUNT(B853:Z853,AA853:AC853),"tekst telt niet mee",IF(COUNT(B853:Z853)=1,"1 waarde: geen R of s","")))</f>
        <v/>
      </c>
    </row>
    <row r="854">
      <c r="A854" t="n">
        <v>803</v>
      </c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28">
        <f>IF(COUNT(B854:Z854)&gt;0,COUNT(B854:Z854),IF(OR(ISNUMBER(AA854),ISNUMBER(AB854)),$B$9,""))</f>
        <v/>
      </c>
      <c r="AE854" s="29">
        <f>IF(COUNT(B854:Z854)&gt;0,AVERAGE(B854:Z854),IF(ISNUMBER(AA854),AA854,""))</f>
        <v/>
      </c>
      <c r="AF854" s="29">
        <f>IF(COUNT(B854:Z854)&gt;1,MAX(B854:Z854)-MIN(B854:Z854),IF(ISNUMBER(AB854),AB854,""))</f>
        <v/>
      </c>
      <c r="AG854" s="29">
        <f>IF(COUNT(B854:Z854)&gt;1,_xlfn.STDEV.S(B854:Z854),IF(ISNUMBER(AC854),AC854,""))</f>
        <v/>
      </c>
      <c r="AH854" s="13">
        <f>IF(AND(ISNUMBER(AE854),ISNUMBER($B$23),ISNUMBER($D$23)),IF(AE854&gt;$D$23,"boven UCL",IF(AE854&lt;$B$23,"onder LCL","")),"")</f>
        <v/>
      </c>
      <c r="AI854" s="13">
        <f>IF(AND(ISNUMBER(AF854),ISNUMBER($B$24),ISNUMBER($D$24)),IF(AF854&gt;$D$24,"boven UCL",IF(AF854&lt;$B$24,"onder LCL","")),"")</f>
        <v/>
      </c>
      <c r="AJ854" s="13">
        <f>IF(AND(ISNUMBER(AE854),ISNUMBER($B$25),ISNUMBER($D$25)),IF(AE854&gt;$D$25,"boven UCL",IF(AE854&lt;$B$25,"onder LCL","")),"")</f>
        <v/>
      </c>
      <c r="AK854" s="13">
        <f>IF(AND(ISNUMBER(AG854),ISNUMBER($B$26),ISNUMBER($D$26)),IF(AG854&gt;$D$26,"boven UCL",IF(AG854&lt;$B$26,"onder LCL","")),"")</f>
        <v/>
      </c>
      <c r="AL854" s="13">
        <f>IF(AND(COUNT(B854:Z854)&gt;0,COUNT(AA854:AC854)&gt;0),"ruwe waarden én getypt: getypte genegeerd",IF(COUNTA(B854:Z854,AA854:AC854)&gt;COUNT(B854:Z854,AA854:AC854),"tekst telt niet mee",IF(COUNT(B854:Z854)=1,"1 waarde: geen R of s","")))</f>
        <v/>
      </c>
    </row>
    <row r="855">
      <c r="A855" t="n">
        <v>804</v>
      </c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28">
        <f>IF(COUNT(B855:Z855)&gt;0,COUNT(B855:Z855),IF(OR(ISNUMBER(AA855),ISNUMBER(AB855)),$B$9,""))</f>
        <v/>
      </c>
      <c r="AE855" s="29">
        <f>IF(COUNT(B855:Z855)&gt;0,AVERAGE(B855:Z855),IF(ISNUMBER(AA855),AA855,""))</f>
        <v/>
      </c>
      <c r="AF855" s="29">
        <f>IF(COUNT(B855:Z855)&gt;1,MAX(B855:Z855)-MIN(B855:Z855),IF(ISNUMBER(AB855),AB855,""))</f>
        <v/>
      </c>
      <c r="AG855" s="29">
        <f>IF(COUNT(B855:Z855)&gt;1,_xlfn.STDEV.S(B855:Z855),IF(ISNUMBER(AC855),AC855,""))</f>
        <v/>
      </c>
      <c r="AH855" s="13">
        <f>IF(AND(ISNUMBER(AE855),ISNUMBER($B$23),ISNUMBER($D$23)),IF(AE855&gt;$D$23,"boven UCL",IF(AE855&lt;$B$23,"onder LCL","")),"")</f>
        <v/>
      </c>
      <c r="AI855" s="13">
        <f>IF(AND(ISNUMBER(AF855),ISNUMBER($B$24),ISNUMBER($D$24)),IF(AF855&gt;$D$24,"boven UCL",IF(AF855&lt;$B$24,"onder LCL","")),"")</f>
        <v/>
      </c>
      <c r="AJ855" s="13">
        <f>IF(AND(ISNUMBER(AE855),ISNUMBER($B$25),ISNUMBER($D$25)),IF(AE855&gt;$D$25,"boven UCL",IF(AE855&lt;$B$25,"onder LCL","")),"")</f>
        <v/>
      </c>
      <c r="AK855" s="13">
        <f>IF(AND(ISNUMBER(AG855),ISNUMBER($B$26),ISNUMBER($D$26)),IF(AG855&gt;$D$26,"boven UCL",IF(AG855&lt;$B$26,"onder LCL","")),"")</f>
        <v/>
      </c>
      <c r="AL855" s="13">
        <f>IF(AND(COUNT(B855:Z855)&gt;0,COUNT(AA855:AC855)&gt;0),"ruwe waarden én getypt: getypte genegeerd",IF(COUNTA(B855:Z855,AA855:AC855)&gt;COUNT(B855:Z855,AA855:AC855),"tekst telt niet mee",IF(COUNT(B855:Z855)=1,"1 waarde: geen R of s","")))</f>
        <v/>
      </c>
    </row>
    <row r="856">
      <c r="A856" t="n">
        <v>805</v>
      </c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28">
        <f>IF(COUNT(B856:Z856)&gt;0,COUNT(B856:Z856),IF(OR(ISNUMBER(AA856),ISNUMBER(AB856)),$B$9,""))</f>
        <v/>
      </c>
      <c r="AE856" s="29">
        <f>IF(COUNT(B856:Z856)&gt;0,AVERAGE(B856:Z856),IF(ISNUMBER(AA856),AA856,""))</f>
        <v/>
      </c>
      <c r="AF856" s="29">
        <f>IF(COUNT(B856:Z856)&gt;1,MAX(B856:Z856)-MIN(B856:Z856),IF(ISNUMBER(AB856),AB856,""))</f>
        <v/>
      </c>
      <c r="AG856" s="29">
        <f>IF(COUNT(B856:Z856)&gt;1,_xlfn.STDEV.S(B856:Z856),IF(ISNUMBER(AC856),AC856,""))</f>
        <v/>
      </c>
      <c r="AH856" s="13">
        <f>IF(AND(ISNUMBER(AE856),ISNUMBER($B$23),ISNUMBER($D$23)),IF(AE856&gt;$D$23,"boven UCL",IF(AE856&lt;$B$23,"onder LCL","")),"")</f>
        <v/>
      </c>
      <c r="AI856" s="13">
        <f>IF(AND(ISNUMBER(AF856),ISNUMBER($B$24),ISNUMBER($D$24)),IF(AF856&gt;$D$24,"boven UCL",IF(AF856&lt;$B$24,"onder LCL","")),"")</f>
        <v/>
      </c>
      <c r="AJ856" s="13">
        <f>IF(AND(ISNUMBER(AE856),ISNUMBER($B$25),ISNUMBER($D$25)),IF(AE856&gt;$D$25,"boven UCL",IF(AE856&lt;$B$25,"onder LCL","")),"")</f>
        <v/>
      </c>
      <c r="AK856" s="13">
        <f>IF(AND(ISNUMBER(AG856),ISNUMBER($B$26),ISNUMBER($D$26)),IF(AG856&gt;$D$26,"boven UCL",IF(AG856&lt;$B$26,"onder LCL","")),"")</f>
        <v/>
      </c>
      <c r="AL856" s="13">
        <f>IF(AND(COUNT(B856:Z856)&gt;0,COUNT(AA856:AC856)&gt;0),"ruwe waarden én getypt: getypte genegeerd",IF(COUNTA(B856:Z856,AA856:AC856)&gt;COUNT(B856:Z856,AA856:AC856),"tekst telt niet mee",IF(COUNT(B856:Z856)=1,"1 waarde: geen R of s","")))</f>
        <v/>
      </c>
    </row>
    <row r="857">
      <c r="A857" t="n">
        <v>806</v>
      </c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28">
        <f>IF(COUNT(B857:Z857)&gt;0,COUNT(B857:Z857),IF(OR(ISNUMBER(AA857),ISNUMBER(AB857)),$B$9,""))</f>
        <v/>
      </c>
      <c r="AE857" s="29">
        <f>IF(COUNT(B857:Z857)&gt;0,AVERAGE(B857:Z857),IF(ISNUMBER(AA857),AA857,""))</f>
        <v/>
      </c>
      <c r="AF857" s="29">
        <f>IF(COUNT(B857:Z857)&gt;1,MAX(B857:Z857)-MIN(B857:Z857),IF(ISNUMBER(AB857),AB857,""))</f>
        <v/>
      </c>
      <c r="AG857" s="29">
        <f>IF(COUNT(B857:Z857)&gt;1,_xlfn.STDEV.S(B857:Z857),IF(ISNUMBER(AC857),AC857,""))</f>
        <v/>
      </c>
      <c r="AH857" s="13">
        <f>IF(AND(ISNUMBER(AE857),ISNUMBER($B$23),ISNUMBER($D$23)),IF(AE857&gt;$D$23,"boven UCL",IF(AE857&lt;$B$23,"onder LCL","")),"")</f>
        <v/>
      </c>
      <c r="AI857" s="13">
        <f>IF(AND(ISNUMBER(AF857),ISNUMBER($B$24),ISNUMBER($D$24)),IF(AF857&gt;$D$24,"boven UCL",IF(AF857&lt;$B$24,"onder LCL","")),"")</f>
        <v/>
      </c>
      <c r="AJ857" s="13">
        <f>IF(AND(ISNUMBER(AE857),ISNUMBER($B$25),ISNUMBER($D$25)),IF(AE857&gt;$D$25,"boven UCL",IF(AE857&lt;$B$25,"onder LCL","")),"")</f>
        <v/>
      </c>
      <c r="AK857" s="13">
        <f>IF(AND(ISNUMBER(AG857),ISNUMBER($B$26),ISNUMBER($D$26)),IF(AG857&gt;$D$26,"boven UCL",IF(AG857&lt;$B$26,"onder LCL","")),"")</f>
        <v/>
      </c>
      <c r="AL857" s="13">
        <f>IF(AND(COUNT(B857:Z857)&gt;0,COUNT(AA857:AC857)&gt;0),"ruwe waarden én getypt: getypte genegeerd",IF(COUNTA(B857:Z857,AA857:AC857)&gt;COUNT(B857:Z857,AA857:AC857),"tekst telt niet mee",IF(COUNT(B857:Z857)=1,"1 waarde: geen R of s","")))</f>
        <v/>
      </c>
    </row>
    <row r="858">
      <c r="A858" t="n">
        <v>807</v>
      </c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28">
        <f>IF(COUNT(B858:Z858)&gt;0,COUNT(B858:Z858),IF(OR(ISNUMBER(AA858),ISNUMBER(AB858)),$B$9,""))</f>
        <v/>
      </c>
      <c r="AE858" s="29">
        <f>IF(COUNT(B858:Z858)&gt;0,AVERAGE(B858:Z858),IF(ISNUMBER(AA858),AA858,""))</f>
        <v/>
      </c>
      <c r="AF858" s="29">
        <f>IF(COUNT(B858:Z858)&gt;1,MAX(B858:Z858)-MIN(B858:Z858),IF(ISNUMBER(AB858),AB858,""))</f>
        <v/>
      </c>
      <c r="AG858" s="29">
        <f>IF(COUNT(B858:Z858)&gt;1,_xlfn.STDEV.S(B858:Z858),IF(ISNUMBER(AC858),AC858,""))</f>
        <v/>
      </c>
      <c r="AH858" s="13">
        <f>IF(AND(ISNUMBER(AE858),ISNUMBER($B$23),ISNUMBER($D$23)),IF(AE858&gt;$D$23,"boven UCL",IF(AE858&lt;$B$23,"onder LCL","")),"")</f>
        <v/>
      </c>
      <c r="AI858" s="13">
        <f>IF(AND(ISNUMBER(AF858),ISNUMBER($B$24),ISNUMBER($D$24)),IF(AF858&gt;$D$24,"boven UCL",IF(AF858&lt;$B$24,"onder LCL","")),"")</f>
        <v/>
      </c>
      <c r="AJ858" s="13">
        <f>IF(AND(ISNUMBER(AE858),ISNUMBER($B$25),ISNUMBER($D$25)),IF(AE858&gt;$D$25,"boven UCL",IF(AE858&lt;$B$25,"onder LCL","")),"")</f>
        <v/>
      </c>
      <c r="AK858" s="13">
        <f>IF(AND(ISNUMBER(AG858),ISNUMBER($B$26),ISNUMBER($D$26)),IF(AG858&gt;$D$26,"boven UCL",IF(AG858&lt;$B$26,"onder LCL","")),"")</f>
        <v/>
      </c>
      <c r="AL858" s="13">
        <f>IF(AND(COUNT(B858:Z858)&gt;0,COUNT(AA858:AC858)&gt;0),"ruwe waarden én getypt: getypte genegeerd",IF(COUNTA(B858:Z858,AA858:AC858)&gt;COUNT(B858:Z858,AA858:AC858),"tekst telt niet mee",IF(COUNT(B858:Z858)=1,"1 waarde: geen R of s","")))</f>
        <v/>
      </c>
    </row>
    <row r="859">
      <c r="A859" t="n">
        <v>808</v>
      </c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28">
        <f>IF(COUNT(B859:Z859)&gt;0,COUNT(B859:Z859),IF(OR(ISNUMBER(AA859),ISNUMBER(AB859)),$B$9,""))</f>
        <v/>
      </c>
      <c r="AE859" s="29">
        <f>IF(COUNT(B859:Z859)&gt;0,AVERAGE(B859:Z859),IF(ISNUMBER(AA859),AA859,""))</f>
        <v/>
      </c>
      <c r="AF859" s="29">
        <f>IF(COUNT(B859:Z859)&gt;1,MAX(B859:Z859)-MIN(B859:Z859),IF(ISNUMBER(AB859),AB859,""))</f>
        <v/>
      </c>
      <c r="AG859" s="29">
        <f>IF(COUNT(B859:Z859)&gt;1,_xlfn.STDEV.S(B859:Z859),IF(ISNUMBER(AC859),AC859,""))</f>
        <v/>
      </c>
      <c r="AH859" s="13">
        <f>IF(AND(ISNUMBER(AE859),ISNUMBER($B$23),ISNUMBER($D$23)),IF(AE859&gt;$D$23,"boven UCL",IF(AE859&lt;$B$23,"onder LCL","")),"")</f>
        <v/>
      </c>
      <c r="AI859" s="13">
        <f>IF(AND(ISNUMBER(AF859),ISNUMBER($B$24),ISNUMBER($D$24)),IF(AF859&gt;$D$24,"boven UCL",IF(AF859&lt;$B$24,"onder LCL","")),"")</f>
        <v/>
      </c>
      <c r="AJ859" s="13">
        <f>IF(AND(ISNUMBER(AE859),ISNUMBER($B$25),ISNUMBER($D$25)),IF(AE859&gt;$D$25,"boven UCL",IF(AE859&lt;$B$25,"onder LCL","")),"")</f>
        <v/>
      </c>
      <c r="AK859" s="13">
        <f>IF(AND(ISNUMBER(AG859),ISNUMBER($B$26),ISNUMBER($D$26)),IF(AG859&gt;$D$26,"boven UCL",IF(AG859&lt;$B$26,"onder LCL","")),"")</f>
        <v/>
      </c>
      <c r="AL859" s="13">
        <f>IF(AND(COUNT(B859:Z859)&gt;0,COUNT(AA859:AC859)&gt;0),"ruwe waarden én getypt: getypte genegeerd",IF(COUNTA(B859:Z859,AA859:AC859)&gt;COUNT(B859:Z859,AA859:AC859),"tekst telt niet mee",IF(COUNT(B859:Z859)=1,"1 waarde: geen R of s","")))</f>
        <v/>
      </c>
    </row>
    <row r="860">
      <c r="A860" t="n">
        <v>809</v>
      </c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28">
        <f>IF(COUNT(B860:Z860)&gt;0,COUNT(B860:Z860),IF(OR(ISNUMBER(AA860),ISNUMBER(AB860)),$B$9,""))</f>
        <v/>
      </c>
      <c r="AE860" s="29">
        <f>IF(COUNT(B860:Z860)&gt;0,AVERAGE(B860:Z860),IF(ISNUMBER(AA860),AA860,""))</f>
        <v/>
      </c>
      <c r="AF860" s="29">
        <f>IF(COUNT(B860:Z860)&gt;1,MAX(B860:Z860)-MIN(B860:Z860),IF(ISNUMBER(AB860),AB860,""))</f>
        <v/>
      </c>
      <c r="AG860" s="29">
        <f>IF(COUNT(B860:Z860)&gt;1,_xlfn.STDEV.S(B860:Z860),IF(ISNUMBER(AC860),AC860,""))</f>
        <v/>
      </c>
      <c r="AH860" s="13">
        <f>IF(AND(ISNUMBER(AE860),ISNUMBER($B$23),ISNUMBER($D$23)),IF(AE860&gt;$D$23,"boven UCL",IF(AE860&lt;$B$23,"onder LCL","")),"")</f>
        <v/>
      </c>
      <c r="AI860" s="13">
        <f>IF(AND(ISNUMBER(AF860),ISNUMBER($B$24),ISNUMBER($D$24)),IF(AF860&gt;$D$24,"boven UCL",IF(AF860&lt;$B$24,"onder LCL","")),"")</f>
        <v/>
      </c>
      <c r="AJ860" s="13">
        <f>IF(AND(ISNUMBER(AE860),ISNUMBER($B$25),ISNUMBER($D$25)),IF(AE860&gt;$D$25,"boven UCL",IF(AE860&lt;$B$25,"onder LCL","")),"")</f>
        <v/>
      </c>
      <c r="AK860" s="13">
        <f>IF(AND(ISNUMBER(AG860),ISNUMBER($B$26),ISNUMBER($D$26)),IF(AG860&gt;$D$26,"boven UCL",IF(AG860&lt;$B$26,"onder LCL","")),"")</f>
        <v/>
      </c>
      <c r="AL860" s="13">
        <f>IF(AND(COUNT(B860:Z860)&gt;0,COUNT(AA860:AC860)&gt;0),"ruwe waarden én getypt: getypte genegeerd",IF(COUNTA(B860:Z860,AA860:AC860)&gt;COUNT(B860:Z860,AA860:AC860),"tekst telt niet mee",IF(COUNT(B860:Z860)=1,"1 waarde: geen R of s","")))</f>
        <v/>
      </c>
    </row>
    <row r="861">
      <c r="A861" t="n">
        <v>810</v>
      </c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28">
        <f>IF(COUNT(B861:Z861)&gt;0,COUNT(B861:Z861),IF(OR(ISNUMBER(AA861),ISNUMBER(AB861)),$B$9,""))</f>
        <v/>
      </c>
      <c r="AE861" s="29">
        <f>IF(COUNT(B861:Z861)&gt;0,AVERAGE(B861:Z861),IF(ISNUMBER(AA861),AA861,""))</f>
        <v/>
      </c>
      <c r="AF861" s="29">
        <f>IF(COUNT(B861:Z861)&gt;1,MAX(B861:Z861)-MIN(B861:Z861),IF(ISNUMBER(AB861),AB861,""))</f>
        <v/>
      </c>
      <c r="AG861" s="29">
        <f>IF(COUNT(B861:Z861)&gt;1,_xlfn.STDEV.S(B861:Z861),IF(ISNUMBER(AC861),AC861,""))</f>
        <v/>
      </c>
      <c r="AH861" s="13">
        <f>IF(AND(ISNUMBER(AE861),ISNUMBER($B$23),ISNUMBER($D$23)),IF(AE861&gt;$D$23,"boven UCL",IF(AE861&lt;$B$23,"onder LCL","")),"")</f>
        <v/>
      </c>
      <c r="AI861" s="13">
        <f>IF(AND(ISNUMBER(AF861),ISNUMBER($B$24),ISNUMBER($D$24)),IF(AF861&gt;$D$24,"boven UCL",IF(AF861&lt;$B$24,"onder LCL","")),"")</f>
        <v/>
      </c>
      <c r="AJ861" s="13">
        <f>IF(AND(ISNUMBER(AE861),ISNUMBER($B$25),ISNUMBER($D$25)),IF(AE861&gt;$D$25,"boven UCL",IF(AE861&lt;$B$25,"onder LCL","")),"")</f>
        <v/>
      </c>
      <c r="AK861" s="13">
        <f>IF(AND(ISNUMBER(AG861),ISNUMBER($B$26),ISNUMBER($D$26)),IF(AG861&gt;$D$26,"boven UCL",IF(AG861&lt;$B$26,"onder LCL","")),"")</f>
        <v/>
      </c>
      <c r="AL861" s="13">
        <f>IF(AND(COUNT(B861:Z861)&gt;0,COUNT(AA861:AC861)&gt;0),"ruwe waarden én getypt: getypte genegeerd",IF(COUNTA(B861:Z861,AA861:AC861)&gt;COUNT(B861:Z861,AA861:AC861),"tekst telt niet mee",IF(COUNT(B861:Z861)=1,"1 waarde: geen R of s","")))</f>
        <v/>
      </c>
    </row>
    <row r="862">
      <c r="A862" t="n">
        <v>811</v>
      </c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28">
        <f>IF(COUNT(B862:Z862)&gt;0,COUNT(B862:Z862),IF(OR(ISNUMBER(AA862),ISNUMBER(AB862)),$B$9,""))</f>
        <v/>
      </c>
      <c r="AE862" s="29">
        <f>IF(COUNT(B862:Z862)&gt;0,AVERAGE(B862:Z862),IF(ISNUMBER(AA862),AA862,""))</f>
        <v/>
      </c>
      <c r="AF862" s="29">
        <f>IF(COUNT(B862:Z862)&gt;1,MAX(B862:Z862)-MIN(B862:Z862),IF(ISNUMBER(AB862),AB862,""))</f>
        <v/>
      </c>
      <c r="AG862" s="29">
        <f>IF(COUNT(B862:Z862)&gt;1,_xlfn.STDEV.S(B862:Z862),IF(ISNUMBER(AC862),AC862,""))</f>
        <v/>
      </c>
      <c r="AH862" s="13">
        <f>IF(AND(ISNUMBER(AE862),ISNUMBER($B$23),ISNUMBER($D$23)),IF(AE862&gt;$D$23,"boven UCL",IF(AE862&lt;$B$23,"onder LCL","")),"")</f>
        <v/>
      </c>
      <c r="AI862" s="13">
        <f>IF(AND(ISNUMBER(AF862),ISNUMBER($B$24),ISNUMBER($D$24)),IF(AF862&gt;$D$24,"boven UCL",IF(AF862&lt;$B$24,"onder LCL","")),"")</f>
        <v/>
      </c>
      <c r="AJ862" s="13">
        <f>IF(AND(ISNUMBER(AE862),ISNUMBER($B$25),ISNUMBER($D$25)),IF(AE862&gt;$D$25,"boven UCL",IF(AE862&lt;$B$25,"onder LCL","")),"")</f>
        <v/>
      </c>
      <c r="AK862" s="13">
        <f>IF(AND(ISNUMBER(AG862),ISNUMBER($B$26),ISNUMBER($D$26)),IF(AG862&gt;$D$26,"boven UCL",IF(AG862&lt;$B$26,"onder LCL","")),"")</f>
        <v/>
      </c>
      <c r="AL862" s="13">
        <f>IF(AND(COUNT(B862:Z862)&gt;0,COUNT(AA862:AC862)&gt;0),"ruwe waarden én getypt: getypte genegeerd",IF(COUNTA(B862:Z862,AA862:AC862)&gt;COUNT(B862:Z862,AA862:AC862),"tekst telt niet mee",IF(COUNT(B862:Z862)=1,"1 waarde: geen R of s","")))</f>
        <v/>
      </c>
    </row>
    <row r="863">
      <c r="A863" t="n">
        <v>812</v>
      </c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28">
        <f>IF(COUNT(B863:Z863)&gt;0,COUNT(B863:Z863),IF(OR(ISNUMBER(AA863),ISNUMBER(AB863)),$B$9,""))</f>
        <v/>
      </c>
      <c r="AE863" s="29">
        <f>IF(COUNT(B863:Z863)&gt;0,AVERAGE(B863:Z863),IF(ISNUMBER(AA863),AA863,""))</f>
        <v/>
      </c>
      <c r="AF863" s="29">
        <f>IF(COUNT(B863:Z863)&gt;1,MAX(B863:Z863)-MIN(B863:Z863),IF(ISNUMBER(AB863),AB863,""))</f>
        <v/>
      </c>
      <c r="AG863" s="29">
        <f>IF(COUNT(B863:Z863)&gt;1,_xlfn.STDEV.S(B863:Z863),IF(ISNUMBER(AC863),AC863,""))</f>
        <v/>
      </c>
      <c r="AH863" s="13">
        <f>IF(AND(ISNUMBER(AE863),ISNUMBER($B$23),ISNUMBER($D$23)),IF(AE863&gt;$D$23,"boven UCL",IF(AE863&lt;$B$23,"onder LCL","")),"")</f>
        <v/>
      </c>
      <c r="AI863" s="13">
        <f>IF(AND(ISNUMBER(AF863),ISNUMBER($B$24),ISNUMBER($D$24)),IF(AF863&gt;$D$24,"boven UCL",IF(AF863&lt;$B$24,"onder LCL","")),"")</f>
        <v/>
      </c>
      <c r="AJ863" s="13">
        <f>IF(AND(ISNUMBER(AE863),ISNUMBER($B$25),ISNUMBER($D$25)),IF(AE863&gt;$D$25,"boven UCL",IF(AE863&lt;$B$25,"onder LCL","")),"")</f>
        <v/>
      </c>
      <c r="AK863" s="13">
        <f>IF(AND(ISNUMBER(AG863),ISNUMBER($B$26),ISNUMBER($D$26)),IF(AG863&gt;$D$26,"boven UCL",IF(AG863&lt;$B$26,"onder LCL","")),"")</f>
        <v/>
      </c>
      <c r="AL863" s="13">
        <f>IF(AND(COUNT(B863:Z863)&gt;0,COUNT(AA863:AC863)&gt;0),"ruwe waarden én getypt: getypte genegeerd",IF(COUNTA(B863:Z863,AA863:AC863)&gt;COUNT(B863:Z863,AA863:AC863),"tekst telt niet mee",IF(COUNT(B863:Z863)=1,"1 waarde: geen R of s","")))</f>
        <v/>
      </c>
    </row>
    <row r="864">
      <c r="A864" t="n">
        <v>813</v>
      </c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28">
        <f>IF(COUNT(B864:Z864)&gt;0,COUNT(B864:Z864),IF(OR(ISNUMBER(AA864),ISNUMBER(AB864)),$B$9,""))</f>
        <v/>
      </c>
      <c r="AE864" s="29">
        <f>IF(COUNT(B864:Z864)&gt;0,AVERAGE(B864:Z864),IF(ISNUMBER(AA864),AA864,""))</f>
        <v/>
      </c>
      <c r="AF864" s="29">
        <f>IF(COUNT(B864:Z864)&gt;1,MAX(B864:Z864)-MIN(B864:Z864),IF(ISNUMBER(AB864),AB864,""))</f>
        <v/>
      </c>
      <c r="AG864" s="29">
        <f>IF(COUNT(B864:Z864)&gt;1,_xlfn.STDEV.S(B864:Z864),IF(ISNUMBER(AC864),AC864,""))</f>
        <v/>
      </c>
      <c r="AH864" s="13">
        <f>IF(AND(ISNUMBER(AE864),ISNUMBER($B$23),ISNUMBER($D$23)),IF(AE864&gt;$D$23,"boven UCL",IF(AE864&lt;$B$23,"onder LCL","")),"")</f>
        <v/>
      </c>
      <c r="AI864" s="13">
        <f>IF(AND(ISNUMBER(AF864),ISNUMBER($B$24),ISNUMBER($D$24)),IF(AF864&gt;$D$24,"boven UCL",IF(AF864&lt;$B$24,"onder LCL","")),"")</f>
        <v/>
      </c>
      <c r="AJ864" s="13">
        <f>IF(AND(ISNUMBER(AE864),ISNUMBER($B$25),ISNUMBER($D$25)),IF(AE864&gt;$D$25,"boven UCL",IF(AE864&lt;$B$25,"onder LCL","")),"")</f>
        <v/>
      </c>
      <c r="AK864" s="13">
        <f>IF(AND(ISNUMBER(AG864),ISNUMBER($B$26),ISNUMBER($D$26)),IF(AG864&gt;$D$26,"boven UCL",IF(AG864&lt;$B$26,"onder LCL","")),"")</f>
        <v/>
      </c>
      <c r="AL864" s="13">
        <f>IF(AND(COUNT(B864:Z864)&gt;0,COUNT(AA864:AC864)&gt;0),"ruwe waarden én getypt: getypte genegeerd",IF(COUNTA(B864:Z864,AA864:AC864)&gt;COUNT(B864:Z864,AA864:AC864),"tekst telt niet mee",IF(COUNT(B864:Z864)=1,"1 waarde: geen R of s","")))</f>
        <v/>
      </c>
    </row>
    <row r="865">
      <c r="A865" t="n">
        <v>814</v>
      </c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28">
        <f>IF(COUNT(B865:Z865)&gt;0,COUNT(B865:Z865),IF(OR(ISNUMBER(AA865),ISNUMBER(AB865)),$B$9,""))</f>
        <v/>
      </c>
      <c r="AE865" s="29">
        <f>IF(COUNT(B865:Z865)&gt;0,AVERAGE(B865:Z865),IF(ISNUMBER(AA865),AA865,""))</f>
        <v/>
      </c>
      <c r="AF865" s="29">
        <f>IF(COUNT(B865:Z865)&gt;1,MAX(B865:Z865)-MIN(B865:Z865),IF(ISNUMBER(AB865),AB865,""))</f>
        <v/>
      </c>
      <c r="AG865" s="29">
        <f>IF(COUNT(B865:Z865)&gt;1,_xlfn.STDEV.S(B865:Z865),IF(ISNUMBER(AC865),AC865,""))</f>
        <v/>
      </c>
      <c r="AH865" s="13">
        <f>IF(AND(ISNUMBER(AE865),ISNUMBER($B$23),ISNUMBER($D$23)),IF(AE865&gt;$D$23,"boven UCL",IF(AE865&lt;$B$23,"onder LCL","")),"")</f>
        <v/>
      </c>
      <c r="AI865" s="13">
        <f>IF(AND(ISNUMBER(AF865),ISNUMBER($B$24),ISNUMBER($D$24)),IF(AF865&gt;$D$24,"boven UCL",IF(AF865&lt;$B$24,"onder LCL","")),"")</f>
        <v/>
      </c>
      <c r="AJ865" s="13">
        <f>IF(AND(ISNUMBER(AE865),ISNUMBER($B$25),ISNUMBER($D$25)),IF(AE865&gt;$D$25,"boven UCL",IF(AE865&lt;$B$25,"onder LCL","")),"")</f>
        <v/>
      </c>
      <c r="AK865" s="13">
        <f>IF(AND(ISNUMBER(AG865),ISNUMBER($B$26),ISNUMBER($D$26)),IF(AG865&gt;$D$26,"boven UCL",IF(AG865&lt;$B$26,"onder LCL","")),"")</f>
        <v/>
      </c>
      <c r="AL865" s="13">
        <f>IF(AND(COUNT(B865:Z865)&gt;0,COUNT(AA865:AC865)&gt;0),"ruwe waarden én getypt: getypte genegeerd",IF(COUNTA(B865:Z865,AA865:AC865)&gt;COUNT(B865:Z865,AA865:AC865),"tekst telt niet mee",IF(COUNT(B865:Z865)=1,"1 waarde: geen R of s","")))</f>
        <v/>
      </c>
    </row>
    <row r="866">
      <c r="A866" t="n">
        <v>815</v>
      </c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28">
        <f>IF(COUNT(B866:Z866)&gt;0,COUNT(B866:Z866),IF(OR(ISNUMBER(AA866),ISNUMBER(AB866)),$B$9,""))</f>
        <v/>
      </c>
      <c r="AE866" s="29">
        <f>IF(COUNT(B866:Z866)&gt;0,AVERAGE(B866:Z866),IF(ISNUMBER(AA866),AA866,""))</f>
        <v/>
      </c>
      <c r="AF866" s="29">
        <f>IF(COUNT(B866:Z866)&gt;1,MAX(B866:Z866)-MIN(B866:Z866),IF(ISNUMBER(AB866),AB866,""))</f>
        <v/>
      </c>
      <c r="AG866" s="29">
        <f>IF(COUNT(B866:Z866)&gt;1,_xlfn.STDEV.S(B866:Z866),IF(ISNUMBER(AC866),AC866,""))</f>
        <v/>
      </c>
      <c r="AH866" s="13">
        <f>IF(AND(ISNUMBER(AE866),ISNUMBER($B$23),ISNUMBER($D$23)),IF(AE866&gt;$D$23,"boven UCL",IF(AE866&lt;$B$23,"onder LCL","")),"")</f>
        <v/>
      </c>
      <c r="AI866" s="13">
        <f>IF(AND(ISNUMBER(AF866),ISNUMBER($B$24),ISNUMBER($D$24)),IF(AF866&gt;$D$24,"boven UCL",IF(AF866&lt;$B$24,"onder LCL","")),"")</f>
        <v/>
      </c>
      <c r="AJ866" s="13">
        <f>IF(AND(ISNUMBER(AE866),ISNUMBER($B$25),ISNUMBER($D$25)),IF(AE866&gt;$D$25,"boven UCL",IF(AE866&lt;$B$25,"onder LCL","")),"")</f>
        <v/>
      </c>
      <c r="AK866" s="13">
        <f>IF(AND(ISNUMBER(AG866),ISNUMBER($B$26),ISNUMBER($D$26)),IF(AG866&gt;$D$26,"boven UCL",IF(AG866&lt;$B$26,"onder LCL","")),"")</f>
        <v/>
      </c>
      <c r="AL866" s="13">
        <f>IF(AND(COUNT(B866:Z866)&gt;0,COUNT(AA866:AC866)&gt;0),"ruwe waarden én getypt: getypte genegeerd",IF(COUNTA(B866:Z866,AA866:AC866)&gt;COUNT(B866:Z866,AA866:AC866),"tekst telt niet mee",IF(COUNT(B866:Z866)=1,"1 waarde: geen R of s","")))</f>
        <v/>
      </c>
    </row>
    <row r="867">
      <c r="A867" t="n">
        <v>816</v>
      </c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28">
        <f>IF(COUNT(B867:Z867)&gt;0,COUNT(B867:Z867),IF(OR(ISNUMBER(AA867),ISNUMBER(AB867)),$B$9,""))</f>
        <v/>
      </c>
      <c r="AE867" s="29">
        <f>IF(COUNT(B867:Z867)&gt;0,AVERAGE(B867:Z867),IF(ISNUMBER(AA867),AA867,""))</f>
        <v/>
      </c>
      <c r="AF867" s="29">
        <f>IF(COUNT(B867:Z867)&gt;1,MAX(B867:Z867)-MIN(B867:Z867),IF(ISNUMBER(AB867),AB867,""))</f>
        <v/>
      </c>
      <c r="AG867" s="29">
        <f>IF(COUNT(B867:Z867)&gt;1,_xlfn.STDEV.S(B867:Z867),IF(ISNUMBER(AC867),AC867,""))</f>
        <v/>
      </c>
      <c r="AH867" s="13">
        <f>IF(AND(ISNUMBER(AE867),ISNUMBER($B$23),ISNUMBER($D$23)),IF(AE867&gt;$D$23,"boven UCL",IF(AE867&lt;$B$23,"onder LCL","")),"")</f>
        <v/>
      </c>
      <c r="AI867" s="13">
        <f>IF(AND(ISNUMBER(AF867),ISNUMBER($B$24),ISNUMBER($D$24)),IF(AF867&gt;$D$24,"boven UCL",IF(AF867&lt;$B$24,"onder LCL","")),"")</f>
        <v/>
      </c>
      <c r="AJ867" s="13">
        <f>IF(AND(ISNUMBER(AE867),ISNUMBER($B$25),ISNUMBER($D$25)),IF(AE867&gt;$D$25,"boven UCL",IF(AE867&lt;$B$25,"onder LCL","")),"")</f>
        <v/>
      </c>
      <c r="AK867" s="13">
        <f>IF(AND(ISNUMBER(AG867),ISNUMBER($B$26),ISNUMBER($D$26)),IF(AG867&gt;$D$26,"boven UCL",IF(AG867&lt;$B$26,"onder LCL","")),"")</f>
        <v/>
      </c>
      <c r="AL867" s="13">
        <f>IF(AND(COUNT(B867:Z867)&gt;0,COUNT(AA867:AC867)&gt;0),"ruwe waarden én getypt: getypte genegeerd",IF(COUNTA(B867:Z867,AA867:AC867)&gt;COUNT(B867:Z867,AA867:AC867),"tekst telt niet mee",IF(COUNT(B867:Z867)=1,"1 waarde: geen R of s","")))</f>
        <v/>
      </c>
    </row>
    <row r="868">
      <c r="A868" t="n">
        <v>817</v>
      </c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28">
        <f>IF(COUNT(B868:Z868)&gt;0,COUNT(B868:Z868),IF(OR(ISNUMBER(AA868),ISNUMBER(AB868)),$B$9,""))</f>
        <v/>
      </c>
      <c r="AE868" s="29">
        <f>IF(COUNT(B868:Z868)&gt;0,AVERAGE(B868:Z868),IF(ISNUMBER(AA868),AA868,""))</f>
        <v/>
      </c>
      <c r="AF868" s="29">
        <f>IF(COUNT(B868:Z868)&gt;1,MAX(B868:Z868)-MIN(B868:Z868),IF(ISNUMBER(AB868),AB868,""))</f>
        <v/>
      </c>
      <c r="AG868" s="29">
        <f>IF(COUNT(B868:Z868)&gt;1,_xlfn.STDEV.S(B868:Z868),IF(ISNUMBER(AC868),AC868,""))</f>
        <v/>
      </c>
      <c r="AH868" s="13">
        <f>IF(AND(ISNUMBER(AE868),ISNUMBER($B$23),ISNUMBER($D$23)),IF(AE868&gt;$D$23,"boven UCL",IF(AE868&lt;$B$23,"onder LCL","")),"")</f>
        <v/>
      </c>
      <c r="AI868" s="13">
        <f>IF(AND(ISNUMBER(AF868),ISNUMBER($B$24),ISNUMBER($D$24)),IF(AF868&gt;$D$24,"boven UCL",IF(AF868&lt;$B$24,"onder LCL","")),"")</f>
        <v/>
      </c>
      <c r="AJ868" s="13">
        <f>IF(AND(ISNUMBER(AE868),ISNUMBER($B$25),ISNUMBER($D$25)),IF(AE868&gt;$D$25,"boven UCL",IF(AE868&lt;$B$25,"onder LCL","")),"")</f>
        <v/>
      </c>
      <c r="AK868" s="13">
        <f>IF(AND(ISNUMBER(AG868),ISNUMBER($B$26),ISNUMBER($D$26)),IF(AG868&gt;$D$26,"boven UCL",IF(AG868&lt;$B$26,"onder LCL","")),"")</f>
        <v/>
      </c>
      <c r="AL868" s="13">
        <f>IF(AND(COUNT(B868:Z868)&gt;0,COUNT(AA868:AC868)&gt;0),"ruwe waarden én getypt: getypte genegeerd",IF(COUNTA(B868:Z868,AA868:AC868)&gt;COUNT(B868:Z868,AA868:AC868),"tekst telt niet mee",IF(COUNT(B868:Z868)=1,"1 waarde: geen R of s","")))</f>
        <v/>
      </c>
    </row>
    <row r="869">
      <c r="A869" t="n">
        <v>818</v>
      </c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28">
        <f>IF(COUNT(B869:Z869)&gt;0,COUNT(B869:Z869),IF(OR(ISNUMBER(AA869),ISNUMBER(AB869)),$B$9,""))</f>
        <v/>
      </c>
      <c r="AE869" s="29">
        <f>IF(COUNT(B869:Z869)&gt;0,AVERAGE(B869:Z869),IF(ISNUMBER(AA869),AA869,""))</f>
        <v/>
      </c>
      <c r="AF869" s="29">
        <f>IF(COUNT(B869:Z869)&gt;1,MAX(B869:Z869)-MIN(B869:Z869),IF(ISNUMBER(AB869),AB869,""))</f>
        <v/>
      </c>
      <c r="AG869" s="29">
        <f>IF(COUNT(B869:Z869)&gt;1,_xlfn.STDEV.S(B869:Z869),IF(ISNUMBER(AC869),AC869,""))</f>
        <v/>
      </c>
      <c r="AH869" s="13">
        <f>IF(AND(ISNUMBER(AE869),ISNUMBER($B$23),ISNUMBER($D$23)),IF(AE869&gt;$D$23,"boven UCL",IF(AE869&lt;$B$23,"onder LCL","")),"")</f>
        <v/>
      </c>
      <c r="AI869" s="13">
        <f>IF(AND(ISNUMBER(AF869),ISNUMBER($B$24),ISNUMBER($D$24)),IF(AF869&gt;$D$24,"boven UCL",IF(AF869&lt;$B$24,"onder LCL","")),"")</f>
        <v/>
      </c>
      <c r="AJ869" s="13">
        <f>IF(AND(ISNUMBER(AE869),ISNUMBER($B$25),ISNUMBER($D$25)),IF(AE869&gt;$D$25,"boven UCL",IF(AE869&lt;$B$25,"onder LCL","")),"")</f>
        <v/>
      </c>
      <c r="AK869" s="13">
        <f>IF(AND(ISNUMBER(AG869),ISNUMBER($B$26),ISNUMBER($D$26)),IF(AG869&gt;$D$26,"boven UCL",IF(AG869&lt;$B$26,"onder LCL","")),"")</f>
        <v/>
      </c>
      <c r="AL869" s="13">
        <f>IF(AND(COUNT(B869:Z869)&gt;0,COUNT(AA869:AC869)&gt;0),"ruwe waarden én getypt: getypte genegeerd",IF(COUNTA(B869:Z869,AA869:AC869)&gt;COUNT(B869:Z869,AA869:AC869),"tekst telt niet mee",IF(COUNT(B869:Z869)=1,"1 waarde: geen R of s","")))</f>
        <v/>
      </c>
    </row>
    <row r="870">
      <c r="A870" t="n">
        <v>819</v>
      </c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28">
        <f>IF(COUNT(B870:Z870)&gt;0,COUNT(B870:Z870),IF(OR(ISNUMBER(AA870),ISNUMBER(AB870)),$B$9,""))</f>
        <v/>
      </c>
      <c r="AE870" s="29">
        <f>IF(COUNT(B870:Z870)&gt;0,AVERAGE(B870:Z870),IF(ISNUMBER(AA870),AA870,""))</f>
        <v/>
      </c>
      <c r="AF870" s="29">
        <f>IF(COUNT(B870:Z870)&gt;1,MAX(B870:Z870)-MIN(B870:Z870),IF(ISNUMBER(AB870),AB870,""))</f>
        <v/>
      </c>
      <c r="AG870" s="29">
        <f>IF(COUNT(B870:Z870)&gt;1,_xlfn.STDEV.S(B870:Z870),IF(ISNUMBER(AC870),AC870,""))</f>
        <v/>
      </c>
      <c r="AH870" s="13">
        <f>IF(AND(ISNUMBER(AE870),ISNUMBER($B$23),ISNUMBER($D$23)),IF(AE870&gt;$D$23,"boven UCL",IF(AE870&lt;$B$23,"onder LCL","")),"")</f>
        <v/>
      </c>
      <c r="AI870" s="13">
        <f>IF(AND(ISNUMBER(AF870),ISNUMBER($B$24),ISNUMBER($D$24)),IF(AF870&gt;$D$24,"boven UCL",IF(AF870&lt;$B$24,"onder LCL","")),"")</f>
        <v/>
      </c>
      <c r="AJ870" s="13">
        <f>IF(AND(ISNUMBER(AE870),ISNUMBER($B$25),ISNUMBER($D$25)),IF(AE870&gt;$D$25,"boven UCL",IF(AE870&lt;$B$25,"onder LCL","")),"")</f>
        <v/>
      </c>
      <c r="AK870" s="13">
        <f>IF(AND(ISNUMBER(AG870),ISNUMBER($B$26),ISNUMBER($D$26)),IF(AG870&gt;$D$26,"boven UCL",IF(AG870&lt;$B$26,"onder LCL","")),"")</f>
        <v/>
      </c>
      <c r="AL870" s="13">
        <f>IF(AND(COUNT(B870:Z870)&gt;0,COUNT(AA870:AC870)&gt;0),"ruwe waarden én getypt: getypte genegeerd",IF(COUNTA(B870:Z870,AA870:AC870)&gt;COUNT(B870:Z870,AA870:AC870),"tekst telt niet mee",IF(COUNT(B870:Z870)=1,"1 waarde: geen R of s","")))</f>
        <v/>
      </c>
    </row>
    <row r="871">
      <c r="A871" t="n">
        <v>820</v>
      </c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28">
        <f>IF(COUNT(B871:Z871)&gt;0,COUNT(B871:Z871),IF(OR(ISNUMBER(AA871),ISNUMBER(AB871)),$B$9,""))</f>
        <v/>
      </c>
      <c r="AE871" s="29">
        <f>IF(COUNT(B871:Z871)&gt;0,AVERAGE(B871:Z871),IF(ISNUMBER(AA871),AA871,""))</f>
        <v/>
      </c>
      <c r="AF871" s="29">
        <f>IF(COUNT(B871:Z871)&gt;1,MAX(B871:Z871)-MIN(B871:Z871),IF(ISNUMBER(AB871),AB871,""))</f>
        <v/>
      </c>
      <c r="AG871" s="29">
        <f>IF(COUNT(B871:Z871)&gt;1,_xlfn.STDEV.S(B871:Z871),IF(ISNUMBER(AC871),AC871,""))</f>
        <v/>
      </c>
      <c r="AH871" s="13">
        <f>IF(AND(ISNUMBER(AE871),ISNUMBER($B$23),ISNUMBER($D$23)),IF(AE871&gt;$D$23,"boven UCL",IF(AE871&lt;$B$23,"onder LCL","")),"")</f>
        <v/>
      </c>
      <c r="AI871" s="13">
        <f>IF(AND(ISNUMBER(AF871),ISNUMBER($B$24),ISNUMBER($D$24)),IF(AF871&gt;$D$24,"boven UCL",IF(AF871&lt;$B$24,"onder LCL","")),"")</f>
        <v/>
      </c>
      <c r="AJ871" s="13">
        <f>IF(AND(ISNUMBER(AE871),ISNUMBER($B$25),ISNUMBER($D$25)),IF(AE871&gt;$D$25,"boven UCL",IF(AE871&lt;$B$25,"onder LCL","")),"")</f>
        <v/>
      </c>
      <c r="AK871" s="13">
        <f>IF(AND(ISNUMBER(AG871),ISNUMBER($B$26),ISNUMBER($D$26)),IF(AG871&gt;$D$26,"boven UCL",IF(AG871&lt;$B$26,"onder LCL","")),"")</f>
        <v/>
      </c>
      <c r="AL871" s="13">
        <f>IF(AND(COUNT(B871:Z871)&gt;0,COUNT(AA871:AC871)&gt;0),"ruwe waarden én getypt: getypte genegeerd",IF(COUNTA(B871:Z871,AA871:AC871)&gt;COUNT(B871:Z871,AA871:AC871),"tekst telt niet mee",IF(COUNT(B871:Z871)=1,"1 waarde: geen R of s","")))</f>
        <v/>
      </c>
    </row>
    <row r="872">
      <c r="A872" t="n">
        <v>821</v>
      </c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28">
        <f>IF(COUNT(B872:Z872)&gt;0,COUNT(B872:Z872),IF(OR(ISNUMBER(AA872),ISNUMBER(AB872)),$B$9,""))</f>
        <v/>
      </c>
      <c r="AE872" s="29">
        <f>IF(COUNT(B872:Z872)&gt;0,AVERAGE(B872:Z872),IF(ISNUMBER(AA872),AA872,""))</f>
        <v/>
      </c>
      <c r="AF872" s="29">
        <f>IF(COUNT(B872:Z872)&gt;1,MAX(B872:Z872)-MIN(B872:Z872),IF(ISNUMBER(AB872),AB872,""))</f>
        <v/>
      </c>
      <c r="AG872" s="29">
        <f>IF(COUNT(B872:Z872)&gt;1,_xlfn.STDEV.S(B872:Z872),IF(ISNUMBER(AC872),AC872,""))</f>
        <v/>
      </c>
      <c r="AH872" s="13">
        <f>IF(AND(ISNUMBER(AE872),ISNUMBER($B$23),ISNUMBER($D$23)),IF(AE872&gt;$D$23,"boven UCL",IF(AE872&lt;$B$23,"onder LCL","")),"")</f>
        <v/>
      </c>
      <c r="AI872" s="13">
        <f>IF(AND(ISNUMBER(AF872),ISNUMBER($B$24),ISNUMBER($D$24)),IF(AF872&gt;$D$24,"boven UCL",IF(AF872&lt;$B$24,"onder LCL","")),"")</f>
        <v/>
      </c>
      <c r="AJ872" s="13">
        <f>IF(AND(ISNUMBER(AE872),ISNUMBER($B$25),ISNUMBER($D$25)),IF(AE872&gt;$D$25,"boven UCL",IF(AE872&lt;$B$25,"onder LCL","")),"")</f>
        <v/>
      </c>
      <c r="AK872" s="13">
        <f>IF(AND(ISNUMBER(AG872),ISNUMBER($B$26),ISNUMBER($D$26)),IF(AG872&gt;$D$26,"boven UCL",IF(AG872&lt;$B$26,"onder LCL","")),"")</f>
        <v/>
      </c>
      <c r="AL872" s="13">
        <f>IF(AND(COUNT(B872:Z872)&gt;0,COUNT(AA872:AC872)&gt;0),"ruwe waarden én getypt: getypte genegeerd",IF(COUNTA(B872:Z872,AA872:AC872)&gt;COUNT(B872:Z872,AA872:AC872),"tekst telt niet mee",IF(COUNT(B872:Z872)=1,"1 waarde: geen R of s","")))</f>
        <v/>
      </c>
    </row>
    <row r="873">
      <c r="A873" t="n">
        <v>822</v>
      </c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28">
        <f>IF(COUNT(B873:Z873)&gt;0,COUNT(B873:Z873),IF(OR(ISNUMBER(AA873),ISNUMBER(AB873)),$B$9,""))</f>
        <v/>
      </c>
      <c r="AE873" s="29">
        <f>IF(COUNT(B873:Z873)&gt;0,AVERAGE(B873:Z873),IF(ISNUMBER(AA873),AA873,""))</f>
        <v/>
      </c>
      <c r="AF873" s="29">
        <f>IF(COUNT(B873:Z873)&gt;1,MAX(B873:Z873)-MIN(B873:Z873),IF(ISNUMBER(AB873),AB873,""))</f>
        <v/>
      </c>
      <c r="AG873" s="29">
        <f>IF(COUNT(B873:Z873)&gt;1,_xlfn.STDEV.S(B873:Z873),IF(ISNUMBER(AC873),AC873,""))</f>
        <v/>
      </c>
      <c r="AH873" s="13">
        <f>IF(AND(ISNUMBER(AE873),ISNUMBER($B$23),ISNUMBER($D$23)),IF(AE873&gt;$D$23,"boven UCL",IF(AE873&lt;$B$23,"onder LCL","")),"")</f>
        <v/>
      </c>
      <c r="AI873" s="13">
        <f>IF(AND(ISNUMBER(AF873),ISNUMBER($B$24),ISNUMBER($D$24)),IF(AF873&gt;$D$24,"boven UCL",IF(AF873&lt;$B$24,"onder LCL","")),"")</f>
        <v/>
      </c>
      <c r="AJ873" s="13">
        <f>IF(AND(ISNUMBER(AE873),ISNUMBER($B$25),ISNUMBER($D$25)),IF(AE873&gt;$D$25,"boven UCL",IF(AE873&lt;$B$25,"onder LCL","")),"")</f>
        <v/>
      </c>
      <c r="AK873" s="13">
        <f>IF(AND(ISNUMBER(AG873),ISNUMBER($B$26),ISNUMBER($D$26)),IF(AG873&gt;$D$26,"boven UCL",IF(AG873&lt;$B$26,"onder LCL","")),"")</f>
        <v/>
      </c>
      <c r="AL873" s="13">
        <f>IF(AND(COUNT(B873:Z873)&gt;0,COUNT(AA873:AC873)&gt;0),"ruwe waarden én getypt: getypte genegeerd",IF(COUNTA(B873:Z873,AA873:AC873)&gt;COUNT(B873:Z873,AA873:AC873),"tekst telt niet mee",IF(COUNT(B873:Z873)=1,"1 waarde: geen R of s","")))</f>
        <v/>
      </c>
    </row>
    <row r="874">
      <c r="A874" t="n">
        <v>823</v>
      </c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28">
        <f>IF(COUNT(B874:Z874)&gt;0,COUNT(B874:Z874),IF(OR(ISNUMBER(AA874),ISNUMBER(AB874)),$B$9,""))</f>
        <v/>
      </c>
      <c r="AE874" s="29">
        <f>IF(COUNT(B874:Z874)&gt;0,AVERAGE(B874:Z874),IF(ISNUMBER(AA874),AA874,""))</f>
        <v/>
      </c>
      <c r="AF874" s="29">
        <f>IF(COUNT(B874:Z874)&gt;1,MAX(B874:Z874)-MIN(B874:Z874),IF(ISNUMBER(AB874),AB874,""))</f>
        <v/>
      </c>
      <c r="AG874" s="29">
        <f>IF(COUNT(B874:Z874)&gt;1,_xlfn.STDEV.S(B874:Z874),IF(ISNUMBER(AC874),AC874,""))</f>
        <v/>
      </c>
      <c r="AH874" s="13">
        <f>IF(AND(ISNUMBER(AE874),ISNUMBER($B$23),ISNUMBER($D$23)),IF(AE874&gt;$D$23,"boven UCL",IF(AE874&lt;$B$23,"onder LCL","")),"")</f>
        <v/>
      </c>
      <c r="AI874" s="13">
        <f>IF(AND(ISNUMBER(AF874),ISNUMBER($B$24),ISNUMBER($D$24)),IF(AF874&gt;$D$24,"boven UCL",IF(AF874&lt;$B$24,"onder LCL","")),"")</f>
        <v/>
      </c>
      <c r="AJ874" s="13">
        <f>IF(AND(ISNUMBER(AE874),ISNUMBER($B$25),ISNUMBER($D$25)),IF(AE874&gt;$D$25,"boven UCL",IF(AE874&lt;$B$25,"onder LCL","")),"")</f>
        <v/>
      </c>
      <c r="AK874" s="13">
        <f>IF(AND(ISNUMBER(AG874),ISNUMBER($B$26),ISNUMBER($D$26)),IF(AG874&gt;$D$26,"boven UCL",IF(AG874&lt;$B$26,"onder LCL","")),"")</f>
        <v/>
      </c>
      <c r="AL874" s="13">
        <f>IF(AND(COUNT(B874:Z874)&gt;0,COUNT(AA874:AC874)&gt;0),"ruwe waarden én getypt: getypte genegeerd",IF(COUNTA(B874:Z874,AA874:AC874)&gt;COUNT(B874:Z874,AA874:AC874),"tekst telt niet mee",IF(COUNT(B874:Z874)=1,"1 waarde: geen R of s","")))</f>
        <v/>
      </c>
    </row>
    <row r="875">
      <c r="A875" t="n">
        <v>824</v>
      </c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28">
        <f>IF(COUNT(B875:Z875)&gt;0,COUNT(B875:Z875),IF(OR(ISNUMBER(AA875),ISNUMBER(AB875)),$B$9,""))</f>
        <v/>
      </c>
      <c r="AE875" s="29">
        <f>IF(COUNT(B875:Z875)&gt;0,AVERAGE(B875:Z875),IF(ISNUMBER(AA875),AA875,""))</f>
        <v/>
      </c>
      <c r="AF875" s="29">
        <f>IF(COUNT(B875:Z875)&gt;1,MAX(B875:Z875)-MIN(B875:Z875),IF(ISNUMBER(AB875),AB875,""))</f>
        <v/>
      </c>
      <c r="AG875" s="29">
        <f>IF(COUNT(B875:Z875)&gt;1,_xlfn.STDEV.S(B875:Z875),IF(ISNUMBER(AC875),AC875,""))</f>
        <v/>
      </c>
      <c r="AH875" s="13">
        <f>IF(AND(ISNUMBER(AE875),ISNUMBER($B$23),ISNUMBER($D$23)),IF(AE875&gt;$D$23,"boven UCL",IF(AE875&lt;$B$23,"onder LCL","")),"")</f>
        <v/>
      </c>
      <c r="AI875" s="13">
        <f>IF(AND(ISNUMBER(AF875),ISNUMBER($B$24),ISNUMBER($D$24)),IF(AF875&gt;$D$24,"boven UCL",IF(AF875&lt;$B$24,"onder LCL","")),"")</f>
        <v/>
      </c>
      <c r="AJ875" s="13">
        <f>IF(AND(ISNUMBER(AE875),ISNUMBER($B$25),ISNUMBER($D$25)),IF(AE875&gt;$D$25,"boven UCL",IF(AE875&lt;$B$25,"onder LCL","")),"")</f>
        <v/>
      </c>
      <c r="AK875" s="13">
        <f>IF(AND(ISNUMBER(AG875),ISNUMBER($B$26),ISNUMBER($D$26)),IF(AG875&gt;$D$26,"boven UCL",IF(AG875&lt;$B$26,"onder LCL","")),"")</f>
        <v/>
      </c>
      <c r="AL875" s="13">
        <f>IF(AND(COUNT(B875:Z875)&gt;0,COUNT(AA875:AC875)&gt;0),"ruwe waarden én getypt: getypte genegeerd",IF(COUNTA(B875:Z875,AA875:AC875)&gt;COUNT(B875:Z875,AA875:AC875),"tekst telt niet mee",IF(COUNT(B875:Z875)=1,"1 waarde: geen R of s","")))</f>
        <v/>
      </c>
    </row>
    <row r="876">
      <c r="A876" t="n">
        <v>825</v>
      </c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28">
        <f>IF(COUNT(B876:Z876)&gt;0,COUNT(B876:Z876),IF(OR(ISNUMBER(AA876),ISNUMBER(AB876)),$B$9,""))</f>
        <v/>
      </c>
      <c r="AE876" s="29">
        <f>IF(COUNT(B876:Z876)&gt;0,AVERAGE(B876:Z876),IF(ISNUMBER(AA876),AA876,""))</f>
        <v/>
      </c>
      <c r="AF876" s="29">
        <f>IF(COUNT(B876:Z876)&gt;1,MAX(B876:Z876)-MIN(B876:Z876),IF(ISNUMBER(AB876),AB876,""))</f>
        <v/>
      </c>
      <c r="AG876" s="29">
        <f>IF(COUNT(B876:Z876)&gt;1,_xlfn.STDEV.S(B876:Z876),IF(ISNUMBER(AC876),AC876,""))</f>
        <v/>
      </c>
      <c r="AH876" s="13">
        <f>IF(AND(ISNUMBER(AE876),ISNUMBER($B$23),ISNUMBER($D$23)),IF(AE876&gt;$D$23,"boven UCL",IF(AE876&lt;$B$23,"onder LCL","")),"")</f>
        <v/>
      </c>
      <c r="AI876" s="13">
        <f>IF(AND(ISNUMBER(AF876),ISNUMBER($B$24),ISNUMBER($D$24)),IF(AF876&gt;$D$24,"boven UCL",IF(AF876&lt;$B$24,"onder LCL","")),"")</f>
        <v/>
      </c>
      <c r="AJ876" s="13">
        <f>IF(AND(ISNUMBER(AE876),ISNUMBER($B$25),ISNUMBER($D$25)),IF(AE876&gt;$D$25,"boven UCL",IF(AE876&lt;$B$25,"onder LCL","")),"")</f>
        <v/>
      </c>
      <c r="AK876" s="13">
        <f>IF(AND(ISNUMBER(AG876),ISNUMBER($B$26),ISNUMBER($D$26)),IF(AG876&gt;$D$26,"boven UCL",IF(AG876&lt;$B$26,"onder LCL","")),"")</f>
        <v/>
      </c>
      <c r="AL876" s="13">
        <f>IF(AND(COUNT(B876:Z876)&gt;0,COUNT(AA876:AC876)&gt;0),"ruwe waarden én getypt: getypte genegeerd",IF(COUNTA(B876:Z876,AA876:AC876)&gt;COUNT(B876:Z876,AA876:AC876),"tekst telt niet mee",IF(COUNT(B876:Z876)=1,"1 waarde: geen R of s","")))</f>
        <v/>
      </c>
    </row>
    <row r="877">
      <c r="A877" t="n">
        <v>826</v>
      </c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28">
        <f>IF(COUNT(B877:Z877)&gt;0,COUNT(B877:Z877),IF(OR(ISNUMBER(AA877),ISNUMBER(AB877)),$B$9,""))</f>
        <v/>
      </c>
      <c r="AE877" s="29">
        <f>IF(COUNT(B877:Z877)&gt;0,AVERAGE(B877:Z877),IF(ISNUMBER(AA877),AA877,""))</f>
        <v/>
      </c>
      <c r="AF877" s="29">
        <f>IF(COUNT(B877:Z877)&gt;1,MAX(B877:Z877)-MIN(B877:Z877),IF(ISNUMBER(AB877),AB877,""))</f>
        <v/>
      </c>
      <c r="AG877" s="29">
        <f>IF(COUNT(B877:Z877)&gt;1,_xlfn.STDEV.S(B877:Z877),IF(ISNUMBER(AC877),AC877,""))</f>
        <v/>
      </c>
      <c r="AH877" s="13">
        <f>IF(AND(ISNUMBER(AE877),ISNUMBER($B$23),ISNUMBER($D$23)),IF(AE877&gt;$D$23,"boven UCL",IF(AE877&lt;$B$23,"onder LCL","")),"")</f>
        <v/>
      </c>
      <c r="AI877" s="13">
        <f>IF(AND(ISNUMBER(AF877),ISNUMBER($B$24),ISNUMBER($D$24)),IF(AF877&gt;$D$24,"boven UCL",IF(AF877&lt;$B$24,"onder LCL","")),"")</f>
        <v/>
      </c>
      <c r="AJ877" s="13">
        <f>IF(AND(ISNUMBER(AE877),ISNUMBER($B$25),ISNUMBER($D$25)),IF(AE877&gt;$D$25,"boven UCL",IF(AE877&lt;$B$25,"onder LCL","")),"")</f>
        <v/>
      </c>
      <c r="AK877" s="13">
        <f>IF(AND(ISNUMBER(AG877),ISNUMBER($B$26),ISNUMBER($D$26)),IF(AG877&gt;$D$26,"boven UCL",IF(AG877&lt;$B$26,"onder LCL","")),"")</f>
        <v/>
      </c>
      <c r="AL877" s="13">
        <f>IF(AND(COUNT(B877:Z877)&gt;0,COUNT(AA877:AC877)&gt;0),"ruwe waarden én getypt: getypte genegeerd",IF(COUNTA(B877:Z877,AA877:AC877)&gt;COUNT(B877:Z877,AA877:AC877),"tekst telt niet mee",IF(COUNT(B877:Z877)=1,"1 waarde: geen R of s","")))</f>
        <v/>
      </c>
    </row>
    <row r="878">
      <c r="A878" t="n">
        <v>827</v>
      </c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28">
        <f>IF(COUNT(B878:Z878)&gt;0,COUNT(B878:Z878),IF(OR(ISNUMBER(AA878),ISNUMBER(AB878)),$B$9,""))</f>
        <v/>
      </c>
      <c r="AE878" s="29">
        <f>IF(COUNT(B878:Z878)&gt;0,AVERAGE(B878:Z878),IF(ISNUMBER(AA878),AA878,""))</f>
        <v/>
      </c>
      <c r="AF878" s="29">
        <f>IF(COUNT(B878:Z878)&gt;1,MAX(B878:Z878)-MIN(B878:Z878),IF(ISNUMBER(AB878),AB878,""))</f>
        <v/>
      </c>
      <c r="AG878" s="29">
        <f>IF(COUNT(B878:Z878)&gt;1,_xlfn.STDEV.S(B878:Z878),IF(ISNUMBER(AC878),AC878,""))</f>
        <v/>
      </c>
      <c r="AH878" s="13">
        <f>IF(AND(ISNUMBER(AE878),ISNUMBER($B$23),ISNUMBER($D$23)),IF(AE878&gt;$D$23,"boven UCL",IF(AE878&lt;$B$23,"onder LCL","")),"")</f>
        <v/>
      </c>
      <c r="AI878" s="13">
        <f>IF(AND(ISNUMBER(AF878),ISNUMBER($B$24),ISNUMBER($D$24)),IF(AF878&gt;$D$24,"boven UCL",IF(AF878&lt;$B$24,"onder LCL","")),"")</f>
        <v/>
      </c>
      <c r="AJ878" s="13">
        <f>IF(AND(ISNUMBER(AE878),ISNUMBER($B$25),ISNUMBER($D$25)),IF(AE878&gt;$D$25,"boven UCL",IF(AE878&lt;$B$25,"onder LCL","")),"")</f>
        <v/>
      </c>
      <c r="AK878" s="13">
        <f>IF(AND(ISNUMBER(AG878),ISNUMBER($B$26),ISNUMBER($D$26)),IF(AG878&gt;$D$26,"boven UCL",IF(AG878&lt;$B$26,"onder LCL","")),"")</f>
        <v/>
      </c>
      <c r="AL878" s="13">
        <f>IF(AND(COUNT(B878:Z878)&gt;0,COUNT(AA878:AC878)&gt;0),"ruwe waarden én getypt: getypte genegeerd",IF(COUNTA(B878:Z878,AA878:AC878)&gt;COUNT(B878:Z878,AA878:AC878),"tekst telt niet mee",IF(COUNT(B878:Z878)=1,"1 waarde: geen R of s","")))</f>
        <v/>
      </c>
    </row>
    <row r="879">
      <c r="A879" t="n">
        <v>828</v>
      </c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28">
        <f>IF(COUNT(B879:Z879)&gt;0,COUNT(B879:Z879),IF(OR(ISNUMBER(AA879),ISNUMBER(AB879)),$B$9,""))</f>
        <v/>
      </c>
      <c r="AE879" s="29">
        <f>IF(COUNT(B879:Z879)&gt;0,AVERAGE(B879:Z879),IF(ISNUMBER(AA879),AA879,""))</f>
        <v/>
      </c>
      <c r="AF879" s="29">
        <f>IF(COUNT(B879:Z879)&gt;1,MAX(B879:Z879)-MIN(B879:Z879),IF(ISNUMBER(AB879),AB879,""))</f>
        <v/>
      </c>
      <c r="AG879" s="29">
        <f>IF(COUNT(B879:Z879)&gt;1,_xlfn.STDEV.S(B879:Z879),IF(ISNUMBER(AC879),AC879,""))</f>
        <v/>
      </c>
      <c r="AH879" s="13">
        <f>IF(AND(ISNUMBER(AE879),ISNUMBER($B$23),ISNUMBER($D$23)),IF(AE879&gt;$D$23,"boven UCL",IF(AE879&lt;$B$23,"onder LCL","")),"")</f>
        <v/>
      </c>
      <c r="AI879" s="13">
        <f>IF(AND(ISNUMBER(AF879),ISNUMBER($B$24),ISNUMBER($D$24)),IF(AF879&gt;$D$24,"boven UCL",IF(AF879&lt;$B$24,"onder LCL","")),"")</f>
        <v/>
      </c>
      <c r="AJ879" s="13">
        <f>IF(AND(ISNUMBER(AE879),ISNUMBER($B$25),ISNUMBER($D$25)),IF(AE879&gt;$D$25,"boven UCL",IF(AE879&lt;$B$25,"onder LCL","")),"")</f>
        <v/>
      </c>
      <c r="AK879" s="13">
        <f>IF(AND(ISNUMBER(AG879),ISNUMBER($B$26),ISNUMBER($D$26)),IF(AG879&gt;$D$26,"boven UCL",IF(AG879&lt;$B$26,"onder LCL","")),"")</f>
        <v/>
      </c>
      <c r="AL879" s="13">
        <f>IF(AND(COUNT(B879:Z879)&gt;0,COUNT(AA879:AC879)&gt;0),"ruwe waarden én getypt: getypte genegeerd",IF(COUNTA(B879:Z879,AA879:AC879)&gt;COUNT(B879:Z879,AA879:AC879),"tekst telt niet mee",IF(COUNT(B879:Z879)=1,"1 waarde: geen R of s","")))</f>
        <v/>
      </c>
    </row>
    <row r="880">
      <c r="A880" t="n">
        <v>829</v>
      </c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28">
        <f>IF(COUNT(B880:Z880)&gt;0,COUNT(B880:Z880),IF(OR(ISNUMBER(AA880),ISNUMBER(AB880)),$B$9,""))</f>
        <v/>
      </c>
      <c r="AE880" s="29">
        <f>IF(COUNT(B880:Z880)&gt;0,AVERAGE(B880:Z880),IF(ISNUMBER(AA880),AA880,""))</f>
        <v/>
      </c>
      <c r="AF880" s="29">
        <f>IF(COUNT(B880:Z880)&gt;1,MAX(B880:Z880)-MIN(B880:Z880),IF(ISNUMBER(AB880),AB880,""))</f>
        <v/>
      </c>
      <c r="AG880" s="29">
        <f>IF(COUNT(B880:Z880)&gt;1,_xlfn.STDEV.S(B880:Z880),IF(ISNUMBER(AC880),AC880,""))</f>
        <v/>
      </c>
      <c r="AH880" s="13">
        <f>IF(AND(ISNUMBER(AE880),ISNUMBER($B$23),ISNUMBER($D$23)),IF(AE880&gt;$D$23,"boven UCL",IF(AE880&lt;$B$23,"onder LCL","")),"")</f>
        <v/>
      </c>
      <c r="AI880" s="13">
        <f>IF(AND(ISNUMBER(AF880),ISNUMBER($B$24),ISNUMBER($D$24)),IF(AF880&gt;$D$24,"boven UCL",IF(AF880&lt;$B$24,"onder LCL","")),"")</f>
        <v/>
      </c>
      <c r="AJ880" s="13">
        <f>IF(AND(ISNUMBER(AE880),ISNUMBER($B$25),ISNUMBER($D$25)),IF(AE880&gt;$D$25,"boven UCL",IF(AE880&lt;$B$25,"onder LCL","")),"")</f>
        <v/>
      </c>
      <c r="AK880" s="13">
        <f>IF(AND(ISNUMBER(AG880),ISNUMBER($B$26),ISNUMBER($D$26)),IF(AG880&gt;$D$26,"boven UCL",IF(AG880&lt;$B$26,"onder LCL","")),"")</f>
        <v/>
      </c>
      <c r="AL880" s="13">
        <f>IF(AND(COUNT(B880:Z880)&gt;0,COUNT(AA880:AC880)&gt;0),"ruwe waarden én getypt: getypte genegeerd",IF(COUNTA(B880:Z880,AA880:AC880)&gt;COUNT(B880:Z880,AA880:AC880),"tekst telt niet mee",IF(COUNT(B880:Z880)=1,"1 waarde: geen R of s","")))</f>
        <v/>
      </c>
    </row>
    <row r="881">
      <c r="A881" t="n">
        <v>830</v>
      </c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28">
        <f>IF(COUNT(B881:Z881)&gt;0,COUNT(B881:Z881),IF(OR(ISNUMBER(AA881),ISNUMBER(AB881)),$B$9,""))</f>
        <v/>
      </c>
      <c r="AE881" s="29">
        <f>IF(COUNT(B881:Z881)&gt;0,AVERAGE(B881:Z881),IF(ISNUMBER(AA881),AA881,""))</f>
        <v/>
      </c>
      <c r="AF881" s="29">
        <f>IF(COUNT(B881:Z881)&gt;1,MAX(B881:Z881)-MIN(B881:Z881),IF(ISNUMBER(AB881),AB881,""))</f>
        <v/>
      </c>
      <c r="AG881" s="29">
        <f>IF(COUNT(B881:Z881)&gt;1,_xlfn.STDEV.S(B881:Z881),IF(ISNUMBER(AC881),AC881,""))</f>
        <v/>
      </c>
      <c r="AH881" s="13">
        <f>IF(AND(ISNUMBER(AE881),ISNUMBER($B$23),ISNUMBER($D$23)),IF(AE881&gt;$D$23,"boven UCL",IF(AE881&lt;$B$23,"onder LCL","")),"")</f>
        <v/>
      </c>
      <c r="AI881" s="13">
        <f>IF(AND(ISNUMBER(AF881),ISNUMBER($B$24),ISNUMBER($D$24)),IF(AF881&gt;$D$24,"boven UCL",IF(AF881&lt;$B$24,"onder LCL","")),"")</f>
        <v/>
      </c>
      <c r="AJ881" s="13">
        <f>IF(AND(ISNUMBER(AE881),ISNUMBER($B$25),ISNUMBER($D$25)),IF(AE881&gt;$D$25,"boven UCL",IF(AE881&lt;$B$25,"onder LCL","")),"")</f>
        <v/>
      </c>
      <c r="AK881" s="13">
        <f>IF(AND(ISNUMBER(AG881),ISNUMBER($B$26),ISNUMBER($D$26)),IF(AG881&gt;$D$26,"boven UCL",IF(AG881&lt;$B$26,"onder LCL","")),"")</f>
        <v/>
      </c>
      <c r="AL881" s="13">
        <f>IF(AND(COUNT(B881:Z881)&gt;0,COUNT(AA881:AC881)&gt;0),"ruwe waarden én getypt: getypte genegeerd",IF(COUNTA(B881:Z881,AA881:AC881)&gt;COUNT(B881:Z881,AA881:AC881),"tekst telt niet mee",IF(COUNT(B881:Z881)=1,"1 waarde: geen R of s","")))</f>
        <v/>
      </c>
    </row>
    <row r="882">
      <c r="A882" t="n">
        <v>831</v>
      </c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28">
        <f>IF(COUNT(B882:Z882)&gt;0,COUNT(B882:Z882),IF(OR(ISNUMBER(AA882),ISNUMBER(AB882)),$B$9,""))</f>
        <v/>
      </c>
      <c r="AE882" s="29">
        <f>IF(COUNT(B882:Z882)&gt;0,AVERAGE(B882:Z882),IF(ISNUMBER(AA882),AA882,""))</f>
        <v/>
      </c>
      <c r="AF882" s="29">
        <f>IF(COUNT(B882:Z882)&gt;1,MAX(B882:Z882)-MIN(B882:Z882),IF(ISNUMBER(AB882),AB882,""))</f>
        <v/>
      </c>
      <c r="AG882" s="29">
        <f>IF(COUNT(B882:Z882)&gt;1,_xlfn.STDEV.S(B882:Z882),IF(ISNUMBER(AC882),AC882,""))</f>
        <v/>
      </c>
      <c r="AH882" s="13">
        <f>IF(AND(ISNUMBER(AE882),ISNUMBER($B$23),ISNUMBER($D$23)),IF(AE882&gt;$D$23,"boven UCL",IF(AE882&lt;$B$23,"onder LCL","")),"")</f>
        <v/>
      </c>
      <c r="AI882" s="13">
        <f>IF(AND(ISNUMBER(AF882),ISNUMBER($B$24),ISNUMBER($D$24)),IF(AF882&gt;$D$24,"boven UCL",IF(AF882&lt;$B$24,"onder LCL","")),"")</f>
        <v/>
      </c>
      <c r="AJ882" s="13">
        <f>IF(AND(ISNUMBER(AE882),ISNUMBER($B$25),ISNUMBER($D$25)),IF(AE882&gt;$D$25,"boven UCL",IF(AE882&lt;$B$25,"onder LCL","")),"")</f>
        <v/>
      </c>
      <c r="AK882" s="13">
        <f>IF(AND(ISNUMBER(AG882),ISNUMBER($B$26),ISNUMBER($D$26)),IF(AG882&gt;$D$26,"boven UCL",IF(AG882&lt;$B$26,"onder LCL","")),"")</f>
        <v/>
      </c>
      <c r="AL882" s="13">
        <f>IF(AND(COUNT(B882:Z882)&gt;0,COUNT(AA882:AC882)&gt;0),"ruwe waarden én getypt: getypte genegeerd",IF(COUNTA(B882:Z882,AA882:AC882)&gt;COUNT(B882:Z882,AA882:AC882),"tekst telt niet mee",IF(COUNT(B882:Z882)=1,"1 waarde: geen R of s","")))</f>
        <v/>
      </c>
    </row>
    <row r="883">
      <c r="A883" t="n">
        <v>832</v>
      </c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28">
        <f>IF(COUNT(B883:Z883)&gt;0,COUNT(B883:Z883),IF(OR(ISNUMBER(AA883),ISNUMBER(AB883)),$B$9,""))</f>
        <v/>
      </c>
      <c r="AE883" s="29">
        <f>IF(COUNT(B883:Z883)&gt;0,AVERAGE(B883:Z883),IF(ISNUMBER(AA883),AA883,""))</f>
        <v/>
      </c>
      <c r="AF883" s="29">
        <f>IF(COUNT(B883:Z883)&gt;1,MAX(B883:Z883)-MIN(B883:Z883),IF(ISNUMBER(AB883),AB883,""))</f>
        <v/>
      </c>
      <c r="AG883" s="29">
        <f>IF(COUNT(B883:Z883)&gt;1,_xlfn.STDEV.S(B883:Z883),IF(ISNUMBER(AC883),AC883,""))</f>
        <v/>
      </c>
      <c r="AH883" s="13">
        <f>IF(AND(ISNUMBER(AE883),ISNUMBER($B$23),ISNUMBER($D$23)),IF(AE883&gt;$D$23,"boven UCL",IF(AE883&lt;$B$23,"onder LCL","")),"")</f>
        <v/>
      </c>
      <c r="AI883" s="13">
        <f>IF(AND(ISNUMBER(AF883),ISNUMBER($B$24),ISNUMBER($D$24)),IF(AF883&gt;$D$24,"boven UCL",IF(AF883&lt;$B$24,"onder LCL","")),"")</f>
        <v/>
      </c>
      <c r="AJ883" s="13">
        <f>IF(AND(ISNUMBER(AE883),ISNUMBER($B$25),ISNUMBER($D$25)),IF(AE883&gt;$D$25,"boven UCL",IF(AE883&lt;$B$25,"onder LCL","")),"")</f>
        <v/>
      </c>
      <c r="AK883" s="13">
        <f>IF(AND(ISNUMBER(AG883),ISNUMBER($B$26),ISNUMBER($D$26)),IF(AG883&gt;$D$26,"boven UCL",IF(AG883&lt;$B$26,"onder LCL","")),"")</f>
        <v/>
      </c>
      <c r="AL883" s="13">
        <f>IF(AND(COUNT(B883:Z883)&gt;0,COUNT(AA883:AC883)&gt;0),"ruwe waarden én getypt: getypte genegeerd",IF(COUNTA(B883:Z883,AA883:AC883)&gt;COUNT(B883:Z883,AA883:AC883),"tekst telt niet mee",IF(COUNT(B883:Z883)=1,"1 waarde: geen R of s","")))</f>
        <v/>
      </c>
    </row>
    <row r="884">
      <c r="A884" t="n">
        <v>833</v>
      </c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28">
        <f>IF(COUNT(B884:Z884)&gt;0,COUNT(B884:Z884),IF(OR(ISNUMBER(AA884),ISNUMBER(AB884)),$B$9,""))</f>
        <v/>
      </c>
      <c r="AE884" s="29">
        <f>IF(COUNT(B884:Z884)&gt;0,AVERAGE(B884:Z884),IF(ISNUMBER(AA884),AA884,""))</f>
        <v/>
      </c>
      <c r="AF884" s="29">
        <f>IF(COUNT(B884:Z884)&gt;1,MAX(B884:Z884)-MIN(B884:Z884),IF(ISNUMBER(AB884),AB884,""))</f>
        <v/>
      </c>
      <c r="AG884" s="29">
        <f>IF(COUNT(B884:Z884)&gt;1,_xlfn.STDEV.S(B884:Z884),IF(ISNUMBER(AC884),AC884,""))</f>
        <v/>
      </c>
      <c r="AH884" s="13">
        <f>IF(AND(ISNUMBER(AE884),ISNUMBER($B$23),ISNUMBER($D$23)),IF(AE884&gt;$D$23,"boven UCL",IF(AE884&lt;$B$23,"onder LCL","")),"")</f>
        <v/>
      </c>
      <c r="AI884" s="13">
        <f>IF(AND(ISNUMBER(AF884),ISNUMBER($B$24),ISNUMBER($D$24)),IF(AF884&gt;$D$24,"boven UCL",IF(AF884&lt;$B$24,"onder LCL","")),"")</f>
        <v/>
      </c>
      <c r="AJ884" s="13">
        <f>IF(AND(ISNUMBER(AE884),ISNUMBER($B$25),ISNUMBER($D$25)),IF(AE884&gt;$D$25,"boven UCL",IF(AE884&lt;$B$25,"onder LCL","")),"")</f>
        <v/>
      </c>
      <c r="AK884" s="13">
        <f>IF(AND(ISNUMBER(AG884),ISNUMBER($B$26),ISNUMBER($D$26)),IF(AG884&gt;$D$26,"boven UCL",IF(AG884&lt;$B$26,"onder LCL","")),"")</f>
        <v/>
      </c>
      <c r="AL884" s="13">
        <f>IF(AND(COUNT(B884:Z884)&gt;0,COUNT(AA884:AC884)&gt;0),"ruwe waarden én getypt: getypte genegeerd",IF(COUNTA(B884:Z884,AA884:AC884)&gt;COUNT(B884:Z884,AA884:AC884),"tekst telt niet mee",IF(COUNT(B884:Z884)=1,"1 waarde: geen R of s","")))</f>
        <v/>
      </c>
    </row>
    <row r="885">
      <c r="A885" t="n">
        <v>834</v>
      </c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28">
        <f>IF(COUNT(B885:Z885)&gt;0,COUNT(B885:Z885),IF(OR(ISNUMBER(AA885),ISNUMBER(AB885)),$B$9,""))</f>
        <v/>
      </c>
      <c r="AE885" s="29">
        <f>IF(COUNT(B885:Z885)&gt;0,AVERAGE(B885:Z885),IF(ISNUMBER(AA885),AA885,""))</f>
        <v/>
      </c>
      <c r="AF885" s="29">
        <f>IF(COUNT(B885:Z885)&gt;1,MAX(B885:Z885)-MIN(B885:Z885),IF(ISNUMBER(AB885),AB885,""))</f>
        <v/>
      </c>
      <c r="AG885" s="29">
        <f>IF(COUNT(B885:Z885)&gt;1,_xlfn.STDEV.S(B885:Z885),IF(ISNUMBER(AC885),AC885,""))</f>
        <v/>
      </c>
      <c r="AH885" s="13">
        <f>IF(AND(ISNUMBER(AE885),ISNUMBER($B$23),ISNUMBER($D$23)),IF(AE885&gt;$D$23,"boven UCL",IF(AE885&lt;$B$23,"onder LCL","")),"")</f>
        <v/>
      </c>
      <c r="AI885" s="13">
        <f>IF(AND(ISNUMBER(AF885),ISNUMBER($B$24),ISNUMBER($D$24)),IF(AF885&gt;$D$24,"boven UCL",IF(AF885&lt;$B$24,"onder LCL","")),"")</f>
        <v/>
      </c>
      <c r="AJ885" s="13">
        <f>IF(AND(ISNUMBER(AE885),ISNUMBER($B$25),ISNUMBER($D$25)),IF(AE885&gt;$D$25,"boven UCL",IF(AE885&lt;$B$25,"onder LCL","")),"")</f>
        <v/>
      </c>
      <c r="AK885" s="13">
        <f>IF(AND(ISNUMBER(AG885),ISNUMBER($B$26),ISNUMBER($D$26)),IF(AG885&gt;$D$26,"boven UCL",IF(AG885&lt;$B$26,"onder LCL","")),"")</f>
        <v/>
      </c>
      <c r="AL885" s="13">
        <f>IF(AND(COUNT(B885:Z885)&gt;0,COUNT(AA885:AC885)&gt;0),"ruwe waarden én getypt: getypte genegeerd",IF(COUNTA(B885:Z885,AA885:AC885)&gt;COUNT(B885:Z885,AA885:AC885),"tekst telt niet mee",IF(COUNT(B885:Z885)=1,"1 waarde: geen R of s","")))</f>
        <v/>
      </c>
    </row>
    <row r="886">
      <c r="A886" t="n">
        <v>835</v>
      </c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28">
        <f>IF(COUNT(B886:Z886)&gt;0,COUNT(B886:Z886),IF(OR(ISNUMBER(AA886),ISNUMBER(AB886)),$B$9,""))</f>
        <v/>
      </c>
      <c r="AE886" s="29">
        <f>IF(COUNT(B886:Z886)&gt;0,AVERAGE(B886:Z886),IF(ISNUMBER(AA886),AA886,""))</f>
        <v/>
      </c>
      <c r="AF886" s="29">
        <f>IF(COUNT(B886:Z886)&gt;1,MAX(B886:Z886)-MIN(B886:Z886),IF(ISNUMBER(AB886),AB886,""))</f>
        <v/>
      </c>
      <c r="AG886" s="29">
        <f>IF(COUNT(B886:Z886)&gt;1,_xlfn.STDEV.S(B886:Z886),IF(ISNUMBER(AC886),AC886,""))</f>
        <v/>
      </c>
      <c r="AH886" s="13">
        <f>IF(AND(ISNUMBER(AE886),ISNUMBER($B$23),ISNUMBER($D$23)),IF(AE886&gt;$D$23,"boven UCL",IF(AE886&lt;$B$23,"onder LCL","")),"")</f>
        <v/>
      </c>
      <c r="AI886" s="13">
        <f>IF(AND(ISNUMBER(AF886),ISNUMBER($B$24),ISNUMBER($D$24)),IF(AF886&gt;$D$24,"boven UCL",IF(AF886&lt;$B$24,"onder LCL","")),"")</f>
        <v/>
      </c>
      <c r="AJ886" s="13">
        <f>IF(AND(ISNUMBER(AE886),ISNUMBER($B$25),ISNUMBER($D$25)),IF(AE886&gt;$D$25,"boven UCL",IF(AE886&lt;$B$25,"onder LCL","")),"")</f>
        <v/>
      </c>
      <c r="AK886" s="13">
        <f>IF(AND(ISNUMBER(AG886),ISNUMBER($B$26),ISNUMBER($D$26)),IF(AG886&gt;$D$26,"boven UCL",IF(AG886&lt;$B$26,"onder LCL","")),"")</f>
        <v/>
      </c>
      <c r="AL886" s="13">
        <f>IF(AND(COUNT(B886:Z886)&gt;0,COUNT(AA886:AC886)&gt;0),"ruwe waarden én getypt: getypte genegeerd",IF(COUNTA(B886:Z886,AA886:AC886)&gt;COUNT(B886:Z886,AA886:AC886),"tekst telt niet mee",IF(COUNT(B886:Z886)=1,"1 waarde: geen R of s","")))</f>
        <v/>
      </c>
    </row>
    <row r="887">
      <c r="A887" t="n">
        <v>836</v>
      </c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28">
        <f>IF(COUNT(B887:Z887)&gt;0,COUNT(B887:Z887),IF(OR(ISNUMBER(AA887),ISNUMBER(AB887)),$B$9,""))</f>
        <v/>
      </c>
      <c r="AE887" s="29">
        <f>IF(COUNT(B887:Z887)&gt;0,AVERAGE(B887:Z887),IF(ISNUMBER(AA887),AA887,""))</f>
        <v/>
      </c>
      <c r="AF887" s="29">
        <f>IF(COUNT(B887:Z887)&gt;1,MAX(B887:Z887)-MIN(B887:Z887),IF(ISNUMBER(AB887),AB887,""))</f>
        <v/>
      </c>
      <c r="AG887" s="29">
        <f>IF(COUNT(B887:Z887)&gt;1,_xlfn.STDEV.S(B887:Z887),IF(ISNUMBER(AC887),AC887,""))</f>
        <v/>
      </c>
      <c r="AH887" s="13">
        <f>IF(AND(ISNUMBER(AE887),ISNUMBER($B$23),ISNUMBER($D$23)),IF(AE887&gt;$D$23,"boven UCL",IF(AE887&lt;$B$23,"onder LCL","")),"")</f>
        <v/>
      </c>
      <c r="AI887" s="13">
        <f>IF(AND(ISNUMBER(AF887),ISNUMBER($B$24),ISNUMBER($D$24)),IF(AF887&gt;$D$24,"boven UCL",IF(AF887&lt;$B$24,"onder LCL","")),"")</f>
        <v/>
      </c>
      <c r="AJ887" s="13">
        <f>IF(AND(ISNUMBER(AE887),ISNUMBER($B$25),ISNUMBER($D$25)),IF(AE887&gt;$D$25,"boven UCL",IF(AE887&lt;$B$25,"onder LCL","")),"")</f>
        <v/>
      </c>
      <c r="AK887" s="13">
        <f>IF(AND(ISNUMBER(AG887),ISNUMBER($B$26),ISNUMBER($D$26)),IF(AG887&gt;$D$26,"boven UCL",IF(AG887&lt;$B$26,"onder LCL","")),"")</f>
        <v/>
      </c>
      <c r="AL887" s="13">
        <f>IF(AND(COUNT(B887:Z887)&gt;0,COUNT(AA887:AC887)&gt;0),"ruwe waarden én getypt: getypte genegeerd",IF(COUNTA(B887:Z887,AA887:AC887)&gt;COUNT(B887:Z887,AA887:AC887),"tekst telt niet mee",IF(COUNT(B887:Z887)=1,"1 waarde: geen R of s","")))</f>
        <v/>
      </c>
    </row>
    <row r="888">
      <c r="A888" t="n">
        <v>837</v>
      </c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28">
        <f>IF(COUNT(B888:Z888)&gt;0,COUNT(B888:Z888),IF(OR(ISNUMBER(AA888),ISNUMBER(AB888)),$B$9,""))</f>
        <v/>
      </c>
      <c r="AE888" s="29">
        <f>IF(COUNT(B888:Z888)&gt;0,AVERAGE(B888:Z888),IF(ISNUMBER(AA888),AA888,""))</f>
        <v/>
      </c>
      <c r="AF888" s="29">
        <f>IF(COUNT(B888:Z888)&gt;1,MAX(B888:Z888)-MIN(B888:Z888),IF(ISNUMBER(AB888),AB888,""))</f>
        <v/>
      </c>
      <c r="AG888" s="29">
        <f>IF(COUNT(B888:Z888)&gt;1,_xlfn.STDEV.S(B888:Z888),IF(ISNUMBER(AC888),AC888,""))</f>
        <v/>
      </c>
      <c r="AH888" s="13">
        <f>IF(AND(ISNUMBER(AE888),ISNUMBER($B$23),ISNUMBER($D$23)),IF(AE888&gt;$D$23,"boven UCL",IF(AE888&lt;$B$23,"onder LCL","")),"")</f>
        <v/>
      </c>
      <c r="AI888" s="13">
        <f>IF(AND(ISNUMBER(AF888),ISNUMBER($B$24),ISNUMBER($D$24)),IF(AF888&gt;$D$24,"boven UCL",IF(AF888&lt;$B$24,"onder LCL","")),"")</f>
        <v/>
      </c>
      <c r="AJ888" s="13">
        <f>IF(AND(ISNUMBER(AE888),ISNUMBER($B$25),ISNUMBER($D$25)),IF(AE888&gt;$D$25,"boven UCL",IF(AE888&lt;$B$25,"onder LCL","")),"")</f>
        <v/>
      </c>
      <c r="AK888" s="13">
        <f>IF(AND(ISNUMBER(AG888),ISNUMBER($B$26),ISNUMBER($D$26)),IF(AG888&gt;$D$26,"boven UCL",IF(AG888&lt;$B$26,"onder LCL","")),"")</f>
        <v/>
      </c>
      <c r="AL888" s="13">
        <f>IF(AND(COUNT(B888:Z888)&gt;0,COUNT(AA888:AC888)&gt;0),"ruwe waarden én getypt: getypte genegeerd",IF(COUNTA(B888:Z888,AA888:AC888)&gt;COUNT(B888:Z888,AA888:AC888),"tekst telt niet mee",IF(COUNT(B888:Z888)=1,"1 waarde: geen R of s","")))</f>
        <v/>
      </c>
    </row>
    <row r="889">
      <c r="A889" t="n">
        <v>838</v>
      </c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28">
        <f>IF(COUNT(B889:Z889)&gt;0,COUNT(B889:Z889),IF(OR(ISNUMBER(AA889),ISNUMBER(AB889)),$B$9,""))</f>
        <v/>
      </c>
      <c r="AE889" s="29">
        <f>IF(COUNT(B889:Z889)&gt;0,AVERAGE(B889:Z889),IF(ISNUMBER(AA889),AA889,""))</f>
        <v/>
      </c>
      <c r="AF889" s="29">
        <f>IF(COUNT(B889:Z889)&gt;1,MAX(B889:Z889)-MIN(B889:Z889),IF(ISNUMBER(AB889),AB889,""))</f>
        <v/>
      </c>
      <c r="AG889" s="29">
        <f>IF(COUNT(B889:Z889)&gt;1,_xlfn.STDEV.S(B889:Z889),IF(ISNUMBER(AC889),AC889,""))</f>
        <v/>
      </c>
      <c r="AH889" s="13">
        <f>IF(AND(ISNUMBER(AE889),ISNUMBER($B$23),ISNUMBER($D$23)),IF(AE889&gt;$D$23,"boven UCL",IF(AE889&lt;$B$23,"onder LCL","")),"")</f>
        <v/>
      </c>
      <c r="AI889" s="13">
        <f>IF(AND(ISNUMBER(AF889),ISNUMBER($B$24),ISNUMBER($D$24)),IF(AF889&gt;$D$24,"boven UCL",IF(AF889&lt;$B$24,"onder LCL","")),"")</f>
        <v/>
      </c>
      <c r="AJ889" s="13">
        <f>IF(AND(ISNUMBER(AE889),ISNUMBER($B$25),ISNUMBER($D$25)),IF(AE889&gt;$D$25,"boven UCL",IF(AE889&lt;$B$25,"onder LCL","")),"")</f>
        <v/>
      </c>
      <c r="AK889" s="13">
        <f>IF(AND(ISNUMBER(AG889),ISNUMBER($B$26),ISNUMBER($D$26)),IF(AG889&gt;$D$26,"boven UCL",IF(AG889&lt;$B$26,"onder LCL","")),"")</f>
        <v/>
      </c>
      <c r="AL889" s="13">
        <f>IF(AND(COUNT(B889:Z889)&gt;0,COUNT(AA889:AC889)&gt;0),"ruwe waarden én getypt: getypte genegeerd",IF(COUNTA(B889:Z889,AA889:AC889)&gt;COUNT(B889:Z889,AA889:AC889),"tekst telt niet mee",IF(COUNT(B889:Z889)=1,"1 waarde: geen R of s","")))</f>
        <v/>
      </c>
    </row>
    <row r="890">
      <c r="A890" t="n">
        <v>839</v>
      </c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28">
        <f>IF(COUNT(B890:Z890)&gt;0,COUNT(B890:Z890),IF(OR(ISNUMBER(AA890),ISNUMBER(AB890)),$B$9,""))</f>
        <v/>
      </c>
      <c r="AE890" s="29">
        <f>IF(COUNT(B890:Z890)&gt;0,AVERAGE(B890:Z890),IF(ISNUMBER(AA890),AA890,""))</f>
        <v/>
      </c>
      <c r="AF890" s="29">
        <f>IF(COUNT(B890:Z890)&gt;1,MAX(B890:Z890)-MIN(B890:Z890),IF(ISNUMBER(AB890),AB890,""))</f>
        <v/>
      </c>
      <c r="AG890" s="29">
        <f>IF(COUNT(B890:Z890)&gt;1,_xlfn.STDEV.S(B890:Z890),IF(ISNUMBER(AC890),AC890,""))</f>
        <v/>
      </c>
      <c r="AH890" s="13">
        <f>IF(AND(ISNUMBER(AE890),ISNUMBER($B$23),ISNUMBER($D$23)),IF(AE890&gt;$D$23,"boven UCL",IF(AE890&lt;$B$23,"onder LCL","")),"")</f>
        <v/>
      </c>
      <c r="AI890" s="13">
        <f>IF(AND(ISNUMBER(AF890),ISNUMBER($B$24),ISNUMBER($D$24)),IF(AF890&gt;$D$24,"boven UCL",IF(AF890&lt;$B$24,"onder LCL","")),"")</f>
        <v/>
      </c>
      <c r="AJ890" s="13">
        <f>IF(AND(ISNUMBER(AE890),ISNUMBER($B$25),ISNUMBER($D$25)),IF(AE890&gt;$D$25,"boven UCL",IF(AE890&lt;$B$25,"onder LCL","")),"")</f>
        <v/>
      </c>
      <c r="AK890" s="13">
        <f>IF(AND(ISNUMBER(AG890),ISNUMBER($B$26),ISNUMBER($D$26)),IF(AG890&gt;$D$26,"boven UCL",IF(AG890&lt;$B$26,"onder LCL","")),"")</f>
        <v/>
      </c>
      <c r="AL890" s="13">
        <f>IF(AND(COUNT(B890:Z890)&gt;0,COUNT(AA890:AC890)&gt;0),"ruwe waarden én getypt: getypte genegeerd",IF(COUNTA(B890:Z890,AA890:AC890)&gt;COUNT(B890:Z890,AA890:AC890),"tekst telt niet mee",IF(COUNT(B890:Z890)=1,"1 waarde: geen R of s","")))</f>
        <v/>
      </c>
    </row>
    <row r="891">
      <c r="A891" t="n">
        <v>840</v>
      </c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28">
        <f>IF(COUNT(B891:Z891)&gt;0,COUNT(B891:Z891),IF(OR(ISNUMBER(AA891),ISNUMBER(AB891)),$B$9,""))</f>
        <v/>
      </c>
      <c r="AE891" s="29">
        <f>IF(COUNT(B891:Z891)&gt;0,AVERAGE(B891:Z891),IF(ISNUMBER(AA891),AA891,""))</f>
        <v/>
      </c>
      <c r="AF891" s="29">
        <f>IF(COUNT(B891:Z891)&gt;1,MAX(B891:Z891)-MIN(B891:Z891),IF(ISNUMBER(AB891),AB891,""))</f>
        <v/>
      </c>
      <c r="AG891" s="29">
        <f>IF(COUNT(B891:Z891)&gt;1,_xlfn.STDEV.S(B891:Z891),IF(ISNUMBER(AC891),AC891,""))</f>
        <v/>
      </c>
      <c r="AH891" s="13">
        <f>IF(AND(ISNUMBER(AE891),ISNUMBER($B$23),ISNUMBER($D$23)),IF(AE891&gt;$D$23,"boven UCL",IF(AE891&lt;$B$23,"onder LCL","")),"")</f>
        <v/>
      </c>
      <c r="AI891" s="13">
        <f>IF(AND(ISNUMBER(AF891),ISNUMBER($B$24),ISNUMBER($D$24)),IF(AF891&gt;$D$24,"boven UCL",IF(AF891&lt;$B$24,"onder LCL","")),"")</f>
        <v/>
      </c>
      <c r="AJ891" s="13">
        <f>IF(AND(ISNUMBER(AE891),ISNUMBER($B$25),ISNUMBER($D$25)),IF(AE891&gt;$D$25,"boven UCL",IF(AE891&lt;$B$25,"onder LCL","")),"")</f>
        <v/>
      </c>
      <c r="AK891" s="13">
        <f>IF(AND(ISNUMBER(AG891),ISNUMBER($B$26),ISNUMBER($D$26)),IF(AG891&gt;$D$26,"boven UCL",IF(AG891&lt;$B$26,"onder LCL","")),"")</f>
        <v/>
      </c>
      <c r="AL891" s="13">
        <f>IF(AND(COUNT(B891:Z891)&gt;0,COUNT(AA891:AC891)&gt;0),"ruwe waarden én getypt: getypte genegeerd",IF(COUNTA(B891:Z891,AA891:AC891)&gt;COUNT(B891:Z891,AA891:AC891),"tekst telt niet mee",IF(COUNT(B891:Z891)=1,"1 waarde: geen R of s","")))</f>
        <v/>
      </c>
    </row>
    <row r="892">
      <c r="A892" t="n">
        <v>841</v>
      </c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28">
        <f>IF(COUNT(B892:Z892)&gt;0,COUNT(B892:Z892),IF(OR(ISNUMBER(AA892),ISNUMBER(AB892)),$B$9,""))</f>
        <v/>
      </c>
      <c r="AE892" s="29">
        <f>IF(COUNT(B892:Z892)&gt;0,AVERAGE(B892:Z892),IF(ISNUMBER(AA892),AA892,""))</f>
        <v/>
      </c>
      <c r="AF892" s="29">
        <f>IF(COUNT(B892:Z892)&gt;1,MAX(B892:Z892)-MIN(B892:Z892),IF(ISNUMBER(AB892),AB892,""))</f>
        <v/>
      </c>
      <c r="AG892" s="29">
        <f>IF(COUNT(B892:Z892)&gt;1,_xlfn.STDEV.S(B892:Z892),IF(ISNUMBER(AC892),AC892,""))</f>
        <v/>
      </c>
      <c r="AH892" s="13">
        <f>IF(AND(ISNUMBER(AE892),ISNUMBER($B$23),ISNUMBER($D$23)),IF(AE892&gt;$D$23,"boven UCL",IF(AE892&lt;$B$23,"onder LCL","")),"")</f>
        <v/>
      </c>
      <c r="AI892" s="13">
        <f>IF(AND(ISNUMBER(AF892),ISNUMBER($B$24),ISNUMBER($D$24)),IF(AF892&gt;$D$24,"boven UCL",IF(AF892&lt;$B$24,"onder LCL","")),"")</f>
        <v/>
      </c>
      <c r="AJ892" s="13">
        <f>IF(AND(ISNUMBER(AE892),ISNUMBER($B$25),ISNUMBER($D$25)),IF(AE892&gt;$D$25,"boven UCL",IF(AE892&lt;$B$25,"onder LCL","")),"")</f>
        <v/>
      </c>
      <c r="AK892" s="13">
        <f>IF(AND(ISNUMBER(AG892),ISNUMBER($B$26),ISNUMBER($D$26)),IF(AG892&gt;$D$26,"boven UCL",IF(AG892&lt;$B$26,"onder LCL","")),"")</f>
        <v/>
      </c>
      <c r="AL892" s="13">
        <f>IF(AND(COUNT(B892:Z892)&gt;0,COUNT(AA892:AC892)&gt;0),"ruwe waarden én getypt: getypte genegeerd",IF(COUNTA(B892:Z892,AA892:AC892)&gt;COUNT(B892:Z892,AA892:AC892),"tekst telt niet mee",IF(COUNT(B892:Z892)=1,"1 waarde: geen R of s","")))</f>
        <v/>
      </c>
    </row>
    <row r="893">
      <c r="A893" t="n">
        <v>842</v>
      </c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28">
        <f>IF(COUNT(B893:Z893)&gt;0,COUNT(B893:Z893),IF(OR(ISNUMBER(AA893),ISNUMBER(AB893)),$B$9,""))</f>
        <v/>
      </c>
      <c r="AE893" s="29">
        <f>IF(COUNT(B893:Z893)&gt;0,AVERAGE(B893:Z893),IF(ISNUMBER(AA893),AA893,""))</f>
        <v/>
      </c>
      <c r="AF893" s="29">
        <f>IF(COUNT(B893:Z893)&gt;1,MAX(B893:Z893)-MIN(B893:Z893),IF(ISNUMBER(AB893),AB893,""))</f>
        <v/>
      </c>
      <c r="AG893" s="29">
        <f>IF(COUNT(B893:Z893)&gt;1,_xlfn.STDEV.S(B893:Z893),IF(ISNUMBER(AC893),AC893,""))</f>
        <v/>
      </c>
      <c r="AH893" s="13">
        <f>IF(AND(ISNUMBER(AE893),ISNUMBER($B$23),ISNUMBER($D$23)),IF(AE893&gt;$D$23,"boven UCL",IF(AE893&lt;$B$23,"onder LCL","")),"")</f>
        <v/>
      </c>
      <c r="AI893" s="13">
        <f>IF(AND(ISNUMBER(AF893),ISNUMBER($B$24),ISNUMBER($D$24)),IF(AF893&gt;$D$24,"boven UCL",IF(AF893&lt;$B$24,"onder LCL","")),"")</f>
        <v/>
      </c>
      <c r="AJ893" s="13">
        <f>IF(AND(ISNUMBER(AE893),ISNUMBER($B$25),ISNUMBER($D$25)),IF(AE893&gt;$D$25,"boven UCL",IF(AE893&lt;$B$25,"onder LCL","")),"")</f>
        <v/>
      </c>
      <c r="AK893" s="13">
        <f>IF(AND(ISNUMBER(AG893),ISNUMBER($B$26),ISNUMBER($D$26)),IF(AG893&gt;$D$26,"boven UCL",IF(AG893&lt;$B$26,"onder LCL","")),"")</f>
        <v/>
      </c>
      <c r="AL893" s="13">
        <f>IF(AND(COUNT(B893:Z893)&gt;0,COUNT(AA893:AC893)&gt;0),"ruwe waarden én getypt: getypte genegeerd",IF(COUNTA(B893:Z893,AA893:AC893)&gt;COUNT(B893:Z893,AA893:AC893),"tekst telt niet mee",IF(COUNT(B893:Z893)=1,"1 waarde: geen R of s","")))</f>
        <v/>
      </c>
    </row>
    <row r="894">
      <c r="A894" t="n">
        <v>843</v>
      </c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28">
        <f>IF(COUNT(B894:Z894)&gt;0,COUNT(B894:Z894),IF(OR(ISNUMBER(AA894),ISNUMBER(AB894)),$B$9,""))</f>
        <v/>
      </c>
      <c r="AE894" s="29">
        <f>IF(COUNT(B894:Z894)&gt;0,AVERAGE(B894:Z894),IF(ISNUMBER(AA894),AA894,""))</f>
        <v/>
      </c>
      <c r="AF894" s="29">
        <f>IF(COUNT(B894:Z894)&gt;1,MAX(B894:Z894)-MIN(B894:Z894),IF(ISNUMBER(AB894),AB894,""))</f>
        <v/>
      </c>
      <c r="AG894" s="29">
        <f>IF(COUNT(B894:Z894)&gt;1,_xlfn.STDEV.S(B894:Z894),IF(ISNUMBER(AC894),AC894,""))</f>
        <v/>
      </c>
      <c r="AH894" s="13">
        <f>IF(AND(ISNUMBER(AE894),ISNUMBER($B$23),ISNUMBER($D$23)),IF(AE894&gt;$D$23,"boven UCL",IF(AE894&lt;$B$23,"onder LCL","")),"")</f>
        <v/>
      </c>
      <c r="AI894" s="13">
        <f>IF(AND(ISNUMBER(AF894),ISNUMBER($B$24),ISNUMBER($D$24)),IF(AF894&gt;$D$24,"boven UCL",IF(AF894&lt;$B$24,"onder LCL","")),"")</f>
        <v/>
      </c>
      <c r="AJ894" s="13">
        <f>IF(AND(ISNUMBER(AE894),ISNUMBER($B$25),ISNUMBER($D$25)),IF(AE894&gt;$D$25,"boven UCL",IF(AE894&lt;$B$25,"onder LCL","")),"")</f>
        <v/>
      </c>
      <c r="AK894" s="13">
        <f>IF(AND(ISNUMBER(AG894),ISNUMBER($B$26),ISNUMBER($D$26)),IF(AG894&gt;$D$26,"boven UCL",IF(AG894&lt;$B$26,"onder LCL","")),"")</f>
        <v/>
      </c>
      <c r="AL894" s="13">
        <f>IF(AND(COUNT(B894:Z894)&gt;0,COUNT(AA894:AC894)&gt;0),"ruwe waarden én getypt: getypte genegeerd",IF(COUNTA(B894:Z894,AA894:AC894)&gt;COUNT(B894:Z894,AA894:AC894),"tekst telt niet mee",IF(COUNT(B894:Z894)=1,"1 waarde: geen R of s","")))</f>
        <v/>
      </c>
    </row>
    <row r="895">
      <c r="A895" t="n">
        <v>844</v>
      </c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28">
        <f>IF(COUNT(B895:Z895)&gt;0,COUNT(B895:Z895),IF(OR(ISNUMBER(AA895),ISNUMBER(AB895)),$B$9,""))</f>
        <v/>
      </c>
      <c r="AE895" s="29">
        <f>IF(COUNT(B895:Z895)&gt;0,AVERAGE(B895:Z895),IF(ISNUMBER(AA895),AA895,""))</f>
        <v/>
      </c>
      <c r="AF895" s="29">
        <f>IF(COUNT(B895:Z895)&gt;1,MAX(B895:Z895)-MIN(B895:Z895),IF(ISNUMBER(AB895),AB895,""))</f>
        <v/>
      </c>
      <c r="AG895" s="29">
        <f>IF(COUNT(B895:Z895)&gt;1,_xlfn.STDEV.S(B895:Z895),IF(ISNUMBER(AC895),AC895,""))</f>
        <v/>
      </c>
      <c r="AH895" s="13">
        <f>IF(AND(ISNUMBER(AE895),ISNUMBER($B$23),ISNUMBER($D$23)),IF(AE895&gt;$D$23,"boven UCL",IF(AE895&lt;$B$23,"onder LCL","")),"")</f>
        <v/>
      </c>
      <c r="AI895" s="13">
        <f>IF(AND(ISNUMBER(AF895),ISNUMBER($B$24),ISNUMBER($D$24)),IF(AF895&gt;$D$24,"boven UCL",IF(AF895&lt;$B$24,"onder LCL","")),"")</f>
        <v/>
      </c>
      <c r="AJ895" s="13">
        <f>IF(AND(ISNUMBER(AE895),ISNUMBER($B$25),ISNUMBER($D$25)),IF(AE895&gt;$D$25,"boven UCL",IF(AE895&lt;$B$25,"onder LCL","")),"")</f>
        <v/>
      </c>
      <c r="AK895" s="13">
        <f>IF(AND(ISNUMBER(AG895),ISNUMBER($B$26),ISNUMBER($D$26)),IF(AG895&gt;$D$26,"boven UCL",IF(AG895&lt;$B$26,"onder LCL","")),"")</f>
        <v/>
      </c>
      <c r="AL895" s="13">
        <f>IF(AND(COUNT(B895:Z895)&gt;0,COUNT(AA895:AC895)&gt;0),"ruwe waarden én getypt: getypte genegeerd",IF(COUNTA(B895:Z895,AA895:AC895)&gt;COUNT(B895:Z895,AA895:AC895),"tekst telt niet mee",IF(COUNT(B895:Z895)=1,"1 waarde: geen R of s","")))</f>
        <v/>
      </c>
    </row>
    <row r="896">
      <c r="A896" t="n">
        <v>845</v>
      </c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28">
        <f>IF(COUNT(B896:Z896)&gt;0,COUNT(B896:Z896),IF(OR(ISNUMBER(AA896),ISNUMBER(AB896)),$B$9,""))</f>
        <v/>
      </c>
      <c r="AE896" s="29">
        <f>IF(COUNT(B896:Z896)&gt;0,AVERAGE(B896:Z896),IF(ISNUMBER(AA896),AA896,""))</f>
        <v/>
      </c>
      <c r="AF896" s="29">
        <f>IF(COUNT(B896:Z896)&gt;1,MAX(B896:Z896)-MIN(B896:Z896),IF(ISNUMBER(AB896),AB896,""))</f>
        <v/>
      </c>
      <c r="AG896" s="29">
        <f>IF(COUNT(B896:Z896)&gt;1,_xlfn.STDEV.S(B896:Z896),IF(ISNUMBER(AC896),AC896,""))</f>
        <v/>
      </c>
      <c r="AH896" s="13">
        <f>IF(AND(ISNUMBER(AE896),ISNUMBER($B$23),ISNUMBER($D$23)),IF(AE896&gt;$D$23,"boven UCL",IF(AE896&lt;$B$23,"onder LCL","")),"")</f>
        <v/>
      </c>
      <c r="AI896" s="13">
        <f>IF(AND(ISNUMBER(AF896),ISNUMBER($B$24),ISNUMBER($D$24)),IF(AF896&gt;$D$24,"boven UCL",IF(AF896&lt;$B$24,"onder LCL","")),"")</f>
        <v/>
      </c>
      <c r="AJ896" s="13">
        <f>IF(AND(ISNUMBER(AE896),ISNUMBER($B$25),ISNUMBER($D$25)),IF(AE896&gt;$D$25,"boven UCL",IF(AE896&lt;$B$25,"onder LCL","")),"")</f>
        <v/>
      </c>
      <c r="AK896" s="13">
        <f>IF(AND(ISNUMBER(AG896),ISNUMBER($B$26),ISNUMBER($D$26)),IF(AG896&gt;$D$26,"boven UCL",IF(AG896&lt;$B$26,"onder LCL","")),"")</f>
        <v/>
      </c>
      <c r="AL896" s="13">
        <f>IF(AND(COUNT(B896:Z896)&gt;0,COUNT(AA896:AC896)&gt;0),"ruwe waarden én getypt: getypte genegeerd",IF(COUNTA(B896:Z896,AA896:AC896)&gt;COUNT(B896:Z896,AA896:AC896),"tekst telt niet mee",IF(COUNT(B896:Z896)=1,"1 waarde: geen R of s","")))</f>
        <v/>
      </c>
    </row>
    <row r="897">
      <c r="A897" t="n">
        <v>846</v>
      </c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28">
        <f>IF(COUNT(B897:Z897)&gt;0,COUNT(B897:Z897),IF(OR(ISNUMBER(AA897),ISNUMBER(AB897)),$B$9,""))</f>
        <v/>
      </c>
      <c r="AE897" s="29">
        <f>IF(COUNT(B897:Z897)&gt;0,AVERAGE(B897:Z897),IF(ISNUMBER(AA897),AA897,""))</f>
        <v/>
      </c>
      <c r="AF897" s="29">
        <f>IF(COUNT(B897:Z897)&gt;1,MAX(B897:Z897)-MIN(B897:Z897),IF(ISNUMBER(AB897),AB897,""))</f>
        <v/>
      </c>
      <c r="AG897" s="29">
        <f>IF(COUNT(B897:Z897)&gt;1,_xlfn.STDEV.S(B897:Z897),IF(ISNUMBER(AC897),AC897,""))</f>
        <v/>
      </c>
      <c r="AH897" s="13">
        <f>IF(AND(ISNUMBER(AE897),ISNUMBER($B$23),ISNUMBER($D$23)),IF(AE897&gt;$D$23,"boven UCL",IF(AE897&lt;$B$23,"onder LCL","")),"")</f>
        <v/>
      </c>
      <c r="AI897" s="13">
        <f>IF(AND(ISNUMBER(AF897),ISNUMBER($B$24),ISNUMBER($D$24)),IF(AF897&gt;$D$24,"boven UCL",IF(AF897&lt;$B$24,"onder LCL","")),"")</f>
        <v/>
      </c>
      <c r="AJ897" s="13">
        <f>IF(AND(ISNUMBER(AE897),ISNUMBER($B$25),ISNUMBER($D$25)),IF(AE897&gt;$D$25,"boven UCL",IF(AE897&lt;$B$25,"onder LCL","")),"")</f>
        <v/>
      </c>
      <c r="AK897" s="13">
        <f>IF(AND(ISNUMBER(AG897),ISNUMBER($B$26),ISNUMBER($D$26)),IF(AG897&gt;$D$26,"boven UCL",IF(AG897&lt;$B$26,"onder LCL","")),"")</f>
        <v/>
      </c>
      <c r="AL897" s="13">
        <f>IF(AND(COUNT(B897:Z897)&gt;0,COUNT(AA897:AC897)&gt;0),"ruwe waarden én getypt: getypte genegeerd",IF(COUNTA(B897:Z897,AA897:AC897)&gt;COUNT(B897:Z897,AA897:AC897),"tekst telt niet mee",IF(COUNT(B897:Z897)=1,"1 waarde: geen R of s","")))</f>
        <v/>
      </c>
    </row>
    <row r="898">
      <c r="A898" t="n">
        <v>847</v>
      </c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28">
        <f>IF(COUNT(B898:Z898)&gt;0,COUNT(B898:Z898),IF(OR(ISNUMBER(AA898),ISNUMBER(AB898)),$B$9,""))</f>
        <v/>
      </c>
      <c r="AE898" s="29">
        <f>IF(COUNT(B898:Z898)&gt;0,AVERAGE(B898:Z898),IF(ISNUMBER(AA898),AA898,""))</f>
        <v/>
      </c>
      <c r="AF898" s="29">
        <f>IF(COUNT(B898:Z898)&gt;1,MAX(B898:Z898)-MIN(B898:Z898),IF(ISNUMBER(AB898),AB898,""))</f>
        <v/>
      </c>
      <c r="AG898" s="29">
        <f>IF(COUNT(B898:Z898)&gt;1,_xlfn.STDEV.S(B898:Z898),IF(ISNUMBER(AC898),AC898,""))</f>
        <v/>
      </c>
      <c r="AH898" s="13">
        <f>IF(AND(ISNUMBER(AE898),ISNUMBER($B$23),ISNUMBER($D$23)),IF(AE898&gt;$D$23,"boven UCL",IF(AE898&lt;$B$23,"onder LCL","")),"")</f>
        <v/>
      </c>
      <c r="AI898" s="13">
        <f>IF(AND(ISNUMBER(AF898),ISNUMBER($B$24),ISNUMBER($D$24)),IF(AF898&gt;$D$24,"boven UCL",IF(AF898&lt;$B$24,"onder LCL","")),"")</f>
        <v/>
      </c>
      <c r="AJ898" s="13">
        <f>IF(AND(ISNUMBER(AE898),ISNUMBER($B$25),ISNUMBER($D$25)),IF(AE898&gt;$D$25,"boven UCL",IF(AE898&lt;$B$25,"onder LCL","")),"")</f>
        <v/>
      </c>
      <c r="AK898" s="13">
        <f>IF(AND(ISNUMBER(AG898),ISNUMBER($B$26),ISNUMBER($D$26)),IF(AG898&gt;$D$26,"boven UCL",IF(AG898&lt;$B$26,"onder LCL","")),"")</f>
        <v/>
      </c>
      <c r="AL898" s="13">
        <f>IF(AND(COUNT(B898:Z898)&gt;0,COUNT(AA898:AC898)&gt;0),"ruwe waarden én getypt: getypte genegeerd",IF(COUNTA(B898:Z898,AA898:AC898)&gt;COUNT(B898:Z898,AA898:AC898),"tekst telt niet mee",IF(COUNT(B898:Z898)=1,"1 waarde: geen R of s","")))</f>
        <v/>
      </c>
    </row>
    <row r="899">
      <c r="A899" t="n">
        <v>848</v>
      </c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28">
        <f>IF(COUNT(B899:Z899)&gt;0,COUNT(B899:Z899),IF(OR(ISNUMBER(AA899),ISNUMBER(AB899)),$B$9,""))</f>
        <v/>
      </c>
      <c r="AE899" s="29">
        <f>IF(COUNT(B899:Z899)&gt;0,AVERAGE(B899:Z899),IF(ISNUMBER(AA899),AA899,""))</f>
        <v/>
      </c>
      <c r="AF899" s="29">
        <f>IF(COUNT(B899:Z899)&gt;1,MAX(B899:Z899)-MIN(B899:Z899),IF(ISNUMBER(AB899),AB899,""))</f>
        <v/>
      </c>
      <c r="AG899" s="29">
        <f>IF(COUNT(B899:Z899)&gt;1,_xlfn.STDEV.S(B899:Z899),IF(ISNUMBER(AC899),AC899,""))</f>
        <v/>
      </c>
      <c r="AH899" s="13">
        <f>IF(AND(ISNUMBER(AE899),ISNUMBER($B$23),ISNUMBER($D$23)),IF(AE899&gt;$D$23,"boven UCL",IF(AE899&lt;$B$23,"onder LCL","")),"")</f>
        <v/>
      </c>
      <c r="AI899" s="13">
        <f>IF(AND(ISNUMBER(AF899),ISNUMBER($B$24),ISNUMBER($D$24)),IF(AF899&gt;$D$24,"boven UCL",IF(AF899&lt;$B$24,"onder LCL","")),"")</f>
        <v/>
      </c>
      <c r="AJ899" s="13">
        <f>IF(AND(ISNUMBER(AE899),ISNUMBER($B$25),ISNUMBER($D$25)),IF(AE899&gt;$D$25,"boven UCL",IF(AE899&lt;$B$25,"onder LCL","")),"")</f>
        <v/>
      </c>
      <c r="AK899" s="13">
        <f>IF(AND(ISNUMBER(AG899),ISNUMBER($B$26),ISNUMBER($D$26)),IF(AG899&gt;$D$26,"boven UCL",IF(AG899&lt;$B$26,"onder LCL","")),"")</f>
        <v/>
      </c>
      <c r="AL899" s="13">
        <f>IF(AND(COUNT(B899:Z899)&gt;0,COUNT(AA899:AC899)&gt;0),"ruwe waarden én getypt: getypte genegeerd",IF(COUNTA(B899:Z899,AA899:AC899)&gt;COUNT(B899:Z899,AA899:AC899),"tekst telt niet mee",IF(COUNT(B899:Z899)=1,"1 waarde: geen R of s","")))</f>
        <v/>
      </c>
    </row>
    <row r="900">
      <c r="A900" t="n">
        <v>849</v>
      </c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28">
        <f>IF(COUNT(B900:Z900)&gt;0,COUNT(B900:Z900),IF(OR(ISNUMBER(AA900),ISNUMBER(AB900)),$B$9,""))</f>
        <v/>
      </c>
      <c r="AE900" s="29">
        <f>IF(COUNT(B900:Z900)&gt;0,AVERAGE(B900:Z900),IF(ISNUMBER(AA900),AA900,""))</f>
        <v/>
      </c>
      <c r="AF900" s="29">
        <f>IF(COUNT(B900:Z900)&gt;1,MAX(B900:Z900)-MIN(B900:Z900),IF(ISNUMBER(AB900),AB900,""))</f>
        <v/>
      </c>
      <c r="AG900" s="29">
        <f>IF(COUNT(B900:Z900)&gt;1,_xlfn.STDEV.S(B900:Z900),IF(ISNUMBER(AC900),AC900,""))</f>
        <v/>
      </c>
      <c r="AH900" s="13">
        <f>IF(AND(ISNUMBER(AE900),ISNUMBER($B$23),ISNUMBER($D$23)),IF(AE900&gt;$D$23,"boven UCL",IF(AE900&lt;$B$23,"onder LCL","")),"")</f>
        <v/>
      </c>
      <c r="AI900" s="13">
        <f>IF(AND(ISNUMBER(AF900),ISNUMBER($B$24),ISNUMBER($D$24)),IF(AF900&gt;$D$24,"boven UCL",IF(AF900&lt;$B$24,"onder LCL","")),"")</f>
        <v/>
      </c>
      <c r="AJ900" s="13">
        <f>IF(AND(ISNUMBER(AE900),ISNUMBER($B$25),ISNUMBER($D$25)),IF(AE900&gt;$D$25,"boven UCL",IF(AE900&lt;$B$25,"onder LCL","")),"")</f>
        <v/>
      </c>
      <c r="AK900" s="13">
        <f>IF(AND(ISNUMBER(AG900),ISNUMBER($B$26),ISNUMBER($D$26)),IF(AG900&gt;$D$26,"boven UCL",IF(AG900&lt;$B$26,"onder LCL","")),"")</f>
        <v/>
      </c>
      <c r="AL900" s="13">
        <f>IF(AND(COUNT(B900:Z900)&gt;0,COUNT(AA900:AC900)&gt;0),"ruwe waarden én getypt: getypte genegeerd",IF(COUNTA(B900:Z900,AA900:AC900)&gt;COUNT(B900:Z900,AA900:AC900),"tekst telt niet mee",IF(COUNT(B900:Z900)=1,"1 waarde: geen R of s","")))</f>
        <v/>
      </c>
    </row>
    <row r="901">
      <c r="A901" t="n">
        <v>850</v>
      </c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28">
        <f>IF(COUNT(B901:Z901)&gt;0,COUNT(B901:Z901),IF(OR(ISNUMBER(AA901),ISNUMBER(AB901)),$B$9,""))</f>
        <v/>
      </c>
      <c r="AE901" s="29">
        <f>IF(COUNT(B901:Z901)&gt;0,AVERAGE(B901:Z901),IF(ISNUMBER(AA901),AA901,""))</f>
        <v/>
      </c>
      <c r="AF901" s="29">
        <f>IF(COUNT(B901:Z901)&gt;1,MAX(B901:Z901)-MIN(B901:Z901),IF(ISNUMBER(AB901),AB901,""))</f>
        <v/>
      </c>
      <c r="AG901" s="29">
        <f>IF(COUNT(B901:Z901)&gt;1,_xlfn.STDEV.S(B901:Z901),IF(ISNUMBER(AC901),AC901,""))</f>
        <v/>
      </c>
      <c r="AH901" s="13">
        <f>IF(AND(ISNUMBER(AE901),ISNUMBER($B$23),ISNUMBER($D$23)),IF(AE901&gt;$D$23,"boven UCL",IF(AE901&lt;$B$23,"onder LCL","")),"")</f>
        <v/>
      </c>
      <c r="AI901" s="13">
        <f>IF(AND(ISNUMBER(AF901),ISNUMBER($B$24),ISNUMBER($D$24)),IF(AF901&gt;$D$24,"boven UCL",IF(AF901&lt;$B$24,"onder LCL","")),"")</f>
        <v/>
      </c>
      <c r="AJ901" s="13">
        <f>IF(AND(ISNUMBER(AE901),ISNUMBER($B$25),ISNUMBER($D$25)),IF(AE901&gt;$D$25,"boven UCL",IF(AE901&lt;$B$25,"onder LCL","")),"")</f>
        <v/>
      </c>
      <c r="AK901" s="13">
        <f>IF(AND(ISNUMBER(AG901),ISNUMBER($B$26),ISNUMBER($D$26)),IF(AG901&gt;$D$26,"boven UCL",IF(AG901&lt;$B$26,"onder LCL","")),"")</f>
        <v/>
      </c>
      <c r="AL901" s="13">
        <f>IF(AND(COUNT(B901:Z901)&gt;0,COUNT(AA901:AC901)&gt;0),"ruwe waarden én getypt: getypte genegeerd",IF(COUNTA(B901:Z901,AA901:AC901)&gt;COUNT(B901:Z901,AA901:AC901),"tekst telt niet mee",IF(COUNT(B901:Z901)=1,"1 waarde: geen R of s","")))</f>
        <v/>
      </c>
    </row>
    <row r="902">
      <c r="A902" t="n">
        <v>851</v>
      </c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28">
        <f>IF(COUNT(B902:Z902)&gt;0,COUNT(B902:Z902),IF(OR(ISNUMBER(AA902),ISNUMBER(AB902)),$B$9,""))</f>
        <v/>
      </c>
      <c r="AE902" s="29">
        <f>IF(COUNT(B902:Z902)&gt;0,AVERAGE(B902:Z902),IF(ISNUMBER(AA902),AA902,""))</f>
        <v/>
      </c>
      <c r="AF902" s="29">
        <f>IF(COUNT(B902:Z902)&gt;1,MAX(B902:Z902)-MIN(B902:Z902),IF(ISNUMBER(AB902),AB902,""))</f>
        <v/>
      </c>
      <c r="AG902" s="29">
        <f>IF(COUNT(B902:Z902)&gt;1,_xlfn.STDEV.S(B902:Z902),IF(ISNUMBER(AC902),AC902,""))</f>
        <v/>
      </c>
      <c r="AH902" s="13">
        <f>IF(AND(ISNUMBER(AE902),ISNUMBER($B$23),ISNUMBER($D$23)),IF(AE902&gt;$D$23,"boven UCL",IF(AE902&lt;$B$23,"onder LCL","")),"")</f>
        <v/>
      </c>
      <c r="AI902" s="13">
        <f>IF(AND(ISNUMBER(AF902),ISNUMBER($B$24),ISNUMBER($D$24)),IF(AF902&gt;$D$24,"boven UCL",IF(AF902&lt;$B$24,"onder LCL","")),"")</f>
        <v/>
      </c>
      <c r="AJ902" s="13">
        <f>IF(AND(ISNUMBER(AE902),ISNUMBER($B$25),ISNUMBER($D$25)),IF(AE902&gt;$D$25,"boven UCL",IF(AE902&lt;$B$25,"onder LCL","")),"")</f>
        <v/>
      </c>
      <c r="AK902" s="13">
        <f>IF(AND(ISNUMBER(AG902),ISNUMBER($B$26),ISNUMBER($D$26)),IF(AG902&gt;$D$26,"boven UCL",IF(AG902&lt;$B$26,"onder LCL","")),"")</f>
        <v/>
      </c>
      <c r="AL902" s="13">
        <f>IF(AND(COUNT(B902:Z902)&gt;0,COUNT(AA902:AC902)&gt;0),"ruwe waarden én getypt: getypte genegeerd",IF(COUNTA(B902:Z902,AA902:AC902)&gt;COUNT(B902:Z902,AA902:AC902),"tekst telt niet mee",IF(COUNT(B902:Z902)=1,"1 waarde: geen R of s","")))</f>
        <v/>
      </c>
    </row>
    <row r="903">
      <c r="A903" t="n">
        <v>852</v>
      </c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28">
        <f>IF(COUNT(B903:Z903)&gt;0,COUNT(B903:Z903),IF(OR(ISNUMBER(AA903),ISNUMBER(AB903)),$B$9,""))</f>
        <v/>
      </c>
      <c r="AE903" s="29">
        <f>IF(COUNT(B903:Z903)&gt;0,AVERAGE(B903:Z903),IF(ISNUMBER(AA903),AA903,""))</f>
        <v/>
      </c>
      <c r="AF903" s="29">
        <f>IF(COUNT(B903:Z903)&gt;1,MAX(B903:Z903)-MIN(B903:Z903),IF(ISNUMBER(AB903),AB903,""))</f>
        <v/>
      </c>
      <c r="AG903" s="29">
        <f>IF(COUNT(B903:Z903)&gt;1,_xlfn.STDEV.S(B903:Z903),IF(ISNUMBER(AC903),AC903,""))</f>
        <v/>
      </c>
      <c r="AH903" s="13">
        <f>IF(AND(ISNUMBER(AE903),ISNUMBER($B$23),ISNUMBER($D$23)),IF(AE903&gt;$D$23,"boven UCL",IF(AE903&lt;$B$23,"onder LCL","")),"")</f>
        <v/>
      </c>
      <c r="AI903" s="13">
        <f>IF(AND(ISNUMBER(AF903),ISNUMBER($B$24),ISNUMBER($D$24)),IF(AF903&gt;$D$24,"boven UCL",IF(AF903&lt;$B$24,"onder LCL","")),"")</f>
        <v/>
      </c>
      <c r="AJ903" s="13">
        <f>IF(AND(ISNUMBER(AE903),ISNUMBER($B$25),ISNUMBER($D$25)),IF(AE903&gt;$D$25,"boven UCL",IF(AE903&lt;$B$25,"onder LCL","")),"")</f>
        <v/>
      </c>
      <c r="AK903" s="13">
        <f>IF(AND(ISNUMBER(AG903),ISNUMBER($B$26),ISNUMBER($D$26)),IF(AG903&gt;$D$26,"boven UCL",IF(AG903&lt;$B$26,"onder LCL","")),"")</f>
        <v/>
      </c>
      <c r="AL903" s="13">
        <f>IF(AND(COUNT(B903:Z903)&gt;0,COUNT(AA903:AC903)&gt;0),"ruwe waarden én getypt: getypte genegeerd",IF(COUNTA(B903:Z903,AA903:AC903)&gt;COUNT(B903:Z903,AA903:AC903),"tekst telt niet mee",IF(COUNT(B903:Z903)=1,"1 waarde: geen R of s","")))</f>
        <v/>
      </c>
    </row>
    <row r="904">
      <c r="A904" t="n">
        <v>853</v>
      </c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28">
        <f>IF(COUNT(B904:Z904)&gt;0,COUNT(B904:Z904),IF(OR(ISNUMBER(AA904),ISNUMBER(AB904)),$B$9,""))</f>
        <v/>
      </c>
      <c r="AE904" s="29">
        <f>IF(COUNT(B904:Z904)&gt;0,AVERAGE(B904:Z904),IF(ISNUMBER(AA904),AA904,""))</f>
        <v/>
      </c>
      <c r="AF904" s="29">
        <f>IF(COUNT(B904:Z904)&gt;1,MAX(B904:Z904)-MIN(B904:Z904),IF(ISNUMBER(AB904),AB904,""))</f>
        <v/>
      </c>
      <c r="AG904" s="29">
        <f>IF(COUNT(B904:Z904)&gt;1,_xlfn.STDEV.S(B904:Z904),IF(ISNUMBER(AC904),AC904,""))</f>
        <v/>
      </c>
      <c r="AH904" s="13">
        <f>IF(AND(ISNUMBER(AE904),ISNUMBER($B$23),ISNUMBER($D$23)),IF(AE904&gt;$D$23,"boven UCL",IF(AE904&lt;$B$23,"onder LCL","")),"")</f>
        <v/>
      </c>
      <c r="AI904" s="13">
        <f>IF(AND(ISNUMBER(AF904),ISNUMBER($B$24),ISNUMBER($D$24)),IF(AF904&gt;$D$24,"boven UCL",IF(AF904&lt;$B$24,"onder LCL","")),"")</f>
        <v/>
      </c>
      <c r="AJ904" s="13">
        <f>IF(AND(ISNUMBER(AE904),ISNUMBER($B$25),ISNUMBER($D$25)),IF(AE904&gt;$D$25,"boven UCL",IF(AE904&lt;$B$25,"onder LCL","")),"")</f>
        <v/>
      </c>
      <c r="AK904" s="13">
        <f>IF(AND(ISNUMBER(AG904),ISNUMBER($B$26),ISNUMBER($D$26)),IF(AG904&gt;$D$26,"boven UCL",IF(AG904&lt;$B$26,"onder LCL","")),"")</f>
        <v/>
      </c>
      <c r="AL904" s="13">
        <f>IF(AND(COUNT(B904:Z904)&gt;0,COUNT(AA904:AC904)&gt;0),"ruwe waarden én getypt: getypte genegeerd",IF(COUNTA(B904:Z904,AA904:AC904)&gt;COUNT(B904:Z904,AA904:AC904),"tekst telt niet mee",IF(COUNT(B904:Z904)=1,"1 waarde: geen R of s","")))</f>
        <v/>
      </c>
    </row>
    <row r="905">
      <c r="A905" t="n">
        <v>854</v>
      </c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28">
        <f>IF(COUNT(B905:Z905)&gt;0,COUNT(B905:Z905),IF(OR(ISNUMBER(AA905),ISNUMBER(AB905)),$B$9,""))</f>
        <v/>
      </c>
      <c r="AE905" s="29">
        <f>IF(COUNT(B905:Z905)&gt;0,AVERAGE(B905:Z905),IF(ISNUMBER(AA905),AA905,""))</f>
        <v/>
      </c>
      <c r="AF905" s="29">
        <f>IF(COUNT(B905:Z905)&gt;1,MAX(B905:Z905)-MIN(B905:Z905),IF(ISNUMBER(AB905),AB905,""))</f>
        <v/>
      </c>
      <c r="AG905" s="29">
        <f>IF(COUNT(B905:Z905)&gt;1,_xlfn.STDEV.S(B905:Z905),IF(ISNUMBER(AC905),AC905,""))</f>
        <v/>
      </c>
      <c r="AH905" s="13">
        <f>IF(AND(ISNUMBER(AE905),ISNUMBER($B$23),ISNUMBER($D$23)),IF(AE905&gt;$D$23,"boven UCL",IF(AE905&lt;$B$23,"onder LCL","")),"")</f>
        <v/>
      </c>
      <c r="AI905" s="13">
        <f>IF(AND(ISNUMBER(AF905),ISNUMBER($B$24),ISNUMBER($D$24)),IF(AF905&gt;$D$24,"boven UCL",IF(AF905&lt;$B$24,"onder LCL","")),"")</f>
        <v/>
      </c>
      <c r="AJ905" s="13">
        <f>IF(AND(ISNUMBER(AE905),ISNUMBER($B$25),ISNUMBER($D$25)),IF(AE905&gt;$D$25,"boven UCL",IF(AE905&lt;$B$25,"onder LCL","")),"")</f>
        <v/>
      </c>
      <c r="AK905" s="13">
        <f>IF(AND(ISNUMBER(AG905),ISNUMBER($B$26),ISNUMBER($D$26)),IF(AG905&gt;$D$26,"boven UCL",IF(AG905&lt;$B$26,"onder LCL","")),"")</f>
        <v/>
      </c>
      <c r="AL905" s="13">
        <f>IF(AND(COUNT(B905:Z905)&gt;0,COUNT(AA905:AC905)&gt;0),"ruwe waarden én getypt: getypte genegeerd",IF(COUNTA(B905:Z905,AA905:AC905)&gt;COUNT(B905:Z905,AA905:AC905),"tekst telt niet mee",IF(COUNT(B905:Z905)=1,"1 waarde: geen R of s","")))</f>
        <v/>
      </c>
    </row>
    <row r="906">
      <c r="A906" t="n">
        <v>855</v>
      </c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28">
        <f>IF(COUNT(B906:Z906)&gt;0,COUNT(B906:Z906),IF(OR(ISNUMBER(AA906),ISNUMBER(AB906)),$B$9,""))</f>
        <v/>
      </c>
      <c r="AE906" s="29">
        <f>IF(COUNT(B906:Z906)&gt;0,AVERAGE(B906:Z906),IF(ISNUMBER(AA906),AA906,""))</f>
        <v/>
      </c>
      <c r="AF906" s="29">
        <f>IF(COUNT(B906:Z906)&gt;1,MAX(B906:Z906)-MIN(B906:Z906),IF(ISNUMBER(AB906),AB906,""))</f>
        <v/>
      </c>
      <c r="AG906" s="29">
        <f>IF(COUNT(B906:Z906)&gt;1,_xlfn.STDEV.S(B906:Z906),IF(ISNUMBER(AC906),AC906,""))</f>
        <v/>
      </c>
      <c r="AH906" s="13">
        <f>IF(AND(ISNUMBER(AE906),ISNUMBER($B$23),ISNUMBER($D$23)),IF(AE906&gt;$D$23,"boven UCL",IF(AE906&lt;$B$23,"onder LCL","")),"")</f>
        <v/>
      </c>
      <c r="AI906" s="13">
        <f>IF(AND(ISNUMBER(AF906),ISNUMBER($B$24),ISNUMBER($D$24)),IF(AF906&gt;$D$24,"boven UCL",IF(AF906&lt;$B$24,"onder LCL","")),"")</f>
        <v/>
      </c>
      <c r="AJ906" s="13">
        <f>IF(AND(ISNUMBER(AE906),ISNUMBER($B$25),ISNUMBER($D$25)),IF(AE906&gt;$D$25,"boven UCL",IF(AE906&lt;$B$25,"onder LCL","")),"")</f>
        <v/>
      </c>
      <c r="AK906" s="13">
        <f>IF(AND(ISNUMBER(AG906),ISNUMBER($B$26),ISNUMBER($D$26)),IF(AG906&gt;$D$26,"boven UCL",IF(AG906&lt;$B$26,"onder LCL","")),"")</f>
        <v/>
      </c>
      <c r="AL906" s="13">
        <f>IF(AND(COUNT(B906:Z906)&gt;0,COUNT(AA906:AC906)&gt;0),"ruwe waarden én getypt: getypte genegeerd",IF(COUNTA(B906:Z906,AA906:AC906)&gt;COUNT(B906:Z906,AA906:AC906),"tekst telt niet mee",IF(COUNT(B906:Z906)=1,"1 waarde: geen R of s","")))</f>
        <v/>
      </c>
    </row>
    <row r="907">
      <c r="A907" t="n">
        <v>856</v>
      </c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28">
        <f>IF(COUNT(B907:Z907)&gt;0,COUNT(B907:Z907),IF(OR(ISNUMBER(AA907),ISNUMBER(AB907)),$B$9,""))</f>
        <v/>
      </c>
      <c r="AE907" s="29">
        <f>IF(COUNT(B907:Z907)&gt;0,AVERAGE(B907:Z907),IF(ISNUMBER(AA907),AA907,""))</f>
        <v/>
      </c>
      <c r="AF907" s="29">
        <f>IF(COUNT(B907:Z907)&gt;1,MAX(B907:Z907)-MIN(B907:Z907),IF(ISNUMBER(AB907),AB907,""))</f>
        <v/>
      </c>
      <c r="AG907" s="29">
        <f>IF(COUNT(B907:Z907)&gt;1,_xlfn.STDEV.S(B907:Z907),IF(ISNUMBER(AC907),AC907,""))</f>
        <v/>
      </c>
      <c r="AH907" s="13">
        <f>IF(AND(ISNUMBER(AE907),ISNUMBER($B$23),ISNUMBER($D$23)),IF(AE907&gt;$D$23,"boven UCL",IF(AE907&lt;$B$23,"onder LCL","")),"")</f>
        <v/>
      </c>
      <c r="AI907" s="13">
        <f>IF(AND(ISNUMBER(AF907),ISNUMBER($B$24),ISNUMBER($D$24)),IF(AF907&gt;$D$24,"boven UCL",IF(AF907&lt;$B$24,"onder LCL","")),"")</f>
        <v/>
      </c>
      <c r="AJ907" s="13">
        <f>IF(AND(ISNUMBER(AE907),ISNUMBER($B$25),ISNUMBER($D$25)),IF(AE907&gt;$D$25,"boven UCL",IF(AE907&lt;$B$25,"onder LCL","")),"")</f>
        <v/>
      </c>
      <c r="AK907" s="13">
        <f>IF(AND(ISNUMBER(AG907),ISNUMBER($B$26),ISNUMBER($D$26)),IF(AG907&gt;$D$26,"boven UCL",IF(AG907&lt;$B$26,"onder LCL","")),"")</f>
        <v/>
      </c>
      <c r="AL907" s="13">
        <f>IF(AND(COUNT(B907:Z907)&gt;0,COUNT(AA907:AC907)&gt;0),"ruwe waarden én getypt: getypte genegeerd",IF(COUNTA(B907:Z907,AA907:AC907)&gt;COUNT(B907:Z907,AA907:AC907),"tekst telt niet mee",IF(COUNT(B907:Z907)=1,"1 waarde: geen R of s","")))</f>
        <v/>
      </c>
    </row>
    <row r="908">
      <c r="A908" t="n">
        <v>857</v>
      </c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28">
        <f>IF(COUNT(B908:Z908)&gt;0,COUNT(B908:Z908),IF(OR(ISNUMBER(AA908),ISNUMBER(AB908)),$B$9,""))</f>
        <v/>
      </c>
      <c r="AE908" s="29">
        <f>IF(COUNT(B908:Z908)&gt;0,AVERAGE(B908:Z908),IF(ISNUMBER(AA908),AA908,""))</f>
        <v/>
      </c>
      <c r="AF908" s="29">
        <f>IF(COUNT(B908:Z908)&gt;1,MAX(B908:Z908)-MIN(B908:Z908),IF(ISNUMBER(AB908),AB908,""))</f>
        <v/>
      </c>
      <c r="AG908" s="29">
        <f>IF(COUNT(B908:Z908)&gt;1,_xlfn.STDEV.S(B908:Z908),IF(ISNUMBER(AC908),AC908,""))</f>
        <v/>
      </c>
      <c r="AH908" s="13">
        <f>IF(AND(ISNUMBER(AE908),ISNUMBER($B$23),ISNUMBER($D$23)),IF(AE908&gt;$D$23,"boven UCL",IF(AE908&lt;$B$23,"onder LCL","")),"")</f>
        <v/>
      </c>
      <c r="AI908" s="13">
        <f>IF(AND(ISNUMBER(AF908),ISNUMBER($B$24),ISNUMBER($D$24)),IF(AF908&gt;$D$24,"boven UCL",IF(AF908&lt;$B$24,"onder LCL","")),"")</f>
        <v/>
      </c>
      <c r="AJ908" s="13">
        <f>IF(AND(ISNUMBER(AE908),ISNUMBER($B$25),ISNUMBER($D$25)),IF(AE908&gt;$D$25,"boven UCL",IF(AE908&lt;$B$25,"onder LCL","")),"")</f>
        <v/>
      </c>
      <c r="AK908" s="13">
        <f>IF(AND(ISNUMBER(AG908),ISNUMBER($B$26),ISNUMBER($D$26)),IF(AG908&gt;$D$26,"boven UCL",IF(AG908&lt;$B$26,"onder LCL","")),"")</f>
        <v/>
      </c>
      <c r="AL908" s="13">
        <f>IF(AND(COUNT(B908:Z908)&gt;0,COUNT(AA908:AC908)&gt;0),"ruwe waarden én getypt: getypte genegeerd",IF(COUNTA(B908:Z908,AA908:AC908)&gt;COUNT(B908:Z908,AA908:AC908),"tekst telt niet mee",IF(COUNT(B908:Z908)=1,"1 waarde: geen R of s","")))</f>
        <v/>
      </c>
    </row>
    <row r="909">
      <c r="A909" t="n">
        <v>858</v>
      </c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28">
        <f>IF(COUNT(B909:Z909)&gt;0,COUNT(B909:Z909),IF(OR(ISNUMBER(AA909),ISNUMBER(AB909)),$B$9,""))</f>
        <v/>
      </c>
      <c r="AE909" s="29">
        <f>IF(COUNT(B909:Z909)&gt;0,AVERAGE(B909:Z909),IF(ISNUMBER(AA909),AA909,""))</f>
        <v/>
      </c>
      <c r="AF909" s="29">
        <f>IF(COUNT(B909:Z909)&gt;1,MAX(B909:Z909)-MIN(B909:Z909),IF(ISNUMBER(AB909),AB909,""))</f>
        <v/>
      </c>
      <c r="AG909" s="29">
        <f>IF(COUNT(B909:Z909)&gt;1,_xlfn.STDEV.S(B909:Z909),IF(ISNUMBER(AC909),AC909,""))</f>
        <v/>
      </c>
      <c r="AH909" s="13">
        <f>IF(AND(ISNUMBER(AE909),ISNUMBER($B$23),ISNUMBER($D$23)),IF(AE909&gt;$D$23,"boven UCL",IF(AE909&lt;$B$23,"onder LCL","")),"")</f>
        <v/>
      </c>
      <c r="AI909" s="13">
        <f>IF(AND(ISNUMBER(AF909),ISNUMBER($B$24),ISNUMBER($D$24)),IF(AF909&gt;$D$24,"boven UCL",IF(AF909&lt;$B$24,"onder LCL","")),"")</f>
        <v/>
      </c>
      <c r="AJ909" s="13">
        <f>IF(AND(ISNUMBER(AE909),ISNUMBER($B$25),ISNUMBER($D$25)),IF(AE909&gt;$D$25,"boven UCL",IF(AE909&lt;$B$25,"onder LCL","")),"")</f>
        <v/>
      </c>
      <c r="AK909" s="13">
        <f>IF(AND(ISNUMBER(AG909),ISNUMBER($B$26),ISNUMBER($D$26)),IF(AG909&gt;$D$26,"boven UCL",IF(AG909&lt;$B$26,"onder LCL","")),"")</f>
        <v/>
      </c>
      <c r="AL909" s="13">
        <f>IF(AND(COUNT(B909:Z909)&gt;0,COUNT(AA909:AC909)&gt;0),"ruwe waarden én getypt: getypte genegeerd",IF(COUNTA(B909:Z909,AA909:AC909)&gt;COUNT(B909:Z909,AA909:AC909),"tekst telt niet mee",IF(COUNT(B909:Z909)=1,"1 waarde: geen R of s","")))</f>
        <v/>
      </c>
    </row>
    <row r="910">
      <c r="A910" t="n">
        <v>859</v>
      </c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28">
        <f>IF(COUNT(B910:Z910)&gt;0,COUNT(B910:Z910),IF(OR(ISNUMBER(AA910),ISNUMBER(AB910)),$B$9,""))</f>
        <v/>
      </c>
      <c r="AE910" s="29">
        <f>IF(COUNT(B910:Z910)&gt;0,AVERAGE(B910:Z910),IF(ISNUMBER(AA910),AA910,""))</f>
        <v/>
      </c>
      <c r="AF910" s="29">
        <f>IF(COUNT(B910:Z910)&gt;1,MAX(B910:Z910)-MIN(B910:Z910),IF(ISNUMBER(AB910),AB910,""))</f>
        <v/>
      </c>
      <c r="AG910" s="29">
        <f>IF(COUNT(B910:Z910)&gt;1,_xlfn.STDEV.S(B910:Z910),IF(ISNUMBER(AC910),AC910,""))</f>
        <v/>
      </c>
      <c r="AH910" s="13">
        <f>IF(AND(ISNUMBER(AE910),ISNUMBER($B$23),ISNUMBER($D$23)),IF(AE910&gt;$D$23,"boven UCL",IF(AE910&lt;$B$23,"onder LCL","")),"")</f>
        <v/>
      </c>
      <c r="AI910" s="13">
        <f>IF(AND(ISNUMBER(AF910),ISNUMBER($B$24),ISNUMBER($D$24)),IF(AF910&gt;$D$24,"boven UCL",IF(AF910&lt;$B$24,"onder LCL","")),"")</f>
        <v/>
      </c>
      <c r="AJ910" s="13">
        <f>IF(AND(ISNUMBER(AE910),ISNUMBER($B$25),ISNUMBER($D$25)),IF(AE910&gt;$D$25,"boven UCL",IF(AE910&lt;$B$25,"onder LCL","")),"")</f>
        <v/>
      </c>
      <c r="AK910" s="13">
        <f>IF(AND(ISNUMBER(AG910),ISNUMBER($B$26),ISNUMBER($D$26)),IF(AG910&gt;$D$26,"boven UCL",IF(AG910&lt;$B$26,"onder LCL","")),"")</f>
        <v/>
      </c>
      <c r="AL910" s="13">
        <f>IF(AND(COUNT(B910:Z910)&gt;0,COUNT(AA910:AC910)&gt;0),"ruwe waarden én getypt: getypte genegeerd",IF(COUNTA(B910:Z910,AA910:AC910)&gt;COUNT(B910:Z910,AA910:AC910),"tekst telt niet mee",IF(COUNT(B910:Z910)=1,"1 waarde: geen R of s","")))</f>
        <v/>
      </c>
    </row>
    <row r="911">
      <c r="A911" t="n">
        <v>860</v>
      </c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28">
        <f>IF(COUNT(B911:Z911)&gt;0,COUNT(B911:Z911),IF(OR(ISNUMBER(AA911),ISNUMBER(AB911)),$B$9,""))</f>
        <v/>
      </c>
      <c r="AE911" s="29">
        <f>IF(COUNT(B911:Z911)&gt;0,AVERAGE(B911:Z911),IF(ISNUMBER(AA911),AA911,""))</f>
        <v/>
      </c>
      <c r="AF911" s="29">
        <f>IF(COUNT(B911:Z911)&gt;1,MAX(B911:Z911)-MIN(B911:Z911),IF(ISNUMBER(AB911),AB911,""))</f>
        <v/>
      </c>
      <c r="AG911" s="29">
        <f>IF(COUNT(B911:Z911)&gt;1,_xlfn.STDEV.S(B911:Z911),IF(ISNUMBER(AC911),AC911,""))</f>
        <v/>
      </c>
      <c r="AH911" s="13">
        <f>IF(AND(ISNUMBER(AE911),ISNUMBER($B$23),ISNUMBER($D$23)),IF(AE911&gt;$D$23,"boven UCL",IF(AE911&lt;$B$23,"onder LCL","")),"")</f>
        <v/>
      </c>
      <c r="AI911" s="13">
        <f>IF(AND(ISNUMBER(AF911),ISNUMBER($B$24),ISNUMBER($D$24)),IF(AF911&gt;$D$24,"boven UCL",IF(AF911&lt;$B$24,"onder LCL","")),"")</f>
        <v/>
      </c>
      <c r="AJ911" s="13">
        <f>IF(AND(ISNUMBER(AE911),ISNUMBER($B$25),ISNUMBER($D$25)),IF(AE911&gt;$D$25,"boven UCL",IF(AE911&lt;$B$25,"onder LCL","")),"")</f>
        <v/>
      </c>
      <c r="AK911" s="13">
        <f>IF(AND(ISNUMBER(AG911),ISNUMBER($B$26),ISNUMBER($D$26)),IF(AG911&gt;$D$26,"boven UCL",IF(AG911&lt;$B$26,"onder LCL","")),"")</f>
        <v/>
      </c>
      <c r="AL911" s="13">
        <f>IF(AND(COUNT(B911:Z911)&gt;0,COUNT(AA911:AC911)&gt;0),"ruwe waarden én getypt: getypte genegeerd",IF(COUNTA(B911:Z911,AA911:AC911)&gt;COUNT(B911:Z911,AA911:AC911),"tekst telt niet mee",IF(COUNT(B911:Z911)=1,"1 waarde: geen R of s","")))</f>
        <v/>
      </c>
    </row>
    <row r="912">
      <c r="A912" t="n">
        <v>861</v>
      </c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28">
        <f>IF(COUNT(B912:Z912)&gt;0,COUNT(B912:Z912),IF(OR(ISNUMBER(AA912),ISNUMBER(AB912)),$B$9,""))</f>
        <v/>
      </c>
      <c r="AE912" s="29">
        <f>IF(COUNT(B912:Z912)&gt;0,AVERAGE(B912:Z912),IF(ISNUMBER(AA912),AA912,""))</f>
        <v/>
      </c>
      <c r="AF912" s="29">
        <f>IF(COUNT(B912:Z912)&gt;1,MAX(B912:Z912)-MIN(B912:Z912),IF(ISNUMBER(AB912),AB912,""))</f>
        <v/>
      </c>
      <c r="AG912" s="29">
        <f>IF(COUNT(B912:Z912)&gt;1,_xlfn.STDEV.S(B912:Z912),IF(ISNUMBER(AC912),AC912,""))</f>
        <v/>
      </c>
      <c r="AH912" s="13">
        <f>IF(AND(ISNUMBER(AE912),ISNUMBER($B$23),ISNUMBER($D$23)),IF(AE912&gt;$D$23,"boven UCL",IF(AE912&lt;$B$23,"onder LCL","")),"")</f>
        <v/>
      </c>
      <c r="AI912" s="13">
        <f>IF(AND(ISNUMBER(AF912),ISNUMBER($B$24),ISNUMBER($D$24)),IF(AF912&gt;$D$24,"boven UCL",IF(AF912&lt;$B$24,"onder LCL","")),"")</f>
        <v/>
      </c>
      <c r="AJ912" s="13">
        <f>IF(AND(ISNUMBER(AE912),ISNUMBER($B$25),ISNUMBER($D$25)),IF(AE912&gt;$D$25,"boven UCL",IF(AE912&lt;$B$25,"onder LCL","")),"")</f>
        <v/>
      </c>
      <c r="AK912" s="13">
        <f>IF(AND(ISNUMBER(AG912),ISNUMBER($B$26),ISNUMBER($D$26)),IF(AG912&gt;$D$26,"boven UCL",IF(AG912&lt;$B$26,"onder LCL","")),"")</f>
        <v/>
      </c>
      <c r="AL912" s="13">
        <f>IF(AND(COUNT(B912:Z912)&gt;0,COUNT(AA912:AC912)&gt;0),"ruwe waarden én getypt: getypte genegeerd",IF(COUNTA(B912:Z912,AA912:AC912)&gt;COUNT(B912:Z912,AA912:AC912),"tekst telt niet mee",IF(COUNT(B912:Z912)=1,"1 waarde: geen R of s","")))</f>
        <v/>
      </c>
    </row>
    <row r="913">
      <c r="A913" t="n">
        <v>862</v>
      </c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28">
        <f>IF(COUNT(B913:Z913)&gt;0,COUNT(B913:Z913),IF(OR(ISNUMBER(AA913),ISNUMBER(AB913)),$B$9,""))</f>
        <v/>
      </c>
      <c r="AE913" s="29">
        <f>IF(COUNT(B913:Z913)&gt;0,AVERAGE(B913:Z913),IF(ISNUMBER(AA913),AA913,""))</f>
        <v/>
      </c>
      <c r="AF913" s="29">
        <f>IF(COUNT(B913:Z913)&gt;1,MAX(B913:Z913)-MIN(B913:Z913),IF(ISNUMBER(AB913),AB913,""))</f>
        <v/>
      </c>
      <c r="AG913" s="29">
        <f>IF(COUNT(B913:Z913)&gt;1,_xlfn.STDEV.S(B913:Z913),IF(ISNUMBER(AC913),AC913,""))</f>
        <v/>
      </c>
      <c r="AH913" s="13">
        <f>IF(AND(ISNUMBER(AE913),ISNUMBER($B$23),ISNUMBER($D$23)),IF(AE913&gt;$D$23,"boven UCL",IF(AE913&lt;$B$23,"onder LCL","")),"")</f>
        <v/>
      </c>
      <c r="AI913" s="13">
        <f>IF(AND(ISNUMBER(AF913),ISNUMBER($B$24),ISNUMBER($D$24)),IF(AF913&gt;$D$24,"boven UCL",IF(AF913&lt;$B$24,"onder LCL","")),"")</f>
        <v/>
      </c>
      <c r="AJ913" s="13">
        <f>IF(AND(ISNUMBER(AE913),ISNUMBER($B$25),ISNUMBER($D$25)),IF(AE913&gt;$D$25,"boven UCL",IF(AE913&lt;$B$25,"onder LCL","")),"")</f>
        <v/>
      </c>
      <c r="AK913" s="13">
        <f>IF(AND(ISNUMBER(AG913),ISNUMBER($B$26),ISNUMBER($D$26)),IF(AG913&gt;$D$26,"boven UCL",IF(AG913&lt;$B$26,"onder LCL","")),"")</f>
        <v/>
      </c>
      <c r="AL913" s="13">
        <f>IF(AND(COUNT(B913:Z913)&gt;0,COUNT(AA913:AC913)&gt;0),"ruwe waarden én getypt: getypte genegeerd",IF(COUNTA(B913:Z913,AA913:AC913)&gt;COUNT(B913:Z913,AA913:AC913),"tekst telt niet mee",IF(COUNT(B913:Z913)=1,"1 waarde: geen R of s","")))</f>
        <v/>
      </c>
    </row>
    <row r="914">
      <c r="A914" t="n">
        <v>863</v>
      </c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28">
        <f>IF(COUNT(B914:Z914)&gt;0,COUNT(B914:Z914),IF(OR(ISNUMBER(AA914),ISNUMBER(AB914)),$B$9,""))</f>
        <v/>
      </c>
      <c r="AE914" s="29">
        <f>IF(COUNT(B914:Z914)&gt;0,AVERAGE(B914:Z914),IF(ISNUMBER(AA914),AA914,""))</f>
        <v/>
      </c>
      <c r="AF914" s="29">
        <f>IF(COUNT(B914:Z914)&gt;1,MAX(B914:Z914)-MIN(B914:Z914),IF(ISNUMBER(AB914),AB914,""))</f>
        <v/>
      </c>
      <c r="AG914" s="29">
        <f>IF(COUNT(B914:Z914)&gt;1,_xlfn.STDEV.S(B914:Z914),IF(ISNUMBER(AC914),AC914,""))</f>
        <v/>
      </c>
      <c r="AH914" s="13">
        <f>IF(AND(ISNUMBER(AE914),ISNUMBER($B$23),ISNUMBER($D$23)),IF(AE914&gt;$D$23,"boven UCL",IF(AE914&lt;$B$23,"onder LCL","")),"")</f>
        <v/>
      </c>
      <c r="AI914" s="13">
        <f>IF(AND(ISNUMBER(AF914),ISNUMBER($B$24),ISNUMBER($D$24)),IF(AF914&gt;$D$24,"boven UCL",IF(AF914&lt;$B$24,"onder LCL","")),"")</f>
        <v/>
      </c>
      <c r="AJ914" s="13">
        <f>IF(AND(ISNUMBER(AE914),ISNUMBER($B$25),ISNUMBER($D$25)),IF(AE914&gt;$D$25,"boven UCL",IF(AE914&lt;$B$25,"onder LCL","")),"")</f>
        <v/>
      </c>
      <c r="AK914" s="13">
        <f>IF(AND(ISNUMBER(AG914),ISNUMBER($B$26),ISNUMBER($D$26)),IF(AG914&gt;$D$26,"boven UCL",IF(AG914&lt;$B$26,"onder LCL","")),"")</f>
        <v/>
      </c>
      <c r="AL914" s="13">
        <f>IF(AND(COUNT(B914:Z914)&gt;0,COUNT(AA914:AC914)&gt;0),"ruwe waarden én getypt: getypte genegeerd",IF(COUNTA(B914:Z914,AA914:AC914)&gt;COUNT(B914:Z914,AA914:AC914),"tekst telt niet mee",IF(COUNT(B914:Z914)=1,"1 waarde: geen R of s","")))</f>
        <v/>
      </c>
    </row>
    <row r="915">
      <c r="A915" t="n">
        <v>864</v>
      </c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28">
        <f>IF(COUNT(B915:Z915)&gt;0,COUNT(B915:Z915),IF(OR(ISNUMBER(AA915),ISNUMBER(AB915)),$B$9,""))</f>
        <v/>
      </c>
      <c r="AE915" s="29">
        <f>IF(COUNT(B915:Z915)&gt;0,AVERAGE(B915:Z915),IF(ISNUMBER(AA915),AA915,""))</f>
        <v/>
      </c>
      <c r="AF915" s="29">
        <f>IF(COUNT(B915:Z915)&gt;1,MAX(B915:Z915)-MIN(B915:Z915),IF(ISNUMBER(AB915),AB915,""))</f>
        <v/>
      </c>
      <c r="AG915" s="29">
        <f>IF(COUNT(B915:Z915)&gt;1,_xlfn.STDEV.S(B915:Z915),IF(ISNUMBER(AC915),AC915,""))</f>
        <v/>
      </c>
      <c r="AH915" s="13">
        <f>IF(AND(ISNUMBER(AE915),ISNUMBER($B$23),ISNUMBER($D$23)),IF(AE915&gt;$D$23,"boven UCL",IF(AE915&lt;$B$23,"onder LCL","")),"")</f>
        <v/>
      </c>
      <c r="AI915" s="13">
        <f>IF(AND(ISNUMBER(AF915),ISNUMBER($B$24),ISNUMBER($D$24)),IF(AF915&gt;$D$24,"boven UCL",IF(AF915&lt;$B$24,"onder LCL","")),"")</f>
        <v/>
      </c>
      <c r="AJ915" s="13">
        <f>IF(AND(ISNUMBER(AE915),ISNUMBER($B$25),ISNUMBER($D$25)),IF(AE915&gt;$D$25,"boven UCL",IF(AE915&lt;$B$25,"onder LCL","")),"")</f>
        <v/>
      </c>
      <c r="AK915" s="13">
        <f>IF(AND(ISNUMBER(AG915),ISNUMBER($B$26),ISNUMBER($D$26)),IF(AG915&gt;$D$26,"boven UCL",IF(AG915&lt;$B$26,"onder LCL","")),"")</f>
        <v/>
      </c>
      <c r="AL915" s="13">
        <f>IF(AND(COUNT(B915:Z915)&gt;0,COUNT(AA915:AC915)&gt;0),"ruwe waarden én getypt: getypte genegeerd",IF(COUNTA(B915:Z915,AA915:AC915)&gt;COUNT(B915:Z915,AA915:AC915),"tekst telt niet mee",IF(COUNT(B915:Z915)=1,"1 waarde: geen R of s","")))</f>
        <v/>
      </c>
    </row>
    <row r="916">
      <c r="A916" t="n">
        <v>865</v>
      </c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28">
        <f>IF(COUNT(B916:Z916)&gt;0,COUNT(B916:Z916),IF(OR(ISNUMBER(AA916),ISNUMBER(AB916)),$B$9,""))</f>
        <v/>
      </c>
      <c r="AE916" s="29">
        <f>IF(COUNT(B916:Z916)&gt;0,AVERAGE(B916:Z916),IF(ISNUMBER(AA916),AA916,""))</f>
        <v/>
      </c>
      <c r="AF916" s="29">
        <f>IF(COUNT(B916:Z916)&gt;1,MAX(B916:Z916)-MIN(B916:Z916),IF(ISNUMBER(AB916),AB916,""))</f>
        <v/>
      </c>
      <c r="AG916" s="29">
        <f>IF(COUNT(B916:Z916)&gt;1,_xlfn.STDEV.S(B916:Z916),IF(ISNUMBER(AC916),AC916,""))</f>
        <v/>
      </c>
      <c r="AH916" s="13">
        <f>IF(AND(ISNUMBER(AE916),ISNUMBER($B$23),ISNUMBER($D$23)),IF(AE916&gt;$D$23,"boven UCL",IF(AE916&lt;$B$23,"onder LCL","")),"")</f>
        <v/>
      </c>
      <c r="AI916" s="13">
        <f>IF(AND(ISNUMBER(AF916),ISNUMBER($B$24),ISNUMBER($D$24)),IF(AF916&gt;$D$24,"boven UCL",IF(AF916&lt;$B$24,"onder LCL","")),"")</f>
        <v/>
      </c>
      <c r="AJ916" s="13">
        <f>IF(AND(ISNUMBER(AE916),ISNUMBER($B$25),ISNUMBER($D$25)),IF(AE916&gt;$D$25,"boven UCL",IF(AE916&lt;$B$25,"onder LCL","")),"")</f>
        <v/>
      </c>
      <c r="AK916" s="13">
        <f>IF(AND(ISNUMBER(AG916),ISNUMBER($B$26),ISNUMBER($D$26)),IF(AG916&gt;$D$26,"boven UCL",IF(AG916&lt;$B$26,"onder LCL","")),"")</f>
        <v/>
      </c>
      <c r="AL916" s="13">
        <f>IF(AND(COUNT(B916:Z916)&gt;0,COUNT(AA916:AC916)&gt;0),"ruwe waarden én getypt: getypte genegeerd",IF(COUNTA(B916:Z916,AA916:AC916)&gt;COUNT(B916:Z916,AA916:AC916),"tekst telt niet mee",IF(COUNT(B916:Z916)=1,"1 waarde: geen R of s","")))</f>
        <v/>
      </c>
    </row>
    <row r="917">
      <c r="A917" t="n">
        <v>866</v>
      </c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28">
        <f>IF(COUNT(B917:Z917)&gt;0,COUNT(B917:Z917),IF(OR(ISNUMBER(AA917),ISNUMBER(AB917)),$B$9,""))</f>
        <v/>
      </c>
      <c r="AE917" s="29">
        <f>IF(COUNT(B917:Z917)&gt;0,AVERAGE(B917:Z917),IF(ISNUMBER(AA917),AA917,""))</f>
        <v/>
      </c>
      <c r="AF917" s="29">
        <f>IF(COUNT(B917:Z917)&gt;1,MAX(B917:Z917)-MIN(B917:Z917),IF(ISNUMBER(AB917),AB917,""))</f>
        <v/>
      </c>
      <c r="AG917" s="29">
        <f>IF(COUNT(B917:Z917)&gt;1,_xlfn.STDEV.S(B917:Z917),IF(ISNUMBER(AC917),AC917,""))</f>
        <v/>
      </c>
      <c r="AH917" s="13">
        <f>IF(AND(ISNUMBER(AE917),ISNUMBER($B$23),ISNUMBER($D$23)),IF(AE917&gt;$D$23,"boven UCL",IF(AE917&lt;$B$23,"onder LCL","")),"")</f>
        <v/>
      </c>
      <c r="AI917" s="13">
        <f>IF(AND(ISNUMBER(AF917),ISNUMBER($B$24),ISNUMBER($D$24)),IF(AF917&gt;$D$24,"boven UCL",IF(AF917&lt;$B$24,"onder LCL","")),"")</f>
        <v/>
      </c>
      <c r="AJ917" s="13">
        <f>IF(AND(ISNUMBER(AE917),ISNUMBER($B$25),ISNUMBER($D$25)),IF(AE917&gt;$D$25,"boven UCL",IF(AE917&lt;$B$25,"onder LCL","")),"")</f>
        <v/>
      </c>
      <c r="AK917" s="13">
        <f>IF(AND(ISNUMBER(AG917),ISNUMBER($B$26),ISNUMBER($D$26)),IF(AG917&gt;$D$26,"boven UCL",IF(AG917&lt;$B$26,"onder LCL","")),"")</f>
        <v/>
      </c>
      <c r="AL917" s="13">
        <f>IF(AND(COUNT(B917:Z917)&gt;0,COUNT(AA917:AC917)&gt;0),"ruwe waarden én getypt: getypte genegeerd",IF(COUNTA(B917:Z917,AA917:AC917)&gt;COUNT(B917:Z917,AA917:AC917),"tekst telt niet mee",IF(COUNT(B917:Z917)=1,"1 waarde: geen R of s","")))</f>
        <v/>
      </c>
    </row>
    <row r="918">
      <c r="A918" t="n">
        <v>867</v>
      </c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28">
        <f>IF(COUNT(B918:Z918)&gt;0,COUNT(B918:Z918),IF(OR(ISNUMBER(AA918),ISNUMBER(AB918)),$B$9,""))</f>
        <v/>
      </c>
      <c r="AE918" s="29">
        <f>IF(COUNT(B918:Z918)&gt;0,AVERAGE(B918:Z918),IF(ISNUMBER(AA918),AA918,""))</f>
        <v/>
      </c>
      <c r="AF918" s="29">
        <f>IF(COUNT(B918:Z918)&gt;1,MAX(B918:Z918)-MIN(B918:Z918),IF(ISNUMBER(AB918),AB918,""))</f>
        <v/>
      </c>
      <c r="AG918" s="29">
        <f>IF(COUNT(B918:Z918)&gt;1,_xlfn.STDEV.S(B918:Z918),IF(ISNUMBER(AC918),AC918,""))</f>
        <v/>
      </c>
      <c r="AH918" s="13">
        <f>IF(AND(ISNUMBER(AE918),ISNUMBER($B$23),ISNUMBER($D$23)),IF(AE918&gt;$D$23,"boven UCL",IF(AE918&lt;$B$23,"onder LCL","")),"")</f>
        <v/>
      </c>
      <c r="AI918" s="13">
        <f>IF(AND(ISNUMBER(AF918),ISNUMBER($B$24),ISNUMBER($D$24)),IF(AF918&gt;$D$24,"boven UCL",IF(AF918&lt;$B$24,"onder LCL","")),"")</f>
        <v/>
      </c>
      <c r="AJ918" s="13">
        <f>IF(AND(ISNUMBER(AE918),ISNUMBER($B$25),ISNUMBER($D$25)),IF(AE918&gt;$D$25,"boven UCL",IF(AE918&lt;$B$25,"onder LCL","")),"")</f>
        <v/>
      </c>
      <c r="AK918" s="13">
        <f>IF(AND(ISNUMBER(AG918),ISNUMBER($B$26),ISNUMBER($D$26)),IF(AG918&gt;$D$26,"boven UCL",IF(AG918&lt;$B$26,"onder LCL","")),"")</f>
        <v/>
      </c>
      <c r="AL918" s="13">
        <f>IF(AND(COUNT(B918:Z918)&gt;0,COUNT(AA918:AC918)&gt;0),"ruwe waarden én getypt: getypte genegeerd",IF(COUNTA(B918:Z918,AA918:AC918)&gt;COUNT(B918:Z918,AA918:AC918),"tekst telt niet mee",IF(COUNT(B918:Z918)=1,"1 waarde: geen R of s","")))</f>
        <v/>
      </c>
    </row>
    <row r="919">
      <c r="A919" t="n">
        <v>868</v>
      </c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28">
        <f>IF(COUNT(B919:Z919)&gt;0,COUNT(B919:Z919),IF(OR(ISNUMBER(AA919),ISNUMBER(AB919)),$B$9,""))</f>
        <v/>
      </c>
      <c r="AE919" s="29">
        <f>IF(COUNT(B919:Z919)&gt;0,AVERAGE(B919:Z919),IF(ISNUMBER(AA919),AA919,""))</f>
        <v/>
      </c>
      <c r="AF919" s="29">
        <f>IF(COUNT(B919:Z919)&gt;1,MAX(B919:Z919)-MIN(B919:Z919),IF(ISNUMBER(AB919),AB919,""))</f>
        <v/>
      </c>
      <c r="AG919" s="29">
        <f>IF(COUNT(B919:Z919)&gt;1,_xlfn.STDEV.S(B919:Z919),IF(ISNUMBER(AC919),AC919,""))</f>
        <v/>
      </c>
      <c r="AH919" s="13">
        <f>IF(AND(ISNUMBER(AE919),ISNUMBER($B$23),ISNUMBER($D$23)),IF(AE919&gt;$D$23,"boven UCL",IF(AE919&lt;$B$23,"onder LCL","")),"")</f>
        <v/>
      </c>
      <c r="AI919" s="13">
        <f>IF(AND(ISNUMBER(AF919),ISNUMBER($B$24),ISNUMBER($D$24)),IF(AF919&gt;$D$24,"boven UCL",IF(AF919&lt;$B$24,"onder LCL","")),"")</f>
        <v/>
      </c>
      <c r="AJ919" s="13">
        <f>IF(AND(ISNUMBER(AE919),ISNUMBER($B$25),ISNUMBER($D$25)),IF(AE919&gt;$D$25,"boven UCL",IF(AE919&lt;$B$25,"onder LCL","")),"")</f>
        <v/>
      </c>
      <c r="AK919" s="13">
        <f>IF(AND(ISNUMBER(AG919),ISNUMBER($B$26),ISNUMBER($D$26)),IF(AG919&gt;$D$26,"boven UCL",IF(AG919&lt;$B$26,"onder LCL","")),"")</f>
        <v/>
      </c>
      <c r="AL919" s="13">
        <f>IF(AND(COUNT(B919:Z919)&gt;0,COUNT(AA919:AC919)&gt;0),"ruwe waarden én getypt: getypte genegeerd",IF(COUNTA(B919:Z919,AA919:AC919)&gt;COUNT(B919:Z919,AA919:AC919),"tekst telt niet mee",IF(COUNT(B919:Z919)=1,"1 waarde: geen R of s","")))</f>
        <v/>
      </c>
    </row>
    <row r="920">
      <c r="A920" t="n">
        <v>869</v>
      </c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28">
        <f>IF(COUNT(B920:Z920)&gt;0,COUNT(B920:Z920),IF(OR(ISNUMBER(AA920),ISNUMBER(AB920)),$B$9,""))</f>
        <v/>
      </c>
      <c r="AE920" s="29">
        <f>IF(COUNT(B920:Z920)&gt;0,AVERAGE(B920:Z920),IF(ISNUMBER(AA920),AA920,""))</f>
        <v/>
      </c>
      <c r="AF920" s="29">
        <f>IF(COUNT(B920:Z920)&gt;1,MAX(B920:Z920)-MIN(B920:Z920),IF(ISNUMBER(AB920),AB920,""))</f>
        <v/>
      </c>
      <c r="AG920" s="29">
        <f>IF(COUNT(B920:Z920)&gt;1,_xlfn.STDEV.S(B920:Z920),IF(ISNUMBER(AC920),AC920,""))</f>
        <v/>
      </c>
      <c r="AH920" s="13">
        <f>IF(AND(ISNUMBER(AE920),ISNUMBER($B$23),ISNUMBER($D$23)),IF(AE920&gt;$D$23,"boven UCL",IF(AE920&lt;$B$23,"onder LCL","")),"")</f>
        <v/>
      </c>
      <c r="AI920" s="13">
        <f>IF(AND(ISNUMBER(AF920),ISNUMBER($B$24),ISNUMBER($D$24)),IF(AF920&gt;$D$24,"boven UCL",IF(AF920&lt;$B$24,"onder LCL","")),"")</f>
        <v/>
      </c>
      <c r="AJ920" s="13">
        <f>IF(AND(ISNUMBER(AE920),ISNUMBER($B$25),ISNUMBER($D$25)),IF(AE920&gt;$D$25,"boven UCL",IF(AE920&lt;$B$25,"onder LCL","")),"")</f>
        <v/>
      </c>
      <c r="AK920" s="13">
        <f>IF(AND(ISNUMBER(AG920),ISNUMBER($B$26),ISNUMBER($D$26)),IF(AG920&gt;$D$26,"boven UCL",IF(AG920&lt;$B$26,"onder LCL","")),"")</f>
        <v/>
      </c>
      <c r="AL920" s="13">
        <f>IF(AND(COUNT(B920:Z920)&gt;0,COUNT(AA920:AC920)&gt;0),"ruwe waarden én getypt: getypte genegeerd",IF(COUNTA(B920:Z920,AA920:AC920)&gt;COUNT(B920:Z920,AA920:AC920),"tekst telt niet mee",IF(COUNT(B920:Z920)=1,"1 waarde: geen R of s","")))</f>
        <v/>
      </c>
    </row>
    <row r="921">
      <c r="A921" t="n">
        <v>870</v>
      </c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28">
        <f>IF(COUNT(B921:Z921)&gt;0,COUNT(B921:Z921),IF(OR(ISNUMBER(AA921),ISNUMBER(AB921)),$B$9,""))</f>
        <v/>
      </c>
      <c r="AE921" s="29">
        <f>IF(COUNT(B921:Z921)&gt;0,AVERAGE(B921:Z921),IF(ISNUMBER(AA921),AA921,""))</f>
        <v/>
      </c>
      <c r="AF921" s="29">
        <f>IF(COUNT(B921:Z921)&gt;1,MAX(B921:Z921)-MIN(B921:Z921),IF(ISNUMBER(AB921),AB921,""))</f>
        <v/>
      </c>
      <c r="AG921" s="29">
        <f>IF(COUNT(B921:Z921)&gt;1,_xlfn.STDEV.S(B921:Z921),IF(ISNUMBER(AC921),AC921,""))</f>
        <v/>
      </c>
      <c r="AH921" s="13">
        <f>IF(AND(ISNUMBER(AE921),ISNUMBER($B$23),ISNUMBER($D$23)),IF(AE921&gt;$D$23,"boven UCL",IF(AE921&lt;$B$23,"onder LCL","")),"")</f>
        <v/>
      </c>
      <c r="AI921" s="13">
        <f>IF(AND(ISNUMBER(AF921),ISNUMBER($B$24),ISNUMBER($D$24)),IF(AF921&gt;$D$24,"boven UCL",IF(AF921&lt;$B$24,"onder LCL","")),"")</f>
        <v/>
      </c>
      <c r="AJ921" s="13">
        <f>IF(AND(ISNUMBER(AE921),ISNUMBER($B$25),ISNUMBER($D$25)),IF(AE921&gt;$D$25,"boven UCL",IF(AE921&lt;$B$25,"onder LCL","")),"")</f>
        <v/>
      </c>
      <c r="AK921" s="13">
        <f>IF(AND(ISNUMBER(AG921),ISNUMBER($B$26),ISNUMBER($D$26)),IF(AG921&gt;$D$26,"boven UCL",IF(AG921&lt;$B$26,"onder LCL","")),"")</f>
        <v/>
      </c>
      <c r="AL921" s="13">
        <f>IF(AND(COUNT(B921:Z921)&gt;0,COUNT(AA921:AC921)&gt;0),"ruwe waarden én getypt: getypte genegeerd",IF(COUNTA(B921:Z921,AA921:AC921)&gt;COUNT(B921:Z921,AA921:AC921),"tekst telt niet mee",IF(COUNT(B921:Z921)=1,"1 waarde: geen R of s","")))</f>
        <v/>
      </c>
    </row>
    <row r="922">
      <c r="A922" t="n">
        <v>871</v>
      </c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28">
        <f>IF(COUNT(B922:Z922)&gt;0,COUNT(B922:Z922),IF(OR(ISNUMBER(AA922),ISNUMBER(AB922)),$B$9,""))</f>
        <v/>
      </c>
      <c r="AE922" s="29">
        <f>IF(COUNT(B922:Z922)&gt;0,AVERAGE(B922:Z922),IF(ISNUMBER(AA922),AA922,""))</f>
        <v/>
      </c>
      <c r="AF922" s="29">
        <f>IF(COUNT(B922:Z922)&gt;1,MAX(B922:Z922)-MIN(B922:Z922),IF(ISNUMBER(AB922),AB922,""))</f>
        <v/>
      </c>
      <c r="AG922" s="29">
        <f>IF(COUNT(B922:Z922)&gt;1,_xlfn.STDEV.S(B922:Z922),IF(ISNUMBER(AC922),AC922,""))</f>
        <v/>
      </c>
      <c r="AH922" s="13">
        <f>IF(AND(ISNUMBER(AE922),ISNUMBER($B$23),ISNUMBER($D$23)),IF(AE922&gt;$D$23,"boven UCL",IF(AE922&lt;$B$23,"onder LCL","")),"")</f>
        <v/>
      </c>
      <c r="AI922" s="13">
        <f>IF(AND(ISNUMBER(AF922),ISNUMBER($B$24),ISNUMBER($D$24)),IF(AF922&gt;$D$24,"boven UCL",IF(AF922&lt;$B$24,"onder LCL","")),"")</f>
        <v/>
      </c>
      <c r="AJ922" s="13">
        <f>IF(AND(ISNUMBER(AE922),ISNUMBER($B$25),ISNUMBER($D$25)),IF(AE922&gt;$D$25,"boven UCL",IF(AE922&lt;$B$25,"onder LCL","")),"")</f>
        <v/>
      </c>
      <c r="AK922" s="13">
        <f>IF(AND(ISNUMBER(AG922),ISNUMBER($B$26),ISNUMBER($D$26)),IF(AG922&gt;$D$26,"boven UCL",IF(AG922&lt;$B$26,"onder LCL","")),"")</f>
        <v/>
      </c>
      <c r="AL922" s="13">
        <f>IF(AND(COUNT(B922:Z922)&gt;0,COUNT(AA922:AC922)&gt;0),"ruwe waarden én getypt: getypte genegeerd",IF(COUNTA(B922:Z922,AA922:AC922)&gt;COUNT(B922:Z922,AA922:AC922),"tekst telt niet mee",IF(COUNT(B922:Z922)=1,"1 waarde: geen R of s","")))</f>
        <v/>
      </c>
    </row>
    <row r="923">
      <c r="A923" t="n">
        <v>872</v>
      </c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28">
        <f>IF(COUNT(B923:Z923)&gt;0,COUNT(B923:Z923),IF(OR(ISNUMBER(AA923),ISNUMBER(AB923)),$B$9,""))</f>
        <v/>
      </c>
      <c r="AE923" s="29">
        <f>IF(COUNT(B923:Z923)&gt;0,AVERAGE(B923:Z923),IF(ISNUMBER(AA923),AA923,""))</f>
        <v/>
      </c>
      <c r="AF923" s="29">
        <f>IF(COUNT(B923:Z923)&gt;1,MAX(B923:Z923)-MIN(B923:Z923),IF(ISNUMBER(AB923),AB923,""))</f>
        <v/>
      </c>
      <c r="AG923" s="29">
        <f>IF(COUNT(B923:Z923)&gt;1,_xlfn.STDEV.S(B923:Z923),IF(ISNUMBER(AC923),AC923,""))</f>
        <v/>
      </c>
      <c r="AH923" s="13">
        <f>IF(AND(ISNUMBER(AE923),ISNUMBER($B$23),ISNUMBER($D$23)),IF(AE923&gt;$D$23,"boven UCL",IF(AE923&lt;$B$23,"onder LCL","")),"")</f>
        <v/>
      </c>
      <c r="AI923" s="13">
        <f>IF(AND(ISNUMBER(AF923),ISNUMBER($B$24),ISNUMBER($D$24)),IF(AF923&gt;$D$24,"boven UCL",IF(AF923&lt;$B$24,"onder LCL","")),"")</f>
        <v/>
      </c>
      <c r="AJ923" s="13">
        <f>IF(AND(ISNUMBER(AE923),ISNUMBER($B$25),ISNUMBER($D$25)),IF(AE923&gt;$D$25,"boven UCL",IF(AE923&lt;$B$25,"onder LCL","")),"")</f>
        <v/>
      </c>
      <c r="AK923" s="13">
        <f>IF(AND(ISNUMBER(AG923),ISNUMBER($B$26),ISNUMBER($D$26)),IF(AG923&gt;$D$26,"boven UCL",IF(AG923&lt;$B$26,"onder LCL","")),"")</f>
        <v/>
      </c>
      <c r="AL923" s="13">
        <f>IF(AND(COUNT(B923:Z923)&gt;0,COUNT(AA923:AC923)&gt;0),"ruwe waarden én getypt: getypte genegeerd",IF(COUNTA(B923:Z923,AA923:AC923)&gt;COUNT(B923:Z923,AA923:AC923),"tekst telt niet mee",IF(COUNT(B923:Z923)=1,"1 waarde: geen R of s","")))</f>
        <v/>
      </c>
    </row>
    <row r="924">
      <c r="A924" t="n">
        <v>873</v>
      </c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28">
        <f>IF(COUNT(B924:Z924)&gt;0,COUNT(B924:Z924),IF(OR(ISNUMBER(AA924),ISNUMBER(AB924)),$B$9,""))</f>
        <v/>
      </c>
      <c r="AE924" s="29">
        <f>IF(COUNT(B924:Z924)&gt;0,AVERAGE(B924:Z924),IF(ISNUMBER(AA924),AA924,""))</f>
        <v/>
      </c>
      <c r="AF924" s="29">
        <f>IF(COUNT(B924:Z924)&gt;1,MAX(B924:Z924)-MIN(B924:Z924),IF(ISNUMBER(AB924),AB924,""))</f>
        <v/>
      </c>
      <c r="AG924" s="29">
        <f>IF(COUNT(B924:Z924)&gt;1,_xlfn.STDEV.S(B924:Z924),IF(ISNUMBER(AC924),AC924,""))</f>
        <v/>
      </c>
      <c r="AH924" s="13">
        <f>IF(AND(ISNUMBER(AE924),ISNUMBER($B$23),ISNUMBER($D$23)),IF(AE924&gt;$D$23,"boven UCL",IF(AE924&lt;$B$23,"onder LCL","")),"")</f>
        <v/>
      </c>
      <c r="AI924" s="13">
        <f>IF(AND(ISNUMBER(AF924),ISNUMBER($B$24),ISNUMBER($D$24)),IF(AF924&gt;$D$24,"boven UCL",IF(AF924&lt;$B$24,"onder LCL","")),"")</f>
        <v/>
      </c>
      <c r="AJ924" s="13">
        <f>IF(AND(ISNUMBER(AE924),ISNUMBER($B$25),ISNUMBER($D$25)),IF(AE924&gt;$D$25,"boven UCL",IF(AE924&lt;$B$25,"onder LCL","")),"")</f>
        <v/>
      </c>
      <c r="AK924" s="13">
        <f>IF(AND(ISNUMBER(AG924),ISNUMBER($B$26),ISNUMBER($D$26)),IF(AG924&gt;$D$26,"boven UCL",IF(AG924&lt;$B$26,"onder LCL","")),"")</f>
        <v/>
      </c>
      <c r="AL924" s="13">
        <f>IF(AND(COUNT(B924:Z924)&gt;0,COUNT(AA924:AC924)&gt;0),"ruwe waarden én getypt: getypte genegeerd",IF(COUNTA(B924:Z924,AA924:AC924)&gt;COUNT(B924:Z924,AA924:AC924),"tekst telt niet mee",IF(COUNT(B924:Z924)=1,"1 waarde: geen R of s","")))</f>
        <v/>
      </c>
    </row>
    <row r="925">
      <c r="A925" t="n">
        <v>874</v>
      </c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28">
        <f>IF(COUNT(B925:Z925)&gt;0,COUNT(B925:Z925),IF(OR(ISNUMBER(AA925),ISNUMBER(AB925)),$B$9,""))</f>
        <v/>
      </c>
      <c r="AE925" s="29">
        <f>IF(COUNT(B925:Z925)&gt;0,AVERAGE(B925:Z925),IF(ISNUMBER(AA925),AA925,""))</f>
        <v/>
      </c>
      <c r="AF925" s="29">
        <f>IF(COUNT(B925:Z925)&gt;1,MAX(B925:Z925)-MIN(B925:Z925),IF(ISNUMBER(AB925),AB925,""))</f>
        <v/>
      </c>
      <c r="AG925" s="29">
        <f>IF(COUNT(B925:Z925)&gt;1,_xlfn.STDEV.S(B925:Z925),IF(ISNUMBER(AC925),AC925,""))</f>
        <v/>
      </c>
      <c r="AH925" s="13">
        <f>IF(AND(ISNUMBER(AE925),ISNUMBER($B$23),ISNUMBER($D$23)),IF(AE925&gt;$D$23,"boven UCL",IF(AE925&lt;$B$23,"onder LCL","")),"")</f>
        <v/>
      </c>
      <c r="AI925" s="13">
        <f>IF(AND(ISNUMBER(AF925),ISNUMBER($B$24),ISNUMBER($D$24)),IF(AF925&gt;$D$24,"boven UCL",IF(AF925&lt;$B$24,"onder LCL","")),"")</f>
        <v/>
      </c>
      <c r="AJ925" s="13">
        <f>IF(AND(ISNUMBER(AE925),ISNUMBER($B$25),ISNUMBER($D$25)),IF(AE925&gt;$D$25,"boven UCL",IF(AE925&lt;$B$25,"onder LCL","")),"")</f>
        <v/>
      </c>
      <c r="AK925" s="13">
        <f>IF(AND(ISNUMBER(AG925),ISNUMBER($B$26),ISNUMBER($D$26)),IF(AG925&gt;$D$26,"boven UCL",IF(AG925&lt;$B$26,"onder LCL","")),"")</f>
        <v/>
      </c>
      <c r="AL925" s="13">
        <f>IF(AND(COUNT(B925:Z925)&gt;0,COUNT(AA925:AC925)&gt;0),"ruwe waarden én getypt: getypte genegeerd",IF(COUNTA(B925:Z925,AA925:AC925)&gt;COUNT(B925:Z925,AA925:AC925),"tekst telt niet mee",IF(COUNT(B925:Z925)=1,"1 waarde: geen R of s","")))</f>
        <v/>
      </c>
    </row>
    <row r="926">
      <c r="A926" t="n">
        <v>875</v>
      </c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28">
        <f>IF(COUNT(B926:Z926)&gt;0,COUNT(B926:Z926),IF(OR(ISNUMBER(AA926),ISNUMBER(AB926)),$B$9,""))</f>
        <v/>
      </c>
      <c r="AE926" s="29">
        <f>IF(COUNT(B926:Z926)&gt;0,AVERAGE(B926:Z926),IF(ISNUMBER(AA926),AA926,""))</f>
        <v/>
      </c>
      <c r="AF926" s="29">
        <f>IF(COUNT(B926:Z926)&gt;1,MAX(B926:Z926)-MIN(B926:Z926),IF(ISNUMBER(AB926),AB926,""))</f>
        <v/>
      </c>
      <c r="AG926" s="29">
        <f>IF(COUNT(B926:Z926)&gt;1,_xlfn.STDEV.S(B926:Z926),IF(ISNUMBER(AC926),AC926,""))</f>
        <v/>
      </c>
      <c r="AH926" s="13">
        <f>IF(AND(ISNUMBER(AE926),ISNUMBER($B$23),ISNUMBER($D$23)),IF(AE926&gt;$D$23,"boven UCL",IF(AE926&lt;$B$23,"onder LCL","")),"")</f>
        <v/>
      </c>
      <c r="AI926" s="13">
        <f>IF(AND(ISNUMBER(AF926),ISNUMBER($B$24),ISNUMBER($D$24)),IF(AF926&gt;$D$24,"boven UCL",IF(AF926&lt;$B$24,"onder LCL","")),"")</f>
        <v/>
      </c>
      <c r="AJ926" s="13">
        <f>IF(AND(ISNUMBER(AE926),ISNUMBER($B$25),ISNUMBER($D$25)),IF(AE926&gt;$D$25,"boven UCL",IF(AE926&lt;$B$25,"onder LCL","")),"")</f>
        <v/>
      </c>
      <c r="AK926" s="13">
        <f>IF(AND(ISNUMBER(AG926),ISNUMBER($B$26),ISNUMBER($D$26)),IF(AG926&gt;$D$26,"boven UCL",IF(AG926&lt;$B$26,"onder LCL","")),"")</f>
        <v/>
      </c>
      <c r="AL926" s="13">
        <f>IF(AND(COUNT(B926:Z926)&gt;0,COUNT(AA926:AC926)&gt;0),"ruwe waarden én getypt: getypte genegeerd",IF(COUNTA(B926:Z926,AA926:AC926)&gt;COUNT(B926:Z926,AA926:AC926),"tekst telt niet mee",IF(COUNT(B926:Z926)=1,"1 waarde: geen R of s","")))</f>
        <v/>
      </c>
    </row>
    <row r="927">
      <c r="A927" t="n">
        <v>876</v>
      </c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28">
        <f>IF(COUNT(B927:Z927)&gt;0,COUNT(B927:Z927),IF(OR(ISNUMBER(AA927),ISNUMBER(AB927)),$B$9,""))</f>
        <v/>
      </c>
      <c r="AE927" s="29">
        <f>IF(COUNT(B927:Z927)&gt;0,AVERAGE(B927:Z927),IF(ISNUMBER(AA927),AA927,""))</f>
        <v/>
      </c>
      <c r="AF927" s="29">
        <f>IF(COUNT(B927:Z927)&gt;1,MAX(B927:Z927)-MIN(B927:Z927),IF(ISNUMBER(AB927),AB927,""))</f>
        <v/>
      </c>
      <c r="AG927" s="29">
        <f>IF(COUNT(B927:Z927)&gt;1,_xlfn.STDEV.S(B927:Z927),IF(ISNUMBER(AC927),AC927,""))</f>
        <v/>
      </c>
      <c r="AH927" s="13">
        <f>IF(AND(ISNUMBER(AE927),ISNUMBER($B$23),ISNUMBER($D$23)),IF(AE927&gt;$D$23,"boven UCL",IF(AE927&lt;$B$23,"onder LCL","")),"")</f>
        <v/>
      </c>
      <c r="AI927" s="13">
        <f>IF(AND(ISNUMBER(AF927),ISNUMBER($B$24),ISNUMBER($D$24)),IF(AF927&gt;$D$24,"boven UCL",IF(AF927&lt;$B$24,"onder LCL","")),"")</f>
        <v/>
      </c>
      <c r="AJ927" s="13">
        <f>IF(AND(ISNUMBER(AE927),ISNUMBER($B$25),ISNUMBER($D$25)),IF(AE927&gt;$D$25,"boven UCL",IF(AE927&lt;$B$25,"onder LCL","")),"")</f>
        <v/>
      </c>
      <c r="AK927" s="13">
        <f>IF(AND(ISNUMBER(AG927),ISNUMBER($B$26),ISNUMBER($D$26)),IF(AG927&gt;$D$26,"boven UCL",IF(AG927&lt;$B$26,"onder LCL","")),"")</f>
        <v/>
      </c>
      <c r="AL927" s="13">
        <f>IF(AND(COUNT(B927:Z927)&gt;0,COUNT(AA927:AC927)&gt;0),"ruwe waarden én getypt: getypte genegeerd",IF(COUNTA(B927:Z927,AA927:AC927)&gt;COUNT(B927:Z927,AA927:AC927),"tekst telt niet mee",IF(COUNT(B927:Z927)=1,"1 waarde: geen R of s","")))</f>
        <v/>
      </c>
    </row>
    <row r="928">
      <c r="A928" t="n">
        <v>877</v>
      </c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28">
        <f>IF(COUNT(B928:Z928)&gt;0,COUNT(B928:Z928),IF(OR(ISNUMBER(AA928),ISNUMBER(AB928)),$B$9,""))</f>
        <v/>
      </c>
      <c r="AE928" s="29">
        <f>IF(COUNT(B928:Z928)&gt;0,AVERAGE(B928:Z928),IF(ISNUMBER(AA928),AA928,""))</f>
        <v/>
      </c>
      <c r="AF928" s="29">
        <f>IF(COUNT(B928:Z928)&gt;1,MAX(B928:Z928)-MIN(B928:Z928),IF(ISNUMBER(AB928),AB928,""))</f>
        <v/>
      </c>
      <c r="AG928" s="29">
        <f>IF(COUNT(B928:Z928)&gt;1,_xlfn.STDEV.S(B928:Z928),IF(ISNUMBER(AC928),AC928,""))</f>
        <v/>
      </c>
      <c r="AH928" s="13">
        <f>IF(AND(ISNUMBER(AE928),ISNUMBER($B$23),ISNUMBER($D$23)),IF(AE928&gt;$D$23,"boven UCL",IF(AE928&lt;$B$23,"onder LCL","")),"")</f>
        <v/>
      </c>
      <c r="AI928" s="13">
        <f>IF(AND(ISNUMBER(AF928),ISNUMBER($B$24),ISNUMBER($D$24)),IF(AF928&gt;$D$24,"boven UCL",IF(AF928&lt;$B$24,"onder LCL","")),"")</f>
        <v/>
      </c>
      <c r="AJ928" s="13">
        <f>IF(AND(ISNUMBER(AE928),ISNUMBER($B$25),ISNUMBER($D$25)),IF(AE928&gt;$D$25,"boven UCL",IF(AE928&lt;$B$25,"onder LCL","")),"")</f>
        <v/>
      </c>
      <c r="AK928" s="13">
        <f>IF(AND(ISNUMBER(AG928),ISNUMBER($B$26),ISNUMBER($D$26)),IF(AG928&gt;$D$26,"boven UCL",IF(AG928&lt;$B$26,"onder LCL","")),"")</f>
        <v/>
      </c>
      <c r="AL928" s="13">
        <f>IF(AND(COUNT(B928:Z928)&gt;0,COUNT(AA928:AC928)&gt;0),"ruwe waarden én getypt: getypte genegeerd",IF(COUNTA(B928:Z928,AA928:AC928)&gt;COUNT(B928:Z928,AA928:AC928),"tekst telt niet mee",IF(COUNT(B928:Z928)=1,"1 waarde: geen R of s","")))</f>
        <v/>
      </c>
    </row>
    <row r="929">
      <c r="A929" t="n">
        <v>878</v>
      </c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28">
        <f>IF(COUNT(B929:Z929)&gt;0,COUNT(B929:Z929),IF(OR(ISNUMBER(AA929),ISNUMBER(AB929)),$B$9,""))</f>
        <v/>
      </c>
      <c r="AE929" s="29">
        <f>IF(COUNT(B929:Z929)&gt;0,AVERAGE(B929:Z929),IF(ISNUMBER(AA929),AA929,""))</f>
        <v/>
      </c>
      <c r="AF929" s="29">
        <f>IF(COUNT(B929:Z929)&gt;1,MAX(B929:Z929)-MIN(B929:Z929),IF(ISNUMBER(AB929),AB929,""))</f>
        <v/>
      </c>
      <c r="AG929" s="29">
        <f>IF(COUNT(B929:Z929)&gt;1,_xlfn.STDEV.S(B929:Z929),IF(ISNUMBER(AC929),AC929,""))</f>
        <v/>
      </c>
      <c r="AH929" s="13">
        <f>IF(AND(ISNUMBER(AE929),ISNUMBER($B$23),ISNUMBER($D$23)),IF(AE929&gt;$D$23,"boven UCL",IF(AE929&lt;$B$23,"onder LCL","")),"")</f>
        <v/>
      </c>
      <c r="AI929" s="13">
        <f>IF(AND(ISNUMBER(AF929),ISNUMBER($B$24),ISNUMBER($D$24)),IF(AF929&gt;$D$24,"boven UCL",IF(AF929&lt;$B$24,"onder LCL","")),"")</f>
        <v/>
      </c>
      <c r="AJ929" s="13">
        <f>IF(AND(ISNUMBER(AE929),ISNUMBER($B$25),ISNUMBER($D$25)),IF(AE929&gt;$D$25,"boven UCL",IF(AE929&lt;$B$25,"onder LCL","")),"")</f>
        <v/>
      </c>
      <c r="AK929" s="13">
        <f>IF(AND(ISNUMBER(AG929),ISNUMBER($B$26),ISNUMBER($D$26)),IF(AG929&gt;$D$26,"boven UCL",IF(AG929&lt;$B$26,"onder LCL","")),"")</f>
        <v/>
      </c>
      <c r="AL929" s="13">
        <f>IF(AND(COUNT(B929:Z929)&gt;0,COUNT(AA929:AC929)&gt;0),"ruwe waarden én getypt: getypte genegeerd",IF(COUNTA(B929:Z929,AA929:AC929)&gt;COUNT(B929:Z929,AA929:AC929),"tekst telt niet mee",IF(COUNT(B929:Z929)=1,"1 waarde: geen R of s","")))</f>
        <v/>
      </c>
    </row>
    <row r="930">
      <c r="A930" t="n">
        <v>879</v>
      </c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28">
        <f>IF(COUNT(B930:Z930)&gt;0,COUNT(B930:Z930),IF(OR(ISNUMBER(AA930),ISNUMBER(AB930)),$B$9,""))</f>
        <v/>
      </c>
      <c r="AE930" s="29">
        <f>IF(COUNT(B930:Z930)&gt;0,AVERAGE(B930:Z930),IF(ISNUMBER(AA930),AA930,""))</f>
        <v/>
      </c>
      <c r="AF930" s="29">
        <f>IF(COUNT(B930:Z930)&gt;1,MAX(B930:Z930)-MIN(B930:Z930),IF(ISNUMBER(AB930),AB930,""))</f>
        <v/>
      </c>
      <c r="AG930" s="29">
        <f>IF(COUNT(B930:Z930)&gt;1,_xlfn.STDEV.S(B930:Z930),IF(ISNUMBER(AC930),AC930,""))</f>
        <v/>
      </c>
      <c r="AH930" s="13">
        <f>IF(AND(ISNUMBER(AE930),ISNUMBER($B$23),ISNUMBER($D$23)),IF(AE930&gt;$D$23,"boven UCL",IF(AE930&lt;$B$23,"onder LCL","")),"")</f>
        <v/>
      </c>
      <c r="AI930" s="13">
        <f>IF(AND(ISNUMBER(AF930),ISNUMBER($B$24),ISNUMBER($D$24)),IF(AF930&gt;$D$24,"boven UCL",IF(AF930&lt;$B$24,"onder LCL","")),"")</f>
        <v/>
      </c>
      <c r="AJ930" s="13">
        <f>IF(AND(ISNUMBER(AE930),ISNUMBER($B$25),ISNUMBER($D$25)),IF(AE930&gt;$D$25,"boven UCL",IF(AE930&lt;$B$25,"onder LCL","")),"")</f>
        <v/>
      </c>
      <c r="AK930" s="13">
        <f>IF(AND(ISNUMBER(AG930),ISNUMBER($B$26),ISNUMBER($D$26)),IF(AG930&gt;$D$26,"boven UCL",IF(AG930&lt;$B$26,"onder LCL","")),"")</f>
        <v/>
      </c>
      <c r="AL930" s="13">
        <f>IF(AND(COUNT(B930:Z930)&gt;0,COUNT(AA930:AC930)&gt;0),"ruwe waarden én getypt: getypte genegeerd",IF(COUNTA(B930:Z930,AA930:AC930)&gt;COUNT(B930:Z930,AA930:AC930),"tekst telt niet mee",IF(COUNT(B930:Z930)=1,"1 waarde: geen R of s","")))</f>
        <v/>
      </c>
    </row>
    <row r="931">
      <c r="A931" t="n">
        <v>880</v>
      </c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28">
        <f>IF(COUNT(B931:Z931)&gt;0,COUNT(B931:Z931),IF(OR(ISNUMBER(AA931),ISNUMBER(AB931)),$B$9,""))</f>
        <v/>
      </c>
      <c r="AE931" s="29">
        <f>IF(COUNT(B931:Z931)&gt;0,AVERAGE(B931:Z931),IF(ISNUMBER(AA931),AA931,""))</f>
        <v/>
      </c>
      <c r="AF931" s="29">
        <f>IF(COUNT(B931:Z931)&gt;1,MAX(B931:Z931)-MIN(B931:Z931),IF(ISNUMBER(AB931),AB931,""))</f>
        <v/>
      </c>
      <c r="AG931" s="29">
        <f>IF(COUNT(B931:Z931)&gt;1,_xlfn.STDEV.S(B931:Z931),IF(ISNUMBER(AC931),AC931,""))</f>
        <v/>
      </c>
      <c r="AH931" s="13">
        <f>IF(AND(ISNUMBER(AE931),ISNUMBER($B$23),ISNUMBER($D$23)),IF(AE931&gt;$D$23,"boven UCL",IF(AE931&lt;$B$23,"onder LCL","")),"")</f>
        <v/>
      </c>
      <c r="AI931" s="13">
        <f>IF(AND(ISNUMBER(AF931),ISNUMBER($B$24),ISNUMBER($D$24)),IF(AF931&gt;$D$24,"boven UCL",IF(AF931&lt;$B$24,"onder LCL","")),"")</f>
        <v/>
      </c>
      <c r="AJ931" s="13">
        <f>IF(AND(ISNUMBER(AE931),ISNUMBER($B$25),ISNUMBER($D$25)),IF(AE931&gt;$D$25,"boven UCL",IF(AE931&lt;$B$25,"onder LCL","")),"")</f>
        <v/>
      </c>
      <c r="AK931" s="13">
        <f>IF(AND(ISNUMBER(AG931),ISNUMBER($B$26),ISNUMBER($D$26)),IF(AG931&gt;$D$26,"boven UCL",IF(AG931&lt;$B$26,"onder LCL","")),"")</f>
        <v/>
      </c>
      <c r="AL931" s="13">
        <f>IF(AND(COUNT(B931:Z931)&gt;0,COUNT(AA931:AC931)&gt;0),"ruwe waarden én getypt: getypte genegeerd",IF(COUNTA(B931:Z931,AA931:AC931)&gt;COUNT(B931:Z931,AA931:AC931),"tekst telt niet mee",IF(COUNT(B931:Z931)=1,"1 waarde: geen R of s","")))</f>
        <v/>
      </c>
    </row>
    <row r="932">
      <c r="A932" t="n">
        <v>881</v>
      </c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28">
        <f>IF(COUNT(B932:Z932)&gt;0,COUNT(B932:Z932),IF(OR(ISNUMBER(AA932),ISNUMBER(AB932)),$B$9,""))</f>
        <v/>
      </c>
      <c r="AE932" s="29">
        <f>IF(COUNT(B932:Z932)&gt;0,AVERAGE(B932:Z932),IF(ISNUMBER(AA932),AA932,""))</f>
        <v/>
      </c>
      <c r="AF932" s="29">
        <f>IF(COUNT(B932:Z932)&gt;1,MAX(B932:Z932)-MIN(B932:Z932),IF(ISNUMBER(AB932),AB932,""))</f>
        <v/>
      </c>
      <c r="AG932" s="29">
        <f>IF(COUNT(B932:Z932)&gt;1,_xlfn.STDEV.S(B932:Z932),IF(ISNUMBER(AC932),AC932,""))</f>
        <v/>
      </c>
      <c r="AH932" s="13">
        <f>IF(AND(ISNUMBER(AE932),ISNUMBER($B$23),ISNUMBER($D$23)),IF(AE932&gt;$D$23,"boven UCL",IF(AE932&lt;$B$23,"onder LCL","")),"")</f>
        <v/>
      </c>
      <c r="AI932" s="13">
        <f>IF(AND(ISNUMBER(AF932),ISNUMBER($B$24),ISNUMBER($D$24)),IF(AF932&gt;$D$24,"boven UCL",IF(AF932&lt;$B$24,"onder LCL","")),"")</f>
        <v/>
      </c>
      <c r="AJ932" s="13">
        <f>IF(AND(ISNUMBER(AE932),ISNUMBER($B$25),ISNUMBER($D$25)),IF(AE932&gt;$D$25,"boven UCL",IF(AE932&lt;$B$25,"onder LCL","")),"")</f>
        <v/>
      </c>
      <c r="AK932" s="13">
        <f>IF(AND(ISNUMBER(AG932),ISNUMBER($B$26),ISNUMBER($D$26)),IF(AG932&gt;$D$26,"boven UCL",IF(AG932&lt;$B$26,"onder LCL","")),"")</f>
        <v/>
      </c>
      <c r="AL932" s="13">
        <f>IF(AND(COUNT(B932:Z932)&gt;0,COUNT(AA932:AC932)&gt;0),"ruwe waarden én getypt: getypte genegeerd",IF(COUNTA(B932:Z932,AA932:AC932)&gt;COUNT(B932:Z932,AA932:AC932),"tekst telt niet mee",IF(COUNT(B932:Z932)=1,"1 waarde: geen R of s","")))</f>
        <v/>
      </c>
    </row>
    <row r="933">
      <c r="A933" t="n">
        <v>882</v>
      </c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28">
        <f>IF(COUNT(B933:Z933)&gt;0,COUNT(B933:Z933),IF(OR(ISNUMBER(AA933),ISNUMBER(AB933)),$B$9,""))</f>
        <v/>
      </c>
      <c r="AE933" s="29">
        <f>IF(COUNT(B933:Z933)&gt;0,AVERAGE(B933:Z933),IF(ISNUMBER(AA933),AA933,""))</f>
        <v/>
      </c>
      <c r="AF933" s="29">
        <f>IF(COUNT(B933:Z933)&gt;1,MAX(B933:Z933)-MIN(B933:Z933),IF(ISNUMBER(AB933),AB933,""))</f>
        <v/>
      </c>
      <c r="AG933" s="29">
        <f>IF(COUNT(B933:Z933)&gt;1,_xlfn.STDEV.S(B933:Z933),IF(ISNUMBER(AC933),AC933,""))</f>
        <v/>
      </c>
      <c r="AH933" s="13">
        <f>IF(AND(ISNUMBER(AE933),ISNUMBER($B$23),ISNUMBER($D$23)),IF(AE933&gt;$D$23,"boven UCL",IF(AE933&lt;$B$23,"onder LCL","")),"")</f>
        <v/>
      </c>
      <c r="AI933" s="13">
        <f>IF(AND(ISNUMBER(AF933),ISNUMBER($B$24),ISNUMBER($D$24)),IF(AF933&gt;$D$24,"boven UCL",IF(AF933&lt;$B$24,"onder LCL","")),"")</f>
        <v/>
      </c>
      <c r="AJ933" s="13">
        <f>IF(AND(ISNUMBER(AE933),ISNUMBER($B$25),ISNUMBER($D$25)),IF(AE933&gt;$D$25,"boven UCL",IF(AE933&lt;$B$25,"onder LCL","")),"")</f>
        <v/>
      </c>
      <c r="AK933" s="13">
        <f>IF(AND(ISNUMBER(AG933),ISNUMBER($B$26),ISNUMBER($D$26)),IF(AG933&gt;$D$26,"boven UCL",IF(AG933&lt;$B$26,"onder LCL","")),"")</f>
        <v/>
      </c>
      <c r="AL933" s="13">
        <f>IF(AND(COUNT(B933:Z933)&gt;0,COUNT(AA933:AC933)&gt;0),"ruwe waarden én getypt: getypte genegeerd",IF(COUNTA(B933:Z933,AA933:AC933)&gt;COUNT(B933:Z933,AA933:AC933),"tekst telt niet mee",IF(COUNT(B933:Z933)=1,"1 waarde: geen R of s","")))</f>
        <v/>
      </c>
    </row>
    <row r="934">
      <c r="A934" t="n">
        <v>883</v>
      </c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28">
        <f>IF(COUNT(B934:Z934)&gt;0,COUNT(B934:Z934),IF(OR(ISNUMBER(AA934),ISNUMBER(AB934)),$B$9,""))</f>
        <v/>
      </c>
      <c r="AE934" s="29">
        <f>IF(COUNT(B934:Z934)&gt;0,AVERAGE(B934:Z934),IF(ISNUMBER(AA934),AA934,""))</f>
        <v/>
      </c>
      <c r="AF934" s="29">
        <f>IF(COUNT(B934:Z934)&gt;1,MAX(B934:Z934)-MIN(B934:Z934),IF(ISNUMBER(AB934),AB934,""))</f>
        <v/>
      </c>
      <c r="AG934" s="29">
        <f>IF(COUNT(B934:Z934)&gt;1,_xlfn.STDEV.S(B934:Z934),IF(ISNUMBER(AC934),AC934,""))</f>
        <v/>
      </c>
      <c r="AH934" s="13">
        <f>IF(AND(ISNUMBER(AE934),ISNUMBER($B$23),ISNUMBER($D$23)),IF(AE934&gt;$D$23,"boven UCL",IF(AE934&lt;$B$23,"onder LCL","")),"")</f>
        <v/>
      </c>
      <c r="AI934" s="13">
        <f>IF(AND(ISNUMBER(AF934),ISNUMBER($B$24),ISNUMBER($D$24)),IF(AF934&gt;$D$24,"boven UCL",IF(AF934&lt;$B$24,"onder LCL","")),"")</f>
        <v/>
      </c>
      <c r="AJ934" s="13">
        <f>IF(AND(ISNUMBER(AE934),ISNUMBER($B$25),ISNUMBER($D$25)),IF(AE934&gt;$D$25,"boven UCL",IF(AE934&lt;$B$25,"onder LCL","")),"")</f>
        <v/>
      </c>
      <c r="AK934" s="13">
        <f>IF(AND(ISNUMBER(AG934),ISNUMBER($B$26),ISNUMBER($D$26)),IF(AG934&gt;$D$26,"boven UCL",IF(AG934&lt;$B$26,"onder LCL","")),"")</f>
        <v/>
      </c>
      <c r="AL934" s="13">
        <f>IF(AND(COUNT(B934:Z934)&gt;0,COUNT(AA934:AC934)&gt;0),"ruwe waarden én getypt: getypte genegeerd",IF(COUNTA(B934:Z934,AA934:AC934)&gt;COUNT(B934:Z934,AA934:AC934),"tekst telt niet mee",IF(COUNT(B934:Z934)=1,"1 waarde: geen R of s","")))</f>
        <v/>
      </c>
    </row>
    <row r="935">
      <c r="A935" t="n">
        <v>884</v>
      </c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28">
        <f>IF(COUNT(B935:Z935)&gt;0,COUNT(B935:Z935),IF(OR(ISNUMBER(AA935),ISNUMBER(AB935)),$B$9,""))</f>
        <v/>
      </c>
      <c r="AE935" s="29">
        <f>IF(COUNT(B935:Z935)&gt;0,AVERAGE(B935:Z935),IF(ISNUMBER(AA935),AA935,""))</f>
        <v/>
      </c>
      <c r="AF935" s="29">
        <f>IF(COUNT(B935:Z935)&gt;1,MAX(B935:Z935)-MIN(B935:Z935),IF(ISNUMBER(AB935),AB935,""))</f>
        <v/>
      </c>
      <c r="AG935" s="29">
        <f>IF(COUNT(B935:Z935)&gt;1,_xlfn.STDEV.S(B935:Z935),IF(ISNUMBER(AC935),AC935,""))</f>
        <v/>
      </c>
      <c r="AH935" s="13">
        <f>IF(AND(ISNUMBER(AE935),ISNUMBER($B$23),ISNUMBER($D$23)),IF(AE935&gt;$D$23,"boven UCL",IF(AE935&lt;$B$23,"onder LCL","")),"")</f>
        <v/>
      </c>
      <c r="AI935" s="13">
        <f>IF(AND(ISNUMBER(AF935),ISNUMBER($B$24),ISNUMBER($D$24)),IF(AF935&gt;$D$24,"boven UCL",IF(AF935&lt;$B$24,"onder LCL","")),"")</f>
        <v/>
      </c>
      <c r="AJ935" s="13">
        <f>IF(AND(ISNUMBER(AE935),ISNUMBER($B$25),ISNUMBER($D$25)),IF(AE935&gt;$D$25,"boven UCL",IF(AE935&lt;$B$25,"onder LCL","")),"")</f>
        <v/>
      </c>
      <c r="AK935" s="13">
        <f>IF(AND(ISNUMBER(AG935),ISNUMBER($B$26),ISNUMBER($D$26)),IF(AG935&gt;$D$26,"boven UCL",IF(AG935&lt;$B$26,"onder LCL","")),"")</f>
        <v/>
      </c>
      <c r="AL935" s="13">
        <f>IF(AND(COUNT(B935:Z935)&gt;0,COUNT(AA935:AC935)&gt;0),"ruwe waarden én getypt: getypte genegeerd",IF(COUNTA(B935:Z935,AA935:AC935)&gt;COUNT(B935:Z935,AA935:AC935),"tekst telt niet mee",IF(COUNT(B935:Z935)=1,"1 waarde: geen R of s","")))</f>
        <v/>
      </c>
    </row>
    <row r="936">
      <c r="A936" t="n">
        <v>885</v>
      </c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28">
        <f>IF(COUNT(B936:Z936)&gt;0,COUNT(B936:Z936),IF(OR(ISNUMBER(AA936),ISNUMBER(AB936)),$B$9,""))</f>
        <v/>
      </c>
      <c r="AE936" s="29">
        <f>IF(COUNT(B936:Z936)&gt;0,AVERAGE(B936:Z936),IF(ISNUMBER(AA936),AA936,""))</f>
        <v/>
      </c>
      <c r="AF936" s="29">
        <f>IF(COUNT(B936:Z936)&gt;1,MAX(B936:Z936)-MIN(B936:Z936),IF(ISNUMBER(AB936),AB936,""))</f>
        <v/>
      </c>
      <c r="AG936" s="29">
        <f>IF(COUNT(B936:Z936)&gt;1,_xlfn.STDEV.S(B936:Z936),IF(ISNUMBER(AC936),AC936,""))</f>
        <v/>
      </c>
      <c r="AH936" s="13">
        <f>IF(AND(ISNUMBER(AE936),ISNUMBER($B$23),ISNUMBER($D$23)),IF(AE936&gt;$D$23,"boven UCL",IF(AE936&lt;$B$23,"onder LCL","")),"")</f>
        <v/>
      </c>
      <c r="AI936" s="13">
        <f>IF(AND(ISNUMBER(AF936),ISNUMBER($B$24),ISNUMBER($D$24)),IF(AF936&gt;$D$24,"boven UCL",IF(AF936&lt;$B$24,"onder LCL","")),"")</f>
        <v/>
      </c>
      <c r="AJ936" s="13">
        <f>IF(AND(ISNUMBER(AE936),ISNUMBER($B$25),ISNUMBER($D$25)),IF(AE936&gt;$D$25,"boven UCL",IF(AE936&lt;$B$25,"onder LCL","")),"")</f>
        <v/>
      </c>
      <c r="AK936" s="13">
        <f>IF(AND(ISNUMBER(AG936),ISNUMBER($B$26),ISNUMBER($D$26)),IF(AG936&gt;$D$26,"boven UCL",IF(AG936&lt;$B$26,"onder LCL","")),"")</f>
        <v/>
      </c>
      <c r="AL936" s="13">
        <f>IF(AND(COUNT(B936:Z936)&gt;0,COUNT(AA936:AC936)&gt;0),"ruwe waarden én getypt: getypte genegeerd",IF(COUNTA(B936:Z936,AA936:AC936)&gt;COUNT(B936:Z936,AA936:AC936),"tekst telt niet mee",IF(COUNT(B936:Z936)=1,"1 waarde: geen R of s","")))</f>
        <v/>
      </c>
    </row>
    <row r="937">
      <c r="A937" t="n">
        <v>886</v>
      </c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28">
        <f>IF(COUNT(B937:Z937)&gt;0,COUNT(B937:Z937),IF(OR(ISNUMBER(AA937),ISNUMBER(AB937)),$B$9,""))</f>
        <v/>
      </c>
      <c r="AE937" s="29">
        <f>IF(COUNT(B937:Z937)&gt;0,AVERAGE(B937:Z937),IF(ISNUMBER(AA937),AA937,""))</f>
        <v/>
      </c>
      <c r="AF937" s="29">
        <f>IF(COUNT(B937:Z937)&gt;1,MAX(B937:Z937)-MIN(B937:Z937),IF(ISNUMBER(AB937),AB937,""))</f>
        <v/>
      </c>
      <c r="AG937" s="29">
        <f>IF(COUNT(B937:Z937)&gt;1,_xlfn.STDEV.S(B937:Z937),IF(ISNUMBER(AC937),AC937,""))</f>
        <v/>
      </c>
      <c r="AH937" s="13">
        <f>IF(AND(ISNUMBER(AE937),ISNUMBER($B$23),ISNUMBER($D$23)),IF(AE937&gt;$D$23,"boven UCL",IF(AE937&lt;$B$23,"onder LCL","")),"")</f>
        <v/>
      </c>
      <c r="AI937" s="13">
        <f>IF(AND(ISNUMBER(AF937),ISNUMBER($B$24),ISNUMBER($D$24)),IF(AF937&gt;$D$24,"boven UCL",IF(AF937&lt;$B$24,"onder LCL","")),"")</f>
        <v/>
      </c>
      <c r="AJ937" s="13">
        <f>IF(AND(ISNUMBER(AE937),ISNUMBER($B$25),ISNUMBER($D$25)),IF(AE937&gt;$D$25,"boven UCL",IF(AE937&lt;$B$25,"onder LCL","")),"")</f>
        <v/>
      </c>
      <c r="AK937" s="13">
        <f>IF(AND(ISNUMBER(AG937),ISNUMBER($B$26),ISNUMBER($D$26)),IF(AG937&gt;$D$26,"boven UCL",IF(AG937&lt;$B$26,"onder LCL","")),"")</f>
        <v/>
      </c>
      <c r="AL937" s="13">
        <f>IF(AND(COUNT(B937:Z937)&gt;0,COUNT(AA937:AC937)&gt;0),"ruwe waarden én getypt: getypte genegeerd",IF(COUNTA(B937:Z937,AA937:AC937)&gt;COUNT(B937:Z937,AA937:AC937),"tekst telt niet mee",IF(COUNT(B937:Z937)=1,"1 waarde: geen R of s","")))</f>
        <v/>
      </c>
    </row>
    <row r="938">
      <c r="A938" t="n">
        <v>887</v>
      </c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28">
        <f>IF(COUNT(B938:Z938)&gt;0,COUNT(B938:Z938),IF(OR(ISNUMBER(AA938),ISNUMBER(AB938)),$B$9,""))</f>
        <v/>
      </c>
      <c r="AE938" s="29">
        <f>IF(COUNT(B938:Z938)&gt;0,AVERAGE(B938:Z938),IF(ISNUMBER(AA938),AA938,""))</f>
        <v/>
      </c>
      <c r="AF938" s="29">
        <f>IF(COUNT(B938:Z938)&gt;1,MAX(B938:Z938)-MIN(B938:Z938),IF(ISNUMBER(AB938),AB938,""))</f>
        <v/>
      </c>
      <c r="AG938" s="29">
        <f>IF(COUNT(B938:Z938)&gt;1,_xlfn.STDEV.S(B938:Z938),IF(ISNUMBER(AC938),AC938,""))</f>
        <v/>
      </c>
      <c r="AH938" s="13">
        <f>IF(AND(ISNUMBER(AE938),ISNUMBER($B$23),ISNUMBER($D$23)),IF(AE938&gt;$D$23,"boven UCL",IF(AE938&lt;$B$23,"onder LCL","")),"")</f>
        <v/>
      </c>
      <c r="AI938" s="13">
        <f>IF(AND(ISNUMBER(AF938),ISNUMBER($B$24),ISNUMBER($D$24)),IF(AF938&gt;$D$24,"boven UCL",IF(AF938&lt;$B$24,"onder LCL","")),"")</f>
        <v/>
      </c>
      <c r="AJ938" s="13">
        <f>IF(AND(ISNUMBER(AE938),ISNUMBER($B$25),ISNUMBER($D$25)),IF(AE938&gt;$D$25,"boven UCL",IF(AE938&lt;$B$25,"onder LCL","")),"")</f>
        <v/>
      </c>
      <c r="AK938" s="13">
        <f>IF(AND(ISNUMBER(AG938),ISNUMBER($B$26),ISNUMBER($D$26)),IF(AG938&gt;$D$26,"boven UCL",IF(AG938&lt;$B$26,"onder LCL","")),"")</f>
        <v/>
      </c>
      <c r="AL938" s="13">
        <f>IF(AND(COUNT(B938:Z938)&gt;0,COUNT(AA938:AC938)&gt;0),"ruwe waarden én getypt: getypte genegeerd",IF(COUNTA(B938:Z938,AA938:AC938)&gt;COUNT(B938:Z938,AA938:AC938),"tekst telt niet mee",IF(COUNT(B938:Z938)=1,"1 waarde: geen R of s","")))</f>
        <v/>
      </c>
    </row>
    <row r="939">
      <c r="A939" t="n">
        <v>888</v>
      </c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28">
        <f>IF(COUNT(B939:Z939)&gt;0,COUNT(B939:Z939),IF(OR(ISNUMBER(AA939),ISNUMBER(AB939)),$B$9,""))</f>
        <v/>
      </c>
      <c r="AE939" s="29">
        <f>IF(COUNT(B939:Z939)&gt;0,AVERAGE(B939:Z939),IF(ISNUMBER(AA939),AA939,""))</f>
        <v/>
      </c>
      <c r="AF939" s="29">
        <f>IF(COUNT(B939:Z939)&gt;1,MAX(B939:Z939)-MIN(B939:Z939),IF(ISNUMBER(AB939),AB939,""))</f>
        <v/>
      </c>
      <c r="AG939" s="29">
        <f>IF(COUNT(B939:Z939)&gt;1,_xlfn.STDEV.S(B939:Z939),IF(ISNUMBER(AC939),AC939,""))</f>
        <v/>
      </c>
      <c r="AH939" s="13">
        <f>IF(AND(ISNUMBER(AE939),ISNUMBER($B$23),ISNUMBER($D$23)),IF(AE939&gt;$D$23,"boven UCL",IF(AE939&lt;$B$23,"onder LCL","")),"")</f>
        <v/>
      </c>
      <c r="AI939" s="13">
        <f>IF(AND(ISNUMBER(AF939),ISNUMBER($B$24),ISNUMBER($D$24)),IF(AF939&gt;$D$24,"boven UCL",IF(AF939&lt;$B$24,"onder LCL","")),"")</f>
        <v/>
      </c>
      <c r="AJ939" s="13">
        <f>IF(AND(ISNUMBER(AE939),ISNUMBER($B$25),ISNUMBER($D$25)),IF(AE939&gt;$D$25,"boven UCL",IF(AE939&lt;$B$25,"onder LCL","")),"")</f>
        <v/>
      </c>
      <c r="AK939" s="13">
        <f>IF(AND(ISNUMBER(AG939),ISNUMBER($B$26),ISNUMBER($D$26)),IF(AG939&gt;$D$26,"boven UCL",IF(AG939&lt;$B$26,"onder LCL","")),"")</f>
        <v/>
      </c>
      <c r="AL939" s="13">
        <f>IF(AND(COUNT(B939:Z939)&gt;0,COUNT(AA939:AC939)&gt;0),"ruwe waarden én getypt: getypte genegeerd",IF(COUNTA(B939:Z939,AA939:AC939)&gt;COUNT(B939:Z939,AA939:AC939),"tekst telt niet mee",IF(COUNT(B939:Z939)=1,"1 waarde: geen R of s","")))</f>
        <v/>
      </c>
    </row>
    <row r="940">
      <c r="A940" t="n">
        <v>889</v>
      </c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28">
        <f>IF(COUNT(B940:Z940)&gt;0,COUNT(B940:Z940),IF(OR(ISNUMBER(AA940),ISNUMBER(AB940)),$B$9,""))</f>
        <v/>
      </c>
      <c r="AE940" s="29">
        <f>IF(COUNT(B940:Z940)&gt;0,AVERAGE(B940:Z940),IF(ISNUMBER(AA940),AA940,""))</f>
        <v/>
      </c>
      <c r="AF940" s="29">
        <f>IF(COUNT(B940:Z940)&gt;1,MAX(B940:Z940)-MIN(B940:Z940),IF(ISNUMBER(AB940),AB940,""))</f>
        <v/>
      </c>
      <c r="AG940" s="29">
        <f>IF(COUNT(B940:Z940)&gt;1,_xlfn.STDEV.S(B940:Z940),IF(ISNUMBER(AC940),AC940,""))</f>
        <v/>
      </c>
      <c r="AH940" s="13">
        <f>IF(AND(ISNUMBER(AE940),ISNUMBER($B$23),ISNUMBER($D$23)),IF(AE940&gt;$D$23,"boven UCL",IF(AE940&lt;$B$23,"onder LCL","")),"")</f>
        <v/>
      </c>
      <c r="AI940" s="13">
        <f>IF(AND(ISNUMBER(AF940),ISNUMBER($B$24),ISNUMBER($D$24)),IF(AF940&gt;$D$24,"boven UCL",IF(AF940&lt;$B$24,"onder LCL","")),"")</f>
        <v/>
      </c>
      <c r="AJ940" s="13">
        <f>IF(AND(ISNUMBER(AE940),ISNUMBER($B$25),ISNUMBER($D$25)),IF(AE940&gt;$D$25,"boven UCL",IF(AE940&lt;$B$25,"onder LCL","")),"")</f>
        <v/>
      </c>
      <c r="AK940" s="13">
        <f>IF(AND(ISNUMBER(AG940),ISNUMBER($B$26),ISNUMBER($D$26)),IF(AG940&gt;$D$26,"boven UCL",IF(AG940&lt;$B$26,"onder LCL","")),"")</f>
        <v/>
      </c>
      <c r="AL940" s="13">
        <f>IF(AND(COUNT(B940:Z940)&gt;0,COUNT(AA940:AC940)&gt;0),"ruwe waarden én getypt: getypte genegeerd",IF(COUNTA(B940:Z940,AA940:AC940)&gt;COUNT(B940:Z940,AA940:AC940),"tekst telt niet mee",IF(COUNT(B940:Z940)=1,"1 waarde: geen R of s","")))</f>
        <v/>
      </c>
    </row>
    <row r="941">
      <c r="A941" t="n">
        <v>890</v>
      </c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28">
        <f>IF(COUNT(B941:Z941)&gt;0,COUNT(B941:Z941),IF(OR(ISNUMBER(AA941),ISNUMBER(AB941)),$B$9,""))</f>
        <v/>
      </c>
      <c r="AE941" s="29">
        <f>IF(COUNT(B941:Z941)&gt;0,AVERAGE(B941:Z941),IF(ISNUMBER(AA941),AA941,""))</f>
        <v/>
      </c>
      <c r="AF941" s="29">
        <f>IF(COUNT(B941:Z941)&gt;1,MAX(B941:Z941)-MIN(B941:Z941),IF(ISNUMBER(AB941),AB941,""))</f>
        <v/>
      </c>
      <c r="AG941" s="29">
        <f>IF(COUNT(B941:Z941)&gt;1,_xlfn.STDEV.S(B941:Z941),IF(ISNUMBER(AC941),AC941,""))</f>
        <v/>
      </c>
      <c r="AH941" s="13">
        <f>IF(AND(ISNUMBER(AE941),ISNUMBER($B$23),ISNUMBER($D$23)),IF(AE941&gt;$D$23,"boven UCL",IF(AE941&lt;$B$23,"onder LCL","")),"")</f>
        <v/>
      </c>
      <c r="AI941" s="13">
        <f>IF(AND(ISNUMBER(AF941),ISNUMBER($B$24),ISNUMBER($D$24)),IF(AF941&gt;$D$24,"boven UCL",IF(AF941&lt;$B$24,"onder LCL","")),"")</f>
        <v/>
      </c>
      <c r="AJ941" s="13">
        <f>IF(AND(ISNUMBER(AE941),ISNUMBER($B$25),ISNUMBER($D$25)),IF(AE941&gt;$D$25,"boven UCL",IF(AE941&lt;$B$25,"onder LCL","")),"")</f>
        <v/>
      </c>
      <c r="AK941" s="13">
        <f>IF(AND(ISNUMBER(AG941),ISNUMBER($B$26),ISNUMBER($D$26)),IF(AG941&gt;$D$26,"boven UCL",IF(AG941&lt;$B$26,"onder LCL","")),"")</f>
        <v/>
      </c>
      <c r="AL941" s="13">
        <f>IF(AND(COUNT(B941:Z941)&gt;0,COUNT(AA941:AC941)&gt;0),"ruwe waarden én getypt: getypte genegeerd",IF(COUNTA(B941:Z941,AA941:AC941)&gt;COUNT(B941:Z941,AA941:AC941),"tekst telt niet mee",IF(COUNT(B941:Z941)=1,"1 waarde: geen R of s","")))</f>
        <v/>
      </c>
    </row>
    <row r="942">
      <c r="A942" t="n">
        <v>891</v>
      </c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28">
        <f>IF(COUNT(B942:Z942)&gt;0,COUNT(B942:Z942),IF(OR(ISNUMBER(AA942),ISNUMBER(AB942)),$B$9,""))</f>
        <v/>
      </c>
      <c r="AE942" s="29">
        <f>IF(COUNT(B942:Z942)&gt;0,AVERAGE(B942:Z942),IF(ISNUMBER(AA942),AA942,""))</f>
        <v/>
      </c>
      <c r="AF942" s="29">
        <f>IF(COUNT(B942:Z942)&gt;1,MAX(B942:Z942)-MIN(B942:Z942),IF(ISNUMBER(AB942),AB942,""))</f>
        <v/>
      </c>
      <c r="AG942" s="29">
        <f>IF(COUNT(B942:Z942)&gt;1,_xlfn.STDEV.S(B942:Z942),IF(ISNUMBER(AC942),AC942,""))</f>
        <v/>
      </c>
      <c r="AH942" s="13">
        <f>IF(AND(ISNUMBER(AE942),ISNUMBER($B$23),ISNUMBER($D$23)),IF(AE942&gt;$D$23,"boven UCL",IF(AE942&lt;$B$23,"onder LCL","")),"")</f>
        <v/>
      </c>
      <c r="AI942" s="13">
        <f>IF(AND(ISNUMBER(AF942),ISNUMBER($B$24),ISNUMBER($D$24)),IF(AF942&gt;$D$24,"boven UCL",IF(AF942&lt;$B$24,"onder LCL","")),"")</f>
        <v/>
      </c>
      <c r="AJ942" s="13">
        <f>IF(AND(ISNUMBER(AE942),ISNUMBER($B$25),ISNUMBER($D$25)),IF(AE942&gt;$D$25,"boven UCL",IF(AE942&lt;$B$25,"onder LCL","")),"")</f>
        <v/>
      </c>
      <c r="AK942" s="13">
        <f>IF(AND(ISNUMBER(AG942),ISNUMBER($B$26),ISNUMBER($D$26)),IF(AG942&gt;$D$26,"boven UCL",IF(AG942&lt;$B$26,"onder LCL","")),"")</f>
        <v/>
      </c>
      <c r="AL942" s="13">
        <f>IF(AND(COUNT(B942:Z942)&gt;0,COUNT(AA942:AC942)&gt;0),"ruwe waarden én getypt: getypte genegeerd",IF(COUNTA(B942:Z942,AA942:AC942)&gt;COUNT(B942:Z942,AA942:AC942),"tekst telt niet mee",IF(COUNT(B942:Z942)=1,"1 waarde: geen R of s","")))</f>
        <v/>
      </c>
    </row>
    <row r="943">
      <c r="A943" t="n">
        <v>892</v>
      </c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28">
        <f>IF(COUNT(B943:Z943)&gt;0,COUNT(B943:Z943),IF(OR(ISNUMBER(AA943),ISNUMBER(AB943)),$B$9,""))</f>
        <v/>
      </c>
      <c r="AE943" s="29">
        <f>IF(COUNT(B943:Z943)&gt;0,AVERAGE(B943:Z943),IF(ISNUMBER(AA943),AA943,""))</f>
        <v/>
      </c>
      <c r="AF943" s="29">
        <f>IF(COUNT(B943:Z943)&gt;1,MAX(B943:Z943)-MIN(B943:Z943),IF(ISNUMBER(AB943),AB943,""))</f>
        <v/>
      </c>
      <c r="AG943" s="29">
        <f>IF(COUNT(B943:Z943)&gt;1,_xlfn.STDEV.S(B943:Z943),IF(ISNUMBER(AC943),AC943,""))</f>
        <v/>
      </c>
      <c r="AH943" s="13">
        <f>IF(AND(ISNUMBER(AE943),ISNUMBER($B$23),ISNUMBER($D$23)),IF(AE943&gt;$D$23,"boven UCL",IF(AE943&lt;$B$23,"onder LCL","")),"")</f>
        <v/>
      </c>
      <c r="AI943" s="13">
        <f>IF(AND(ISNUMBER(AF943),ISNUMBER($B$24),ISNUMBER($D$24)),IF(AF943&gt;$D$24,"boven UCL",IF(AF943&lt;$B$24,"onder LCL","")),"")</f>
        <v/>
      </c>
      <c r="AJ943" s="13">
        <f>IF(AND(ISNUMBER(AE943),ISNUMBER($B$25),ISNUMBER($D$25)),IF(AE943&gt;$D$25,"boven UCL",IF(AE943&lt;$B$25,"onder LCL","")),"")</f>
        <v/>
      </c>
      <c r="AK943" s="13">
        <f>IF(AND(ISNUMBER(AG943),ISNUMBER($B$26),ISNUMBER($D$26)),IF(AG943&gt;$D$26,"boven UCL",IF(AG943&lt;$B$26,"onder LCL","")),"")</f>
        <v/>
      </c>
      <c r="AL943" s="13">
        <f>IF(AND(COUNT(B943:Z943)&gt;0,COUNT(AA943:AC943)&gt;0),"ruwe waarden én getypt: getypte genegeerd",IF(COUNTA(B943:Z943,AA943:AC943)&gt;COUNT(B943:Z943,AA943:AC943),"tekst telt niet mee",IF(COUNT(B943:Z943)=1,"1 waarde: geen R of s","")))</f>
        <v/>
      </c>
    </row>
    <row r="944">
      <c r="A944" t="n">
        <v>893</v>
      </c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28">
        <f>IF(COUNT(B944:Z944)&gt;0,COUNT(B944:Z944),IF(OR(ISNUMBER(AA944),ISNUMBER(AB944)),$B$9,""))</f>
        <v/>
      </c>
      <c r="AE944" s="29">
        <f>IF(COUNT(B944:Z944)&gt;0,AVERAGE(B944:Z944),IF(ISNUMBER(AA944),AA944,""))</f>
        <v/>
      </c>
      <c r="AF944" s="29">
        <f>IF(COUNT(B944:Z944)&gt;1,MAX(B944:Z944)-MIN(B944:Z944),IF(ISNUMBER(AB944),AB944,""))</f>
        <v/>
      </c>
      <c r="AG944" s="29">
        <f>IF(COUNT(B944:Z944)&gt;1,_xlfn.STDEV.S(B944:Z944),IF(ISNUMBER(AC944),AC944,""))</f>
        <v/>
      </c>
      <c r="AH944" s="13">
        <f>IF(AND(ISNUMBER(AE944),ISNUMBER($B$23),ISNUMBER($D$23)),IF(AE944&gt;$D$23,"boven UCL",IF(AE944&lt;$B$23,"onder LCL","")),"")</f>
        <v/>
      </c>
      <c r="AI944" s="13">
        <f>IF(AND(ISNUMBER(AF944),ISNUMBER($B$24),ISNUMBER($D$24)),IF(AF944&gt;$D$24,"boven UCL",IF(AF944&lt;$B$24,"onder LCL","")),"")</f>
        <v/>
      </c>
      <c r="AJ944" s="13">
        <f>IF(AND(ISNUMBER(AE944),ISNUMBER($B$25),ISNUMBER($D$25)),IF(AE944&gt;$D$25,"boven UCL",IF(AE944&lt;$B$25,"onder LCL","")),"")</f>
        <v/>
      </c>
      <c r="AK944" s="13">
        <f>IF(AND(ISNUMBER(AG944),ISNUMBER($B$26),ISNUMBER($D$26)),IF(AG944&gt;$D$26,"boven UCL",IF(AG944&lt;$B$26,"onder LCL","")),"")</f>
        <v/>
      </c>
      <c r="AL944" s="13">
        <f>IF(AND(COUNT(B944:Z944)&gt;0,COUNT(AA944:AC944)&gt;0),"ruwe waarden én getypt: getypte genegeerd",IF(COUNTA(B944:Z944,AA944:AC944)&gt;COUNT(B944:Z944,AA944:AC944),"tekst telt niet mee",IF(COUNT(B944:Z944)=1,"1 waarde: geen R of s","")))</f>
        <v/>
      </c>
    </row>
    <row r="945">
      <c r="A945" t="n">
        <v>894</v>
      </c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28">
        <f>IF(COUNT(B945:Z945)&gt;0,COUNT(B945:Z945),IF(OR(ISNUMBER(AA945),ISNUMBER(AB945)),$B$9,""))</f>
        <v/>
      </c>
      <c r="AE945" s="29">
        <f>IF(COUNT(B945:Z945)&gt;0,AVERAGE(B945:Z945),IF(ISNUMBER(AA945),AA945,""))</f>
        <v/>
      </c>
      <c r="AF945" s="29">
        <f>IF(COUNT(B945:Z945)&gt;1,MAX(B945:Z945)-MIN(B945:Z945),IF(ISNUMBER(AB945),AB945,""))</f>
        <v/>
      </c>
      <c r="AG945" s="29">
        <f>IF(COUNT(B945:Z945)&gt;1,_xlfn.STDEV.S(B945:Z945),IF(ISNUMBER(AC945),AC945,""))</f>
        <v/>
      </c>
      <c r="AH945" s="13">
        <f>IF(AND(ISNUMBER(AE945),ISNUMBER($B$23),ISNUMBER($D$23)),IF(AE945&gt;$D$23,"boven UCL",IF(AE945&lt;$B$23,"onder LCL","")),"")</f>
        <v/>
      </c>
      <c r="AI945" s="13">
        <f>IF(AND(ISNUMBER(AF945),ISNUMBER($B$24),ISNUMBER($D$24)),IF(AF945&gt;$D$24,"boven UCL",IF(AF945&lt;$B$24,"onder LCL","")),"")</f>
        <v/>
      </c>
      <c r="AJ945" s="13">
        <f>IF(AND(ISNUMBER(AE945),ISNUMBER($B$25),ISNUMBER($D$25)),IF(AE945&gt;$D$25,"boven UCL",IF(AE945&lt;$B$25,"onder LCL","")),"")</f>
        <v/>
      </c>
      <c r="AK945" s="13">
        <f>IF(AND(ISNUMBER(AG945),ISNUMBER($B$26),ISNUMBER($D$26)),IF(AG945&gt;$D$26,"boven UCL",IF(AG945&lt;$B$26,"onder LCL","")),"")</f>
        <v/>
      </c>
      <c r="AL945" s="13">
        <f>IF(AND(COUNT(B945:Z945)&gt;0,COUNT(AA945:AC945)&gt;0),"ruwe waarden én getypt: getypte genegeerd",IF(COUNTA(B945:Z945,AA945:AC945)&gt;COUNT(B945:Z945,AA945:AC945),"tekst telt niet mee",IF(COUNT(B945:Z945)=1,"1 waarde: geen R of s","")))</f>
        <v/>
      </c>
    </row>
    <row r="946">
      <c r="A946" t="n">
        <v>895</v>
      </c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28">
        <f>IF(COUNT(B946:Z946)&gt;0,COUNT(B946:Z946),IF(OR(ISNUMBER(AA946),ISNUMBER(AB946)),$B$9,""))</f>
        <v/>
      </c>
      <c r="AE946" s="29">
        <f>IF(COUNT(B946:Z946)&gt;0,AVERAGE(B946:Z946),IF(ISNUMBER(AA946),AA946,""))</f>
        <v/>
      </c>
      <c r="AF946" s="29">
        <f>IF(COUNT(B946:Z946)&gt;1,MAX(B946:Z946)-MIN(B946:Z946),IF(ISNUMBER(AB946),AB946,""))</f>
        <v/>
      </c>
      <c r="AG946" s="29">
        <f>IF(COUNT(B946:Z946)&gt;1,_xlfn.STDEV.S(B946:Z946),IF(ISNUMBER(AC946),AC946,""))</f>
        <v/>
      </c>
      <c r="AH946" s="13">
        <f>IF(AND(ISNUMBER(AE946),ISNUMBER($B$23),ISNUMBER($D$23)),IF(AE946&gt;$D$23,"boven UCL",IF(AE946&lt;$B$23,"onder LCL","")),"")</f>
        <v/>
      </c>
      <c r="AI946" s="13">
        <f>IF(AND(ISNUMBER(AF946),ISNUMBER($B$24),ISNUMBER($D$24)),IF(AF946&gt;$D$24,"boven UCL",IF(AF946&lt;$B$24,"onder LCL","")),"")</f>
        <v/>
      </c>
      <c r="AJ946" s="13">
        <f>IF(AND(ISNUMBER(AE946),ISNUMBER($B$25),ISNUMBER($D$25)),IF(AE946&gt;$D$25,"boven UCL",IF(AE946&lt;$B$25,"onder LCL","")),"")</f>
        <v/>
      </c>
      <c r="AK946" s="13">
        <f>IF(AND(ISNUMBER(AG946),ISNUMBER($B$26),ISNUMBER($D$26)),IF(AG946&gt;$D$26,"boven UCL",IF(AG946&lt;$B$26,"onder LCL","")),"")</f>
        <v/>
      </c>
      <c r="AL946" s="13">
        <f>IF(AND(COUNT(B946:Z946)&gt;0,COUNT(AA946:AC946)&gt;0),"ruwe waarden én getypt: getypte genegeerd",IF(COUNTA(B946:Z946,AA946:AC946)&gt;COUNT(B946:Z946,AA946:AC946),"tekst telt niet mee",IF(COUNT(B946:Z946)=1,"1 waarde: geen R of s","")))</f>
        <v/>
      </c>
    </row>
    <row r="947">
      <c r="A947" t="n">
        <v>896</v>
      </c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28">
        <f>IF(COUNT(B947:Z947)&gt;0,COUNT(B947:Z947),IF(OR(ISNUMBER(AA947),ISNUMBER(AB947)),$B$9,""))</f>
        <v/>
      </c>
      <c r="AE947" s="29">
        <f>IF(COUNT(B947:Z947)&gt;0,AVERAGE(B947:Z947),IF(ISNUMBER(AA947),AA947,""))</f>
        <v/>
      </c>
      <c r="AF947" s="29">
        <f>IF(COUNT(B947:Z947)&gt;1,MAX(B947:Z947)-MIN(B947:Z947),IF(ISNUMBER(AB947),AB947,""))</f>
        <v/>
      </c>
      <c r="AG947" s="29">
        <f>IF(COUNT(B947:Z947)&gt;1,_xlfn.STDEV.S(B947:Z947),IF(ISNUMBER(AC947),AC947,""))</f>
        <v/>
      </c>
      <c r="AH947" s="13">
        <f>IF(AND(ISNUMBER(AE947),ISNUMBER($B$23),ISNUMBER($D$23)),IF(AE947&gt;$D$23,"boven UCL",IF(AE947&lt;$B$23,"onder LCL","")),"")</f>
        <v/>
      </c>
      <c r="AI947" s="13">
        <f>IF(AND(ISNUMBER(AF947),ISNUMBER($B$24),ISNUMBER($D$24)),IF(AF947&gt;$D$24,"boven UCL",IF(AF947&lt;$B$24,"onder LCL","")),"")</f>
        <v/>
      </c>
      <c r="AJ947" s="13">
        <f>IF(AND(ISNUMBER(AE947),ISNUMBER($B$25),ISNUMBER($D$25)),IF(AE947&gt;$D$25,"boven UCL",IF(AE947&lt;$B$25,"onder LCL","")),"")</f>
        <v/>
      </c>
      <c r="AK947" s="13">
        <f>IF(AND(ISNUMBER(AG947),ISNUMBER($B$26),ISNUMBER($D$26)),IF(AG947&gt;$D$26,"boven UCL",IF(AG947&lt;$B$26,"onder LCL","")),"")</f>
        <v/>
      </c>
      <c r="AL947" s="13">
        <f>IF(AND(COUNT(B947:Z947)&gt;0,COUNT(AA947:AC947)&gt;0),"ruwe waarden én getypt: getypte genegeerd",IF(COUNTA(B947:Z947,AA947:AC947)&gt;COUNT(B947:Z947,AA947:AC947),"tekst telt niet mee",IF(COUNT(B947:Z947)=1,"1 waarde: geen R of s","")))</f>
        <v/>
      </c>
    </row>
    <row r="948">
      <c r="A948" t="n">
        <v>897</v>
      </c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28">
        <f>IF(COUNT(B948:Z948)&gt;0,COUNT(B948:Z948),IF(OR(ISNUMBER(AA948),ISNUMBER(AB948)),$B$9,""))</f>
        <v/>
      </c>
      <c r="AE948" s="29">
        <f>IF(COUNT(B948:Z948)&gt;0,AVERAGE(B948:Z948),IF(ISNUMBER(AA948),AA948,""))</f>
        <v/>
      </c>
      <c r="AF948" s="29">
        <f>IF(COUNT(B948:Z948)&gt;1,MAX(B948:Z948)-MIN(B948:Z948),IF(ISNUMBER(AB948),AB948,""))</f>
        <v/>
      </c>
      <c r="AG948" s="29">
        <f>IF(COUNT(B948:Z948)&gt;1,_xlfn.STDEV.S(B948:Z948),IF(ISNUMBER(AC948),AC948,""))</f>
        <v/>
      </c>
      <c r="AH948" s="13">
        <f>IF(AND(ISNUMBER(AE948),ISNUMBER($B$23),ISNUMBER($D$23)),IF(AE948&gt;$D$23,"boven UCL",IF(AE948&lt;$B$23,"onder LCL","")),"")</f>
        <v/>
      </c>
      <c r="AI948" s="13">
        <f>IF(AND(ISNUMBER(AF948),ISNUMBER($B$24),ISNUMBER($D$24)),IF(AF948&gt;$D$24,"boven UCL",IF(AF948&lt;$B$24,"onder LCL","")),"")</f>
        <v/>
      </c>
      <c r="AJ948" s="13">
        <f>IF(AND(ISNUMBER(AE948),ISNUMBER($B$25),ISNUMBER($D$25)),IF(AE948&gt;$D$25,"boven UCL",IF(AE948&lt;$B$25,"onder LCL","")),"")</f>
        <v/>
      </c>
      <c r="AK948" s="13">
        <f>IF(AND(ISNUMBER(AG948),ISNUMBER($B$26),ISNUMBER($D$26)),IF(AG948&gt;$D$26,"boven UCL",IF(AG948&lt;$B$26,"onder LCL","")),"")</f>
        <v/>
      </c>
      <c r="AL948" s="13">
        <f>IF(AND(COUNT(B948:Z948)&gt;0,COUNT(AA948:AC948)&gt;0),"ruwe waarden én getypt: getypte genegeerd",IF(COUNTA(B948:Z948,AA948:AC948)&gt;COUNT(B948:Z948,AA948:AC948),"tekst telt niet mee",IF(COUNT(B948:Z948)=1,"1 waarde: geen R of s","")))</f>
        <v/>
      </c>
    </row>
    <row r="949">
      <c r="A949" t="n">
        <v>898</v>
      </c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28">
        <f>IF(COUNT(B949:Z949)&gt;0,COUNT(B949:Z949),IF(OR(ISNUMBER(AA949),ISNUMBER(AB949)),$B$9,""))</f>
        <v/>
      </c>
      <c r="AE949" s="29">
        <f>IF(COUNT(B949:Z949)&gt;0,AVERAGE(B949:Z949),IF(ISNUMBER(AA949),AA949,""))</f>
        <v/>
      </c>
      <c r="AF949" s="29">
        <f>IF(COUNT(B949:Z949)&gt;1,MAX(B949:Z949)-MIN(B949:Z949),IF(ISNUMBER(AB949),AB949,""))</f>
        <v/>
      </c>
      <c r="AG949" s="29">
        <f>IF(COUNT(B949:Z949)&gt;1,_xlfn.STDEV.S(B949:Z949),IF(ISNUMBER(AC949),AC949,""))</f>
        <v/>
      </c>
      <c r="AH949" s="13">
        <f>IF(AND(ISNUMBER(AE949),ISNUMBER($B$23),ISNUMBER($D$23)),IF(AE949&gt;$D$23,"boven UCL",IF(AE949&lt;$B$23,"onder LCL","")),"")</f>
        <v/>
      </c>
      <c r="AI949" s="13">
        <f>IF(AND(ISNUMBER(AF949),ISNUMBER($B$24),ISNUMBER($D$24)),IF(AF949&gt;$D$24,"boven UCL",IF(AF949&lt;$B$24,"onder LCL","")),"")</f>
        <v/>
      </c>
      <c r="AJ949" s="13">
        <f>IF(AND(ISNUMBER(AE949),ISNUMBER($B$25),ISNUMBER($D$25)),IF(AE949&gt;$D$25,"boven UCL",IF(AE949&lt;$B$25,"onder LCL","")),"")</f>
        <v/>
      </c>
      <c r="AK949" s="13">
        <f>IF(AND(ISNUMBER(AG949),ISNUMBER($B$26),ISNUMBER($D$26)),IF(AG949&gt;$D$26,"boven UCL",IF(AG949&lt;$B$26,"onder LCL","")),"")</f>
        <v/>
      </c>
      <c r="AL949" s="13">
        <f>IF(AND(COUNT(B949:Z949)&gt;0,COUNT(AA949:AC949)&gt;0),"ruwe waarden én getypt: getypte genegeerd",IF(COUNTA(B949:Z949,AA949:AC949)&gt;COUNT(B949:Z949,AA949:AC949),"tekst telt niet mee",IF(COUNT(B949:Z949)=1,"1 waarde: geen R of s","")))</f>
        <v/>
      </c>
    </row>
    <row r="950">
      <c r="A950" t="n">
        <v>899</v>
      </c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28">
        <f>IF(COUNT(B950:Z950)&gt;0,COUNT(B950:Z950),IF(OR(ISNUMBER(AA950),ISNUMBER(AB950)),$B$9,""))</f>
        <v/>
      </c>
      <c r="AE950" s="29">
        <f>IF(COUNT(B950:Z950)&gt;0,AVERAGE(B950:Z950),IF(ISNUMBER(AA950),AA950,""))</f>
        <v/>
      </c>
      <c r="AF950" s="29">
        <f>IF(COUNT(B950:Z950)&gt;1,MAX(B950:Z950)-MIN(B950:Z950),IF(ISNUMBER(AB950),AB950,""))</f>
        <v/>
      </c>
      <c r="AG950" s="29">
        <f>IF(COUNT(B950:Z950)&gt;1,_xlfn.STDEV.S(B950:Z950),IF(ISNUMBER(AC950),AC950,""))</f>
        <v/>
      </c>
      <c r="AH950" s="13">
        <f>IF(AND(ISNUMBER(AE950),ISNUMBER($B$23),ISNUMBER($D$23)),IF(AE950&gt;$D$23,"boven UCL",IF(AE950&lt;$B$23,"onder LCL","")),"")</f>
        <v/>
      </c>
      <c r="AI950" s="13">
        <f>IF(AND(ISNUMBER(AF950),ISNUMBER($B$24),ISNUMBER($D$24)),IF(AF950&gt;$D$24,"boven UCL",IF(AF950&lt;$B$24,"onder LCL","")),"")</f>
        <v/>
      </c>
      <c r="AJ950" s="13">
        <f>IF(AND(ISNUMBER(AE950),ISNUMBER($B$25),ISNUMBER($D$25)),IF(AE950&gt;$D$25,"boven UCL",IF(AE950&lt;$B$25,"onder LCL","")),"")</f>
        <v/>
      </c>
      <c r="AK950" s="13">
        <f>IF(AND(ISNUMBER(AG950),ISNUMBER($B$26),ISNUMBER($D$26)),IF(AG950&gt;$D$26,"boven UCL",IF(AG950&lt;$B$26,"onder LCL","")),"")</f>
        <v/>
      </c>
      <c r="AL950" s="13">
        <f>IF(AND(COUNT(B950:Z950)&gt;0,COUNT(AA950:AC950)&gt;0),"ruwe waarden én getypt: getypte genegeerd",IF(COUNTA(B950:Z950,AA950:AC950)&gt;COUNT(B950:Z950,AA950:AC950),"tekst telt niet mee",IF(COUNT(B950:Z950)=1,"1 waarde: geen R of s","")))</f>
        <v/>
      </c>
    </row>
    <row r="951">
      <c r="A951" t="n">
        <v>900</v>
      </c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28">
        <f>IF(COUNT(B951:Z951)&gt;0,COUNT(B951:Z951),IF(OR(ISNUMBER(AA951),ISNUMBER(AB951)),$B$9,""))</f>
        <v/>
      </c>
      <c r="AE951" s="29">
        <f>IF(COUNT(B951:Z951)&gt;0,AVERAGE(B951:Z951),IF(ISNUMBER(AA951),AA951,""))</f>
        <v/>
      </c>
      <c r="AF951" s="29">
        <f>IF(COUNT(B951:Z951)&gt;1,MAX(B951:Z951)-MIN(B951:Z951),IF(ISNUMBER(AB951),AB951,""))</f>
        <v/>
      </c>
      <c r="AG951" s="29">
        <f>IF(COUNT(B951:Z951)&gt;1,_xlfn.STDEV.S(B951:Z951),IF(ISNUMBER(AC951),AC951,""))</f>
        <v/>
      </c>
      <c r="AH951" s="13">
        <f>IF(AND(ISNUMBER(AE951),ISNUMBER($B$23),ISNUMBER($D$23)),IF(AE951&gt;$D$23,"boven UCL",IF(AE951&lt;$B$23,"onder LCL","")),"")</f>
        <v/>
      </c>
      <c r="AI951" s="13">
        <f>IF(AND(ISNUMBER(AF951),ISNUMBER($B$24),ISNUMBER($D$24)),IF(AF951&gt;$D$24,"boven UCL",IF(AF951&lt;$B$24,"onder LCL","")),"")</f>
        <v/>
      </c>
      <c r="AJ951" s="13">
        <f>IF(AND(ISNUMBER(AE951),ISNUMBER($B$25),ISNUMBER($D$25)),IF(AE951&gt;$D$25,"boven UCL",IF(AE951&lt;$B$25,"onder LCL","")),"")</f>
        <v/>
      </c>
      <c r="AK951" s="13">
        <f>IF(AND(ISNUMBER(AG951),ISNUMBER($B$26),ISNUMBER($D$26)),IF(AG951&gt;$D$26,"boven UCL",IF(AG951&lt;$B$26,"onder LCL","")),"")</f>
        <v/>
      </c>
      <c r="AL951" s="13">
        <f>IF(AND(COUNT(B951:Z951)&gt;0,COUNT(AA951:AC951)&gt;0),"ruwe waarden én getypt: getypte genegeerd",IF(COUNTA(B951:Z951,AA951:AC951)&gt;COUNT(B951:Z951,AA951:AC951),"tekst telt niet mee",IF(COUNT(B951:Z951)=1,"1 waarde: geen R of s","")))</f>
        <v/>
      </c>
    </row>
    <row r="952">
      <c r="A952" t="n">
        <v>901</v>
      </c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28">
        <f>IF(COUNT(B952:Z952)&gt;0,COUNT(B952:Z952),IF(OR(ISNUMBER(AA952),ISNUMBER(AB952)),$B$9,""))</f>
        <v/>
      </c>
      <c r="AE952" s="29">
        <f>IF(COUNT(B952:Z952)&gt;0,AVERAGE(B952:Z952),IF(ISNUMBER(AA952),AA952,""))</f>
        <v/>
      </c>
      <c r="AF952" s="29">
        <f>IF(COUNT(B952:Z952)&gt;1,MAX(B952:Z952)-MIN(B952:Z952),IF(ISNUMBER(AB952),AB952,""))</f>
        <v/>
      </c>
      <c r="AG952" s="29">
        <f>IF(COUNT(B952:Z952)&gt;1,_xlfn.STDEV.S(B952:Z952),IF(ISNUMBER(AC952),AC952,""))</f>
        <v/>
      </c>
      <c r="AH952" s="13">
        <f>IF(AND(ISNUMBER(AE952),ISNUMBER($B$23),ISNUMBER($D$23)),IF(AE952&gt;$D$23,"boven UCL",IF(AE952&lt;$B$23,"onder LCL","")),"")</f>
        <v/>
      </c>
      <c r="AI952" s="13">
        <f>IF(AND(ISNUMBER(AF952),ISNUMBER($B$24),ISNUMBER($D$24)),IF(AF952&gt;$D$24,"boven UCL",IF(AF952&lt;$B$24,"onder LCL","")),"")</f>
        <v/>
      </c>
      <c r="AJ952" s="13">
        <f>IF(AND(ISNUMBER(AE952),ISNUMBER($B$25),ISNUMBER($D$25)),IF(AE952&gt;$D$25,"boven UCL",IF(AE952&lt;$B$25,"onder LCL","")),"")</f>
        <v/>
      </c>
      <c r="AK952" s="13">
        <f>IF(AND(ISNUMBER(AG952),ISNUMBER($B$26),ISNUMBER($D$26)),IF(AG952&gt;$D$26,"boven UCL",IF(AG952&lt;$B$26,"onder LCL","")),"")</f>
        <v/>
      </c>
      <c r="AL952" s="13">
        <f>IF(AND(COUNT(B952:Z952)&gt;0,COUNT(AA952:AC952)&gt;0),"ruwe waarden én getypt: getypte genegeerd",IF(COUNTA(B952:Z952,AA952:AC952)&gt;COUNT(B952:Z952,AA952:AC952),"tekst telt niet mee",IF(COUNT(B952:Z952)=1,"1 waarde: geen R of s","")))</f>
        <v/>
      </c>
    </row>
    <row r="953">
      <c r="A953" t="n">
        <v>902</v>
      </c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28">
        <f>IF(COUNT(B953:Z953)&gt;0,COUNT(B953:Z953),IF(OR(ISNUMBER(AA953),ISNUMBER(AB953)),$B$9,""))</f>
        <v/>
      </c>
      <c r="AE953" s="29">
        <f>IF(COUNT(B953:Z953)&gt;0,AVERAGE(B953:Z953),IF(ISNUMBER(AA953),AA953,""))</f>
        <v/>
      </c>
      <c r="AF953" s="29">
        <f>IF(COUNT(B953:Z953)&gt;1,MAX(B953:Z953)-MIN(B953:Z953),IF(ISNUMBER(AB953),AB953,""))</f>
        <v/>
      </c>
      <c r="AG953" s="29">
        <f>IF(COUNT(B953:Z953)&gt;1,_xlfn.STDEV.S(B953:Z953),IF(ISNUMBER(AC953),AC953,""))</f>
        <v/>
      </c>
      <c r="AH953" s="13">
        <f>IF(AND(ISNUMBER(AE953),ISNUMBER($B$23),ISNUMBER($D$23)),IF(AE953&gt;$D$23,"boven UCL",IF(AE953&lt;$B$23,"onder LCL","")),"")</f>
        <v/>
      </c>
      <c r="AI953" s="13">
        <f>IF(AND(ISNUMBER(AF953),ISNUMBER($B$24),ISNUMBER($D$24)),IF(AF953&gt;$D$24,"boven UCL",IF(AF953&lt;$B$24,"onder LCL","")),"")</f>
        <v/>
      </c>
      <c r="AJ953" s="13">
        <f>IF(AND(ISNUMBER(AE953),ISNUMBER($B$25),ISNUMBER($D$25)),IF(AE953&gt;$D$25,"boven UCL",IF(AE953&lt;$B$25,"onder LCL","")),"")</f>
        <v/>
      </c>
      <c r="AK953" s="13">
        <f>IF(AND(ISNUMBER(AG953),ISNUMBER($B$26),ISNUMBER($D$26)),IF(AG953&gt;$D$26,"boven UCL",IF(AG953&lt;$B$26,"onder LCL","")),"")</f>
        <v/>
      </c>
      <c r="AL953" s="13">
        <f>IF(AND(COUNT(B953:Z953)&gt;0,COUNT(AA953:AC953)&gt;0),"ruwe waarden én getypt: getypte genegeerd",IF(COUNTA(B953:Z953,AA953:AC953)&gt;COUNT(B953:Z953,AA953:AC953),"tekst telt niet mee",IF(COUNT(B953:Z953)=1,"1 waarde: geen R of s","")))</f>
        <v/>
      </c>
    </row>
    <row r="954">
      <c r="A954" t="n">
        <v>903</v>
      </c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28">
        <f>IF(COUNT(B954:Z954)&gt;0,COUNT(B954:Z954),IF(OR(ISNUMBER(AA954),ISNUMBER(AB954)),$B$9,""))</f>
        <v/>
      </c>
      <c r="AE954" s="29">
        <f>IF(COUNT(B954:Z954)&gt;0,AVERAGE(B954:Z954),IF(ISNUMBER(AA954),AA954,""))</f>
        <v/>
      </c>
      <c r="AF954" s="29">
        <f>IF(COUNT(B954:Z954)&gt;1,MAX(B954:Z954)-MIN(B954:Z954),IF(ISNUMBER(AB954),AB954,""))</f>
        <v/>
      </c>
      <c r="AG954" s="29">
        <f>IF(COUNT(B954:Z954)&gt;1,_xlfn.STDEV.S(B954:Z954),IF(ISNUMBER(AC954),AC954,""))</f>
        <v/>
      </c>
      <c r="AH954" s="13">
        <f>IF(AND(ISNUMBER(AE954),ISNUMBER($B$23),ISNUMBER($D$23)),IF(AE954&gt;$D$23,"boven UCL",IF(AE954&lt;$B$23,"onder LCL","")),"")</f>
        <v/>
      </c>
      <c r="AI954" s="13">
        <f>IF(AND(ISNUMBER(AF954),ISNUMBER($B$24),ISNUMBER($D$24)),IF(AF954&gt;$D$24,"boven UCL",IF(AF954&lt;$B$24,"onder LCL","")),"")</f>
        <v/>
      </c>
      <c r="AJ954" s="13">
        <f>IF(AND(ISNUMBER(AE954),ISNUMBER($B$25),ISNUMBER($D$25)),IF(AE954&gt;$D$25,"boven UCL",IF(AE954&lt;$B$25,"onder LCL","")),"")</f>
        <v/>
      </c>
      <c r="AK954" s="13">
        <f>IF(AND(ISNUMBER(AG954),ISNUMBER($B$26),ISNUMBER($D$26)),IF(AG954&gt;$D$26,"boven UCL",IF(AG954&lt;$B$26,"onder LCL","")),"")</f>
        <v/>
      </c>
      <c r="AL954" s="13">
        <f>IF(AND(COUNT(B954:Z954)&gt;0,COUNT(AA954:AC954)&gt;0),"ruwe waarden én getypt: getypte genegeerd",IF(COUNTA(B954:Z954,AA954:AC954)&gt;COUNT(B954:Z954,AA954:AC954),"tekst telt niet mee",IF(COUNT(B954:Z954)=1,"1 waarde: geen R of s","")))</f>
        <v/>
      </c>
    </row>
    <row r="955">
      <c r="A955" t="n">
        <v>904</v>
      </c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28">
        <f>IF(COUNT(B955:Z955)&gt;0,COUNT(B955:Z955),IF(OR(ISNUMBER(AA955),ISNUMBER(AB955)),$B$9,""))</f>
        <v/>
      </c>
      <c r="AE955" s="29">
        <f>IF(COUNT(B955:Z955)&gt;0,AVERAGE(B955:Z955),IF(ISNUMBER(AA955),AA955,""))</f>
        <v/>
      </c>
      <c r="AF955" s="29">
        <f>IF(COUNT(B955:Z955)&gt;1,MAX(B955:Z955)-MIN(B955:Z955),IF(ISNUMBER(AB955),AB955,""))</f>
        <v/>
      </c>
      <c r="AG955" s="29">
        <f>IF(COUNT(B955:Z955)&gt;1,_xlfn.STDEV.S(B955:Z955),IF(ISNUMBER(AC955),AC955,""))</f>
        <v/>
      </c>
      <c r="AH955" s="13">
        <f>IF(AND(ISNUMBER(AE955),ISNUMBER($B$23),ISNUMBER($D$23)),IF(AE955&gt;$D$23,"boven UCL",IF(AE955&lt;$B$23,"onder LCL","")),"")</f>
        <v/>
      </c>
      <c r="AI955" s="13">
        <f>IF(AND(ISNUMBER(AF955),ISNUMBER($B$24),ISNUMBER($D$24)),IF(AF955&gt;$D$24,"boven UCL",IF(AF955&lt;$B$24,"onder LCL","")),"")</f>
        <v/>
      </c>
      <c r="AJ955" s="13">
        <f>IF(AND(ISNUMBER(AE955),ISNUMBER($B$25),ISNUMBER($D$25)),IF(AE955&gt;$D$25,"boven UCL",IF(AE955&lt;$B$25,"onder LCL","")),"")</f>
        <v/>
      </c>
      <c r="AK955" s="13">
        <f>IF(AND(ISNUMBER(AG955),ISNUMBER($B$26),ISNUMBER($D$26)),IF(AG955&gt;$D$26,"boven UCL",IF(AG955&lt;$B$26,"onder LCL","")),"")</f>
        <v/>
      </c>
      <c r="AL955" s="13">
        <f>IF(AND(COUNT(B955:Z955)&gt;0,COUNT(AA955:AC955)&gt;0),"ruwe waarden én getypt: getypte genegeerd",IF(COUNTA(B955:Z955,AA955:AC955)&gt;COUNT(B955:Z955,AA955:AC955),"tekst telt niet mee",IF(COUNT(B955:Z955)=1,"1 waarde: geen R of s","")))</f>
        <v/>
      </c>
    </row>
    <row r="956">
      <c r="A956" t="n">
        <v>905</v>
      </c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28">
        <f>IF(COUNT(B956:Z956)&gt;0,COUNT(B956:Z956),IF(OR(ISNUMBER(AA956),ISNUMBER(AB956)),$B$9,""))</f>
        <v/>
      </c>
      <c r="AE956" s="29">
        <f>IF(COUNT(B956:Z956)&gt;0,AVERAGE(B956:Z956),IF(ISNUMBER(AA956),AA956,""))</f>
        <v/>
      </c>
      <c r="AF956" s="29">
        <f>IF(COUNT(B956:Z956)&gt;1,MAX(B956:Z956)-MIN(B956:Z956),IF(ISNUMBER(AB956),AB956,""))</f>
        <v/>
      </c>
      <c r="AG956" s="29">
        <f>IF(COUNT(B956:Z956)&gt;1,_xlfn.STDEV.S(B956:Z956),IF(ISNUMBER(AC956),AC956,""))</f>
        <v/>
      </c>
      <c r="AH956" s="13">
        <f>IF(AND(ISNUMBER(AE956),ISNUMBER($B$23),ISNUMBER($D$23)),IF(AE956&gt;$D$23,"boven UCL",IF(AE956&lt;$B$23,"onder LCL","")),"")</f>
        <v/>
      </c>
      <c r="AI956" s="13">
        <f>IF(AND(ISNUMBER(AF956),ISNUMBER($B$24),ISNUMBER($D$24)),IF(AF956&gt;$D$24,"boven UCL",IF(AF956&lt;$B$24,"onder LCL","")),"")</f>
        <v/>
      </c>
      <c r="AJ956" s="13">
        <f>IF(AND(ISNUMBER(AE956),ISNUMBER($B$25),ISNUMBER($D$25)),IF(AE956&gt;$D$25,"boven UCL",IF(AE956&lt;$B$25,"onder LCL","")),"")</f>
        <v/>
      </c>
      <c r="AK956" s="13">
        <f>IF(AND(ISNUMBER(AG956),ISNUMBER($B$26),ISNUMBER($D$26)),IF(AG956&gt;$D$26,"boven UCL",IF(AG956&lt;$B$26,"onder LCL","")),"")</f>
        <v/>
      </c>
      <c r="AL956" s="13">
        <f>IF(AND(COUNT(B956:Z956)&gt;0,COUNT(AA956:AC956)&gt;0),"ruwe waarden én getypt: getypte genegeerd",IF(COUNTA(B956:Z956,AA956:AC956)&gt;COUNT(B956:Z956,AA956:AC956),"tekst telt niet mee",IF(COUNT(B956:Z956)=1,"1 waarde: geen R of s","")))</f>
        <v/>
      </c>
    </row>
    <row r="957">
      <c r="A957" t="n">
        <v>906</v>
      </c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28">
        <f>IF(COUNT(B957:Z957)&gt;0,COUNT(B957:Z957),IF(OR(ISNUMBER(AA957),ISNUMBER(AB957)),$B$9,""))</f>
        <v/>
      </c>
      <c r="AE957" s="29">
        <f>IF(COUNT(B957:Z957)&gt;0,AVERAGE(B957:Z957),IF(ISNUMBER(AA957),AA957,""))</f>
        <v/>
      </c>
      <c r="AF957" s="29">
        <f>IF(COUNT(B957:Z957)&gt;1,MAX(B957:Z957)-MIN(B957:Z957),IF(ISNUMBER(AB957),AB957,""))</f>
        <v/>
      </c>
      <c r="AG957" s="29">
        <f>IF(COUNT(B957:Z957)&gt;1,_xlfn.STDEV.S(B957:Z957),IF(ISNUMBER(AC957),AC957,""))</f>
        <v/>
      </c>
      <c r="AH957" s="13">
        <f>IF(AND(ISNUMBER(AE957),ISNUMBER($B$23),ISNUMBER($D$23)),IF(AE957&gt;$D$23,"boven UCL",IF(AE957&lt;$B$23,"onder LCL","")),"")</f>
        <v/>
      </c>
      <c r="AI957" s="13">
        <f>IF(AND(ISNUMBER(AF957),ISNUMBER($B$24),ISNUMBER($D$24)),IF(AF957&gt;$D$24,"boven UCL",IF(AF957&lt;$B$24,"onder LCL","")),"")</f>
        <v/>
      </c>
      <c r="AJ957" s="13">
        <f>IF(AND(ISNUMBER(AE957),ISNUMBER($B$25),ISNUMBER($D$25)),IF(AE957&gt;$D$25,"boven UCL",IF(AE957&lt;$B$25,"onder LCL","")),"")</f>
        <v/>
      </c>
      <c r="AK957" s="13">
        <f>IF(AND(ISNUMBER(AG957),ISNUMBER($B$26),ISNUMBER($D$26)),IF(AG957&gt;$D$26,"boven UCL",IF(AG957&lt;$B$26,"onder LCL","")),"")</f>
        <v/>
      </c>
      <c r="AL957" s="13">
        <f>IF(AND(COUNT(B957:Z957)&gt;0,COUNT(AA957:AC957)&gt;0),"ruwe waarden én getypt: getypte genegeerd",IF(COUNTA(B957:Z957,AA957:AC957)&gt;COUNT(B957:Z957,AA957:AC957),"tekst telt niet mee",IF(COUNT(B957:Z957)=1,"1 waarde: geen R of s","")))</f>
        <v/>
      </c>
    </row>
    <row r="958">
      <c r="A958" t="n">
        <v>907</v>
      </c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28">
        <f>IF(COUNT(B958:Z958)&gt;0,COUNT(B958:Z958),IF(OR(ISNUMBER(AA958),ISNUMBER(AB958)),$B$9,""))</f>
        <v/>
      </c>
      <c r="AE958" s="29">
        <f>IF(COUNT(B958:Z958)&gt;0,AVERAGE(B958:Z958),IF(ISNUMBER(AA958),AA958,""))</f>
        <v/>
      </c>
      <c r="AF958" s="29">
        <f>IF(COUNT(B958:Z958)&gt;1,MAX(B958:Z958)-MIN(B958:Z958),IF(ISNUMBER(AB958),AB958,""))</f>
        <v/>
      </c>
      <c r="AG958" s="29">
        <f>IF(COUNT(B958:Z958)&gt;1,_xlfn.STDEV.S(B958:Z958),IF(ISNUMBER(AC958),AC958,""))</f>
        <v/>
      </c>
      <c r="AH958" s="13">
        <f>IF(AND(ISNUMBER(AE958),ISNUMBER($B$23),ISNUMBER($D$23)),IF(AE958&gt;$D$23,"boven UCL",IF(AE958&lt;$B$23,"onder LCL","")),"")</f>
        <v/>
      </c>
      <c r="AI958" s="13">
        <f>IF(AND(ISNUMBER(AF958),ISNUMBER($B$24),ISNUMBER($D$24)),IF(AF958&gt;$D$24,"boven UCL",IF(AF958&lt;$B$24,"onder LCL","")),"")</f>
        <v/>
      </c>
      <c r="AJ958" s="13">
        <f>IF(AND(ISNUMBER(AE958),ISNUMBER($B$25),ISNUMBER($D$25)),IF(AE958&gt;$D$25,"boven UCL",IF(AE958&lt;$B$25,"onder LCL","")),"")</f>
        <v/>
      </c>
      <c r="AK958" s="13">
        <f>IF(AND(ISNUMBER(AG958),ISNUMBER($B$26),ISNUMBER($D$26)),IF(AG958&gt;$D$26,"boven UCL",IF(AG958&lt;$B$26,"onder LCL","")),"")</f>
        <v/>
      </c>
      <c r="AL958" s="13">
        <f>IF(AND(COUNT(B958:Z958)&gt;0,COUNT(AA958:AC958)&gt;0),"ruwe waarden én getypt: getypte genegeerd",IF(COUNTA(B958:Z958,AA958:AC958)&gt;COUNT(B958:Z958,AA958:AC958),"tekst telt niet mee",IF(COUNT(B958:Z958)=1,"1 waarde: geen R of s","")))</f>
        <v/>
      </c>
    </row>
    <row r="959">
      <c r="A959" t="n">
        <v>908</v>
      </c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28">
        <f>IF(COUNT(B959:Z959)&gt;0,COUNT(B959:Z959),IF(OR(ISNUMBER(AA959),ISNUMBER(AB959)),$B$9,""))</f>
        <v/>
      </c>
      <c r="AE959" s="29">
        <f>IF(COUNT(B959:Z959)&gt;0,AVERAGE(B959:Z959),IF(ISNUMBER(AA959),AA959,""))</f>
        <v/>
      </c>
      <c r="AF959" s="29">
        <f>IF(COUNT(B959:Z959)&gt;1,MAX(B959:Z959)-MIN(B959:Z959),IF(ISNUMBER(AB959),AB959,""))</f>
        <v/>
      </c>
      <c r="AG959" s="29">
        <f>IF(COUNT(B959:Z959)&gt;1,_xlfn.STDEV.S(B959:Z959),IF(ISNUMBER(AC959),AC959,""))</f>
        <v/>
      </c>
      <c r="AH959" s="13">
        <f>IF(AND(ISNUMBER(AE959),ISNUMBER($B$23),ISNUMBER($D$23)),IF(AE959&gt;$D$23,"boven UCL",IF(AE959&lt;$B$23,"onder LCL","")),"")</f>
        <v/>
      </c>
      <c r="AI959" s="13">
        <f>IF(AND(ISNUMBER(AF959),ISNUMBER($B$24),ISNUMBER($D$24)),IF(AF959&gt;$D$24,"boven UCL",IF(AF959&lt;$B$24,"onder LCL","")),"")</f>
        <v/>
      </c>
      <c r="AJ959" s="13">
        <f>IF(AND(ISNUMBER(AE959),ISNUMBER($B$25),ISNUMBER($D$25)),IF(AE959&gt;$D$25,"boven UCL",IF(AE959&lt;$B$25,"onder LCL","")),"")</f>
        <v/>
      </c>
      <c r="AK959" s="13">
        <f>IF(AND(ISNUMBER(AG959),ISNUMBER($B$26),ISNUMBER($D$26)),IF(AG959&gt;$D$26,"boven UCL",IF(AG959&lt;$B$26,"onder LCL","")),"")</f>
        <v/>
      </c>
      <c r="AL959" s="13">
        <f>IF(AND(COUNT(B959:Z959)&gt;0,COUNT(AA959:AC959)&gt;0),"ruwe waarden én getypt: getypte genegeerd",IF(COUNTA(B959:Z959,AA959:AC959)&gt;COUNT(B959:Z959,AA959:AC959),"tekst telt niet mee",IF(COUNT(B959:Z959)=1,"1 waarde: geen R of s","")))</f>
        <v/>
      </c>
    </row>
    <row r="960">
      <c r="A960" t="n">
        <v>909</v>
      </c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28">
        <f>IF(COUNT(B960:Z960)&gt;0,COUNT(B960:Z960),IF(OR(ISNUMBER(AA960),ISNUMBER(AB960)),$B$9,""))</f>
        <v/>
      </c>
      <c r="AE960" s="29">
        <f>IF(COUNT(B960:Z960)&gt;0,AVERAGE(B960:Z960),IF(ISNUMBER(AA960),AA960,""))</f>
        <v/>
      </c>
      <c r="AF960" s="29">
        <f>IF(COUNT(B960:Z960)&gt;1,MAX(B960:Z960)-MIN(B960:Z960),IF(ISNUMBER(AB960),AB960,""))</f>
        <v/>
      </c>
      <c r="AG960" s="29">
        <f>IF(COUNT(B960:Z960)&gt;1,_xlfn.STDEV.S(B960:Z960),IF(ISNUMBER(AC960),AC960,""))</f>
        <v/>
      </c>
      <c r="AH960" s="13">
        <f>IF(AND(ISNUMBER(AE960),ISNUMBER($B$23),ISNUMBER($D$23)),IF(AE960&gt;$D$23,"boven UCL",IF(AE960&lt;$B$23,"onder LCL","")),"")</f>
        <v/>
      </c>
      <c r="AI960" s="13">
        <f>IF(AND(ISNUMBER(AF960),ISNUMBER($B$24),ISNUMBER($D$24)),IF(AF960&gt;$D$24,"boven UCL",IF(AF960&lt;$B$24,"onder LCL","")),"")</f>
        <v/>
      </c>
      <c r="AJ960" s="13">
        <f>IF(AND(ISNUMBER(AE960),ISNUMBER($B$25),ISNUMBER($D$25)),IF(AE960&gt;$D$25,"boven UCL",IF(AE960&lt;$B$25,"onder LCL","")),"")</f>
        <v/>
      </c>
      <c r="AK960" s="13">
        <f>IF(AND(ISNUMBER(AG960),ISNUMBER($B$26),ISNUMBER($D$26)),IF(AG960&gt;$D$26,"boven UCL",IF(AG960&lt;$B$26,"onder LCL","")),"")</f>
        <v/>
      </c>
      <c r="AL960" s="13">
        <f>IF(AND(COUNT(B960:Z960)&gt;0,COUNT(AA960:AC960)&gt;0),"ruwe waarden én getypt: getypte genegeerd",IF(COUNTA(B960:Z960,AA960:AC960)&gt;COUNT(B960:Z960,AA960:AC960),"tekst telt niet mee",IF(COUNT(B960:Z960)=1,"1 waarde: geen R of s","")))</f>
        <v/>
      </c>
    </row>
    <row r="961">
      <c r="A961" t="n">
        <v>910</v>
      </c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28">
        <f>IF(COUNT(B961:Z961)&gt;0,COUNT(B961:Z961),IF(OR(ISNUMBER(AA961),ISNUMBER(AB961)),$B$9,""))</f>
        <v/>
      </c>
      <c r="AE961" s="29">
        <f>IF(COUNT(B961:Z961)&gt;0,AVERAGE(B961:Z961),IF(ISNUMBER(AA961),AA961,""))</f>
        <v/>
      </c>
      <c r="AF961" s="29">
        <f>IF(COUNT(B961:Z961)&gt;1,MAX(B961:Z961)-MIN(B961:Z961),IF(ISNUMBER(AB961),AB961,""))</f>
        <v/>
      </c>
      <c r="AG961" s="29">
        <f>IF(COUNT(B961:Z961)&gt;1,_xlfn.STDEV.S(B961:Z961),IF(ISNUMBER(AC961),AC961,""))</f>
        <v/>
      </c>
      <c r="AH961" s="13">
        <f>IF(AND(ISNUMBER(AE961),ISNUMBER($B$23),ISNUMBER($D$23)),IF(AE961&gt;$D$23,"boven UCL",IF(AE961&lt;$B$23,"onder LCL","")),"")</f>
        <v/>
      </c>
      <c r="AI961" s="13">
        <f>IF(AND(ISNUMBER(AF961),ISNUMBER($B$24),ISNUMBER($D$24)),IF(AF961&gt;$D$24,"boven UCL",IF(AF961&lt;$B$24,"onder LCL","")),"")</f>
        <v/>
      </c>
      <c r="AJ961" s="13">
        <f>IF(AND(ISNUMBER(AE961),ISNUMBER($B$25),ISNUMBER($D$25)),IF(AE961&gt;$D$25,"boven UCL",IF(AE961&lt;$B$25,"onder LCL","")),"")</f>
        <v/>
      </c>
      <c r="AK961" s="13">
        <f>IF(AND(ISNUMBER(AG961),ISNUMBER($B$26),ISNUMBER($D$26)),IF(AG961&gt;$D$26,"boven UCL",IF(AG961&lt;$B$26,"onder LCL","")),"")</f>
        <v/>
      </c>
      <c r="AL961" s="13">
        <f>IF(AND(COUNT(B961:Z961)&gt;0,COUNT(AA961:AC961)&gt;0),"ruwe waarden én getypt: getypte genegeerd",IF(COUNTA(B961:Z961,AA961:AC961)&gt;COUNT(B961:Z961,AA961:AC961),"tekst telt niet mee",IF(COUNT(B961:Z961)=1,"1 waarde: geen R of s","")))</f>
        <v/>
      </c>
    </row>
    <row r="962">
      <c r="A962" t="n">
        <v>911</v>
      </c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28">
        <f>IF(COUNT(B962:Z962)&gt;0,COUNT(B962:Z962),IF(OR(ISNUMBER(AA962),ISNUMBER(AB962)),$B$9,""))</f>
        <v/>
      </c>
      <c r="AE962" s="29">
        <f>IF(COUNT(B962:Z962)&gt;0,AVERAGE(B962:Z962),IF(ISNUMBER(AA962),AA962,""))</f>
        <v/>
      </c>
      <c r="AF962" s="29">
        <f>IF(COUNT(B962:Z962)&gt;1,MAX(B962:Z962)-MIN(B962:Z962),IF(ISNUMBER(AB962),AB962,""))</f>
        <v/>
      </c>
      <c r="AG962" s="29">
        <f>IF(COUNT(B962:Z962)&gt;1,_xlfn.STDEV.S(B962:Z962),IF(ISNUMBER(AC962),AC962,""))</f>
        <v/>
      </c>
      <c r="AH962" s="13">
        <f>IF(AND(ISNUMBER(AE962),ISNUMBER($B$23),ISNUMBER($D$23)),IF(AE962&gt;$D$23,"boven UCL",IF(AE962&lt;$B$23,"onder LCL","")),"")</f>
        <v/>
      </c>
      <c r="AI962" s="13">
        <f>IF(AND(ISNUMBER(AF962),ISNUMBER($B$24),ISNUMBER($D$24)),IF(AF962&gt;$D$24,"boven UCL",IF(AF962&lt;$B$24,"onder LCL","")),"")</f>
        <v/>
      </c>
      <c r="AJ962" s="13">
        <f>IF(AND(ISNUMBER(AE962),ISNUMBER($B$25),ISNUMBER($D$25)),IF(AE962&gt;$D$25,"boven UCL",IF(AE962&lt;$B$25,"onder LCL","")),"")</f>
        <v/>
      </c>
      <c r="AK962" s="13">
        <f>IF(AND(ISNUMBER(AG962),ISNUMBER($B$26),ISNUMBER($D$26)),IF(AG962&gt;$D$26,"boven UCL",IF(AG962&lt;$B$26,"onder LCL","")),"")</f>
        <v/>
      </c>
      <c r="AL962" s="13">
        <f>IF(AND(COUNT(B962:Z962)&gt;0,COUNT(AA962:AC962)&gt;0),"ruwe waarden én getypt: getypte genegeerd",IF(COUNTA(B962:Z962,AA962:AC962)&gt;COUNT(B962:Z962,AA962:AC962),"tekst telt niet mee",IF(COUNT(B962:Z962)=1,"1 waarde: geen R of s","")))</f>
        <v/>
      </c>
    </row>
    <row r="963">
      <c r="A963" t="n">
        <v>912</v>
      </c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28">
        <f>IF(COUNT(B963:Z963)&gt;0,COUNT(B963:Z963),IF(OR(ISNUMBER(AA963),ISNUMBER(AB963)),$B$9,""))</f>
        <v/>
      </c>
      <c r="AE963" s="29">
        <f>IF(COUNT(B963:Z963)&gt;0,AVERAGE(B963:Z963),IF(ISNUMBER(AA963),AA963,""))</f>
        <v/>
      </c>
      <c r="AF963" s="29">
        <f>IF(COUNT(B963:Z963)&gt;1,MAX(B963:Z963)-MIN(B963:Z963),IF(ISNUMBER(AB963),AB963,""))</f>
        <v/>
      </c>
      <c r="AG963" s="29">
        <f>IF(COUNT(B963:Z963)&gt;1,_xlfn.STDEV.S(B963:Z963),IF(ISNUMBER(AC963),AC963,""))</f>
        <v/>
      </c>
      <c r="AH963" s="13">
        <f>IF(AND(ISNUMBER(AE963),ISNUMBER($B$23),ISNUMBER($D$23)),IF(AE963&gt;$D$23,"boven UCL",IF(AE963&lt;$B$23,"onder LCL","")),"")</f>
        <v/>
      </c>
      <c r="AI963" s="13">
        <f>IF(AND(ISNUMBER(AF963),ISNUMBER($B$24),ISNUMBER($D$24)),IF(AF963&gt;$D$24,"boven UCL",IF(AF963&lt;$B$24,"onder LCL","")),"")</f>
        <v/>
      </c>
      <c r="AJ963" s="13">
        <f>IF(AND(ISNUMBER(AE963),ISNUMBER($B$25),ISNUMBER($D$25)),IF(AE963&gt;$D$25,"boven UCL",IF(AE963&lt;$B$25,"onder LCL","")),"")</f>
        <v/>
      </c>
      <c r="AK963" s="13">
        <f>IF(AND(ISNUMBER(AG963),ISNUMBER($B$26),ISNUMBER($D$26)),IF(AG963&gt;$D$26,"boven UCL",IF(AG963&lt;$B$26,"onder LCL","")),"")</f>
        <v/>
      </c>
      <c r="AL963" s="13">
        <f>IF(AND(COUNT(B963:Z963)&gt;0,COUNT(AA963:AC963)&gt;0),"ruwe waarden én getypt: getypte genegeerd",IF(COUNTA(B963:Z963,AA963:AC963)&gt;COUNT(B963:Z963,AA963:AC963),"tekst telt niet mee",IF(COUNT(B963:Z963)=1,"1 waarde: geen R of s","")))</f>
        <v/>
      </c>
    </row>
    <row r="964">
      <c r="A964" t="n">
        <v>913</v>
      </c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28">
        <f>IF(COUNT(B964:Z964)&gt;0,COUNT(B964:Z964),IF(OR(ISNUMBER(AA964),ISNUMBER(AB964)),$B$9,""))</f>
        <v/>
      </c>
      <c r="AE964" s="29">
        <f>IF(COUNT(B964:Z964)&gt;0,AVERAGE(B964:Z964),IF(ISNUMBER(AA964),AA964,""))</f>
        <v/>
      </c>
      <c r="AF964" s="29">
        <f>IF(COUNT(B964:Z964)&gt;1,MAX(B964:Z964)-MIN(B964:Z964),IF(ISNUMBER(AB964),AB964,""))</f>
        <v/>
      </c>
      <c r="AG964" s="29">
        <f>IF(COUNT(B964:Z964)&gt;1,_xlfn.STDEV.S(B964:Z964),IF(ISNUMBER(AC964),AC964,""))</f>
        <v/>
      </c>
      <c r="AH964" s="13">
        <f>IF(AND(ISNUMBER(AE964),ISNUMBER($B$23),ISNUMBER($D$23)),IF(AE964&gt;$D$23,"boven UCL",IF(AE964&lt;$B$23,"onder LCL","")),"")</f>
        <v/>
      </c>
      <c r="AI964" s="13">
        <f>IF(AND(ISNUMBER(AF964),ISNUMBER($B$24),ISNUMBER($D$24)),IF(AF964&gt;$D$24,"boven UCL",IF(AF964&lt;$B$24,"onder LCL","")),"")</f>
        <v/>
      </c>
      <c r="AJ964" s="13">
        <f>IF(AND(ISNUMBER(AE964),ISNUMBER($B$25),ISNUMBER($D$25)),IF(AE964&gt;$D$25,"boven UCL",IF(AE964&lt;$B$25,"onder LCL","")),"")</f>
        <v/>
      </c>
      <c r="AK964" s="13">
        <f>IF(AND(ISNUMBER(AG964),ISNUMBER($B$26),ISNUMBER($D$26)),IF(AG964&gt;$D$26,"boven UCL",IF(AG964&lt;$B$26,"onder LCL","")),"")</f>
        <v/>
      </c>
      <c r="AL964" s="13">
        <f>IF(AND(COUNT(B964:Z964)&gt;0,COUNT(AA964:AC964)&gt;0),"ruwe waarden én getypt: getypte genegeerd",IF(COUNTA(B964:Z964,AA964:AC964)&gt;COUNT(B964:Z964,AA964:AC964),"tekst telt niet mee",IF(COUNT(B964:Z964)=1,"1 waarde: geen R of s","")))</f>
        <v/>
      </c>
    </row>
    <row r="965">
      <c r="A965" t="n">
        <v>914</v>
      </c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28">
        <f>IF(COUNT(B965:Z965)&gt;0,COUNT(B965:Z965),IF(OR(ISNUMBER(AA965),ISNUMBER(AB965)),$B$9,""))</f>
        <v/>
      </c>
      <c r="AE965" s="29">
        <f>IF(COUNT(B965:Z965)&gt;0,AVERAGE(B965:Z965),IF(ISNUMBER(AA965),AA965,""))</f>
        <v/>
      </c>
      <c r="AF965" s="29">
        <f>IF(COUNT(B965:Z965)&gt;1,MAX(B965:Z965)-MIN(B965:Z965),IF(ISNUMBER(AB965),AB965,""))</f>
        <v/>
      </c>
      <c r="AG965" s="29">
        <f>IF(COUNT(B965:Z965)&gt;1,_xlfn.STDEV.S(B965:Z965),IF(ISNUMBER(AC965),AC965,""))</f>
        <v/>
      </c>
      <c r="AH965" s="13">
        <f>IF(AND(ISNUMBER(AE965),ISNUMBER($B$23),ISNUMBER($D$23)),IF(AE965&gt;$D$23,"boven UCL",IF(AE965&lt;$B$23,"onder LCL","")),"")</f>
        <v/>
      </c>
      <c r="AI965" s="13">
        <f>IF(AND(ISNUMBER(AF965),ISNUMBER($B$24),ISNUMBER($D$24)),IF(AF965&gt;$D$24,"boven UCL",IF(AF965&lt;$B$24,"onder LCL","")),"")</f>
        <v/>
      </c>
      <c r="AJ965" s="13">
        <f>IF(AND(ISNUMBER(AE965),ISNUMBER($B$25),ISNUMBER($D$25)),IF(AE965&gt;$D$25,"boven UCL",IF(AE965&lt;$B$25,"onder LCL","")),"")</f>
        <v/>
      </c>
      <c r="AK965" s="13">
        <f>IF(AND(ISNUMBER(AG965),ISNUMBER($B$26),ISNUMBER($D$26)),IF(AG965&gt;$D$26,"boven UCL",IF(AG965&lt;$B$26,"onder LCL","")),"")</f>
        <v/>
      </c>
      <c r="AL965" s="13">
        <f>IF(AND(COUNT(B965:Z965)&gt;0,COUNT(AA965:AC965)&gt;0),"ruwe waarden én getypt: getypte genegeerd",IF(COUNTA(B965:Z965,AA965:AC965)&gt;COUNT(B965:Z965,AA965:AC965),"tekst telt niet mee",IF(COUNT(B965:Z965)=1,"1 waarde: geen R of s","")))</f>
        <v/>
      </c>
    </row>
    <row r="966">
      <c r="A966" t="n">
        <v>915</v>
      </c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28">
        <f>IF(COUNT(B966:Z966)&gt;0,COUNT(B966:Z966),IF(OR(ISNUMBER(AA966),ISNUMBER(AB966)),$B$9,""))</f>
        <v/>
      </c>
      <c r="AE966" s="29">
        <f>IF(COUNT(B966:Z966)&gt;0,AVERAGE(B966:Z966),IF(ISNUMBER(AA966),AA966,""))</f>
        <v/>
      </c>
      <c r="AF966" s="29">
        <f>IF(COUNT(B966:Z966)&gt;1,MAX(B966:Z966)-MIN(B966:Z966),IF(ISNUMBER(AB966),AB966,""))</f>
        <v/>
      </c>
      <c r="AG966" s="29">
        <f>IF(COUNT(B966:Z966)&gt;1,_xlfn.STDEV.S(B966:Z966),IF(ISNUMBER(AC966),AC966,""))</f>
        <v/>
      </c>
      <c r="AH966" s="13">
        <f>IF(AND(ISNUMBER(AE966),ISNUMBER($B$23),ISNUMBER($D$23)),IF(AE966&gt;$D$23,"boven UCL",IF(AE966&lt;$B$23,"onder LCL","")),"")</f>
        <v/>
      </c>
      <c r="AI966" s="13">
        <f>IF(AND(ISNUMBER(AF966),ISNUMBER($B$24),ISNUMBER($D$24)),IF(AF966&gt;$D$24,"boven UCL",IF(AF966&lt;$B$24,"onder LCL","")),"")</f>
        <v/>
      </c>
      <c r="AJ966" s="13">
        <f>IF(AND(ISNUMBER(AE966),ISNUMBER($B$25),ISNUMBER($D$25)),IF(AE966&gt;$D$25,"boven UCL",IF(AE966&lt;$B$25,"onder LCL","")),"")</f>
        <v/>
      </c>
      <c r="AK966" s="13">
        <f>IF(AND(ISNUMBER(AG966),ISNUMBER($B$26),ISNUMBER($D$26)),IF(AG966&gt;$D$26,"boven UCL",IF(AG966&lt;$B$26,"onder LCL","")),"")</f>
        <v/>
      </c>
      <c r="AL966" s="13">
        <f>IF(AND(COUNT(B966:Z966)&gt;0,COUNT(AA966:AC966)&gt;0),"ruwe waarden én getypt: getypte genegeerd",IF(COUNTA(B966:Z966,AA966:AC966)&gt;COUNT(B966:Z966,AA966:AC966),"tekst telt niet mee",IF(COUNT(B966:Z966)=1,"1 waarde: geen R of s","")))</f>
        <v/>
      </c>
    </row>
    <row r="967">
      <c r="A967" t="n">
        <v>916</v>
      </c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28">
        <f>IF(COUNT(B967:Z967)&gt;0,COUNT(B967:Z967),IF(OR(ISNUMBER(AA967),ISNUMBER(AB967)),$B$9,""))</f>
        <v/>
      </c>
      <c r="AE967" s="29">
        <f>IF(COUNT(B967:Z967)&gt;0,AVERAGE(B967:Z967),IF(ISNUMBER(AA967),AA967,""))</f>
        <v/>
      </c>
      <c r="AF967" s="29">
        <f>IF(COUNT(B967:Z967)&gt;1,MAX(B967:Z967)-MIN(B967:Z967),IF(ISNUMBER(AB967),AB967,""))</f>
        <v/>
      </c>
      <c r="AG967" s="29">
        <f>IF(COUNT(B967:Z967)&gt;1,_xlfn.STDEV.S(B967:Z967),IF(ISNUMBER(AC967),AC967,""))</f>
        <v/>
      </c>
      <c r="AH967" s="13">
        <f>IF(AND(ISNUMBER(AE967),ISNUMBER($B$23),ISNUMBER($D$23)),IF(AE967&gt;$D$23,"boven UCL",IF(AE967&lt;$B$23,"onder LCL","")),"")</f>
        <v/>
      </c>
      <c r="AI967" s="13">
        <f>IF(AND(ISNUMBER(AF967),ISNUMBER($B$24),ISNUMBER($D$24)),IF(AF967&gt;$D$24,"boven UCL",IF(AF967&lt;$B$24,"onder LCL","")),"")</f>
        <v/>
      </c>
      <c r="AJ967" s="13">
        <f>IF(AND(ISNUMBER(AE967),ISNUMBER($B$25),ISNUMBER($D$25)),IF(AE967&gt;$D$25,"boven UCL",IF(AE967&lt;$B$25,"onder LCL","")),"")</f>
        <v/>
      </c>
      <c r="AK967" s="13">
        <f>IF(AND(ISNUMBER(AG967),ISNUMBER($B$26),ISNUMBER($D$26)),IF(AG967&gt;$D$26,"boven UCL",IF(AG967&lt;$B$26,"onder LCL","")),"")</f>
        <v/>
      </c>
      <c r="AL967" s="13">
        <f>IF(AND(COUNT(B967:Z967)&gt;0,COUNT(AA967:AC967)&gt;0),"ruwe waarden én getypt: getypte genegeerd",IF(COUNTA(B967:Z967,AA967:AC967)&gt;COUNT(B967:Z967,AA967:AC967),"tekst telt niet mee",IF(COUNT(B967:Z967)=1,"1 waarde: geen R of s","")))</f>
        <v/>
      </c>
    </row>
    <row r="968">
      <c r="A968" t="n">
        <v>917</v>
      </c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28">
        <f>IF(COUNT(B968:Z968)&gt;0,COUNT(B968:Z968),IF(OR(ISNUMBER(AA968),ISNUMBER(AB968)),$B$9,""))</f>
        <v/>
      </c>
      <c r="AE968" s="29">
        <f>IF(COUNT(B968:Z968)&gt;0,AVERAGE(B968:Z968),IF(ISNUMBER(AA968),AA968,""))</f>
        <v/>
      </c>
      <c r="AF968" s="29">
        <f>IF(COUNT(B968:Z968)&gt;1,MAX(B968:Z968)-MIN(B968:Z968),IF(ISNUMBER(AB968),AB968,""))</f>
        <v/>
      </c>
      <c r="AG968" s="29">
        <f>IF(COUNT(B968:Z968)&gt;1,_xlfn.STDEV.S(B968:Z968),IF(ISNUMBER(AC968),AC968,""))</f>
        <v/>
      </c>
      <c r="AH968" s="13">
        <f>IF(AND(ISNUMBER(AE968),ISNUMBER($B$23),ISNUMBER($D$23)),IF(AE968&gt;$D$23,"boven UCL",IF(AE968&lt;$B$23,"onder LCL","")),"")</f>
        <v/>
      </c>
      <c r="AI968" s="13">
        <f>IF(AND(ISNUMBER(AF968),ISNUMBER($B$24),ISNUMBER($D$24)),IF(AF968&gt;$D$24,"boven UCL",IF(AF968&lt;$B$24,"onder LCL","")),"")</f>
        <v/>
      </c>
      <c r="AJ968" s="13">
        <f>IF(AND(ISNUMBER(AE968),ISNUMBER($B$25),ISNUMBER($D$25)),IF(AE968&gt;$D$25,"boven UCL",IF(AE968&lt;$B$25,"onder LCL","")),"")</f>
        <v/>
      </c>
      <c r="AK968" s="13">
        <f>IF(AND(ISNUMBER(AG968),ISNUMBER($B$26),ISNUMBER($D$26)),IF(AG968&gt;$D$26,"boven UCL",IF(AG968&lt;$B$26,"onder LCL","")),"")</f>
        <v/>
      </c>
      <c r="AL968" s="13">
        <f>IF(AND(COUNT(B968:Z968)&gt;0,COUNT(AA968:AC968)&gt;0),"ruwe waarden én getypt: getypte genegeerd",IF(COUNTA(B968:Z968,AA968:AC968)&gt;COUNT(B968:Z968,AA968:AC968),"tekst telt niet mee",IF(COUNT(B968:Z968)=1,"1 waarde: geen R of s","")))</f>
        <v/>
      </c>
    </row>
    <row r="969">
      <c r="A969" t="n">
        <v>918</v>
      </c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28">
        <f>IF(COUNT(B969:Z969)&gt;0,COUNT(B969:Z969),IF(OR(ISNUMBER(AA969),ISNUMBER(AB969)),$B$9,""))</f>
        <v/>
      </c>
      <c r="AE969" s="29">
        <f>IF(COUNT(B969:Z969)&gt;0,AVERAGE(B969:Z969),IF(ISNUMBER(AA969),AA969,""))</f>
        <v/>
      </c>
      <c r="AF969" s="29">
        <f>IF(COUNT(B969:Z969)&gt;1,MAX(B969:Z969)-MIN(B969:Z969),IF(ISNUMBER(AB969),AB969,""))</f>
        <v/>
      </c>
      <c r="AG969" s="29">
        <f>IF(COUNT(B969:Z969)&gt;1,_xlfn.STDEV.S(B969:Z969),IF(ISNUMBER(AC969),AC969,""))</f>
        <v/>
      </c>
      <c r="AH969" s="13">
        <f>IF(AND(ISNUMBER(AE969),ISNUMBER($B$23),ISNUMBER($D$23)),IF(AE969&gt;$D$23,"boven UCL",IF(AE969&lt;$B$23,"onder LCL","")),"")</f>
        <v/>
      </c>
      <c r="AI969" s="13">
        <f>IF(AND(ISNUMBER(AF969),ISNUMBER($B$24),ISNUMBER($D$24)),IF(AF969&gt;$D$24,"boven UCL",IF(AF969&lt;$B$24,"onder LCL","")),"")</f>
        <v/>
      </c>
      <c r="AJ969" s="13">
        <f>IF(AND(ISNUMBER(AE969),ISNUMBER($B$25),ISNUMBER($D$25)),IF(AE969&gt;$D$25,"boven UCL",IF(AE969&lt;$B$25,"onder LCL","")),"")</f>
        <v/>
      </c>
      <c r="AK969" s="13">
        <f>IF(AND(ISNUMBER(AG969),ISNUMBER($B$26),ISNUMBER($D$26)),IF(AG969&gt;$D$26,"boven UCL",IF(AG969&lt;$B$26,"onder LCL","")),"")</f>
        <v/>
      </c>
      <c r="AL969" s="13">
        <f>IF(AND(COUNT(B969:Z969)&gt;0,COUNT(AA969:AC969)&gt;0),"ruwe waarden én getypt: getypte genegeerd",IF(COUNTA(B969:Z969,AA969:AC969)&gt;COUNT(B969:Z969,AA969:AC969),"tekst telt niet mee",IF(COUNT(B969:Z969)=1,"1 waarde: geen R of s","")))</f>
        <v/>
      </c>
    </row>
    <row r="970">
      <c r="A970" t="n">
        <v>919</v>
      </c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28">
        <f>IF(COUNT(B970:Z970)&gt;0,COUNT(B970:Z970),IF(OR(ISNUMBER(AA970),ISNUMBER(AB970)),$B$9,""))</f>
        <v/>
      </c>
      <c r="AE970" s="29">
        <f>IF(COUNT(B970:Z970)&gt;0,AVERAGE(B970:Z970),IF(ISNUMBER(AA970),AA970,""))</f>
        <v/>
      </c>
      <c r="AF970" s="29">
        <f>IF(COUNT(B970:Z970)&gt;1,MAX(B970:Z970)-MIN(B970:Z970),IF(ISNUMBER(AB970),AB970,""))</f>
        <v/>
      </c>
      <c r="AG970" s="29">
        <f>IF(COUNT(B970:Z970)&gt;1,_xlfn.STDEV.S(B970:Z970),IF(ISNUMBER(AC970),AC970,""))</f>
        <v/>
      </c>
      <c r="AH970" s="13">
        <f>IF(AND(ISNUMBER(AE970),ISNUMBER($B$23),ISNUMBER($D$23)),IF(AE970&gt;$D$23,"boven UCL",IF(AE970&lt;$B$23,"onder LCL","")),"")</f>
        <v/>
      </c>
      <c r="AI970" s="13">
        <f>IF(AND(ISNUMBER(AF970),ISNUMBER($B$24),ISNUMBER($D$24)),IF(AF970&gt;$D$24,"boven UCL",IF(AF970&lt;$B$24,"onder LCL","")),"")</f>
        <v/>
      </c>
      <c r="AJ970" s="13">
        <f>IF(AND(ISNUMBER(AE970),ISNUMBER($B$25),ISNUMBER($D$25)),IF(AE970&gt;$D$25,"boven UCL",IF(AE970&lt;$B$25,"onder LCL","")),"")</f>
        <v/>
      </c>
      <c r="AK970" s="13">
        <f>IF(AND(ISNUMBER(AG970),ISNUMBER($B$26),ISNUMBER($D$26)),IF(AG970&gt;$D$26,"boven UCL",IF(AG970&lt;$B$26,"onder LCL","")),"")</f>
        <v/>
      </c>
      <c r="AL970" s="13">
        <f>IF(AND(COUNT(B970:Z970)&gt;0,COUNT(AA970:AC970)&gt;0),"ruwe waarden én getypt: getypte genegeerd",IF(COUNTA(B970:Z970,AA970:AC970)&gt;COUNT(B970:Z970,AA970:AC970),"tekst telt niet mee",IF(COUNT(B970:Z970)=1,"1 waarde: geen R of s","")))</f>
        <v/>
      </c>
    </row>
    <row r="971">
      <c r="A971" t="n">
        <v>920</v>
      </c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28">
        <f>IF(COUNT(B971:Z971)&gt;0,COUNT(B971:Z971),IF(OR(ISNUMBER(AA971),ISNUMBER(AB971)),$B$9,""))</f>
        <v/>
      </c>
      <c r="AE971" s="29">
        <f>IF(COUNT(B971:Z971)&gt;0,AVERAGE(B971:Z971),IF(ISNUMBER(AA971),AA971,""))</f>
        <v/>
      </c>
      <c r="AF971" s="29">
        <f>IF(COUNT(B971:Z971)&gt;1,MAX(B971:Z971)-MIN(B971:Z971),IF(ISNUMBER(AB971),AB971,""))</f>
        <v/>
      </c>
      <c r="AG971" s="29">
        <f>IF(COUNT(B971:Z971)&gt;1,_xlfn.STDEV.S(B971:Z971),IF(ISNUMBER(AC971),AC971,""))</f>
        <v/>
      </c>
      <c r="AH971" s="13">
        <f>IF(AND(ISNUMBER(AE971),ISNUMBER($B$23),ISNUMBER($D$23)),IF(AE971&gt;$D$23,"boven UCL",IF(AE971&lt;$B$23,"onder LCL","")),"")</f>
        <v/>
      </c>
      <c r="AI971" s="13">
        <f>IF(AND(ISNUMBER(AF971),ISNUMBER($B$24),ISNUMBER($D$24)),IF(AF971&gt;$D$24,"boven UCL",IF(AF971&lt;$B$24,"onder LCL","")),"")</f>
        <v/>
      </c>
      <c r="AJ971" s="13">
        <f>IF(AND(ISNUMBER(AE971),ISNUMBER($B$25),ISNUMBER($D$25)),IF(AE971&gt;$D$25,"boven UCL",IF(AE971&lt;$B$25,"onder LCL","")),"")</f>
        <v/>
      </c>
      <c r="AK971" s="13">
        <f>IF(AND(ISNUMBER(AG971),ISNUMBER($B$26),ISNUMBER($D$26)),IF(AG971&gt;$D$26,"boven UCL",IF(AG971&lt;$B$26,"onder LCL","")),"")</f>
        <v/>
      </c>
      <c r="AL971" s="13">
        <f>IF(AND(COUNT(B971:Z971)&gt;0,COUNT(AA971:AC971)&gt;0),"ruwe waarden én getypt: getypte genegeerd",IF(COUNTA(B971:Z971,AA971:AC971)&gt;COUNT(B971:Z971,AA971:AC971),"tekst telt niet mee",IF(COUNT(B971:Z971)=1,"1 waarde: geen R of s","")))</f>
        <v/>
      </c>
    </row>
    <row r="972">
      <c r="A972" t="n">
        <v>921</v>
      </c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28">
        <f>IF(COUNT(B972:Z972)&gt;0,COUNT(B972:Z972),IF(OR(ISNUMBER(AA972),ISNUMBER(AB972)),$B$9,""))</f>
        <v/>
      </c>
      <c r="AE972" s="29">
        <f>IF(COUNT(B972:Z972)&gt;0,AVERAGE(B972:Z972),IF(ISNUMBER(AA972),AA972,""))</f>
        <v/>
      </c>
      <c r="AF972" s="29">
        <f>IF(COUNT(B972:Z972)&gt;1,MAX(B972:Z972)-MIN(B972:Z972),IF(ISNUMBER(AB972),AB972,""))</f>
        <v/>
      </c>
      <c r="AG972" s="29">
        <f>IF(COUNT(B972:Z972)&gt;1,_xlfn.STDEV.S(B972:Z972),IF(ISNUMBER(AC972),AC972,""))</f>
        <v/>
      </c>
      <c r="AH972" s="13">
        <f>IF(AND(ISNUMBER(AE972),ISNUMBER($B$23),ISNUMBER($D$23)),IF(AE972&gt;$D$23,"boven UCL",IF(AE972&lt;$B$23,"onder LCL","")),"")</f>
        <v/>
      </c>
      <c r="AI972" s="13">
        <f>IF(AND(ISNUMBER(AF972),ISNUMBER($B$24),ISNUMBER($D$24)),IF(AF972&gt;$D$24,"boven UCL",IF(AF972&lt;$B$24,"onder LCL","")),"")</f>
        <v/>
      </c>
      <c r="AJ972" s="13">
        <f>IF(AND(ISNUMBER(AE972),ISNUMBER($B$25),ISNUMBER($D$25)),IF(AE972&gt;$D$25,"boven UCL",IF(AE972&lt;$B$25,"onder LCL","")),"")</f>
        <v/>
      </c>
      <c r="AK972" s="13">
        <f>IF(AND(ISNUMBER(AG972),ISNUMBER($B$26),ISNUMBER($D$26)),IF(AG972&gt;$D$26,"boven UCL",IF(AG972&lt;$B$26,"onder LCL","")),"")</f>
        <v/>
      </c>
      <c r="AL972" s="13">
        <f>IF(AND(COUNT(B972:Z972)&gt;0,COUNT(AA972:AC972)&gt;0),"ruwe waarden én getypt: getypte genegeerd",IF(COUNTA(B972:Z972,AA972:AC972)&gt;COUNT(B972:Z972,AA972:AC972),"tekst telt niet mee",IF(COUNT(B972:Z972)=1,"1 waarde: geen R of s","")))</f>
        <v/>
      </c>
    </row>
    <row r="973">
      <c r="A973" t="n">
        <v>922</v>
      </c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28">
        <f>IF(COUNT(B973:Z973)&gt;0,COUNT(B973:Z973),IF(OR(ISNUMBER(AA973),ISNUMBER(AB973)),$B$9,""))</f>
        <v/>
      </c>
      <c r="AE973" s="29">
        <f>IF(COUNT(B973:Z973)&gt;0,AVERAGE(B973:Z973),IF(ISNUMBER(AA973),AA973,""))</f>
        <v/>
      </c>
      <c r="AF973" s="29">
        <f>IF(COUNT(B973:Z973)&gt;1,MAX(B973:Z973)-MIN(B973:Z973),IF(ISNUMBER(AB973),AB973,""))</f>
        <v/>
      </c>
      <c r="AG973" s="29">
        <f>IF(COUNT(B973:Z973)&gt;1,_xlfn.STDEV.S(B973:Z973),IF(ISNUMBER(AC973),AC973,""))</f>
        <v/>
      </c>
      <c r="AH973" s="13">
        <f>IF(AND(ISNUMBER(AE973),ISNUMBER($B$23),ISNUMBER($D$23)),IF(AE973&gt;$D$23,"boven UCL",IF(AE973&lt;$B$23,"onder LCL","")),"")</f>
        <v/>
      </c>
      <c r="AI973" s="13">
        <f>IF(AND(ISNUMBER(AF973),ISNUMBER($B$24),ISNUMBER($D$24)),IF(AF973&gt;$D$24,"boven UCL",IF(AF973&lt;$B$24,"onder LCL","")),"")</f>
        <v/>
      </c>
      <c r="AJ973" s="13">
        <f>IF(AND(ISNUMBER(AE973),ISNUMBER($B$25),ISNUMBER($D$25)),IF(AE973&gt;$D$25,"boven UCL",IF(AE973&lt;$B$25,"onder LCL","")),"")</f>
        <v/>
      </c>
      <c r="AK973" s="13">
        <f>IF(AND(ISNUMBER(AG973),ISNUMBER($B$26),ISNUMBER($D$26)),IF(AG973&gt;$D$26,"boven UCL",IF(AG973&lt;$B$26,"onder LCL","")),"")</f>
        <v/>
      </c>
      <c r="AL973" s="13">
        <f>IF(AND(COUNT(B973:Z973)&gt;0,COUNT(AA973:AC973)&gt;0),"ruwe waarden én getypt: getypte genegeerd",IF(COUNTA(B973:Z973,AA973:AC973)&gt;COUNT(B973:Z973,AA973:AC973),"tekst telt niet mee",IF(COUNT(B973:Z973)=1,"1 waarde: geen R of s","")))</f>
        <v/>
      </c>
    </row>
    <row r="974">
      <c r="A974" t="n">
        <v>923</v>
      </c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28">
        <f>IF(COUNT(B974:Z974)&gt;0,COUNT(B974:Z974),IF(OR(ISNUMBER(AA974),ISNUMBER(AB974)),$B$9,""))</f>
        <v/>
      </c>
      <c r="AE974" s="29">
        <f>IF(COUNT(B974:Z974)&gt;0,AVERAGE(B974:Z974),IF(ISNUMBER(AA974),AA974,""))</f>
        <v/>
      </c>
      <c r="AF974" s="29">
        <f>IF(COUNT(B974:Z974)&gt;1,MAX(B974:Z974)-MIN(B974:Z974),IF(ISNUMBER(AB974),AB974,""))</f>
        <v/>
      </c>
      <c r="AG974" s="29">
        <f>IF(COUNT(B974:Z974)&gt;1,_xlfn.STDEV.S(B974:Z974),IF(ISNUMBER(AC974),AC974,""))</f>
        <v/>
      </c>
      <c r="AH974" s="13">
        <f>IF(AND(ISNUMBER(AE974),ISNUMBER($B$23),ISNUMBER($D$23)),IF(AE974&gt;$D$23,"boven UCL",IF(AE974&lt;$B$23,"onder LCL","")),"")</f>
        <v/>
      </c>
      <c r="AI974" s="13">
        <f>IF(AND(ISNUMBER(AF974),ISNUMBER($B$24),ISNUMBER($D$24)),IF(AF974&gt;$D$24,"boven UCL",IF(AF974&lt;$B$24,"onder LCL","")),"")</f>
        <v/>
      </c>
      <c r="AJ974" s="13">
        <f>IF(AND(ISNUMBER(AE974),ISNUMBER($B$25),ISNUMBER($D$25)),IF(AE974&gt;$D$25,"boven UCL",IF(AE974&lt;$B$25,"onder LCL","")),"")</f>
        <v/>
      </c>
      <c r="AK974" s="13">
        <f>IF(AND(ISNUMBER(AG974),ISNUMBER($B$26),ISNUMBER($D$26)),IF(AG974&gt;$D$26,"boven UCL",IF(AG974&lt;$B$26,"onder LCL","")),"")</f>
        <v/>
      </c>
      <c r="AL974" s="13">
        <f>IF(AND(COUNT(B974:Z974)&gt;0,COUNT(AA974:AC974)&gt;0),"ruwe waarden én getypt: getypte genegeerd",IF(COUNTA(B974:Z974,AA974:AC974)&gt;COUNT(B974:Z974,AA974:AC974),"tekst telt niet mee",IF(COUNT(B974:Z974)=1,"1 waarde: geen R of s","")))</f>
        <v/>
      </c>
    </row>
    <row r="975">
      <c r="A975" t="n">
        <v>924</v>
      </c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28">
        <f>IF(COUNT(B975:Z975)&gt;0,COUNT(B975:Z975),IF(OR(ISNUMBER(AA975),ISNUMBER(AB975)),$B$9,""))</f>
        <v/>
      </c>
      <c r="AE975" s="29">
        <f>IF(COUNT(B975:Z975)&gt;0,AVERAGE(B975:Z975),IF(ISNUMBER(AA975),AA975,""))</f>
        <v/>
      </c>
      <c r="AF975" s="29">
        <f>IF(COUNT(B975:Z975)&gt;1,MAX(B975:Z975)-MIN(B975:Z975),IF(ISNUMBER(AB975),AB975,""))</f>
        <v/>
      </c>
      <c r="AG975" s="29">
        <f>IF(COUNT(B975:Z975)&gt;1,_xlfn.STDEV.S(B975:Z975),IF(ISNUMBER(AC975),AC975,""))</f>
        <v/>
      </c>
      <c r="AH975" s="13">
        <f>IF(AND(ISNUMBER(AE975),ISNUMBER($B$23),ISNUMBER($D$23)),IF(AE975&gt;$D$23,"boven UCL",IF(AE975&lt;$B$23,"onder LCL","")),"")</f>
        <v/>
      </c>
      <c r="AI975" s="13">
        <f>IF(AND(ISNUMBER(AF975),ISNUMBER($B$24),ISNUMBER($D$24)),IF(AF975&gt;$D$24,"boven UCL",IF(AF975&lt;$B$24,"onder LCL","")),"")</f>
        <v/>
      </c>
      <c r="AJ975" s="13">
        <f>IF(AND(ISNUMBER(AE975),ISNUMBER($B$25),ISNUMBER($D$25)),IF(AE975&gt;$D$25,"boven UCL",IF(AE975&lt;$B$25,"onder LCL","")),"")</f>
        <v/>
      </c>
      <c r="AK975" s="13">
        <f>IF(AND(ISNUMBER(AG975),ISNUMBER($B$26),ISNUMBER($D$26)),IF(AG975&gt;$D$26,"boven UCL",IF(AG975&lt;$B$26,"onder LCL","")),"")</f>
        <v/>
      </c>
      <c r="AL975" s="13">
        <f>IF(AND(COUNT(B975:Z975)&gt;0,COUNT(AA975:AC975)&gt;0),"ruwe waarden én getypt: getypte genegeerd",IF(COUNTA(B975:Z975,AA975:AC975)&gt;COUNT(B975:Z975,AA975:AC975),"tekst telt niet mee",IF(COUNT(B975:Z975)=1,"1 waarde: geen R of s","")))</f>
        <v/>
      </c>
    </row>
    <row r="976">
      <c r="A976" t="n">
        <v>925</v>
      </c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28">
        <f>IF(COUNT(B976:Z976)&gt;0,COUNT(B976:Z976),IF(OR(ISNUMBER(AA976),ISNUMBER(AB976)),$B$9,""))</f>
        <v/>
      </c>
      <c r="AE976" s="29">
        <f>IF(COUNT(B976:Z976)&gt;0,AVERAGE(B976:Z976),IF(ISNUMBER(AA976),AA976,""))</f>
        <v/>
      </c>
      <c r="AF976" s="29">
        <f>IF(COUNT(B976:Z976)&gt;1,MAX(B976:Z976)-MIN(B976:Z976),IF(ISNUMBER(AB976),AB976,""))</f>
        <v/>
      </c>
      <c r="AG976" s="29">
        <f>IF(COUNT(B976:Z976)&gt;1,_xlfn.STDEV.S(B976:Z976),IF(ISNUMBER(AC976),AC976,""))</f>
        <v/>
      </c>
      <c r="AH976" s="13">
        <f>IF(AND(ISNUMBER(AE976),ISNUMBER($B$23),ISNUMBER($D$23)),IF(AE976&gt;$D$23,"boven UCL",IF(AE976&lt;$B$23,"onder LCL","")),"")</f>
        <v/>
      </c>
      <c r="AI976" s="13">
        <f>IF(AND(ISNUMBER(AF976),ISNUMBER($B$24),ISNUMBER($D$24)),IF(AF976&gt;$D$24,"boven UCL",IF(AF976&lt;$B$24,"onder LCL","")),"")</f>
        <v/>
      </c>
      <c r="AJ976" s="13">
        <f>IF(AND(ISNUMBER(AE976),ISNUMBER($B$25),ISNUMBER($D$25)),IF(AE976&gt;$D$25,"boven UCL",IF(AE976&lt;$B$25,"onder LCL","")),"")</f>
        <v/>
      </c>
      <c r="AK976" s="13">
        <f>IF(AND(ISNUMBER(AG976),ISNUMBER($B$26),ISNUMBER($D$26)),IF(AG976&gt;$D$26,"boven UCL",IF(AG976&lt;$B$26,"onder LCL","")),"")</f>
        <v/>
      </c>
      <c r="AL976" s="13">
        <f>IF(AND(COUNT(B976:Z976)&gt;0,COUNT(AA976:AC976)&gt;0),"ruwe waarden én getypt: getypte genegeerd",IF(COUNTA(B976:Z976,AA976:AC976)&gt;COUNT(B976:Z976,AA976:AC976),"tekst telt niet mee",IF(COUNT(B976:Z976)=1,"1 waarde: geen R of s","")))</f>
        <v/>
      </c>
    </row>
    <row r="977">
      <c r="A977" t="n">
        <v>926</v>
      </c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28">
        <f>IF(COUNT(B977:Z977)&gt;0,COUNT(B977:Z977),IF(OR(ISNUMBER(AA977),ISNUMBER(AB977)),$B$9,""))</f>
        <v/>
      </c>
      <c r="AE977" s="29">
        <f>IF(COUNT(B977:Z977)&gt;0,AVERAGE(B977:Z977),IF(ISNUMBER(AA977),AA977,""))</f>
        <v/>
      </c>
      <c r="AF977" s="29">
        <f>IF(COUNT(B977:Z977)&gt;1,MAX(B977:Z977)-MIN(B977:Z977),IF(ISNUMBER(AB977),AB977,""))</f>
        <v/>
      </c>
      <c r="AG977" s="29">
        <f>IF(COUNT(B977:Z977)&gt;1,_xlfn.STDEV.S(B977:Z977),IF(ISNUMBER(AC977),AC977,""))</f>
        <v/>
      </c>
      <c r="AH977" s="13">
        <f>IF(AND(ISNUMBER(AE977),ISNUMBER($B$23),ISNUMBER($D$23)),IF(AE977&gt;$D$23,"boven UCL",IF(AE977&lt;$B$23,"onder LCL","")),"")</f>
        <v/>
      </c>
      <c r="AI977" s="13">
        <f>IF(AND(ISNUMBER(AF977),ISNUMBER($B$24),ISNUMBER($D$24)),IF(AF977&gt;$D$24,"boven UCL",IF(AF977&lt;$B$24,"onder LCL","")),"")</f>
        <v/>
      </c>
      <c r="AJ977" s="13">
        <f>IF(AND(ISNUMBER(AE977),ISNUMBER($B$25),ISNUMBER($D$25)),IF(AE977&gt;$D$25,"boven UCL",IF(AE977&lt;$B$25,"onder LCL","")),"")</f>
        <v/>
      </c>
      <c r="AK977" s="13">
        <f>IF(AND(ISNUMBER(AG977),ISNUMBER($B$26),ISNUMBER($D$26)),IF(AG977&gt;$D$26,"boven UCL",IF(AG977&lt;$B$26,"onder LCL","")),"")</f>
        <v/>
      </c>
      <c r="AL977" s="13">
        <f>IF(AND(COUNT(B977:Z977)&gt;0,COUNT(AA977:AC977)&gt;0),"ruwe waarden én getypt: getypte genegeerd",IF(COUNTA(B977:Z977,AA977:AC977)&gt;COUNT(B977:Z977,AA977:AC977),"tekst telt niet mee",IF(COUNT(B977:Z977)=1,"1 waarde: geen R of s","")))</f>
        <v/>
      </c>
    </row>
    <row r="978">
      <c r="A978" t="n">
        <v>927</v>
      </c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28">
        <f>IF(COUNT(B978:Z978)&gt;0,COUNT(B978:Z978),IF(OR(ISNUMBER(AA978),ISNUMBER(AB978)),$B$9,""))</f>
        <v/>
      </c>
      <c r="AE978" s="29">
        <f>IF(COUNT(B978:Z978)&gt;0,AVERAGE(B978:Z978),IF(ISNUMBER(AA978),AA978,""))</f>
        <v/>
      </c>
      <c r="AF978" s="29">
        <f>IF(COUNT(B978:Z978)&gt;1,MAX(B978:Z978)-MIN(B978:Z978),IF(ISNUMBER(AB978),AB978,""))</f>
        <v/>
      </c>
      <c r="AG978" s="29">
        <f>IF(COUNT(B978:Z978)&gt;1,_xlfn.STDEV.S(B978:Z978),IF(ISNUMBER(AC978),AC978,""))</f>
        <v/>
      </c>
      <c r="AH978" s="13">
        <f>IF(AND(ISNUMBER(AE978),ISNUMBER($B$23),ISNUMBER($D$23)),IF(AE978&gt;$D$23,"boven UCL",IF(AE978&lt;$B$23,"onder LCL","")),"")</f>
        <v/>
      </c>
      <c r="AI978" s="13">
        <f>IF(AND(ISNUMBER(AF978),ISNUMBER($B$24),ISNUMBER($D$24)),IF(AF978&gt;$D$24,"boven UCL",IF(AF978&lt;$B$24,"onder LCL","")),"")</f>
        <v/>
      </c>
      <c r="AJ978" s="13">
        <f>IF(AND(ISNUMBER(AE978),ISNUMBER($B$25),ISNUMBER($D$25)),IF(AE978&gt;$D$25,"boven UCL",IF(AE978&lt;$B$25,"onder LCL","")),"")</f>
        <v/>
      </c>
      <c r="AK978" s="13">
        <f>IF(AND(ISNUMBER(AG978),ISNUMBER($B$26),ISNUMBER($D$26)),IF(AG978&gt;$D$26,"boven UCL",IF(AG978&lt;$B$26,"onder LCL","")),"")</f>
        <v/>
      </c>
      <c r="AL978" s="13">
        <f>IF(AND(COUNT(B978:Z978)&gt;0,COUNT(AA978:AC978)&gt;0),"ruwe waarden én getypt: getypte genegeerd",IF(COUNTA(B978:Z978,AA978:AC978)&gt;COUNT(B978:Z978,AA978:AC978),"tekst telt niet mee",IF(COUNT(B978:Z978)=1,"1 waarde: geen R of s","")))</f>
        <v/>
      </c>
    </row>
    <row r="979">
      <c r="A979" t="n">
        <v>928</v>
      </c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28">
        <f>IF(COUNT(B979:Z979)&gt;0,COUNT(B979:Z979),IF(OR(ISNUMBER(AA979),ISNUMBER(AB979)),$B$9,""))</f>
        <v/>
      </c>
      <c r="AE979" s="29">
        <f>IF(COUNT(B979:Z979)&gt;0,AVERAGE(B979:Z979),IF(ISNUMBER(AA979),AA979,""))</f>
        <v/>
      </c>
      <c r="AF979" s="29">
        <f>IF(COUNT(B979:Z979)&gt;1,MAX(B979:Z979)-MIN(B979:Z979),IF(ISNUMBER(AB979),AB979,""))</f>
        <v/>
      </c>
      <c r="AG979" s="29">
        <f>IF(COUNT(B979:Z979)&gt;1,_xlfn.STDEV.S(B979:Z979),IF(ISNUMBER(AC979),AC979,""))</f>
        <v/>
      </c>
      <c r="AH979" s="13">
        <f>IF(AND(ISNUMBER(AE979),ISNUMBER($B$23),ISNUMBER($D$23)),IF(AE979&gt;$D$23,"boven UCL",IF(AE979&lt;$B$23,"onder LCL","")),"")</f>
        <v/>
      </c>
      <c r="AI979" s="13">
        <f>IF(AND(ISNUMBER(AF979),ISNUMBER($B$24),ISNUMBER($D$24)),IF(AF979&gt;$D$24,"boven UCL",IF(AF979&lt;$B$24,"onder LCL","")),"")</f>
        <v/>
      </c>
      <c r="AJ979" s="13">
        <f>IF(AND(ISNUMBER(AE979),ISNUMBER($B$25),ISNUMBER($D$25)),IF(AE979&gt;$D$25,"boven UCL",IF(AE979&lt;$B$25,"onder LCL","")),"")</f>
        <v/>
      </c>
      <c r="AK979" s="13">
        <f>IF(AND(ISNUMBER(AG979),ISNUMBER($B$26),ISNUMBER($D$26)),IF(AG979&gt;$D$26,"boven UCL",IF(AG979&lt;$B$26,"onder LCL","")),"")</f>
        <v/>
      </c>
      <c r="AL979" s="13">
        <f>IF(AND(COUNT(B979:Z979)&gt;0,COUNT(AA979:AC979)&gt;0),"ruwe waarden én getypt: getypte genegeerd",IF(COUNTA(B979:Z979,AA979:AC979)&gt;COUNT(B979:Z979,AA979:AC979),"tekst telt niet mee",IF(COUNT(B979:Z979)=1,"1 waarde: geen R of s","")))</f>
        <v/>
      </c>
    </row>
    <row r="980">
      <c r="A980" t="n">
        <v>929</v>
      </c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28">
        <f>IF(COUNT(B980:Z980)&gt;0,COUNT(B980:Z980),IF(OR(ISNUMBER(AA980),ISNUMBER(AB980)),$B$9,""))</f>
        <v/>
      </c>
      <c r="AE980" s="29">
        <f>IF(COUNT(B980:Z980)&gt;0,AVERAGE(B980:Z980),IF(ISNUMBER(AA980),AA980,""))</f>
        <v/>
      </c>
      <c r="AF980" s="29">
        <f>IF(COUNT(B980:Z980)&gt;1,MAX(B980:Z980)-MIN(B980:Z980),IF(ISNUMBER(AB980),AB980,""))</f>
        <v/>
      </c>
      <c r="AG980" s="29">
        <f>IF(COUNT(B980:Z980)&gt;1,_xlfn.STDEV.S(B980:Z980),IF(ISNUMBER(AC980),AC980,""))</f>
        <v/>
      </c>
      <c r="AH980" s="13">
        <f>IF(AND(ISNUMBER(AE980),ISNUMBER($B$23),ISNUMBER($D$23)),IF(AE980&gt;$D$23,"boven UCL",IF(AE980&lt;$B$23,"onder LCL","")),"")</f>
        <v/>
      </c>
      <c r="AI980" s="13">
        <f>IF(AND(ISNUMBER(AF980),ISNUMBER($B$24),ISNUMBER($D$24)),IF(AF980&gt;$D$24,"boven UCL",IF(AF980&lt;$B$24,"onder LCL","")),"")</f>
        <v/>
      </c>
      <c r="AJ980" s="13">
        <f>IF(AND(ISNUMBER(AE980),ISNUMBER($B$25),ISNUMBER($D$25)),IF(AE980&gt;$D$25,"boven UCL",IF(AE980&lt;$B$25,"onder LCL","")),"")</f>
        <v/>
      </c>
      <c r="AK980" s="13">
        <f>IF(AND(ISNUMBER(AG980),ISNUMBER($B$26),ISNUMBER($D$26)),IF(AG980&gt;$D$26,"boven UCL",IF(AG980&lt;$B$26,"onder LCL","")),"")</f>
        <v/>
      </c>
      <c r="AL980" s="13">
        <f>IF(AND(COUNT(B980:Z980)&gt;0,COUNT(AA980:AC980)&gt;0),"ruwe waarden én getypt: getypte genegeerd",IF(COUNTA(B980:Z980,AA980:AC980)&gt;COUNT(B980:Z980,AA980:AC980),"tekst telt niet mee",IF(COUNT(B980:Z980)=1,"1 waarde: geen R of s","")))</f>
        <v/>
      </c>
    </row>
    <row r="981">
      <c r="A981" t="n">
        <v>930</v>
      </c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28">
        <f>IF(COUNT(B981:Z981)&gt;0,COUNT(B981:Z981),IF(OR(ISNUMBER(AA981),ISNUMBER(AB981)),$B$9,""))</f>
        <v/>
      </c>
      <c r="AE981" s="29">
        <f>IF(COUNT(B981:Z981)&gt;0,AVERAGE(B981:Z981),IF(ISNUMBER(AA981),AA981,""))</f>
        <v/>
      </c>
      <c r="AF981" s="29">
        <f>IF(COUNT(B981:Z981)&gt;1,MAX(B981:Z981)-MIN(B981:Z981),IF(ISNUMBER(AB981),AB981,""))</f>
        <v/>
      </c>
      <c r="AG981" s="29">
        <f>IF(COUNT(B981:Z981)&gt;1,_xlfn.STDEV.S(B981:Z981),IF(ISNUMBER(AC981),AC981,""))</f>
        <v/>
      </c>
      <c r="AH981" s="13">
        <f>IF(AND(ISNUMBER(AE981),ISNUMBER($B$23),ISNUMBER($D$23)),IF(AE981&gt;$D$23,"boven UCL",IF(AE981&lt;$B$23,"onder LCL","")),"")</f>
        <v/>
      </c>
      <c r="AI981" s="13">
        <f>IF(AND(ISNUMBER(AF981),ISNUMBER($B$24),ISNUMBER($D$24)),IF(AF981&gt;$D$24,"boven UCL",IF(AF981&lt;$B$24,"onder LCL","")),"")</f>
        <v/>
      </c>
      <c r="AJ981" s="13">
        <f>IF(AND(ISNUMBER(AE981),ISNUMBER($B$25),ISNUMBER($D$25)),IF(AE981&gt;$D$25,"boven UCL",IF(AE981&lt;$B$25,"onder LCL","")),"")</f>
        <v/>
      </c>
      <c r="AK981" s="13">
        <f>IF(AND(ISNUMBER(AG981),ISNUMBER($B$26),ISNUMBER($D$26)),IF(AG981&gt;$D$26,"boven UCL",IF(AG981&lt;$B$26,"onder LCL","")),"")</f>
        <v/>
      </c>
      <c r="AL981" s="13">
        <f>IF(AND(COUNT(B981:Z981)&gt;0,COUNT(AA981:AC981)&gt;0),"ruwe waarden én getypt: getypte genegeerd",IF(COUNTA(B981:Z981,AA981:AC981)&gt;COUNT(B981:Z981,AA981:AC981),"tekst telt niet mee",IF(COUNT(B981:Z981)=1,"1 waarde: geen R of s","")))</f>
        <v/>
      </c>
    </row>
    <row r="982">
      <c r="A982" t="n">
        <v>931</v>
      </c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28">
        <f>IF(COUNT(B982:Z982)&gt;0,COUNT(B982:Z982),IF(OR(ISNUMBER(AA982),ISNUMBER(AB982)),$B$9,""))</f>
        <v/>
      </c>
      <c r="AE982" s="29">
        <f>IF(COUNT(B982:Z982)&gt;0,AVERAGE(B982:Z982),IF(ISNUMBER(AA982),AA982,""))</f>
        <v/>
      </c>
      <c r="AF982" s="29">
        <f>IF(COUNT(B982:Z982)&gt;1,MAX(B982:Z982)-MIN(B982:Z982),IF(ISNUMBER(AB982),AB982,""))</f>
        <v/>
      </c>
      <c r="AG982" s="29">
        <f>IF(COUNT(B982:Z982)&gt;1,_xlfn.STDEV.S(B982:Z982),IF(ISNUMBER(AC982),AC982,""))</f>
        <v/>
      </c>
      <c r="AH982" s="13">
        <f>IF(AND(ISNUMBER(AE982),ISNUMBER($B$23),ISNUMBER($D$23)),IF(AE982&gt;$D$23,"boven UCL",IF(AE982&lt;$B$23,"onder LCL","")),"")</f>
        <v/>
      </c>
      <c r="AI982" s="13">
        <f>IF(AND(ISNUMBER(AF982),ISNUMBER($B$24),ISNUMBER($D$24)),IF(AF982&gt;$D$24,"boven UCL",IF(AF982&lt;$B$24,"onder LCL","")),"")</f>
        <v/>
      </c>
      <c r="AJ982" s="13">
        <f>IF(AND(ISNUMBER(AE982),ISNUMBER($B$25),ISNUMBER($D$25)),IF(AE982&gt;$D$25,"boven UCL",IF(AE982&lt;$B$25,"onder LCL","")),"")</f>
        <v/>
      </c>
      <c r="AK982" s="13">
        <f>IF(AND(ISNUMBER(AG982),ISNUMBER($B$26),ISNUMBER($D$26)),IF(AG982&gt;$D$26,"boven UCL",IF(AG982&lt;$B$26,"onder LCL","")),"")</f>
        <v/>
      </c>
      <c r="AL982" s="13">
        <f>IF(AND(COUNT(B982:Z982)&gt;0,COUNT(AA982:AC982)&gt;0),"ruwe waarden én getypt: getypte genegeerd",IF(COUNTA(B982:Z982,AA982:AC982)&gt;COUNT(B982:Z982,AA982:AC982),"tekst telt niet mee",IF(COUNT(B982:Z982)=1,"1 waarde: geen R of s","")))</f>
        <v/>
      </c>
    </row>
    <row r="983">
      <c r="A983" t="n">
        <v>932</v>
      </c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28">
        <f>IF(COUNT(B983:Z983)&gt;0,COUNT(B983:Z983),IF(OR(ISNUMBER(AA983),ISNUMBER(AB983)),$B$9,""))</f>
        <v/>
      </c>
      <c r="AE983" s="29">
        <f>IF(COUNT(B983:Z983)&gt;0,AVERAGE(B983:Z983),IF(ISNUMBER(AA983),AA983,""))</f>
        <v/>
      </c>
      <c r="AF983" s="29">
        <f>IF(COUNT(B983:Z983)&gt;1,MAX(B983:Z983)-MIN(B983:Z983),IF(ISNUMBER(AB983),AB983,""))</f>
        <v/>
      </c>
      <c r="AG983" s="29">
        <f>IF(COUNT(B983:Z983)&gt;1,_xlfn.STDEV.S(B983:Z983),IF(ISNUMBER(AC983),AC983,""))</f>
        <v/>
      </c>
      <c r="AH983" s="13">
        <f>IF(AND(ISNUMBER(AE983),ISNUMBER($B$23),ISNUMBER($D$23)),IF(AE983&gt;$D$23,"boven UCL",IF(AE983&lt;$B$23,"onder LCL","")),"")</f>
        <v/>
      </c>
      <c r="AI983" s="13">
        <f>IF(AND(ISNUMBER(AF983),ISNUMBER($B$24),ISNUMBER($D$24)),IF(AF983&gt;$D$24,"boven UCL",IF(AF983&lt;$B$24,"onder LCL","")),"")</f>
        <v/>
      </c>
      <c r="AJ983" s="13">
        <f>IF(AND(ISNUMBER(AE983),ISNUMBER($B$25),ISNUMBER($D$25)),IF(AE983&gt;$D$25,"boven UCL",IF(AE983&lt;$B$25,"onder LCL","")),"")</f>
        <v/>
      </c>
      <c r="AK983" s="13">
        <f>IF(AND(ISNUMBER(AG983),ISNUMBER($B$26),ISNUMBER($D$26)),IF(AG983&gt;$D$26,"boven UCL",IF(AG983&lt;$B$26,"onder LCL","")),"")</f>
        <v/>
      </c>
      <c r="AL983" s="13">
        <f>IF(AND(COUNT(B983:Z983)&gt;0,COUNT(AA983:AC983)&gt;0),"ruwe waarden én getypt: getypte genegeerd",IF(COUNTA(B983:Z983,AA983:AC983)&gt;COUNT(B983:Z983,AA983:AC983),"tekst telt niet mee",IF(COUNT(B983:Z983)=1,"1 waarde: geen R of s","")))</f>
        <v/>
      </c>
    </row>
    <row r="984">
      <c r="A984" t="n">
        <v>933</v>
      </c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28">
        <f>IF(COUNT(B984:Z984)&gt;0,COUNT(B984:Z984),IF(OR(ISNUMBER(AA984),ISNUMBER(AB984)),$B$9,""))</f>
        <v/>
      </c>
      <c r="AE984" s="29">
        <f>IF(COUNT(B984:Z984)&gt;0,AVERAGE(B984:Z984),IF(ISNUMBER(AA984),AA984,""))</f>
        <v/>
      </c>
      <c r="AF984" s="29">
        <f>IF(COUNT(B984:Z984)&gt;1,MAX(B984:Z984)-MIN(B984:Z984),IF(ISNUMBER(AB984),AB984,""))</f>
        <v/>
      </c>
      <c r="AG984" s="29">
        <f>IF(COUNT(B984:Z984)&gt;1,_xlfn.STDEV.S(B984:Z984),IF(ISNUMBER(AC984),AC984,""))</f>
        <v/>
      </c>
      <c r="AH984" s="13">
        <f>IF(AND(ISNUMBER(AE984),ISNUMBER($B$23),ISNUMBER($D$23)),IF(AE984&gt;$D$23,"boven UCL",IF(AE984&lt;$B$23,"onder LCL","")),"")</f>
        <v/>
      </c>
      <c r="AI984" s="13">
        <f>IF(AND(ISNUMBER(AF984),ISNUMBER($B$24),ISNUMBER($D$24)),IF(AF984&gt;$D$24,"boven UCL",IF(AF984&lt;$B$24,"onder LCL","")),"")</f>
        <v/>
      </c>
      <c r="AJ984" s="13">
        <f>IF(AND(ISNUMBER(AE984),ISNUMBER($B$25),ISNUMBER($D$25)),IF(AE984&gt;$D$25,"boven UCL",IF(AE984&lt;$B$25,"onder LCL","")),"")</f>
        <v/>
      </c>
      <c r="AK984" s="13">
        <f>IF(AND(ISNUMBER(AG984),ISNUMBER($B$26),ISNUMBER($D$26)),IF(AG984&gt;$D$26,"boven UCL",IF(AG984&lt;$B$26,"onder LCL","")),"")</f>
        <v/>
      </c>
      <c r="AL984" s="13">
        <f>IF(AND(COUNT(B984:Z984)&gt;0,COUNT(AA984:AC984)&gt;0),"ruwe waarden én getypt: getypte genegeerd",IF(COUNTA(B984:Z984,AA984:AC984)&gt;COUNT(B984:Z984,AA984:AC984),"tekst telt niet mee",IF(COUNT(B984:Z984)=1,"1 waarde: geen R of s","")))</f>
        <v/>
      </c>
    </row>
    <row r="985">
      <c r="A985" t="n">
        <v>934</v>
      </c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28">
        <f>IF(COUNT(B985:Z985)&gt;0,COUNT(B985:Z985),IF(OR(ISNUMBER(AA985),ISNUMBER(AB985)),$B$9,""))</f>
        <v/>
      </c>
      <c r="AE985" s="29">
        <f>IF(COUNT(B985:Z985)&gt;0,AVERAGE(B985:Z985),IF(ISNUMBER(AA985),AA985,""))</f>
        <v/>
      </c>
      <c r="AF985" s="29">
        <f>IF(COUNT(B985:Z985)&gt;1,MAX(B985:Z985)-MIN(B985:Z985),IF(ISNUMBER(AB985),AB985,""))</f>
        <v/>
      </c>
      <c r="AG985" s="29">
        <f>IF(COUNT(B985:Z985)&gt;1,_xlfn.STDEV.S(B985:Z985),IF(ISNUMBER(AC985),AC985,""))</f>
        <v/>
      </c>
      <c r="AH985" s="13">
        <f>IF(AND(ISNUMBER(AE985),ISNUMBER($B$23),ISNUMBER($D$23)),IF(AE985&gt;$D$23,"boven UCL",IF(AE985&lt;$B$23,"onder LCL","")),"")</f>
        <v/>
      </c>
      <c r="AI985" s="13">
        <f>IF(AND(ISNUMBER(AF985),ISNUMBER($B$24),ISNUMBER($D$24)),IF(AF985&gt;$D$24,"boven UCL",IF(AF985&lt;$B$24,"onder LCL","")),"")</f>
        <v/>
      </c>
      <c r="AJ985" s="13">
        <f>IF(AND(ISNUMBER(AE985),ISNUMBER($B$25),ISNUMBER($D$25)),IF(AE985&gt;$D$25,"boven UCL",IF(AE985&lt;$B$25,"onder LCL","")),"")</f>
        <v/>
      </c>
      <c r="AK985" s="13">
        <f>IF(AND(ISNUMBER(AG985),ISNUMBER($B$26),ISNUMBER($D$26)),IF(AG985&gt;$D$26,"boven UCL",IF(AG985&lt;$B$26,"onder LCL","")),"")</f>
        <v/>
      </c>
      <c r="AL985" s="13">
        <f>IF(AND(COUNT(B985:Z985)&gt;0,COUNT(AA985:AC985)&gt;0),"ruwe waarden én getypt: getypte genegeerd",IF(COUNTA(B985:Z985,AA985:AC985)&gt;COUNT(B985:Z985,AA985:AC985),"tekst telt niet mee",IF(COUNT(B985:Z985)=1,"1 waarde: geen R of s","")))</f>
        <v/>
      </c>
    </row>
    <row r="986">
      <c r="A986" t="n">
        <v>935</v>
      </c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28">
        <f>IF(COUNT(B986:Z986)&gt;0,COUNT(B986:Z986),IF(OR(ISNUMBER(AA986),ISNUMBER(AB986)),$B$9,""))</f>
        <v/>
      </c>
      <c r="AE986" s="29">
        <f>IF(COUNT(B986:Z986)&gt;0,AVERAGE(B986:Z986),IF(ISNUMBER(AA986),AA986,""))</f>
        <v/>
      </c>
      <c r="AF986" s="29">
        <f>IF(COUNT(B986:Z986)&gt;1,MAX(B986:Z986)-MIN(B986:Z986),IF(ISNUMBER(AB986),AB986,""))</f>
        <v/>
      </c>
      <c r="AG986" s="29">
        <f>IF(COUNT(B986:Z986)&gt;1,_xlfn.STDEV.S(B986:Z986),IF(ISNUMBER(AC986),AC986,""))</f>
        <v/>
      </c>
      <c r="AH986" s="13">
        <f>IF(AND(ISNUMBER(AE986),ISNUMBER($B$23),ISNUMBER($D$23)),IF(AE986&gt;$D$23,"boven UCL",IF(AE986&lt;$B$23,"onder LCL","")),"")</f>
        <v/>
      </c>
      <c r="AI986" s="13">
        <f>IF(AND(ISNUMBER(AF986),ISNUMBER($B$24),ISNUMBER($D$24)),IF(AF986&gt;$D$24,"boven UCL",IF(AF986&lt;$B$24,"onder LCL","")),"")</f>
        <v/>
      </c>
      <c r="AJ986" s="13">
        <f>IF(AND(ISNUMBER(AE986),ISNUMBER($B$25),ISNUMBER($D$25)),IF(AE986&gt;$D$25,"boven UCL",IF(AE986&lt;$B$25,"onder LCL","")),"")</f>
        <v/>
      </c>
      <c r="AK986" s="13">
        <f>IF(AND(ISNUMBER(AG986),ISNUMBER($B$26),ISNUMBER($D$26)),IF(AG986&gt;$D$26,"boven UCL",IF(AG986&lt;$B$26,"onder LCL","")),"")</f>
        <v/>
      </c>
      <c r="AL986" s="13">
        <f>IF(AND(COUNT(B986:Z986)&gt;0,COUNT(AA986:AC986)&gt;0),"ruwe waarden én getypt: getypte genegeerd",IF(COUNTA(B986:Z986,AA986:AC986)&gt;COUNT(B986:Z986,AA986:AC986),"tekst telt niet mee",IF(COUNT(B986:Z986)=1,"1 waarde: geen R of s","")))</f>
        <v/>
      </c>
    </row>
    <row r="987">
      <c r="A987" t="n">
        <v>936</v>
      </c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28">
        <f>IF(COUNT(B987:Z987)&gt;0,COUNT(B987:Z987),IF(OR(ISNUMBER(AA987),ISNUMBER(AB987)),$B$9,""))</f>
        <v/>
      </c>
      <c r="AE987" s="29">
        <f>IF(COUNT(B987:Z987)&gt;0,AVERAGE(B987:Z987),IF(ISNUMBER(AA987),AA987,""))</f>
        <v/>
      </c>
      <c r="AF987" s="29">
        <f>IF(COUNT(B987:Z987)&gt;1,MAX(B987:Z987)-MIN(B987:Z987),IF(ISNUMBER(AB987),AB987,""))</f>
        <v/>
      </c>
      <c r="AG987" s="29">
        <f>IF(COUNT(B987:Z987)&gt;1,_xlfn.STDEV.S(B987:Z987),IF(ISNUMBER(AC987),AC987,""))</f>
        <v/>
      </c>
      <c r="AH987" s="13">
        <f>IF(AND(ISNUMBER(AE987),ISNUMBER($B$23),ISNUMBER($D$23)),IF(AE987&gt;$D$23,"boven UCL",IF(AE987&lt;$B$23,"onder LCL","")),"")</f>
        <v/>
      </c>
      <c r="AI987" s="13">
        <f>IF(AND(ISNUMBER(AF987),ISNUMBER($B$24),ISNUMBER($D$24)),IF(AF987&gt;$D$24,"boven UCL",IF(AF987&lt;$B$24,"onder LCL","")),"")</f>
        <v/>
      </c>
      <c r="AJ987" s="13">
        <f>IF(AND(ISNUMBER(AE987),ISNUMBER($B$25),ISNUMBER($D$25)),IF(AE987&gt;$D$25,"boven UCL",IF(AE987&lt;$B$25,"onder LCL","")),"")</f>
        <v/>
      </c>
      <c r="AK987" s="13">
        <f>IF(AND(ISNUMBER(AG987),ISNUMBER($B$26),ISNUMBER($D$26)),IF(AG987&gt;$D$26,"boven UCL",IF(AG987&lt;$B$26,"onder LCL","")),"")</f>
        <v/>
      </c>
      <c r="AL987" s="13">
        <f>IF(AND(COUNT(B987:Z987)&gt;0,COUNT(AA987:AC987)&gt;0),"ruwe waarden én getypt: getypte genegeerd",IF(COUNTA(B987:Z987,AA987:AC987)&gt;COUNT(B987:Z987,AA987:AC987),"tekst telt niet mee",IF(COUNT(B987:Z987)=1,"1 waarde: geen R of s","")))</f>
        <v/>
      </c>
    </row>
    <row r="988">
      <c r="A988" t="n">
        <v>937</v>
      </c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28">
        <f>IF(COUNT(B988:Z988)&gt;0,COUNT(B988:Z988),IF(OR(ISNUMBER(AA988),ISNUMBER(AB988)),$B$9,""))</f>
        <v/>
      </c>
      <c r="AE988" s="29">
        <f>IF(COUNT(B988:Z988)&gt;0,AVERAGE(B988:Z988),IF(ISNUMBER(AA988),AA988,""))</f>
        <v/>
      </c>
      <c r="AF988" s="29">
        <f>IF(COUNT(B988:Z988)&gt;1,MAX(B988:Z988)-MIN(B988:Z988),IF(ISNUMBER(AB988),AB988,""))</f>
        <v/>
      </c>
      <c r="AG988" s="29">
        <f>IF(COUNT(B988:Z988)&gt;1,_xlfn.STDEV.S(B988:Z988),IF(ISNUMBER(AC988),AC988,""))</f>
        <v/>
      </c>
      <c r="AH988" s="13">
        <f>IF(AND(ISNUMBER(AE988),ISNUMBER($B$23),ISNUMBER($D$23)),IF(AE988&gt;$D$23,"boven UCL",IF(AE988&lt;$B$23,"onder LCL","")),"")</f>
        <v/>
      </c>
      <c r="AI988" s="13">
        <f>IF(AND(ISNUMBER(AF988),ISNUMBER($B$24),ISNUMBER($D$24)),IF(AF988&gt;$D$24,"boven UCL",IF(AF988&lt;$B$24,"onder LCL","")),"")</f>
        <v/>
      </c>
      <c r="AJ988" s="13">
        <f>IF(AND(ISNUMBER(AE988),ISNUMBER($B$25),ISNUMBER($D$25)),IF(AE988&gt;$D$25,"boven UCL",IF(AE988&lt;$B$25,"onder LCL","")),"")</f>
        <v/>
      </c>
      <c r="AK988" s="13">
        <f>IF(AND(ISNUMBER(AG988),ISNUMBER($B$26),ISNUMBER($D$26)),IF(AG988&gt;$D$26,"boven UCL",IF(AG988&lt;$B$26,"onder LCL","")),"")</f>
        <v/>
      </c>
      <c r="AL988" s="13">
        <f>IF(AND(COUNT(B988:Z988)&gt;0,COUNT(AA988:AC988)&gt;0),"ruwe waarden én getypt: getypte genegeerd",IF(COUNTA(B988:Z988,AA988:AC988)&gt;COUNT(B988:Z988,AA988:AC988),"tekst telt niet mee",IF(COUNT(B988:Z988)=1,"1 waarde: geen R of s","")))</f>
        <v/>
      </c>
    </row>
    <row r="989">
      <c r="A989" t="n">
        <v>938</v>
      </c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28">
        <f>IF(COUNT(B989:Z989)&gt;0,COUNT(B989:Z989),IF(OR(ISNUMBER(AA989),ISNUMBER(AB989)),$B$9,""))</f>
        <v/>
      </c>
      <c r="AE989" s="29">
        <f>IF(COUNT(B989:Z989)&gt;0,AVERAGE(B989:Z989),IF(ISNUMBER(AA989),AA989,""))</f>
        <v/>
      </c>
      <c r="AF989" s="29">
        <f>IF(COUNT(B989:Z989)&gt;1,MAX(B989:Z989)-MIN(B989:Z989),IF(ISNUMBER(AB989),AB989,""))</f>
        <v/>
      </c>
      <c r="AG989" s="29">
        <f>IF(COUNT(B989:Z989)&gt;1,_xlfn.STDEV.S(B989:Z989),IF(ISNUMBER(AC989),AC989,""))</f>
        <v/>
      </c>
      <c r="AH989" s="13">
        <f>IF(AND(ISNUMBER(AE989),ISNUMBER($B$23),ISNUMBER($D$23)),IF(AE989&gt;$D$23,"boven UCL",IF(AE989&lt;$B$23,"onder LCL","")),"")</f>
        <v/>
      </c>
      <c r="AI989" s="13">
        <f>IF(AND(ISNUMBER(AF989),ISNUMBER($B$24),ISNUMBER($D$24)),IF(AF989&gt;$D$24,"boven UCL",IF(AF989&lt;$B$24,"onder LCL","")),"")</f>
        <v/>
      </c>
      <c r="AJ989" s="13">
        <f>IF(AND(ISNUMBER(AE989),ISNUMBER($B$25),ISNUMBER($D$25)),IF(AE989&gt;$D$25,"boven UCL",IF(AE989&lt;$B$25,"onder LCL","")),"")</f>
        <v/>
      </c>
      <c r="AK989" s="13">
        <f>IF(AND(ISNUMBER(AG989),ISNUMBER($B$26),ISNUMBER($D$26)),IF(AG989&gt;$D$26,"boven UCL",IF(AG989&lt;$B$26,"onder LCL","")),"")</f>
        <v/>
      </c>
      <c r="AL989" s="13">
        <f>IF(AND(COUNT(B989:Z989)&gt;0,COUNT(AA989:AC989)&gt;0),"ruwe waarden én getypt: getypte genegeerd",IF(COUNTA(B989:Z989,AA989:AC989)&gt;COUNT(B989:Z989,AA989:AC989),"tekst telt niet mee",IF(COUNT(B989:Z989)=1,"1 waarde: geen R of s","")))</f>
        <v/>
      </c>
    </row>
    <row r="990">
      <c r="A990" t="n">
        <v>939</v>
      </c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28">
        <f>IF(COUNT(B990:Z990)&gt;0,COUNT(B990:Z990),IF(OR(ISNUMBER(AA990),ISNUMBER(AB990)),$B$9,""))</f>
        <v/>
      </c>
      <c r="AE990" s="29">
        <f>IF(COUNT(B990:Z990)&gt;0,AVERAGE(B990:Z990),IF(ISNUMBER(AA990),AA990,""))</f>
        <v/>
      </c>
      <c r="AF990" s="29">
        <f>IF(COUNT(B990:Z990)&gt;1,MAX(B990:Z990)-MIN(B990:Z990),IF(ISNUMBER(AB990),AB990,""))</f>
        <v/>
      </c>
      <c r="AG990" s="29">
        <f>IF(COUNT(B990:Z990)&gt;1,_xlfn.STDEV.S(B990:Z990),IF(ISNUMBER(AC990),AC990,""))</f>
        <v/>
      </c>
      <c r="AH990" s="13">
        <f>IF(AND(ISNUMBER(AE990),ISNUMBER($B$23),ISNUMBER($D$23)),IF(AE990&gt;$D$23,"boven UCL",IF(AE990&lt;$B$23,"onder LCL","")),"")</f>
        <v/>
      </c>
      <c r="AI990" s="13">
        <f>IF(AND(ISNUMBER(AF990),ISNUMBER($B$24),ISNUMBER($D$24)),IF(AF990&gt;$D$24,"boven UCL",IF(AF990&lt;$B$24,"onder LCL","")),"")</f>
        <v/>
      </c>
      <c r="AJ990" s="13">
        <f>IF(AND(ISNUMBER(AE990),ISNUMBER($B$25),ISNUMBER($D$25)),IF(AE990&gt;$D$25,"boven UCL",IF(AE990&lt;$B$25,"onder LCL","")),"")</f>
        <v/>
      </c>
      <c r="AK990" s="13">
        <f>IF(AND(ISNUMBER(AG990),ISNUMBER($B$26),ISNUMBER($D$26)),IF(AG990&gt;$D$26,"boven UCL",IF(AG990&lt;$B$26,"onder LCL","")),"")</f>
        <v/>
      </c>
      <c r="AL990" s="13">
        <f>IF(AND(COUNT(B990:Z990)&gt;0,COUNT(AA990:AC990)&gt;0),"ruwe waarden én getypt: getypte genegeerd",IF(COUNTA(B990:Z990,AA990:AC990)&gt;COUNT(B990:Z990,AA990:AC990),"tekst telt niet mee",IF(COUNT(B990:Z990)=1,"1 waarde: geen R of s","")))</f>
        <v/>
      </c>
    </row>
    <row r="991">
      <c r="A991" t="n">
        <v>940</v>
      </c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28">
        <f>IF(COUNT(B991:Z991)&gt;0,COUNT(B991:Z991),IF(OR(ISNUMBER(AA991),ISNUMBER(AB991)),$B$9,""))</f>
        <v/>
      </c>
      <c r="AE991" s="29">
        <f>IF(COUNT(B991:Z991)&gt;0,AVERAGE(B991:Z991),IF(ISNUMBER(AA991),AA991,""))</f>
        <v/>
      </c>
      <c r="AF991" s="29">
        <f>IF(COUNT(B991:Z991)&gt;1,MAX(B991:Z991)-MIN(B991:Z991),IF(ISNUMBER(AB991),AB991,""))</f>
        <v/>
      </c>
      <c r="AG991" s="29">
        <f>IF(COUNT(B991:Z991)&gt;1,_xlfn.STDEV.S(B991:Z991),IF(ISNUMBER(AC991),AC991,""))</f>
        <v/>
      </c>
      <c r="AH991" s="13">
        <f>IF(AND(ISNUMBER(AE991),ISNUMBER($B$23),ISNUMBER($D$23)),IF(AE991&gt;$D$23,"boven UCL",IF(AE991&lt;$B$23,"onder LCL","")),"")</f>
        <v/>
      </c>
      <c r="AI991" s="13">
        <f>IF(AND(ISNUMBER(AF991),ISNUMBER($B$24),ISNUMBER($D$24)),IF(AF991&gt;$D$24,"boven UCL",IF(AF991&lt;$B$24,"onder LCL","")),"")</f>
        <v/>
      </c>
      <c r="AJ991" s="13">
        <f>IF(AND(ISNUMBER(AE991),ISNUMBER($B$25),ISNUMBER($D$25)),IF(AE991&gt;$D$25,"boven UCL",IF(AE991&lt;$B$25,"onder LCL","")),"")</f>
        <v/>
      </c>
      <c r="AK991" s="13">
        <f>IF(AND(ISNUMBER(AG991),ISNUMBER($B$26),ISNUMBER($D$26)),IF(AG991&gt;$D$26,"boven UCL",IF(AG991&lt;$B$26,"onder LCL","")),"")</f>
        <v/>
      </c>
      <c r="AL991" s="13">
        <f>IF(AND(COUNT(B991:Z991)&gt;0,COUNT(AA991:AC991)&gt;0),"ruwe waarden én getypt: getypte genegeerd",IF(COUNTA(B991:Z991,AA991:AC991)&gt;COUNT(B991:Z991,AA991:AC991),"tekst telt niet mee",IF(COUNT(B991:Z991)=1,"1 waarde: geen R of s","")))</f>
        <v/>
      </c>
    </row>
    <row r="992">
      <c r="A992" t="n">
        <v>941</v>
      </c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28">
        <f>IF(COUNT(B992:Z992)&gt;0,COUNT(B992:Z992),IF(OR(ISNUMBER(AA992),ISNUMBER(AB992)),$B$9,""))</f>
        <v/>
      </c>
      <c r="AE992" s="29">
        <f>IF(COUNT(B992:Z992)&gt;0,AVERAGE(B992:Z992),IF(ISNUMBER(AA992),AA992,""))</f>
        <v/>
      </c>
      <c r="AF992" s="29">
        <f>IF(COUNT(B992:Z992)&gt;1,MAX(B992:Z992)-MIN(B992:Z992),IF(ISNUMBER(AB992),AB992,""))</f>
        <v/>
      </c>
      <c r="AG992" s="29">
        <f>IF(COUNT(B992:Z992)&gt;1,_xlfn.STDEV.S(B992:Z992),IF(ISNUMBER(AC992),AC992,""))</f>
        <v/>
      </c>
      <c r="AH992" s="13">
        <f>IF(AND(ISNUMBER(AE992),ISNUMBER($B$23),ISNUMBER($D$23)),IF(AE992&gt;$D$23,"boven UCL",IF(AE992&lt;$B$23,"onder LCL","")),"")</f>
        <v/>
      </c>
      <c r="AI992" s="13">
        <f>IF(AND(ISNUMBER(AF992),ISNUMBER($B$24),ISNUMBER($D$24)),IF(AF992&gt;$D$24,"boven UCL",IF(AF992&lt;$B$24,"onder LCL","")),"")</f>
        <v/>
      </c>
      <c r="AJ992" s="13">
        <f>IF(AND(ISNUMBER(AE992),ISNUMBER($B$25),ISNUMBER($D$25)),IF(AE992&gt;$D$25,"boven UCL",IF(AE992&lt;$B$25,"onder LCL","")),"")</f>
        <v/>
      </c>
      <c r="AK992" s="13">
        <f>IF(AND(ISNUMBER(AG992),ISNUMBER($B$26),ISNUMBER($D$26)),IF(AG992&gt;$D$26,"boven UCL",IF(AG992&lt;$B$26,"onder LCL","")),"")</f>
        <v/>
      </c>
      <c r="AL992" s="13">
        <f>IF(AND(COUNT(B992:Z992)&gt;0,COUNT(AA992:AC992)&gt;0),"ruwe waarden én getypt: getypte genegeerd",IF(COUNTA(B992:Z992,AA992:AC992)&gt;COUNT(B992:Z992,AA992:AC992),"tekst telt niet mee",IF(COUNT(B992:Z992)=1,"1 waarde: geen R of s","")))</f>
        <v/>
      </c>
    </row>
    <row r="993">
      <c r="A993" t="n">
        <v>942</v>
      </c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28">
        <f>IF(COUNT(B993:Z993)&gt;0,COUNT(B993:Z993),IF(OR(ISNUMBER(AA993),ISNUMBER(AB993)),$B$9,""))</f>
        <v/>
      </c>
      <c r="AE993" s="29">
        <f>IF(COUNT(B993:Z993)&gt;0,AVERAGE(B993:Z993),IF(ISNUMBER(AA993),AA993,""))</f>
        <v/>
      </c>
      <c r="AF993" s="29">
        <f>IF(COUNT(B993:Z993)&gt;1,MAX(B993:Z993)-MIN(B993:Z993),IF(ISNUMBER(AB993),AB993,""))</f>
        <v/>
      </c>
      <c r="AG993" s="29">
        <f>IF(COUNT(B993:Z993)&gt;1,_xlfn.STDEV.S(B993:Z993),IF(ISNUMBER(AC993),AC993,""))</f>
        <v/>
      </c>
      <c r="AH993" s="13">
        <f>IF(AND(ISNUMBER(AE993),ISNUMBER($B$23),ISNUMBER($D$23)),IF(AE993&gt;$D$23,"boven UCL",IF(AE993&lt;$B$23,"onder LCL","")),"")</f>
        <v/>
      </c>
      <c r="AI993" s="13">
        <f>IF(AND(ISNUMBER(AF993),ISNUMBER($B$24),ISNUMBER($D$24)),IF(AF993&gt;$D$24,"boven UCL",IF(AF993&lt;$B$24,"onder LCL","")),"")</f>
        <v/>
      </c>
      <c r="AJ993" s="13">
        <f>IF(AND(ISNUMBER(AE993),ISNUMBER($B$25),ISNUMBER($D$25)),IF(AE993&gt;$D$25,"boven UCL",IF(AE993&lt;$B$25,"onder LCL","")),"")</f>
        <v/>
      </c>
      <c r="AK993" s="13">
        <f>IF(AND(ISNUMBER(AG993),ISNUMBER($B$26),ISNUMBER($D$26)),IF(AG993&gt;$D$26,"boven UCL",IF(AG993&lt;$B$26,"onder LCL","")),"")</f>
        <v/>
      </c>
      <c r="AL993" s="13">
        <f>IF(AND(COUNT(B993:Z993)&gt;0,COUNT(AA993:AC993)&gt;0),"ruwe waarden én getypt: getypte genegeerd",IF(COUNTA(B993:Z993,AA993:AC993)&gt;COUNT(B993:Z993,AA993:AC993),"tekst telt niet mee",IF(COUNT(B993:Z993)=1,"1 waarde: geen R of s","")))</f>
        <v/>
      </c>
    </row>
    <row r="994">
      <c r="A994" t="n">
        <v>943</v>
      </c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28">
        <f>IF(COUNT(B994:Z994)&gt;0,COUNT(B994:Z994),IF(OR(ISNUMBER(AA994),ISNUMBER(AB994)),$B$9,""))</f>
        <v/>
      </c>
      <c r="AE994" s="29">
        <f>IF(COUNT(B994:Z994)&gt;0,AVERAGE(B994:Z994),IF(ISNUMBER(AA994),AA994,""))</f>
        <v/>
      </c>
      <c r="AF994" s="29">
        <f>IF(COUNT(B994:Z994)&gt;1,MAX(B994:Z994)-MIN(B994:Z994),IF(ISNUMBER(AB994),AB994,""))</f>
        <v/>
      </c>
      <c r="AG994" s="29">
        <f>IF(COUNT(B994:Z994)&gt;1,_xlfn.STDEV.S(B994:Z994),IF(ISNUMBER(AC994),AC994,""))</f>
        <v/>
      </c>
      <c r="AH994" s="13">
        <f>IF(AND(ISNUMBER(AE994),ISNUMBER($B$23),ISNUMBER($D$23)),IF(AE994&gt;$D$23,"boven UCL",IF(AE994&lt;$B$23,"onder LCL","")),"")</f>
        <v/>
      </c>
      <c r="AI994" s="13">
        <f>IF(AND(ISNUMBER(AF994),ISNUMBER($B$24),ISNUMBER($D$24)),IF(AF994&gt;$D$24,"boven UCL",IF(AF994&lt;$B$24,"onder LCL","")),"")</f>
        <v/>
      </c>
      <c r="AJ994" s="13">
        <f>IF(AND(ISNUMBER(AE994),ISNUMBER($B$25),ISNUMBER($D$25)),IF(AE994&gt;$D$25,"boven UCL",IF(AE994&lt;$B$25,"onder LCL","")),"")</f>
        <v/>
      </c>
      <c r="AK994" s="13">
        <f>IF(AND(ISNUMBER(AG994),ISNUMBER($B$26),ISNUMBER($D$26)),IF(AG994&gt;$D$26,"boven UCL",IF(AG994&lt;$B$26,"onder LCL","")),"")</f>
        <v/>
      </c>
      <c r="AL994" s="13">
        <f>IF(AND(COUNT(B994:Z994)&gt;0,COUNT(AA994:AC994)&gt;0),"ruwe waarden én getypt: getypte genegeerd",IF(COUNTA(B994:Z994,AA994:AC994)&gt;COUNT(B994:Z994,AA994:AC994),"tekst telt niet mee",IF(COUNT(B994:Z994)=1,"1 waarde: geen R of s","")))</f>
        <v/>
      </c>
    </row>
    <row r="995">
      <c r="A995" t="n">
        <v>944</v>
      </c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28">
        <f>IF(COUNT(B995:Z995)&gt;0,COUNT(B995:Z995),IF(OR(ISNUMBER(AA995),ISNUMBER(AB995)),$B$9,""))</f>
        <v/>
      </c>
      <c r="AE995" s="29">
        <f>IF(COUNT(B995:Z995)&gt;0,AVERAGE(B995:Z995),IF(ISNUMBER(AA995),AA995,""))</f>
        <v/>
      </c>
      <c r="AF995" s="29">
        <f>IF(COUNT(B995:Z995)&gt;1,MAX(B995:Z995)-MIN(B995:Z995),IF(ISNUMBER(AB995),AB995,""))</f>
        <v/>
      </c>
      <c r="AG995" s="29">
        <f>IF(COUNT(B995:Z995)&gt;1,_xlfn.STDEV.S(B995:Z995),IF(ISNUMBER(AC995),AC995,""))</f>
        <v/>
      </c>
      <c r="AH995" s="13">
        <f>IF(AND(ISNUMBER(AE995),ISNUMBER($B$23),ISNUMBER($D$23)),IF(AE995&gt;$D$23,"boven UCL",IF(AE995&lt;$B$23,"onder LCL","")),"")</f>
        <v/>
      </c>
      <c r="AI995" s="13">
        <f>IF(AND(ISNUMBER(AF995),ISNUMBER($B$24),ISNUMBER($D$24)),IF(AF995&gt;$D$24,"boven UCL",IF(AF995&lt;$B$24,"onder LCL","")),"")</f>
        <v/>
      </c>
      <c r="AJ995" s="13">
        <f>IF(AND(ISNUMBER(AE995),ISNUMBER($B$25),ISNUMBER($D$25)),IF(AE995&gt;$D$25,"boven UCL",IF(AE995&lt;$B$25,"onder LCL","")),"")</f>
        <v/>
      </c>
      <c r="AK995" s="13">
        <f>IF(AND(ISNUMBER(AG995),ISNUMBER($B$26),ISNUMBER($D$26)),IF(AG995&gt;$D$26,"boven UCL",IF(AG995&lt;$B$26,"onder LCL","")),"")</f>
        <v/>
      </c>
      <c r="AL995" s="13">
        <f>IF(AND(COUNT(B995:Z995)&gt;0,COUNT(AA995:AC995)&gt;0),"ruwe waarden én getypt: getypte genegeerd",IF(COUNTA(B995:Z995,AA995:AC995)&gt;COUNT(B995:Z995,AA995:AC995),"tekst telt niet mee",IF(COUNT(B995:Z995)=1,"1 waarde: geen R of s","")))</f>
        <v/>
      </c>
    </row>
    <row r="996">
      <c r="A996" t="n">
        <v>945</v>
      </c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28">
        <f>IF(COUNT(B996:Z996)&gt;0,COUNT(B996:Z996),IF(OR(ISNUMBER(AA996),ISNUMBER(AB996)),$B$9,""))</f>
        <v/>
      </c>
      <c r="AE996" s="29">
        <f>IF(COUNT(B996:Z996)&gt;0,AVERAGE(B996:Z996),IF(ISNUMBER(AA996),AA996,""))</f>
        <v/>
      </c>
      <c r="AF996" s="29">
        <f>IF(COUNT(B996:Z996)&gt;1,MAX(B996:Z996)-MIN(B996:Z996),IF(ISNUMBER(AB996),AB996,""))</f>
        <v/>
      </c>
      <c r="AG996" s="29">
        <f>IF(COUNT(B996:Z996)&gt;1,_xlfn.STDEV.S(B996:Z996),IF(ISNUMBER(AC996),AC996,""))</f>
        <v/>
      </c>
      <c r="AH996" s="13">
        <f>IF(AND(ISNUMBER(AE996),ISNUMBER($B$23),ISNUMBER($D$23)),IF(AE996&gt;$D$23,"boven UCL",IF(AE996&lt;$B$23,"onder LCL","")),"")</f>
        <v/>
      </c>
      <c r="AI996" s="13">
        <f>IF(AND(ISNUMBER(AF996),ISNUMBER($B$24),ISNUMBER($D$24)),IF(AF996&gt;$D$24,"boven UCL",IF(AF996&lt;$B$24,"onder LCL","")),"")</f>
        <v/>
      </c>
      <c r="AJ996" s="13">
        <f>IF(AND(ISNUMBER(AE996),ISNUMBER($B$25),ISNUMBER($D$25)),IF(AE996&gt;$D$25,"boven UCL",IF(AE996&lt;$B$25,"onder LCL","")),"")</f>
        <v/>
      </c>
      <c r="AK996" s="13">
        <f>IF(AND(ISNUMBER(AG996),ISNUMBER($B$26),ISNUMBER($D$26)),IF(AG996&gt;$D$26,"boven UCL",IF(AG996&lt;$B$26,"onder LCL","")),"")</f>
        <v/>
      </c>
      <c r="AL996" s="13">
        <f>IF(AND(COUNT(B996:Z996)&gt;0,COUNT(AA996:AC996)&gt;0),"ruwe waarden én getypt: getypte genegeerd",IF(COUNTA(B996:Z996,AA996:AC996)&gt;COUNT(B996:Z996,AA996:AC996),"tekst telt niet mee",IF(COUNT(B996:Z996)=1,"1 waarde: geen R of s","")))</f>
        <v/>
      </c>
    </row>
    <row r="997">
      <c r="A997" t="n">
        <v>946</v>
      </c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28">
        <f>IF(COUNT(B997:Z997)&gt;0,COUNT(B997:Z997),IF(OR(ISNUMBER(AA997),ISNUMBER(AB997)),$B$9,""))</f>
        <v/>
      </c>
      <c r="AE997" s="29">
        <f>IF(COUNT(B997:Z997)&gt;0,AVERAGE(B997:Z997),IF(ISNUMBER(AA997),AA997,""))</f>
        <v/>
      </c>
      <c r="AF997" s="29">
        <f>IF(COUNT(B997:Z997)&gt;1,MAX(B997:Z997)-MIN(B997:Z997),IF(ISNUMBER(AB997),AB997,""))</f>
        <v/>
      </c>
      <c r="AG997" s="29">
        <f>IF(COUNT(B997:Z997)&gt;1,_xlfn.STDEV.S(B997:Z997),IF(ISNUMBER(AC997),AC997,""))</f>
        <v/>
      </c>
      <c r="AH997" s="13">
        <f>IF(AND(ISNUMBER(AE997),ISNUMBER($B$23),ISNUMBER($D$23)),IF(AE997&gt;$D$23,"boven UCL",IF(AE997&lt;$B$23,"onder LCL","")),"")</f>
        <v/>
      </c>
      <c r="AI997" s="13">
        <f>IF(AND(ISNUMBER(AF997),ISNUMBER($B$24),ISNUMBER($D$24)),IF(AF997&gt;$D$24,"boven UCL",IF(AF997&lt;$B$24,"onder LCL","")),"")</f>
        <v/>
      </c>
      <c r="AJ997" s="13">
        <f>IF(AND(ISNUMBER(AE997),ISNUMBER($B$25),ISNUMBER($D$25)),IF(AE997&gt;$D$25,"boven UCL",IF(AE997&lt;$B$25,"onder LCL","")),"")</f>
        <v/>
      </c>
      <c r="AK997" s="13">
        <f>IF(AND(ISNUMBER(AG997),ISNUMBER($B$26),ISNUMBER($D$26)),IF(AG997&gt;$D$26,"boven UCL",IF(AG997&lt;$B$26,"onder LCL","")),"")</f>
        <v/>
      </c>
      <c r="AL997" s="13">
        <f>IF(AND(COUNT(B997:Z997)&gt;0,COUNT(AA997:AC997)&gt;0),"ruwe waarden én getypt: getypte genegeerd",IF(COUNTA(B997:Z997,AA997:AC997)&gt;COUNT(B997:Z997,AA997:AC997),"tekst telt niet mee",IF(COUNT(B997:Z997)=1,"1 waarde: geen R of s","")))</f>
        <v/>
      </c>
    </row>
    <row r="998">
      <c r="A998" t="n">
        <v>947</v>
      </c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28">
        <f>IF(COUNT(B998:Z998)&gt;0,COUNT(B998:Z998),IF(OR(ISNUMBER(AA998),ISNUMBER(AB998)),$B$9,""))</f>
        <v/>
      </c>
      <c r="AE998" s="29">
        <f>IF(COUNT(B998:Z998)&gt;0,AVERAGE(B998:Z998),IF(ISNUMBER(AA998),AA998,""))</f>
        <v/>
      </c>
      <c r="AF998" s="29">
        <f>IF(COUNT(B998:Z998)&gt;1,MAX(B998:Z998)-MIN(B998:Z998),IF(ISNUMBER(AB998),AB998,""))</f>
        <v/>
      </c>
      <c r="AG998" s="29">
        <f>IF(COUNT(B998:Z998)&gt;1,_xlfn.STDEV.S(B998:Z998),IF(ISNUMBER(AC998),AC998,""))</f>
        <v/>
      </c>
      <c r="AH998" s="13">
        <f>IF(AND(ISNUMBER(AE998),ISNUMBER($B$23),ISNUMBER($D$23)),IF(AE998&gt;$D$23,"boven UCL",IF(AE998&lt;$B$23,"onder LCL","")),"")</f>
        <v/>
      </c>
      <c r="AI998" s="13">
        <f>IF(AND(ISNUMBER(AF998),ISNUMBER($B$24),ISNUMBER($D$24)),IF(AF998&gt;$D$24,"boven UCL",IF(AF998&lt;$B$24,"onder LCL","")),"")</f>
        <v/>
      </c>
      <c r="AJ998" s="13">
        <f>IF(AND(ISNUMBER(AE998),ISNUMBER($B$25),ISNUMBER($D$25)),IF(AE998&gt;$D$25,"boven UCL",IF(AE998&lt;$B$25,"onder LCL","")),"")</f>
        <v/>
      </c>
      <c r="AK998" s="13">
        <f>IF(AND(ISNUMBER(AG998),ISNUMBER($B$26),ISNUMBER($D$26)),IF(AG998&gt;$D$26,"boven UCL",IF(AG998&lt;$B$26,"onder LCL","")),"")</f>
        <v/>
      </c>
      <c r="AL998" s="13">
        <f>IF(AND(COUNT(B998:Z998)&gt;0,COUNT(AA998:AC998)&gt;0),"ruwe waarden én getypt: getypte genegeerd",IF(COUNTA(B998:Z998,AA998:AC998)&gt;COUNT(B998:Z998,AA998:AC998),"tekst telt niet mee",IF(COUNT(B998:Z998)=1,"1 waarde: geen R of s","")))</f>
        <v/>
      </c>
    </row>
    <row r="999">
      <c r="A999" t="n">
        <v>948</v>
      </c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28">
        <f>IF(COUNT(B999:Z999)&gt;0,COUNT(B999:Z999),IF(OR(ISNUMBER(AA999),ISNUMBER(AB999)),$B$9,""))</f>
        <v/>
      </c>
      <c r="AE999" s="29">
        <f>IF(COUNT(B999:Z999)&gt;0,AVERAGE(B999:Z999),IF(ISNUMBER(AA999),AA999,""))</f>
        <v/>
      </c>
      <c r="AF999" s="29">
        <f>IF(COUNT(B999:Z999)&gt;1,MAX(B999:Z999)-MIN(B999:Z999),IF(ISNUMBER(AB999),AB999,""))</f>
        <v/>
      </c>
      <c r="AG999" s="29">
        <f>IF(COUNT(B999:Z999)&gt;1,_xlfn.STDEV.S(B999:Z999),IF(ISNUMBER(AC999),AC999,""))</f>
        <v/>
      </c>
      <c r="AH999" s="13">
        <f>IF(AND(ISNUMBER(AE999),ISNUMBER($B$23),ISNUMBER($D$23)),IF(AE999&gt;$D$23,"boven UCL",IF(AE999&lt;$B$23,"onder LCL","")),"")</f>
        <v/>
      </c>
      <c r="AI999" s="13">
        <f>IF(AND(ISNUMBER(AF999),ISNUMBER($B$24),ISNUMBER($D$24)),IF(AF999&gt;$D$24,"boven UCL",IF(AF999&lt;$B$24,"onder LCL","")),"")</f>
        <v/>
      </c>
      <c r="AJ999" s="13">
        <f>IF(AND(ISNUMBER(AE999),ISNUMBER($B$25),ISNUMBER($D$25)),IF(AE999&gt;$D$25,"boven UCL",IF(AE999&lt;$B$25,"onder LCL","")),"")</f>
        <v/>
      </c>
      <c r="AK999" s="13">
        <f>IF(AND(ISNUMBER(AG999),ISNUMBER($B$26),ISNUMBER($D$26)),IF(AG999&gt;$D$26,"boven UCL",IF(AG999&lt;$B$26,"onder LCL","")),"")</f>
        <v/>
      </c>
      <c r="AL999" s="13">
        <f>IF(AND(COUNT(B999:Z999)&gt;0,COUNT(AA999:AC999)&gt;0),"ruwe waarden én getypt: getypte genegeerd",IF(COUNTA(B999:Z999,AA999:AC999)&gt;COUNT(B999:Z999,AA999:AC999),"tekst telt niet mee",IF(COUNT(B999:Z999)=1,"1 waarde: geen R of s","")))</f>
        <v/>
      </c>
    </row>
    <row r="1000">
      <c r="A1000" t="n">
        <v>949</v>
      </c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28">
        <f>IF(COUNT(B1000:Z1000)&gt;0,COUNT(B1000:Z1000),IF(OR(ISNUMBER(AA1000),ISNUMBER(AB1000)),$B$9,""))</f>
        <v/>
      </c>
      <c r="AE1000" s="29">
        <f>IF(COUNT(B1000:Z1000)&gt;0,AVERAGE(B1000:Z1000),IF(ISNUMBER(AA1000),AA1000,""))</f>
        <v/>
      </c>
      <c r="AF1000" s="29">
        <f>IF(COUNT(B1000:Z1000)&gt;1,MAX(B1000:Z1000)-MIN(B1000:Z1000),IF(ISNUMBER(AB1000),AB1000,""))</f>
        <v/>
      </c>
      <c r="AG1000" s="29">
        <f>IF(COUNT(B1000:Z1000)&gt;1,_xlfn.STDEV.S(B1000:Z1000),IF(ISNUMBER(AC1000),AC1000,""))</f>
        <v/>
      </c>
      <c r="AH1000" s="13">
        <f>IF(AND(ISNUMBER(AE1000),ISNUMBER($B$23),ISNUMBER($D$23)),IF(AE1000&gt;$D$23,"boven UCL",IF(AE1000&lt;$B$23,"onder LCL","")),"")</f>
        <v/>
      </c>
      <c r="AI1000" s="13">
        <f>IF(AND(ISNUMBER(AF1000),ISNUMBER($B$24),ISNUMBER($D$24)),IF(AF1000&gt;$D$24,"boven UCL",IF(AF1000&lt;$B$24,"onder LCL","")),"")</f>
        <v/>
      </c>
      <c r="AJ1000" s="13">
        <f>IF(AND(ISNUMBER(AE1000),ISNUMBER($B$25),ISNUMBER($D$25)),IF(AE1000&gt;$D$25,"boven UCL",IF(AE1000&lt;$B$25,"onder LCL","")),"")</f>
        <v/>
      </c>
      <c r="AK1000" s="13">
        <f>IF(AND(ISNUMBER(AG1000),ISNUMBER($B$26),ISNUMBER($D$26)),IF(AG1000&gt;$D$26,"boven UCL",IF(AG1000&lt;$B$26,"onder LCL","")),"")</f>
        <v/>
      </c>
      <c r="AL1000" s="13">
        <f>IF(AND(COUNT(B1000:Z1000)&gt;0,COUNT(AA1000:AC1000)&gt;0),"ruwe waarden én getypt: getypte genegeerd",IF(COUNTA(B1000:Z1000,AA1000:AC1000)&gt;COUNT(B1000:Z1000,AA1000:AC1000),"tekst telt niet mee",IF(COUNT(B1000:Z1000)=1,"1 waarde: geen R of s","")))</f>
        <v/>
      </c>
    </row>
    <row r="1001">
      <c r="A1001" t="n">
        <v>950</v>
      </c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  <c r="R1001" s="7" t="n"/>
      <c r="S1001" s="7" t="n"/>
      <c r="T1001" s="7" t="n"/>
      <c r="U1001" s="7" t="n"/>
      <c r="V1001" s="7" t="n"/>
      <c r="W1001" s="7" t="n"/>
      <c r="X1001" s="7" t="n"/>
      <c r="Y1001" s="7" t="n"/>
      <c r="Z1001" s="7" t="n"/>
      <c r="AA1001" s="7" t="n"/>
      <c r="AB1001" s="7" t="n"/>
      <c r="AC1001" s="7" t="n"/>
      <c r="AD1001" s="28">
        <f>IF(COUNT(B1001:Z1001)&gt;0,COUNT(B1001:Z1001),IF(OR(ISNUMBER(AA1001),ISNUMBER(AB1001)),$B$9,""))</f>
        <v/>
      </c>
      <c r="AE1001" s="29">
        <f>IF(COUNT(B1001:Z1001)&gt;0,AVERAGE(B1001:Z1001),IF(ISNUMBER(AA1001),AA1001,""))</f>
        <v/>
      </c>
      <c r="AF1001" s="29">
        <f>IF(COUNT(B1001:Z1001)&gt;1,MAX(B1001:Z1001)-MIN(B1001:Z1001),IF(ISNUMBER(AB1001),AB1001,""))</f>
        <v/>
      </c>
      <c r="AG1001" s="29">
        <f>IF(COUNT(B1001:Z1001)&gt;1,_xlfn.STDEV.S(B1001:Z1001),IF(ISNUMBER(AC1001),AC1001,""))</f>
        <v/>
      </c>
      <c r="AH1001" s="13">
        <f>IF(AND(ISNUMBER(AE1001),ISNUMBER($B$23),ISNUMBER($D$23)),IF(AE1001&gt;$D$23,"boven UCL",IF(AE1001&lt;$B$23,"onder LCL","")),"")</f>
        <v/>
      </c>
      <c r="AI1001" s="13">
        <f>IF(AND(ISNUMBER(AF1001),ISNUMBER($B$24),ISNUMBER($D$24)),IF(AF1001&gt;$D$24,"boven UCL",IF(AF1001&lt;$B$24,"onder LCL","")),"")</f>
        <v/>
      </c>
      <c r="AJ1001" s="13">
        <f>IF(AND(ISNUMBER(AE1001),ISNUMBER($B$25),ISNUMBER($D$25)),IF(AE1001&gt;$D$25,"boven UCL",IF(AE1001&lt;$B$25,"onder LCL","")),"")</f>
        <v/>
      </c>
      <c r="AK1001" s="13">
        <f>IF(AND(ISNUMBER(AG1001),ISNUMBER($B$26),ISNUMBER($D$26)),IF(AG1001&gt;$D$26,"boven UCL",IF(AG1001&lt;$B$26,"onder LCL","")),"")</f>
        <v/>
      </c>
      <c r="AL1001" s="13">
        <f>IF(AND(COUNT(B1001:Z1001)&gt;0,COUNT(AA1001:AC1001)&gt;0),"ruwe waarden én getypt: getypte genegeerd",IF(COUNTA(B1001:Z1001,AA1001:AC1001)&gt;COUNT(B1001:Z1001,AA1001:AC1001),"tekst telt niet mee",IF(COUNT(B1001:Z1001)=1,"1 waarde: geen R of s","")))</f>
        <v/>
      </c>
    </row>
    <row r="1002">
      <c r="A1002" t="n">
        <v>951</v>
      </c>
      <c r="B1002" s="7" t="n"/>
      <c r="C1002" s="7" t="n"/>
      <c r="D1002" s="7" t="n"/>
      <c r="E1002" s="7" t="n"/>
      <c r="F1002" s="7" t="n"/>
      <c r="G1002" s="7" t="n"/>
      <c r="H1002" s="7" t="n"/>
      <c r="I1002" s="7" t="n"/>
      <c r="J1002" s="7" t="n"/>
      <c r="K1002" s="7" t="n"/>
      <c r="L1002" s="7" t="n"/>
      <c r="M1002" s="7" t="n"/>
      <c r="N1002" s="7" t="n"/>
      <c r="O1002" s="7" t="n"/>
      <c r="P1002" s="7" t="n"/>
      <c r="Q1002" s="7" t="n"/>
      <c r="R1002" s="7" t="n"/>
      <c r="S1002" s="7" t="n"/>
      <c r="T1002" s="7" t="n"/>
      <c r="U1002" s="7" t="n"/>
      <c r="V1002" s="7" t="n"/>
      <c r="W1002" s="7" t="n"/>
      <c r="X1002" s="7" t="n"/>
      <c r="Y1002" s="7" t="n"/>
      <c r="Z1002" s="7" t="n"/>
      <c r="AA1002" s="7" t="n"/>
      <c r="AB1002" s="7" t="n"/>
      <c r="AC1002" s="7" t="n"/>
      <c r="AD1002" s="28">
        <f>IF(COUNT(B1002:Z1002)&gt;0,COUNT(B1002:Z1002),IF(OR(ISNUMBER(AA1002),ISNUMBER(AB1002)),$B$9,""))</f>
        <v/>
      </c>
      <c r="AE1002" s="29">
        <f>IF(COUNT(B1002:Z1002)&gt;0,AVERAGE(B1002:Z1002),IF(ISNUMBER(AA1002),AA1002,""))</f>
        <v/>
      </c>
      <c r="AF1002" s="29">
        <f>IF(COUNT(B1002:Z1002)&gt;1,MAX(B1002:Z1002)-MIN(B1002:Z1002),IF(ISNUMBER(AB1002),AB1002,""))</f>
        <v/>
      </c>
      <c r="AG1002" s="29">
        <f>IF(COUNT(B1002:Z1002)&gt;1,_xlfn.STDEV.S(B1002:Z1002),IF(ISNUMBER(AC1002),AC1002,""))</f>
        <v/>
      </c>
      <c r="AH1002" s="13">
        <f>IF(AND(ISNUMBER(AE1002),ISNUMBER($B$23),ISNUMBER($D$23)),IF(AE1002&gt;$D$23,"boven UCL",IF(AE1002&lt;$B$23,"onder LCL","")),"")</f>
        <v/>
      </c>
      <c r="AI1002" s="13">
        <f>IF(AND(ISNUMBER(AF1002),ISNUMBER($B$24),ISNUMBER($D$24)),IF(AF1002&gt;$D$24,"boven UCL",IF(AF1002&lt;$B$24,"onder LCL","")),"")</f>
        <v/>
      </c>
      <c r="AJ1002" s="13">
        <f>IF(AND(ISNUMBER(AE1002),ISNUMBER($B$25),ISNUMBER($D$25)),IF(AE1002&gt;$D$25,"boven UCL",IF(AE1002&lt;$B$25,"onder LCL","")),"")</f>
        <v/>
      </c>
      <c r="AK1002" s="13">
        <f>IF(AND(ISNUMBER(AG1002),ISNUMBER($B$26),ISNUMBER($D$26)),IF(AG1002&gt;$D$26,"boven UCL",IF(AG1002&lt;$B$26,"onder LCL","")),"")</f>
        <v/>
      </c>
      <c r="AL1002" s="13">
        <f>IF(AND(COUNT(B1002:Z1002)&gt;0,COUNT(AA1002:AC1002)&gt;0),"ruwe waarden én getypt: getypte genegeerd",IF(COUNTA(B1002:Z1002,AA1002:AC1002)&gt;COUNT(B1002:Z1002,AA1002:AC1002),"tekst telt niet mee",IF(COUNT(B1002:Z1002)=1,"1 waarde: geen R of s","")))</f>
        <v/>
      </c>
    </row>
    <row r="1003">
      <c r="A1003" t="n">
        <v>952</v>
      </c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  <c r="R1003" s="7" t="n"/>
      <c r="S1003" s="7" t="n"/>
      <c r="T1003" s="7" t="n"/>
      <c r="U1003" s="7" t="n"/>
      <c r="V1003" s="7" t="n"/>
      <c r="W1003" s="7" t="n"/>
      <c r="X1003" s="7" t="n"/>
      <c r="Y1003" s="7" t="n"/>
      <c r="Z1003" s="7" t="n"/>
      <c r="AA1003" s="7" t="n"/>
      <c r="AB1003" s="7" t="n"/>
      <c r="AC1003" s="7" t="n"/>
      <c r="AD1003" s="28">
        <f>IF(COUNT(B1003:Z1003)&gt;0,COUNT(B1003:Z1003),IF(OR(ISNUMBER(AA1003),ISNUMBER(AB1003)),$B$9,""))</f>
        <v/>
      </c>
      <c r="AE1003" s="29">
        <f>IF(COUNT(B1003:Z1003)&gt;0,AVERAGE(B1003:Z1003),IF(ISNUMBER(AA1003),AA1003,""))</f>
        <v/>
      </c>
      <c r="AF1003" s="29">
        <f>IF(COUNT(B1003:Z1003)&gt;1,MAX(B1003:Z1003)-MIN(B1003:Z1003),IF(ISNUMBER(AB1003),AB1003,""))</f>
        <v/>
      </c>
      <c r="AG1003" s="29">
        <f>IF(COUNT(B1003:Z1003)&gt;1,_xlfn.STDEV.S(B1003:Z1003),IF(ISNUMBER(AC1003),AC1003,""))</f>
        <v/>
      </c>
      <c r="AH1003" s="13">
        <f>IF(AND(ISNUMBER(AE1003),ISNUMBER($B$23),ISNUMBER($D$23)),IF(AE1003&gt;$D$23,"boven UCL",IF(AE1003&lt;$B$23,"onder LCL","")),"")</f>
        <v/>
      </c>
      <c r="AI1003" s="13">
        <f>IF(AND(ISNUMBER(AF1003),ISNUMBER($B$24),ISNUMBER($D$24)),IF(AF1003&gt;$D$24,"boven UCL",IF(AF1003&lt;$B$24,"onder LCL","")),"")</f>
        <v/>
      </c>
      <c r="AJ1003" s="13">
        <f>IF(AND(ISNUMBER(AE1003),ISNUMBER($B$25),ISNUMBER($D$25)),IF(AE1003&gt;$D$25,"boven UCL",IF(AE1003&lt;$B$25,"onder LCL","")),"")</f>
        <v/>
      </c>
      <c r="AK1003" s="13">
        <f>IF(AND(ISNUMBER(AG1003),ISNUMBER($B$26),ISNUMBER($D$26)),IF(AG1003&gt;$D$26,"boven UCL",IF(AG1003&lt;$B$26,"onder LCL","")),"")</f>
        <v/>
      </c>
      <c r="AL1003" s="13">
        <f>IF(AND(COUNT(B1003:Z1003)&gt;0,COUNT(AA1003:AC1003)&gt;0),"ruwe waarden én getypt: getypte genegeerd",IF(COUNTA(B1003:Z1003,AA1003:AC1003)&gt;COUNT(B1003:Z1003,AA1003:AC1003),"tekst telt niet mee",IF(COUNT(B1003:Z1003)=1,"1 waarde: geen R of s","")))</f>
        <v/>
      </c>
    </row>
    <row r="1004">
      <c r="A1004" t="n">
        <v>953</v>
      </c>
      <c r="B1004" s="7" t="n"/>
      <c r="C1004" s="7" t="n"/>
      <c r="D1004" s="7" t="n"/>
      <c r="E1004" s="7" t="n"/>
      <c r="F1004" s="7" t="n"/>
      <c r="G1004" s="7" t="n"/>
      <c r="H1004" s="7" t="n"/>
      <c r="I1004" s="7" t="n"/>
      <c r="J1004" s="7" t="n"/>
      <c r="K1004" s="7" t="n"/>
      <c r="L1004" s="7" t="n"/>
      <c r="M1004" s="7" t="n"/>
      <c r="N1004" s="7" t="n"/>
      <c r="O1004" s="7" t="n"/>
      <c r="P1004" s="7" t="n"/>
      <c r="Q1004" s="7" t="n"/>
      <c r="R1004" s="7" t="n"/>
      <c r="S1004" s="7" t="n"/>
      <c r="T1004" s="7" t="n"/>
      <c r="U1004" s="7" t="n"/>
      <c r="V1004" s="7" t="n"/>
      <c r="W1004" s="7" t="n"/>
      <c r="X1004" s="7" t="n"/>
      <c r="Y1004" s="7" t="n"/>
      <c r="Z1004" s="7" t="n"/>
      <c r="AA1004" s="7" t="n"/>
      <c r="AB1004" s="7" t="n"/>
      <c r="AC1004" s="7" t="n"/>
      <c r="AD1004" s="28">
        <f>IF(COUNT(B1004:Z1004)&gt;0,COUNT(B1004:Z1004),IF(OR(ISNUMBER(AA1004),ISNUMBER(AB1004)),$B$9,""))</f>
        <v/>
      </c>
      <c r="AE1004" s="29">
        <f>IF(COUNT(B1004:Z1004)&gt;0,AVERAGE(B1004:Z1004),IF(ISNUMBER(AA1004),AA1004,""))</f>
        <v/>
      </c>
      <c r="AF1004" s="29">
        <f>IF(COUNT(B1004:Z1004)&gt;1,MAX(B1004:Z1004)-MIN(B1004:Z1004),IF(ISNUMBER(AB1004),AB1004,""))</f>
        <v/>
      </c>
      <c r="AG1004" s="29">
        <f>IF(COUNT(B1004:Z1004)&gt;1,_xlfn.STDEV.S(B1004:Z1004),IF(ISNUMBER(AC1004),AC1004,""))</f>
        <v/>
      </c>
      <c r="AH1004" s="13">
        <f>IF(AND(ISNUMBER(AE1004),ISNUMBER($B$23),ISNUMBER($D$23)),IF(AE1004&gt;$D$23,"boven UCL",IF(AE1004&lt;$B$23,"onder LCL","")),"")</f>
        <v/>
      </c>
      <c r="AI1004" s="13">
        <f>IF(AND(ISNUMBER(AF1004),ISNUMBER($B$24),ISNUMBER($D$24)),IF(AF1004&gt;$D$24,"boven UCL",IF(AF1004&lt;$B$24,"onder LCL","")),"")</f>
        <v/>
      </c>
      <c r="AJ1004" s="13">
        <f>IF(AND(ISNUMBER(AE1004),ISNUMBER($B$25),ISNUMBER($D$25)),IF(AE1004&gt;$D$25,"boven UCL",IF(AE1004&lt;$B$25,"onder LCL","")),"")</f>
        <v/>
      </c>
      <c r="AK1004" s="13">
        <f>IF(AND(ISNUMBER(AG1004),ISNUMBER($B$26),ISNUMBER($D$26)),IF(AG1004&gt;$D$26,"boven UCL",IF(AG1004&lt;$B$26,"onder LCL","")),"")</f>
        <v/>
      </c>
      <c r="AL1004" s="13">
        <f>IF(AND(COUNT(B1004:Z1004)&gt;0,COUNT(AA1004:AC1004)&gt;0),"ruwe waarden én getypt: getypte genegeerd",IF(COUNTA(B1004:Z1004,AA1004:AC1004)&gt;COUNT(B1004:Z1004,AA1004:AC1004),"tekst telt niet mee",IF(COUNT(B1004:Z1004)=1,"1 waarde: geen R of s","")))</f>
        <v/>
      </c>
    </row>
    <row r="1005">
      <c r="A1005" t="n">
        <v>954</v>
      </c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/>
      <c r="Q1005" s="7" t="n"/>
      <c r="R1005" s="7" t="n"/>
      <c r="S1005" s="7" t="n"/>
      <c r="T1005" s="7" t="n"/>
      <c r="U1005" s="7" t="n"/>
      <c r="V1005" s="7" t="n"/>
      <c r="W1005" s="7" t="n"/>
      <c r="X1005" s="7" t="n"/>
      <c r="Y1005" s="7" t="n"/>
      <c r="Z1005" s="7" t="n"/>
      <c r="AA1005" s="7" t="n"/>
      <c r="AB1005" s="7" t="n"/>
      <c r="AC1005" s="7" t="n"/>
      <c r="AD1005" s="28">
        <f>IF(COUNT(B1005:Z1005)&gt;0,COUNT(B1005:Z1005),IF(OR(ISNUMBER(AA1005),ISNUMBER(AB1005)),$B$9,""))</f>
        <v/>
      </c>
      <c r="AE1005" s="29">
        <f>IF(COUNT(B1005:Z1005)&gt;0,AVERAGE(B1005:Z1005),IF(ISNUMBER(AA1005),AA1005,""))</f>
        <v/>
      </c>
      <c r="AF1005" s="29">
        <f>IF(COUNT(B1005:Z1005)&gt;1,MAX(B1005:Z1005)-MIN(B1005:Z1005),IF(ISNUMBER(AB1005),AB1005,""))</f>
        <v/>
      </c>
      <c r="AG1005" s="29">
        <f>IF(COUNT(B1005:Z1005)&gt;1,_xlfn.STDEV.S(B1005:Z1005),IF(ISNUMBER(AC1005),AC1005,""))</f>
        <v/>
      </c>
      <c r="AH1005" s="13">
        <f>IF(AND(ISNUMBER(AE1005),ISNUMBER($B$23),ISNUMBER($D$23)),IF(AE1005&gt;$D$23,"boven UCL",IF(AE1005&lt;$B$23,"onder LCL","")),"")</f>
        <v/>
      </c>
      <c r="AI1005" s="13">
        <f>IF(AND(ISNUMBER(AF1005),ISNUMBER($B$24),ISNUMBER($D$24)),IF(AF1005&gt;$D$24,"boven UCL",IF(AF1005&lt;$B$24,"onder LCL","")),"")</f>
        <v/>
      </c>
      <c r="AJ1005" s="13">
        <f>IF(AND(ISNUMBER(AE1005),ISNUMBER($B$25),ISNUMBER($D$25)),IF(AE1005&gt;$D$25,"boven UCL",IF(AE1005&lt;$B$25,"onder LCL","")),"")</f>
        <v/>
      </c>
      <c r="AK1005" s="13">
        <f>IF(AND(ISNUMBER(AG1005),ISNUMBER($B$26),ISNUMBER($D$26)),IF(AG1005&gt;$D$26,"boven UCL",IF(AG1005&lt;$B$26,"onder LCL","")),"")</f>
        <v/>
      </c>
      <c r="AL1005" s="13">
        <f>IF(AND(COUNT(B1005:Z1005)&gt;0,COUNT(AA1005:AC1005)&gt;0),"ruwe waarden én getypt: getypte genegeerd",IF(COUNTA(B1005:Z1005,AA1005:AC1005)&gt;COUNT(B1005:Z1005,AA1005:AC1005),"tekst telt niet mee",IF(COUNT(B1005:Z1005)=1,"1 waarde: geen R of s","")))</f>
        <v/>
      </c>
    </row>
    <row r="1006">
      <c r="A1006" t="n">
        <v>955</v>
      </c>
      <c r="B1006" s="7" t="n"/>
      <c r="C1006" s="7" t="n"/>
      <c r="D1006" s="7" t="n"/>
      <c r="E1006" s="7" t="n"/>
      <c r="F1006" s="7" t="n"/>
      <c r="G1006" s="7" t="n"/>
      <c r="H1006" s="7" t="n"/>
      <c r="I1006" s="7" t="n"/>
      <c r="J1006" s="7" t="n"/>
      <c r="K1006" s="7" t="n"/>
      <c r="L1006" s="7" t="n"/>
      <c r="M1006" s="7" t="n"/>
      <c r="N1006" s="7" t="n"/>
      <c r="O1006" s="7" t="n"/>
      <c r="P1006" s="7" t="n"/>
      <c r="Q1006" s="7" t="n"/>
      <c r="R1006" s="7" t="n"/>
      <c r="S1006" s="7" t="n"/>
      <c r="T1006" s="7" t="n"/>
      <c r="U1006" s="7" t="n"/>
      <c r="V1006" s="7" t="n"/>
      <c r="W1006" s="7" t="n"/>
      <c r="X1006" s="7" t="n"/>
      <c r="Y1006" s="7" t="n"/>
      <c r="Z1006" s="7" t="n"/>
      <c r="AA1006" s="7" t="n"/>
      <c r="AB1006" s="7" t="n"/>
      <c r="AC1006" s="7" t="n"/>
      <c r="AD1006" s="28">
        <f>IF(COUNT(B1006:Z1006)&gt;0,COUNT(B1006:Z1006),IF(OR(ISNUMBER(AA1006),ISNUMBER(AB1006)),$B$9,""))</f>
        <v/>
      </c>
      <c r="AE1006" s="29">
        <f>IF(COUNT(B1006:Z1006)&gt;0,AVERAGE(B1006:Z1006),IF(ISNUMBER(AA1006),AA1006,""))</f>
        <v/>
      </c>
      <c r="AF1006" s="29">
        <f>IF(COUNT(B1006:Z1006)&gt;1,MAX(B1006:Z1006)-MIN(B1006:Z1006),IF(ISNUMBER(AB1006),AB1006,""))</f>
        <v/>
      </c>
      <c r="AG1006" s="29">
        <f>IF(COUNT(B1006:Z1006)&gt;1,_xlfn.STDEV.S(B1006:Z1006),IF(ISNUMBER(AC1006),AC1006,""))</f>
        <v/>
      </c>
      <c r="AH1006" s="13">
        <f>IF(AND(ISNUMBER(AE1006),ISNUMBER($B$23),ISNUMBER($D$23)),IF(AE1006&gt;$D$23,"boven UCL",IF(AE1006&lt;$B$23,"onder LCL","")),"")</f>
        <v/>
      </c>
      <c r="AI1006" s="13">
        <f>IF(AND(ISNUMBER(AF1006),ISNUMBER($B$24),ISNUMBER($D$24)),IF(AF1006&gt;$D$24,"boven UCL",IF(AF1006&lt;$B$24,"onder LCL","")),"")</f>
        <v/>
      </c>
      <c r="AJ1006" s="13">
        <f>IF(AND(ISNUMBER(AE1006),ISNUMBER($B$25),ISNUMBER($D$25)),IF(AE1006&gt;$D$25,"boven UCL",IF(AE1006&lt;$B$25,"onder LCL","")),"")</f>
        <v/>
      </c>
      <c r="AK1006" s="13">
        <f>IF(AND(ISNUMBER(AG1006),ISNUMBER($B$26),ISNUMBER($D$26)),IF(AG1006&gt;$D$26,"boven UCL",IF(AG1006&lt;$B$26,"onder LCL","")),"")</f>
        <v/>
      </c>
      <c r="AL1006" s="13">
        <f>IF(AND(COUNT(B1006:Z1006)&gt;0,COUNT(AA1006:AC1006)&gt;0),"ruwe waarden én getypt: getypte genegeerd",IF(COUNTA(B1006:Z1006,AA1006:AC1006)&gt;COUNT(B1006:Z1006,AA1006:AC1006),"tekst telt niet mee",IF(COUNT(B1006:Z1006)=1,"1 waarde: geen R of s","")))</f>
        <v/>
      </c>
    </row>
    <row r="1007">
      <c r="A1007" t="n">
        <v>956</v>
      </c>
      <c r="B1007" s="7" t="n"/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  <c r="R1007" s="7" t="n"/>
      <c r="S1007" s="7" t="n"/>
      <c r="T1007" s="7" t="n"/>
      <c r="U1007" s="7" t="n"/>
      <c r="V1007" s="7" t="n"/>
      <c r="W1007" s="7" t="n"/>
      <c r="X1007" s="7" t="n"/>
      <c r="Y1007" s="7" t="n"/>
      <c r="Z1007" s="7" t="n"/>
      <c r="AA1007" s="7" t="n"/>
      <c r="AB1007" s="7" t="n"/>
      <c r="AC1007" s="7" t="n"/>
      <c r="AD1007" s="28">
        <f>IF(COUNT(B1007:Z1007)&gt;0,COUNT(B1007:Z1007),IF(OR(ISNUMBER(AA1007),ISNUMBER(AB1007)),$B$9,""))</f>
        <v/>
      </c>
      <c r="AE1007" s="29">
        <f>IF(COUNT(B1007:Z1007)&gt;0,AVERAGE(B1007:Z1007),IF(ISNUMBER(AA1007),AA1007,""))</f>
        <v/>
      </c>
      <c r="AF1007" s="29">
        <f>IF(COUNT(B1007:Z1007)&gt;1,MAX(B1007:Z1007)-MIN(B1007:Z1007),IF(ISNUMBER(AB1007),AB1007,""))</f>
        <v/>
      </c>
      <c r="AG1007" s="29">
        <f>IF(COUNT(B1007:Z1007)&gt;1,_xlfn.STDEV.S(B1007:Z1007),IF(ISNUMBER(AC1007),AC1007,""))</f>
        <v/>
      </c>
      <c r="AH1007" s="13">
        <f>IF(AND(ISNUMBER(AE1007),ISNUMBER($B$23),ISNUMBER($D$23)),IF(AE1007&gt;$D$23,"boven UCL",IF(AE1007&lt;$B$23,"onder LCL","")),"")</f>
        <v/>
      </c>
      <c r="AI1007" s="13">
        <f>IF(AND(ISNUMBER(AF1007),ISNUMBER($B$24),ISNUMBER($D$24)),IF(AF1007&gt;$D$24,"boven UCL",IF(AF1007&lt;$B$24,"onder LCL","")),"")</f>
        <v/>
      </c>
      <c r="AJ1007" s="13">
        <f>IF(AND(ISNUMBER(AE1007),ISNUMBER($B$25),ISNUMBER($D$25)),IF(AE1007&gt;$D$25,"boven UCL",IF(AE1007&lt;$B$25,"onder LCL","")),"")</f>
        <v/>
      </c>
      <c r="AK1007" s="13">
        <f>IF(AND(ISNUMBER(AG1007),ISNUMBER($B$26),ISNUMBER($D$26)),IF(AG1007&gt;$D$26,"boven UCL",IF(AG1007&lt;$B$26,"onder LCL","")),"")</f>
        <v/>
      </c>
      <c r="AL1007" s="13">
        <f>IF(AND(COUNT(B1007:Z1007)&gt;0,COUNT(AA1007:AC1007)&gt;0),"ruwe waarden én getypt: getypte genegeerd",IF(COUNTA(B1007:Z1007,AA1007:AC1007)&gt;COUNT(B1007:Z1007,AA1007:AC1007),"tekst telt niet mee",IF(COUNT(B1007:Z1007)=1,"1 waarde: geen R of s","")))</f>
        <v/>
      </c>
    </row>
    <row r="1008">
      <c r="A1008" t="n">
        <v>957</v>
      </c>
      <c r="B1008" s="7" t="n"/>
      <c r="C1008" s="7" t="n"/>
      <c r="D1008" s="7" t="n"/>
      <c r="E1008" s="7" t="n"/>
      <c r="F1008" s="7" t="n"/>
      <c r="G1008" s="7" t="n"/>
      <c r="H1008" s="7" t="n"/>
      <c r="I1008" s="7" t="n"/>
      <c r="J1008" s="7" t="n"/>
      <c r="K1008" s="7" t="n"/>
      <c r="L1008" s="7" t="n"/>
      <c r="M1008" s="7" t="n"/>
      <c r="N1008" s="7" t="n"/>
      <c r="O1008" s="7" t="n"/>
      <c r="P1008" s="7" t="n"/>
      <c r="Q1008" s="7" t="n"/>
      <c r="R1008" s="7" t="n"/>
      <c r="S1008" s="7" t="n"/>
      <c r="T1008" s="7" t="n"/>
      <c r="U1008" s="7" t="n"/>
      <c r="V1008" s="7" t="n"/>
      <c r="W1008" s="7" t="n"/>
      <c r="X1008" s="7" t="n"/>
      <c r="Y1008" s="7" t="n"/>
      <c r="Z1008" s="7" t="n"/>
      <c r="AA1008" s="7" t="n"/>
      <c r="AB1008" s="7" t="n"/>
      <c r="AC1008" s="7" t="n"/>
      <c r="AD1008" s="28">
        <f>IF(COUNT(B1008:Z1008)&gt;0,COUNT(B1008:Z1008),IF(OR(ISNUMBER(AA1008),ISNUMBER(AB1008)),$B$9,""))</f>
        <v/>
      </c>
      <c r="AE1008" s="29">
        <f>IF(COUNT(B1008:Z1008)&gt;0,AVERAGE(B1008:Z1008),IF(ISNUMBER(AA1008),AA1008,""))</f>
        <v/>
      </c>
      <c r="AF1008" s="29">
        <f>IF(COUNT(B1008:Z1008)&gt;1,MAX(B1008:Z1008)-MIN(B1008:Z1008),IF(ISNUMBER(AB1008),AB1008,""))</f>
        <v/>
      </c>
      <c r="AG1008" s="29">
        <f>IF(COUNT(B1008:Z1008)&gt;1,_xlfn.STDEV.S(B1008:Z1008),IF(ISNUMBER(AC1008),AC1008,""))</f>
        <v/>
      </c>
      <c r="AH1008" s="13">
        <f>IF(AND(ISNUMBER(AE1008),ISNUMBER($B$23),ISNUMBER($D$23)),IF(AE1008&gt;$D$23,"boven UCL",IF(AE1008&lt;$B$23,"onder LCL","")),"")</f>
        <v/>
      </c>
      <c r="AI1008" s="13">
        <f>IF(AND(ISNUMBER(AF1008),ISNUMBER($B$24),ISNUMBER($D$24)),IF(AF1008&gt;$D$24,"boven UCL",IF(AF1008&lt;$B$24,"onder LCL","")),"")</f>
        <v/>
      </c>
      <c r="AJ1008" s="13">
        <f>IF(AND(ISNUMBER(AE1008),ISNUMBER($B$25),ISNUMBER($D$25)),IF(AE1008&gt;$D$25,"boven UCL",IF(AE1008&lt;$B$25,"onder LCL","")),"")</f>
        <v/>
      </c>
      <c r="AK1008" s="13">
        <f>IF(AND(ISNUMBER(AG1008),ISNUMBER($B$26),ISNUMBER($D$26)),IF(AG1008&gt;$D$26,"boven UCL",IF(AG1008&lt;$B$26,"onder LCL","")),"")</f>
        <v/>
      </c>
      <c r="AL1008" s="13">
        <f>IF(AND(COUNT(B1008:Z1008)&gt;0,COUNT(AA1008:AC1008)&gt;0),"ruwe waarden én getypt: getypte genegeerd",IF(COUNTA(B1008:Z1008,AA1008:AC1008)&gt;COUNT(B1008:Z1008,AA1008:AC1008),"tekst telt niet mee",IF(COUNT(B1008:Z1008)=1,"1 waarde: geen R of s","")))</f>
        <v/>
      </c>
    </row>
    <row r="1009">
      <c r="A1009" t="n">
        <v>958</v>
      </c>
      <c r="B1009" s="7" t="n"/>
      <c r="C1009" s="7" t="n"/>
      <c r="D1009" s="7" t="n"/>
      <c r="E1009" s="7" t="n"/>
      <c r="F1009" s="7" t="n"/>
      <c r="G1009" s="7" t="n"/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/>
      <c r="Q1009" s="7" t="n"/>
      <c r="R1009" s="7" t="n"/>
      <c r="S1009" s="7" t="n"/>
      <c r="T1009" s="7" t="n"/>
      <c r="U1009" s="7" t="n"/>
      <c r="V1009" s="7" t="n"/>
      <c r="W1009" s="7" t="n"/>
      <c r="X1009" s="7" t="n"/>
      <c r="Y1009" s="7" t="n"/>
      <c r="Z1009" s="7" t="n"/>
      <c r="AA1009" s="7" t="n"/>
      <c r="AB1009" s="7" t="n"/>
      <c r="AC1009" s="7" t="n"/>
      <c r="AD1009" s="28">
        <f>IF(COUNT(B1009:Z1009)&gt;0,COUNT(B1009:Z1009),IF(OR(ISNUMBER(AA1009),ISNUMBER(AB1009)),$B$9,""))</f>
        <v/>
      </c>
      <c r="AE1009" s="29">
        <f>IF(COUNT(B1009:Z1009)&gt;0,AVERAGE(B1009:Z1009),IF(ISNUMBER(AA1009),AA1009,""))</f>
        <v/>
      </c>
      <c r="AF1009" s="29">
        <f>IF(COUNT(B1009:Z1009)&gt;1,MAX(B1009:Z1009)-MIN(B1009:Z1009),IF(ISNUMBER(AB1009),AB1009,""))</f>
        <v/>
      </c>
      <c r="AG1009" s="29">
        <f>IF(COUNT(B1009:Z1009)&gt;1,_xlfn.STDEV.S(B1009:Z1009),IF(ISNUMBER(AC1009),AC1009,""))</f>
        <v/>
      </c>
      <c r="AH1009" s="13">
        <f>IF(AND(ISNUMBER(AE1009),ISNUMBER($B$23),ISNUMBER($D$23)),IF(AE1009&gt;$D$23,"boven UCL",IF(AE1009&lt;$B$23,"onder LCL","")),"")</f>
        <v/>
      </c>
      <c r="AI1009" s="13">
        <f>IF(AND(ISNUMBER(AF1009),ISNUMBER($B$24),ISNUMBER($D$24)),IF(AF1009&gt;$D$24,"boven UCL",IF(AF1009&lt;$B$24,"onder LCL","")),"")</f>
        <v/>
      </c>
      <c r="AJ1009" s="13">
        <f>IF(AND(ISNUMBER(AE1009),ISNUMBER($B$25),ISNUMBER($D$25)),IF(AE1009&gt;$D$25,"boven UCL",IF(AE1009&lt;$B$25,"onder LCL","")),"")</f>
        <v/>
      </c>
      <c r="AK1009" s="13">
        <f>IF(AND(ISNUMBER(AG1009),ISNUMBER($B$26),ISNUMBER($D$26)),IF(AG1009&gt;$D$26,"boven UCL",IF(AG1009&lt;$B$26,"onder LCL","")),"")</f>
        <v/>
      </c>
      <c r="AL1009" s="13">
        <f>IF(AND(COUNT(B1009:Z1009)&gt;0,COUNT(AA1009:AC1009)&gt;0),"ruwe waarden én getypt: getypte genegeerd",IF(COUNTA(B1009:Z1009,AA1009:AC1009)&gt;COUNT(B1009:Z1009,AA1009:AC1009),"tekst telt niet mee",IF(COUNT(B1009:Z1009)=1,"1 waarde: geen R of s","")))</f>
        <v/>
      </c>
    </row>
    <row r="1010">
      <c r="A1010" t="n">
        <v>959</v>
      </c>
      <c r="B1010" s="7" t="n"/>
      <c r="C1010" s="7" t="n"/>
      <c r="D1010" s="7" t="n"/>
      <c r="E1010" s="7" t="n"/>
      <c r="F1010" s="7" t="n"/>
      <c r="G1010" s="7" t="n"/>
      <c r="H1010" s="7" t="n"/>
      <c r="I1010" s="7" t="n"/>
      <c r="J1010" s="7" t="n"/>
      <c r="K1010" s="7" t="n"/>
      <c r="L1010" s="7" t="n"/>
      <c r="M1010" s="7" t="n"/>
      <c r="N1010" s="7" t="n"/>
      <c r="O1010" s="7" t="n"/>
      <c r="P1010" s="7" t="n"/>
      <c r="Q1010" s="7" t="n"/>
      <c r="R1010" s="7" t="n"/>
      <c r="S1010" s="7" t="n"/>
      <c r="T1010" s="7" t="n"/>
      <c r="U1010" s="7" t="n"/>
      <c r="V1010" s="7" t="n"/>
      <c r="W1010" s="7" t="n"/>
      <c r="X1010" s="7" t="n"/>
      <c r="Y1010" s="7" t="n"/>
      <c r="Z1010" s="7" t="n"/>
      <c r="AA1010" s="7" t="n"/>
      <c r="AB1010" s="7" t="n"/>
      <c r="AC1010" s="7" t="n"/>
      <c r="AD1010" s="28">
        <f>IF(COUNT(B1010:Z1010)&gt;0,COUNT(B1010:Z1010),IF(OR(ISNUMBER(AA1010),ISNUMBER(AB1010)),$B$9,""))</f>
        <v/>
      </c>
      <c r="AE1010" s="29">
        <f>IF(COUNT(B1010:Z1010)&gt;0,AVERAGE(B1010:Z1010),IF(ISNUMBER(AA1010),AA1010,""))</f>
        <v/>
      </c>
      <c r="AF1010" s="29">
        <f>IF(COUNT(B1010:Z1010)&gt;1,MAX(B1010:Z1010)-MIN(B1010:Z1010),IF(ISNUMBER(AB1010),AB1010,""))</f>
        <v/>
      </c>
      <c r="AG1010" s="29">
        <f>IF(COUNT(B1010:Z1010)&gt;1,_xlfn.STDEV.S(B1010:Z1010),IF(ISNUMBER(AC1010),AC1010,""))</f>
        <v/>
      </c>
      <c r="AH1010" s="13">
        <f>IF(AND(ISNUMBER(AE1010),ISNUMBER($B$23),ISNUMBER($D$23)),IF(AE1010&gt;$D$23,"boven UCL",IF(AE1010&lt;$B$23,"onder LCL","")),"")</f>
        <v/>
      </c>
      <c r="AI1010" s="13">
        <f>IF(AND(ISNUMBER(AF1010),ISNUMBER($B$24),ISNUMBER($D$24)),IF(AF1010&gt;$D$24,"boven UCL",IF(AF1010&lt;$B$24,"onder LCL","")),"")</f>
        <v/>
      </c>
      <c r="AJ1010" s="13">
        <f>IF(AND(ISNUMBER(AE1010),ISNUMBER($B$25),ISNUMBER($D$25)),IF(AE1010&gt;$D$25,"boven UCL",IF(AE1010&lt;$B$25,"onder LCL","")),"")</f>
        <v/>
      </c>
      <c r="AK1010" s="13">
        <f>IF(AND(ISNUMBER(AG1010),ISNUMBER($B$26),ISNUMBER($D$26)),IF(AG1010&gt;$D$26,"boven UCL",IF(AG1010&lt;$B$26,"onder LCL","")),"")</f>
        <v/>
      </c>
      <c r="AL1010" s="13">
        <f>IF(AND(COUNT(B1010:Z1010)&gt;0,COUNT(AA1010:AC1010)&gt;0),"ruwe waarden én getypt: getypte genegeerd",IF(COUNTA(B1010:Z1010,AA1010:AC1010)&gt;COUNT(B1010:Z1010,AA1010:AC1010),"tekst telt niet mee",IF(COUNT(B1010:Z1010)=1,"1 waarde: geen R of s","")))</f>
        <v/>
      </c>
    </row>
    <row r="1011">
      <c r="A1011" t="n">
        <v>960</v>
      </c>
      <c r="B1011" s="7" t="n"/>
      <c r="C1011" s="7" t="n"/>
      <c r="D1011" s="7" t="n"/>
      <c r="E1011" s="7" t="n"/>
      <c r="F1011" s="7" t="n"/>
      <c r="G1011" s="7" t="n"/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/>
      <c r="Q1011" s="7" t="n"/>
      <c r="R1011" s="7" t="n"/>
      <c r="S1011" s="7" t="n"/>
      <c r="T1011" s="7" t="n"/>
      <c r="U1011" s="7" t="n"/>
      <c r="V1011" s="7" t="n"/>
      <c r="W1011" s="7" t="n"/>
      <c r="X1011" s="7" t="n"/>
      <c r="Y1011" s="7" t="n"/>
      <c r="Z1011" s="7" t="n"/>
      <c r="AA1011" s="7" t="n"/>
      <c r="AB1011" s="7" t="n"/>
      <c r="AC1011" s="7" t="n"/>
      <c r="AD1011" s="28">
        <f>IF(COUNT(B1011:Z1011)&gt;0,COUNT(B1011:Z1011),IF(OR(ISNUMBER(AA1011),ISNUMBER(AB1011)),$B$9,""))</f>
        <v/>
      </c>
      <c r="AE1011" s="29">
        <f>IF(COUNT(B1011:Z1011)&gt;0,AVERAGE(B1011:Z1011),IF(ISNUMBER(AA1011),AA1011,""))</f>
        <v/>
      </c>
      <c r="AF1011" s="29">
        <f>IF(COUNT(B1011:Z1011)&gt;1,MAX(B1011:Z1011)-MIN(B1011:Z1011),IF(ISNUMBER(AB1011),AB1011,""))</f>
        <v/>
      </c>
      <c r="AG1011" s="29">
        <f>IF(COUNT(B1011:Z1011)&gt;1,_xlfn.STDEV.S(B1011:Z1011),IF(ISNUMBER(AC1011),AC1011,""))</f>
        <v/>
      </c>
      <c r="AH1011" s="13">
        <f>IF(AND(ISNUMBER(AE1011),ISNUMBER($B$23),ISNUMBER($D$23)),IF(AE1011&gt;$D$23,"boven UCL",IF(AE1011&lt;$B$23,"onder LCL","")),"")</f>
        <v/>
      </c>
      <c r="AI1011" s="13">
        <f>IF(AND(ISNUMBER(AF1011),ISNUMBER($B$24),ISNUMBER($D$24)),IF(AF1011&gt;$D$24,"boven UCL",IF(AF1011&lt;$B$24,"onder LCL","")),"")</f>
        <v/>
      </c>
      <c r="AJ1011" s="13">
        <f>IF(AND(ISNUMBER(AE1011),ISNUMBER($B$25),ISNUMBER($D$25)),IF(AE1011&gt;$D$25,"boven UCL",IF(AE1011&lt;$B$25,"onder LCL","")),"")</f>
        <v/>
      </c>
      <c r="AK1011" s="13">
        <f>IF(AND(ISNUMBER(AG1011),ISNUMBER($B$26),ISNUMBER($D$26)),IF(AG1011&gt;$D$26,"boven UCL",IF(AG1011&lt;$B$26,"onder LCL","")),"")</f>
        <v/>
      </c>
      <c r="AL1011" s="13">
        <f>IF(AND(COUNT(B1011:Z1011)&gt;0,COUNT(AA1011:AC1011)&gt;0),"ruwe waarden én getypt: getypte genegeerd",IF(COUNTA(B1011:Z1011,AA1011:AC1011)&gt;COUNT(B1011:Z1011,AA1011:AC1011),"tekst telt niet mee",IF(COUNT(B1011:Z1011)=1,"1 waarde: geen R of s","")))</f>
        <v/>
      </c>
    </row>
    <row r="1012">
      <c r="A1012" t="n">
        <v>961</v>
      </c>
      <c r="B1012" s="7" t="n"/>
      <c r="C1012" s="7" t="n"/>
      <c r="D1012" s="7" t="n"/>
      <c r="E1012" s="7" t="n"/>
      <c r="F1012" s="7" t="n"/>
      <c r="G1012" s="7" t="n"/>
      <c r="H1012" s="7" t="n"/>
      <c r="I1012" s="7" t="n"/>
      <c r="J1012" s="7" t="n"/>
      <c r="K1012" s="7" t="n"/>
      <c r="L1012" s="7" t="n"/>
      <c r="M1012" s="7" t="n"/>
      <c r="N1012" s="7" t="n"/>
      <c r="O1012" s="7" t="n"/>
      <c r="P1012" s="7" t="n"/>
      <c r="Q1012" s="7" t="n"/>
      <c r="R1012" s="7" t="n"/>
      <c r="S1012" s="7" t="n"/>
      <c r="T1012" s="7" t="n"/>
      <c r="U1012" s="7" t="n"/>
      <c r="V1012" s="7" t="n"/>
      <c r="W1012" s="7" t="n"/>
      <c r="X1012" s="7" t="n"/>
      <c r="Y1012" s="7" t="n"/>
      <c r="Z1012" s="7" t="n"/>
      <c r="AA1012" s="7" t="n"/>
      <c r="AB1012" s="7" t="n"/>
      <c r="AC1012" s="7" t="n"/>
      <c r="AD1012" s="28">
        <f>IF(COUNT(B1012:Z1012)&gt;0,COUNT(B1012:Z1012),IF(OR(ISNUMBER(AA1012),ISNUMBER(AB1012)),$B$9,""))</f>
        <v/>
      </c>
      <c r="AE1012" s="29">
        <f>IF(COUNT(B1012:Z1012)&gt;0,AVERAGE(B1012:Z1012),IF(ISNUMBER(AA1012),AA1012,""))</f>
        <v/>
      </c>
      <c r="AF1012" s="29">
        <f>IF(COUNT(B1012:Z1012)&gt;1,MAX(B1012:Z1012)-MIN(B1012:Z1012),IF(ISNUMBER(AB1012),AB1012,""))</f>
        <v/>
      </c>
      <c r="AG1012" s="29">
        <f>IF(COUNT(B1012:Z1012)&gt;1,_xlfn.STDEV.S(B1012:Z1012),IF(ISNUMBER(AC1012),AC1012,""))</f>
        <v/>
      </c>
      <c r="AH1012" s="13">
        <f>IF(AND(ISNUMBER(AE1012),ISNUMBER($B$23),ISNUMBER($D$23)),IF(AE1012&gt;$D$23,"boven UCL",IF(AE1012&lt;$B$23,"onder LCL","")),"")</f>
        <v/>
      </c>
      <c r="AI1012" s="13">
        <f>IF(AND(ISNUMBER(AF1012),ISNUMBER($B$24),ISNUMBER($D$24)),IF(AF1012&gt;$D$24,"boven UCL",IF(AF1012&lt;$B$24,"onder LCL","")),"")</f>
        <v/>
      </c>
      <c r="AJ1012" s="13">
        <f>IF(AND(ISNUMBER(AE1012),ISNUMBER($B$25),ISNUMBER($D$25)),IF(AE1012&gt;$D$25,"boven UCL",IF(AE1012&lt;$B$25,"onder LCL","")),"")</f>
        <v/>
      </c>
      <c r="AK1012" s="13">
        <f>IF(AND(ISNUMBER(AG1012),ISNUMBER($B$26),ISNUMBER($D$26)),IF(AG1012&gt;$D$26,"boven UCL",IF(AG1012&lt;$B$26,"onder LCL","")),"")</f>
        <v/>
      </c>
      <c r="AL1012" s="13">
        <f>IF(AND(COUNT(B1012:Z1012)&gt;0,COUNT(AA1012:AC1012)&gt;0),"ruwe waarden én getypt: getypte genegeerd",IF(COUNTA(B1012:Z1012,AA1012:AC1012)&gt;COUNT(B1012:Z1012,AA1012:AC1012),"tekst telt niet mee",IF(COUNT(B1012:Z1012)=1,"1 waarde: geen R of s","")))</f>
        <v/>
      </c>
    </row>
    <row r="1013">
      <c r="A1013" t="n">
        <v>962</v>
      </c>
      <c r="B1013" s="7" t="n"/>
      <c r="C1013" s="7" t="n"/>
      <c r="D1013" s="7" t="n"/>
      <c r="E1013" s="7" t="n"/>
      <c r="F1013" s="7" t="n"/>
      <c r="G1013" s="7" t="n"/>
      <c r="H1013" s="7" t="n"/>
      <c r="I1013" s="7" t="n"/>
      <c r="J1013" s="7" t="n"/>
      <c r="K1013" s="7" t="n"/>
      <c r="L1013" s="7" t="n"/>
      <c r="M1013" s="7" t="n"/>
      <c r="N1013" s="7" t="n"/>
      <c r="O1013" s="7" t="n"/>
      <c r="P1013" s="7" t="n"/>
      <c r="Q1013" s="7" t="n"/>
      <c r="R1013" s="7" t="n"/>
      <c r="S1013" s="7" t="n"/>
      <c r="T1013" s="7" t="n"/>
      <c r="U1013" s="7" t="n"/>
      <c r="V1013" s="7" t="n"/>
      <c r="W1013" s="7" t="n"/>
      <c r="X1013" s="7" t="n"/>
      <c r="Y1013" s="7" t="n"/>
      <c r="Z1013" s="7" t="n"/>
      <c r="AA1013" s="7" t="n"/>
      <c r="AB1013" s="7" t="n"/>
      <c r="AC1013" s="7" t="n"/>
      <c r="AD1013" s="28">
        <f>IF(COUNT(B1013:Z1013)&gt;0,COUNT(B1013:Z1013),IF(OR(ISNUMBER(AA1013),ISNUMBER(AB1013)),$B$9,""))</f>
        <v/>
      </c>
      <c r="AE1013" s="29">
        <f>IF(COUNT(B1013:Z1013)&gt;0,AVERAGE(B1013:Z1013),IF(ISNUMBER(AA1013),AA1013,""))</f>
        <v/>
      </c>
      <c r="AF1013" s="29">
        <f>IF(COUNT(B1013:Z1013)&gt;1,MAX(B1013:Z1013)-MIN(B1013:Z1013),IF(ISNUMBER(AB1013),AB1013,""))</f>
        <v/>
      </c>
      <c r="AG1013" s="29">
        <f>IF(COUNT(B1013:Z1013)&gt;1,_xlfn.STDEV.S(B1013:Z1013),IF(ISNUMBER(AC1013),AC1013,""))</f>
        <v/>
      </c>
      <c r="AH1013" s="13">
        <f>IF(AND(ISNUMBER(AE1013),ISNUMBER($B$23),ISNUMBER($D$23)),IF(AE1013&gt;$D$23,"boven UCL",IF(AE1013&lt;$B$23,"onder LCL","")),"")</f>
        <v/>
      </c>
      <c r="AI1013" s="13">
        <f>IF(AND(ISNUMBER(AF1013),ISNUMBER($B$24),ISNUMBER($D$24)),IF(AF1013&gt;$D$24,"boven UCL",IF(AF1013&lt;$B$24,"onder LCL","")),"")</f>
        <v/>
      </c>
      <c r="AJ1013" s="13">
        <f>IF(AND(ISNUMBER(AE1013),ISNUMBER($B$25),ISNUMBER($D$25)),IF(AE1013&gt;$D$25,"boven UCL",IF(AE1013&lt;$B$25,"onder LCL","")),"")</f>
        <v/>
      </c>
      <c r="AK1013" s="13">
        <f>IF(AND(ISNUMBER(AG1013),ISNUMBER($B$26),ISNUMBER($D$26)),IF(AG1013&gt;$D$26,"boven UCL",IF(AG1013&lt;$B$26,"onder LCL","")),"")</f>
        <v/>
      </c>
      <c r="AL1013" s="13">
        <f>IF(AND(COUNT(B1013:Z1013)&gt;0,COUNT(AA1013:AC1013)&gt;0),"ruwe waarden én getypt: getypte genegeerd",IF(COUNTA(B1013:Z1013,AA1013:AC1013)&gt;COUNT(B1013:Z1013,AA1013:AC1013),"tekst telt niet mee",IF(COUNT(B1013:Z1013)=1,"1 waarde: geen R of s","")))</f>
        <v/>
      </c>
    </row>
    <row r="1014">
      <c r="A1014" t="n">
        <v>963</v>
      </c>
      <c r="B1014" s="7" t="n"/>
      <c r="C1014" s="7" t="n"/>
      <c r="D1014" s="7" t="n"/>
      <c r="E1014" s="7" t="n"/>
      <c r="F1014" s="7" t="n"/>
      <c r="G1014" s="7" t="n"/>
      <c r="H1014" s="7" t="n"/>
      <c r="I1014" s="7" t="n"/>
      <c r="J1014" s="7" t="n"/>
      <c r="K1014" s="7" t="n"/>
      <c r="L1014" s="7" t="n"/>
      <c r="M1014" s="7" t="n"/>
      <c r="N1014" s="7" t="n"/>
      <c r="O1014" s="7" t="n"/>
      <c r="P1014" s="7" t="n"/>
      <c r="Q1014" s="7" t="n"/>
      <c r="R1014" s="7" t="n"/>
      <c r="S1014" s="7" t="n"/>
      <c r="T1014" s="7" t="n"/>
      <c r="U1014" s="7" t="n"/>
      <c r="V1014" s="7" t="n"/>
      <c r="W1014" s="7" t="n"/>
      <c r="X1014" s="7" t="n"/>
      <c r="Y1014" s="7" t="n"/>
      <c r="Z1014" s="7" t="n"/>
      <c r="AA1014" s="7" t="n"/>
      <c r="AB1014" s="7" t="n"/>
      <c r="AC1014" s="7" t="n"/>
      <c r="AD1014" s="28">
        <f>IF(COUNT(B1014:Z1014)&gt;0,COUNT(B1014:Z1014),IF(OR(ISNUMBER(AA1014),ISNUMBER(AB1014)),$B$9,""))</f>
        <v/>
      </c>
      <c r="AE1014" s="29">
        <f>IF(COUNT(B1014:Z1014)&gt;0,AVERAGE(B1014:Z1014),IF(ISNUMBER(AA1014),AA1014,""))</f>
        <v/>
      </c>
      <c r="AF1014" s="29">
        <f>IF(COUNT(B1014:Z1014)&gt;1,MAX(B1014:Z1014)-MIN(B1014:Z1014),IF(ISNUMBER(AB1014),AB1014,""))</f>
        <v/>
      </c>
      <c r="AG1014" s="29">
        <f>IF(COUNT(B1014:Z1014)&gt;1,_xlfn.STDEV.S(B1014:Z1014),IF(ISNUMBER(AC1014),AC1014,""))</f>
        <v/>
      </c>
      <c r="AH1014" s="13">
        <f>IF(AND(ISNUMBER(AE1014),ISNUMBER($B$23),ISNUMBER($D$23)),IF(AE1014&gt;$D$23,"boven UCL",IF(AE1014&lt;$B$23,"onder LCL","")),"")</f>
        <v/>
      </c>
      <c r="AI1014" s="13">
        <f>IF(AND(ISNUMBER(AF1014),ISNUMBER($B$24),ISNUMBER($D$24)),IF(AF1014&gt;$D$24,"boven UCL",IF(AF1014&lt;$B$24,"onder LCL","")),"")</f>
        <v/>
      </c>
      <c r="AJ1014" s="13">
        <f>IF(AND(ISNUMBER(AE1014),ISNUMBER($B$25),ISNUMBER($D$25)),IF(AE1014&gt;$D$25,"boven UCL",IF(AE1014&lt;$B$25,"onder LCL","")),"")</f>
        <v/>
      </c>
      <c r="AK1014" s="13">
        <f>IF(AND(ISNUMBER(AG1014),ISNUMBER($B$26),ISNUMBER($D$26)),IF(AG1014&gt;$D$26,"boven UCL",IF(AG1014&lt;$B$26,"onder LCL","")),"")</f>
        <v/>
      </c>
      <c r="AL1014" s="13">
        <f>IF(AND(COUNT(B1014:Z1014)&gt;0,COUNT(AA1014:AC1014)&gt;0),"ruwe waarden én getypt: getypte genegeerd",IF(COUNTA(B1014:Z1014,AA1014:AC1014)&gt;COUNT(B1014:Z1014,AA1014:AC1014),"tekst telt niet mee",IF(COUNT(B1014:Z1014)=1,"1 waarde: geen R of s","")))</f>
        <v/>
      </c>
    </row>
    <row r="1015">
      <c r="A1015" t="n">
        <v>964</v>
      </c>
      <c r="B1015" s="7" t="n"/>
      <c r="C1015" s="7" t="n"/>
      <c r="D1015" s="7" t="n"/>
      <c r="E1015" s="7" t="n"/>
      <c r="F1015" s="7" t="n"/>
      <c r="G1015" s="7" t="n"/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/>
      <c r="Q1015" s="7" t="n"/>
      <c r="R1015" s="7" t="n"/>
      <c r="S1015" s="7" t="n"/>
      <c r="T1015" s="7" t="n"/>
      <c r="U1015" s="7" t="n"/>
      <c r="V1015" s="7" t="n"/>
      <c r="W1015" s="7" t="n"/>
      <c r="X1015" s="7" t="n"/>
      <c r="Y1015" s="7" t="n"/>
      <c r="Z1015" s="7" t="n"/>
      <c r="AA1015" s="7" t="n"/>
      <c r="AB1015" s="7" t="n"/>
      <c r="AC1015" s="7" t="n"/>
      <c r="AD1015" s="28">
        <f>IF(COUNT(B1015:Z1015)&gt;0,COUNT(B1015:Z1015),IF(OR(ISNUMBER(AA1015),ISNUMBER(AB1015)),$B$9,""))</f>
        <v/>
      </c>
      <c r="AE1015" s="29">
        <f>IF(COUNT(B1015:Z1015)&gt;0,AVERAGE(B1015:Z1015),IF(ISNUMBER(AA1015),AA1015,""))</f>
        <v/>
      </c>
      <c r="AF1015" s="29">
        <f>IF(COUNT(B1015:Z1015)&gt;1,MAX(B1015:Z1015)-MIN(B1015:Z1015),IF(ISNUMBER(AB1015),AB1015,""))</f>
        <v/>
      </c>
      <c r="AG1015" s="29">
        <f>IF(COUNT(B1015:Z1015)&gt;1,_xlfn.STDEV.S(B1015:Z1015),IF(ISNUMBER(AC1015),AC1015,""))</f>
        <v/>
      </c>
      <c r="AH1015" s="13">
        <f>IF(AND(ISNUMBER(AE1015),ISNUMBER($B$23),ISNUMBER($D$23)),IF(AE1015&gt;$D$23,"boven UCL",IF(AE1015&lt;$B$23,"onder LCL","")),"")</f>
        <v/>
      </c>
      <c r="AI1015" s="13">
        <f>IF(AND(ISNUMBER(AF1015),ISNUMBER($B$24),ISNUMBER($D$24)),IF(AF1015&gt;$D$24,"boven UCL",IF(AF1015&lt;$B$24,"onder LCL","")),"")</f>
        <v/>
      </c>
      <c r="AJ1015" s="13">
        <f>IF(AND(ISNUMBER(AE1015),ISNUMBER($B$25),ISNUMBER($D$25)),IF(AE1015&gt;$D$25,"boven UCL",IF(AE1015&lt;$B$25,"onder LCL","")),"")</f>
        <v/>
      </c>
      <c r="AK1015" s="13">
        <f>IF(AND(ISNUMBER(AG1015),ISNUMBER($B$26),ISNUMBER($D$26)),IF(AG1015&gt;$D$26,"boven UCL",IF(AG1015&lt;$B$26,"onder LCL","")),"")</f>
        <v/>
      </c>
      <c r="AL1015" s="13">
        <f>IF(AND(COUNT(B1015:Z1015)&gt;0,COUNT(AA1015:AC1015)&gt;0),"ruwe waarden én getypt: getypte genegeerd",IF(COUNTA(B1015:Z1015,AA1015:AC1015)&gt;COUNT(B1015:Z1015,AA1015:AC1015),"tekst telt niet mee",IF(COUNT(B1015:Z1015)=1,"1 waarde: geen R of s","")))</f>
        <v/>
      </c>
    </row>
    <row r="1016">
      <c r="A1016" t="n">
        <v>965</v>
      </c>
      <c r="B1016" s="7" t="n"/>
      <c r="C1016" s="7" t="n"/>
      <c r="D1016" s="7" t="n"/>
      <c r="E1016" s="7" t="n"/>
      <c r="F1016" s="7" t="n"/>
      <c r="G1016" s="7" t="n"/>
      <c r="H1016" s="7" t="n"/>
      <c r="I1016" s="7" t="n"/>
      <c r="J1016" s="7" t="n"/>
      <c r="K1016" s="7" t="n"/>
      <c r="L1016" s="7" t="n"/>
      <c r="M1016" s="7" t="n"/>
      <c r="N1016" s="7" t="n"/>
      <c r="O1016" s="7" t="n"/>
      <c r="P1016" s="7" t="n"/>
      <c r="Q1016" s="7" t="n"/>
      <c r="R1016" s="7" t="n"/>
      <c r="S1016" s="7" t="n"/>
      <c r="T1016" s="7" t="n"/>
      <c r="U1016" s="7" t="n"/>
      <c r="V1016" s="7" t="n"/>
      <c r="W1016" s="7" t="n"/>
      <c r="X1016" s="7" t="n"/>
      <c r="Y1016" s="7" t="n"/>
      <c r="Z1016" s="7" t="n"/>
      <c r="AA1016" s="7" t="n"/>
      <c r="AB1016" s="7" t="n"/>
      <c r="AC1016" s="7" t="n"/>
      <c r="AD1016" s="28">
        <f>IF(COUNT(B1016:Z1016)&gt;0,COUNT(B1016:Z1016),IF(OR(ISNUMBER(AA1016),ISNUMBER(AB1016)),$B$9,""))</f>
        <v/>
      </c>
      <c r="AE1016" s="29">
        <f>IF(COUNT(B1016:Z1016)&gt;0,AVERAGE(B1016:Z1016),IF(ISNUMBER(AA1016),AA1016,""))</f>
        <v/>
      </c>
      <c r="AF1016" s="29">
        <f>IF(COUNT(B1016:Z1016)&gt;1,MAX(B1016:Z1016)-MIN(B1016:Z1016),IF(ISNUMBER(AB1016),AB1016,""))</f>
        <v/>
      </c>
      <c r="AG1016" s="29">
        <f>IF(COUNT(B1016:Z1016)&gt;1,_xlfn.STDEV.S(B1016:Z1016),IF(ISNUMBER(AC1016),AC1016,""))</f>
        <v/>
      </c>
      <c r="AH1016" s="13">
        <f>IF(AND(ISNUMBER(AE1016),ISNUMBER($B$23),ISNUMBER($D$23)),IF(AE1016&gt;$D$23,"boven UCL",IF(AE1016&lt;$B$23,"onder LCL","")),"")</f>
        <v/>
      </c>
      <c r="AI1016" s="13">
        <f>IF(AND(ISNUMBER(AF1016),ISNUMBER($B$24),ISNUMBER($D$24)),IF(AF1016&gt;$D$24,"boven UCL",IF(AF1016&lt;$B$24,"onder LCL","")),"")</f>
        <v/>
      </c>
      <c r="AJ1016" s="13">
        <f>IF(AND(ISNUMBER(AE1016),ISNUMBER($B$25),ISNUMBER($D$25)),IF(AE1016&gt;$D$25,"boven UCL",IF(AE1016&lt;$B$25,"onder LCL","")),"")</f>
        <v/>
      </c>
      <c r="AK1016" s="13">
        <f>IF(AND(ISNUMBER(AG1016),ISNUMBER($B$26),ISNUMBER($D$26)),IF(AG1016&gt;$D$26,"boven UCL",IF(AG1016&lt;$B$26,"onder LCL","")),"")</f>
        <v/>
      </c>
      <c r="AL1016" s="13">
        <f>IF(AND(COUNT(B1016:Z1016)&gt;0,COUNT(AA1016:AC1016)&gt;0),"ruwe waarden én getypt: getypte genegeerd",IF(COUNTA(B1016:Z1016,AA1016:AC1016)&gt;COUNT(B1016:Z1016,AA1016:AC1016),"tekst telt niet mee",IF(COUNT(B1016:Z1016)=1,"1 waarde: geen R of s","")))</f>
        <v/>
      </c>
    </row>
    <row r="1017">
      <c r="A1017" t="n">
        <v>966</v>
      </c>
      <c r="B1017" s="7" t="n"/>
      <c r="C1017" s="7" t="n"/>
      <c r="D1017" s="7" t="n"/>
      <c r="E1017" s="7" t="n"/>
      <c r="F1017" s="7" t="n"/>
      <c r="G1017" s="7" t="n"/>
      <c r="H1017" s="7" t="n"/>
      <c r="I1017" s="7" t="n"/>
      <c r="J1017" s="7" t="n"/>
      <c r="K1017" s="7" t="n"/>
      <c r="L1017" s="7" t="n"/>
      <c r="M1017" s="7" t="n"/>
      <c r="N1017" s="7" t="n"/>
      <c r="O1017" s="7" t="n"/>
      <c r="P1017" s="7" t="n"/>
      <c r="Q1017" s="7" t="n"/>
      <c r="R1017" s="7" t="n"/>
      <c r="S1017" s="7" t="n"/>
      <c r="T1017" s="7" t="n"/>
      <c r="U1017" s="7" t="n"/>
      <c r="V1017" s="7" t="n"/>
      <c r="W1017" s="7" t="n"/>
      <c r="X1017" s="7" t="n"/>
      <c r="Y1017" s="7" t="n"/>
      <c r="Z1017" s="7" t="n"/>
      <c r="AA1017" s="7" t="n"/>
      <c r="AB1017" s="7" t="n"/>
      <c r="AC1017" s="7" t="n"/>
      <c r="AD1017" s="28">
        <f>IF(COUNT(B1017:Z1017)&gt;0,COUNT(B1017:Z1017),IF(OR(ISNUMBER(AA1017),ISNUMBER(AB1017)),$B$9,""))</f>
        <v/>
      </c>
      <c r="AE1017" s="29">
        <f>IF(COUNT(B1017:Z1017)&gt;0,AVERAGE(B1017:Z1017),IF(ISNUMBER(AA1017),AA1017,""))</f>
        <v/>
      </c>
      <c r="AF1017" s="29">
        <f>IF(COUNT(B1017:Z1017)&gt;1,MAX(B1017:Z1017)-MIN(B1017:Z1017),IF(ISNUMBER(AB1017),AB1017,""))</f>
        <v/>
      </c>
      <c r="AG1017" s="29">
        <f>IF(COUNT(B1017:Z1017)&gt;1,_xlfn.STDEV.S(B1017:Z1017),IF(ISNUMBER(AC1017),AC1017,""))</f>
        <v/>
      </c>
      <c r="AH1017" s="13">
        <f>IF(AND(ISNUMBER(AE1017),ISNUMBER($B$23),ISNUMBER($D$23)),IF(AE1017&gt;$D$23,"boven UCL",IF(AE1017&lt;$B$23,"onder LCL","")),"")</f>
        <v/>
      </c>
      <c r="AI1017" s="13">
        <f>IF(AND(ISNUMBER(AF1017),ISNUMBER($B$24),ISNUMBER($D$24)),IF(AF1017&gt;$D$24,"boven UCL",IF(AF1017&lt;$B$24,"onder LCL","")),"")</f>
        <v/>
      </c>
      <c r="AJ1017" s="13">
        <f>IF(AND(ISNUMBER(AE1017),ISNUMBER($B$25),ISNUMBER($D$25)),IF(AE1017&gt;$D$25,"boven UCL",IF(AE1017&lt;$B$25,"onder LCL","")),"")</f>
        <v/>
      </c>
      <c r="AK1017" s="13">
        <f>IF(AND(ISNUMBER(AG1017),ISNUMBER($B$26),ISNUMBER($D$26)),IF(AG1017&gt;$D$26,"boven UCL",IF(AG1017&lt;$B$26,"onder LCL","")),"")</f>
        <v/>
      </c>
      <c r="AL1017" s="13">
        <f>IF(AND(COUNT(B1017:Z1017)&gt;0,COUNT(AA1017:AC1017)&gt;0),"ruwe waarden én getypt: getypte genegeerd",IF(COUNTA(B1017:Z1017,AA1017:AC1017)&gt;COUNT(B1017:Z1017,AA1017:AC1017),"tekst telt niet mee",IF(COUNT(B1017:Z1017)=1,"1 waarde: geen R of s","")))</f>
        <v/>
      </c>
    </row>
    <row r="1018">
      <c r="A1018" t="n">
        <v>967</v>
      </c>
      <c r="B1018" s="7" t="n"/>
      <c r="C1018" s="7" t="n"/>
      <c r="D1018" s="7" t="n"/>
      <c r="E1018" s="7" t="n"/>
      <c r="F1018" s="7" t="n"/>
      <c r="G1018" s="7" t="n"/>
      <c r="H1018" s="7" t="n"/>
      <c r="I1018" s="7" t="n"/>
      <c r="J1018" s="7" t="n"/>
      <c r="K1018" s="7" t="n"/>
      <c r="L1018" s="7" t="n"/>
      <c r="M1018" s="7" t="n"/>
      <c r="N1018" s="7" t="n"/>
      <c r="O1018" s="7" t="n"/>
      <c r="P1018" s="7" t="n"/>
      <c r="Q1018" s="7" t="n"/>
      <c r="R1018" s="7" t="n"/>
      <c r="S1018" s="7" t="n"/>
      <c r="T1018" s="7" t="n"/>
      <c r="U1018" s="7" t="n"/>
      <c r="V1018" s="7" t="n"/>
      <c r="W1018" s="7" t="n"/>
      <c r="X1018" s="7" t="n"/>
      <c r="Y1018" s="7" t="n"/>
      <c r="Z1018" s="7" t="n"/>
      <c r="AA1018" s="7" t="n"/>
      <c r="AB1018" s="7" t="n"/>
      <c r="AC1018" s="7" t="n"/>
      <c r="AD1018" s="28">
        <f>IF(COUNT(B1018:Z1018)&gt;0,COUNT(B1018:Z1018),IF(OR(ISNUMBER(AA1018),ISNUMBER(AB1018)),$B$9,""))</f>
        <v/>
      </c>
      <c r="AE1018" s="29">
        <f>IF(COUNT(B1018:Z1018)&gt;0,AVERAGE(B1018:Z1018),IF(ISNUMBER(AA1018),AA1018,""))</f>
        <v/>
      </c>
      <c r="AF1018" s="29">
        <f>IF(COUNT(B1018:Z1018)&gt;1,MAX(B1018:Z1018)-MIN(B1018:Z1018),IF(ISNUMBER(AB1018),AB1018,""))</f>
        <v/>
      </c>
      <c r="AG1018" s="29">
        <f>IF(COUNT(B1018:Z1018)&gt;1,_xlfn.STDEV.S(B1018:Z1018),IF(ISNUMBER(AC1018),AC1018,""))</f>
        <v/>
      </c>
      <c r="AH1018" s="13">
        <f>IF(AND(ISNUMBER(AE1018),ISNUMBER($B$23),ISNUMBER($D$23)),IF(AE1018&gt;$D$23,"boven UCL",IF(AE1018&lt;$B$23,"onder LCL","")),"")</f>
        <v/>
      </c>
      <c r="AI1018" s="13">
        <f>IF(AND(ISNUMBER(AF1018),ISNUMBER($B$24),ISNUMBER($D$24)),IF(AF1018&gt;$D$24,"boven UCL",IF(AF1018&lt;$B$24,"onder LCL","")),"")</f>
        <v/>
      </c>
      <c r="AJ1018" s="13">
        <f>IF(AND(ISNUMBER(AE1018),ISNUMBER($B$25),ISNUMBER($D$25)),IF(AE1018&gt;$D$25,"boven UCL",IF(AE1018&lt;$B$25,"onder LCL","")),"")</f>
        <v/>
      </c>
      <c r="AK1018" s="13">
        <f>IF(AND(ISNUMBER(AG1018),ISNUMBER($B$26),ISNUMBER($D$26)),IF(AG1018&gt;$D$26,"boven UCL",IF(AG1018&lt;$B$26,"onder LCL","")),"")</f>
        <v/>
      </c>
      <c r="AL1018" s="13">
        <f>IF(AND(COUNT(B1018:Z1018)&gt;0,COUNT(AA1018:AC1018)&gt;0),"ruwe waarden én getypt: getypte genegeerd",IF(COUNTA(B1018:Z1018,AA1018:AC1018)&gt;COUNT(B1018:Z1018,AA1018:AC1018),"tekst telt niet mee",IF(COUNT(B1018:Z1018)=1,"1 waarde: geen R of s","")))</f>
        <v/>
      </c>
    </row>
    <row r="1019">
      <c r="A1019" t="n">
        <v>968</v>
      </c>
      <c r="B1019" s="7" t="n"/>
      <c r="C1019" s="7" t="n"/>
      <c r="D1019" s="7" t="n"/>
      <c r="E1019" s="7" t="n"/>
      <c r="F1019" s="7" t="n"/>
      <c r="G1019" s="7" t="n"/>
      <c r="H1019" s="7" t="n"/>
      <c r="I1019" s="7" t="n"/>
      <c r="J1019" s="7" t="n"/>
      <c r="K1019" s="7" t="n"/>
      <c r="L1019" s="7" t="n"/>
      <c r="M1019" s="7" t="n"/>
      <c r="N1019" s="7" t="n"/>
      <c r="O1019" s="7" t="n"/>
      <c r="P1019" s="7" t="n"/>
      <c r="Q1019" s="7" t="n"/>
      <c r="R1019" s="7" t="n"/>
      <c r="S1019" s="7" t="n"/>
      <c r="T1019" s="7" t="n"/>
      <c r="U1019" s="7" t="n"/>
      <c r="V1019" s="7" t="n"/>
      <c r="W1019" s="7" t="n"/>
      <c r="X1019" s="7" t="n"/>
      <c r="Y1019" s="7" t="n"/>
      <c r="Z1019" s="7" t="n"/>
      <c r="AA1019" s="7" t="n"/>
      <c r="AB1019" s="7" t="n"/>
      <c r="AC1019" s="7" t="n"/>
      <c r="AD1019" s="28">
        <f>IF(COUNT(B1019:Z1019)&gt;0,COUNT(B1019:Z1019),IF(OR(ISNUMBER(AA1019),ISNUMBER(AB1019)),$B$9,""))</f>
        <v/>
      </c>
      <c r="AE1019" s="29">
        <f>IF(COUNT(B1019:Z1019)&gt;0,AVERAGE(B1019:Z1019),IF(ISNUMBER(AA1019),AA1019,""))</f>
        <v/>
      </c>
      <c r="AF1019" s="29">
        <f>IF(COUNT(B1019:Z1019)&gt;1,MAX(B1019:Z1019)-MIN(B1019:Z1019),IF(ISNUMBER(AB1019),AB1019,""))</f>
        <v/>
      </c>
      <c r="AG1019" s="29">
        <f>IF(COUNT(B1019:Z1019)&gt;1,_xlfn.STDEV.S(B1019:Z1019),IF(ISNUMBER(AC1019),AC1019,""))</f>
        <v/>
      </c>
      <c r="AH1019" s="13">
        <f>IF(AND(ISNUMBER(AE1019),ISNUMBER($B$23),ISNUMBER($D$23)),IF(AE1019&gt;$D$23,"boven UCL",IF(AE1019&lt;$B$23,"onder LCL","")),"")</f>
        <v/>
      </c>
      <c r="AI1019" s="13">
        <f>IF(AND(ISNUMBER(AF1019),ISNUMBER($B$24),ISNUMBER($D$24)),IF(AF1019&gt;$D$24,"boven UCL",IF(AF1019&lt;$B$24,"onder LCL","")),"")</f>
        <v/>
      </c>
      <c r="AJ1019" s="13">
        <f>IF(AND(ISNUMBER(AE1019),ISNUMBER($B$25),ISNUMBER($D$25)),IF(AE1019&gt;$D$25,"boven UCL",IF(AE1019&lt;$B$25,"onder LCL","")),"")</f>
        <v/>
      </c>
      <c r="AK1019" s="13">
        <f>IF(AND(ISNUMBER(AG1019),ISNUMBER($B$26),ISNUMBER($D$26)),IF(AG1019&gt;$D$26,"boven UCL",IF(AG1019&lt;$B$26,"onder LCL","")),"")</f>
        <v/>
      </c>
      <c r="AL1019" s="13">
        <f>IF(AND(COUNT(B1019:Z1019)&gt;0,COUNT(AA1019:AC1019)&gt;0),"ruwe waarden én getypt: getypte genegeerd",IF(COUNTA(B1019:Z1019,AA1019:AC1019)&gt;COUNT(B1019:Z1019,AA1019:AC1019),"tekst telt niet mee",IF(COUNT(B1019:Z1019)=1,"1 waarde: geen R of s","")))</f>
        <v/>
      </c>
    </row>
    <row r="1020">
      <c r="A1020" t="n">
        <v>969</v>
      </c>
      <c r="B1020" s="7" t="n"/>
      <c r="C1020" s="7" t="n"/>
      <c r="D1020" s="7" t="n"/>
      <c r="E1020" s="7" t="n"/>
      <c r="F1020" s="7" t="n"/>
      <c r="G1020" s="7" t="n"/>
      <c r="H1020" s="7" t="n"/>
      <c r="I1020" s="7" t="n"/>
      <c r="J1020" s="7" t="n"/>
      <c r="K1020" s="7" t="n"/>
      <c r="L1020" s="7" t="n"/>
      <c r="M1020" s="7" t="n"/>
      <c r="N1020" s="7" t="n"/>
      <c r="O1020" s="7" t="n"/>
      <c r="P1020" s="7" t="n"/>
      <c r="Q1020" s="7" t="n"/>
      <c r="R1020" s="7" t="n"/>
      <c r="S1020" s="7" t="n"/>
      <c r="T1020" s="7" t="n"/>
      <c r="U1020" s="7" t="n"/>
      <c r="V1020" s="7" t="n"/>
      <c r="W1020" s="7" t="n"/>
      <c r="X1020" s="7" t="n"/>
      <c r="Y1020" s="7" t="n"/>
      <c r="Z1020" s="7" t="n"/>
      <c r="AA1020" s="7" t="n"/>
      <c r="AB1020" s="7" t="n"/>
      <c r="AC1020" s="7" t="n"/>
      <c r="AD1020" s="28">
        <f>IF(COUNT(B1020:Z1020)&gt;0,COUNT(B1020:Z1020),IF(OR(ISNUMBER(AA1020),ISNUMBER(AB1020)),$B$9,""))</f>
        <v/>
      </c>
      <c r="AE1020" s="29">
        <f>IF(COUNT(B1020:Z1020)&gt;0,AVERAGE(B1020:Z1020),IF(ISNUMBER(AA1020),AA1020,""))</f>
        <v/>
      </c>
      <c r="AF1020" s="29">
        <f>IF(COUNT(B1020:Z1020)&gt;1,MAX(B1020:Z1020)-MIN(B1020:Z1020),IF(ISNUMBER(AB1020),AB1020,""))</f>
        <v/>
      </c>
      <c r="AG1020" s="29">
        <f>IF(COUNT(B1020:Z1020)&gt;1,_xlfn.STDEV.S(B1020:Z1020),IF(ISNUMBER(AC1020),AC1020,""))</f>
        <v/>
      </c>
      <c r="AH1020" s="13">
        <f>IF(AND(ISNUMBER(AE1020),ISNUMBER($B$23),ISNUMBER($D$23)),IF(AE1020&gt;$D$23,"boven UCL",IF(AE1020&lt;$B$23,"onder LCL","")),"")</f>
        <v/>
      </c>
      <c r="AI1020" s="13">
        <f>IF(AND(ISNUMBER(AF1020),ISNUMBER($B$24),ISNUMBER($D$24)),IF(AF1020&gt;$D$24,"boven UCL",IF(AF1020&lt;$B$24,"onder LCL","")),"")</f>
        <v/>
      </c>
      <c r="AJ1020" s="13">
        <f>IF(AND(ISNUMBER(AE1020),ISNUMBER($B$25),ISNUMBER($D$25)),IF(AE1020&gt;$D$25,"boven UCL",IF(AE1020&lt;$B$25,"onder LCL","")),"")</f>
        <v/>
      </c>
      <c r="AK1020" s="13">
        <f>IF(AND(ISNUMBER(AG1020),ISNUMBER($B$26),ISNUMBER($D$26)),IF(AG1020&gt;$D$26,"boven UCL",IF(AG1020&lt;$B$26,"onder LCL","")),"")</f>
        <v/>
      </c>
      <c r="AL1020" s="13">
        <f>IF(AND(COUNT(B1020:Z1020)&gt;0,COUNT(AA1020:AC1020)&gt;0),"ruwe waarden én getypt: getypte genegeerd",IF(COUNTA(B1020:Z1020,AA1020:AC1020)&gt;COUNT(B1020:Z1020,AA1020:AC1020),"tekst telt niet mee",IF(COUNT(B1020:Z1020)=1,"1 waarde: geen R of s","")))</f>
        <v/>
      </c>
    </row>
    <row r="1021">
      <c r="A1021" t="n">
        <v>970</v>
      </c>
      <c r="B1021" s="7" t="n"/>
      <c r="C1021" s="7" t="n"/>
      <c r="D1021" s="7" t="n"/>
      <c r="E1021" s="7" t="n"/>
      <c r="F1021" s="7" t="n"/>
      <c r="G1021" s="7" t="n"/>
      <c r="H1021" s="7" t="n"/>
      <c r="I1021" s="7" t="n"/>
      <c r="J1021" s="7" t="n"/>
      <c r="K1021" s="7" t="n"/>
      <c r="L1021" s="7" t="n"/>
      <c r="M1021" s="7" t="n"/>
      <c r="N1021" s="7" t="n"/>
      <c r="O1021" s="7" t="n"/>
      <c r="P1021" s="7" t="n"/>
      <c r="Q1021" s="7" t="n"/>
      <c r="R1021" s="7" t="n"/>
      <c r="S1021" s="7" t="n"/>
      <c r="T1021" s="7" t="n"/>
      <c r="U1021" s="7" t="n"/>
      <c r="V1021" s="7" t="n"/>
      <c r="W1021" s="7" t="n"/>
      <c r="X1021" s="7" t="n"/>
      <c r="Y1021" s="7" t="n"/>
      <c r="Z1021" s="7" t="n"/>
      <c r="AA1021" s="7" t="n"/>
      <c r="AB1021" s="7" t="n"/>
      <c r="AC1021" s="7" t="n"/>
      <c r="AD1021" s="28">
        <f>IF(COUNT(B1021:Z1021)&gt;0,COUNT(B1021:Z1021),IF(OR(ISNUMBER(AA1021),ISNUMBER(AB1021)),$B$9,""))</f>
        <v/>
      </c>
      <c r="AE1021" s="29">
        <f>IF(COUNT(B1021:Z1021)&gt;0,AVERAGE(B1021:Z1021),IF(ISNUMBER(AA1021),AA1021,""))</f>
        <v/>
      </c>
      <c r="AF1021" s="29">
        <f>IF(COUNT(B1021:Z1021)&gt;1,MAX(B1021:Z1021)-MIN(B1021:Z1021),IF(ISNUMBER(AB1021),AB1021,""))</f>
        <v/>
      </c>
      <c r="AG1021" s="29">
        <f>IF(COUNT(B1021:Z1021)&gt;1,_xlfn.STDEV.S(B1021:Z1021),IF(ISNUMBER(AC1021),AC1021,""))</f>
        <v/>
      </c>
      <c r="AH1021" s="13">
        <f>IF(AND(ISNUMBER(AE1021),ISNUMBER($B$23),ISNUMBER($D$23)),IF(AE1021&gt;$D$23,"boven UCL",IF(AE1021&lt;$B$23,"onder LCL","")),"")</f>
        <v/>
      </c>
      <c r="AI1021" s="13">
        <f>IF(AND(ISNUMBER(AF1021),ISNUMBER($B$24),ISNUMBER($D$24)),IF(AF1021&gt;$D$24,"boven UCL",IF(AF1021&lt;$B$24,"onder LCL","")),"")</f>
        <v/>
      </c>
      <c r="AJ1021" s="13">
        <f>IF(AND(ISNUMBER(AE1021),ISNUMBER($B$25),ISNUMBER($D$25)),IF(AE1021&gt;$D$25,"boven UCL",IF(AE1021&lt;$B$25,"onder LCL","")),"")</f>
        <v/>
      </c>
      <c r="AK1021" s="13">
        <f>IF(AND(ISNUMBER(AG1021),ISNUMBER($B$26),ISNUMBER($D$26)),IF(AG1021&gt;$D$26,"boven UCL",IF(AG1021&lt;$B$26,"onder LCL","")),"")</f>
        <v/>
      </c>
      <c r="AL1021" s="13">
        <f>IF(AND(COUNT(B1021:Z1021)&gt;0,COUNT(AA1021:AC1021)&gt;0),"ruwe waarden én getypt: getypte genegeerd",IF(COUNTA(B1021:Z1021,AA1021:AC1021)&gt;COUNT(B1021:Z1021,AA1021:AC1021),"tekst telt niet mee",IF(COUNT(B1021:Z1021)=1,"1 waarde: geen R of s","")))</f>
        <v/>
      </c>
    </row>
    <row r="1022">
      <c r="A1022" t="n">
        <v>971</v>
      </c>
      <c r="B1022" s="7" t="n"/>
      <c r="C1022" s="7" t="n"/>
      <c r="D1022" s="7" t="n"/>
      <c r="E1022" s="7" t="n"/>
      <c r="F1022" s="7" t="n"/>
      <c r="G1022" s="7" t="n"/>
      <c r="H1022" s="7" t="n"/>
      <c r="I1022" s="7" t="n"/>
      <c r="J1022" s="7" t="n"/>
      <c r="K1022" s="7" t="n"/>
      <c r="L1022" s="7" t="n"/>
      <c r="M1022" s="7" t="n"/>
      <c r="N1022" s="7" t="n"/>
      <c r="O1022" s="7" t="n"/>
      <c r="P1022" s="7" t="n"/>
      <c r="Q1022" s="7" t="n"/>
      <c r="R1022" s="7" t="n"/>
      <c r="S1022" s="7" t="n"/>
      <c r="T1022" s="7" t="n"/>
      <c r="U1022" s="7" t="n"/>
      <c r="V1022" s="7" t="n"/>
      <c r="W1022" s="7" t="n"/>
      <c r="X1022" s="7" t="n"/>
      <c r="Y1022" s="7" t="n"/>
      <c r="Z1022" s="7" t="n"/>
      <c r="AA1022" s="7" t="n"/>
      <c r="AB1022" s="7" t="n"/>
      <c r="AC1022" s="7" t="n"/>
      <c r="AD1022" s="28">
        <f>IF(COUNT(B1022:Z1022)&gt;0,COUNT(B1022:Z1022),IF(OR(ISNUMBER(AA1022),ISNUMBER(AB1022)),$B$9,""))</f>
        <v/>
      </c>
      <c r="AE1022" s="29">
        <f>IF(COUNT(B1022:Z1022)&gt;0,AVERAGE(B1022:Z1022),IF(ISNUMBER(AA1022),AA1022,""))</f>
        <v/>
      </c>
      <c r="AF1022" s="29">
        <f>IF(COUNT(B1022:Z1022)&gt;1,MAX(B1022:Z1022)-MIN(B1022:Z1022),IF(ISNUMBER(AB1022),AB1022,""))</f>
        <v/>
      </c>
      <c r="AG1022" s="29">
        <f>IF(COUNT(B1022:Z1022)&gt;1,_xlfn.STDEV.S(B1022:Z1022),IF(ISNUMBER(AC1022),AC1022,""))</f>
        <v/>
      </c>
      <c r="AH1022" s="13">
        <f>IF(AND(ISNUMBER(AE1022),ISNUMBER($B$23),ISNUMBER($D$23)),IF(AE1022&gt;$D$23,"boven UCL",IF(AE1022&lt;$B$23,"onder LCL","")),"")</f>
        <v/>
      </c>
      <c r="AI1022" s="13">
        <f>IF(AND(ISNUMBER(AF1022),ISNUMBER($B$24),ISNUMBER($D$24)),IF(AF1022&gt;$D$24,"boven UCL",IF(AF1022&lt;$B$24,"onder LCL","")),"")</f>
        <v/>
      </c>
      <c r="AJ1022" s="13">
        <f>IF(AND(ISNUMBER(AE1022),ISNUMBER($B$25),ISNUMBER($D$25)),IF(AE1022&gt;$D$25,"boven UCL",IF(AE1022&lt;$B$25,"onder LCL","")),"")</f>
        <v/>
      </c>
      <c r="AK1022" s="13">
        <f>IF(AND(ISNUMBER(AG1022),ISNUMBER($B$26),ISNUMBER($D$26)),IF(AG1022&gt;$D$26,"boven UCL",IF(AG1022&lt;$B$26,"onder LCL","")),"")</f>
        <v/>
      </c>
      <c r="AL1022" s="13">
        <f>IF(AND(COUNT(B1022:Z1022)&gt;0,COUNT(AA1022:AC1022)&gt;0),"ruwe waarden én getypt: getypte genegeerd",IF(COUNTA(B1022:Z1022,AA1022:AC1022)&gt;COUNT(B1022:Z1022,AA1022:AC1022),"tekst telt niet mee",IF(COUNT(B1022:Z1022)=1,"1 waarde: geen R of s","")))</f>
        <v/>
      </c>
    </row>
    <row r="1023">
      <c r="A1023" t="n">
        <v>972</v>
      </c>
      <c r="B1023" s="7" t="n"/>
      <c r="C1023" s="7" t="n"/>
      <c r="D1023" s="7" t="n"/>
      <c r="E1023" s="7" t="n"/>
      <c r="F1023" s="7" t="n"/>
      <c r="G1023" s="7" t="n"/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/>
      <c r="Q1023" s="7" t="n"/>
      <c r="R1023" s="7" t="n"/>
      <c r="S1023" s="7" t="n"/>
      <c r="T1023" s="7" t="n"/>
      <c r="U1023" s="7" t="n"/>
      <c r="V1023" s="7" t="n"/>
      <c r="W1023" s="7" t="n"/>
      <c r="X1023" s="7" t="n"/>
      <c r="Y1023" s="7" t="n"/>
      <c r="Z1023" s="7" t="n"/>
      <c r="AA1023" s="7" t="n"/>
      <c r="AB1023" s="7" t="n"/>
      <c r="AC1023" s="7" t="n"/>
      <c r="AD1023" s="28">
        <f>IF(COUNT(B1023:Z1023)&gt;0,COUNT(B1023:Z1023),IF(OR(ISNUMBER(AA1023),ISNUMBER(AB1023)),$B$9,""))</f>
        <v/>
      </c>
      <c r="AE1023" s="29">
        <f>IF(COUNT(B1023:Z1023)&gt;0,AVERAGE(B1023:Z1023),IF(ISNUMBER(AA1023),AA1023,""))</f>
        <v/>
      </c>
      <c r="AF1023" s="29">
        <f>IF(COUNT(B1023:Z1023)&gt;1,MAX(B1023:Z1023)-MIN(B1023:Z1023),IF(ISNUMBER(AB1023),AB1023,""))</f>
        <v/>
      </c>
      <c r="AG1023" s="29">
        <f>IF(COUNT(B1023:Z1023)&gt;1,_xlfn.STDEV.S(B1023:Z1023),IF(ISNUMBER(AC1023),AC1023,""))</f>
        <v/>
      </c>
      <c r="AH1023" s="13">
        <f>IF(AND(ISNUMBER(AE1023),ISNUMBER($B$23),ISNUMBER($D$23)),IF(AE1023&gt;$D$23,"boven UCL",IF(AE1023&lt;$B$23,"onder LCL","")),"")</f>
        <v/>
      </c>
      <c r="AI1023" s="13">
        <f>IF(AND(ISNUMBER(AF1023),ISNUMBER($B$24),ISNUMBER($D$24)),IF(AF1023&gt;$D$24,"boven UCL",IF(AF1023&lt;$B$24,"onder LCL","")),"")</f>
        <v/>
      </c>
      <c r="AJ1023" s="13">
        <f>IF(AND(ISNUMBER(AE1023),ISNUMBER($B$25),ISNUMBER($D$25)),IF(AE1023&gt;$D$25,"boven UCL",IF(AE1023&lt;$B$25,"onder LCL","")),"")</f>
        <v/>
      </c>
      <c r="AK1023" s="13">
        <f>IF(AND(ISNUMBER(AG1023),ISNUMBER($B$26),ISNUMBER($D$26)),IF(AG1023&gt;$D$26,"boven UCL",IF(AG1023&lt;$B$26,"onder LCL","")),"")</f>
        <v/>
      </c>
      <c r="AL1023" s="13">
        <f>IF(AND(COUNT(B1023:Z1023)&gt;0,COUNT(AA1023:AC1023)&gt;0),"ruwe waarden én getypt: getypte genegeerd",IF(COUNTA(B1023:Z1023,AA1023:AC1023)&gt;COUNT(B1023:Z1023,AA1023:AC1023),"tekst telt niet mee",IF(COUNT(B1023:Z1023)=1,"1 waarde: geen R of s","")))</f>
        <v/>
      </c>
    </row>
    <row r="1024">
      <c r="A1024" t="n">
        <v>973</v>
      </c>
      <c r="B1024" s="7" t="n"/>
      <c r="C1024" s="7" t="n"/>
      <c r="D1024" s="7" t="n"/>
      <c r="E1024" s="7" t="n"/>
      <c r="F1024" s="7" t="n"/>
      <c r="G1024" s="7" t="n"/>
      <c r="H1024" s="7" t="n"/>
      <c r="I1024" s="7" t="n"/>
      <c r="J1024" s="7" t="n"/>
      <c r="K1024" s="7" t="n"/>
      <c r="L1024" s="7" t="n"/>
      <c r="M1024" s="7" t="n"/>
      <c r="N1024" s="7" t="n"/>
      <c r="O1024" s="7" t="n"/>
      <c r="P1024" s="7" t="n"/>
      <c r="Q1024" s="7" t="n"/>
      <c r="R1024" s="7" t="n"/>
      <c r="S1024" s="7" t="n"/>
      <c r="T1024" s="7" t="n"/>
      <c r="U1024" s="7" t="n"/>
      <c r="V1024" s="7" t="n"/>
      <c r="W1024" s="7" t="n"/>
      <c r="X1024" s="7" t="n"/>
      <c r="Y1024" s="7" t="n"/>
      <c r="Z1024" s="7" t="n"/>
      <c r="AA1024" s="7" t="n"/>
      <c r="AB1024" s="7" t="n"/>
      <c r="AC1024" s="7" t="n"/>
      <c r="AD1024" s="28">
        <f>IF(COUNT(B1024:Z1024)&gt;0,COUNT(B1024:Z1024),IF(OR(ISNUMBER(AA1024),ISNUMBER(AB1024)),$B$9,""))</f>
        <v/>
      </c>
      <c r="AE1024" s="29">
        <f>IF(COUNT(B1024:Z1024)&gt;0,AVERAGE(B1024:Z1024),IF(ISNUMBER(AA1024),AA1024,""))</f>
        <v/>
      </c>
      <c r="AF1024" s="29">
        <f>IF(COUNT(B1024:Z1024)&gt;1,MAX(B1024:Z1024)-MIN(B1024:Z1024),IF(ISNUMBER(AB1024),AB1024,""))</f>
        <v/>
      </c>
      <c r="AG1024" s="29">
        <f>IF(COUNT(B1024:Z1024)&gt;1,_xlfn.STDEV.S(B1024:Z1024),IF(ISNUMBER(AC1024),AC1024,""))</f>
        <v/>
      </c>
      <c r="AH1024" s="13">
        <f>IF(AND(ISNUMBER(AE1024),ISNUMBER($B$23),ISNUMBER($D$23)),IF(AE1024&gt;$D$23,"boven UCL",IF(AE1024&lt;$B$23,"onder LCL","")),"")</f>
        <v/>
      </c>
      <c r="AI1024" s="13">
        <f>IF(AND(ISNUMBER(AF1024),ISNUMBER($B$24),ISNUMBER($D$24)),IF(AF1024&gt;$D$24,"boven UCL",IF(AF1024&lt;$B$24,"onder LCL","")),"")</f>
        <v/>
      </c>
      <c r="AJ1024" s="13">
        <f>IF(AND(ISNUMBER(AE1024),ISNUMBER($B$25),ISNUMBER($D$25)),IF(AE1024&gt;$D$25,"boven UCL",IF(AE1024&lt;$B$25,"onder LCL","")),"")</f>
        <v/>
      </c>
      <c r="AK1024" s="13">
        <f>IF(AND(ISNUMBER(AG1024),ISNUMBER($B$26),ISNUMBER($D$26)),IF(AG1024&gt;$D$26,"boven UCL",IF(AG1024&lt;$B$26,"onder LCL","")),"")</f>
        <v/>
      </c>
      <c r="AL1024" s="13">
        <f>IF(AND(COUNT(B1024:Z1024)&gt;0,COUNT(AA1024:AC1024)&gt;0),"ruwe waarden én getypt: getypte genegeerd",IF(COUNTA(B1024:Z1024,AA1024:AC1024)&gt;COUNT(B1024:Z1024,AA1024:AC1024),"tekst telt niet mee",IF(COUNT(B1024:Z1024)=1,"1 waarde: geen R of s","")))</f>
        <v/>
      </c>
    </row>
    <row r="1025">
      <c r="A1025" t="n">
        <v>974</v>
      </c>
      <c r="B1025" s="7" t="n"/>
      <c r="C1025" s="7" t="n"/>
      <c r="D1025" s="7" t="n"/>
      <c r="E1025" s="7" t="n"/>
      <c r="F1025" s="7" t="n"/>
      <c r="G1025" s="7" t="n"/>
      <c r="H1025" s="7" t="n"/>
      <c r="I1025" s="7" t="n"/>
      <c r="J1025" s="7" t="n"/>
      <c r="K1025" s="7" t="n"/>
      <c r="L1025" s="7" t="n"/>
      <c r="M1025" s="7" t="n"/>
      <c r="N1025" s="7" t="n"/>
      <c r="O1025" s="7" t="n"/>
      <c r="P1025" s="7" t="n"/>
      <c r="Q1025" s="7" t="n"/>
      <c r="R1025" s="7" t="n"/>
      <c r="S1025" s="7" t="n"/>
      <c r="T1025" s="7" t="n"/>
      <c r="U1025" s="7" t="n"/>
      <c r="V1025" s="7" t="n"/>
      <c r="W1025" s="7" t="n"/>
      <c r="X1025" s="7" t="n"/>
      <c r="Y1025" s="7" t="n"/>
      <c r="Z1025" s="7" t="n"/>
      <c r="AA1025" s="7" t="n"/>
      <c r="AB1025" s="7" t="n"/>
      <c r="AC1025" s="7" t="n"/>
      <c r="AD1025" s="28">
        <f>IF(COUNT(B1025:Z1025)&gt;0,COUNT(B1025:Z1025),IF(OR(ISNUMBER(AA1025),ISNUMBER(AB1025)),$B$9,""))</f>
        <v/>
      </c>
      <c r="AE1025" s="29">
        <f>IF(COUNT(B1025:Z1025)&gt;0,AVERAGE(B1025:Z1025),IF(ISNUMBER(AA1025),AA1025,""))</f>
        <v/>
      </c>
      <c r="AF1025" s="29">
        <f>IF(COUNT(B1025:Z1025)&gt;1,MAX(B1025:Z1025)-MIN(B1025:Z1025),IF(ISNUMBER(AB1025),AB1025,""))</f>
        <v/>
      </c>
      <c r="AG1025" s="29">
        <f>IF(COUNT(B1025:Z1025)&gt;1,_xlfn.STDEV.S(B1025:Z1025),IF(ISNUMBER(AC1025),AC1025,""))</f>
        <v/>
      </c>
      <c r="AH1025" s="13">
        <f>IF(AND(ISNUMBER(AE1025),ISNUMBER($B$23),ISNUMBER($D$23)),IF(AE1025&gt;$D$23,"boven UCL",IF(AE1025&lt;$B$23,"onder LCL","")),"")</f>
        <v/>
      </c>
      <c r="AI1025" s="13">
        <f>IF(AND(ISNUMBER(AF1025),ISNUMBER($B$24),ISNUMBER($D$24)),IF(AF1025&gt;$D$24,"boven UCL",IF(AF1025&lt;$B$24,"onder LCL","")),"")</f>
        <v/>
      </c>
      <c r="AJ1025" s="13">
        <f>IF(AND(ISNUMBER(AE1025),ISNUMBER($B$25),ISNUMBER($D$25)),IF(AE1025&gt;$D$25,"boven UCL",IF(AE1025&lt;$B$25,"onder LCL","")),"")</f>
        <v/>
      </c>
      <c r="AK1025" s="13">
        <f>IF(AND(ISNUMBER(AG1025),ISNUMBER($B$26),ISNUMBER($D$26)),IF(AG1025&gt;$D$26,"boven UCL",IF(AG1025&lt;$B$26,"onder LCL","")),"")</f>
        <v/>
      </c>
      <c r="AL1025" s="13">
        <f>IF(AND(COUNT(B1025:Z1025)&gt;0,COUNT(AA1025:AC1025)&gt;0),"ruwe waarden én getypt: getypte genegeerd",IF(COUNTA(B1025:Z1025,AA1025:AC1025)&gt;COUNT(B1025:Z1025,AA1025:AC1025),"tekst telt niet mee",IF(COUNT(B1025:Z1025)=1,"1 waarde: geen R of s","")))</f>
        <v/>
      </c>
    </row>
    <row r="1026">
      <c r="A1026" t="n">
        <v>975</v>
      </c>
      <c r="B1026" s="7" t="n"/>
      <c r="C1026" s="7" t="n"/>
      <c r="D1026" s="7" t="n"/>
      <c r="E1026" s="7" t="n"/>
      <c r="F1026" s="7" t="n"/>
      <c r="G1026" s="7" t="n"/>
      <c r="H1026" s="7" t="n"/>
      <c r="I1026" s="7" t="n"/>
      <c r="J1026" s="7" t="n"/>
      <c r="K1026" s="7" t="n"/>
      <c r="L1026" s="7" t="n"/>
      <c r="M1026" s="7" t="n"/>
      <c r="N1026" s="7" t="n"/>
      <c r="O1026" s="7" t="n"/>
      <c r="P1026" s="7" t="n"/>
      <c r="Q1026" s="7" t="n"/>
      <c r="R1026" s="7" t="n"/>
      <c r="S1026" s="7" t="n"/>
      <c r="T1026" s="7" t="n"/>
      <c r="U1026" s="7" t="n"/>
      <c r="V1026" s="7" t="n"/>
      <c r="W1026" s="7" t="n"/>
      <c r="X1026" s="7" t="n"/>
      <c r="Y1026" s="7" t="n"/>
      <c r="Z1026" s="7" t="n"/>
      <c r="AA1026" s="7" t="n"/>
      <c r="AB1026" s="7" t="n"/>
      <c r="AC1026" s="7" t="n"/>
      <c r="AD1026" s="28">
        <f>IF(COUNT(B1026:Z1026)&gt;0,COUNT(B1026:Z1026),IF(OR(ISNUMBER(AA1026),ISNUMBER(AB1026)),$B$9,""))</f>
        <v/>
      </c>
      <c r="AE1026" s="29">
        <f>IF(COUNT(B1026:Z1026)&gt;0,AVERAGE(B1026:Z1026),IF(ISNUMBER(AA1026),AA1026,""))</f>
        <v/>
      </c>
      <c r="AF1026" s="29">
        <f>IF(COUNT(B1026:Z1026)&gt;1,MAX(B1026:Z1026)-MIN(B1026:Z1026),IF(ISNUMBER(AB1026),AB1026,""))</f>
        <v/>
      </c>
      <c r="AG1026" s="29">
        <f>IF(COUNT(B1026:Z1026)&gt;1,_xlfn.STDEV.S(B1026:Z1026),IF(ISNUMBER(AC1026),AC1026,""))</f>
        <v/>
      </c>
      <c r="AH1026" s="13">
        <f>IF(AND(ISNUMBER(AE1026),ISNUMBER($B$23),ISNUMBER($D$23)),IF(AE1026&gt;$D$23,"boven UCL",IF(AE1026&lt;$B$23,"onder LCL","")),"")</f>
        <v/>
      </c>
      <c r="AI1026" s="13">
        <f>IF(AND(ISNUMBER(AF1026),ISNUMBER($B$24),ISNUMBER($D$24)),IF(AF1026&gt;$D$24,"boven UCL",IF(AF1026&lt;$B$24,"onder LCL","")),"")</f>
        <v/>
      </c>
      <c r="AJ1026" s="13">
        <f>IF(AND(ISNUMBER(AE1026),ISNUMBER($B$25),ISNUMBER($D$25)),IF(AE1026&gt;$D$25,"boven UCL",IF(AE1026&lt;$B$25,"onder LCL","")),"")</f>
        <v/>
      </c>
      <c r="AK1026" s="13">
        <f>IF(AND(ISNUMBER(AG1026),ISNUMBER($B$26),ISNUMBER($D$26)),IF(AG1026&gt;$D$26,"boven UCL",IF(AG1026&lt;$B$26,"onder LCL","")),"")</f>
        <v/>
      </c>
      <c r="AL1026" s="13">
        <f>IF(AND(COUNT(B1026:Z1026)&gt;0,COUNT(AA1026:AC1026)&gt;0),"ruwe waarden én getypt: getypte genegeerd",IF(COUNTA(B1026:Z1026,AA1026:AC1026)&gt;COUNT(B1026:Z1026,AA1026:AC1026),"tekst telt niet mee",IF(COUNT(B1026:Z1026)=1,"1 waarde: geen R of s","")))</f>
        <v/>
      </c>
    </row>
    <row r="1027">
      <c r="A1027" t="n">
        <v>976</v>
      </c>
      <c r="B1027" s="7" t="n"/>
      <c r="C1027" s="7" t="n"/>
      <c r="D1027" s="7" t="n"/>
      <c r="E1027" s="7" t="n"/>
      <c r="F1027" s="7" t="n"/>
      <c r="G1027" s="7" t="n"/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/>
      <c r="Q1027" s="7" t="n"/>
      <c r="R1027" s="7" t="n"/>
      <c r="S1027" s="7" t="n"/>
      <c r="T1027" s="7" t="n"/>
      <c r="U1027" s="7" t="n"/>
      <c r="V1027" s="7" t="n"/>
      <c r="W1027" s="7" t="n"/>
      <c r="X1027" s="7" t="n"/>
      <c r="Y1027" s="7" t="n"/>
      <c r="Z1027" s="7" t="n"/>
      <c r="AA1027" s="7" t="n"/>
      <c r="AB1027" s="7" t="n"/>
      <c r="AC1027" s="7" t="n"/>
      <c r="AD1027" s="28">
        <f>IF(COUNT(B1027:Z1027)&gt;0,COUNT(B1027:Z1027),IF(OR(ISNUMBER(AA1027),ISNUMBER(AB1027)),$B$9,""))</f>
        <v/>
      </c>
      <c r="AE1027" s="29">
        <f>IF(COUNT(B1027:Z1027)&gt;0,AVERAGE(B1027:Z1027),IF(ISNUMBER(AA1027),AA1027,""))</f>
        <v/>
      </c>
      <c r="AF1027" s="29">
        <f>IF(COUNT(B1027:Z1027)&gt;1,MAX(B1027:Z1027)-MIN(B1027:Z1027),IF(ISNUMBER(AB1027),AB1027,""))</f>
        <v/>
      </c>
      <c r="AG1027" s="29">
        <f>IF(COUNT(B1027:Z1027)&gt;1,_xlfn.STDEV.S(B1027:Z1027),IF(ISNUMBER(AC1027),AC1027,""))</f>
        <v/>
      </c>
      <c r="AH1027" s="13">
        <f>IF(AND(ISNUMBER(AE1027),ISNUMBER($B$23),ISNUMBER($D$23)),IF(AE1027&gt;$D$23,"boven UCL",IF(AE1027&lt;$B$23,"onder LCL","")),"")</f>
        <v/>
      </c>
      <c r="AI1027" s="13">
        <f>IF(AND(ISNUMBER(AF1027),ISNUMBER($B$24),ISNUMBER($D$24)),IF(AF1027&gt;$D$24,"boven UCL",IF(AF1027&lt;$B$24,"onder LCL","")),"")</f>
        <v/>
      </c>
      <c r="AJ1027" s="13">
        <f>IF(AND(ISNUMBER(AE1027),ISNUMBER($B$25),ISNUMBER($D$25)),IF(AE1027&gt;$D$25,"boven UCL",IF(AE1027&lt;$B$25,"onder LCL","")),"")</f>
        <v/>
      </c>
      <c r="AK1027" s="13">
        <f>IF(AND(ISNUMBER(AG1027),ISNUMBER($B$26),ISNUMBER($D$26)),IF(AG1027&gt;$D$26,"boven UCL",IF(AG1027&lt;$B$26,"onder LCL","")),"")</f>
        <v/>
      </c>
      <c r="AL1027" s="13">
        <f>IF(AND(COUNT(B1027:Z1027)&gt;0,COUNT(AA1027:AC1027)&gt;0),"ruwe waarden én getypt: getypte genegeerd",IF(COUNTA(B1027:Z1027,AA1027:AC1027)&gt;COUNT(B1027:Z1027,AA1027:AC1027),"tekst telt niet mee",IF(COUNT(B1027:Z1027)=1,"1 waarde: geen R of s","")))</f>
        <v/>
      </c>
    </row>
    <row r="1028">
      <c r="A1028" t="n">
        <v>977</v>
      </c>
      <c r="B1028" s="7" t="n"/>
      <c r="C1028" s="7" t="n"/>
      <c r="D1028" s="7" t="n"/>
      <c r="E1028" s="7" t="n"/>
      <c r="F1028" s="7" t="n"/>
      <c r="G1028" s="7" t="n"/>
      <c r="H1028" s="7" t="n"/>
      <c r="I1028" s="7" t="n"/>
      <c r="J1028" s="7" t="n"/>
      <c r="K1028" s="7" t="n"/>
      <c r="L1028" s="7" t="n"/>
      <c r="M1028" s="7" t="n"/>
      <c r="N1028" s="7" t="n"/>
      <c r="O1028" s="7" t="n"/>
      <c r="P1028" s="7" t="n"/>
      <c r="Q1028" s="7" t="n"/>
      <c r="R1028" s="7" t="n"/>
      <c r="S1028" s="7" t="n"/>
      <c r="T1028" s="7" t="n"/>
      <c r="U1028" s="7" t="n"/>
      <c r="V1028" s="7" t="n"/>
      <c r="W1028" s="7" t="n"/>
      <c r="X1028" s="7" t="n"/>
      <c r="Y1028" s="7" t="n"/>
      <c r="Z1028" s="7" t="n"/>
      <c r="AA1028" s="7" t="n"/>
      <c r="AB1028" s="7" t="n"/>
      <c r="AC1028" s="7" t="n"/>
      <c r="AD1028" s="28">
        <f>IF(COUNT(B1028:Z1028)&gt;0,COUNT(B1028:Z1028),IF(OR(ISNUMBER(AA1028),ISNUMBER(AB1028)),$B$9,""))</f>
        <v/>
      </c>
      <c r="AE1028" s="29">
        <f>IF(COUNT(B1028:Z1028)&gt;0,AVERAGE(B1028:Z1028),IF(ISNUMBER(AA1028),AA1028,""))</f>
        <v/>
      </c>
      <c r="AF1028" s="29">
        <f>IF(COUNT(B1028:Z1028)&gt;1,MAX(B1028:Z1028)-MIN(B1028:Z1028),IF(ISNUMBER(AB1028),AB1028,""))</f>
        <v/>
      </c>
      <c r="AG1028" s="29">
        <f>IF(COUNT(B1028:Z1028)&gt;1,_xlfn.STDEV.S(B1028:Z1028),IF(ISNUMBER(AC1028),AC1028,""))</f>
        <v/>
      </c>
      <c r="AH1028" s="13">
        <f>IF(AND(ISNUMBER(AE1028),ISNUMBER($B$23),ISNUMBER($D$23)),IF(AE1028&gt;$D$23,"boven UCL",IF(AE1028&lt;$B$23,"onder LCL","")),"")</f>
        <v/>
      </c>
      <c r="AI1028" s="13">
        <f>IF(AND(ISNUMBER(AF1028),ISNUMBER($B$24),ISNUMBER($D$24)),IF(AF1028&gt;$D$24,"boven UCL",IF(AF1028&lt;$B$24,"onder LCL","")),"")</f>
        <v/>
      </c>
      <c r="AJ1028" s="13">
        <f>IF(AND(ISNUMBER(AE1028),ISNUMBER($B$25),ISNUMBER($D$25)),IF(AE1028&gt;$D$25,"boven UCL",IF(AE1028&lt;$B$25,"onder LCL","")),"")</f>
        <v/>
      </c>
      <c r="AK1028" s="13">
        <f>IF(AND(ISNUMBER(AG1028),ISNUMBER($B$26),ISNUMBER($D$26)),IF(AG1028&gt;$D$26,"boven UCL",IF(AG1028&lt;$B$26,"onder LCL","")),"")</f>
        <v/>
      </c>
      <c r="AL1028" s="13">
        <f>IF(AND(COUNT(B1028:Z1028)&gt;0,COUNT(AA1028:AC1028)&gt;0),"ruwe waarden én getypt: getypte genegeerd",IF(COUNTA(B1028:Z1028,AA1028:AC1028)&gt;COUNT(B1028:Z1028,AA1028:AC1028),"tekst telt niet mee",IF(COUNT(B1028:Z1028)=1,"1 waarde: geen R of s","")))</f>
        <v/>
      </c>
    </row>
    <row r="1029">
      <c r="A1029" t="n">
        <v>978</v>
      </c>
      <c r="B1029" s="7" t="n"/>
      <c r="C1029" s="7" t="n"/>
      <c r="D1029" s="7" t="n"/>
      <c r="E1029" s="7" t="n"/>
      <c r="F1029" s="7" t="n"/>
      <c r="G1029" s="7" t="n"/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/>
      <c r="Q1029" s="7" t="n"/>
      <c r="R1029" s="7" t="n"/>
      <c r="S1029" s="7" t="n"/>
      <c r="T1029" s="7" t="n"/>
      <c r="U1029" s="7" t="n"/>
      <c r="V1029" s="7" t="n"/>
      <c r="W1029" s="7" t="n"/>
      <c r="X1029" s="7" t="n"/>
      <c r="Y1029" s="7" t="n"/>
      <c r="Z1029" s="7" t="n"/>
      <c r="AA1029" s="7" t="n"/>
      <c r="AB1029" s="7" t="n"/>
      <c r="AC1029" s="7" t="n"/>
      <c r="AD1029" s="28">
        <f>IF(COUNT(B1029:Z1029)&gt;0,COUNT(B1029:Z1029),IF(OR(ISNUMBER(AA1029),ISNUMBER(AB1029)),$B$9,""))</f>
        <v/>
      </c>
      <c r="AE1029" s="29">
        <f>IF(COUNT(B1029:Z1029)&gt;0,AVERAGE(B1029:Z1029),IF(ISNUMBER(AA1029),AA1029,""))</f>
        <v/>
      </c>
      <c r="AF1029" s="29">
        <f>IF(COUNT(B1029:Z1029)&gt;1,MAX(B1029:Z1029)-MIN(B1029:Z1029),IF(ISNUMBER(AB1029),AB1029,""))</f>
        <v/>
      </c>
      <c r="AG1029" s="29">
        <f>IF(COUNT(B1029:Z1029)&gt;1,_xlfn.STDEV.S(B1029:Z1029),IF(ISNUMBER(AC1029),AC1029,""))</f>
        <v/>
      </c>
      <c r="AH1029" s="13">
        <f>IF(AND(ISNUMBER(AE1029),ISNUMBER($B$23),ISNUMBER($D$23)),IF(AE1029&gt;$D$23,"boven UCL",IF(AE1029&lt;$B$23,"onder LCL","")),"")</f>
        <v/>
      </c>
      <c r="AI1029" s="13">
        <f>IF(AND(ISNUMBER(AF1029),ISNUMBER($B$24),ISNUMBER($D$24)),IF(AF1029&gt;$D$24,"boven UCL",IF(AF1029&lt;$B$24,"onder LCL","")),"")</f>
        <v/>
      </c>
      <c r="AJ1029" s="13">
        <f>IF(AND(ISNUMBER(AE1029),ISNUMBER($B$25),ISNUMBER($D$25)),IF(AE1029&gt;$D$25,"boven UCL",IF(AE1029&lt;$B$25,"onder LCL","")),"")</f>
        <v/>
      </c>
      <c r="AK1029" s="13">
        <f>IF(AND(ISNUMBER(AG1029),ISNUMBER($B$26),ISNUMBER($D$26)),IF(AG1029&gt;$D$26,"boven UCL",IF(AG1029&lt;$B$26,"onder LCL","")),"")</f>
        <v/>
      </c>
      <c r="AL1029" s="13">
        <f>IF(AND(COUNT(B1029:Z1029)&gt;0,COUNT(AA1029:AC1029)&gt;0),"ruwe waarden én getypt: getypte genegeerd",IF(COUNTA(B1029:Z1029,AA1029:AC1029)&gt;COUNT(B1029:Z1029,AA1029:AC1029),"tekst telt niet mee",IF(COUNT(B1029:Z1029)=1,"1 waarde: geen R of s","")))</f>
        <v/>
      </c>
    </row>
    <row r="1030">
      <c r="A1030" t="n">
        <v>979</v>
      </c>
      <c r="B1030" s="7" t="n"/>
      <c r="C1030" s="7" t="n"/>
      <c r="D1030" s="7" t="n"/>
      <c r="E1030" s="7" t="n"/>
      <c r="F1030" s="7" t="n"/>
      <c r="G1030" s="7" t="n"/>
      <c r="H1030" s="7" t="n"/>
      <c r="I1030" s="7" t="n"/>
      <c r="J1030" s="7" t="n"/>
      <c r="K1030" s="7" t="n"/>
      <c r="L1030" s="7" t="n"/>
      <c r="M1030" s="7" t="n"/>
      <c r="N1030" s="7" t="n"/>
      <c r="O1030" s="7" t="n"/>
      <c r="P1030" s="7" t="n"/>
      <c r="Q1030" s="7" t="n"/>
      <c r="R1030" s="7" t="n"/>
      <c r="S1030" s="7" t="n"/>
      <c r="T1030" s="7" t="n"/>
      <c r="U1030" s="7" t="n"/>
      <c r="V1030" s="7" t="n"/>
      <c r="W1030" s="7" t="n"/>
      <c r="X1030" s="7" t="n"/>
      <c r="Y1030" s="7" t="n"/>
      <c r="Z1030" s="7" t="n"/>
      <c r="AA1030" s="7" t="n"/>
      <c r="AB1030" s="7" t="n"/>
      <c r="AC1030" s="7" t="n"/>
      <c r="AD1030" s="28">
        <f>IF(COUNT(B1030:Z1030)&gt;0,COUNT(B1030:Z1030),IF(OR(ISNUMBER(AA1030),ISNUMBER(AB1030)),$B$9,""))</f>
        <v/>
      </c>
      <c r="AE1030" s="29">
        <f>IF(COUNT(B1030:Z1030)&gt;0,AVERAGE(B1030:Z1030),IF(ISNUMBER(AA1030),AA1030,""))</f>
        <v/>
      </c>
      <c r="AF1030" s="29">
        <f>IF(COUNT(B1030:Z1030)&gt;1,MAX(B1030:Z1030)-MIN(B1030:Z1030),IF(ISNUMBER(AB1030),AB1030,""))</f>
        <v/>
      </c>
      <c r="AG1030" s="29">
        <f>IF(COUNT(B1030:Z1030)&gt;1,_xlfn.STDEV.S(B1030:Z1030),IF(ISNUMBER(AC1030),AC1030,""))</f>
        <v/>
      </c>
      <c r="AH1030" s="13">
        <f>IF(AND(ISNUMBER(AE1030),ISNUMBER($B$23),ISNUMBER($D$23)),IF(AE1030&gt;$D$23,"boven UCL",IF(AE1030&lt;$B$23,"onder LCL","")),"")</f>
        <v/>
      </c>
      <c r="AI1030" s="13">
        <f>IF(AND(ISNUMBER(AF1030),ISNUMBER($B$24),ISNUMBER($D$24)),IF(AF1030&gt;$D$24,"boven UCL",IF(AF1030&lt;$B$24,"onder LCL","")),"")</f>
        <v/>
      </c>
      <c r="AJ1030" s="13">
        <f>IF(AND(ISNUMBER(AE1030),ISNUMBER($B$25),ISNUMBER($D$25)),IF(AE1030&gt;$D$25,"boven UCL",IF(AE1030&lt;$B$25,"onder LCL","")),"")</f>
        <v/>
      </c>
      <c r="AK1030" s="13">
        <f>IF(AND(ISNUMBER(AG1030),ISNUMBER($B$26),ISNUMBER($D$26)),IF(AG1030&gt;$D$26,"boven UCL",IF(AG1030&lt;$B$26,"onder LCL","")),"")</f>
        <v/>
      </c>
      <c r="AL1030" s="13">
        <f>IF(AND(COUNT(B1030:Z1030)&gt;0,COUNT(AA1030:AC1030)&gt;0),"ruwe waarden én getypt: getypte genegeerd",IF(COUNTA(B1030:Z1030,AA1030:AC1030)&gt;COUNT(B1030:Z1030,AA1030:AC1030),"tekst telt niet mee",IF(COUNT(B1030:Z1030)=1,"1 waarde: geen R of s","")))</f>
        <v/>
      </c>
    </row>
    <row r="1031">
      <c r="A1031" t="n">
        <v>980</v>
      </c>
      <c r="B1031" s="7" t="n"/>
      <c r="C1031" s="7" t="n"/>
      <c r="D1031" s="7" t="n"/>
      <c r="E1031" s="7" t="n"/>
      <c r="F1031" s="7" t="n"/>
      <c r="G1031" s="7" t="n"/>
      <c r="H1031" s="7" t="n"/>
      <c r="I1031" s="7" t="n"/>
      <c r="J1031" s="7" t="n"/>
      <c r="K1031" s="7" t="n"/>
      <c r="L1031" s="7" t="n"/>
      <c r="M1031" s="7" t="n"/>
      <c r="N1031" s="7" t="n"/>
      <c r="O1031" s="7" t="n"/>
      <c r="P1031" s="7" t="n"/>
      <c r="Q1031" s="7" t="n"/>
      <c r="R1031" s="7" t="n"/>
      <c r="S1031" s="7" t="n"/>
      <c r="T1031" s="7" t="n"/>
      <c r="U1031" s="7" t="n"/>
      <c r="V1031" s="7" t="n"/>
      <c r="W1031" s="7" t="n"/>
      <c r="X1031" s="7" t="n"/>
      <c r="Y1031" s="7" t="n"/>
      <c r="Z1031" s="7" t="n"/>
      <c r="AA1031" s="7" t="n"/>
      <c r="AB1031" s="7" t="n"/>
      <c r="AC1031" s="7" t="n"/>
      <c r="AD1031" s="28">
        <f>IF(COUNT(B1031:Z1031)&gt;0,COUNT(B1031:Z1031),IF(OR(ISNUMBER(AA1031),ISNUMBER(AB1031)),$B$9,""))</f>
        <v/>
      </c>
      <c r="AE1031" s="29">
        <f>IF(COUNT(B1031:Z1031)&gt;0,AVERAGE(B1031:Z1031),IF(ISNUMBER(AA1031),AA1031,""))</f>
        <v/>
      </c>
      <c r="AF1031" s="29">
        <f>IF(COUNT(B1031:Z1031)&gt;1,MAX(B1031:Z1031)-MIN(B1031:Z1031),IF(ISNUMBER(AB1031),AB1031,""))</f>
        <v/>
      </c>
      <c r="AG1031" s="29">
        <f>IF(COUNT(B1031:Z1031)&gt;1,_xlfn.STDEV.S(B1031:Z1031),IF(ISNUMBER(AC1031),AC1031,""))</f>
        <v/>
      </c>
      <c r="AH1031" s="13">
        <f>IF(AND(ISNUMBER(AE1031),ISNUMBER($B$23),ISNUMBER($D$23)),IF(AE1031&gt;$D$23,"boven UCL",IF(AE1031&lt;$B$23,"onder LCL","")),"")</f>
        <v/>
      </c>
      <c r="AI1031" s="13">
        <f>IF(AND(ISNUMBER(AF1031),ISNUMBER($B$24),ISNUMBER($D$24)),IF(AF1031&gt;$D$24,"boven UCL",IF(AF1031&lt;$B$24,"onder LCL","")),"")</f>
        <v/>
      </c>
      <c r="AJ1031" s="13">
        <f>IF(AND(ISNUMBER(AE1031),ISNUMBER($B$25),ISNUMBER($D$25)),IF(AE1031&gt;$D$25,"boven UCL",IF(AE1031&lt;$B$25,"onder LCL","")),"")</f>
        <v/>
      </c>
      <c r="AK1031" s="13">
        <f>IF(AND(ISNUMBER(AG1031),ISNUMBER($B$26),ISNUMBER($D$26)),IF(AG1031&gt;$D$26,"boven UCL",IF(AG1031&lt;$B$26,"onder LCL","")),"")</f>
        <v/>
      </c>
      <c r="AL1031" s="13">
        <f>IF(AND(COUNT(B1031:Z1031)&gt;0,COUNT(AA1031:AC1031)&gt;0),"ruwe waarden én getypt: getypte genegeerd",IF(COUNTA(B1031:Z1031,AA1031:AC1031)&gt;COUNT(B1031:Z1031,AA1031:AC1031),"tekst telt niet mee",IF(COUNT(B1031:Z1031)=1,"1 waarde: geen R of s","")))</f>
        <v/>
      </c>
    </row>
    <row r="1032">
      <c r="A1032" t="n">
        <v>981</v>
      </c>
      <c r="B1032" s="7" t="n"/>
      <c r="C1032" s="7" t="n"/>
      <c r="D1032" s="7" t="n"/>
      <c r="E1032" s="7" t="n"/>
      <c r="F1032" s="7" t="n"/>
      <c r="G1032" s="7" t="n"/>
      <c r="H1032" s="7" t="n"/>
      <c r="I1032" s="7" t="n"/>
      <c r="J1032" s="7" t="n"/>
      <c r="K1032" s="7" t="n"/>
      <c r="L1032" s="7" t="n"/>
      <c r="M1032" s="7" t="n"/>
      <c r="N1032" s="7" t="n"/>
      <c r="O1032" s="7" t="n"/>
      <c r="P1032" s="7" t="n"/>
      <c r="Q1032" s="7" t="n"/>
      <c r="R1032" s="7" t="n"/>
      <c r="S1032" s="7" t="n"/>
      <c r="T1032" s="7" t="n"/>
      <c r="U1032" s="7" t="n"/>
      <c r="V1032" s="7" t="n"/>
      <c r="W1032" s="7" t="n"/>
      <c r="X1032" s="7" t="n"/>
      <c r="Y1032" s="7" t="n"/>
      <c r="Z1032" s="7" t="n"/>
      <c r="AA1032" s="7" t="n"/>
      <c r="AB1032" s="7" t="n"/>
      <c r="AC1032" s="7" t="n"/>
      <c r="AD1032" s="28">
        <f>IF(COUNT(B1032:Z1032)&gt;0,COUNT(B1032:Z1032),IF(OR(ISNUMBER(AA1032),ISNUMBER(AB1032)),$B$9,""))</f>
        <v/>
      </c>
      <c r="AE1032" s="29">
        <f>IF(COUNT(B1032:Z1032)&gt;0,AVERAGE(B1032:Z1032),IF(ISNUMBER(AA1032),AA1032,""))</f>
        <v/>
      </c>
      <c r="AF1032" s="29">
        <f>IF(COUNT(B1032:Z1032)&gt;1,MAX(B1032:Z1032)-MIN(B1032:Z1032),IF(ISNUMBER(AB1032),AB1032,""))</f>
        <v/>
      </c>
      <c r="AG1032" s="29">
        <f>IF(COUNT(B1032:Z1032)&gt;1,_xlfn.STDEV.S(B1032:Z1032),IF(ISNUMBER(AC1032),AC1032,""))</f>
        <v/>
      </c>
      <c r="AH1032" s="13">
        <f>IF(AND(ISNUMBER(AE1032),ISNUMBER($B$23),ISNUMBER($D$23)),IF(AE1032&gt;$D$23,"boven UCL",IF(AE1032&lt;$B$23,"onder LCL","")),"")</f>
        <v/>
      </c>
      <c r="AI1032" s="13">
        <f>IF(AND(ISNUMBER(AF1032),ISNUMBER($B$24),ISNUMBER($D$24)),IF(AF1032&gt;$D$24,"boven UCL",IF(AF1032&lt;$B$24,"onder LCL","")),"")</f>
        <v/>
      </c>
      <c r="AJ1032" s="13">
        <f>IF(AND(ISNUMBER(AE1032),ISNUMBER($B$25),ISNUMBER($D$25)),IF(AE1032&gt;$D$25,"boven UCL",IF(AE1032&lt;$B$25,"onder LCL","")),"")</f>
        <v/>
      </c>
      <c r="AK1032" s="13">
        <f>IF(AND(ISNUMBER(AG1032),ISNUMBER($B$26),ISNUMBER($D$26)),IF(AG1032&gt;$D$26,"boven UCL",IF(AG1032&lt;$B$26,"onder LCL","")),"")</f>
        <v/>
      </c>
      <c r="AL1032" s="13">
        <f>IF(AND(COUNT(B1032:Z1032)&gt;0,COUNT(AA1032:AC1032)&gt;0),"ruwe waarden én getypt: getypte genegeerd",IF(COUNTA(B1032:Z1032,AA1032:AC1032)&gt;COUNT(B1032:Z1032,AA1032:AC1032),"tekst telt niet mee",IF(COUNT(B1032:Z1032)=1,"1 waarde: geen R of s","")))</f>
        <v/>
      </c>
    </row>
    <row r="1033">
      <c r="A1033" t="n">
        <v>982</v>
      </c>
      <c r="B1033" s="7" t="n"/>
      <c r="C1033" s="7" t="n"/>
      <c r="D1033" s="7" t="n"/>
      <c r="E1033" s="7" t="n"/>
      <c r="F1033" s="7" t="n"/>
      <c r="G1033" s="7" t="n"/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/>
      <c r="Q1033" s="7" t="n"/>
      <c r="R1033" s="7" t="n"/>
      <c r="S1033" s="7" t="n"/>
      <c r="T1033" s="7" t="n"/>
      <c r="U1033" s="7" t="n"/>
      <c r="V1033" s="7" t="n"/>
      <c r="W1033" s="7" t="n"/>
      <c r="X1033" s="7" t="n"/>
      <c r="Y1033" s="7" t="n"/>
      <c r="Z1033" s="7" t="n"/>
      <c r="AA1033" s="7" t="n"/>
      <c r="AB1033" s="7" t="n"/>
      <c r="AC1033" s="7" t="n"/>
      <c r="AD1033" s="28">
        <f>IF(COUNT(B1033:Z1033)&gt;0,COUNT(B1033:Z1033),IF(OR(ISNUMBER(AA1033),ISNUMBER(AB1033)),$B$9,""))</f>
        <v/>
      </c>
      <c r="AE1033" s="29">
        <f>IF(COUNT(B1033:Z1033)&gt;0,AVERAGE(B1033:Z1033),IF(ISNUMBER(AA1033),AA1033,""))</f>
        <v/>
      </c>
      <c r="AF1033" s="29">
        <f>IF(COUNT(B1033:Z1033)&gt;1,MAX(B1033:Z1033)-MIN(B1033:Z1033),IF(ISNUMBER(AB1033),AB1033,""))</f>
        <v/>
      </c>
      <c r="AG1033" s="29">
        <f>IF(COUNT(B1033:Z1033)&gt;1,_xlfn.STDEV.S(B1033:Z1033),IF(ISNUMBER(AC1033),AC1033,""))</f>
        <v/>
      </c>
      <c r="AH1033" s="13">
        <f>IF(AND(ISNUMBER(AE1033),ISNUMBER($B$23),ISNUMBER($D$23)),IF(AE1033&gt;$D$23,"boven UCL",IF(AE1033&lt;$B$23,"onder LCL","")),"")</f>
        <v/>
      </c>
      <c r="AI1033" s="13">
        <f>IF(AND(ISNUMBER(AF1033),ISNUMBER($B$24),ISNUMBER($D$24)),IF(AF1033&gt;$D$24,"boven UCL",IF(AF1033&lt;$B$24,"onder LCL","")),"")</f>
        <v/>
      </c>
      <c r="AJ1033" s="13">
        <f>IF(AND(ISNUMBER(AE1033),ISNUMBER($B$25),ISNUMBER($D$25)),IF(AE1033&gt;$D$25,"boven UCL",IF(AE1033&lt;$B$25,"onder LCL","")),"")</f>
        <v/>
      </c>
      <c r="AK1033" s="13">
        <f>IF(AND(ISNUMBER(AG1033),ISNUMBER($B$26),ISNUMBER($D$26)),IF(AG1033&gt;$D$26,"boven UCL",IF(AG1033&lt;$B$26,"onder LCL","")),"")</f>
        <v/>
      </c>
      <c r="AL1033" s="13">
        <f>IF(AND(COUNT(B1033:Z1033)&gt;0,COUNT(AA1033:AC1033)&gt;0),"ruwe waarden én getypt: getypte genegeerd",IF(COUNTA(B1033:Z1033,AA1033:AC1033)&gt;COUNT(B1033:Z1033,AA1033:AC1033),"tekst telt niet mee",IF(COUNT(B1033:Z1033)=1,"1 waarde: geen R of s","")))</f>
        <v/>
      </c>
    </row>
    <row r="1034">
      <c r="A1034" t="n">
        <v>983</v>
      </c>
      <c r="B1034" s="7" t="n"/>
      <c r="C1034" s="7" t="n"/>
      <c r="D1034" s="7" t="n"/>
      <c r="E1034" s="7" t="n"/>
      <c r="F1034" s="7" t="n"/>
      <c r="G1034" s="7" t="n"/>
      <c r="H1034" s="7" t="n"/>
      <c r="I1034" s="7" t="n"/>
      <c r="J1034" s="7" t="n"/>
      <c r="K1034" s="7" t="n"/>
      <c r="L1034" s="7" t="n"/>
      <c r="M1034" s="7" t="n"/>
      <c r="N1034" s="7" t="n"/>
      <c r="O1034" s="7" t="n"/>
      <c r="P1034" s="7" t="n"/>
      <c r="Q1034" s="7" t="n"/>
      <c r="R1034" s="7" t="n"/>
      <c r="S1034" s="7" t="n"/>
      <c r="T1034" s="7" t="n"/>
      <c r="U1034" s="7" t="n"/>
      <c r="V1034" s="7" t="n"/>
      <c r="W1034" s="7" t="n"/>
      <c r="X1034" s="7" t="n"/>
      <c r="Y1034" s="7" t="n"/>
      <c r="Z1034" s="7" t="n"/>
      <c r="AA1034" s="7" t="n"/>
      <c r="AB1034" s="7" t="n"/>
      <c r="AC1034" s="7" t="n"/>
      <c r="AD1034" s="28">
        <f>IF(COUNT(B1034:Z1034)&gt;0,COUNT(B1034:Z1034),IF(OR(ISNUMBER(AA1034),ISNUMBER(AB1034)),$B$9,""))</f>
        <v/>
      </c>
      <c r="AE1034" s="29">
        <f>IF(COUNT(B1034:Z1034)&gt;0,AVERAGE(B1034:Z1034),IF(ISNUMBER(AA1034),AA1034,""))</f>
        <v/>
      </c>
      <c r="AF1034" s="29">
        <f>IF(COUNT(B1034:Z1034)&gt;1,MAX(B1034:Z1034)-MIN(B1034:Z1034),IF(ISNUMBER(AB1034),AB1034,""))</f>
        <v/>
      </c>
      <c r="AG1034" s="29">
        <f>IF(COUNT(B1034:Z1034)&gt;1,_xlfn.STDEV.S(B1034:Z1034),IF(ISNUMBER(AC1034),AC1034,""))</f>
        <v/>
      </c>
      <c r="AH1034" s="13">
        <f>IF(AND(ISNUMBER(AE1034),ISNUMBER($B$23),ISNUMBER($D$23)),IF(AE1034&gt;$D$23,"boven UCL",IF(AE1034&lt;$B$23,"onder LCL","")),"")</f>
        <v/>
      </c>
      <c r="AI1034" s="13">
        <f>IF(AND(ISNUMBER(AF1034),ISNUMBER($B$24),ISNUMBER($D$24)),IF(AF1034&gt;$D$24,"boven UCL",IF(AF1034&lt;$B$24,"onder LCL","")),"")</f>
        <v/>
      </c>
      <c r="AJ1034" s="13">
        <f>IF(AND(ISNUMBER(AE1034),ISNUMBER($B$25),ISNUMBER($D$25)),IF(AE1034&gt;$D$25,"boven UCL",IF(AE1034&lt;$B$25,"onder LCL","")),"")</f>
        <v/>
      </c>
      <c r="AK1034" s="13">
        <f>IF(AND(ISNUMBER(AG1034),ISNUMBER($B$26),ISNUMBER($D$26)),IF(AG1034&gt;$D$26,"boven UCL",IF(AG1034&lt;$B$26,"onder LCL","")),"")</f>
        <v/>
      </c>
      <c r="AL1034" s="13">
        <f>IF(AND(COUNT(B1034:Z1034)&gt;0,COUNT(AA1034:AC1034)&gt;0),"ruwe waarden én getypt: getypte genegeerd",IF(COUNTA(B1034:Z1034,AA1034:AC1034)&gt;COUNT(B1034:Z1034,AA1034:AC1034),"tekst telt niet mee",IF(COUNT(B1034:Z1034)=1,"1 waarde: geen R of s","")))</f>
        <v/>
      </c>
    </row>
    <row r="1035">
      <c r="A1035" t="n">
        <v>984</v>
      </c>
      <c r="B1035" s="7" t="n"/>
      <c r="C1035" s="7" t="n"/>
      <c r="D1035" s="7" t="n"/>
      <c r="E1035" s="7" t="n"/>
      <c r="F1035" s="7" t="n"/>
      <c r="G1035" s="7" t="n"/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/>
      <c r="Q1035" s="7" t="n"/>
      <c r="R1035" s="7" t="n"/>
      <c r="S1035" s="7" t="n"/>
      <c r="T1035" s="7" t="n"/>
      <c r="U1035" s="7" t="n"/>
      <c r="V1035" s="7" t="n"/>
      <c r="W1035" s="7" t="n"/>
      <c r="X1035" s="7" t="n"/>
      <c r="Y1035" s="7" t="n"/>
      <c r="Z1035" s="7" t="n"/>
      <c r="AA1035" s="7" t="n"/>
      <c r="AB1035" s="7" t="n"/>
      <c r="AC1035" s="7" t="n"/>
      <c r="AD1035" s="28">
        <f>IF(COUNT(B1035:Z1035)&gt;0,COUNT(B1035:Z1035),IF(OR(ISNUMBER(AA1035),ISNUMBER(AB1035)),$B$9,""))</f>
        <v/>
      </c>
      <c r="AE1035" s="29">
        <f>IF(COUNT(B1035:Z1035)&gt;0,AVERAGE(B1035:Z1035),IF(ISNUMBER(AA1035),AA1035,""))</f>
        <v/>
      </c>
      <c r="AF1035" s="29">
        <f>IF(COUNT(B1035:Z1035)&gt;1,MAX(B1035:Z1035)-MIN(B1035:Z1035),IF(ISNUMBER(AB1035),AB1035,""))</f>
        <v/>
      </c>
      <c r="AG1035" s="29">
        <f>IF(COUNT(B1035:Z1035)&gt;1,_xlfn.STDEV.S(B1035:Z1035),IF(ISNUMBER(AC1035),AC1035,""))</f>
        <v/>
      </c>
      <c r="AH1035" s="13">
        <f>IF(AND(ISNUMBER(AE1035),ISNUMBER($B$23),ISNUMBER($D$23)),IF(AE1035&gt;$D$23,"boven UCL",IF(AE1035&lt;$B$23,"onder LCL","")),"")</f>
        <v/>
      </c>
      <c r="AI1035" s="13">
        <f>IF(AND(ISNUMBER(AF1035),ISNUMBER($B$24),ISNUMBER($D$24)),IF(AF1035&gt;$D$24,"boven UCL",IF(AF1035&lt;$B$24,"onder LCL","")),"")</f>
        <v/>
      </c>
      <c r="AJ1035" s="13">
        <f>IF(AND(ISNUMBER(AE1035),ISNUMBER($B$25),ISNUMBER($D$25)),IF(AE1035&gt;$D$25,"boven UCL",IF(AE1035&lt;$B$25,"onder LCL","")),"")</f>
        <v/>
      </c>
      <c r="AK1035" s="13">
        <f>IF(AND(ISNUMBER(AG1035),ISNUMBER($B$26),ISNUMBER($D$26)),IF(AG1035&gt;$D$26,"boven UCL",IF(AG1035&lt;$B$26,"onder LCL","")),"")</f>
        <v/>
      </c>
      <c r="AL1035" s="13">
        <f>IF(AND(COUNT(B1035:Z1035)&gt;0,COUNT(AA1035:AC1035)&gt;0),"ruwe waarden én getypt: getypte genegeerd",IF(COUNTA(B1035:Z1035,AA1035:AC1035)&gt;COUNT(B1035:Z1035,AA1035:AC1035),"tekst telt niet mee",IF(COUNT(B1035:Z1035)=1,"1 waarde: geen R of s","")))</f>
        <v/>
      </c>
    </row>
    <row r="1036">
      <c r="A1036" t="n">
        <v>985</v>
      </c>
      <c r="B1036" s="7" t="n"/>
      <c r="C1036" s="7" t="n"/>
      <c r="D1036" s="7" t="n"/>
      <c r="E1036" s="7" t="n"/>
      <c r="F1036" s="7" t="n"/>
      <c r="G1036" s="7" t="n"/>
      <c r="H1036" s="7" t="n"/>
      <c r="I1036" s="7" t="n"/>
      <c r="J1036" s="7" t="n"/>
      <c r="K1036" s="7" t="n"/>
      <c r="L1036" s="7" t="n"/>
      <c r="M1036" s="7" t="n"/>
      <c r="N1036" s="7" t="n"/>
      <c r="O1036" s="7" t="n"/>
      <c r="P1036" s="7" t="n"/>
      <c r="Q1036" s="7" t="n"/>
      <c r="R1036" s="7" t="n"/>
      <c r="S1036" s="7" t="n"/>
      <c r="T1036" s="7" t="n"/>
      <c r="U1036" s="7" t="n"/>
      <c r="V1036" s="7" t="n"/>
      <c r="W1036" s="7" t="n"/>
      <c r="X1036" s="7" t="n"/>
      <c r="Y1036" s="7" t="n"/>
      <c r="Z1036" s="7" t="n"/>
      <c r="AA1036" s="7" t="n"/>
      <c r="AB1036" s="7" t="n"/>
      <c r="AC1036" s="7" t="n"/>
      <c r="AD1036" s="28">
        <f>IF(COUNT(B1036:Z1036)&gt;0,COUNT(B1036:Z1036),IF(OR(ISNUMBER(AA1036),ISNUMBER(AB1036)),$B$9,""))</f>
        <v/>
      </c>
      <c r="AE1036" s="29">
        <f>IF(COUNT(B1036:Z1036)&gt;0,AVERAGE(B1036:Z1036),IF(ISNUMBER(AA1036),AA1036,""))</f>
        <v/>
      </c>
      <c r="AF1036" s="29">
        <f>IF(COUNT(B1036:Z1036)&gt;1,MAX(B1036:Z1036)-MIN(B1036:Z1036),IF(ISNUMBER(AB1036),AB1036,""))</f>
        <v/>
      </c>
      <c r="AG1036" s="29">
        <f>IF(COUNT(B1036:Z1036)&gt;1,_xlfn.STDEV.S(B1036:Z1036),IF(ISNUMBER(AC1036),AC1036,""))</f>
        <v/>
      </c>
      <c r="AH1036" s="13">
        <f>IF(AND(ISNUMBER(AE1036),ISNUMBER($B$23),ISNUMBER($D$23)),IF(AE1036&gt;$D$23,"boven UCL",IF(AE1036&lt;$B$23,"onder LCL","")),"")</f>
        <v/>
      </c>
      <c r="AI1036" s="13">
        <f>IF(AND(ISNUMBER(AF1036),ISNUMBER($B$24),ISNUMBER($D$24)),IF(AF1036&gt;$D$24,"boven UCL",IF(AF1036&lt;$B$24,"onder LCL","")),"")</f>
        <v/>
      </c>
      <c r="AJ1036" s="13">
        <f>IF(AND(ISNUMBER(AE1036),ISNUMBER($B$25),ISNUMBER($D$25)),IF(AE1036&gt;$D$25,"boven UCL",IF(AE1036&lt;$B$25,"onder LCL","")),"")</f>
        <v/>
      </c>
      <c r="AK1036" s="13">
        <f>IF(AND(ISNUMBER(AG1036),ISNUMBER($B$26),ISNUMBER($D$26)),IF(AG1036&gt;$D$26,"boven UCL",IF(AG1036&lt;$B$26,"onder LCL","")),"")</f>
        <v/>
      </c>
      <c r="AL1036" s="13">
        <f>IF(AND(COUNT(B1036:Z1036)&gt;0,COUNT(AA1036:AC1036)&gt;0),"ruwe waarden én getypt: getypte genegeerd",IF(COUNTA(B1036:Z1036,AA1036:AC1036)&gt;COUNT(B1036:Z1036,AA1036:AC1036),"tekst telt niet mee",IF(COUNT(B1036:Z1036)=1,"1 waarde: geen R of s","")))</f>
        <v/>
      </c>
    </row>
    <row r="1037">
      <c r="A1037" t="n">
        <v>986</v>
      </c>
      <c r="B1037" s="7" t="n"/>
      <c r="C1037" s="7" t="n"/>
      <c r="D1037" s="7" t="n"/>
      <c r="E1037" s="7" t="n"/>
      <c r="F1037" s="7" t="n"/>
      <c r="G1037" s="7" t="n"/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/>
      <c r="Q1037" s="7" t="n"/>
      <c r="R1037" s="7" t="n"/>
      <c r="S1037" s="7" t="n"/>
      <c r="T1037" s="7" t="n"/>
      <c r="U1037" s="7" t="n"/>
      <c r="V1037" s="7" t="n"/>
      <c r="W1037" s="7" t="n"/>
      <c r="X1037" s="7" t="n"/>
      <c r="Y1037" s="7" t="n"/>
      <c r="Z1037" s="7" t="n"/>
      <c r="AA1037" s="7" t="n"/>
      <c r="AB1037" s="7" t="n"/>
      <c r="AC1037" s="7" t="n"/>
      <c r="AD1037" s="28">
        <f>IF(COUNT(B1037:Z1037)&gt;0,COUNT(B1037:Z1037),IF(OR(ISNUMBER(AA1037),ISNUMBER(AB1037)),$B$9,""))</f>
        <v/>
      </c>
      <c r="AE1037" s="29">
        <f>IF(COUNT(B1037:Z1037)&gt;0,AVERAGE(B1037:Z1037),IF(ISNUMBER(AA1037),AA1037,""))</f>
        <v/>
      </c>
      <c r="AF1037" s="29">
        <f>IF(COUNT(B1037:Z1037)&gt;1,MAX(B1037:Z1037)-MIN(B1037:Z1037),IF(ISNUMBER(AB1037),AB1037,""))</f>
        <v/>
      </c>
      <c r="AG1037" s="29">
        <f>IF(COUNT(B1037:Z1037)&gt;1,_xlfn.STDEV.S(B1037:Z1037),IF(ISNUMBER(AC1037),AC1037,""))</f>
        <v/>
      </c>
      <c r="AH1037" s="13">
        <f>IF(AND(ISNUMBER(AE1037),ISNUMBER($B$23),ISNUMBER($D$23)),IF(AE1037&gt;$D$23,"boven UCL",IF(AE1037&lt;$B$23,"onder LCL","")),"")</f>
        <v/>
      </c>
      <c r="AI1037" s="13">
        <f>IF(AND(ISNUMBER(AF1037),ISNUMBER($B$24),ISNUMBER($D$24)),IF(AF1037&gt;$D$24,"boven UCL",IF(AF1037&lt;$B$24,"onder LCL","")),"")</f>
        <v/>
      </c>
      <c r="AJ1037" s="13">
        <f>IF(AND(ISNUMBER(AE1037),ISNUMBER($B$25),ISNUMBER($D$25)),IF(AE1037&gt;$D$25,"boven UCL",IF(AE1037&lt;$B$25,"onder LCL","")),"")</f>
        <v/>
      </c>
      <c r="AK1037" s="13">
        <f>IF(AND(ISNUMBER(AG1037),ISNUMBER($B$26),ISNUMBER($D$26)),IF(AG1037&gt;$D$26,"boven UCL",IF(AG1037&lt;$B$26,"onder LCL","")),"")</f>
        <v/>
      </c>
      <c r="AL1037" s="13">
        <f>IF(AND(COUNT(B1037:Z1037)&gt;0,COUNT(AA1037:AC1037)&gt;0),"ruwe waarden én getypt: getypte genegeerd",IF(COUNTA(B1037:Z1037,AA1037:AC1037)&gt;COUNT(B1037:Z1037,AA1037:AC1037),"tekst telt niet mee",IF(COUNT(B1037:Z1037)=1,"1 waarde: geen R of s","")))</f>
        <v/>
      </c>
    </row>
    <row r="1038">
      <c r="A1038" t="n">
        <v>987</v>
      </c>
      <c r="B1038" s="7" t="n"/>
      <c r="C1038" s="7" t="n"/>
      <c r="D1038" s="7" t="n"/>
      <c r="E1038" s="7" t="n"/>
      <c r="F1038" s="7" t="n"/>
      <c r="G1038" s="7" t="n"/>
      <c r="H1038" s="7" t="n"/>
      <c r="I1038" s="7" t="n"/>
      <c r="J1038" s="7" t="n"/>
      <c r="K1038" s="7" t="n"/>
      <c r="L1038" s="7" t="n"/>
      <c r="M1038" s="7" t="n"/>
      <c r="N1038" s="7" t="n"/>
      <c r="O1038" s="7" t="n"/>
      <c r="P1038" s="7" t="n"/>
      <c r="Q1038" s="7" t="n"/>
      <c r="R1038" s="7" t="n"/>
      <c r="S1038" s="7" t="n"/>
      <c r="T1038" s="7" t="n"/>
      <c r="U1038" s="7" t="n"/>
      <c r="V1038" s="7" t="n"/>
      <c r="W1038" s="7" t="n"/>
      <c r="X1038" s="7" t="n"/>
      <c r="Y1038" s="7" t="n"/>
      <c r="Z1038" s="7" t="n"/>
      <c r="AA1038" s="7" t="n"/>
      <c r="AB1038" s="7" t="n"/>
      <c r="AC1038" s="7" t="n"/>
      <c r="AD1038" s="28">
        <f>IF(COUNT(B1038:Z1038)&gt;0,COUNT(B1038:Z1038),IF(OR(ISNUMBER(AA1038),ISNUMBER(AB1038)),$B$9,""))</f>
        <v/>
      </c>
      <c r="AE1038" s="29">
        <f>IF(COUNT(B1038:Z1038)&gt;0,AVERAGE(B1038:Z1038),IF(ISNUMBER(AA1038),AA1038,""))</f>
        <v/>
      </c>
      <c r="AF1038" s="29">
        <f>IF(COUNT(B1038:Z1038)&gt;1,MAX(B1038:Z1038)-MIN(B1038:Z1038),IF(ISNUMBER(AB1038),AB1038,""))</f>
        <v/>
      </c>
      <c r="AG1038" s="29">
        <f>IF(COUNT(B1038:Z1038)&gt;1,_xlfn.STDEV.S(B1038:Z1038),IF(ISNUMBER(AC1038),AC1038,""))</f>
        <v/>
      </c>
      <c r="AH1038" s="13">
        <f>IF(AND(ISNUMBER(AE1038),ISNUMBER($B$23),ISNUMBER($D$23)),IF(AE1038&gt;$D$23,"boven UCL",IF(AE1038&lt;$B$23,"onder LCL","")),"")</f>
        <v/>
      </c>
      <c r="AI1038" s="13">
        <f>IF(AND(ISNUMBER(AF1038),ISNUMBER($B$24),ISNUMBER($D$24)),IF(AF1038&gt;$D$24,"boven UCL",IF(AF1038&lt;$B$24,"onder LCL","")),"")</f>
        <v/>
      </c>
      <c r="AJ1038" s="13">
        <f>IF(AND(ISNUMBER(AE1038),ISNUMBER($B$25),ISNUMBER($D$25)),IF(AE1038&gt;$D$25,"boven UCL",IF(AE1038&lt;$B$25,"onder LCL","")),"")</f>
        <v/>
      </c>
      <c r="AK1038" s="13">
        <f>IF(AND(ISNUMBER(AG1038),ISNUMBER($B$26),ISNUMBER($D$26)),IF(AG1038&gt;$D$26,"boven UCL",IF(AG1038&lt;$B$26,"onder LCL","")),"")</f>
        <v/>
      </c>
      <c r="AL1038" s="13">
        <f>IF(AND(COUNT(B1038:Z1038)&gt;0,COUNT(AA1038:AC1038)&gt;0),"ruwe waarden én getypt: getypte genegeerd",IF(COUNTA(B1038:Z1038,AA1038:AC1038)&gt;COUNT(B1038:Z1038,AA1038:AC1038),"tekst telt niet mee",IF(COUNT(B1038:Z1038)=1,"1 waarde: geen R of s","")))</f>
        <v/>
      </c>
    </row>
    <row r="1039">
      <c r="A1039" t="n">
        <v>988</v>
      </c>
      <c r="B1039" s="7" t="n"/>
      <c r="C1039" s="7" t="n"/>
      <c r="D1039" s="7" t="n"/>
      <c r="E1039" s="7" t="n"/>
      <c r="F1039" s="7" t="n"/>
      <c r="G1039" s="7" t="n"/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/>
      <c r="Q1039" s="7" t="n"/>
      <c r="R1039" s="7" t="n"/>
      <c r="S1039" s="7" t="n"/>
      <c r="T1039" s="7" t="n"/>
      <c r="U1039" s="7" t="n"/>
      <c r="V1039" s="7" t="n"/>
      <c r="W1039" s="7" t="n"/>
      <c r="X1039" s="7" t="n"/>
      <c r="Y1039" s="7" t="n"/>
      <c r="Z1039" s="7" t="n"/>
      <c r="AA1039" s="7" t="n"/>
      <c r="AB1039" s="7" t="n"/>
      <c r="AC1039" s="7" t="n"/>
      <c r="AD1039" s="28">
        <f>IF(COUNT(B1039:Z1039)&gt;0,COUNT(B1039:Z1039),IF(OR(ISNUMBER(AA1039),ISNUMBER(AB1039)),$B$9,""))</f>
        <v/>
      </c>
      <c r="AE1039" s="29">
        <f>IF(COUNT(B1039:Z1039)&gt;0,AVERAGE(B1039:Z1039),IF(ISNUMBER(AA1039),AA1039,""))</f>
        <v/>
      </c>
      <c r="AF1039" s="29">
        <f>IF(COUNT(B1039:Z1039)&gt;1,MAX(B1039:Z1039)-MIN(B1039:Z1039),IF(ISNUMBER(AB1039),AB1039,""))</f>
        <v/>
      </c>
      <c r="AG1039" s="29">
        <f>IF(COUNT(B1039:Z1039)&gt;1,_xlfn.STDEV.S(B1039:Z1039),IF(ISNUMBER(AC1039),AC1039,""))</f>
        <v/>
      </c>
      <c r="AH1039" s="13">
        <f>IF(AND(ISNUMBER(AE1039),ISNUMBER($B$23),ISNUMBER($D$23)),IF(AE1039&gt;$D$23,"boven UCL",IF(AE1039&lt;$B$23,"onder LCL","")),"")</f>
        <v/>
      </c>
      <c r="AI1039" s="13">
        <f>IF(AND(ISNUMBER(AF1039),ISNUMBER($B$24),ISNUMBER($D$24)),IF(AF1039&gt;$D$24,"boven UCL",IF(AF1039&lt;$B$24,"onder LCL","")),"")</f>
        <v/>
      </c>
      <c r="AJ1039" s="13">
        <f>IF(AND(ISNUMBER(AE1039),ISNUMBER($B$25),ISNUMBER($D$25)),IF(AE1039&gt;$D$25,"boven UCL",IF(AE1039&lt;$B$25,"onder LCL","")),"")</f>
        <v/>
      </c>
      <c r="AK1039" s="13">
        <f>IF(AND(ISNUMBER(AG1039),ISNUMBER($B$26),ISNUMBER($D$26)),IF(AG1039&gt;$D$26,"boven UCL",IF(AG1039&lt;$B$26,"onder LCL","")),"")</f>
        <v/>
      </c>
      <c r="AL1039" s="13">
        <f>IF(AND(COUNT(B1039:Z1039)&gt;0,COUNT(AA1039:AC1039)&gt;0),"ruwe waarden én getypt: getypte genegeerd",IF(COUNTA(B1039:Z1039,AA1039:AC1039)&gt;COUNT(B1039:Z1039,AA1039:AC1039),"tekst telt niet mee",IF(COUNT(B1039:Z1039)=1,"1 waarde: geen R of s","")))</f>
        <v/>
      </c>
    </row>
    <row r="1040">
      <c r="A1040" t="n">
        <v>989</v>
      </c>
      <c r="B1040" s="7" t="n"/>
      <c r="C1040" s="7" t="n"/>
      <c r="D1040" s="7" t="n"/>
      <c r="E1040" s="7" t="n"/>
      <c r="F1040" s="7" t="n"/>
      <c r="G1040" s="7" t="n"/>
      <c r="H1040" s="7" t="n"/>
      <c r="I1040" s="7" t="n"/>
      <c r="J1040" s="7" t="n"/>
      <c r="K1040" s="7" t="n"/>
      <c r="L1040" s="7" t="n"/>
      <c r="M1040" s="7" t="n"/>
      <c r="N1040" s="7" t="n"/>
      <c r="O1040" s="7" t="n"/>
      <c r="P1040" s="7" t="n"/>
      <c r="Q1040" s="7" t="n"/>
      <c r="R1040" s="7" t="n"/>
      <c r="S1040" s="7" t="n"/>
      <c r="T1040" s="7" t="n"/>
      <c r="U1040" s="7" t="n"/>
      <c r="V1040" s="7" t="n"/>
      <c r="W1040" s="7" t="n"/>
      <c r="X1040" s="7" t="n"/>
      <c r="Y1040" s="7" t="n"/>
      <c r="Z1040" s="7" t="n"/>
      <c r="AA1040" s="7" t="n"/>
      <c r="AB1040" s="7" t="n"/>
      <c r="AC1040" s="7" t="n"/>
      <c r="AD1040" s="28">
        <f>IF(COUNT(B1040:Z1040)&gt;0,COUNT(B1040:Z1040),IF(OR(ISNUMBER(AA1040),ISNUMBER(AB1040)),$B$9,""))</f>
        <v/>
      </c>
      <c r="AE1040" s="29">
        <f>IF(COUNT(B1040:Z1040)&gt;0,AVERAGE(B1040:Z1040),IF(ISNUMBER(AA1040),AA1040,""))</f>
        <v/>
      </c>
      <c r="AF1040" s="29">
        <f>IF(COUNT(B1040:Z1040)&gt;1,MAX(B1040:Z1040)-MIN(B1040:Z1040),IF(ISNUMBER(AB1040),AB1040,""))</f>
        <v/>
      </c>
      <c r="AG1040" s="29">
        <f>IF(COUNT(B1040:Z1040)&gt;1,_xlfn.STDEV.S(B1040:Z1040),IF(ISNUMBER(AC1040),AC1040,""))</f>
        <v/>
      </c>
      <c r="AH1040" s="13">
        <f>IF(AND(ISNUMBER(AE1040),ISNUMBER($B$23),ISNUMBER($D$23)),IF(AE1040&gt;$D$23,"boven UCL",IF(AE1040&lt;$B$23,"onder LCL","")),"")</f>
        <v/>
      </c>
      <c r="AI1040" s="13">
        <f>IF(AND(ISNUMBER(AF1040),ISNUMBER($B$24),ISNUMBER($D$24)),IF(AF1040&gt;$D$24,"boven UCL",IF(AF1040&lt;$B$24,"onder LCL","")),"")</f>
        <v/>
      </c>
      <c r="AJ1040" s="13">
        <f>IF(AND(ISNUMBER(AE1040),ISNUMBER($B$25),ISNUMBER($D$25)),IF(AE1040&gt;$D$25,"boven UCL",IF(AE1040&lt;$B$25,"onder LCL","")),"")</f>
        <v/>
      </c>
      <c r="AK1040" s="13">
        <f>IF(AND(ISNUMBER(AG1040),ISNUMBER($B$26),ISNUMBER($D$26)),IF(AG1040&gt;$D$26,"boven UCL",IF(AG1040&lt;$B$26,"onder LCL","")),"")</f>
        <v/>
      </c>
      <c r="AL1040" s="13">
        <f>IF(AND(COUNT(B1040:Z1040)&gt;0,COUNT(AA1040:AC1040)&gt;0),"ruwe waarden én getypt: getypte genegeerd",IF(COUNTA(B1040:Z1040,AA1040:AC1040)&gt;COUNT(B1040:Z1040,AA1040:AC1040),"tekst telt niet mee",IF(COUNT(B1040:Z1040)=1,"1 waarde: geen R of s","")))</f>
        <v/>
      </c>
    </row>
    <row r="1041">
      <c r="A1041" t="n">
        <v>990</v>
      </c>
      <c r="B1041" s="7" t="n"/>
      <c r="C1041" s="7" t="n"/>
      <c r="D1041" s="7" t="n"/>
      <c r="E1041" s="7" t="n"/>
      <c r="F1041" s="7" t="n"/>
      <c r="G1041" s="7" t="n"/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/>
      <c r="Q1041" s="7" t="n"/>
      <c r="R1041" s="7" t="n"/>
      <c r="S1041" s="7" t="n"/>
      <c r="T1041" s="7" t="n"/>
      <c r="U1041" s="7" t="n"/>
      <c r="V1041" s="7" t="n"/>
      <c r="W1041" s="7" t="n"/>
      <c r="X1041" s="7" t="n"/>
      <c r="Y1041" s="7" t="n"/>
      <c r="Z1041" s="7" t="n"/>
      <c r="AA1041" s="7" t="n"/>
      <c r="AB1041" s="7" t="n"/>
      <c r="AC1041" s="7" t="n"/>
      <c r="AD1041" s="28">
        <f>IF(COUNT(B1041:Z1041)&gt;0,COUNT(B1041:Z1041),IF(OR(ISNUMBER(AA1041),ISNUMBER(AB1041)),$B$9,""))</f>
        <v/>
      </c>
      <c r="AE1041" s="29">
        <f>IF(COUNT(B1041:Z1041)&gt;0,AVERAGE(B1041:Z1041),IF(ISNUMBER(AA1041),AA1041,""))</f>
        <v/>
      </c>
      <c r="AF1041" s="29">
        <f>IF(COUNT(B1041:Z1041)&gt;1,MAX(B1041:Z1041)-MIN(B1041:Z1041),IF(ISNUMBER(AB1041),AB1041,""))</f>
        <v/>
      </c>
      <c r="AG1041" s="29">
        <f>IF(COUNT(B1041:Z1041)&gt;1,_xlfn.STDEV.S(B1041:Z1041),IF(ISNUMBER(AC1041),AC1041,""))</f>
        <v/>
      </c>
      <c r="AH1041" s="13">
        <f>IF(AND(ISNUMBER(AE1041),ISNUMBER($B$23),ISNUMBER($D$23)),IF(AE1041&gt;$D$23,"boven UCL",IF(AE1041&lt;$B$23,"onder LCL","")),"")</f>
        <v/>
      </c>
      <c r="AI1041" s="13">
        <f>IF(AND(ISNUMBER(AF1041),ISNUMBER($B$24),ISNUMBER($D$24)),IF(AF1041&gt;$D$24,"boven UCL",IF(AF1041&lt;$B$24,"onder LCL","")),"")</f>
        <v/>
      </c>
      <c r="AJ1041" s="13">
        <f>IF(AND(ISNUMBER(AE1041),ISNUMBER($B$25),ISNUMBER($D$25)),IF(AE1041&gt;$D$25,"boven UCL",IF(AE1041&lt;$B$25,"onder LCL","")),"")</f>
        <v/>
      </c>
      <c r="AK1041" s="13">
        <f>IF(AND(ISNUMBER(AG1041),ISNUMBER($B$26),ISNUMBER($D$26)),IF(AG1041&gt;$D$26,"boven UCL",IF(AG1041&lt;$B$26,"onder LCL","")),"")</f>
        <v/>
      </c>
      <c r="AL1041" s="13">
        <f>IF(AND(COUNT(B1041:Z1041)&gt;0,COUNT(AA1041:AC1041)&gt;0),"ruwe waarden én getypt: getypte genegeerd",IF(COUNTA(B1041:Z1041,AA1041:AC1041)&gt;COUNT(B1041:Z1041,AA1041:AC1041),"tekst telt niet mee",IF(COUNT(B1041:Z1041)=1,"1 waarde: geen R of s","")))</f>
        <v/>
      </c>
    </row>
    <row r="1042">
      <c r="A1042" t="n">
        <v>991</v>
      </c>
      <c r="B1042" s="7" t="n"/>
      <c r="C1042" s="7" t="n"/>
      <c r="D1042" s="7" t="n"/>
      <c r="E1042" s="7" t="n"/>
      <c r="F1042" s="7" t="n"/>
      <c r="G1042" s="7" t="n"/>
      <c r="H1042" s="7" t="n"/>
      <c r="I1042" s="7" t="n"/>
      <c r="J1042" s="7" t="n"/>
      <c r="K1042" s="7" t="n"/>
      <c r="L1042" s="7" t="n"/>
      <c r="M1042" s="7" t="n"/>
      <c r="N1042" s="7" t="n"/>
      <c r="O1042" s="7" t="n"/>
      <c r="P1042" s="7" t="n"/>
      <c r="Q1042" s="7" t="n"/>
      <c r="R1042" s="7" t="n"/>
      <c r="S1042" s="7" t="n"/>
      <c r="T1042" s="7" t="n"/>
      <c r="U1042" s="7" t="n"/>
      <c r="V1042" s="7" t="n"/>
      <c r="W1042" s="7" t="n"/>
      <c r="X1042" s="7" t="n"/>
      <c r="Y1042" s="7" t="n"/>
      <c r="Z1042" s="7" t="n"/>
      <c r="AA1042" s="7" t="n"/>
      <c r="AB1042" s="7" t="n"/>
      <c r="AC1042" s="7" t="n"/>
      <c r="AD1042" s="28">
        <f>IF(COUNT(B1042:Z1042)&gt;0,COUNT(B1042:Z1042),IF(OR(ISNUMBER(AA1042),ISNUMBER(AB1042)),$B$9,""))</f>
        <v/>
      </c>
      <c r="AE1042" s="29">
        <f>IF(COUNT(B1042:Z1042)&gt;0,AVERAGE(B1042:Z1042),IF(ISNUMBER(AA1042),AA1042,""))</f>
        <v/>
      </c>
      <c r="AF1042" s="29">
        <f>IF(COUNT(B1042:Z1042)&gt;1,MAX(B1042:Z1042)-MIN(B1042:Z1042),IF(ISNUMBER(AB1042),AB1042,""))</f>
        <v/>
      </c>
      <c r="AG1042" s="29">
        <f>IF(COUNT(B1042:Z1042)&gt;1,_xlfn.STDEV.S(B1042:Z1042),IF(ISNUMBER(AC1042),AC1042,""))</f>
        <v/>
      </c>
      <c r="AH1042" s="13">
        <f>IF(AND(ISNUMBER(AE1042),ISNUMBER($B$23),ISNUMBER($D$23)),IF(AE1042&gt;$D$23,"boven UCL",IF(AE1042&lt;$B$23,"onder LCL","")),"")</f>
        <v/>
      </c>
      <c r="AI1042" s="13">
        <f>IF(AND(ISNUMBER(AF1042),ISNUMBER($B$24),ISNUMBER($D$24)),IF(AF1042&gt;$D$24,"boven UCL",IF(AF1042&lt;$B$24,"onder LCL","")),"")</f>
        <v/>
      </c>
      <c r="AJ1042" s="13">
        <f>IF(AND(ISNUMBER(AE1042),ISNUMBER($B$25),ISNUMBER($D$25)),IF(AE1042&gt;$D$25,"boven UCL",IF(AE1042&lt;$B$25,"onder LCL","")),"")</f>
        <v/>
      </c>
      <c r="AK1042" s="13">
        <f>IF(AND(ISNUMBER(AG1042),ISNUMBER($B$26),ISNUMBER($D$26)),IF(AG1042&gt;$D$26,"boven UCL",IF(AG1042&lt;$B$26,"onder LCL","")),"")</f>
        <v/>
      </c>
      <c r="AL1042" s="13">
        <f>IF(AND(COUNT(B1042:Z1042)&gt;0,COUNT(AA1042:AC1042)&gt;0),"ruwe waarden én getypt: getypte genegeerd",IF(COUNTA(B1042:Z1042,AA1042:AC1042)&gt;COUNT(B1042:Z1042,AA1042:AC1042),"tekst telt niet mee",IF(COUNT(B1042:Z1042)=1,"1 waarde: geen R of s","")))</f>
        <v/>
      </c>
    </row>
    <row r="1043">
      <c r="A1043" t="n">
        <v>992</v>
      </c>
      <c r="B1043" s="7" t="n"/>
      <c r="C1043" s="7" t="n"/>
      <c r="D1043" s="7" t="n"/>
      <c r="E1043" s="7" t="n"/>
      <c r="F1043" s="7" t="n"/>
      <c r="G1043" s="7" t="n"/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/>
      <c r="Q1043" s="7" t="n"/>
      <c r="R1043" s="7" t="n"/>
      <c r="S1043" s="7" t="n"/>
      <c r="T1043" s="7" t="n"/>
      <c r="U1043" s="7" t="n"/>
      <c r="V1043" s="7" t="n"/>
      <c r="W1043" s="7" t="n"/>
      <c r="X1043" s="7" t="n"/>
      <c r="Y1043" s="7" t="n"/>
      <c r="Z1043" s="7" t="n"/>
      <c r="AA1043" s="7" t="n"/>
      <c r="AB1043" s="7" t="n"/>
      <c r="AC1043" s="7" t="n"/>
      <c r="AD1043" s="28">
        <f>IF(COUNT(B1043:Z1043)&gt;0,COUNT(B1043:Z1043),IF(OR(ISNUMBER(AA1043),ISNUMBER(AB1043)),$B$9,""))</f>
        <v/>
      </c>
      <c r="AE1043" s="29">
        <f>IF(COUNT(B1043:Z1043)&gt;0,AVERAGE(B1043:Z1043),IF(ISNUMBER(AA1043),AA1043,""))</f>
        <v/>
      </c>
      <c r="AF1043" s="29">
        <f>IF(COUNT(B1043:Z1043)&gt;1,MAX(B1043:Z1043)-MIN(B1043:Z1043),IF(ISNUMBER(AB1043),AB1043,""))</f>
        <v/>
      </c>
      <c r="AG1043" s="29">
        <f>IF(COUNT(B1043:Z1043)&gt;1,_xlfn.STDEV.S(B1043:Z1043),IF(ISNUMBER(AC1043),AC1043,""))</f>
        <v/>
      </c>
      <c r="AH1043" s="13">
        <f>IF(AND(ISNUMBER(AE1043),ISNUMBER($B$23),ISNUMBER($D$23)),IF(AE1043&gt;$D$23,"boven UCL",IF(AE1043&lt;$B$23,"onder LCL","")),"")</f>
        <v/>
      </c>
      <c r="AI1043" s="13">
        <f>IF(AND(ISNUMBER(AF1043),ISNUMBER($B$24),ISNUMBER($D$24)),IF(AF1043&gt;$D$24,"boven UCL",IF(AF1043&lt;$B$24,"onder LCL","")),"")</f>
        <v/>
      </c>
      <c r="AJ1043" s="13">
        <f>IF(AND(ISNUMBER(AE1043),ISNUMBER($B$25),ISNUMBER($D$25)),IF(AE1043&gt;$D$25,"boven UCL",IF(AE1043&lt;$B$25,"onder LCL","")),"")</f>
        <v/>
      </c>
      <c r="AK1043" s="13">
        <f>IF(AND(ISNUMBER(AG1043),ISNUMBER($B$26),ISNUMBER($D$26)),IF(AG1043&gt;$D$26,"boven UCL",IF(AG1043&lt;$B$26,"onder LCL","")),"")</f>
        <v/>
      </c>
      <c r="AL1043" s="13">
        <f>IF(AND(COUNT(B1043:Z1043)&gt;0,COUNT(AA1043:AC1043)&gt;0),"ruwe waarden én getypt: getypte genegeerd",IF(COUNTA(B1043:Z1043,AA1043:AC1043)&gt;COUNT(B1043:Z1043,AA1043:AC1043),"tekst telt niet mee",IF(COUNT(B1043:Z1043)=1,"1 waarde: geen R of s","")))</f>
        <v/>
      </c>
    </row>
    <row r="1044">
      <c r="A1044" t="n">
        <v>993</v>
      </c>
      <c r="B1044" s="7" t="n"/>
      <c r="C1044" s="7" t="n"/>
      <c r="D1044" s="7" t="n"/>
      <c r="E1044" s="7" t="n"/>
      <c r="F1044" s="7" t="n"/>
      <c r="G1044" s="7" t="n"/>
      <c r="H1044" s="7" t="n"/>
      <c r="I1044" s="7" t="n"/>
      <c r="J1044" s="7" t="n"/>
      <c r="K1044" s="7" t="n"/>
      <c r="L1044" s="7" t="n"/>
      <c r="M1044" s="7" t="n"/>
      <c r="N1044" s="7" t="n"/>
      <c r="O1044" s="7" t="n"/>
      <c r="P1044" s="7" t="n"/>
      <c r="Q1044" s="7" t="n"/>
      <c r="R1044" s="7" t="n"/>
      <c r="S1044" s="7" t="n"/>
      <c r="T1044" s="7" t="n"/>
      <c r="U1044" s="7" t="n"/>
      <c r="V1044" s="7" t="n"/>
      <c r="W1044" s="7" t="n"/>
      <c r="X1044" s="7" t="n"/>
      <c r="Y1044" s="7" t="n"/>
      <c r="Z1044" s="7" t="n"/>
      <c r="AA1044" s="7" t="n"/>
      <c r="AB1044" s="7" t="n"/>
      <c r="AC1044" s="7" t="n"/>
      <c r="AD1044" s="28">
        <f>IF(COUNT(B1044:Z1044)&gt;0,COUNT(B1044:Z1044),IF(OR(ISNUMBER(AA1044),ISNUMBER(AB1044)),$B$9,""))</f>
        <v/>
      </c>
      <c r="AE1044" s="29">
        <f>IF(COUNT(B1044:Z1044)&gt;0,AVERAGE(B1044:Z1044),IF(ISNUMBER(AA1044),AA1044,""))</f>
        <v/>
      </c>
      <c r="AF1044" s="29">
        <f>IF(COUNT(B1044:Z1044)&gt;1,MAX(B1044:Z1044)-MIN(B1044:Z1044),IF(ISNUMBER(AB1044),AB1044,""))</f>
        <v/>
      </c>
      <c r="AG1044" s="29">
        <f>IF(COUNT(B1044:Z1044)&gt;1,_xlfn.STDEV.S(B1044:Z1044),IF(ISNUMBER(AC1044),AC1044,""))</f>
        <v/>
      </c>
      <c r="AH1044" s="13">
        <f>IF(AND(ISNUMBER(AE1044),ISNUMBER($B$23),ISNUMBER($D$23)),IF(AE1044&gt;$D$23,"boven UCL",IF(AE1044&lt;$B$23,"onder LCL","")),"")</f>
        <v/>
      </c>
      <c r="AI1044" s="13">
        <f>IF(AND(ISNUMBER(AF1044),ISNUMBER($B$24),ISNUMBER($D$24)),IF(AF1044&gt;$D$24,"boven UCL",IF(AF1044&lt;$B$24,"onder LCL","")),"")</f>
        <v/>
      </c>
      <c r="AJ1044" s="13">
        <f>IF(AND(ISNUMBER(AE1044),ISNUMBER($B$25),ISNUMBER($D$25)),IF(AE1044&gt;$D$25,"boven UCL",IF(AE1044&lt;$B$25,"onder LCL","")),"")</f>
        <v/>
      </c>
      <c r="AK1044" s="13">
        <f>IF(AND(ISNUMBER(AG1044),ISNUMBER($B$26),ISNUMBER($D$26)),IF(AG1044&gt;$D$26,"boven UCL",IF(AG1044&lt;$B$26,"onder LCL","")),"")</f>
        <v/>
      </c>
      <c r="AL1044" s="13">
        <f>IF(AND(COUNT(B1044:Z1044)&gt;0,COUNT(AA1044:AC1044)&gt;0),"ruwe waarden én getypt: getypte genegeerd",IF(COUNTA(B1044:Z1044,AA1044:AC1044)&gt;COUNT(B1044:Z1044,AA1044:AC1044),"tekst telt niet mee",IF(COUNT(B1044:Z1044)=1,"1 waarde: geen R of s","")))</f>
        <v/>
      </c>
    </row>
    <row r="1045">
      <c r="A1045" t="n">
        <v>994</v>
      </c>
      <c r="B1045" s="7" t="n"/>
      <c r="C1045" s="7" t="n"/>
      <c r="D1045" s="7" t="n"/>
      <c r="E1045" s="7" t="n"/>
      <c r="F1045" s="7" t="n"/>
      <c r="G1045" s="7" t="n"/>
      <c r="H1045" s="7" t="n"/>
      <c r="I1045" s="7" t="n"/>
      <c r="J1045" s="7" t="n"/>
      <c r="K1045" s="7" t="n"/>
      <c r="L1045" s="7" t="n"/>
      <c r="M1045" s="7" t="n"/>
      <c r="N1045" s="7" t="n"/>
      <c r="O1045" s="7" t="n"/>
      <c r="P1045" s="7" t="n"/>
      <c r="Q1045" s="7" t="n"/>
      <c r="R1045" s="7" t="n"/>
      <c r="S1045" s="7" t="n"/>
      <c r="T1045" s="7" t="n"/>
      <c r="U1045" s="7" t="n"/>
      <c r="V1045" s="7" t="n"/>
      <c r="W1045" s="7" t="n"/>
      <c r="X1045" s="7" t="n"/>
      <c r="Y1045" s="7" t="n"/>
      <c r="Z1045" s="7" t="n"/>
      <c r="AA1045" s="7" t="n"/>
      <c r="AB1045" s="7" t="n"/>
      <c r="AC1045" s="7" t="n"/>
      <c r="AD1045" s="28">
        <f>IF(COUNT(B1045:Z1045)&gt;0,COUNT(B1045:Z1045),IF(OR(ISNUMBER(AA1045),ISNUMBER(AB1045)),$B$9,""))</f>
        <v/>
      </c>
      <c r="AE1045" s="29">
        <f>IF(COUNT(B1045:Z1045)&gt;0,AVERAGE(B1045:Z1045),IF(ISNUMBER(AA1045),AA1045,""))</f>
        <v/>
      </c>
      <c r="AF1045" s="29">
        <f>IF(COUNT(B1045:Z1045)&gt;1,MAX(B1045:Z1045)-MIN(B1045:Z1045),IF(ISNUMBER(AB1045),AB1045,""))</f>
        <v/>
      </c>
      <c r="AG1045" s="29">
        <f>IF(COUNT(B1045:Z1045)&gt;1,_xlfn.STDEV.S(B1045:Z1045),IF(ISNUMBER(AC1045),AC1045,""))</f>
        <v/>
      </c>
      <c r="AH1045" s="13">
        <f>IF(AND(ISNUMBER(AE1045),ISNUMBER($B$23),ISNUMBER($D$23)),IF(AE1045&gt;$D$23,"boven UCL",IF(AE1045&lt;$B$23,"onder LCL","")),"")</f>
        <v/>
      </c>
      <c r="AI1045" s="13">
        <f>IF(AND(ISNUMBER(AF1045),ISNUMBER($B$24),ISNUMBER($D$24)),IF(AF1045&gt;$D$24,"boven UCL",IF(AF1045&lt;$B$24,"onder LCL","")),"")</f>
        <v/>
      </c>
      <c r="AJ1045" s="13">
        <f>IF(AND(ISNUMBER(AE1045),ISNUMBER($B$25),ISNUMBER($D$25)),IF(AE1045&gt;$D$25,"boven UCL",IF(AE1045&lt;$B$25,"onder LCL","")),"")</f>
        <v/>
      </c>
      <c r="AK1045" s="13">
        <f>IF(AND(ISNUMBER(AG1045),ISNUMBER($B$26),ISNUMBER($D$26)),IF(AG1045&gt;$D$26,"boven UCL",IF(AG1045&lt;$B$26,"onder LCL","")),"")</f>
        <v/>
      </c>
      <c r="AL1045" s="13">
        <f>IF(AND(COUNT(B1045:Z1045)&gt;0,COUNT(AA1045:AC1045)&gt;0),"ruwe waarden én getypt: getypte genegeerd",IF(COUNTA(B1045:Z1045,AA1045:AC1045)&gt;COUNT(B1045:Z1045,AA1045:AC1045),"tekst telt niet mee",IF(COUNT(B1045:Z1045)=1,"1 waarde: geen R of s","")))</f>
        <v/>
      </c>
    </row>
    <row r="1046">
      <c r="A1046" t="n">
        <v>995</v>
      </c>
      <c r="B1046" s="7" t="n"/>
      <c r="C1046" s="7" t="n"/>
      <c r="D1046" s="7" t="n"/>
      <c r="E1046" s="7" t="n"/>
      <c r="F1046" s="7" t="n"/>
      <c r="G1046" s="7" t="n"/>
      <c r="H1046" s="7" t="n"/>
      <c r="I1046" s="7" t="n"/>
      <c r="J1046" s="7" t="n"/>
      <c r="K1046" s="7" t="n"/>
      <c r="L1046" s="7" t="n"/>
      <c r="M1046" s="7" t="n"/>
      <c r="N1046" s="7" t="n"/>
      <c r="O1046" s="7" t="n"/>
      <c r="P1046" s="7" t="n"/>
      <c r="Q1046" s="7" t="n"/>
      <c r="R1046" s="7" t="n"/>
      <c r="S1046" s="7" t="n"/>
      <c r="T1046" s="7" t="n"/>
      <c r="U1046" s="7" t="n"/>
      <c r="V1046" s="7" t="n"/>
      <c r="W1046" s="7" t="n"/>
      <c r="X1046" s="7" t="n"/>
      <c r="Y1046" s="7" t="n"/>
      <c r="Z1046" s="7" t="n"/>
      <c r="AA1046" s="7" t="n"/>
      <c r="AB1046" s="7" t="n"/>
      <c r="AC1046" s="7" t="n"/>
      <c r="AD1046" s="28">
        <f>IF(COUNT(B1046:Z1046)&gt;0,COUNT(B1046:Z1046),IF(OR(ISNUMBER(AA1046),ISNUMBER(AB1046)),$B$9,""))</f>
        <v/>
      </c>
      <c r="AE1046" s="29">
        <f>IF(COUNT(B1046:Z1046)&gt;0,AVERAGE(B1046:Z1046),IF(ISNUMBER(AA1046),AA1046,""))</f>
        <v/>
      </c>
      <c r="AF1046" s="29">
        <f>IF(COUNT(B1046:Z1046)&gt;1,MAX(B1046:Z1046)-MIN(B1046:Z1046),IF(ISNUMBER(AB1046),AB1046,""))</f>
        <v/>
      </c>
      <c r="AG1046" s="29">
        <f>IF(COUNT(B1046:Z1046)&gt;1,_xlfn.STDEV.S(B1046:Z1046),IF(ISNUMBER(AC1046),AC1046,""))</f>
        <v/>
      </c>
      <c r="AH1046" s="13">
        <f>IF(AND(ISNUMBER(AE1046),ISNUMBER($B$23),ISNUMBER($D$23)),IF(AE1046&gt;$D$23,"boven UCL",IF(AE1046&lt;$B$23,"onder LCL","")),"")</f>
        <v/>
      </c>
      <c r="AI1046" s="13">
        <f>IF(AND(ISNUMBER(AF1046),ISNUMBER($B$24),ISNUMBER($D$24)),IF(AF1046&gt;$D$24,"boven UCL",IF(AF1046&lt;$B$24,"onder LCL","")),"")</f>
        <v/>
      </c>
      <c r="AJ1046" s="13">
        <f>IF(AND(ISNUMBER(AE1046),ISNUMBER($B$25),ISNUMBER($D$25)),IF(AE1046&gt;$D$25,"boven UCL",IF(AE1046&lt;$B$25,"onder LCL","")),"")</f>
        <v/>
      </c>
      <c r="AK1046" s="13">
        <f>IF(AND(ISNUMBER(AG1046),ISNUMBER($B$26),ISNUMBER($D$26)),IF(AG1046&gt;$D$26,"boven UCL",IF(AG1046&lt;$B$26,"onder LCL","")),"")</f>
        <v/>
      </c>
      <c r="AL1046" s="13">
        <f>IF(AND(COUNT(B1046:Z1046)&gt;0,COUNT(AA1046:AC1046)&gt;0),"ruwe waarden én getypt: getypte genegeerd",IF(COUNTA(B1046:Z1046,AA1046:AC1046)&gt;COUNT(B1046:Z1046,AA1046:AC1046),"tekst telt niet mee",IF(COUNT(B1046:Z1046)=1,"1 waarde: geen R of s","")))</f>
        <v/>
      </c>
    </row>
    <row r="1047">
      <c r="A1047" t="n">
        <v>996</v>
      </c>
      <c r="B1047" s="7" t="n"/>
      <c r="C1047" s="7" t="n"/>
      <c r="D1047" s="7" t="n"/>
      <c r="E1047" s="7" t="n"/>
      <c r="F1047" s="7" t="n"/>
      <c r="G1047" s="7" t="n"/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/>
      <c r="Q1047" s="7" t="n"/>
      <c r="R1047" s="7" t="n"/>
      <c r="S1047" s="7" t="n"/>
      <c r="T1047" s="7" t="n"/>
      <c r="U1047" s="7" t="n"/>
      <c r="V1047" s="7" t="n"/>
      <c r="W1047" s="7" t="n"/>
      <c r="X1047" s="7" t="n"/>
      <c r="Y1047" s="7" t="n"/>
      <c r="Z1047" s="7" t="n"/>
      <c r="AA1047" s="7" t="n"/>
      <c r="AB1047" s="7" t="n"/>
      <c r="AC1047" s="7" t="n"/>
      <c r="AD1047" s="28">
        <f>IF(COUNT(B1047:Z1047)&gt;0,COUNT(B1047:Z1047),IF(OR(ISNUMBER(AA1047),ISNUMBER(AB1047)),$B$9,""))</f>
        <v/>
      </c>
      <c r="AE1047" s="29">
        <f>IF(COUNT(B1047:Z1047)&gt;0,AVERAGE(B1047:Z1047),IF(ISNUMBER(AA1047),AA1047,""))</f>
        <v/>
      </c>
      <c r="AF1047" s="29">
        <f>IF(COUNT(B1047:Z1047)&gt;1,MAX(B1047:Z1047)-MIN(B1047:Z1047),IF(ISNUMBER(AB1047),AB1047,""))</f>
        <v/>
      </c>
      <c r="AG1047" s="29">
        <f>IF(COUNT(B1047:Z1047)&gt;1,_xlfn.STDEV.S(B1047:Z1047),IF(ISNUMBER(AC1047),AC1047,""))</f>
        <v/>
      </c>
      <c r="AH1047" s="13">
        <f>IF(AND(ISNUMBER(AE1047),ISNUMBER($B$23),ISNUMBER($D$23)),IF(AE1047&gt;$D$23,"boven UCL",IF(AE1047&lt;$B$23,"onder LCL","")),"")</f>
        <v/>
      </c>
      <c r="AI1047" s="13">
        <f>IF(AND(ISNUMBER(AF1047),ISNUMBER($B$24),ISNUMBER($D$24)),IF(AF1047&gt;$D$24,"boven UCL",IF(AF1047&lt;$B$24,"onder LCL","")),"")</f>
        <v/>
      </c>
      <c r="AJ1047" s="13">
        <f>IF(AND(ISNUMBER(AE1047),ISNUMBER($B$25),ISNUMBER($D$25)),IF(AE1047&gt;$D$25,"boven UCL",IF(AE1047&lt;$B$25,"onder LCL","")),"")</f>
        <v/>
      </c>
      <c r="AK1047" s="13">
        <f>IF(AND(ISNUMBER(AG1047),ISNUMBER($B$26),ISNUMBER($D$26)),IF(AG1047&gt;$D$26,"boven UCL",IF(AG1047&lt;$B$26,"onder LCL","")),"")</f>
        <v/>
      </c>
      <c r="AL1047" s="13">
        <f>IF(AND(COUNT(B1047:Z1047)&gt;0,COUNT(AA1047:AC1047)&gt;0),"ruwe waarden én getypt: getypte genegeerd",IF(COUNTA(B1047:Z1047,AA1047:AC1047)&gt;COUNT(B1047:Z1047,AA1047:AC1047),"tekst telt niet mee",IF(COUNT(B1047:Z1047)=1,"1 waarde: geen R of s","")))</f>
        <v/>
      </c>
    </row>
    <row r="1048">
      <c r="A1048" t="n">
        <v>997</v>
      </c>
      <c r="B1048" s="7" t="n"/>
      <c r="C1048" s="7" t="n"/>
      <c r="D1048" s="7" t="n"/>
      <c r="E1048" s="7" t="n"/>
      <c r="F1048" s="7" t="n"/>
      <c r="G1048" s="7" t="n"/>
      <c r="H1048" s="7" t="n"/>
      <c r="I1048" s="7" t="n"/>
      <c r="J1048" s="7" t="n"/>
      <c r="K1048" s="7" t="n"/>
      <c r="L1048" s="7" t="n"/>
      <c r="M1048" s="7" t="n"/>
      <c r="N1048" s="7" t="n"/>
      <c r="O1048" s="7" t="n"/>
      <c r="P1048" s="7" t="n"/>
      <c r="Q1048" s="7" t="n"/>
      <c r="R1048" s="7" t="n"/>
      <c r="S1048" s="7" t="n"/>
      <c r="T1048" s="7" t="n"/>
      <c r="U1048" s="7" t="n"/>
      <c r="V1048" s="7" t="n"/>
      <c r="W1048" s="7" t="n"/>
      <c r="X1048" s="7" t="n"/>
      <c r="Y1048" s="7" t="n"/>
      <c r="Z1048" s="7" t="n"/>
      <c r="AA1048" s="7" t="n"/>
      <c r="AB1048" s="7" t="n"/>
      <c r="AC1048" s="7" t="n"/>
      <c r="AD1048" s="28">
        <f>IF(COUNT(B1048:Z1048)&gt;0,COUNT(B1048:Z1048),IF(OR(ISNUMBER(AA1048),ISNUMBER(AB1048)),$B$9,""))</f>
        <v/>
      </c>
      <c r="AE1048" s="29">
        <f>IF(COUNT(B1048:Z1048)&gt;0,AVERAGE(B1048:Z1048),IF(ISNUMBER(AA1048),AA1048,""))</f>
        <v/>
      </c>
      <c r="AF1048" s="29">
        <f>IF(COUNT(B1048:Z1048)&gt;1,MAX(B1048:Z1048)-MIN(B1048:Z1048),IF(ISNUMBER(AB1048),AB1048,""))</f>
        <v/>
      </c>
      <c r="AG1048" s="29">
        <f>IF(COUNT(B1048:Z1048)&gt;1,_xlfn.STDEV.S(B1048:Z1048),IF(ISNUMBER(AC1048),AC1048,""))</f>
        <v/>
      </c>
      <c r="AH1048" s="13">
        <f>IF(AND(ISNUMBER(AE1048),ISNUMBER($B$23),ISNUMBER($D$23)),IF(AE1048&gt;$D$23,"boven UCL",IF(AE1048&lt;$B$23,"onder LCL","")),"")</f>
        <v/>
      </c>
      <c r="AI1048" s="13">
        <f>IF(AND(ISNUMBER(AF1048),ISNUMBER($B$24),ISNUMBER($D$24)),IF(AF1048&gt;$D$24,"boven UCL",IF(AF1048&lt;$B$24,"onder LCL","")),"")</f>
        <v/>
      </c>
      <c r="AJ1048" s="13">
        <f>IF(AND(ISNUMBER(AE1048),ISNUMBER($B$25),ISNUMBER($D$25)),IF(AE1048&gt;$D$25,"boven UCL",IF(AE1048&lt;$B$25,"onder LCL","")),"")</f>
        <v/>
      </c>
      <c r="AK1048" s="13">
        <f>IF(AND(ISNUMBER(AG1048),ISNUMBER($B$26),ISNUMBER($D$26)),IF(AG1048&gt;$D$26,"boven UCL",IF(AG1048&lt;$B$26,"onder LCL","")),"")</f>
        <v/>
      </c>
      <c r="AL1048" s="13">
        <f>IF(AND(COUNT(B1048:Z1048)&gt;0,COUNT(AA1048:AC1048)&gt;0),"ruwe waarden én getypt: getypte genegeerd",IF(COUNTA(B1048:Z1048,AA1048:AC1048)&gt;COUNT(B1048:Z1048,AA1048:AC1048),"tekst telt niet mee",IF(COUNT(B1048:Z1048)=1,"1 waarde: geen R of s","")))</f>
        <v/>
      </c>
    </row>
    <row r="1049">
      <c r="A1049" t="n">
        <v>998</v>
      </c>
      <c r="B1049" s="7" t="n"/>
      <c r="C1049" s="7" t="n"/>
      <c r="D1049" s="7" t="n"/>
      <c r="E1049" s="7" t="n"/>
      <c r="F1049" s="7" t="n"/>
      <c r="G1049" s="7" t="n"/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/>
      <c r="Q1049" s="7" t="n"/>
      <c r="R1049" s="7" t="n"/>
      <c r="S1049" s="7" t="n"/>
      <c r="T1049" s="7" t="n"/>
      <c r="U1049" s="7" t="n"/>
      <c r="V1049" s="7" t="n"/>
      <c r="W1049" s="7" t="n"/>
      <c r="X1049" s="7" t="n"/>
      <c r="Y1049" s="7" t="n"/>
      <c r="Z1049" s="7" t="n"/>
      <c r="AA1049" s="7" t="n"/>
      <c r="AB1049" s="7" t="n"/>
      <c r="AC1049" s="7" t="n"/>
      <c r="AD1049" s="28">
        <f>IF(COUNT(B1049:Z1049)&gt;0,COUNT(B1049:Z1049),IF(OR(ISNUMBER(AA1049),ISNUMBER(AB1049)),$B$9,""))</f>
        <v/>
      </c>
      <c r="AE1049" s="29">
        <f>IF(COUNT(B1049:Z1049)&gt;0,AVERAGE(B1049:Z1049),IF(ISNUMBER(AA1049),AA1049,""))</f>
        <v/>
      </c>
      <c r="AF1049" s="29">
        <f>IF(COUNT(B1049:Z1049)&gt;1,MAX(B1049:Z1049)-MIN(B1049:Z1049),IF(ISNUMBER(AB1049),AB1049,""))</f>
        <v/>
      </c>
      <c r="AG1049" s="29">
        <f>IF(COUNT(B1049:Z1049)&gt;1,_xlfn.STDEV.S(B1049:Z1049),IF(ISNUMBER(AC1049),AC1049,""))</f>
        <v/>
      </c>
      <c r="AH1049" s="13">
        <f>IF(AND(ISNUMBER(AE1049),ISNUMBER($B$23),ISNUMBER($D$23)),IF(AE1049&gt;$D$23,"boven UCL",IF(AE1049&lt;$B$23,"onder LCL","")),"")</f>
        <v/>
      </c>
      <c r="AI1049" s="13">
        <f>IF(AND(ISNUMBER(AF1049),ISNUMBER($B$24),ISNUMBER($D$24)),IF(AF1049&gt;$D$24,"boven UCL",IF(AF1049&lt;$B$24,"onder LCL","")),"")</f>
        <v/>
      </c>
      <c r="AJ1049" s="13">
        <f>IF(AND(ISNUMBER(AE1049),ISNUMBER($B$25),ISNUMBER($D$25)),IF(AE1049&gt;$D$25,"boven UCL",IF(AE1049&lt;$B$25,"onder LCL","")),"")</f>
        <v/>
      </c>
      <c r="AK1049" s="13">
        <f>IF(AND(ISNUMBER(AG1049),ISNUMBER($B$26),ISNUMBER($D$26)),IF(AG1049&gt;$D$26,"boven UCL",IF(AG1049&lt;$B$26,"onder LCL","")),"")</f>
        <v/>
      </c>
      <c r="AL1049" s="13">
        <f>IF(AND(COUNT(B1049:Z1049)&gt;0,COUNT(AA1049:AC1049)&gt;0),"ruwe waarden én getypt: getypte genegeerd",IF(COUNTA(B1049:Z1049,AA1049:AC1049)&gt;COUNT(B1049:Z1049,AA1049:AC1049),"tekst telt niet mee",IF(COUNT(B1049:Z1049)=1,"1 waarde: geen R of s","")))</f>
        <v/>
      </c>
    </row>
    <row r="1050">
      <c r="A1050" t="n">
        <v>999</v>
      </c>
      <c r="B1050" s="7" t="n"/>
      <c r="C1050" s="7" t="n"/>
      <c r="D1050" s="7" t="n"/>
      <c r="E1050" s="7" t="n"/>
      <c r="F1050" s="7" t="n"/>
      <c r="G1050" s="7" t="n"/>
      <c r="H1050" s="7" t="n"/>
      <c r="I1050" s="7" t="n"/>
      <c r="J1050" s="7" t="n"/>
      <c r="K1050" s="7" t="n"/>
      <c r="L1050" s="7" t="n"/>
      <c r="M1050" s="7" t="n"/>
      <c r="N1050" s="7" t="n"/>
      <c r="O1050" s="7" t="n"/>
      <c r="P1050" s="7" t="n"/>
      <c r="Q1050" s="7" t="n"/>
      <c r="R1050" s="7" t="n"/>
      <c r="S1050" s="7" t="n"/>
      <c r="T1050" s="7" t="n"/>
      <c r="U1050" s="7" t="n"/>
      <c r="V1050" s="7" t="n"/>
      <c r="W1050" s="7" t="n"/>
      <c r="X1050" s="7" t="n"/>
      <c r="Y1050" s="7" t="n"/>
      <c r="Z1050" s="7" t="n"/>
      <c r="AA1050" s="7" t="n"/>
      <c r="AB1050" s="7" t="n"/>
      <c r="AC1050" s="7" t="n"/>
      <c r="AD1050" s="28">
        <f>IF(COUNT(B1050:Z1050)&gt;0,COUNT(B1050:Z1050),IF(OR(ISNUMBER(AA1050),ISNUMBER(AB1050)),$B$9,""))</f>
        <v/>
      </c>
      <c r="AE1050" s="29">
        <f>IF(COUNT(B1050:Z1050)&gt;0,AVERAGE(B1050:Z1050),IF(ISNUMBER(AA1050),AA1050,""))</f>
        <v/>
      </c>
      <c r="AF1050" s="29">
        <f>IF(COUNT(B1050:Z1050)&gt;1,MAX(B1050:Z1050)-MIN(B1050:Z1050),IF(ISNUMBER(AB1050),AB1050,""))</f>
        <v/>
      </c>
      <c r="AG1050" s="29">
        <f>IF(COUNT(B1050:Z1050)&gt;1,_xlfn.STDEV.S(B1050:Z1050),IF(ISNUMBER(AC1050),AC1050,""))</f>
        <v/>
      </c>
      <c r="AH1050" s="13">
        <f>IF(AND(ISNUMBER(AE1050),ISNUMBER($B$23),ISNUMBER($D$23)),IF(AE1050&gt;$D$23,"boven UCL",IF(AE1050&lt;$B$23,"onder LCL","")),"")</f>
        <v/>
      </c>
      <c r="AI1050" s="13">
        <f>IF(AND(ISNUMBER(AF1050),ISNUMBER($B$24),ISNUMBER($D$24)),IF(AF1050&gt;$D$24,"boven UCL",IF(AF1050&lt;$B$24,"onder LCL","")),"")</f>
        <v/>
      </c>
      <c r="AJ1050" s="13">
        <f>IF(AND(ISNUMBER(AE1050),ISNUMBER($B$25),ISNUMBER($D$25)),IF(AE1050&gt;$D$25,"boven UCL",IF(AE1050&lt;$B$25,"onder LCL","")),"")</f>
        <v/>
      </c>
      <c r="AK1050" s="13">
        <f>IF(AND(ISNUMBER(AG1050),ISNUMBER($B$26),ISNUMBER($D$26)),IF(AG1050&gt;$D$26,"boven UCL",IF(AG1050&lt;$B$26,"onder LCL","")),"")</f>
        <v/>
      </c>
      <c r="AL1050" s="13">
        <f>IF(AND(COUNT(B1050:Z1050)&gt;0,COUNT(AA1050:AC1050)&gt;0),"ruwe waarden én getypt: getypte genegeerd",IF(COUNTA(B1050:Z1050,AA1050:AC1050)&gt;COUNT(B1050:Z1050,AA1050:AC1050),"tekst telt niet mee",IF(COUNT(B1050:Z1050)=1,"1 waarde: geen R of s","")))</f>
        <v/>
      </c>
    </row>
    <row r="1051">
      <c r="A1051" t="n">
        <v>1000</v>
      </c>
      <c r="B1051" s="7" t="n"/>
      <c r="C1051" s="7" t="n"/>
      <c r="D1051" s="7" t="n"/>
      <c r="E1051" s="7" t="n"/>
      <c r="F1051" s="7" t="n"/>
      <c r="G1051" s="7" t="n"/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/>
      <c r="Q1051" s="7" t="n"/>
      <c r="R1051" s="7" t="n"/>
      <c r="S1051" s="7" t="n"/>
      <c r="T1051" s="7" t="n"/>
      <c r="U1051" s="7" t="n"/>
      <c r="V1051" s="7" t="n"/>
      <c r="W1051" s="7" t="n"/>
      <c r="X1051" s="7" t="n"/>
      <c r="Y1051" s="7" t="n"/>
      <c r="Z1051" s="7" t="n"/>
      <c r="AA1051" s="7" t="n"/>
      <c r="AB1051" s="7" t="n"/>
      <c r="AC1051" s="7" t="n"/>
      <c r="AD1051" s="28">
        <f>IF(COUNT(B1051:Z1051)&gt;0,COUNT(B1051:Z1051),IF(OR(ISNUMBER(AA1051),ISNUMBER(AB1051)),$B$9,""))</f>
        <v/>
      </c>
      <c r="AE1051" s="29">
        <f>IF(COUNT(B1051:Z1051)&gt;0,AVERAGE(B1051:Z1051),IF(ISNUMBER(AA1051),AA1051,""))</f>
        <v/>
      </c>
      <c r="AF1051" s="29">
        <f>IF(COUNT(B1051:Z1051)&gt;1,MAX(B1051:Z1051)-MIN(B1051:Z1051),IF(ISNUMBER(AB1051),AB1051,""))</f>
        <v/>
      </c>
      <c r="AG1051" s="29">
        <f>IF(COUNT(B1051:Z1051)&gt;1,_xlfn.STDEV.S(B1051:Z1051),IF(ISNUMBER(AC1051),AC1051,""))</f>
        <v/>
      </c>
      <c r="AH1051" s="13">
        <f>IF(AND(ISNUMBER(AE1051),ISNUMBER($B$23),ISNUMBER($D$23)),IF(AE1051&gt;$D$23,"boven UCL",IF(AE1051&lt;$B$23,"onder LCL","")),"")</f>
        <v/>
      </c>
      <c r="AI1051" s="13">
        <f>IF(AND(ISNUMBER(AF1051),ISNUMBER($B$24),ISNUMBER($D$24)),IF(AF1051&gt;$D$24,"boven UCL",IF(AF1051&lt;$B$24,"onder LCL","")),"")</f>
        <v/>
      </c>
      <c r="AJ1051" s="13">
        <f>IF(AND(ISNUMBER(AE1051),ISNUMBER($B$25),ISNUMBER($D$25)),IF(AE1051&gt;$D$25,"boven UCL",IF(AE1051&lt;$B$25,"onder LCL","")),"")</f>
        <v/>
      </c>
      <c r="AK1051" s="13">
        <f>IF(AND(ISNUMBER(AG1051),ISNUMBER($B$26),ISNUMBER($D$26)),IF(AG1051&gt;$D$26,"boven UCL",IF(AG1051&lt;$B$26,"onder LCL","")),"")</f>
        <v/>
      </c>
      <c r="AL1051" s="13">
        <f>IF(AND(COUNT(B1051:Z1051)&gt;0,COUNT(AA1051:AC1051)&gt;0),"ruwe waarden én getypt: getypte genegeerd",IF(COUNTA(B1051:Z1051,AA1051:AC1051)&gt;COUNT(B1051:Z1051,AA1051:AC1051),"tekst telt niet mee",IF(COUNT(B1051:Z1051)=1,"1 waarde: geen R of s","")))</f>
        <v/>
      </c>
    </row>
  </sheetData>
  <dataValidations count="1">
    <dataValidation sqref="B9" showDropDown="0" showInputMessage="0" showErrorMessage="1" allowBlank="1" errorTitle="Subgroepgrootte" error="n is een geheel getal van 2 tot 25." type="whole" operator="between">
      <formula1>2</formula1>
      <formula2>25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C1120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4" customWidth="1" min="52" max="52"/>
    <col width="14" customWidth="1" min="53" max="53"/>
    <col width="14" customWidth="1" min="54" max="54"/>
    <col width="14" customWidth="1" min="55" max="55"/>
  </cols>
  <sheetData>
    <row r="1">
      <c r="A1" s="1" t="inlineStr">
        <is>
          <t>Gage R&amp;R: gemiddelde-en-spreidingsbreedtemethode (average and range method) en ANOVA-methode (EV, AV, PV, GRR, TV, %GRR)</t>
        </is>
      </c>
    </row>
    <row r="2">
      <c r="A2" s="2" t="inlineStr">
        <is>
          <t>Bron in de cursus</t>
        </is>
      </c>
      <c r="B2" s="3" t="inlineStr">
        <is>
          <t>source/course/Les 5/20260619_ottoy_Black Belt in Six Sigma - Measurement System Analysis.pdf p. 18, 24, 34-38; 20260619_ottoy_tabel MSA.pdf; 20260619_ottoy_GRR - ANOVA - avegage and range - 2.xlsx</t>
        </is>
      </c>
    </row>
    <row r="3">
      <c r="A3" s="2" t="inlineStr">
        <is>
          <t>Gebruikte conventie</t>
        </is>
      </c>
      <c r="B3" s="3" t="inlineStr">
        <is>
          <t>Beslissing 11: vermenigvuldigingsfactor (multiplier) 6; %GRR t.o.v. totale variatie en tolerantie; ANOVA van de cursus = model zonder interactie (interactie ook getoond); constanten uit tabel MSA.pdf; ndc niet in de cursus.</t>
        </is>
      </c>
    </row>
    <row r="4">
      <c r="A4" s="2" t="inlineStr">
        <is>
          <t>Status</t>
        </is>
      </c>
      <c r="B4" s="4" t="inlineStr">
        <is>
          <t>GEVERIFIEERD (VERIFIED): getest tegen de uitgewerkte cursusvoorbeelden (worked examples) S10-WE02 (ANOVA) en S10-WE03 (gemiddelde-en-spreidingsbreedtemethode) op de eigen studiedata van de cursus</t>
        </is>
      </c>
    </row>
    <row r="5">
      <c r="A5" s="2" t="inlineStr">
        <is>
          <t>Legende</t>
        </is>
      </c>
      <c r="B5" s="3" t="inlineStr">
        <is>
          <t>Gele cel = vul hier in (invoer).  Groene cel = resultaat, niet overtypen.  Oranje cel (Tabellen) = verschilt van een andere gedrukte bron.</t>
        </is>
      </c>
    </row>
    <row r="6">
      <c r="A6" s="2" t="inlineStr">
        <is>
          <t>Controle</t>
        </is>
      </c>
      <c r="B6" s="3" t="inlineStr">
        <is>
          <t>Blijft een groene cel leeg, dan ontbreekt nog een invoer die ze nodig heeft.</t>
        </is>
      </c>
    </row>
    <row r="8">
      <c r="A8" s="5" t="inlineStr">
        <is>
          <t>1. Instellingen</t>
        </is>
      </c>
    </row>
    <row r="9">
      <c r="A9" s="6" t="inlineStr">
        <is>
          <t>Tolerantie (tolerance) TOL = USL − LSL (optioneel)</t>
        </is>
      </c>
      <c r="B9" s="7" t="n"/>
      <c r="C9" s="8" t="inlineStr">
        <is>
          <t>voor %GRR t.o.v. de tolerantie</t>
        </is>
      </c>
    </row>
    <row r="10">
      <c r="A10" s="6" t="inlineStr">
        <is>
          <t>α voor de F-toetsen</t>
        </is>
      </c>
      <c r="B10" s="37" t="n">
        <v>0.05</v>
      </c>
      <c r="C10" s="8" t="inlineStr">
        <is>
          <t>de cursus heeft geen standaardwaarde; de meeste cursusvoorbeelden gebruiken 5 %</t>
        </is>
      </c>
    </row>
    <row r="12">
      <c r="A12" s="5" t="inlineStr">
        <is>
          <t>2. Zo vul je de studiedata in (blok onderaan, vanaf rij 121)</t>
        </is>
      </c>
      <c r="H12" s="38" t="inlineStr">
        <is>
          <t>→ naar de data (rij 121)</t>
        </is>
      </c>
    </row>
    <row r="13">
      <c r="A13" s="6" t="inlineStr">
        <is>
          <t>• Eén rij per meting van één operator in één herhaling (trial); één kolom per deel (part): deel 1 in kolom B, deel 2 in C, … tot deel 50 in kolom AY.</t>
        </is>
      </c>
    </row>
    <row r="14">
      <c r="A14" s="6" t="inlineStr">
        <is>
          <t>• Kolom A = naam van de operator (TEKST, bv. A, B, Jan). Typ ze op de eerste rij van elke operator; de rijen eronder zonder naam horen bij dezelfde operator. Een naam op elke rij mag ook.</t>
        </is>
      </c>
    </row>
    <row r="15">
      <c r="A15" s="6" t="inlineStr">
        <is>
          <t>• Kolommen B en verder: alleen GETALLEN. Houd de rijen van één operator bij elkaar (eerst alle herhalingen van operator A, dan B, …). Geen lege rij binnen een operator.</t>
        </is>
      </c>
    </row>
    <row r="16">
      <c r="A16" s="6" t="inlineStr">
        <is>
          <t>• Het blad telt zelf het aantal operators k (tot 20), delen n (tot 50) en herhalingen r (tot 1000 rijen samen). Sectie 3 zegt of de studie volledig is.</t>
        </is>
      </c>
    </row>
    <row r="17">
      <c r="A17" s="8" t="inlineStr">
        <is>
          <t>• Plak je uit een ander bestand: Plakken speciaal → Waarden. Leegmaken: selecteer het blok en druk Delete.</t>
        </is>
      </c>
    </row>
    <row r="19">
      <c r="A19" s="5" t="inlineStr">
        <is>
          <t>3. Omvang van de studie (afgeleid uit de data)</t>
        </is>
      </c>
      <c r="I19" s="20" t="inlineStr">
        <is>
          <t>Tabel d2* (tabel MSA.pdf): K1 = 1/d2 met m = r (onderste rij, g → ∞); K2 = 1/d2* met m = k, K3 = 1/d2* met m = n (rij g = 1)</t>
        </is>
      </c>
    </row>
    <row r="20">
      <c r="A20" s="6" t="inlineStr">
        <is>
          <t>k = aantal operators</t>
        </is>
      </c>
      <c r="B20" s="28">
        <f>IF(COUNT($BB$121:$BB$1120)&gt;0,MAX($BB$121:$BB$1120),0)</f>
        <v/>
      </c>
      <c r="I20" s="10" t="inlineStr">
        <is>
          <t>g \ m</t>
        </is>
      </c>
      <c r="J20" s="10" t="inlineStr">
        <is>
          <t>2</t>
        </is>
      </c>
      <c r="K20" s="10" t="inlineStr">
        <is>
          <t>3</t>
        </is>
      </c>
      <c r="L20" s="10" t="inlineStr">
        <is>
          <t>4</t>
        </is>
      </c>
      <c r="M20" s="10" t="inlineStr">
        <is>
          <t>5</t>
        </is>
      </c>
      <c r="N20" s="10" t="inlineStr">
        <is>
          <t>6</t>
        </is>
      </c>
      <c r="O20" s="10" t="inlineStr">
        <is>
          <t>7</t>
        </is>
      </c>
      <c r="P20" s="10" t="inlineStr">
        <is>
          <t>8</t>
        </is>
      </c>
      <c r="Q20" s="10" t="inlineStr">
        <is>
          <t>9</t>
        </is>
      </c>
      <c r="R20" s="10" t="inlineStr">
        <is>
          <t>10</t>
        </is>
      </c>
      <c r="S20" s="10" t="inlineStr">
        <is>
          <t>11</t>
        </is>
      </c>
      <c r="T20" s="10" t="inlineStr">
        <is>
          <t>12</t>
        </is>
      </c>
      <c r="U20" s="10" t="inlineStr">
        <is>
          <t>13</t>
        </is>
      </c>
      <c r="V20" s="10" t="inlineStr">
        <is>
          <t>14</t>
        </is>
      </c>
      <c r="W20" s="10" t="inlineStr">
        <is>
          <t>15</t>
        </is>
      </c>
      <c r="X20" s="10" t="inlineStr">
        <is>
          <t>16</t>
        </is>
      </c>
      <c r="Y20" s="10" t="inlineStr">
        <is>
          <t>17</t>
        </is>
      </c>
      <c r="Z20" s="10" t="inlineStr">
        <is>
          <t>18</t>
        </is>
      </c>
      <c r="AA20" s="10" t="inlineStr">
        <is>
          <t>19</t>
        </is>
      </c>
      <c r="AB20" s="10" t="inlineStr">
        <is>
          <t>20</t>
        </is>
      </c>
    </row>
    <row r="21">
      <c r="A21" s="6" t="inlineStr">
        <is>
          <t>n = aantal delen</t>
        </is>
      </c>
      <c r="B21" s="28">
        <f>COUNTIF(B116:AY116,"&gt;0")</f>
        <v/>
      </c>
      <c r="I21" s="19" t="n">
        <v>1</v>
      </c>
      <c r="J21" s="39">
        <f>INDEX(MSA_d2star,1,1)</f>
        <v/>
      </c>
      <c r="K21" s="39">
        <f>INDEX(MSA_d2star,1,2)</f>
        <v/>
      </c>
      <c r="L21" s="39">
        <f>INDEX(MSA_d2star,1,3)</f>
        <v/>
      </c>
      <c r="M21" s="39">
        <f>INDEX(MSA_d2star,1,4)</f>
        <v/>
      </c>
      <c r="N21" s="39">
        <f>INDEX(MSA_d2star,1,5)</f>
        <v/>
      </c>
      <c r="O21" s="39">
        <f>INDEX(MSA_d2star,1,6)</f>
        <v/>
      </c>
      <c r="P21" s="39">
        <f>INDEX(MSA_d2star,1,7)</f>
        <v/>
      </c>
      <c r="Q21" s="39">
        <f>INDEX(MSA_d2star,1,8)</f>
        <v/>
      </c>
      <c r="R21" s="39">
        <f>INDEX(MSA_d2star,1,9)</f>
        <v/>
      </c>
      <c r="S21" s="39">
        <f>INDEX(MSA_d2star,1,10)</f>
        <v/>
      </c>
      <c r="T21" s="39">
        <f>INDEX(MSA_d2star,1,11)</f>
        <v/>
      </c>
      <c r="U21" s="39">
        <f>INDEX(MSA_d2star,1,12)</f>
        <v/>
      </c>
      <c r="V21" s="39">
        <f>INDEX(MSA_d2star,1,13)</f>
        <v/>
      </c>
      <c r="W21" s="39">
        <f>INDEX(MSA_d2star,1,14)</f>
        <v/>
      </c>
      <c r="X21" s="39">
        <f>INDEX(MSA_d2star,1,15)</f>
        <v/>
      </c>
      <c r="Y21" s="39">
        <f>INDEX(MSA_d2star,1,16)</f>
        <v/>
      </c>
      <c r="Z21" s="39">
        <f>INDEX(MSA_d2star,1,17)</f>
        <v/>
      </c>
      <c r="AA21" s="39">
        <f>INDEX(MSA_d2star,1,18)</f>
        <v/>
      </c>
      <c r="AB21" s="39">
        <f>INDEX(MSA_d2star,1,19)</f>
        <v/>
      </c>
    </row>
    <row r="22">
      <c r="A22" s="6" t="inlineStr">
        <is>
          <t>r = aantal herhalingen (rijen per operator)</t>
        </is>
      </c>
      <c r="B22" s="28">
        <f>IF(B20=0,0,IF(MIN(BA74:BA93)=MAX(BA74:BA93),BA74,"NEE: niet elke operator heeft evenveel rijen"))</f>
        <v/>
      </c>
      <c r="I22" s="19" t="n">
        <v>2</v>
      </c>
      <c r="J22" s="39">
        <f>INDEX(MSA_d2star,2,1)</f>
        <v/>
      </c>
      <c r="K22" s="39">
        <f>INDEX(MSA_d2star,2,2)</f>
        <v/>
      </c>
      <c r="L22" s="39">
        <f>INDEX(MSA_d2star,2,3)</f>
        <v/>
      </c>
      <c r="M22" s="39">
        <f>INDEX(MSA_d2star,2,4)</f>
        <v/>
      </c>
      <c r="N22" s="39">
        <f>INDEX(MSA_d2star,2,5)</f>
        <v/>
      </c>
      <c r="O22" s="39">
        <f>INDEX(MSA_d2star,2,6)</f>
        <v/>
      </c>
      <c r="P22" s="39">
        <f>INDEX(MSA_d2star,2,7)</f>
        <v/>
      </c>
      <c r="Q22" s="39">
        <f>INDEX(MSA_d2star,2,8)</f>
        <v/>
      </c>
      <c r="R22" s="39">
        <f>INDEX(MSA_d2star,2,9)</f>
        <v/>
      </c>
      <c r="S22" s="39">
        <f>INDEX(MSA_d2star,2,10)</f>
        <v/>
      </c>
      <c r="T22" s="39">
        <f>INDEX(MSA_d2star,2,11)</f>
        <v/>
      </c>
      <c r="U22" s="39">
        <f>INDEX(MSA_d2star,2,12)</f>
        <v/>
      </c>
      <c r="V22" s="39">
        <f>INDEX(MSA_d2star,2,13)</f>
        <v/>
      </c>
      <c r="W22" s="39">
        <f>INDEX(MSA_d2star,2,14)</f>
        <v/>
      </c>
      <c r="X22" s="39">
        <f>INDEX(MSA_d2star,2,15)</f>
        <v/>
      </c>
      <c r="Y22" s="39">
        <f>INDEX(MSA_d2star,2,16)</f>
        <v/>
      </c>
      <c r="Z22" s="39">
        <f>INDEX(MSA_d2star,2,17)</f>
        <v/>
      </c>
      <c r="AA22" s="39">
        <f>INDEX(MSA_d2star,2,18)</f>
        <v/>
      </c>
      <c r="AB22" s="39">
        <f>INDEX(MSA_d2star,2,19)</f>
        <v/>
      </c>
    </row>
    <row r="23">
      <c r="A23" s="6" t="inlineStr">
        <is>
          <t>aantal metingen</t>
        </is>
      </c>
      <c r="B23" s="28">
        <f>COUNT($B$121:$AY$1120)</f>
        <v/>
      </c>
      <c r="I23" s="19" t="n">
        <v>3</v>
      </c>
      <c r="J23" s="39">
        <f>INDEX(MSA_d2star,3,1)</f>
        <v/>
      </c>
      <c r="K23" s="39">
        <f>INDEX(MSA_d2star,3,2)</f>
        <v/>
      </c>
      <c r="L23" s="39">
        <f>INDEX(MSA_d2star,3,3)</f>
        <v/>
      </c>
      <c r="M23" s="39">
        <f>INDEX(MSA_d2star,3,4)</f>
        <v/>
      </c>
      <c r="N23" s="39">
        <f>INDEX(MSA_d2star,3,5)</f>
        <v/>
      </c>
      <c r="O23" s="39">
        <f>INDEX(MSA_d2star,3,6)</f>
        <v/>
      </c>
      <c r="P23" s="39">
        <f>INDEX(MSA_d2star,3,7)</f>
        <v/>
      </c>
      <c r="Q23" s="39">
        <f>INDEX(MSA_d2star,3,8)</f>
        <v/>
      </c>
      <c r="R23" s="39">
        <f>INDEX(MSA_d2star,3,9)</f>
        <v/>
      </c>
      <c r="S23" s="39">
        <f>INDEX(MSA_d2star,3,10)</f>
        <v/>
      </c>
      <c r="T23" s="39">
        <f>INDEX(MSA_d2star,3,11)</f>
        <v/>
      </c>
      <c r="U23" s="39">
        <f>INDEX(MSA_d2star,3,12)</f>
        <v/>
      </c>
      <c r="V23" s="39">
        <f>INDEX(MSA_d2star,3,13)</f>
        <v/>
      </c>
      <c r="W23" s="39">
        <f>INDEX(MSA_d2star,3,14)</f>
        <v/>
      </c>
      <c r="X23" s="39">
        <f>INDEX(MSA_d2star,3,15)</f>
        <v/>
      </c>
      <c r="Y23" s="39">
        <f>INDEX(MSA_d2star,3,16)</f>
        <v/>
      </c>
      <c r="Z23" s="39">
        <f>INDEX(MSA_d2star,3,17)</f>
        <v/>
      </c>
      <c r="AA23" s="39">
        <f>INDEX(MSA_d2star,3,18)</f>
        <v/>
      </c>
      <c r="AB23" s="39">
        <f>INDEX(MSA_d2star,3,19)</f>
        <v/>
      </c>
    </row>
    <row r="24">
      <c r="A24" s="6" t="inlineStr">
        <is>
          <t>Rijen van elke operator bij elkaar?</t>
        </is>
      </c>
      <c r="B24" s="13">
        <f>IF(B20=0,"",IF(COUNTIF(BC74:BC93,"NEE")=0,"ja","NEE: zet alle rijen van één operator onder elkaar"))</f>
        <v/>
      </c>
      <c r="I24" s="19" t="n">
        <v>4</v>
      </c>
      <c r="J24" s="39">
        <f>INDEX(MSA_d2star,4,1)</f>
        <v/>
      </c>
      <c r="K24" s="39">
        <f>INDEX(MSA_d2star,4,2)</f>
        <v/>
      </c>
      <c r="L24" s="39">
        <f>INDEX(MSA_d2star,4,3)</f>
        <v/>
      </c>
      <c r="M24" s="39">
        <f>INDEX(MSA_d2star,4,4)</f>
        <v/>
      </c>
      <c r="N24" s="39">
        <f>INDEX(MSA_d2star,4,5)</f>
        <v/>
      </c>
      <c r="O24" s="39">
        <f>INDEX(MSA_d2star,4,6)</f>
        <v/>
      </c>
      <c r="P24" s="39">
        <f>INDEX(MSA_d2star,4,7)</f>
        <v/>
      </c>
      <c r="Q24" s="39">
        <f>INDEX(MSA_d2star,4,8)</f>
        <v/>
      </c>
      <c r="R24" s="39">
        <f>INDEX(MSA_d2star,4,9)</f>
        <v/>
      </c>
      <c r="S24" s="39">
        <f>INDEX(MSA_d2star,4,10)</f>
        <v/>
      </c>
      <c r="T24" s="39">
        <f>INDEX(MSA_d2star,4,11)</f>
        <v/>
      </c>
      <c r="U24" s="39">
        <f>INDEX(MSA_d2star,4,12)</f>
        <v/>
      </c>
      <c r="V24" s="39">
        <f>INDEX(MSA_d2star,4,13)</f>
        <v/>
      </c>
      <c r="W24" s="39">
        <f>INDEX(MSA_d2star,4,14)</f>
        <v/>
      </c>
      <c r="X24" s="39">
        <f>INDEX(MSA_d2star,4,15)</f>
        <v/>
      </c>
      <c r="Y24" s="39">
        <f>INDEX(MSA_d2star,4,16)</f>
        <v/>
      </c>
      <c r="Z24" s="39">
        <f>INDEX(MSA_d2star,4,17)</f>
        <v/>
      </c>
      <c r="AA24" s="39">
        <f>INDEX(MSA_d2star,4,18)</f>
        <v/>
      </c>
      <c r="AB24" s="39">
        <f>INDEX(MSA_d2star,4,19)</f>
        <v/>
      </c>
    </row>
    <row r="25">
      <c r="A25" s="6" t="inlineStr">
        <is>
          <t>Volledige studie (k ≥ 2, n ≥ 2, r ≥ 2, k·n·r waarden)?</t>
        </is>
      </c>
      <c r="B25" s="13">
        <f>IF(B23=0,"",IF(AND(ISNUMBER(B22),B24="ja"),IF(AND(B20&gt;=2,B21&gt;=2,N(B22)&gt;=2,B23=B20*B21*N(B22),B20&lt;=20),"ja","NEE: elke operator moet elk deel in elke herhaling meten"),"NEE: zie r en de rijen per operator hierboven"))</f>
        <v/>
      </c>
      <c r="I25" s="19" t="n">
        <v>5</v>
      </c>
      <c r="J25" s="39">
        <f>INDEX(MSA_d2star,5,1)</f>
        <v/>
      </c>
      <c r="K25" s="39">
        <f>INDEX(MSA_d2star,5,2)</f>
        <v/>
      </c>
      <c r="L25" s="39">
        <f>INDEX(MSA_d2star,5,3)</f>
        <v/>
      </c>
      <c r="M25" s="39">
        <f>INDEX(MSA_d2star,5,4)</f>
        <v/>
      </c>
      <c r="N25" s="39">
        <f>INDEX(MSA_d2star,5,5)</f>
        <v/>
      </c>
      <c r="O25" s="39">
        <f>INDEX(MSA_d2star,5,6)</f>
        <v/>
      </c>
      <c r="P25" s="39">
        <f>INDEX(MSA_d2star,5,7)</f>
        <v/>
      </c>
      <c r="Q25" s="39">
        <f>INDEX(MSA_d2star,5,8)</f>
        <v/>
      </c>
      <c r="R25" s="39">
        <f>INDEX(MSA_d2star,5,9)</f>
        <v/>
      </c>
      <c r="S25" s="39">
        <f>INDEX(MSA_d2star,5,10)</f>
        <v/>
      </c>
      <c r="T25" s="39">
        <f>INDEX(MSA_d2star,5,11)</f>
        <v/>
      </c>
      <c r="U25" s="39">
        <f>INDEX(MSA_d2star,5,12)</f>
        <v/>
      </c>
      <c r="V25" s="39">
        <f>INDEX(MSA_d2star,5,13)</f>
        <v/>
      </c>
      <c r="W25" s="39">
        <f>INDEX(MSA_d2star,5,14)</f>
        <v/>
      </c>
      <c r="X25" s="39">
        <f>INDEX(MSA_d2star,5,15)</f>
        <v/>
      </c>
      <c r="Y25" s="39">
        <f>INDEX(MSA_d2star,5,16)</f>
        <v/>
      </c>
      <c r="Z25" s="39">
        <f>INDEX(MSA_d2star,5,17)</f>
        <v/>
      </c>
      <c r="AA25" s="39">
        <f>INDEX(MSA_d2star,5,18)</f>
        <v/>
      </c>
      <c r="AB25" s="39">
        <f>INDEX(MSA_d2star,5,19)</f>
        <v/>
      </c>
    </row>
    <row r="26">
      <c r="I26" s="19" t="n">
        <v>6</v>
      </c>
      <c r="J26" s="39">
        <f>INDEX(MSA_d2star,6,1)</f>
        <v/>
      </c>
      <c r="K26" s="39">
        <f>INDEX(MSA_d2star,6,2)</f>
        <v/>
      </c>
      <c r="L26" s="39">
        <f>INDEX(MSA_d2star,6,3)</f>
        <v/>
      </c>
      <c r="M26" s="39">
        <f>INDEX(MSA_d2star,6,4)</f>
        <v/>
      </c>
      <c r="N26" s="39">
        <f>INDEX(MSA_d2star,6,5)</f>
        <v/>
      </c>
      <c r="O26" s="39">
        <f>INDEX(MSA_d2star,6,6)</f>
        <v/>
      </c>
      <c r="P26" s="39">
        <f>INDEX(MSA_d2star,6,7)</f>
        <v/>
      </c>
      <c r="Q26" s="39">
        <f>INDEX(MSA_d2star,6,8)</f>
        <v/>
      </c>
      <c r="R26" s="39">
        <f>INDEX(MSA_d2star,6,9)</f>
        <v/>
      </c>
      <c r="S26" s="39">
        <f>INDEX(MSA_d2star,6,10)</f>
        <v/>
      </c>
      <c r="T26" s="39">
        <f>INDEX(MSA_d2star,6,11)</f>
        <v/>
      </c>
      <c r="U26" s="39">
        <f>INDEX(MSA_d2star,6,12)</f>
        <v/>
      </c>
      <c r="V26" s="39">
        <f>INDEX(MSA_d2star,6,13)</f>
        <v/>
      </c>
      <c r="W26" s="39">
        <f>INDEX(MSA_d2star,6,14)</f>
        <v/>
      </c>
      <c r="X26" s="39">
        <f>INDEX(MSA_d2star,6,15)</f>
        <v/>
      </c>
      <c r="Y26" s="39">
        <f>INDEX(MSA_d2star,6,16)</f>
        <v/>
      </c>
      <c r="Z26" s="39">
        <f>INDEX(MSA_d2star,6,17)</f>
        <v/>
      </c>
      <c r="AA26" s="39">
        <f>INDEX(MSA_d2star,6,18)</f>
        <v/>
      </c>
      <c r="AB26" s="39">
        <f>INDEX(MSA_d2star,6,19)</f>
        <v/>
      </c>
    </row>
    <row r="27">
      <c r="A27" s="5" t="inlineStr">
        <is>
          <t>4. Gemiddelde-en-spreidingsbreedtemethode (average and range method, MSA p. 34-35)</t>
        </is>
      </c>
      <c r="I27" s="19" t="n">
        <v>7</v>
      </c>
      <c r="J27" s="39">
        <f>INDEX(MSA_d2star,7,1)</f>
        <v/>
      </c>
      <c r="K27" s="39">
        <f>INDEX(MSA_d2star,7,2)</f>
        <v/>
      </c>
      <c r="L27" s="39">
        <f>INDEX(MSA_d2star,7,3)</f>
        <v/>
      </c>
      <c r="M27" s="39">
        <f>INDEX(MSA_d2star,7,4)</f>
        <v/>
      </c>
      <c r="N27" s="39">
        <f>INDEX(MSA_d2star,7,5)</f>
        <v/>
      </c>
      <c r="O27" s="39">
        <f>INDEX(MSA_d2star,7,6)</f>
        <v/>
      </c>
      <c r="P27" s="39">
        <f>INDEX(MSA_d2star,7,7)</f>
        <v/>
      </c>
      <c r="Q27" s="39">
        <f>INDEX(MSA_d2star,7,8)</f>
        <v/>
      </c>
      <c r="R27" s="39">
        <f>INDEX(MSA_d2star,7,9)</f>
        <v/>
      </c>
      <c r="S27" s="39">
        <f>INDEX(MSA_d2star,7,10)</f>
        <v/>
      </c>
      <c r="T27" s="39">
        <f>INDEX(MSA_d2star,7,11)</f>
        <v/>
      </c>
      <c r="U27" s="39">
        <f>INDEX(MSA_d2star,7,12)</f>
        <v/>
      </c>
      <c r="V27" s="39">
        <f>INDEX(MSA_d2star,7,13)</f>
        <v/>
      </c>
      <c r="W27" s="39">
        <f>INDEX(MSA_d2star,7,14)</f>
        <v/>
      </c>
      <c r="X27" s="39">
        <f>INDEX(MSA_d2star,7,15)</f>
        <v/>
      </c>
      <c r="Y27" s="39">
        <f>INDEX(MSA_d2star,7,16)</f>
        <v/>
      </c>
      <c r="Z27" s="39">
        <f>INDEX(MSA_d2star,7,17)</f>
        <v/>
      </c>
      <c r="AA27" s="39">
        <f>INDEX(MSA_d2star,7,18)</f>
        <v/>
      </c>
      <c r="AB27" s="39">
        <f>INDEX(MSA_d2star,7,19)</f>
        <v/>
      </c>
    </row>
    <row r="28">
      <c r="A28" s="6" t="inlineStr">
        <is>
          <t>R̿ = gemiddelde van alle spreidingsbreedtes</t>
        </is>
      </c>
      <c r="B28" s="29">
        <f>IF($B$25="ja",AVERAGE(B74:AY93),"")</f>
        <v/>
      </c>
      <c r="I28" s="19" t="n">
        <v>8</v>
      </c>
      <c r="J28" s="39">
        <f>INDEX(MSA_d2star,8,1)</f>
        <v/>
      </c>
      <c r="K28" s="39">
        <f>INDEX(MSA_d2star,8,2)</f>
        <v/>
      </c>
      <c r="L28" s="39">
        <f>INDEX(MSA_d2star,8,3)</f>
        <v/>
      </c>
      <c r="M28" s="39">
        <f>INDEX(MSA_d2star,8,4)</f>
        <v/>
      </c>
      <c r="N28" s="39">
        <f>INDEX(MSA_d2star,8,5)</f>
        <v/>
      </c>
      <c r="O28" s="39">
        <f>INDEX(MSA_d2star,8,6)</f>
        <v/>
      </c>
      <c r="P28" s="39">
        <f>INDEX(MSA_d2star,8,7)</f>
        <v/>
      </c>
      <c r="Q28" s="39">
        <f>INDEX(MSA_d2star,8,8)</f>
        <v/>
      </c>
      <c r="R28" s="39">
        <f>INDEX(MSA_d2star,8,9)</f>
        <v/>
      </c>
      <c r="S28" s="39">
        <f>INDEX(MSA_d2star,8,10)</f>
        <v/>
      </c>
      <c r="T28" s="39">
        <f>INDEX(MSA_d2star,8,11)</f>
        <v/>
      </c>
      <c r="U28" s="39">
        <f>INDEX(MSA_d2star,8,12)</f>
        <v/>
      </c>
      <c r="V28" s="39">
        <f>INDEX(MSA_d2star,8,13)</f>
        <v/>
      </c>
      <c r="W28" s="39">
        <f>INDEX(MSA_d2star,8,14)</f>
        <v/>
      </c>
      <c r="X28" s="39">
        <f>INDEX(MSA_d2star,8,15)</f>
        <v/>
      </c>
      <c r="Y28" s="39">
        <f>INDEX(MSA_d2star,8,16)</f>
        <v/>
      </c>
      <c r="Z28" s="39">
        <f>INDEX(MSA_d2star,8,17)</f>
        <v/>
      </c>
      <c r="AA28" s="39">
        <f>INDEX(MSA_d2star,8,18)</f>
        <v/>
      </c>
      <c r="AB28" s="39">
        <f>INDEX(MSA_d2star,8,19)</f>
        <v/>
      </c>
    </row>
    <row r="29">
      <c r="A29" s="6" t="inlineStr">
        <is>
          <t>X̄_DIFF = grootste − kleinste operatorgemiddelde</t>
        </is>
      </c>
      <c r="B29" s="29">
        <f>IF($B$25="ja",MAX(AZ95:AZ114)-MIN(AZ95:AZ114),"")</f>
        <v/>
      </c>
      <c r="I29" s="19" t="n">
        <v>9</v>
      </c>
      <c r="J29" s="39">
        <f>INDEX(MSA_d2star,9,1)</f>
        <v/>
      </c>
      <c r="K29" s="39">
        <f>INDEX(MSA_d2star,9,2)</f>
        <v/>
      </c>
      <c r="L29" s="39">
        <f>INDEX(MSA_d2star,9,3)</f>
        <v/>
      </c>
      <c r="M29" s="39">
        <f>INDEX(MSA_d2star,9,4)</f>
        <v/>
      </c>
      <c r="N29" s="39">
        <f>INDEX(MSA_d2star,9,5)</f>
        <v/>
      </c>
      <c r="O29" s="39">
        <f>INDEX(MSA_d2star,9,6)</f>
        <v/>
      </c>
      <c r="P29" s="39">
        <f>INDEX(MSA_d2star,9,7)</f>
        <v/>
      </c>
      <c r="Q29" s="39">
        <f>INDEX(MSA_d2star,9,8)</f>
        <v/>
      </c>
      <c r="R29" s="39">
        <f>INDEX(MSA_d2star,9,9)</f>
        <v/>
      </c>
      <c r="S29" s="39">
        <f>INDEX(MSA_d2star,9,10)</f>
        <v/>
      </c>
      <c r="T29" s="39">
        <f>INDEX(MSA_d2star,9,11)</f>
        <v/>
      </c>
      <c r="U29" s="39">
        <f>INDEX(MSA_d2star,9,12)</f>
        <v/>
      </c>
      <c r="V29" s="39">
        <f>INDEX(MSA_d2star,9,13)</f>
        <v/>
      </c>
      <c r="W29" s="39">
        <f>INDEX(MSA_d2star,9,14)</f>
        <v/>
      </c>
      <c r="X29" s="39">
        <f>INDEX(MSA_d2star,9,15)</f>
        <v/>
      </c>
      <c r="Y29" s="39">
        <f>INDEX(MSA_d2star,9,16)</f>
        <v/>
      </c>
      <c r="Z29" s="39">
        <f>INDEX(MSA_d2star,9,17)</f>
        <v/>
      </c>
      <c r="AA29" s="39">
        <f>INDEX(MSA_d2star,9,18)</f>
        <v/>
      </c>
      <c r="AB29" s="39">
        <f>INDEX(MSA_d2star,9,19)</f>
        <v/>
      </c>
    </row>
    <row r="30">
      <c r="A30" s="6" t="inlineStr">
        <is>
          <t>R_p = grootste − kleinste deelgemiddelde</t>
        </is>
      </c>
      <c r="B30" s="29">
        <f>IF($B$25="ja",MAX(B115:AY115)-MIN(B115:AY115),"")</f>
        <v/>
      </c>
      <c r="I30" s="19" t="n">
        <v>10</v>
      </c>
      <c r="J30" s="39">
        <f>INDEX(MSA_d2star,10,1)</f>
        <v/>
      </c>
      <c r="K30" s="39">
        <f>INDEX(MSA_d2star,10,2)</f>
        <v/>
      </c>
      <c r="L30" s="39">
        <f>INDEX(MSA_d2star,10,3)</f>
        <v/>
      </c>
      <c r="M30" s="39">
        <f>INDEX(MSA_d2star,10,4)</f>
        <v/>
      </c>
      <c r="N30" s="39">
        <f>INDEX(MSA_d2star,10,5)</f>
        <v/>
      </c>
      <c r="O30" s="39">
        <f>INDEX(MSA_d2star,10,6)</f>
        <v/>
      </c>
      <c r="P30" s="39">
        <f>INDEX(MSA_d2star,10,7)</f>
        <v/>
      </c>
      <c r="Q30" s="39">
        <f>INDEX(MSA_d2star,10,8)</f>
        <v/>
      </c>
      <c r="R30" s="39">
        <f>INDEX(MSA_d2star,10,9)</f>
        <v/>
      </c>
      <c r="S30" s="39">
        <f>INDEX(MSA_d2star,10,10)</f>
        <v/>
      </c>
      <c r="T30" s="39">
        <f>INDEX(MSA_d2star,10,11)</f>
        <v/>
      </c>
      <c r="U30" s="39">
        <f>INDEX(MSA_d2star,10,12)</f>
        <v/>
      </c>
      <c r="V30" s="39">
        <f>INDEX(MSA_d2star,10,13)</f>
        <v/>
      </c>
      <c r="W30" s="39">
        <f>INDEX(MSA_d2star,10,14)</f>
        <v/>
      </c>
      <c r="X30" s="39">
        <f>INDEX(MSA_d2star,10,15)</f>
        <v/>
      </c>
      <c r="Y30" s="39">
        <f>INDEX(MSA_d2star,10,16)</f>
        <v/>
      </c>
      <c r="Z30" s="39">
        <f>INDEX(MSA_d2star,10,17)</f>
        <v/>
      </c>
      <c r="AA30" s="39">
        <f>INDEX(MSA_d2star,10,18)</f>
        <v/>
      </c>
      <c r="AB30" s="39">
        <f>INDEX(MSA_d2star,10,19)</f>
        <v/>
      </c>
    </row>
    <row r="31">
      <c r="A31" s="6" t="inlineStr">
        <is>
          <t>d2 voor m = r (g → ∞): K1 = 1/d2</t>
        </is>
      </c>
      <c r="B31" s="40">
        <f>IF($B$25="ja",IFERROR(INDEX(MSA_d2,1,MATCH($B$22,MSA_m,0)),"r niet in de tabel"),"")</f>
        <v/>
      </c>
      <c r="C31" s="8" t="inlineStr">
        <is>
          <t>tabel MSA.pdf, laatste rij</t>
        </is>
      </c>
      <c r="I31" s="19" t="n">
        <v>11</v>
      </c>
      <c r="J31" s="39">
        <f>INDEX(MSA_d2star,11,1)</f>
        <v/>
      </c>
      <c r="K31" s="39">
        <f>INDEX(MSA_d2star,11,2)</f>
        <v/>
      </c>
      <c r="L31" s="39">
        <f>INDEX(MSA_d2star,11,3)</f>
        <v/>
      </c>
      <c r="M31" s="39">
        <f>INDEX(MSA_d2star,11,4)</f>
        <v/>
      </c>
      <c r="N31" s="39">
        <f>INDEX(MSA_d2star,11,5)</f>
        <v/>
      </c>
      <c r="O31" s="39">
        <f>INDEX(MSA_d2star,11,6)</f>
        <v/>
      </c>
      <c r="P31" s="39">
        <f>INDEX(MSA_d2star,11,7)</f>
        <v/>
      </c>
      <c r="Q31" s="39">
        <f>INDEX(MSA_d2star,11,8)</f>
        <v/>
      </c>
      <c r="R31" s="39">
        <f>INDEX(MSA_d2star,11,9)</f>
        <v/>
      </c>
      <c r="S31" s="39">
        <f>INDEX(MSA_d2star,11,10)</f>
        <v/>
      </c>
      <c r="T31" s="39">
        <f>INDEX(MSA_d2star,11,11)</f>
        <v/>
      </c>
      <c r="U31" s="39">
        <f>INDEX(MSA_d2star,11,12)</f>
        <v/>
      </c>
      <c r="V31" s="39">
        <f>INDEX(MSA_d2star,11,13)</f>
        <v/>
      </c>
      <c r="W31" s="39">
        <f>INDEX(MSA_d2star,11,14)</f>
        <v/>
      </c>
      <c r="X31" s="39">
        <f>INDEX(MSA_d2star,11,15)</f>
        <v/>
      </c>
      <c r="Y31" s="39">
        <f>INDEX(MSA_d2star,11,16)</f>
        <v/>
      </c>
      <c r="Z31" s="39">
        <f>INDEX(MSA_d2star,11,17)</f>
        <v/>
      </c>
      <c r="AA31" s="39">
        <f>INDEX(MSA_d2star,11,18)</f>
        <v/>
      </c>
      <c r="AB31" s="39">
        <f>INDEX(MSA_d2star,11,19)</f>
        <v/>
      </c>
    </row>
    <row r="32">
      <c r="A32" s="6" t="inlineStr">
        <is>
          <t>d2* voor m = k, g = 1: K2 = 1/d2*</t>
        </is>
      </c>
      <c r="B32" s="40">
        <f>IF($B$25="ja",IFERROR(INDEX(MSA_d2star,MATCH(1,MSA_g,0),MATCH($B$20,MSA_m,0)),"k niet in de tabel"),"")</f>
        <v/>
      </c>
      <c r="C32" s="8" t="inlineStr">
        <is>
          <t>tabel MSA.pdf, g = 1</t>
        </is>
      </c>
      <c r="I32" s="19" t="n">
        <v>12</v>
      </c>
      <c r="J32" s="39">
        <f>INDEX(MSA_d2star,12,1)</f>
        <v/>
      </c>
      <c r="K32" s="39">
        <f>INDEX(MSA_d2star,12,2)</f>
        <v/>
      </c>
      <c r="L32" s="39">
        <f>INDEX(MSA_d2star,12,3)</f>
        <v/>
      </c>
      <c r="M32" s="39">
        <f>INDEX(MSA_d2star,12,4)</f>
        <v/>
      </c>
      <c r="N32" s="39">
        <f>INDEX(MSA_d2star,12,5)</f>
        <v/>
      </c>
      <c r="O32" s="39">
        <f>INDEX(MSA_d2star,12,6)</f>
        <v/>
      </c>
      <c r="P32" s="39">
        <f>INDEX(MSA_d2star,12,7)</f>
        <v/>
      </c>
      <c r="Q32" s="39">
        <f>INDEX(MSA_d2star,12,8)</f>
        <v/>
      </c>
      <c r="R32" s="39">
        <f>INDEX(MSA_d2star,12,9)</f>
        <v/>
      </c>
      <c r="S32" s="39">
        <f>INDEX(MSA_d2star,12,10)</f>
        <v/>
      </c>
      <c r="T32" s="39">
        <f>INDEX(MSA_d2star,12,11)</f>
        <v/>
      </c>
      <c r="U32" s="39">
        <f>INDEX(MSA_d2star,12,12)</f>
        <v/>
      </c>
      <c r="V32" s="39">
        <f>INDEX(MSA_d2star,12,13)</f>
        <v/>
      </c>
      <c r="W32" s="39">
        <f>INDEX(MSA_d2star,12,14)</f>
        <v/>
      </c>
      <c r="X32" s="39">
        <f>INDEX(MSA_d2star,12,15)</f>
        <v/>
      </c>
      <c r="Y32" s="39">
        <f>INDEX(MSA_d2star,12,16)</f>
        <v/>
      </c>
      <c r="Z32" s="39">
        <f>INDEX(MSA_d2star,12,17)</f>
        <v/>
      </c>
      <c r="AA32" s="39">
        <f>INDEX(MSA_d2star,12,18)</f>
        <v/>
      </c>
      <c r="AB32" s="39">
        <f>INDEX(MSA_d2star,12,19)</f>
        <v/>
      </c>
    </row>
    <row r="33">
      <c r="A33" s="6" t="inlineStr">
        <is>
          <t>d2* voor m = n, g = 1: K3 = 1/d2*</t>
        </is>
      </c>
      <c r="B33" s="40">
        <f>IF($B$25="ja",IFERROR(INDEX(MSA_d2star,MATCH(1,MSA_g,0),MATCH($B$21,MSA_m,0)),"n niet in de tabel"),"")</f>
        <v/>
      </c>
      <c r="C33" s="8" t="inlineStr">
        <is>
          <t>tabel MSA.pdf, g = 1 (tot m = 20)</t>
        </is>
      </c>
      <c r="I33" s="19" t="n">
        <v>13</v>
      </c>
      <c r="J33" s="39">
        <f>INDEX(MSA_d2star,13,1)</f>
        <v/>
      </c>
      <c r="K33" s="39">
        <f>INDEX(MSA_d2star,13,2)</f>
        <v/>
      </c>
      <c r="L33" s="39">
        <f>INDEX(MSA_d2star,13,3)</f>
        <v/>
      </c>
      <c r="M33" s="39">
        <f>INDEX(MSA_d2star,13,4)</f>
        <v/>
      </c>
      <c r="N33" s="39">
        <f>INDEX(MSA_d2star,13,5)</f>
        <v/>
      </c>
      <c r="O33" s="39">
        <f>INDEX(MSA_d2star,13,6)</f>
        <v/>
      </c>
      <c r="P33" s="39">
        <f>INDEX(MSA_d2star,13,7)</f>
        <v/>
      </c>
      <c r="Q33" s="39">
        <f>INDEX(MSA_d2star,13,8)</f>
        <v/>
      </c>
      <c r="R33" s="39">
        <f>INDEX(MSA_d2star,13,9)</f>
        <v/>
      </c>
      <c r="S33" s="39">
        <f>INDEX(MSA_d2star,13,10)</f>
        <v/>
      </c>
      <c r="T33" s="39">
        <f>INDEX(MSA_d2star,13,11)</f>
        <v/>
      </c>
      <c r="U33" s="39">
        <f>INDEX(MSA_d2star,13,12)</f>
        <v/>
      </c>
      <c r="V33" s="39">
        <f>INDEX(MSA_d2star,13,13)</f>
        <v/>
      </c>
      <c r="W33" s="39">
        <f>INDEX(MSA_d2star,13,14)</f>
        <v/>
      </c>
      <c r="X33" s="39">
        <f>INDEX(MSA_d2star,13,15)</f>
        <v/>
      </c>
      <c r="Y33" s="39">
        <f>INDEX(MSA_d2star,13,16)</f>
        <v/>
      </c>
      <c r="Z33" s="39">
        <f>INDEX(MSA_d2star,13,17)</f>
        <v/>
      </c>
      <c r="AA33" s="39">
        <f>INDEX(MSA_d2star,13,18)</f>
        <v/>
      </c>
      <c r="AB33" s="39">
        <f>INDEX(MSA_d2star,13,19)</f>
        <v/>
      </c>
    </row>
    <row r="34">
      <c r="A34" s="6" t="inlineStr">
        <is>
          <t>EV = herhaalbaarheid (repeatability)</t>
        </is>
      </c>
      <c r="B34" s="29">
        <f>IF($B$25="ja",IF(ISNUMBER(B31),B28/B31,""),"")</f>
        <v/>
      </c>
      <c r="C34" s="8" t="inlineStr">
        <is>
          <t>MSA p. 35</t>
        </is>
      </c>
      <c r="I34" s="19" t="n">
        <v>14</v>
      </c>
      <c r="J34" s="39">
        <f>INDEX(MSA_d2star,14,1)</f>
        <v/>
      </c>
      <c r="K34" s="39">
        <f>INDEX(MSA_d2star,14,2)</f>
        <v/>
      </c>
      <c r="L34" s="39">
        <f>INDEX(MSA_d2star,14,3)</f>
        <v/>
      </c>
      <c r="M34" s="39">
        <f>INDEX(MSA_d2star,14,4)</f>
        <v/>
      </c>
      <c r="N34" s="39">
        <f>INDEX(MSA_d2star,14,5)</f>
        <v/>
      </c>
      <c r="O34" s="39">
        <f>INDEX(MSA_d2star,14,6)</f>
        <v/>
      </c>
      <c r="P34" s="39">
        <f>INDEX(MSA_d2star,14,7)</f>
        <v/>
      </c>
      <c r="Q34" s="39">
        <f>INDEX(MSA_d2star,14,8)</f>
        <v/>
      </c>
      <c r="R34" s="39">
        <f>INDEX(MSA_d2star,14,9)</f>
        <v/>
      </c>
      <c r="S34" s="39">
        <f>INDEX(MSA_d2star,14,10)</f>
        <v/>
      </c>
      <c r="T34" s="39">
        <f>INDEX(MSA_d2star,14,11)</f>
        <v/>
      </c>
      <c r="U34" s="39">
        <f>INDEX(MSA_d2star,14,12)</f>
        <v/>
      </c>
      <c r="V34" s="39">
        <f>INDEX(MSA_d2star,14,13)</f>
        <v/>
      </c>
      <c r="W34" s="39">
        <f>INDEX(MSA_d2star,14,14)</f>
        <v/>
      </c>
      <c r="X34" s="39">
        <f>INDEX(MSA_d2star,14,15)</f>
        <v/>
      </c>
      <c r="Y34" s="39">
        <f>INDEX(MSA_d2star,14,16)</f>
        <v/>
      </c>
      <c r="Z34" s="39">
        <f>INDEX(MSA_d2star,14,17)</f>
        <v/>
      </c>
      <c r="AA34" s="39">
        <f>INDEX(MSA_d2star,14,18)</f>
        <v/>
      </c>
      <c r="AB34" s="39">
        <f>INDEX(MSA_d2star,14,19)</f>
        <v/>
      </c>
    </row>
    <row r="35">
      <c r="A35" s="6" t="inlineStr">
        <is>
          <t>AV = reproduceerbaarheid (reproducibility)</t>
        </is>
      </c>
      <c r="B35" s="29">
        <f>IF($B$25="ja",IF(AND(ISNUMBER(B31),ISNUMBER(B32)),SQRT(MAX(0,(B29/B32)^2-(B28/B31)^2/(B21*B22))),""),"")</f>
        <v/>
      </c>
      <c r="I35" s="19" t="n">
        <v>15</v>
      </c>
      <c r="J35" s="39">
        <f>INDEX(MSA_d2star,15,1)</f>
        <v/>
      </c>
      <c r="K35" s="39">
        <f>INDEX(MSA_d2star,15,2)</f>
        <v/>
      </c>
      <c r="L35" s="39">
        <f>INDEX(MSA_d2star,15,3)</f>
        <v/>
      </c>
      <c r="M35" s="39">
        <f>INDEX(MSA_d2star,15,4)</f>
        <v/>
      </c>
      <c r="N35" s="39">
        <f>INDEX(MSA_d2star,15,5)</f>
        <v/>
      </c>
      <c r="O35" s="39">
        <f>INDEX(MSA_d2star,15,6)</f>
        <v/>
      </c>
      <c r="P35" s="39">
        <f>INDEX(MSA_d2star,15,7)</f>
        <v/>
      </c>
      <c r="Q35" s="39">
        <f>INDEX(MSA_d2star,15,8)</f>
        <v/>
      </c>
      <c r="R35" s="39">
        <f>INDEX(MSA_d2star,15,9)</f>
        <v/>
      </c>
      <c r="S35" s="39">
        <f>INDEX(MSA_d2star,15,10)</f>
        <v/>
      </c>
      <c r="T35" s="39">
        <f>INDEX(MSA_d2star,15,11)</f>
        <v/>
      </c>
      <c r="U35" s="39">
        <f>INDEX(MSA_d2star,15,12)</f>
        <v/>
      </c>
      <c r="V35" s="39">
        <f>INDEX(MSA_d2star,15,13)</f>
        <v/>
      </c>
      <c r="W35" s="39">
        <f>INDEX(MSA_d2star,15,14)</f>
        <v/>
      </c>
      <c r="X35" s="39">
        <f>INDEX(MSA_d2star,15,15)</f>
        <v/>
      </c>
      <c r="Y35" s="39">
        <f>INDEX(MSA_d2star,15,16)</f>
        <v/>
      </c>
      <c r="Z35" s="39">
        <f>INDEX(MSA_d2star,15,17)</f>
        <v/>
      </c>
      <c r="AA35" s="39">
        <f>INDEX(MSA_d2star,15,18)</f>
        <v/>
      </c>
      <c r="AB35" s="39">
        <f>INDEX(MSA_d2star,15,19)</f>
        <v/>
      </c>
    </row>
    <row r="36">
      <c r="A36" s="6" t="inlineStr">
        <is>
          <t>PV = variatie tussen de delen (part variation)</t>
        </is>
      </c>
      <c r="B36" s="29">
        <f>IF($B$25="ja",IF(AND(ISNUMBER(B31),ISNUMBER(B33)),SQRT(MAX(0,(B30/B33)^2-(B28/B31)^2/(B20*B22))),""),"")</f>
        <v/>
      </c>
      <c r="I36" s="19" t="n">
        <v>16</v>
      </c>
      <c r="J36" s="39">
        <f>INDEX(MSA_d2star,16,1)</f>
        <v/>
      </c>
      <c r="K36" s="39">
        <f>INDEX(MSA_d2star,16,2)</f>
        <v/>
      </c>
      <c r="L36" s="39">
        <f>INDEX(MSA_d2star,16,3)</f>
        <v/>
      </c>
      <c r="M36" s="39">
        <f>INDEX(MSA_d2star,16,4)</f>
        <v/>
      </c>
      <c r="N36" s="39">
        <f>INDEX(MSA_d2star,16,5)</f>
        <v/>
      </c>
      <c r="O36" s="39">
        <f>INDEX(MSA_d2star,16,6)</f>
        <v/>
      </c>
      <c r="P36" s="39">
        <f>INDEX(MSA_d2star,16,7)</f>
        <v/>
      </c>
      <c r="Q36" s="39">
        <f>INDEX(MSA_d2star,16,8)</f>
        <v/>
      </c>
      <c r="R36" s="39">
        <f>INDEX(MSA_d2star,16,9)</f>
        <v/>
      </c>
      <c r="S36" s="39">
        <f>INDEX(MSA_d2star,16,10)</f>
        <v/>
      </c>
      <c r="T36" s="39">
        <f>INDEX(MSA_d2star,16,11)</f>
        <v/>
      </c>
      <c r="U36" s="39">
        <f>INDEX(MSA_d2star,16,12)</f>
        <v/>
      </c>
      <c r="V36" s="39">
        <f>INDEX(MSA_d2star,16,13)</f>
        <v/>
      </c>
      <c r="W36" s="39">
        <f>INDEX(MSA_d2star,16,14)</f>
        <v/>
      </c>
      <c r="X36" s="39">
        <f>INDEX(MSA_d2star,16,15)</f>
        <v/>
      </c>
      <c r="Y36" s="39">
        <f>INDEX(MSA_d2star,16,16)</f>
        <v/>
      </c>
      <c r="Z36" s="39">
        <f>INDEX(MSA_d2star,16,17)</f>
        <v/>
      </c>
      <c r="AA36" s="39">
        <f>INDEX(MSA_d2star,16,18)</f>
        <v/>
      </c>
      <c r="AB36" s="39">
        <f>INDEX(MSA_d2star,16,19)</f>
        <v/>
      </c>
    </row>
    <row r="37">
      <c r="A37" s="6" t="inlineStr">
        <is>
          <t>GRR = √(EV² + AV²)</t>
        </is>
      </c>
      <c r="B37" s="29">
        <f>IF(AND(ISNUMBER(B34),ISNUMBER(B35)),SQRT(B34^2+B35^2),"")</f>
        <v/>
      </c>
      <c r="C37" s="8" t="inlineStr">
        <is>
          <t>MSA p. 18, 35</t>
        </is>
      </c>
      <c r="I37" s="19" t="n">
        <v>17</v>
      </c>
      <c r="J37" s="39">
        <f>INDEX(MSA_d2star,17,1)</f>
        <v/>
      </c>
      <c r="K37" s="39">
        <f>INDEX(MSA_d2star,17,2)</f>
        <v/>
      </c>
      <c r="L37" s="39">
        <f>INDEX(MSA_d2star,17,3)</f>
        <v/>
      </c>
      <c r="M37" s="39">
        <f>INDEX(MSA_d2star,17,4)</f>
        <v/>
      </c>
      <c r="N37" s="39">
        <f>INDEX(MSA_d2star,17,5)</f>
        <v/>
      </c>
      <c r="O37" s="39">
        <f>INDEX(MSA_d2star,17,6)</f>
        <v/>
      </c>
      <c r="P37" s="39">
        <f>INDEX(MSA_d2star,17,7)</f>
        <v/>
      </c>
      <c r="Q37" s="39">
        <f>INDEX(MSA_d2star,17,8)</f>
        <v/>
      </c>
      <c r="R37" s="39">
        <f>INDEX(MSA_d2star,17,9)</f>
        <v/>
      </c>
      <c r="S37" s="39">
        <f>INDEX(MSA_d2star,17,10)</f>
        <v/>
      </c>
      <c r="T37" s="39">
        <f>INDEX(MSA_d2star,17,11)</f>
        <v/>
      </c>
      <c r="U37" s="39">
        <f>INDEX(MSA_d2star,17,12)</f>
        <v/>
      </c>
      <c r="V37" s="39">
        <f>INDEX(MSA_d2star,17,13)</f>
        <v/>
      </c>
      <c r="W37" s="39">
        <f>INDEX(MSA_d2star,17,14)</f>
        <v/>
      </c>
      <c r="X37" s="39">
        <f>INDEX(MSA_d2star,17,15)</f>
        <v/>
      </c>
      <c r="Y37" s="39">
        <f>INDEX(MSA_d2star,17,16)</f>
        <v/>
      </c>
      <c r="Z37" s="39">
        <f>INDEX(MSA_d2star,17,17)</f>
        <v/>
      </c>
      <c r="AA37" s="39">
        <f>INDEX(MSA_d2star,17,18)</f>
        <v/>
      </c>
      <c r="AB37" s="39">
        <f>INDEX(MSA_d2star,17,19)</f>
        <v/>
      </c>
    </row>
    <row r="38">
      <c r="A38" s="6" t="inlineStr">
        <is>
          <t>TV = totale variatie (total variation) = √(GRR² + PV²)</t>
        </is>
      </c>
      <c r="B38" s="29">
        <f>IF(AND(ISNUMBER(B37),ISNUMBER(B36)),SQRT(B37^2+B36^2),"")</f>
        <v/>
      </c>
      <c r="I38" s="19" t="n">
        <v>18</v>
      </c>
      <c r="J38" s="39">
        <f>INDEX(MSA_d2star,18,1)</f>
        <v/>
      </c>
      <c r="K38" s="39">
        <f>INDEX(MSA_d2star,18,2)</f>
        <v/>
      </c>
      <c r="L38" s="39">
        <f>INDEX(MSA_d2star,18,3)</f>
        <v/>
      </c>
      <c r="M38" s="39">
        <f>INDEX(MSA_d2star,18,4)</f>
        <v/>
      </c>
      <c r="N38" s="39">
        <f>INDEX(MSA_d2star,18,5)</f>
        <v/>
      </c>
      <c r="O38" s="39">
        <f>INDEX(MSA_d2star,18,6)</f>
        <v/>
      </c>
      <c r="P38" s="39">
        <f>INDEX(MSA_d2star,18,7)</f>
        <v/>
      </c>
      <c r="Q38" s="39">
        <f>INDEX(MSA_d2star,18,8)</f>
        <v/>
      </c>
      <c r="R38" s="39">
        <f>INDEX(MSA_d2star,18,9)</f>
        <v/>
      </c>
      <c r="S38" s="39">
        <f>INDEX(MSA_d2star,18,10)</f>
        <v/>
      </c>
      <c r="T38" s="39">
        <f>INDEX(MSA_d2star,18,11)</f>
        <v/>
      </c>
      <c r="U38" s="39">
        <f>INDEX(MSA_d2star,18,12)</f>
        <v/>
      </c>
      <c r="V38" s="39">
        <f>INDEX(MSA_d2star,18,13)</f>
        <v/>
      </c>
      <c r="W38" s="39">
        <f>INDEX(MSA_d2star,18,14)</f>
        <v/>
      </c>
      <c r="X38" s="39">
        <f>INDEX(MSA_d2star,18,15)</f>
        <v/>
      </c>
      <c r="Y38" s="39">
        <f>INDEX(MSA_d2star,18,16)</f>
        <v/>
      </c>
      <c r="Z38" s="39">
        <f>INDEX(MSA_d2star,18,17)</f>
        <v/>
      </c>
      <c r="AA38" s="39">
        <f>INDEX(MSA_d2star,18,18)</f>
        <v/>
      </c>
      <c r="AB38" s="39">
        <f>INDEX(MSA_d2star,18,19)</f>
        <v/>
      </c>
    </row>
    <row r="39">
      <c r="A39" s="6" t="inlineStr">
        <is>
          <t>%GRR t.o.v. totale variatie = GRR / TV</t>
        </is>
      </c>
      <c r="B39" s="33">
        <f>IF(ISNUMBER(B38),B37/B38,"")</f>
        <v/>
      </c>
      <c r="C39" s="8" t="inlineStr">
        <is>
          <t>MSA p. 35</t>
        </is>
      </c>
      <c r="D39" s="13">
        <f>IF(ISNUMBER(B39),IF(B39&lt;=$B$67,"aanvaardbaar (acceptable, ≤ 10 %)",IF(B39&lt;=$B$68,"mogelijk aanvaardbaar (may be acceptable, 10 - 30 %)","niet aanvaardbaar (not acceptable, &gt; 30 %)")),"")</f>
        <v/>
      </c>
      <c r="I39" s="19" t="n">
        <v>19</v>
      </c>
      <c r="J39" s="39">
        <f>INDEX(MSA_d2star,19,1)</f>
        <v/>
      </c>
      <c r="K39" s="39">
        <f>INDEX(MSA_d2star,19,2)</f>
        <v/>
      </c>
      <c r="L39" s="39">
        <f>INDEX(MSA_d2star,19,3)</f>
        <v/>
      </c>
      <c r="M39" s="39">
        <f>INDEX(MSA_d2star,19,4)</f>
        <v/>
      </c>
      <c r="N39" s="39">
        <f>INDEX(MSA_d2star,19,5)</f>
        <v/>
      </c>
      <c r="O39" s="39">
        <f>INDEX(MSA_d2star,19,6)</f>
        <v/>
      </c>
      <c r="P39" s="39">
        <f>INDEX(MSA_d2star,19,7)</f>
        <v/>
      </c>
      <c r="Q39" s="39">
        <f>INDEX(MSA_d2star,19,8)</f>
        <v/>
      </c>
      <c r="R39" s="39">
        <f>INDEX(MSA_d2star,19,9)</f>
        <v/>
      </c>
      <c r="S39" s="39">
        <f>INDEX(MSA_d2star,19,10)</f>
        <v/>
      </c>
      <c r="T39" s="39">
        <f>INDEX(MSA_d2star,19,11)</f>
        <v/>
      </c>
      <c r="U39" s="39">
        <f>INDEX(MSA_d2star,19,12)</f>
        <v/>
      </c>
      <c r="V39" s="39">
        <f>INDEX(MSA_d2star,19,13)</f>
        <v/>
      </c>
      <c r="W39" s="39">
        <f>INDEX(MSA_d2star,19,14)</f>
        <v/>
      </c>
      <c r="X39" s="39">
        <f>INDEX(MSA_d2star,19,15)</f>
        <v/>
      </c>
      <c r="Y39" s="39">
        <f>INDEX(MSA_d2star,19,16)</f>
        <v/>
      </c>
      <c r="Z39" s="39">
        <f>INDEX(MSA_d2star,19,17)</f>
        <v/>
      </c>
      <c r="AA39" s="39">
        <f>INDEX(MSA_d2star,19,18)</f>
        <v/>
      </c>
      <c r="AB39" s="39">
        <f>INDEX(MSA_d2star,19,19)</f>
        <v/>
      </c>
    </row>
    <row r="40">
      <c r="A40" s="6" t="inlineStr">
        <is>
          <t>%GRR t.o.v. tolerantie = 6 · GRR / TOL</t>
        </is>
      </c>
      <c r="B40" s="33">
        <f>IF(AND(ISNUMBER(B37),ISNUMBER($B$9),$B$9&gt;0),6*B37/$B$9,"")</f>
        <v/>
      </c>
      <c r="C40" s="8" t="inlineStr">
        <is>
          <t>MSA p. 24</t>
        </is>
      </c>
      <c r="D40" s="13">
        <f>IF(ISNUMBER(B40),IF(B40&lt;=$B$67,"aanvaardbaar (acceptable, ≤ 10 %)",IF(B40&lt;=$B$68,"mogelijk aanvaardbaar (may be acceptable, 10 - 30 %)","niet aanvaardbaar (not acceptable, &gt; 30 %)")),"")</f>
        <v/>
      </c>
      <c r="I40" s="19" t="n">
        <v>20</v>
      </c>
      <c r="J40" s="39">
        <f>INDEX(MSA_d2star,20,1)</f>
        <v/>
      </c>
      <c r="K40" s="39">
        <f>INDEX(MSA_d2star,20,2)</f>
        <v/>
      </c>
      <c r="L40" s="39">
        <f>INDEX(MSA_d2star,20,3)</f>
        <v/>
      </c>
      <c r="M40" s="39">
        <f>INDEX(MSA_d2star,20,4)</f>
        <v/>
      </c>
      <c r="N40" s="39">
        <f>INDEX(MSA_d2star,20,5)</f>
        <v/>
      </c>
      <c r="O40" s="39">
        <f>INDEX(MSA_d2star,20,6)</f>
        <v/>
      </c>
      <c r="P40" s="39">
        <f>INDEX(MSA_d2star,20,7)</f>
        <v/>
      </c>
      <c r="Q40" s="39">
        <f>INDEX(MSA_d2star,20,8)</f>
        <v/>
      </c>
      <c r="R40" s="39">
        <f>INDEX(MSA_d2star,20,9)</f>
        <v/>
      </c>
      <c r="S40" s="39">
        <f>INDEX(MSA_d2star,20,10)</f>
        <v/>
      </c>
      <c r="T40" s="39">
        <f>INDEX(MSA_d2star,20,11)</f>
        <v/>
      </c>
      <c r="U40" s="39">
        <f>INDEX(MSA_d2star,20,12)</f>
        <v/>
      </c>
      <c r="V40" s="39">
        <f>INDEX(MSA_d2star,20,13)</f>
        <v/>
      </c>
      <c r="W40" s="39">
        <f>INDEX(MSA_d2star,20,14)</f>
        <v/>
      </c>
      <c r="X40" s="39">
        <f>INDEX(MSA_d2star,20,15)</f>
        <v/>
      </c>
      <c r="Y40" s="39">
        <f>INDEX(MSA_d2star,20,16)</f>
        <v/>
      </c>
      <c r="Z40" s="39">
        <f>INDEX(MSA_d2star,20,17)</f>
        <v/>
      </c>
      <c r="AA40" s="39">
        <f>INDEX(MSA_d2star,20,18)</f>
        <v/>
      </c>
      <c r="AB40" s="39">
        <f>INDEX(MSA_d2star,20,19)</f>
        <v/>
      </c>
    </row>
    <row r="41">
      <c r="I41" s="19" t="inlineStr">
        <is>
          <t>d2 (g → ∞)</t>
        </is>
      </c>
      <c r="J41" s="39">
        <f>INDEX(MSA_d2,1,1)</f>
        <v/>
      </c>
      <c r="K41" s="39">
        <f>INDEX(MSA_d2,1,2)</f>
        <v/>
      </c>
      <c r="L41" s="39">
        <f>INDEX(MSA_d2,1,3)</f>
        <v/>
      </c>
      <c r="M41" s="39">
        <f>INDEX(MSA_d2,1,4)</f>
        <v/>
      </c>
      <c r="N41" s="39">
        <f>INDEX(MSA_d2,1,5)</f>
        <v/>
      </c>
      <c r="O41" s="39">
        <f>INDEX(MSA_d2,1,6)</f>
        <v/>
      </c>
      <c r="P41" s="39">
        <f>INDEX(MSA_d2,1,7)</f>
        <v/>
      </c>
      <c r="Q41" s="39">
        <f>INDEX(MSA_d2,1,8)</f>
        <v/>
      </c>
      <c r="R41" s="39">
        <f>INDEX(MSA_d2,1,9)</f>
        <v/>
      </c>
      <c r="S41" s="39">
        <f>INDEX(MSA_d2,1,10)</f>
        <v/>
      </c>
      <c r="T41" s="39">
        <f>INDEX(MSA_d2,1,11)</f>
        <v/>
      </c>
      <c r="U41" s="39">
        <f>INDEX(MSA_d2,1,12)</f>
        <v/>
      </c>
      <c r="V41" s="39">
        <f>INDEX(MSA_d2,1,13)</f>
        <v/>
      </c>
      <c r="W41" s="39">
        <f>INDEX(MSA_d2,1,14)</f>
        <v/>
      </c>
      <c r="X41" s="39">
        <f>INDEX(MSA_d2,1,15)</f>
        <v/>
      </c>
      <c r="Y41" s="39">
        <f>INDEX(MSA_d2,1,16)</f>
        <v/>
      </c>
      <c r="Z41" s="39">
        <f>INDEX(MSA_d2,1,17)</f>
        <v/>
      </c>
      <c r="AA41" s="39">
        <f>INDEX(MSA_d2,1,18)</f>
        <v/>
      </c>
      <c r="AB41" s="39">
        <f>INDEX(MSA_d2,1,19)</f>
        <v/>
      </c>
    </row>
    <row r="43">
      <c r="A43" s="5" t="inlineStr">
        <is>
          <t>5. ANOVA-methode (MSA p. 36-37): tweewegmodel zonder interactie, zoals de cursus</t>
        </is>
      </c>
    </row>
    <row r="44">
      <c r="A44" s="10" t="inlineStr">
        <is>
          <t>Variatiebron (source)</t>
        </is>
      </c>
      <c r="B44" s="10" t="inlineStr">
        <is>
          <t>SS</t>
        </is>
      </c>
      <c r="C44" s="10" t="inlineStr">
        <is>
          <t>df</t>
        </is>
      </c>
      <c r="D44" s="10" t="inlineStr">
        <is>
          <t>MS</t>
        </is>
      </c>
      <c r="E44" s="10" t="inlineStr">
        <is>
          <t>F</t>
        </is>
      </c>
      <c r="F44" s="10" t="inlineStr">
        <is>
          <t>p-waarde</t>
        </is>
      </c>
      <c r="G44" s="10" t="inlineStr">
        <is>
          <t>F krit. bij α</t>
        </is>
      </c>
    </row>
    <row r="45">
      <c r="A45" s="6" t="inlineStr">
        <is>
          <t>Delen (parts)</t>
        </is>
      </c>
      <c r="B45" s="11">
        <f>IF($B$25="ja",B20*B22*DEVSQ(B115:AY115),"")</f>
        <v/>
      </c>
      <c r="C45" s="28">
        <f>IF($B$25="ja",B21-1,"")</f>
        <v/>
      </c>
      <c r="D45" s="11">
        <f>IF(AND(ISNUMBER(B45),ISNUMBER(C45),N(C45)&gt;0),B45/C45,"")</f>
        <v/>
      </c>
      <c r="E45" s="11">
        <f>IF(AND(ISNUMBER(D45),ISNUMBER($D$47),N($D$47)&gt;0),D45/$D$47,"")</f>
        <v/>
      </c>
      <c r="F45" s="29">
        <f>IF(ISNUMBER(E45),_xlfn.F.DIST.RT(E45,C45,$C$47),"")</f>
        <v/>
      </c>
      <c r="G45" s="11">
        <f>IF(AND(ISNUMBER(C45),ISNUMBER($C$47),N(C45)&gt;0,N($C$47)&gt;0,ISNUMBER($B$10)),_xlfn.F.INV.RT($B$10,C45,$C$47),"")</f>
        <v/>
      </c>
    </row>
    <row r="46">
      <c r="A46" s="6" t="inlineStr">
        <is>
          <t>Operators</t>
        </is>
      </c>
      <c r="B46" s="11">
        <f>IF($B$25="ja",B21*B22*DEVSQ(AZ95:AZ114),"")</f>
        <v/>
      </c>
      <c r="C46" s="28">
        <f>IF($B$25="ja",B20-1,"")</f>
        <v/>
      </c>
      <c r="D46" s="11">
        <f>IF(AND(ISNUMBER(B46),ISNUMBER(C46),N(C46)&gt;0),B46/C46,"")</f>
        <v/>
      </c>
      <c r="E46" s="11">
        <f>IF(AND(ISNUMBER(D46),ISNUMBER($D$47),N($D$47)&gt;0),D46/$D$47,"")</f>
        <v/>
      </c>
      <c r="F46" s="29">
        <f>IF(ISNUMBER(E46),_xlfn.F.DIST.RT(E46,C46,$C$47),"")</f>
        <v/>
      </c>
      <c r="G46" s="11">
        <f>IF(AND(ISNUMBER(C46),ISNUMBER($C$47),N(C46)&gt;0,N($C$47)&gt;0,ISNUMBER($B$10)),_xlfn.F.INV.RT($B$10,C46,$C$47),"")</f>
        <v/>
      </c>
    </row>
    <row r="47">
      <c r="A47" s="6" t="inlineStr">
        <is>
          <t>Fout (error): herhaalbaarheid + interactie</t>
        </is>
      </c>
      <c r="B47" s="11">
        <f>IF($B$25="ja",DEVSQ($B$121:$AY$1120)-B20*B22*DEVSQ(B115:AY115)-B21*B22*DEVSQ(AZ95:AZ114),"")</f>
        <v/>
      </c>
      <c r="C47" s="28">
        <f>IF($B$25="ja",B21*B20*(B22-1)+(B20-1)*(B21-1),"")</f>
        <v/>
      </c>
      <c r="D47" s="11">
        <f>IF(AND(ISNUMBER(B47),ISNUMBER(C47),N(C47)&gt;0),B47/C47,"")</f>
        <v/>
      </c>
    </row>
    <row r="48">
      <c r="A48" s="6" t="inlineStr">
        <is>
          <t>Totaal</t>
        </is>
      </c>
      <c r="B48" s="11">
        <f>IF($B$25="ja",DEVSQ($B$121:$AY$1120),"")</f>
        <v/>
      </c>
      <c r="C48" s="28">
        <f>IF($B$25="ja",B21*B20*B22-1,"")</f>
        <v/>
      </c>
    </row>
    <row r="49">
      <c r="A49" s="6" t="inlineStr">
        <is>
          <t>EV = herhaalbaarheid (repeatability)</t>
        </is>
      </c>
      <c r="B49" s="29">
        <f>IF($B$25="ja",SQRT(D47),"")</f>
        <v/>
      </c>
      <c r="C49" s="8" t="inlineStr">
        <is>
          <t>MSA p. 36</t>
        </is>
      </c>
    </row>
    <row r="50">
      <c r="A50" s="6" t="inlineStr">
        <is>
          <t>AV = reproduceerbaarheid (reproducibility)</t>
        </is>
      </c>
      <c r="B50" s="29">
        <f>IF($B$25="ja",SQRT(MAX(0,(D46-D47)/(B21*B22))),"")</f>
        <v/>
      </c>
    </row>
    <row r="51">
      <c r="A51" s="6" t="inlineStr">
        <is>
          <t>PV = variatie tussen de delen (part variation)</t>
        </is>
      </c>
      <c r="B51" s="29">
        <f>IF($B$25="ja",SQRT(MAX(0,(D45-D47)/(B20*B22))),"")</f>
        <v/>
      </c>
    </row>
    <row r="52">
      <c r="A52" s="6" t="inlineStr">
        <is>
          <t>GRR = √(EV² + AV²)</t>
        </is>
      </c>
      <c r="B52" s="29">
        <f>IF(AND(ISNUMBER(B49),ISNUMBER(B50)),SQRT(B49^2+B50^2),"")</f>
        <v/>
      </c>
      <c r="C52" s="8" t="inlineStr">
        <is>
          <t>MSA p. 18, 35</t>
        </is>
      </c>
    </row>
    <row r="53">
      <c r="A53" s="6" t="inlineStr">
        <is>
          <t>TV = totale variatie (total variation) = √(GRR² + PV²)</t>
        </is>
      </c>
      <c r="B53" s="29">
        <f>IF(AND(ISNUMBER(B52),ISNUMBER(B51)),SQRT(B52^2+B51^2),"")</f>
        <v/>
      </c>
    </row>
    <row r="54">
      <c r="A54" s="6" t="inlineStr">
        <is>
          <t>%GRR t.o.v. totale variatie = GRR / TV</t>
        </is>
      </c>
      <c r="B54" s="33">
        <f>IF(ISNUMBER(B53),B52/B53,"")</f>
        <v/>
      </c>
      <c r="C54" s="8" t="inlineStr">
        <is>
          <t>MSA p. 35</t>
        </is>
      </c>
      <c r="D54" s="13">
        <f>IF(ISNUMBER(B54),IF(B54&lt;=$B$67,"aanvaardbaar (acceptable, ≤ 10 %)",IF(B54&lt;=$B$68,"mogelijk aanvaardbaar (may be acceptable, 10 - 30 %)","niet aanvaardbaar (not acceptable, &gt; 30 %)")),"")</f>
        <v/>
      </c>
    </row>
    <row r="55">
      <c r="A55" s="6" t="inlineStr">
        <is>
          <t>%GRR t.o.v. tolerantie = 6 · GRR / TOL</t>
        </is>
      </c>
      <c r="B55" s="33">
        <f>IF(AND(ISNUMBER(B52),ISNUMBER($B$9),$B$9&gt;0),6*B52/$B$9,"")</f>
        <v/>
      </c>
      <c r="C55" s="8" t="inlineStr">
        <is>
          <t>MSA p. 24</t>
        </is>
      </c>
      <c r="D55" s="13">
        <f>IF(ISNUMBER(B55),IF(B55&lt;=$B$67,"aanvaardbaar (acceptable, ≤ 10 %)",IF(B55&lt;=$B$68,"mogelijk aanvaardbaar (may be acceptable, 10 - 30 %)","niet aanvaardbaar (not acceptable, &gt; 30 %)")),"")</f>
        <v/>
      </c>
    </row>
    <row r="57">
      <c r="A57" s="5" t="inlineStr">
        <is>
          <t>6. ANOVA met de interactie operator × deel (zoals Excel 'Anova: two-factor with replication')</t>
        </is>
      </c>
    </row>
    <row r="58">
      <c r="A58" s="10" t="inlineStr">
        <is>
          <t>Variatiebron (source)</t>
        </is>
      </c>
      <c r="B58" s="10" t="inlineStr">
        <is>
          <t>SS</t>
        </is>
      </c>
      <c r="C58" s="10" t="inlineStr">
        <is>
          <t>df</t>
        </is>
      </c>
      <c r="D58" s="10" t="inlineStr">
        <is>
          <t>MS</t>
        </is>
      </c>
      <c r="E58" s="10" t="inlineStr">
        <is>
          <t>F</t>
        </is>
      </c>
      <c r="F58" s="10" t="inlineStr">
        <is>
          <t>p-waarde</t>
        </is>
      </c>
      <c r="G58" s="10" t="inlineStr">
        <is>
          <t>F krit. bij α</t>
        </is>
      </c>
    </row>
    <row r="59">
      <c r="A59" s="6" t="inlineStr">
        <is>
          <t>Delen (parts)</t>
        </is>
      </c>
      <c r="B59" s="11">
        <f>IF($B$25="ja",B20*B22*DEVSQ(B115:AY115),"")</f>
        <v/>
      </c>
      <c r="C59" s="28">
        <f>IF($B$25="ja",B21-1,"")</f>
        <v/>
      </c>
      <c r="D59" s="11">
        <f>IF(AND(ISNUMBER(B59),ISNUMBER(C59),N(C59)&gt;0),B59/C59,"")</f>
        <v/>
      </c>
      <c r="E59" s="11">
        <f>IF(AND(ISNUMBER(D59),ISNUMBER($D$62),N($D$62)&gt;0),D59/$D$62,"")</f>
        <v/>
      </c>
      <c r="F59" s="29">
        <f>IF(ISNUMBER(E59),_xlfn.F.DIST.RT(E59,C59,$C$62),"")</f>
        <v/>
      </c>
      <c r="G59" s="11">
        <f>IF(AND(ISNUMBER(C59),ISNUMBER($C$62),N(C59)&gt;0,N($C$62)&gt;0,ISNUMBER($B$10)),_xlfn.F.INV.RT($B$10,C59,$C$62),"")</f>
        <v/>
      </c>
    </row>
    <row r="60">
      <c r="A60" s="6" t="inlineStr">
        <is>
          <t>Operators</t>
        </is>
      </c>
      <c r="B60" s="11">
        <f>IF($B$25="ja",B21*B22*DEVSQ(AZ95:AZ114),"")</f>
        <v/>
      </c>
      <c r="C60" s="28">
        <f>IF($B$25="ja",B20-1,"")</f>
        <v/>
      </c>
      <c r="D60" s="11">
        <f>IF(AND(ISNUMBER(B60),ISNUMBER(C60),N(C60)&gt;0),B60/C60,"")</f>
        <v/>
      </c>
      <c r="E60" s="11">
        <f>IF(AND(ISNUMBER(D60),ISNUMBER($D$62),N($D$62)&gt;0),D60/$D$62,"")</f>
        <v/>
      </c>
      <c r="F60" s="29">
        <f>IF(ISNUMBER(E60),_xlfn.F.DIST.RT(E60,C60,$C$62),"")</f>
        <v/>
      </c>
      <c r="G60" s="11">
        <f>IF(AND(ISNUMBER(C60),ISNUMBER($C$62),N(C60)&gt;0,N($C$62)&gt;0,ISNUMBER($B$10)),_xlfn.F.INV.RT($B$10,C60,$C$62),"")</f>
        <v/>
      </c>
    </row>
    <row r="61">
      <c r="A61" s="6" t="inlineStr">
        <is>
          <t>Interactie operator × deel</t>
        </is>
      </c>
      <c r="B61" s="11">
        <f>IF($B$25="ja",B22*DEVSQ(B95:AY114)-B20*B22*DEVSQ(B115:AY115)-B21*B22*DEVSQ(AZ95:AZ114),"")</f>
        <v/>
      </c>
      <c r="C61" s="28">
        <f>IF($B$25="ja",(B21-1)*(B20-1),"")</f>
        <v/>
      </c>
      <c r="D61" s="11">
        <f>IF(AND(ISNUMBER(B61),ISNUMBER(C61),N(C61)&gt;0),B61/C61,"")</f>
        <v/>
      </c>
      <c r="E61" s="11">
        <f>IF(AND(ISNUMBER(D61),ISNUMBER($D$62),N($D$62)&gt;0),D61/$D$62,"")</f>
        <v/>
      </c>
      <c r="F61" s="29">
        <f>IF(ISNUMBER(E61),_xlfn.F.DIST.RT(E61,C61,$C$62),"")</f>
        <v/>
      </c>
      <c r="G61" s="11">
        <f>IF(AND(ISNUMBER(C61),ISNUMBER($C$62),N(C61)&gt;0,N($C$62)&gt;0,ISNUMBER($B$10)),_xlfn.F.INV.RT($B$10,C61,$C$62),"")</f>
        <v/>
      </c>
    </row>
    <row r="62">
      <c r="A62" s="6" t="inlineStr">
        <is>
          <t>Binnen (within): herhaalbaarheid</t>
        </is>
      </c>
      <c r="B62" s="11">
        <f>IF($B$25="ja",DEVSQ($B$121:$AY$1120)-B22*DEVSQ(B95:AY114),"")</f>
        <v/>
      </c>
      <c r="C62" s="28">
        <f>IF($B$25="ja",B21*B20*(B22-1),"")</f>
        <v/>
      </c>
      <c r="D62" s="11">
        <f>IF(AND(ISNUMBER(B62),ISNUMBER(C62),N(C62)&gt;0),B62/C62,"")</f>
        <v/>
      </c>
    </row>
    <row r="63">
      <c r="A63" s="6" t="inlineStr">
        <is>
          <t>Totaal</t>
        </is>
      </c>
      <c r="B63" s="11">
        <f>IF($B$25="ja",DEVSQ($B$121:$AY$1120),"")</f>
        <v/>
      </c>
      <c r="C63" s="28">
        <f>IF($B$25="ja",B21*B20*B22-1,"")</f>
        <v/>
      </c>
    </row>
    <row r="64">
      <c r="A64" s="8" t="inlineStr">
        <is>
          <t>Een grote p-waarde van de interactie steunt het poolen ervan in de fout, zoals sectie 5 doet (de 'afgeleide ANOVA-tabel zonder interactie' van het cursuswerkboek). De cursus geeft EV, AV, PV alleen voor sectie 5.</t>
        </is>
      </c>
    </row>
    <row r="66">
      <c r="A66" s="5" t="inlineStr">
        <is>
          <t>7. Aanvaarding van het meetsysteem</t>
        </is>
      </c>
    </row>
    <row r="67">
      <c r="A67" s="6" t="inlineStr">
        <is>
          <t>%GRR ≤ dit: aanvaardbaar</t>
        </is>
      </c>
      <c r="B67" s="41" t="n">
        <v>0.1</v>
      </c>
      <c r="C67" s="8" t="inlineStr">
        <is>
          <t>MSA p. 35 ('%GRR &lt;= 10% : gauge generally considered to be acceptable')</t>
        </is>
      </c>
    </row>
    <row r="68">
      <c r="A68" s="6" t="inlineStr">
        <is>
          <t>%GRR ≤ dit: mogelijk aanvaardbaar; erboven: niet aanvaardbaar</t>
        </is>
      </c>
      <c r="B68" s="41" t="n">
        <v>0.3</v>
      </c>
      <c r="C68" s="8" t="inlineStr">
        <is>
          <t>MSA p. 35 (10 % - 30 %: hangt af van de toepassing; &gt; 30 %: niet aanvaardbaar)</t>
        </is>
      </c>
    </row>
    <row r="69">
      <c r="A69" s="8" t="inlineStr">
        <is>
          <t>Andere drempels: 'Gauge R&amp;R ≤ 20 % of tolerance' (deck Les 4 p. 61); σ²_measure / σ²_observed ≤ 0,1 goed, 0,1-0,3 marginaal, ≥ 0,3 onaanvaardbaar: Dummies p. 178 (extra, Dummies; niet te kennen).</t>
        </is>
      </c>
    </row>
    <row r="70">
      <c r="A70" s="8" t="inlineStr">
        <is>
          <t>Vermenigvuldigingsfactor 6 (99,73 %) zoals in de MSA-formules; vroeger 5,15 (99 %), MSA p. 24. ndc (number of distinct categories, aantal onderscheiden categorieën) staat niet in de cursus.</t>
        </is>
      </c>
    </row>
    <row r="72">
      <c r="A72" s="5" t="inlineStr">
        <is>
          <t>8. Per operator en deel (berekend uit sectie 9)</t>
        </is>
      </c>
    </row>
    <row r="73">
      <c r="A73" s="10" t="inlineStr">
        <is>
          <t>Spreidingsbreedte (range) over de herhalingen</t>
        </is>
      </c>
      <c r="B73" s="10" t="inlineStr">
        <is>
          <t>Deel 1</t>
        </is>
      </c>
      <c r="C73" s="10" t="inlineStr">
        <is>
          <t>Deel 2</t>
        </is>
      </c>
      <c r="D73" s="10" t="inlineStr">
        <is>
          <t>Deel 3</t>
        </is>
      </c>
      <c r="E73" s="10" t="inlineStr">
        <is>
          <t>Deel 4</t>
        </is>
      </c>
      <c r="F73" s="10" t="inlineStr">
        <is>
          <t>Deel 5</t>
        </is>
      </c>
      <c r="G73" s="10" t="inlineStr">
        <is>
          <t>Deel 6</t>
        </is>
      </c>
      <c r="H73" s="10" t="inlineStr">
        <is>
          <t>Deel 7</t>
        </is>
      </c>
      <c r="I73" s="10" t="inlineStr">
        <is>
          <t>Deel 8</t>
        </is>
      </c>
      <c r="J73" s="10" t="inlineStr">
        <is>
          <t>Deel 9</t>
        </is>
      </c>
      <c r="K73" s="10" t="inlineStr">
        <is>
          <t>Deel 10</t>
        </is>
      </c>
      <c r="L73" s="10" t="inlineStr">
        <is>
          <t>Deel 11</t>
        </is>
      </c>
      <c r="M73" s="10" t="inlineStr">
        <is>
          <t>Deel 12</t>
        </is>
      </c>
      <c r="N73" s="10" t="inlineStr">
        <is>
          <t>Deel 13</t>
        </is>
      </c>
      <c r="O73" s="10" t="inlineStr">
        <is>
          <t>Deel 14</t>
        </is>
      </c>
      <c r="P73" s="10" t="inlineStr">
        <is>
          <t>Deel 15</t>
        </is>
      </c>
      <c r="Q73" s="10" t="inlineStr">
        <is>
          <t>Deel 16</t>
        </is>
      </c>
      <c r="R73" s="10" t="inlineStr">
        <is>
          <t>Deel 17</t>
        </is>
      </c>
      <c r="S73" s="10" t="inlineStr">
        <is>
          <t>Deel 18</t>
        </is>
      </c>
      <c r="T73" s="10" t="inlineStr">
        <is>
          <t>Deel 19</t>
        </is>
      </c>
      <c r="U73" s="10" t="inlineStr">
        <is>
          <t>Deel 20</t>
        </is>
      </c>
      <c r="V73" s="10" t="inlineStr">
        <is>
          <t>Deel 21</t>
        </is>
      </c>
      <c r="W73" s="10" t="inlineStr">
        <is>
          <t>Deel 22</t>
        </is>
      </c>
      <c r="X73" s="10" t="inlineStr">
        <is>
          <t>Deel 23</t>
        </is>
      </c>
      <c r="Y73" s="10" t="inlineStr">
        <is>
          <t>Deel 24</t>
        </is>
      </c>
      <c r="Z73" s="10" t="inlineStr">
        <is>
          <t>Deel 25</t>
        </is>
      </c>
      <c r="AA73" s="10" t="inlineStr">
        <is>
          <t>Deel 26</t>
        </is>
      </c>
      <c r="AB73" s="10" t="inlineStr">
        <is>
          <t>Deel 27</t>
        </is>
      </c>
      <c r="AC73" s="10" t="inlineStr">
        <is>
          <t>Deel 28</t>
        </is>
      </c>
      <c r="AD73" s="10" t="inlineStr">
        <is>
          <t>Deel 29</t>
        </is>
      </c>
      <c r="AE73" s="10" t="inlineStr">
        <is>
          <t>Deel 30</t>
        </is>
      </c>
      <c r="AF73" s="10" t="inlineStr">
        <is>
          <t>Deel 31</t>
        </is>
      </c>
      <c r="AG73" s="10" t="inlineStr">
        <is>
          <t>Deel 32</t>
        </is>
      </c>
      <c r="AH73" s="10" t="inlineStr">
        <is>
          <t>Deel 33</t>
        </is>
      </c>
      <c r="AI73" s="10" t="inlineStr">
        <is>
          <t>Deel 34</t>
        </is>
      </c>
      <c r="AJ73" s="10" t="inlineStr">
        <is>
          <t>Deel 35</t>
        </is>
      </c>
      <c r="AK73" s="10" t="inlineStr">
        <is>
          <t>Deel 36</t>
        </is>
      </c>
      <c r="AL73" s="10" t="inlineStr">
        <is>
          <t>Deel 37</t>
        </is>
      </c>
      <c r="AM73" s="10" t="inlineStr">
        <is>
          <t>Deel 38</t>
        </is>
      </c>
      <c r="AN73" s="10" t="inlineStr">
        <is>
          <t>Deel 39</t>
        </is>
      </c>
      <c r="AO73" s="10" t="inlineStr">
        <is>
          <t>Deel 40</t>
        </is>
      </c>
      <c r="AP73" s="10" t="inlineStr">
        <is>
          <t>Deel 41</t>
        </is>
      </c>
      <c r="AQ73" s="10" t="inlineStr">
        <is>
          <t>Deel 42</t>
        </is>
      </c>
      <c r="AR73" s="10" t="inlineStr">
        <is>
          <t>Deel 43</t>
        </is>
      </c>
      <c r="AS73" s="10" t="inlineStr">
        <is>
          <t>Deel 44</t>
        </is>
      </c>
      <c r="AT73" s="10" t="inlineStr">
        <is>
          <t>Deel 45</t>
        </is>
      </c>
      <c r="AU73" s="10" t="inlineStr">
        <is>
          <t>Deel 46</t>
        </is>
      </c>
      <c r="AV73" s="10" t="inlineStr">
        <is>
          <t>Deel 47</t>
        </is>
      </c>
      <c r="AW73" s="10" t="inlineStr">
        <is>
          <t>Deel 48</t>
        </is>
      </c>
      <c r="AX73" s="10" t="inlineStr">
        <is>
          <t>Deel 49</t>
        </is>
      </c>
      <c r="AY73" s="10" t="inlineStr">
        <is>
          <t>Deel 50</t>
        </is>
      </c>
      <c r="AZ73" s="10" t="inlineStr"/>
      <c r="BA73" s="10" t="inlineStr">
        <is>
          <t>herhalingen r</t>
        </is>
      </c>
      <c r="BB73" s="10" t="inlineStr">
        <is>
          <t>eerste rij</t>
        </is>
      </c>
      <c r="BC73" s="10" t="inlineStr">
        <is>
          <t>rijen bij elkaar?</t>
        </is>
      </c>
    </row>
    <row r="74">
      <c r="A74" s="13">
        <f>IFERROR(INDEX($BA$121:$BA$1120,MATCH(1,$BB$121:$BB$1120,0)),"")</f>
        <v/>
      </c>
      <c r="B74" s="29">
        <f>IF(OR($A74="",B$116=0),"",IF(COUNT(OFFSET(B$121,$BB74-1,0,$BA74,1))&gt;1,MAX(OFFSET(B$121,$BB74-1,0,$BA74,1))-MIN(OFFSET(B$121,$BB74-1,0,$BA74,1)),""))</f>
        <v/>
      </c>
      <c r="C74" s="29">
        <f>IF(OR($A74="",C$116=0),"",IF(COUNT(OFFSET(C$121,$BB74-1,0,$BA74,1))&gt;1,MAX(OFFSET(C$121,$BB74-1,0,$BA74,1))-MIN(OFFSET(C$121,$BB74-1,0,$BA74,1)),""))</f>
        <v/>
      </c>
      <c r="D74" s="29">
        <f>IF(OR($A74="",D$116=0),"",IF(COUNT(OFFSET(D$121,$BB74-1,0,$BA74,1))&gt;1,MAX(OFFSET(D$121,$BB74-1,0,$BA74,1))-MIN(OFFSET(D$121,$BB74-1,0,$BA74,1)),""))</f>
        <v/>
      </c>
      <c r="E74" s="29">
        <f>IF(OR($A74="",E$116=0),"",IF(COUNT(OFFSET(E$121,$BB74-1,0,$BA74,1))&gt;1,MAX(OFFSET(E$121,$BB74-1,0,$BA74,1))-MIN(OFFSET(E$121,$BB74-1,0,$BA74,1)),""))</f>
        <v/>
      </c>
      <c r="F74" s="29">
        <f>IF(OR($A74="",F$116=0),"",IF(COUNT(OFFSET(F$121,$BB74-1,0,$BA74,1))&gt;1,MAX(OFFSET(F$121,$BB74-1,0,$BA74,1))-MIN(OFFSET(F$121,$BB74-1,0,$BA74,1)),""))</f>
        <v/>
      </c>
      <c r="G74" s="29">
        <f>IF(OR($A74="",G$116=0),"",IF(COUNT(OFFSET(G$121,$BB74-1,0,$BA74,1))&gt;1,MAX(OFFSET(G$121,$BB74-1,0,$BA74,1))-MIN(OFFSET(G$121,$BB74-1,0,$BA74,1)),""))</f>
        <v/>
      </c>
      <c r="H74" s="29">
        <f>IF(OR($A74="",H$116=0),"",IF(COUNT(OFFSET(H$121,$BB74-1,0,$BA74,1))&gt;1,MAX(OFFSET(H$121,$BB74-1,0,$BA74,1))-MIN(OFFSET(H$121,$BB74-1,0,$BA74,1)),""))</f>
        <v/>
      </c>
      <c r="I74" s="29">
        <f>IF(OR($A74="",I$116=0),"",IF(COUNT(OFFSET(I$121,$BB74-1,0,$BA74,1))&gt;1,MAX(OFFSET(I$121,$BB74-1,0,$BA74,1))-MIN(OFFSET(I$121,$BB74-1,0,$BA74,1)),""))</f>
        <v/>
      </c>
      <c r="J74" s="29">
        <f>IF(OR($A74="",J$116=0),"",IF(COUNT(OFFSET(J$121,$BB74-1,0,$BA74,1))&gt;1,MAX(OFFSET(J$121,$BB74-1,0,$BA74,1))-MIN(OFFSET(J$121,$BB74-1,0,$BA74,1)),""))</f>
        <v/>
      </c>
      <c r="K74" s="29">
        <f>IF(OR($A74="",K$116=0),"",IF(COUNT(OFFSET(K$121,$BB74-1,0,$BA74,1))&gt;1,MAX(OFFSET(K$121,$BB74-1,0,$BA74,1))-MIN(OFFSET(K$121,$BB74-1,0,$BA74,1)),""))</f>
        <v/>
      </c>
      <c r="L74" s="29">
        <f>IF(OR($A74="",L$116=0),"",IF(COUNT(OFFSET(L$121,$BB74-1,0,$BA74,1))&gt;1,MAX(OFFSET(L$121,$BB74-1,0,$BA74,1))-MIN(OFFSET(L$121,$BB74-1,0,$BA74,1)),""))</f>
        <v/>
      </c>
      <c r="M74" s="29">
        <f>IF(OR($A74="",M$116=0),"",IF(COUNT(OFFSET(M$121,$BB74-1,0,$BA74,1))&gt;1,MAX(OFFSET(M$121,$BB74-1,0,$BA74,1))-MIN(OFFSET(M$121,$BB74-1,0,$BA74,1)),""))</f>
        <v/>
      </c>
      <c r="N74" s="29">
        <f>IF(OR($A74="",N$116=0),"",IF(COUNT(OFFSET(N$121,$BB74-1,0,$BA74,1))&gt;1,MAX(OFFSET(N$121,$BB74-1,0,$BA74,1))-MIN(OFFSET(N$121,$BB74-1,0,$BA74,1)),""))</f>
        <v/>
      </c>
      <c r="O74" s="29">
        <f>IF(OR($A74="",O$116=0),"",IF(COUNT(OFFSET(O$121,$BB74-1,0,$BA74,1))&gt;1,MAX(OFFSET(O$121,$BB74-1,0,$BA74,1))-MIN(OFFSET(O$121,$BB74-1,0,$BA74,1)),""))</f>
        <v/>
      </c>
      <c r="P74" s="29">
        <f>IF(OR($A74="",P$116=0),"",IF(COUNT(OFFSET(P$121,$BB74-1,0,$BA74,1))&gt;1,MAX(OFFSET(P$121,$BB74-1,0,$BA74,1))-MIN(OFFSET(P$121,$BB74-1,0,$BA74,1)),""))</f>
        <v/>
      </c>
      <c r="Q74" s="29">
        <f>IF(OR($A74="",Q$116=0),"",IF(COUNT(OFFSET(Q$121,$BB74-1,0,$BA74,1))&gt;1,MAX(OFFSET(Q$121,$BB74-1,0,$BA74,1))-MIN(OFFSET(Q$121,$BB74-1,0,$BA74,1)),""))</f>
        <v/>
      </c>
      <c r="R74" s="29">
        <f>IF(OR($A74="",R$116=0),"",IF(COUNT(OFFSET(R$121,$BB74-1,0,$BA74,1))&gt;1,MAX(OFFSET(R$121,$BB74-1,0,$BA74,1))-MIN(OFFSET(R$121,$BB74-1,0,$BA74,1)),""))</f>
        <v/>
      </c>
      <c r="S74" s="29">
        <f>IF(OR($A74="",S$116=0),"",IF(COUNT(OFFSET(S$121,$BB74-1,0,$BA74,1))&gt;1,MAX(OFFSET(S$121,$BB74-1,0,$BA74,1))-MIN(OFFSET(S$121,$BB74-1,0,$BA74,1)),""))</f>
        <v/>
      </c>
      <c r="T74" s="29">
        <f>IF(OR($A74="",T$116=0),"",IF(COUNT(OFFSET(T$121,$BB74-1,0,$BA74,1))&gt;1,MAX(OFFSET(T$121,$BB74-1,0,$BA74,1))-MIN(OFFSET(T$121,$BB74-1,0,$BA74,1)),""))</f>
        <v/>
      </c>
      <c r="U74" s="29">
        <f>IF(OR($A74="",U$116=0),"",IF(COUNT(OFFSET(U$121,$BB74-1,0,$BA74,1))&gt;1,MAX(OFFSET(U$121,$BB74-1,0,$BA74,1))-MIN(OFFSET(U$121,$BB74-1,0,$BA74,1)),""))</f>
        <v/>
      </c>
      <c r="V74" s="29">
        <f>IF(OR($A74="",V$116=0),"",IF(COUNT(OFFSET(V$121,$BB74-1,0,$BA74,1))&gt;1,MAX(OFFSET(V$121,$BB74-1,0,$BA74,1))-MIN(OFFSET(V$121,$BB74-1,0,$BA74,1)),""))</f>
        <v/>
      </c>
      <c r="W74" s="29">
        <f>IF(OR($A74="",W$116=0),"",IF(COUNT(OFFSET(W$121,$BB74-1,0,$BA74,1))&gt;1,MAX(OFFSET(W$121,$BB74-1,0,$BA74,1))-MIN(OFFSET(W$121,$BB74-1,0,$BA74,1)),""))</f>
        <v/>
      </c>
      <c r="X74" s="29">
        <f>IF(OR($A74="",X$116=0),"",IF(COUNT(OFFSET(X$121,$BB74-1,0,$BA74,1))&gt;1,MAX(OFFSET(X$121,$BB74-1,0,$BA74,1))-MIN(OFFSET(X$121,$BB74-1,0,$BA74,1)),""))</f>
        <v/>
      </c>
      <c r="Y74" s="29">
        <f>IF(OR($A74="",Y$116=0),"",IF(COUNT(OFFSET(Y$121,$BB74-1,0,$BA74,1))&gt;1,MAX(OFFSET(Y$121,$BB74-1,0,$BA74,1))-MIN(OFFSET(Y$121,$BB74-1,0,$BA74,1)),""))</f>
        <v/>
      </c>
      <c r="Z74" s="29">
        <f>IF(OR($A74="",Z$116=0),"",IF(COUNT(OFFSET(Z$121,$BB74-1,0,$BA74,1))&gt;1,MAX(OFFSET(Z$121,$BB74-1,0,$BA74,1))-MIN(OFFSET(Z$121,$BB74-1,0,$BA74,1)),""))</f>
        <v/>
      </c>
      <c r="AA74" s="29">
        <f>IF(OR($A74="",AA$116=0),"",IF(COUNT(OFFSET(AA$121,$BB74-1,0,$BA74,1))&gt;1,MAX(OFFSET(AA$121,$BB74-1,0,$BA74,1))-MIN(OFFSET(AA$121,$BB74-1,0,$BA74,1)),""))</f>
        <v/>
      </c>
      <c r="AB74" s="29">
        <f>IF(OR($A74="",AB$116=0),"",IF(COUNT(OFFSET(AB$121,$BB74-1,0,$BA74,1))&gt;1,MAX(OFFSET(AB$121,$BB74-1,0,$BA74,1))-MIN(OFFSET(AB$121,$BB74-1,0,$BA74,1)),""))</f>
        <v/>
      </c>
      <c r="AC74" s="29">
        <f>IF(OR($A74="",AC$116=0),"",IF(COUNT(OFFSET(AC$121,$BB74-1,0,$BA74,1))&gt;1,MAX(OFFSET(AC$121,$BB74-1,0,$BA74,1))-MIN(OFFSET(AC$121,$BB74-1,0,$BA74,1)),""))</f>
        <v/>
      </c>
      <c r="AD74" s="29">
        <f>IF(OR($A74="",AD$116=0),"",IF(COUNT(OFFSET(AD$121,$BB74-1,0,$BA74,1))&gt;1,MAX(OFFSET(AD$121,$BB74-1,0,$BA74,1))-MIN(OFFSET(AD$121,$BB74-1,0,$BA74,1)),""))</f>
        <v/>
      </c>
      <c r="AE74" s="29">
        <f>IF(OR($A74="",AE$116=0),"",IF(COUNT(OFFSET(AE$121,$BB74-1,0,$BA74,1))&gt;1,MAX(OFFSET(AE$121,$BB74-1,0,$BA74,1))-MIN(OFFSET(AE$121,$BB74-1,0,$BA74,1)),""))</f>
        <v/>
      </c>
      <c r="AF74" s="29">
        <f>IF(OR($A74="",AF$116=0),"",IF(COUNT(OFFSET(AF$121,$BB74-1,0,$BA74,1))&gt;1,MAX(OFFSET(AF$121,$BB74-1,0,$BA74,1))-MIN(OFFSET(AF$121,$BB74-1,0,$BA74,1)),""))</f>
        <v/>
      </c>
      <c r="AG74" s="29">
        <f>IF(OR($A74="",AG$116=0),"",IF(COUNT(OFFSET(AG$121,$BB74-1,0,$BA74,1))&gt;1,MAX(OFFSET(AG$121,$BB74-1,0,$BA74,1))-MIN(OFFSET(AG$121,$BB74-1,0,$BA74,1)),""))</f>
        <v/>
      </c>
      <c r="AH74" s="29">
        <f>IF(OR($A74="",AH$116=0),"",IF(COUNT(OFFSET(AH$121,$BB74-1,0,$BA74,1))&gt;1,MAX(OFFSET(AH$121,$BB74-1,0,$BA74,1))-MIN(OFFSET(AH$121,$BB74-1,0,$BA74,1)),""))</f>
        <v/>
      </c>
      <c r="AI74" s="29">
        <f>IF(OR($A74="",AI$116=0),"",IF(COUNT(OFFSET(AI$121,$BB74-1,0,$BA74,1))&gt;1,MAX(OFFSET(AI$121,$BB74-1,0,$BA74,1))-MIN(OFFSET(AI$121,$BB74-1,0,$BA74,1)),""))</f>
        <v/>
      </c>
      <c r="AJ74" s="29">
        <f>IF(OR($A74="",AJ$116=0),"",IF(COUNT(OFFSET(AJ$121,$BB74-1,0,$BA74,1))&gt;1,MAX(OFFSET(AJ$121,$BB74-1,0,$BA74,1))-MIN(OFFSET(AJ$121,$BB74-1,0,$BA74,1)),""))</f>
        <v/>
      </c>
      <c r="AK74" s="29">
        <f>IF(OR($A74="",AK$116=0),"",IF(COUNT(OFFSET(AK$121,$BB74-1,0,$BA74,1))&gt;1,MAX(OFFSET(AK$121,$BB74-1,0,$BA74,1))-MIN(OFFSET(AK$121,$BB74-1,0,$BA74,1)),""))</f>
        <v/>
      </c>
      <c r="AL74" s="29">
        <f>IF(OR($A74="",AL$116=0),"",IF(COUNT(OFFSET(AL$121,$BB74-1,0,$BA74,1))&gt;1,MAX(OFFSET(AL$121,$BB74-1,0,$BA74,1))-MIN(OFFSET(AL$121,$BB74-1,0,$BA74,1)),""))</f>
        <v/>
      </c>
      <c r="AM74" s="29">
        <f>IF(OR($A74="",AM$116=0),"",IF(COUNT(OFFSET(AM$121,$BB74-1,0,$BA74,1))&gt;1,MAX(OFFSET(AM$121,$BB74-1,0,$BA74,1))-MIN(OFFSET(AM$121,$BB74-1,0,$BA74,1)),""))</f>
        <v/>
      </c>
      <c r="AN74" s="29">
        <f>IF(OR($A74="",AN$116=0),"",IF(COUNT(OFFSET(AN$121,$BB74-1,0,$BA74,1))&gt;1,MAX(OFFSET(AN$121,$BB74-1,0,$BA74,1))-MIN(OFFSET(AN$121,$BB74-1,0,$BA74,1)),""))</f>
        <v/>
      </c>
      <c r="AO74" s="29">
        <f>IF(OR($A74="",AO$116=0),"",IF(COUNT(OFFSET(AO$121,$BB74-1,0,$BA74,1))&gt;1,MAX(OFFSET(AO$121,$BB74-1,0,$BA74,1))-MIN(OFFSET(AO$121,$BB74-1,0,$BA74,1)),""))</f>
        <v/>
      </c>
      <c r="AP74" s="29">
        <f>IF(OR($A74="",AP$116=0),"",IF(COUNT(OFFSET(AP$121,$BB74-1,0,$BA74,1))&gt;1,MAX(OFFSET(AP$121,$BB74-1,0,$BA74,1))-MIN(OFFSET(AP$121,$BB74-1,0,$BA74,1)),""))</f>
        <v/>
      </c>
      <c r="AQ74" s="29">
        <f>IF(OR($A74="",AQ$116=0),"",IF(COUNT(OFFSET(AQ$121,$BB74-1,0,$BA74,1))&gt;1,MAX(OFFSET(AQ$121,$BB74-1,0,$BA74,1))-MIN(OFFSET(AQ$121,$BB74-1,0,$BA74,1)),""))</f>
        <v/>
      </c>
      <c r="AR74" s="29">
        <f>IF(OR($A74="",AR$116=0),"",IF(COUNT(OFFSET(AR$121,$BB74-1,0,$BA74,1))&gt;1,MAX(OFFSET(AR$121,$BB74-1,0,$BA74,1))-MIN(OFFSET(AR$121,$BB74-1,0,$BA74,1)),""))</f>
        <v/>
      </c>
      <c r="AS74" s="29">
        <f>IF(OR($A74="",AS$116=0),"",IF(COUNT(OFFSET(AS$121,$BB74-1,0,$BA74,1))&gt;1,MAX(OFFSET(AS$121,$BB74-1,0,$BA74,1))-MIN(OFFSET(AS$121,$BB74-1,0,$BA74,1)),""))</f>
        <v/>
      </c>
      <c r="AT74" s="29">
        <f>IF(OR($A74="",AT$116=0),"",IF(COUNT(OFFSET(AT$121,$BB74-1,0,$BA74,1))&gt;1,MAX(OFFSET(AT$121,$BB74-1,0,$BA74,1))-MIN(OFFSET(AT$121,$BB74-1,0,$BA74,1)),""))</f>
        <v/>
      </c>
      <c r="AU74" s="29">
        <f>IF(OR($A74="",AU$116=0),"",IF(COUNT(OFFSET(AU$121,$BB74-1,0,$BA74,1))&gt;1,MAX(OFFSET(AU$121,$BB74-1,0,$BA74,1))-MIN(OFFSET(AU$121,$BB74-1,0,$BA74,1)),""))</f>
        <v/>
      </c>
      <c r="AV74" s="29">
        <f>IF(OR($A74="",AV$116=0),"",IF(COUNT(OFFSET(AV$121,$BB74-1,0,$BA74,1))&gt;1,MAX(OFFSET(AV$121,$BB74-1,0,$BA74,1))-MIN(OFFSET(AV$121,$BB74-1,0,$BA74,1)),""))</f>
        <v/>
      </c>
      <c r="AW74" s="29">
        <f>IF(OR($A74="",AW$116=0),"",IF(COUNT(OFFSET(AW$121,$BB74-1,0,$BA74,1))&gt;1,MAX(OFFSET(AW$121,$BB74-1,0,$BA74,1))-MIN(OFFSET(AW$121,$BB74-1,0,$BA74,1)),""))</f>
        <v/>
      </c>
      <c r="AX74" s="29">
        <f>IF(OR($A74="",AX$116=0),"",IF(COUNT(OFFSET(AX$121,$BB74-1,0,$BA74,1))&gt;1,MAX(OFFSET(AX$121,$BB74-1,0,$BA74,1))-MIN(OFFSET(AX$121,$BB74-1,0,$BA74,1)),""))</f>
        <v/>
      </c>
      <c r="AY74" s="29">
        <f>IF(OR($A74="",AY$116=0),"",IF(COUNT(OFFSET(AY$121,$BB74-1,0,$BA74,1))&gt;1,MAX(OFFSET(AY$121,$BB74-1,0,$BA74,1))-MIN(OFFSET(AY$121,$BB74-1,0,$BA74,1)),""))</f>
        <v/>
      </c>
      <c r="BA74" s="28">
        <f>IF($A74="","",COUNTIF($BA$121:$BA$1120,$A74))</f>
        <v/>
      </c>
      <c r="BB74" s="28">
        <f>IF($A74="","",MATCH($A74,$BA$121:$BA$1120,0))</f>
        <v/>
      </c>
      <c r="BC74" s="13">
        <f>IF($A74="","",IF(COUNTIF(OFFSET($BA$121,$BB74-1,0,$BA74,1),$A74)=$BA74,"ja","NEE"))</f>
        <v/>
      </c>
    </row>
    <row r="75">
      <c r="A75" s="13">
        <f>IFERROR(INDEX($BA$121:$BA$1120,MATCH(2,$BB$121:$BB$1120,0)),"")</f>
        <v/>
      </c>
      <c r="B75" s="29">
        <f>IF(OR($A75="",B$116=0),"",IF(COUNT(OFFSET(B$121,$BB75-1,0,$BA75,1))&gt;1,MAX(OFFSET(B$121,$BB75-1,0,$BA75,1))-MIN(OFFSET(B$121,$BB75-1,0,$BA75,1)),""))</f>
        <v/>
      </c>
      <c r="C75" s="29">
        <f>IF(OR($A75="",C$116=0),"",IF(COUNT(OFFSET(C$121,$BB75-1,0,$BA75,1))&gt;1,MAX(OFFSET(C$121,$BB75-1,0,$BA75,1))-MIN(OFFSET(C$121,$BB75-1,0,$BA75,1)),""))</f>
        <v/>
      </c>
      <c r="D75" s="29">
        <f>IF(OR($A75="",D$116=0),"",IF(COUNT(OFFSET(D$121,$BB75-1,0,$BA75,1))&gt;1,MAX(OFFSET(D$121,$BB75-1,0,$BA75,1))-MIN(OFFSET(D$121,$BB75-1,0,$BA75,1)),""))</f>
        <v/>
      </c>
      <c r="E75" s="29">
        <f>IF(OR($A75="",E$116=0),"",IF(COUNT(OFFSET(E$121,$BB75-1,0,$BA75,1))&gt;1,MAX(OFFSET(E$121,$BB75-1,0,$BA75,1))-MIN(OFFSET(E$121,$BB75-1,0,$BA75,1)),""))</f>
        <v/>
      </c>
      <c r="F75" s="29">
        <f>IF(OR($A75="",F$116=0),"",IF(COUNT(OFFSET(F$121,$BB75-1,0,$BA75,1))&gt;1,MAX(OFFSET(F$121,$BB75-1,0,$BA75,1))-MIN(OFFSET(F$121,$BB75-1,0,$BA75,1)),""))</f>
        <v/>
      </c>
      <c r="G75" s="29">
        <f>IF(OR($A75="",G$116=0),"",IF(COUNT(OFFSET(G$121,$BB75-1,0,$BA75,1))&gt;1,MAX(OFFSET(G$121,$BB75-1,0,$BA75,1))-MIN(OFFSET(G$121,$BB75-1,0,$BA75,1)),""))</f>
        <v/>
      </c>
      <c r="H75" s="29">
        <f>IF(OR($A75="",H$116=0),"",IF(COUNT(OFFSET(H$121,$BB75-1,0,$BA75,1))&gt;1,MAX(OFFSET(H$121,$BB75-1,0,$BA75,1))-MIN(OFFSET(H$121,$BB75-1,0,$BA75,1)),""))</f>
        <v/>
      </c>
      <c r="I75" s="29">
        <f>IF(OR($A75="",I$116=0),"",IF(COUNT(OFFSET(I$121,$BB75-1,0,$BA75,1))&gt;1,MAX(OFFSET(I$121,$BB75-1,0,$BA75,1))-MIN(OFFSET(I$121,$BB75-1,0,$BA75,1)),""))</f>
        <v/>
      </c>
      <c r="J75" s="29">
        <f>IF(OR($A75="",J$116=0),"",IF(COUNT(OFFSET(J$121,$BB75-1,0,$BA75,1))&gt;1,MAX(OFFSET(J$121,$BB75-1,0,$BA75,1))-MIN(OFFSET(J$121,$BB75-1,0,$BA75,1)),""))</f>
        <v/>
      </c>
      <c r="K75" s="29">
        <f>IF(OR($A75="",K$116=0),"",IF(COUNT(OFFSET(K$121,$BB75-1,0,$BA75,1))&gt;1,MAX(OFFSET(K$121,$BB75-1,0,$BA75,1))-MIN(OFFSET(K$121,$BB75-1,0,$BA75,1)),""))</f>
        <v/>
      </c>
      <c r="L75" s="29">
        <f>IF(OR($A75="",L$116=0),"",IF(COUNT(OFFSET(L$121,$BB75-1,0,$BA75,1))&gt;1,MAX(OFFSET(L$121,$BB75-1,0,$BA75,1))-MIN(OFFSET(L$121,$BB75-1,0,$BA75,1)),""))</f>
        <v/>
      </c>
      <c r="M75" s="29">
        <f>IF(OR($A75="",M$116=0),"",IF(COUNT(OFFSET(M$121,$BB75-1,0,$BA75,1))&gt;1,MAX(OFFSET(M$121,$BB75-1,0,$BA75,1))-MIN(OFFSET(M$121,$BB75-1,0,$BA75,1)),""))</f>
        <v/>
      </c>
      <c r="N75" s="29">
        <f>IF(OR($A75="",N$116=0),"",IF(COUNT(OFFSET(N$121,$BB75-1,0,$BA75,1))&gt;1,MAX(OFFSET(N$121,$BB75-1,0,$BA75,1))-MIN(OFFSET(N$121,$BB75-1,0,$BA75,1)),""))</f>
        <v/>
      </c>
      <c r="O75" s="29">
        <f>IF(OR($A75="",O$116=0),"",IF(COUNT(OFFSET(O$121,$BB75-1,0,$BA75,1))&gt;1,MAX(OFFSET(O$121,$BB75-1,0,$BA75,1))-MIN(OFFSET(O$121,$BB75-1,0,$BA75,1)),""))</f>
        <v/>
      </c>
      <c r="P75" s="29">
        <f>IF(OR($A75="",P$116=0),"",IF(COUNT(OFFSET(P$121,$BB75-1,0,$BA75,1))&gt;1,MAX(OFFSET(P$121,$BB75-1,0,$BA75,1))-MIN(OFFSET(P$121,$BB75-1,0,$BA75,1)),""))</f>
        <v/>
      </c>
      <c r="Q75" s="29">
        <f>IF(OR($A75="",Q$116=0),"",IF(COUNT(OFFSET(Q$121,$BB75-1,0,$BA75,1))&gt;1,MAX(OFFSET(Q$121,$BB75-1,0,$BA75,1))-MIN(OFFSET(Q$121,$BB75-1,0,$BA75,1)),""))</f>
        <v/>
      </c>
      <c r="R75" s="29">
        <f>IF(OR($A75="",R$116=0),"",IF(COUNT(OFFSET(R$121,$BB75-1,0,$BA75,1))&gt;1,MAX(OFFSET(R$121,$BB75-1,0,$BA75,1))-MIN(OFFSET(R$121,$BB75-1,0,$BA75,1)),""))</f>
        <v/>
      </c>
      <c r="S75" s="29">
        <f>IF(OR($A75="",S$116=0),"",IF(COUNT(OFFSET(S$121,$BB75-1,0,$BA75,1))&gt;1,MAX(OFFSET(S$121,$BB75-1,0,$BA75,1))-MIN(OFFSET(S$121,$BB75-1,0,$BA75,1)),""))</f>
        <v/>
      </c>
      <c r="T75" s="29">
        <f>IF(OR($A75="",T$116=0),"",IF(COUNT(OFFSET(T$121,$BB75-1,0,$BA75,1))&gt;1,MAX(OFFSET(T$121,$BB75-1,0,$BA75,1))-MIN(OFFSET(T$121,$BB75-1,0,$BA75,1)),""))</f>
        <v/>
      </c>
      <c r="U75" s="29">
        <f>IF(OR($A75="",U$116=0),"",IF(COUNT(OFFSET(U$121,$BB75-1,0,$BA75,1))&gt;1,MAX(OFFSET(U$121,$BB75-1,0,$BA75,1))-MIN(OFFSET(U$121,$BB75-1,0,$BA75,1)),""))</f>
        <v/>
      </c>
      <c r="V75" s="29">
        <f>IF(OR($A75="",V$116=0),"",IF(COUNT(OFFSET(V$121,$BB75-1,0,$BA75,1))&gt;1,MAX(OFFSET(V$121,$BB75-1,0,$BA75,1))-MIN(OFFSET(V$121,$BB75-1,0,$BA75,1)),""))</f>
        <v/>
      </c>
      <c r="W75" s="29">
        <f>IF(OR($A75="",W$116=0),"",IF(COUNT(OFFSET(W$121,$BB75-1,0,$BA75,1))&gt;1,MAX(OFFSET(W$121,$BB75-1,0,$BA75,1))-MIN(OFFSET(W$121,$BB75-1,0,$BA75,1)),""))</f>
        <v/>
      </c>
      <c r="X75" s="29">
        <f>IF(OR($A75="",X$116=0),"",IF(COUNT(OFFSET(X$121,$BB75-1,0,$BA75,1))&gt;1,MAX(OFFSET(X$121,$BB75-1,0,$BA75,1))-MIN(OFFSET(X$121,$BB75-1,0,$BA75,1)),""))</f>
        <v/>
      </c>
      <c r="Y75" s="29">
        <f>IF(OR($A75="",Y$116=0),"",IF(COUNT(OFFSET(Y$121,$BB75-1,0,$BA75,1))&gt;1,MAX(OFFSET(Y$121,$BB75-1,0,$BA75,1))-MIN(OFFSET(Y$121,$BB75-1,0,$BA75,1)),""))</f>
        <v/>
      </c>
      <c r="Z75" s="29">
        <f>IF(OR($A75="",Z$116=0),"",IF(COUNT(OFFSET(Z$121,$BB75-1,0,$BA75,1))&gt;1,MAX(OFFSET(Z$121,$BB75-1,0,$BA75,1))-MIN(OFFSET(Z$121,$BB75-1,0,$BA75,1)),""))</f>
        <v/>
      </c>
      <c r="AA75" s="29">
        <f>IF(OR($A75="",AA$116=0),"",IF(COUNT(OFFSET(AA$121,$BB75-1,0,$BA75,1))&gt;1,MAX(OFFSET(AA$121,$BB75-1,0,$BA75,1))-MIN(OFFSET(AA$121,$BB75-1,0,$BA75,1)),""))</f>
        <v/>
      </c>
      <c r="AB75" s="29">
        <f>IF(OR($A75="",AB$116=0),"",IF(COUNT(OFFSET(AB$121,$BB75-1,0,$BA75,1))&gt;1,MAX(OFFSET(AB$121,$BB75-1,0,$BA75,1))-MIN(OFFSET(AB$121,$BB75-1,0,$BA75,1)),""))</f>
        <v/>
      </c>
      <c r="AC75" s="29">
        <f>IF(OR($A75="",AC$116=0),"",IF(COUNT(OFFSET(AC$121,$BB75-1,0,$BA75,1))&gt;1,MAX(OFFSET(AC$121,$BB75-1,0,$BA75,1))-MIN(OFFSET(AC$121,$BB75-1,0,$BA75,1)),""))</f>
        <v/>
      </c>
      <c r="AD75" s="29">
        <f>IF(OR($A75="",AD$116=0),"",IF(COUNT(OFFSET(AD$121,$BB75-1,0,$BA75,1))&gt;1,MAX(OFFSET(AD$121,$BB75-1,0,$BA75,1))-MIN(OFFSET(AD$121,$BB75-1,0,$BA75,1)),""))</f>
        <v/>
      </c>
      <c r="AE75" s="29">
        <f>IF(OR($A75="",AE$116=0),"",IF(COUNT(OFFSET(AE$121,$BB75-1,0,$BA75,1))&gt;1,MAX(OFFSET(AE$121,$BB75-1,0,$BA75,1))-MIN(OFFSET(AE$121,$BB75-1,0,$BA75,1)),""))</f>
        <v/>
      </c>
      <c r="AF75" s="29">
        <f>IF(OR($A75="",AF$116=0),"",IF(COUNT(OFFSET(AF$121,$BB75-1,0,$BA75,1))&gt;1,MAX(OFFSET(AF$121,$BB75-1,0,$BA75,1))-MIN(OFFSET(AF$121,$BB75-1,0,$BA75,1)),""))</f>
        <v/>
      </c>
      <c r="AG75" s="29">
        <f>IF(OR($A75="",AG$116=0),"",IF(COUNT(OFFSET(AG$121,$BB75-1,0,$BA75,1))&gt;1,MAX(OFFSET(AG$121,$BB75-1,0,$BA75,1))-MIN(OFFSET(AG$121,$BB75-1,0,$BA75,1)),""))</f>
        <v/>
      </c>
      <c r="AH75" s="29">
        <f>IF(OR($A75="",AH$116=0),"",IF(COUNT(OFFSET(AH$121,$BB75-1,0,$BA75,1))&gt;1,MAX(OFFSET(AH$121,$BB75-1,0,$BA75,1))-MIN(OFFSET(AH$121,$BB75-1,0,$BA75,1)),""))</f>
        <v/>
      </c>
      <c r="AI75" s="29">
        <f>IF(OR($A75="",AI$116=0),"",IF(COUNT(OFFSET(AI$121,$BB75-1,0,$BA75,1))&gt;1,MAX(OFFSET(AI$121,$BB75-1,0,$BA75,1))-MIN(OFFSET(AI$121,$BB75-1,0,$BA75,1)),""))</f>
        <v/>
      </c>
      <c r="AJ75" s="29">
        <f>IF(OR($A75="",AJ$116=0),"",IF(COUNT(OFFSET(AJ$121,$BB75-1,0,$BA75,1))&gt;1,MAX(OFFSET(AJ$121,$BB75-1,0,$BA75,1))-MIN(OFFSET(AJ$121,$BB75-1,0,$BA75,1)),""))</f>
        <v/>
      </c>
      <c r="AK75" s="29">
        <f>IF(OR($A75="",AK$116=0),"",IF(COUNT(OFFSET(AK$121,$BB75-1,0,$BA75,1))&gt;1,MAX(OFFSET(AK$121,$BB75-1,0,$BA75,1))-MIN(OFFSET(AK$121,$BB75-1,0,$BA75,1)),""))</f>
        <v/>
      </c>
      <c r="AL75" s="29">
        <f>IF(OR($A75="",AL$116=0),"",IF(COUNT(OFFSET(AL$121,$BB75-1,0,$BA75,1))&gt;1,MAX(OFFSET(AL$121,$BB75-1,0,$BA75,1))-MIN(OFFSET(AL$121,$BB75-1,0,$BA75,1)),""))</f>
        <v/>
      </c>
      <c r="AM75" s="29">
        <f>IF(OR($A75="",AM$116=0),"",IF(COUNT(OFFSET(AM$121,$BB75-1,0,$BA75,1))&gt;1,MAX(OFFSET(AM$121,$BB75-1,0,$BA75,1))-MIN(OFFSET(AM$121,$BB75-1,0,$BA75,1)),""))</f>
        <v/>
      </c>
      <c r="AN75" s="29">
        <f>IF(OR($A75="",AN$116=0),"",IF(COUNT(OFFSET(AN$121,$BB75-1,0,$BA75,1))&gt;1,MAX(OFFSET(AN$121,$BB75-1,0,$BA75,1))-MIN(OFFSET(AN$121,$BB75-1,0,$BA75,1)),""))</f>
        <v/>
      </c>
      <c r="AO75" s="29">
        <f>IF(OR($A75="",AO$116=0),"",IF(COUNT(OFFSET(AO$121,$BB75-1,0,$BA75,1))&gt;1,MAX(OFFSET(AO$121,$BB75-1,0,$BA75,1))-MIN(OFFSET(AO$121,$BB75-1,0,$BA75,1)),""))</f>
        <v/>
      </c>
      <c r="AP75" s="29">
        <f>IF(OR($A75="",AP$116=0),"",IF(COUNT(OFFSET(AP$121,$BB75-1,0,$BA75,1))&gt;1,MAX(OFFSET(AP$121,$BB75-1,0,$BA75,1))-MIN(OFFSET(AP$121,$BB75-1,0,$BA75,1)),""))</f>
        <v/>
      </c>
      <c r="AQ75" s="29">
        <f>IF(OR($A75="",AQ$116=0),"",IF(COUNT(OFFSET(AQ$121,$BB75-1,0,$BA75,1))&gt;1,MAX(OFFSET(AQ$121,$BB75-1,0,$BA75,1))-MIN(OFFSET(AQ$121,$BB75-1,0,$BA75,1)),""))</f>
        <v/>
      </c>
      <c r="AR75" s="29">
        <f>IF(OR($A75="",AR$116=0),"",IF(COUNT(OFFSET(AR$121,$BB75-1,0,$BA75,1))&gt;1,MAX(OFFSET(AR$121,$BB75-1,0,$BA75,1))-MIN(OFFSET(AR$121,$BB75-1,0,$BA75,1)),""))</f>
        <v/>
      </c>
      <c r="AS75" s="29">
        <f>IF(OR($A75="",AS$116=0),"",IF(COUNT(OFFSET(AS$121,$BB75-1,0,$BA75,1))&gt;1,MAX(OFFSET(AS$121,$BB75-1,0,$BA75,1))-MIN(OFFSET(AS$121,$BB75-1,0,$BA75,1)),""))</f>
        <v/>
      </c>
      <c r="AT75" s="29">
        <f>IF(OR($A75="",AT$116=0),"",IF(COUNT(OFFSET(AT$121,$BB75-1,0,$BA75,1))&gt;1,MAX(OFFSET(AT$121,$BB75-1,0,$BA75,1))-MIN(OFFSET(AT$121,$BB75-1,0,$BA75,1)),""))</f>
        <v/>
      </c>
      <c r="AU75" s="29">
        <f>IF(OR($A75="",AU$116=0),"",IF(COUNT(OFFSET(AU$121,$BB75-1,0,$BA75,1))&gt;1,MAX(OFFSET(AU$121,$BB75-1,0,$BA75,1))-MIN(OFFSET(AU$121,$BB75-1,0,$BA75,1)),""))</f>
        <v/>
      </c>
      <c r="AV75" s="29">
        <f>IF(OR($A75="",AV$116=0),"",IF(COUNT(OFFSET(AV$121,$BB75-1,0,$BA75,1))&gt;1,MAX(OFFSET(AV$121,$BB75-1,0,$BA75,1))-MIN(OFFSET(AV$121,$BB75-1,0,$BA75,1)),""))</f>
        <v/>
      </c>
      <c r="AW75" s="29">
        <f>IF(OR($A75="",AW$116=0),"",IF(COUNT(OFFSET(AW$121,$BB75-1,0,$BA75,1))&gt;1,MAX(OFFSET(AW$121,$BB75-1,0,$BA75,1))-MIN(OFFSET(AW$121,$BB75-1,0,$BA75,1)),""))</f>
        <v/>
      </c>
      <c r="AX75" s="29">
        <f>IF(OR($A75="",AX$116=0),"",IF(COUNT(OFFSET(AX$121,$BB75-1,0,$BA75,1))&gt;1,MAX(OFFSET(AX$121,$BB75-1,0,$BA75,1))-MIN(OFFSET(AX$121,$BB75-1,0,$BA75,1)),""))</f>
        <v/>
      </c>
      <c r="AY75" s="29">
        <f>IF(OR($A75="",AY$116=0),"",IF(COUNT(OFFSET(AY$121,$BB75-1,0,$BA75,1))&gt;1,MAX(OFFSET(AY$121,$BB75-1,0,$BA75,1))-MIN(OFFSET(AY$121,$BB75-1,0,$BA75,1)),""))</f>
        <v/>
      </c>
      <c r="BA75" s="28">
        <f>IF($A75="","",COUNTIF($BA$121:$BA$1120,$A75))</f>
        <v/>
      </c>
      <c r="BB75" s="28">
        <f>IF($A75="","",MATCH($A75,$BA$121:$BA$1120,0))</f>
        <v/>
      </c>
      <c r="BC75" s="13">
        <f>IF($A75="","",IF(COUNTIF(OFFSET($BA$121,$BB75-1,0,$BA75,1),$A75)=$BA75,"ja","NEE"))</f>
        <v/>
      </c>
    </row>
    <row r="76">
      <c r="A76" s="13">
        <f>IFERROR(INDEX($BA$121:$BA$1120,MATCH(3,$BB$121:$BB$1120,0)),"")</f>
        <v/>
      </c>
      <c r="B76" s="29">
        <f>IF(OR($A76="",B$116=0),"",IF(COUNT(OFFSET(B$121,$BB76-1,0,$BA76,1))&gt;1,MAX(OFFSET(B$121,$BB76-1,0,$BA76,1))-MIN(OFFSET(B$121,$BB76-1,0,$BA76,1)),""))</f>
        <v/>
      </c>
      <c r="C76" s="29">
        <f>IF(OR($A76="",C$116=0),"",IF(COUNT(OFFSET(C$121,$BB76-1,0,$BA76,1))&gt;1,MAX(OFFSET(C$121,$BB76-1,0,$BA76,1))-MIN(OFFSET(C$121,$BB76-1,0,$BA76,1)),""))</f>
        <v/>
      </c>
      <c r="D76" s="29">
        <f>IF(OR($A76="",D$116=0),"",IF(COUNT(OFFSET(D$121,$BB76-1,0,$BA76,1))&gt;1,MAX(OFFSET(D$121,$BB76-1,0,$BA76,1))-MIN(OFFSET(D$121,$BB76-1,0,$BA76,1)),""))</f>
        <v/>
      </c>
      <c r="E76" s="29">
        <f>IF(OR($A76="",E$116=0),"",IF(COUNT(OFFSET(E$121,$BB76-1,0,$BA76,1))&gt;1,MAX(OFFSET(E$121,$BB76-1,0,$BA76,1))-MIN(OFFSET(E$121,$BB76-1,0,$BA76,1)),""))</f>
        <v/>
      </c>
      <c r="F76" s="29">
        <f>IF(OR($A76="",F$116=0),"",IF(COUNT(OFFSET(F$121,$BB76-1,0,$BA76,1))&gt;1,MAX(OFFSET(F$121,$BB76-1,0,$BA76,1))-MIN(OFFSET(F$121,$BB76-1,0,$BA76,1)),""))</f>
        <v/>
      </c>
      <c r="G76" s="29">
        <f>IF(OR($A76="",G$116=0),"",IF(COUNT(OFFSET(G$121,$BB76-1,0,$BA76,1))&gt;1,MAX(OFFSET(G$121,$BB76-1,0,$BA76,1))-MIN(OFFSET(G$121,$BB76-1,0,$BA76,1)),""))</f>
        <v/>
      </c>
      <c r="H76" s="29">
        <f>IF(OR($A76="",H$116=0),"",IF(COUNT(OFFSET(H$121,$BB76-1,0,$BA76,1))&gt;1,MAX(OFFSET(H$121,$BB76-1,0,$BA76,1))-MIN(OFFSET(H$121,$BB76-1,0,$BA76,1)),""))</f>
        <v/>
      </c>
      <c r="I76" s="29">
        <f>IF(OR($A76="",I$116=0),"",IF(COUNT(OFFSET(I$121,$BB76-1,0,$BA76,1))&gt;1,MAX(OFFSET(I$121,$BB76-1,0,$BA76,1))-MIN(OFFSET(I$121,$BB76-1,0,$BA76,1)),""))</f>
        <v/>
      </c>
      <c r="J76" s="29">
        <f>IF(OR($A76="",J$116=0),"",IF(COUNT(OFFSET(J$121,$BB76-1,0,$BA76,1))&gt;1,MAX(OFFSET(J$121,$BB76-1,0,$BA76,1))-MIN(OFFSET(J$121,$BB76-1,0,$BA76,1)),""))</f>
        <v/>
      </c>
      <c r="K76" s="29">
        <f>IF(OR($A76="",K$116=0),"",IF(COUNT(OFFSET(K$121,$BB76-1,0,$BA76,1))&gt;1,MAX(OFFSET(K$121,$BB76-1,0,$BA76,1))-MIN(OFFSET(K$121,$BB76-1,0,$BA76,1)),""))</f>
        <v/>
      </c>
      <c r="L76" s="29">
        <f>IF(OR($A76="",L$116=0),"",IF(COUNT(OFFSET(L$121,$BB76-1,0,$BA76,1))&gt;1,MAX(OFFSET(L$121,$BB76-1,0,$BA76,1))-MIN(OFFSET(L$121,$BB76-1,0,$BA76,1)),""))</f>
        <v/>
      </c>
      <c r="M76" s="29">
        <f>IF(OR($A76="",M$116=0),"",IF(COUNT(OFFSET(M$121,$BB76-1,0,$BA76,1))&gt;1,MAX(OFFSET(M$121,$BB76-1,0,$BA76,1))-MIN(OFFSET(M$121,$BB76-1,0,$BA76,1)),""))</f>
        <v/>
      </c>
      <c r="N76" s="29">
        <f>IF(OR($A76="",N$116=0),"",IF(COUNT(OFFSET(N$121,$BB76-1,0,$BA76,1))&gt;1,MAX(OFFSET(N$121,$BB76-1,0,$BA76,1))-MIN(OFFSET(N$121,$BB76-1,0,$BA76,1)),""))</f>
        <v/>
      </c>
      <c r="O76" s="29">
        <f>IF(OR($A76="",O$116=0),"",IF(COUNT(OFFSET(O$121,$BB76-1,0,$BA76,1))&gt;1,MAX(OFFSET(O$121,$BB76-1,0,$BA76,1))-MIN(OFFSET(O$121,$BB76-1,0,$BA76,1)),""))</f>
        <v/>
      </c>
      <c r="P76" s="29">
        <f>IF(OR($A76="",P$116=0),"",IF(COUNT(OFFSET(P$121,$BB76-1,0,$BA76,1))&gt;1,MAX(OFFSET(P$121,$BB76-1,0,$BA76,1))-MIN(OFFSET(P$121,$BB76-1,0,$BA76,1)),""))</f>
        <v/>
      </c>
      <c r="Q76" s="29">
        <f>IF(OR($A76="",Q$116=0),"",IF(COUNT(OFFSET(Q$121,$BB76-1,0,$BA76,1))&gt;1,MAX(OFFSET(Q$121,$BB76-1,0,$BA76,1))-MIN(OFFSET(Q$121,$BB76-1,0,$BA76,1)),""))</f>
        <v/>
      </c>
      <c r="R76" s="29">
        <f>IF(OR($A76="",R$116=0),"",IF(COUNT(OFFSET(R$121,$BB76-1,0,$BA76,1))&gt;1,MAX(OFFSET(R$121,$BB76-1,0,$BA76,1))-MIN(OFFSET(R$121,$BB76-1,0,$BA76,1)),""))</f>
        <v/>
      </c>
      <c r="S76" s="29">
        <f>IF(OR($A76="",S$116=0),"",IF(COUNT(OFFSET(S$121,$BB76-1,0,$BA76,1))&gt;1,MAX(OFFSET(S$121,$BB76-1,0,$BA76,1))-MIN(OFFSET(S$121,$BB76-1,0,$BA76,1)),""))</f>
        <v/>
      </c>
      <c r="T76" s="29">
        <f>IF(OR($A76="",T$116=0),"",IF(COUNT(OFFSET(T$121,$BB76-1,0,$BA76,1))&gt;1,MAX(OFFSET(T$121,$BB76-1,0,$BA76,1))-MIN(OFFSET(T$121,$BB76-1,0,$BA76,1)),""))</f>
        <v/>
      </c>
      <c r="U76" s="29">
        <f>IF(OR($A76="",U$116=0),"",IF(COUNT(OFFSET(U$121,$BB76-1,0,$BA76,1))&gt;1,MAX(OFFSET(U$121,$BB76-1,0,$BA76,1))-MIN(OFFSET(U$121,$BB76-1,0,$BA76,1)),""))</f>
        <v/>
      </c>
      <c r="V76" s="29">
        <f>IF(OR($A76="",V$116=0),"",IF(COUNT(OFFSET(V$121,$BB76-1,0,$BA76,1))&gt;1,MAX(OFFSET(V$121,$BB76-1,0,$BA76,1))-MIN(OFFSET(V$121,$BB76-1,0,$BA76,1)),""))</f>
        <v/>
      </c>
      <c r="W76" s="29">
        <f>IF(OR($A76="",W$116=0),"",IF(COUNT(OFFSET(W$121,$BB76-1,0,$BA76,1))&gt;1,MAX(OFFSET(W$121,$BB76-1,0,$BA76,1))-MIN(OFFSET(W$121,$BB76-1,0,$BA76,1)),""))</f>
        <v/>
      </c>
      <c r="X76" s="29">
        <f>IF(OR($A76="",X$116=0),"",IF(COUNT(OFFSET(X$121,$BB76-1,0,$BA76,1))&gt;1,MAX(OFFSET(X$121,$BB76-1,0,$BA76,1))-MIN(OFFSET(X$121,$BB76-1,0,$BA76,1)),""))</f>
        <v/>
      </c>
      <c r="Y76" s="29">
        <f>IF(OR($A76="",Y$116=0),"",IF(COUNT(OFFSET(Y$121,$BB76-1,0,$BA76,1))&gt;1,MAX(OFFSET(Y$121,$BB76-1,0,$BA76,1))-MIN(OFFSET(Y$121,$BB76-1,0,$BA76,1)),""))</f>
        <v/>
      </c>
      <c r="Z76" s="29">
        <f>IF(OR($A76="",Z$116=0),"",IF(COUNT(OFFSET(Z$121,$BB76-1,0,$BA76,1))&gt;1,MAX(OFFSET(Z$121,$BB76-1,0,$BA76,1))-MIN(OFFSET(Z$121,$BB76-1,0,$BA76,1)),""))</f>
        <v/>
      </c>
      <c r="AA76" s="29">
        <f>IF(OR($A76="",AA$116=0),"",IF(COUNT(OFFSET(AA$121,$BB76-1,0,$BA76,1))&gt;1,MAX(OFFSET(AA$121,$BB76-1,0,$BA76,1))-MIN(OFFSET(AA$121,$BB76-1,0,$BA76,1)),""))</f>
        <v/>
      </c>
      <c r="AB76" s="29">
        <f>IF(OR($A76="",AB$116=0),"",IF(COUNT(OFFSET(AB$121,$BB76-1,0,$BA76,1))&gt;1,MAX(OFFSET(AB$121,$BB76-1,0,$BA76,1))-MIN(OFFSET(AB$121,$BB76-1,0,$BA76,1)),""))</f>
        <v/>
      </c>
      <c r="AC76" s="29">
        <f>IF(OR($A76="",AC$116=0),"",IF(COUNT(OFFSET(AC$121,$BB76-1,0,$BA76,1))&gt;1,MAX(OFFSET(AC$121,$BB76-1,0,$BA76,1))-MIN(OFFSET(AC$121,$BB76-1,0,$BA76,1)),""))</f>
        <v/>
      </c>
      <c r="AD76" s="29">
        <f>IF(OR($A76="",AD$116=0),"",IF(COUNT(OFFSET(AD$121,$BB76-1,0,$BA76,1))&gt;1,MAX(OFFSET(AD$121,$BB76-1,0,$BA76,1))-MIN(OFFSET(AD$121,$BB76-1,0,$BA76,1)),""))</f>
        <v/>
      </c>
      <c r="AE76" s="29">
        <f>IF(OR($A76="",AE$116=0),"",IF(COUNT(OFFSET(AE$121,$BB76-1,0,$BA76,1))&gt;1,MAX(OFFSET(AE$121,$BB76-1,0,$BA76,1))-MIN(OFFSET(AE$121,$BB76-1,0,$BA76,1)),""))</f>
        <v/>
      </c>
      <c r="AF76" s="29">
        <f>IF(OR($A76="",AF$116=0),"",IF(COUNT(OFFSET(AF$121,$BB76-1,0,$BA76,1))&gt;1,MAX(OFFSET(AF$121,$BB76-1,0,$BA76,1))-MIN(OFFSET(AF$121,$BB76-1,0,$BA76,1)),""))</f>
        <v/>
      </c>
      <c r="AG76" s="29">
        <f>IF(OR($A76="",AG$116=0),"",IF(COUNT(OFFSET(AG$121,$BB76-1,0,$BA76,1))&gt;1,MAX(OFFSET(AG$121,$BB76-1,0,$BA76,1))-MIN(OFFSET(AG$121,$BB76-1,0,$BA76,1)),""))</f>
        <v/>
      </c>
      <c r="AH76" s="29">
        <f>IF(OR($A76="",AH$116=0),"",IF(COUNT(OFFSET(AH$121,$BB76-1,0,$BA76,1))&gt;1,MAX(OFFSET(AH$121,$BB76-1,0,$BA76,1))-MIN(OFFSET(AH$121,$BB76-1,0,$BA76,1)),""))</f>
        <v/>
      </c>
      <c r="AI76" s="29">
        <f>IF(OR($A76="",AI$116=0),"",IF(COUNT(OFFSET(AI$121,$BB76-1,0,$BA76,1))&gt;1,MAX(OFFSET(AI$121,$BB76-1,0,$BA76,1))-MIN(OFFSET(AI$121,$BB76-1,0,$BA76,1)),""))</f>
        <v/>
      </c>
      <c r="AJ76" s="29">
        <f>IF(OR($A76="",AJ$116=0),"",IF(COUNT(OFFSET(AJ$121,$BB76-1,0,$BA76,1))&gt;1,MAX(OFFSET(AJ$121,$BB76-1,0,$BA76,1))-MIN(OFFSET(AJ$121,$BB76-1,0,$BA76,1)),""))</f>
        <v/>
      </c>
      <c r="AK76" s="29">
        <f>IF(OR($A76="",AK$116=0),"",IF(COUNT(OFFSET(AK$121,$BB76-1,0,$BA76,1))&gt;1,MAX(OFFSET(AK$121,$BB76-1,0,$BA76,1))-MIN(OFFSET(AK$121,$BB76-1,0,$BA76,1)),""))</f>
        <v/>
      </c>
      <c r="AL76" s="29">
        <f>IF(OR($A76="",AL$116=0),"",IF(COUNT(OFFSET(AL$121,$BB76-1,0,$BA76,1))&gt;1,MAX(OFFSET(AL$121,$BB76-1,0,$BA76,1))-MIN(OFFSET(AL$121,$BB76-1,0,$BA76,1)),""))</f>
        <v/>
      </c>
      <c r="AM76" s="29">
        <f>IF(OR($A76="",AM$116=0),"",IF(COUNT(OFFSET(AM$121,$BB76-1,0,$BA76,1))&gt;1,MAX(OFFSET(AM$121,$BB76-1,0,$BA76,1))-MIN(OFFSET(AM$121,$BB76-1,0,$BA76,1)),""))</f>
        <v/>
      </c>
      <c r="AN76" s="29">
        <f>IF(OR($A76="",AN$116=0),"",IF(COUNT(OFFSET(AN$121,$BB76-1,0,$BA76,1))&gt;1,MAX(OFFSET(AN$121,$BB76-1,0,$BA76,1))-MIN(OFFSET(AN$121,$BB76-1,0,$BA76,1)),""))</f>
        <v/>
      </c>
      <c r="AO76" s="29">
        <f>IF(OR($A76="",AO$116=0),"",IF(COUNT(OFFSET(AO$121,$BB76-1,0,$BA76,1))&gt;1,MAX(OFFSET(AO$121,$BB76-1,0,$BA76,1))-MIN(OFFSET(AO$121,$BB76-1,0,$BA76,1)),""))</f>
        <v/>
      </c>
      <c r="AP76" s="29">
        <f>IF(OR($A76="",AP$116=0),"",IF(COUNT(OFFSET(AP$121,$BB76-1,0,$BA76,1))&gt;1,MAX(OFFSET(AP$121,$BB76-1,0,$BA76,1))-MIN(OFFSET(AP$121,$BB76-1,0,$BA76,1)),""))</f>
        <v/>
      </c>
      <c r="AQ76" s="29">
        <f>IF(OR($A76="",AQ$116=0),"",IF(COUNT(OFFSET(AQ$121,$BB76-1,0,$BA76,1))&gt;1,MAX(OFFSET(AQ$121,$BB76-1,0,$BA76,1))-MIN(OFFSET(AQ$121,$BB76-1,0,$BA76,1)),""))</f>
        <v/>
      </c>
      <c r="AR76" s="29">
        <f>IF(OR($A76="",AR$116=0),"",IF(COUNT(OFFSET(AR$121,$BB76-1,0,$BA76,1))&gt;1,MAX(OFFSET(AR$121,$BB76-1,0,$BA76,1))-MIN(OFFSET(AR$121,$BB76-1,0,$BA76,1)),""))</f>
        <v/>
      </c>
      <c r="AS76" s="29">
        <f>IF(OR($A76="",AS$116=0),"",IF(COUNT(OFFSET(AS$121,$BB76-1,0,$BA76,1))&gt;1,MAX(OFFSET(AS$121,$BB76-1,0,$BA76,1))-MIN(OFFSET(AS$121,$BB76-1,0,$BA76,1)),""))</f>
        <v/>
      </c>
      <c r="AT76" s="29">
        <f>IF(OR($A76="",AT$116=0),"",IF(COUNT(OFFSET(AT$121,$BB76-1,0,$BA76,1))&gt;1,MAX(OFFSET(AT$121,$BB76-1,0,$BA76,1))-MIN(OFFSET(AT$121,$BB76-1,0,$BA76,1)),""))</f>
        <v/>
      </c>
      <c r="AU76" s="29">
        <f>IF(OR($A76="",AU$116=0),"",IF(COUNT(OFFSET(AU$121,$BB76-1,0,$BA76,1))&gt;1,MAX(OFFSET(AU$121,$BB76-1,0,$BA76,1))-MIN(OFFSET(AU$121,$BB76-1,0,$BA76,1)),""))</f>
        <v/>
      </c>
      <c r="AV76" s="29">
        <f>IF(OR($A76="",AV$116=0),"",IF(COUNT(OFFSET(AV$121,$BB76-1,0,$BA76,1))&gt;1,MAX(OFFSET(AV$121,$BB76-1,0,$BA76,1))-MIN(OFFSET(AV$121,$BB76-1,0,$BA76,1)),""))</f>
        <v/>
      </c>
      <c r="AW76" s="29">
        <f>IF(OR($A76="",AW$116=0),"",IF(COUNT(OFFSET(AW$121,$BB76-1,0,$BA76,1))&gt;1,MAX(OFFSET(AW$121,$BB76-1,0,$BA76,1))-MIN(OFFSET(AW$121,$BB76-1,0,$BA76,1)),""))</f>
        <v/>
      </c>
      <c r="AX76" s="29">
        <f>IF(OR($A76="",AX$116=0),"",IF(COUNT(OFFSET(AX$121,$BB76-1,0,$BA76,1))&gt;1,MAX(OFFSET(AX$121,$BB76-1,0,$BA76,1))-MIN(OFFSET(AX$121,$BB76-1,0,$BA76,1)),""))</f>
        <v/>
      </c>
      <c r="AY76" s="29">
        <f>IF(OR($A76="",AY$116=0),"",IF(COUNT(OFFSET(AY$121,$BB76-1,0,$BA76,1))&gt;1,MAX(OFFSET(AY$121,$BB76-1,0,$BA76,1))-MIN(OFFSET(AY$121,$BB76-1,0,$BA76,1)),""))</f>
        <v/>
      </c>
      <c r="BA76" s="28">
        <f>IF($A76="","",COUNTIF($BA$121:$BA$1120,$A76))</f>
        <v/>
      </c>
      <c r="BB76" s="28">
        <f>IF($A76="","",MATCH($A76,$BA$121:$BA$1120,0))</f>
        <v/>
      </c>
      <c r="BC76" s="13">
        <f>IF($A76="","",IF(COUNTIF(OFFSET($BA$121,$BB76-1,0,$BA76,1),$A76)=$BA76,"ja","NEE"))</f>
        <v/>
      </c>
    </row>
    <row r="77">
      <c r="A77" s="13">
        <f>IFERROR(INDEX($BA$121:$BA$1120,MATCH(4,$BB$121:$BB$1120,0)),"")</f>
        <v/>
      </c>
      <c r="B77" s="29">
        <f>IF(OR($A77="",B$116=0),"",IF(COUNT(OFFSET(B$121,$BB77-1,0,$BA77,1))&gt;1,MAX(OFFSET(B$121,$BB77-1,0,$BA77,1))-MIN(OFFSET(B$121,$BB77-1,0,$BA77,1)),""))</f>
        <v/>
      </c>
      <c r="C77" s="29">
        <f>IF(OR($A77="",C$116=0),"",IF(COUNT(OFFSET(C$121,$BB77-1,0,$BA77,1))&gt;1,MAX(OFFSET(C$121,$BB77-1,0,$BA77,1))-MIN(OFFSET(C$121,$BB77-1,0,$BA77,1)),""))</f>
        <v/>
      </c>
      <c r="D77" s="29">
        <f>IF(OR($A77="",D$116=0),"",IF(COUNT(OFFSET(D$121,$BB77-1,0,$BA77,1))&gt;1,MAX(OFFSET(D$121,$BB77-1,0,$BA77,1))-MIN(OFFSET(D$121,$BB77-1,0,$BA77,1)),""))</f>
        <v/>
      </c>
      <c r="E77" s="29">
        <f>IF(OR($A77="",E$116=0),"",IF(COUNT(OFFSET(E$121,$BB77-1,0,$BA77,1))&gt;1,MAX(OFFSET(E$121,$BB77-1,0,$BA77,1))-MIN(OFFSET(E$121,$BB77-1,0,$BA77,1)),""))</f>
        <v/>
      </c>
      <c r="F77" s="29">
        <f>IF(OR($A77="",F$116=0),"",IF(COUNT(OFFSET(F$121,$BB77-1,0,$BA77,1))&gt;1,MAX(OFFSET(F$121,$BB77-1,0,$BA77,1))-MIN(OFFSET(F$121,$BB77-1,0,$BA77,1)),""))</f>
        <v/>
      </c>
      <c r="G77" s="29">
        <f>IF(OR($A77="",G$116=0),"",IF(COUNT(OFFSET(G$121,$BB77-1,0,$BA77,1))&gt;1,MAX(OFFSET(G$121,$BB77-1,0,$BA77,1))-MIN(OFFSET(G$121,$BB77-1,0,$BA77,1)),""))</f>
        <v/>
      </c>
      <c r="H77" s="29">
        <f>IF(OR($A77="",H$116=0),"",IF(COUNT(OFFSET(H$121,$BB77-1,0,$BA77,1))&gt;1,MAX(OFFSET(H$121,$BB77-1,0,$BA77,1))-MIN(OFFSET(H$121,$BB77-1,0,$BA77,1)),""))</f>
        <v/>
      </c>
      <c r="I77" s="29">
        <f>IF(OR($A77="",I$116=0),"",IF(COUNT(OFFSET(I$121,$BB77-1,0,$BA77,1))&gt;1,MAX(OFFSET(I$121,$BB77-1,0,$BA77,1))-MIN(OFFSET(I$121,$BB77-1,0,$BA77,1)),""))</f>
        <v/>
      </c>
      <c r="J77" s="29">
        <f>IF(OR($A77="",J$116=0),"",IF(COUNT(OFFSET(J$121,$BB77-1,0,$BA77,1))&gt;1,MAX(OFFSET(J$121,$BB77-1,0,$BA77,1))-MIN(OFFSET(J$121,$BB77-1,0,$BA77,1)),""))</f>
        <v/>
      </c>
      <c r="K77" s="29">
        <f>IF(OR($A77="",K$116=0),"",IF(COUNT(OFFSET(K$121,$BB77-1,0,$BA77,1))&gt;1,MAX(OFFSET(K$121,$BB77-1,0,$BA77,1))-MIN(OFFSET(K$121,$BB77-1,0,$BA77,1)),""))</f>
        <v/>
      </c>
      <c r="L77" s="29">
        <f>IF(OR($A77="",L$116=0),"",IF(COUNT(OFFSET(L$121,$BB77-1,0,$BA77,1))&gt;1,MAX(OFFSET(L$121,$BB77-1,0,$BA77,1))-MIN(OFFSET(L$121,$BB77-1,0,$BA77,1)),""))</f>
        <v/>
      </c>
      <c r="M77" s="29">
        <f>IF(OR($A77="",M$116=0),"",IF(COUNT(OFFSET(M$121,$BB77-1,0,$BA77,1))&gt;1,MAX(OFFSET(M$121,$BB77-1,0,$BA77,1))-MIN(OFFSET(M$121,$BB77-1,0,$BA77,1)),""))</f>
        <v/>
      </c>
      <c r="N77" s="29">
        <f>IF(OR($A77="",N$116=0),"",IF(COUNT(OFFSET(N$121,$BB77-1,0,$BA77,1))&gt;1,MAX(OFFSET(N$121,$BB77-1,0,$BA77,1))-MIN(OFFSET(N$121,$BB77-1,0,$BA77,1)),""))</f>
        <v/>
      </c>
      <c r="O77" s="29">
        <f>IF(OR($A77="",O$116=0),"",IF(COUNT(OFFSET(O$121,$BB77-1,0,$BA77,1))&gt;1,MAX(OFFSET(O$121,$BB77-1,0,$BA77,1))-MIN(OFFSET(O$121,$BB77-1,0,$BA77,1)),""))</f>
        <v/>
      </c>
      <c r="P77" s="29">
        <f>IF(OR($A77="",P$116=0),"",IF(COUNT(OFFSET(P$121,$BB77-1,0,$BA77,1))&gt;1,MAX(OFFSET(P$121,$BB77-1,0,$BA77,1))-MIN(OFFSET(P$121,$BB77-1,0,$BA77,1)),""))</f>
        <v/>
      </c>
      <c r="Q77" s="29">
        <f>IF(OR($A77="",Q$116=0),"",IF(COUNT(OFFSET(Q$121,$BB77-1,0,$BA77,1))&gt;1,MAX(OFFSET(Q$121,$BB77-1,0,$BA77,1))-MIN(OFFSET(Q$121,$BB77-1,0,$BA77,1)),""))</f>
        <v/>
      </c>
      <c r="R77" s="29">
        <f>IF(OR($A77="",R$116=0),"",IF(COUNT(OFFSET(R$121,$BB77-1,0,$BA77,1))&gt;1,MAX(OFFSET(R$121,$BB77-1,0,$BA77,1))-MIN(OFFSET(R$121,$BB77-1,0,$BA77,1)),""))</f>
        <v/>
      </c>
      <c r="S77" s="29">
        <f>IF(OR($A77="",S$116=0),"",IF(COUNT(OFFSET(S$121,$BB77-1,0,$BA77,1))&gt;1,MAX(OFFSET(S$121,$BB77-1,0,$BA77,1))-MIN(OFFSET(S$121,$BB77-1,0,$BA77,1)),""))</f>
        <v/>
      </c>
      <c r="T77" s="29">
        <f>IF(OR($A77="",T$116=0),"",IF(COUNT(OFFSET(T$121,$BB77-1,0,$BA77,1))&gt;1,MAX(OFFSET(T$121,$BB77-1,0,$BA77,1))-MIN(OFFSET(T$121,$BB77-1,0,$BA77,1)),""))</f>
        <v/>
      </c>
      <c r="U77" s="29">
        <f>IF(OR($A77="",U$116=0),"",IF(COUNT(OFFSET(U$121,$BB77-1,0,$BA77,1))&gt;1,MAX(OFFSET(U$121,$BB77-1,0,$BA77,1))-MIN(OFFSET(U$121,$BB77-1,0,$BA77,1)),""))</f>
        <v/>
      </c>
      <c r="V77" s="29">
        <f>IF(OR($A77="",V$116=0),"",IF(COUNT(OFFSET(V$121,$BB77-1,0,$BA77,1))&gt;1,MAX(OFFSET(V$121,$BB77-1,0,$BA77,1))-MIN(OFFSET(V$121,$BB77-1,0,$BA77,1)),""))</f>
        <v/>
      </c>
      <c r="W77" s="29">
        <f>IF(OR($A77="",W$116=0),"",IF(COUNT(OFFSET(W$121,$BB77-1,0,$BA77,1))&gt;1,MAX(OFFSET(W$121,$BB77-1,0,$BA77,1))-MIN(OFFSET(W$121,$BB77-1,0,$BA77,1)),""))</f>
        <v/>
      </c>
      <c r="X77" s="29">
        <f>IF(OR($A77="",X$116=0),"",IF(COUNT(OFFSET(X$121,$BB77-1,0,$BA77,1))&gt;1,MAX(OFFSET(X$121,$BB77-1,0,$BA77,1))-MIN(OFFSET(X$121,$BB77-1,0,$BA77,1)),""))</f>
        <v/>
      </c>
      <c r="Y77" s="29">
        <f>IF(OR($A77="",Y$116=0),"",IF(COUNT(OFFSET(Y$121,$BB77-1,0,$BA77,1))&gt;1,MAX(OFFSET(Y$121,$BB77-1,0,$BA77,1))-MIN(OFFSET(Y$121,$BB77-1,0,$BA77,1)),""))</f>
        <v/>
      </c>
      <c r="Z77" s="29">
        <f>IF(OR($A77="",Z$116=0),"",IF(COUNT(OFFSET(Z$121,$BB77-1,0,$BA77,1))&gt;1,MAX(OFFSET(Z$121,$BB77-1,0,$BA77,1))-MIN(OFFSET(Z$121,$BB77-1,0,$BA77,1)),""))</f>
        <v/>
      </c>
      <c r="AA77" s="29">
        <f>IF(OR($A77="",AA$116=0),"",IF(COUNT(OFFSET(AA$121,$BB77-1,0,$BA77,1))&gt;1,MAX(OFFSET(AA$121,$BB77-1,0,$BA77,1))-MIN(OFFSET(AA$121,$BB77-1,0,$BA77,1)),""))</f>
        <v/>
      </c>
      <c r="AB77" s="29">
        <f>IF(OR($A77="",AB$116=0),"",IF(COUNT(OFFSET(AB$121,$BB77-1,0,$BA77,1))&gt;1,MAX(OFFSET(AB$121,$BB77-1,0,$BA77,1))-MIN(OFFSET(AB$121,$BB77-1,0,$BA77,1)),""))</f>
        <v/>
      </c>
      <c r="AC77" s="29">
        <f>IF(OR($A77="",AC$116=0),"",IF(COUNT(OFFSET(AC$121,$BB77-1,0,$BA77,1))&gt;1,MAX(OFFSET(AC$121,$BB77-1,0,$BA77,1))-MIN(OFFSET(AC$121,$BB77-1,0,$BA77,1)),""))</f>
        <v/>
      </c>
      <c r="AD77" s="29">
        <f>IF(OR($A77="",AD$116=0),"",IF(COUNT(OFFSET(AD$121,$BB77-1,0,$BA77,1))&gt;1,MAX(OFFSET(AD$121,$BB77-1,0,$BA77,1))-MIN(OFFSET(AD$121,$BB77-1,0,$BA77,1)),""))</f>
        <v/>
      </c>
      <c r="AE77" s="29">
        <f>IF(OR($A77="",AE$116=0),"",IF(COUNT(OFFSET(AE$121,$BB77-1,0,$BA77,1))&gt;1,MAX(OFFSET(AE$121,$BB77-1,0,$BA77,1))-MIN(OFFSET(AE$121,$BB77-1,0,$BA77,1)),""))</f>
        <v/>
      </c>
      <c r="AF77" s="29">
        <f>IF(OR($A77="",AF$116=0),"",IF(COUNT(OFFSET(AF$121,$BB77-1,0,$BA77,1))&gt;1,MAX(OFFSET(AF$121,$BB77-1,0,$BA77,1))-MIN(OFFSET(AF$121,$BB77-1,0,$BA77,1)),""))</f>
        <v/>
      </c>
      <c r="AG77" s="29">
        <f>IF(OR($A77="",AG$116=0),"",IF(COUNT(OFFSET(AG$121,$BB77-1,0,$BA77,1))&gt;1,MAX(OFFSET(AG$121,$BB77-1,0,$BA77,1))-MIN(OFFSET(AG$121,$BB77-1,0,$BA77,1)),""))</f>
        <v/>
      </c>
      <c r="AH77" s="29">
        <f>IF(OR($A77="",AH$116=0),"",IF(COUNT(OFFSET(AH$121,$BB77-1,0,$BA77,1))&gt;1,MAX(OFFSET(AH$121,$BB77-1,0,$BA77,1))-MIN(OFFSET(AH$121,$BB77-1,0,$BA77,1)),""))</f>
        <v/>
      </c>
      <c r="AI77" s="29">
        <f>IF(OR($A77="",AI$116=0),"",IF(COUNT(OFFSET(AI$121,$BB77-1,0,$BA77,1))&gt;1,MAX(OFFSET(AI$121,$BB77-1,0,$BA77,1))-MIN(OFFSET(AI$121,$BB77-1,0,$BA77,1)),""))</f>
        <v/>
      </c>
      <c r="AJ77" s="29">
        <f>IF(OR($A77="",AJ$116=0),"",IF(COUNT(OFFSET(AJ$121,$BB77-1,0,$BA77,1))&gt;1,MAX(OFFSET(AJ$121,$BB77-1,0,$BA77,1))-MIN(OFFSET(AJ$121,$BB77-1,0,$BA77,1)),""))</f>
        <v/>
      </c>
      <c r="AK77" s="29">
        <f>IF(OR($A77="",AK$116=0),"",IF(COUNT(OFFSET(AK$121,$BB77-1,0,$BA77,1))&gt;1,MAX(OFFSET(AK$121,$BB77-1,0,$BA77,1))-MIN(OFFSET(AK$121,$BB77-1,0,$BA77,1)),""))</f>
        <v/>
      </c>
      <c r="AL77" s="29">
        <f>IF(OR($A77="",AL$116=0),"",IF(COUNT(OFFSET(AL$121,$BB77-1,0,$BA77,1))&gt;1,MAX(OFFSET(AL$121,$BB77-1,0,$BA77,1))-MIN(OFFSET(AL$121,$BB77-1,0,$BA77,1)),""))</f>
        <v/>
      </c>
      <c r="AM77" s="29">
        <f>IF(OR($A77="",AM$116=0),"",IF(COUNT(OFFSET(AM$121,$BB77-1,0,$BA77,1))&gt;1,MAX(OFFSET(AM$121,$BB77-1,0,$BA77,1))-MIN(OFFSET(AM$121,$BB77-1,0,$BA77,1)),""))</f>
        <v/>
      </c>
      <c r="AN77" s="29">
        <f>IF(OR($A77="",AN$116=0),"",IF(COUNT(OFFSET(AN$121,$BB77-1,0,$BA77,1))&gt;1,MAX(OFFSET(AN$121,$BB77-1,0,$BA77,1))-MIN(OFFSET(AN$121,$BB77-1,0,$BA77,1)),""))</f>
        <v/>
      </c>
      <c r="AO77" s="29">
        <f>IF(OR($A77="",AO$116=0),"",IF(COUNT(OFFSET(AO$121,$BB77-1,0,$BA77,1))&gt;1,MAX(OFFSET(AO$121,$BB77-1,0,$BA77,1))-MIN(OFFSET(AO$121,$BB77-1,0,$BA77,1)),""))</f>
        <v/>
      </c>
      <c r="AP77" s="29">
        <f>IF(OR($A77="",AP$116=0),"",IF(COUNT(OFFSET(AP$121,$BB77-1,0,$BA77,1))&gt;1,MAX(OFFSET(AP$121,$BB77-1,0,$BA77,1))-MIN(OFFSET(AP$121,$BB77-1,0,$BA77,1)),""))</f>
        <v/>
      </c>
      <c r="AQ77" s="29">
        <f>IF(OR($A77="",AQ$116=0),"",IF(COUNT(OFFSET(AQ$121,$BB77-1,0,$BA77,1))&gt;1,MAX(OFFSET(AQ$121,$BB77-1,0,$BA77,1))-MIN(OFFSET(AQ$121,$BB77-1,0,$BA77,1)),""))</f>
        <v/>
      </c>
      <c r="AR77" s="29">
        <f>IF(OR($A77="",AR$116=0),"",IF(COUNT(OFFSET(AR$121,$BB77-1,0,$BA77,1))&gt;1,MAX(OFFSET(AR$121,$BB77-1,0,$BA77,1))-MIN(OFFSET(AR$121,$BB77-1,0,$BA77,1)),""))</f>
        <v/>
      </c>
      <c r="AS77" s="29">
        <f>IF(OR($A77="",AS$116=0),"",IF(COUNT(OFFSET(AS$121,$BB77-1,0,$BA77,1))&gt;1,MAX(OFFSET(AS$121,$BB77-1,0,$BA77,1))-MIN(OFFSET(AS$121,$BB77-1,0,$BA77,1)),""))</f>
        <v/>
      </c>
      <c r="AT77" s="29">
        <f>IF(OR($A77="",AT$116=0),"",IF(COUNT(OFFSET(AT$121,$BB77-1,0,$BA77,1))&gt;1,MAX(OFFSET(AT$121,$BB77-1,0,$BA77,1))-MIN(OFFSET(AT$121,$BB77-1,0,$BA77,1)),""))</f>
        <v/>
      </c>
      <c r="AU77" s="29">
        <f>IF(OR($A77="",AU$116=0),"",IF(COUNT(OFFSET(AU$121,$BB77-1,0,$BA77,1))&gt;1,MAX(OFFSET(AU$121,$BB77-1,0,$BA77,1))-MIN(OFFSET(AU$121,$BB77-1,0,$BA77,1)),""))</f>
        <v/>
      </c>
      <c r="AV77" s="29">
        <f>IF(OR($A77="",AV$116=0),"",IF(COUNT(OFFSET(AV$121,$BB77-1,0,$BA77,1))&gt;1,MAX(OFFSET(AV$121,$BB77-1,0,$BA77,1))-MIN(OFFSET(AV$121,$BB77-1,0,$BA77,1)),""))</f>
        <v/>
      </c>
      <c r="AW77" s="29">
        <f>IF(OR($A77="",AW$116=0),"",IF(COUNT(OFFSET(AW$121,$BB77-1,0,$BA77,1))&gt;1,MAX(OFFSET(AW$121,$BB77-1,0,$BA77,1))-MIN(OFFSET(AW$121,$BB77-1,0,$BA77,1)),""))</f>
        <v/>
      </c>
      <c r="AX77" s="29">
        <f>IF(OR($A77="",AX$116=0),"",IF(COUNT(OFFSET(AX$121,$BB77-1,0,$BA77,1))&gt;1,MAX(OFFSET(AX$121,$BB77-1,0,$BA77,1))-MIN(OFFSET(AX$121,$BB77-1,0,$BA77,1)),""))</f>
        <v/>
      </c>
      <c r="AY77" s="29">
        <f>IF(OR($A77="",AY$116=0),"",IF(COUNT(OFFSET(AY$121,$BB77-1,0,$BA77,1))&gt;1,MAX(OFFSET(AY$121,$BB77-1,0,$BA77,1))-MIN(OFFSET(AY$121,$BB77-1,0,$BA77,1)),""))</f>
        <v/>
      </c>
      <c r="BA77" s="28">
        <f>IF($A77="","",COUNTIF($BA$121:$BA$1120,$A77))</f>
        <v/>
      </c>
      <c r="BB77" s="28">
        <f>IF($A77="","",MATCH($A77,$BA$121:$BA$1120,0))</f>
        <v/>
      </c>
      <c r="BC77" s="13">
        <f>IF($A77="","",IF(COUNTIF(OFFSET($BA$121,$BB77-1,0,$BA77,1),$A77)=$BA77,"ja","NEE"))</f>
        <v/>
      </c>
    </row>
    <row r="78">
      <c r="A78" s="13">
        <f>IFERROR(INDEX($BA$121:$BA$1120,MATCH(5,$BB$121:$BB$1120,0)),"")</f>
        <v/>
      </c>
      <c r="B78" s="29">
        <f>IF(OR($A78="",B$116=0),"",IF(COUNT(OFFSET(B$121,$BB78-1,0,$BA78,1))&gt;1,MAX(OFFSET(B$121,$BB78-1,0,$BA78,1))-MIN(OFFSET(B$121,$BB78-1,0,$BA78,1)),""))</f>
        <v/>
      </c>
      <c r="C78" s="29">
        <f>IF(OR($A78="",C$116=0),"",IF(COUNT(OFFSET(C$121,$BB78-1,0,$BA78,1))&gt;1,MAX(OFFSET(C$121,$BB78-1,0,$BA78,1))-MIN(OFFSET(C$121,$BB78-1,0,$BA78,1)),""))</f>
        <v/>
      </c>
      <c r="D78" s="29">
        <f>IF(OR($A78="",D$116=0),"",IF(COUNT(OFFSET(D$121,$BB78-1,0,$BA78,1))&gt;1,MAX(OFFSET(D$121,$BB78-1,0,$BA78,1))-MIN(OFFSET(D$121,$BB78-1,0,$BA78,1)),""))</f>
        <v/>
      </c>
      <c r="E78" s="29">
        <f>IF(OR($A78="",E$116=0),"",IF(COUNT(OFFSET(E$121,$BB78-1,0,$BA78,1))&gt;1,MAX(OFFSET(E$121,$BB78-1,0,$BA78,1))-MIN(OFFSET(E$121,$BB78-1,0,$BA78,1)),""))</f>
        <v/>
      </c>
      <c r="F78" s="29">
        <f>IF(OR($A78="",F$116=0),"",IF(COUNT(OFFSET(F$121,$BB78-1,0,$BA78,1))&gt;1,MAX(OFFSET(F$121,$BB78-1,0,$BA78,1))-MIN(OFFSET(F$121,$BB78-1,0,$BA78,1)),""))</f>
        <v/>
      </c>
      <c r="G78" s="29">
        <f>IF(OR($A78="",G$116=0),"",IF(COUNT(OFFSET(G$121,$BB78-1,0,$BA78,1))&gt;1,MAX(OFFSET(G$121,$BB78-1,0,$BA78,1))-MIN(OFFSET(G$121,$BB78-1,0,$BA78,1)),""))</f>
        <v/>
      </c>
      <c r="H78" s="29">
        <f>IF(OR($A78="",H$116=0),"",IF(COUNT(OFFSET(H$121,$BB78-1,0,$BA78,1))&gt;1,MAX(OFFSET(H$121,$BB78-1,0,$BA78,1))-MIN(OFFSET(H$121,$BB78-1,0,$BA78,1)),""))</f>
        <v/>
      </c>
      <c r="I78" s="29">
        <f>IF(OR($A78="",I$116=0),"",IF(COUNT(OFFSET(I$121,$BB78-1,0,$BA78,1))&gt;1,MAX(OFFSET(I$121,$BB78-1,0,$BA78,1))-MIN(OFFSET(I$121,$BB78-1,0,$BA78,1)),""))</f>
        <v/>
      </c>
      <c r="J78" s="29">
        <f>IF(OR($A78="",J$116=0),"",IF(COUNT(OFFSET(J$121,$BB78-1,0,$BA78,1))&gt;1,MAX(OFFSET(J$121,$BB78-1,0,$BA78,1))-MIN(OFFSET(J$121,$BB78-1,0,$BA78,1)),""))</f>
        <v/>
      </c>
      <c r="K78" s="29">
        <f>IF(OR($A78="",K$116=0),"",IF(COUNT(OFFSET(K$121,$BB78-1,0,$BA78,1))&gt;1,MAX(OFFSET(K$121,$BB78-1,0,$BA78,1))-MIN(OFFSET(K$121,$BB78-1,0,$BA78,1)),""))</f>
        <v/>
      </c>
      <c r="L78" s="29">
        <f>IF(OR($A78="",L$116=0),"",IF(COUNT(OFFSET(L$121,$BB78-1,0,$BA78,1))&gt;1,MAX(OFFSET(L$121,$BB78-1,0,$BA78,1))-MIN(OFFSET(L$121,$BB78-1,0,$BA78,1)),""))</f>
        <v/>
      </c>
      <c r="M78" s="29">
        <f>IF(OR($A78="",M$116=0),"",IF(COUNT(OFFSET(M$121,$BB78-1,0,$BA78,1))&gt;1,MAX(OFFSET(M$121,$BB78-1,0,$BA78,1))-MIN(OFFSET(M$121,$BB78-1,0,$BA78,1)),""))</f>
        <v/>
      </c>
      <c r="N78" s="29">
        <f>IF(OR($A78="",N$116=0),"",IF(COUNT(OFFSET(N$121,$BB78-1,0,$BA78,1))&gt;1,MAX(OFFSET(N$121,$BB78-1,0,$BA78,1))-MIN(OFFSET(N$121,$BB78-1,0,$BA78,1)),""))</f>
        <v/>
      </c>
      <c r="O78" s="29">
        <f>IF(OR($A78="",O$116=0),"",IF(COUNT(OFFSET(O$121,$BB78-1,0,$BA78,1))&gt;1,MAX(OFFSET(O$121,$BB78-1,0,$BA78,1))-MIN(OFFSET(O$121,$BB78-1,0,$BA78,1)),""))</f>
        <v/>
      </c>
      <c r="P78" s="29">
        <f>IF(OR($A78="",P$116=0),"",IF(COUNT(OFFSET(P$121,$BB78-1,0,$BA78,1))&gt;1,MAX(OFFSET(P$121,$BB78-1,0,$BA78,1))-MIN(OFFSET(P$121,$BB78-1,0,$BA78,1)),""))</f>
        <v/>
      </c>
      <c r="Q78" s="29">
        <f>IF(OR($A78="",Q$116=0),"",IF(COUNT(OFFSET(Q$121,$BB78-1,0,$BA78,1))&gt;1,MAX(OFFSET(Q$121,$BB78-1,0,$BA78,1))-MIN(OFFSET(Q$121,$BB78-1,0,$BA78,1)),""))</f>
        <v/>
      </c>
      <c r="R78" s="29">
        <f>IF(OR($A78="",R$116=0),"",IF(COUNT(OFFSET(R$121,$BB78-1,0,$BA78,1))&gt;1,MAX(OFFSET(R$121,$BB78-1,0,$BA78,1))-MIN(OFFSET(R$121,$BB78-1,0,$BA78,1)),""))</f>
        <v/>
      </c>
      <c r="S78" s="29">
        <f>IF(OR($A78="",S$116=0),"",IF(COUNT(OFFSET(S$121,$BB78-1,0,$BA78,1))&gt;1,MAX(OFFSET(S$121,$BB78-1,0,$BA78,1))-MIN(OFFSET(S$121,$BB78-1,0,$BA78,1)),""))</f>
        <v/>
      </c>
      <c r="T78" s="29">
        <f>IF(OR($A78="",T$116=0),"",IF(COUNT(OFFSET(T$121,$BB78-1,0,$BA78,1))&gt;1,MAX(OFFSET(T$121,$BB78-1,0,$BA78,1))-MIN(OFFSET(T$121,$BB78-1,0,$BA78,1)),""))</f>
        <v/>
      </c>
      <c r="U78" s="29">
        <f>IF(OR($A78="",U$116=0),"",IF(COUNT(OFFSET(U$121,$BB78-1,0,$BA78,1))&gt;1,MAX(OFFSET(U$121,$BB78-1,0,$BA78,1))-MIN(OFFSET(U$121,$BB78-1,0,$BA78,1)),""))</f>
        <v/>
      </c>
      <c r="V78" s="29">
        <f>IF(OR($A78="",V$116=0),"",IF(COUNT(OFFSET(V$121,$BB78-1,0,$BA78,1))&gt;1,MAX(OFFSET(V$121,$BB78-1,0,$BA78,1))-MIN(OFFSET(V$121,$BB78-1,0,$BA78,1)),""))</f>
        <v/>
      </c>
      <c r="W78" s="29">
        <f>IF(OR($A78="",W$116=0),"",IF(COUNT(OFFSET(W$121,$BB78-1,0,$BA78,1))&gt;1,MAX(OFFSET(W$121,$BB78-1,0,$BA78,1))-MIN(OFFSET(W$121,$BB78-1,0,$BA78,1)),""))</f>
        <v/>
      </c>
      <c r="X78" s="29">
        <f>IF(OR($A78="",X$116=0),"",IF(COUNT(OFFSET(X$121,$BB78-1,0,$BA78,1))&gt;1,MAX(OFFSET(X$121,$BB78-1,0,$BA78,1))-MIN(OFFSET(X$121,$BB78-1,0,$BA78,1)),""))</f>
        <v/>
      </c>
      <c r="Y78" s="29">
        <f>IF(OR($A78="",Y$116=0),"",IF(COUNT(OFFSET(Y$121,$BB78-1,0,$BA78,1))&gt;1,MAX(OFFSET(Y$121,$BB78-1,0,$BA78,1))-MIN(OFFSET(Y$121,$BB78-1,0,$BA78,1)),""))</f>
        <v/>
      </c>
      <c r="Z78" s="29">
        <f>IF(OR($A78="",Z$116=0),"",IF(COUNT(OFFSET(Z$121,$BB78-1,0,$BA78,1))&gt;1,MAX(OFFSET(Z$121,$BB78-1,0,$BA78,1))-MIN(OFFSET(Z$121,$BB78-1,0,$BA78,1)),""))</f>
        <v/>
      </c>
      <c r="AA78" s="29">
        <f>IF(OR($A78="",AA$116=0),"",IF(COUNT(OFFSET(AA$121,$BB78-1,0,$BA78,1))&gt;1,MAX(OFFSET(AA$121,$BB78-1,0,$BA78,1))-MIN(OFFSET(AA$121,$BB78-1,0,$BA78,1)),""))</f>
        <v/>
      </c>
      <c r="AB78" s="29">
        <f>IF(OR($A78="",AB$116=0),"",IF(COUNT(OFFSET(AB$121,$BB78-1,0,$BA78,1))&gt;1,MAX(OFFSET(AB$121,$BB78-1,0,$BA78,1))-MIN(OFFSET(AB$121,$BB78-1,0,$BA78,1)),""))</f>
        <v/>
      </c>
      <c r="AC78" s="29">
        <f>IF(OR($A78="",AC$116=0),"",IF(COUNT(OFFSET(AC$121,$BB78-1,0,$BA78,1))&gt;1,MAX(OFFSET(AC$121,$BB78-1,0,$BA78,1))-MIN(OFFSET(AC$121,$BB78-1,0,$BA78,1)),""))</f>
        <v/>
      </c>
      <c r="AD78" s="29">
        <f>IF(OR($A78="",AD$116=0),"",IF(COUNT(OFFSET(AD$121,$BB78-1,0,$BA78,1))&gt;1,MAX(OFFSET(AD$121,$BB78-1,0,$BA78,1))-MIN(OFFSET(AD$121,$BB78-1,0,$BA78,1)),""))</f>
        <v/>
      </c>
      <c r="AE78" s="29">
        <f>IF(OR($A78="",AE$116=0),"",IF(COUNT(OFFSET(AE$121,$BB78-1,0,$BA78,1))&gt;1,MAX(OFFSET(AE$121,$BB78-1,0,$BA78,1))-MIN(OFFSET(AE$121,$BB78-1,0,$BA78,1)),""))</f>
        <v/>
      </c>
      <c r="AF78" s="29">
        <f>IF(OR($A78="",AF$116=0),"",IF(COUNT(OFFSET(AF$121,$BB78-1,0,$BA78,1))&gt;1,MAX(OFFSET(AF$121,$BB78-1,0,$BA78,1))-MIN(OFFSET(AF$121,$BB78-1,0,$BA78,1)),""))</f>
        <v/>
      </c>
      <c r="AG78" s="29">
        <f>IF(OR($A78="",AG$116=0),"",IF(COUNT(OFFSET(AG$121,$BB78-1,0,$BA78,1))&gt;1,MAX(OFFSET(AG$121,$BB78-1,0,$BA78,1))-MIN(OFFSET(AG$121,$BB78-1,0,$BA78,1)),""))</f>
        <v/>
      </c>
      <c r="AH78" s="29">
        <f>IF(OR($A78="",AH$116=0),"",IF(COUNT(OFFSET(AH$121,$BB78-1,0,$BA78,1))&gt;1,MAX(OFFSET(AH$121,$BB78-1,0,$BA78,1))-MIN(OFFSET(AH$121,$BB78-1,0,$BA78,1)),""))</f>
        <v/>
      </c>
      <c r="AI78" s="29">
        <f>IF(OR($A78="",AI$116=0),"",IF(COUNT(OFFSET(AI$121,$BB78-1,0,$BA78,1))&gt;1,MAX(OFFSET(AI$121,$BB78-1,0,$BA78,1))-MIN(OFFSET(AI$121,$BB78-1,0,$BA78,1)),""))</f>
        <v/>
      </c>
      <c r="AJ78" s="29">
        <f>IF(OR($A78="",AJ$116=0),"",IF(COUNT(OFFSET(AJ$121,$BB78-1,0,$BA78,1))&gt;1,MAX(OFFSET(AJ$121,$BB78-1,0,$BA78,1))-MIN(OFFSET(AJ$121,$BB78-1,0,$BA78,1)),""))</f>
        <v/>
      </c>
      <c r="AK78" s="29">
        <f>IF(OR($A78="",AK$116=0),"",IF(COUNT(OFFSET(AK$121,$BB78-1,0,$BA78,1))&gt;1,MAX(OFFSET(AK$121,$BB78-1,0,$BA78,1))-MIN(OFFSET(AK$121,$BB78-1,0,$BA78,1)),""))</f>
        <v/>
      </c>
      <c r="AL78" s="29">
        <f>IF(OR($A78="",AL$116=0),"",IF(COUNT(OFFSET(AL$121,$BB78-1,0,$BA78,1))&gt;1,MAX(OFFSET(AL$121,$BB78-1,0,$BA78,1))-MIN(OFFSET(AL$121,$BB78-1,0,$BA78,1)),""))</f>
        <v/>
      </c>
      <c r="AM78" s="29">
        <f>IF(OR($A78="",AM$116=0),"",IF(COUNT(OFFSET(AM$121,$BB78-1,0,$BA78,1))&gt;1,MAX(OFFSET(AM$121,$BB78-1,0,$BA78,1))-MIN(OFFSET(AM$121,$BB78-1,0,$BA78,1)),""))</f>
        <v/>
      </c>
      <c r="AN78" s="29">
        <f>IF(OR($A78="",AN$116=0),"",IF(COUNT(OFFSET(AN$121,$BB78-1,0,$BA78,1))&gt;1,MAX(OFFSET(AN$121,$BB78-1,0,$BA78,1))-MIN(OFFSET(AN$121,$BB78-1,0,$BA78,1)),""))</f>
        <v/>
      </c>
      <c r="AO78" s="29">
        <f>IF(OR($A78="",AO$116=0),"",IF(COUNT(OFFSET(AO$121,$BB78-1,0,$BA78,1))&gt;1,MAX(OFFSET(AO$121,$BB78-1,0,$BA78,1))-MIN(OFFSET(AO$121,$BB78-1,0,$BA78,1)),""))</f>
        <v/>
      </c>
      <c r="AP78" s="29">
        <f>IF(OR($A78="",AP$116=0),"",IF(COUNT(OFFSET(AP$121,$BB78-1,0,$BA78,1))&gt;1,MAX(OFFSET(AP$121,$BB78-1,0,$BA78,1))-MIN(OFFSET(AP$121,$BB78-1,0,$BA78,1)),""))</f>
        <v/>
      </c>
      <c r="AQ78" s="29">
        <f>IF(OR($A78="",AQ$116=0),"",IF(COUNT(OFFSET(AQ$121,$BB78-1,0,$BA78,1))&gt;1,MAX(OFFSET(AQ$121,$BB78-1,0,$BA78,1))-MIN(OFFSET(AQ$121,$BB78-1,0,$BA78,1)),""))</f>
        <v/>
      </c>
      <c r="AR78" s="29">
        <f>IF(OR($A78="",AR$116=0),"",IF(COUNT(OFFSET(AR$121,$BB78-1,0,$BA78,1))&gt;1,MAX(OFFSET(AR$121,$BB78-1,0,$BA78,1))-MIN(OFFSET(AR$121,$BB78-1,0,$BA78,1)),""))</f>
        <v/>
      </c>
      <c r="AS78" s="29">
        <f>IF(OR($A78="",AS$116=0),"",IF(COUNT(OFFSET(AS$121,$BB78-1,0,$BA78,1))&gt;1,MAX(OFFSET(AS$121,$BB78-1,0,$BA78,1))-MIN(OFFSET(AS$121,$BB78-1,0,$BA78,1)),""))</f>
        <v/>
      </c>
      <c r="AT78" s="29">
        <f>IF(OR($A78="",AT$116=0),"",IF(COUNT(OFFSET(AT$121,$BB78-1,0,$BA78,1))&gt;1,MAX(OFFSET(AT$121,$BB78-1,0,$BA78,1))-MIN(OFFSET(AT$121,$BB78-1,0,$BA78,1)),""))</f>
        <v/>
      </c>
      <c r="AU78" s="29">
        <f>IF(OR($A78="",AU$116=0),"",IF(COUNT(OFFSET(AU$121,$BB78-1,0,$BA78,1))&gt;1,MAX(OFFSET(AU$121,$BB78-1,0,$BA78,1))-MIN(OFFSET(AU$121,$BB78-1,0,$BA78,1)),""))</f>
        <v/>
      </c>
      <c r="AV78" s="29">
        <f>IF(OR($A78="",AV$116=0),"",IF(COUNT(OFFSET(AV$121,$BB78-1,0,$BA78,1))&gt;1,MAX(OFFSET(AV$121,$BB78-1,0,$BA78,1))-MIN(OFFSET(AV$121,$BB78-1,0,$BA78,1)),""))</f>
        <v/>
      </c>
      <c r="AW78" s="29">
        <f>IF(OR($A78="",AW$116=0),"",IF(COUNT(OFFSET(AW$121,$BB78-1,0,$BA78,1))&gt;1,MAX(OFFSET(AW$121,$BB78-1,0,$BA78,1))-MIN(OFFSET(AW$121,$BB78-1,0,$BA78,1)),""))</f>
        <v/>
      </c>
      <c r="AX78" s="29">
        <f>IF(OR($A78="",AX$116=0),"",IF(COUNT(OFFSET(AX$121,$BB78-1,0,$BA78,1))&gt;1,MAX(OFFSET(AX$121,$BB78-1,0,$BA78,1))-MIN(OFFSET(AX$121,$BB78-1,0,$BA78,1)),""))</f>
        <v/>
      </c>
      <c r="AY78" s="29">
        <f>IF(OR($A78="",AY$116=0),"",IF(COUNT(OFFSET(AY$121,$BB78-1,0,$BA78,1))&gt;1,MAX(OFFSET(AY$121,$BB78-1,0,$BA78,1))-MIN(OFFSET(AY$121,$BB78-1,0,$BA78,1)),""))</f>
        <v/>
      </c>
      <c r="BA78" s="28">
        <f>IF($A78="","",COUNTIF($BA$121:$BA$1120,$A78))</f>
        <v/>
      </c>
      <c r="BB78" s="28">
        <f>IF($A78="","",MATCH($A78,$BA$121:$BA$1120,0))</f>
        <v/>
      </c>
      <c r="BC78" s="13">
        <f>IF($A78="","",IF(COUNTIF(OFFSET($BA$121,$BB78-1,0,$BA78,1),$A78)=$BA78,"ja","NEE"))</f>
        <v/>
      </c>
    </row>
    <row r="79">
      <c r="A79" s="13">
        <f>IFERROR(INDEX($BA$121:$BA$1120,MATCH(6,$BB$121:$BB$1120,0)),"")</f>
        <v/>
      </c>
      <c r="B79" s="29">
        <f>IF(OR($A79="",B$116=0),"",IF(COUNT(OFFSET(B$121,$BB79-1,0,$BA79,1))&gt;1,MAX(OFFSET(B$121,$BB79-1,0,$BA79,1))-MIN(OFFSET(B$121,$BB79-1,0,$BA79,1)),""))</f>
        <v/>
      </c>
      <c r="C79" s="29">
        <f>IF(OR($A79="",C$116=0),"",IF(COUNT(OFFSET(C$121,$BB79-1,0,$BA79,1))&gt;1,MAX(OFFSET(C$121,$BB79-1,0,$BA79,1))-MIN(OFFSET(C$121,$BB79-1,0,$BA79,1)),""))</f>
        <v/>
      </c>
      <c r="D79" s="29">
        <f>IF(OR($A79="",D$116=0),"",IF(COUNT(OFFSET(D$121,$BB79-1,0,$BA79,1))&gt;1,MAX(OFFSET(D$121,$BB79-1,0,$BA79,1))-MIN(OFFSET(D$121,$BB79-1,0,$BA79,1)),""))</f>
        <v/>
      </c>
      <c r="E79" s="29">
        <f>IF(OR($A79="",E$116=0),"",IF(COUNT(OFFSET(E$121,$BB79-1,0,$BA79,1))&gt;1,MAX(OFFSET(E$121,$BB79-1,0,$BA79,1))-MIN(OFFSET(E$121,$BB79-1,0,$BA79,1)),""))</f>
        <v/>
      </c>
      <c r="F79" s="29">
        <f>IF(OR($A79="",F$116=0),"",IF(COUNT(OFFSET(F$121,$BB79-1,0,$BA79,1))&gt;1,MAX(OFFSET(F$121,$BB79-1,0,$BA79,1))-MIN(OFFSET(F$121,$BB79-1,0,$BA79,1)),""))</f>
        <v/>
      </c>
      <c r="G79" s="29">
        <f>IF(OR($A79="",G$116=0),"",IF(COUNT(OFFSET(G$121,$BB79-1,0,$BA79,1))&gt;1,MAX(OFFSET(G$121,$BB79-1,0,$BA79,1))-MIN(OFFSET(G$121,$BB79-1,0,$BA79,1)),""))</f>
        <v/>
      </c>
      <c r="H79" s="29">
        <f>IF(OR($A79="",H$116=0),"",IF(COUNT(OFFSET(H$121,$BB79-1,0,$BA79,1))&gt;1,MAX(OFFSET(H$121,$BB79-1,0,$BA79,1))-MIN(OFFSET(H$121,$BB79-1,0,$BA79,1)),""))</f>
        <v/>
      </c>
      <c r="I79" s="29">
        <f>IF(OR($A79="",I$116=0),"",IF(COUNT(OFFSET(I$121,$BB79-1,0,$BA79,1))&gt;1,MAX(OFFSET(I$121,$BB79-1,0,$BA79,1))-MIN(OFFSET(I$121,$BB79-1,0,$BA79,1)),""))</f>
        <v/>
      </c>
      <c r="J79" s="29">
        <f>IF(OR($A79="",J$116=0),"",IF(COUNT(OFFSET(J$121,$BB79-1,0,$BA79,1))&gt;1,MAX(OFFSET(J$121,$BB79-1,0,$BA79,1))-MIN(OFFSET(J$121,$BB79-1,0,$BA79,1)),""))</f>
        <v/>
      </c>
      <c r="K79" s="29">
        <f>IF(OR($A79="",K$116=0),"",IF(COUNT(OFFSET(K$121,$BB79-1,0,$BA79,1))&gt;1,MAX(OFFSET(K$121,$BB79-1,0,$BA79,1))-MIN(OFFSET(K$121,$BB79-1,0,$BA79,1)),""))</f>
        <v/>
      </c>
      <c r="L79" s="29">
        <f>IF(OR($A79="",L$116=0),"",IF(COUNT(OFFSET(L$121,$BB79-1,0,$BA79,1))&gt;1,MAX(OFFSET(L$121,$BB79-1,0,$BA79,1))-MIN(OFFSET(L$121,$BB79-1,0,$BA79,1)),""))</f>
        <v/>
      </c>
      <c r="M79" s="29">
        <f>IF(OR($A79="",M$116=0),"",IF(COUNT(OFFSET(M$121,$BB79-1,0,$BA79,1))&gt;1,MAX(OFFSET(M$121,$BB79-1,0,$BA79,1))-MIN(OFFSET(M$121,$BB79-1,0,$BA79,1)),""))</f>
        <v/>
      </c>
      <c r="N79" s="29">
        <f>IF(OR($A79="",N$116=0),"",IF(COUNT(OFFSET(N$121,$BB79-1,0,$BA79,1))&gt;1,MAX(OFFSET(N$121,$BB79-1,0,$BA79,1))-MIN(OFFSET(N$121,$BB79-1,0,$BA79,1)),""))</f>
        <v/>
      </c>
      <c r="O79" s="29">
        <f>IF(OR($A79="",O$116=0),"",IF(COUNT(OFFSET(O$121,$BB79-1,0,$BA79,1))&gt;1,MAX(OFFSET(O$121,$BB79-1,0,$BA79,1))-MIN(OFFSET(O$121,$BB79-1,0,$BA79,1)),""))</f>
        <v/>
      </c>
      <c r="P79" s="29">
        <f>IF(OR($A79="",P$116=0),"",IF(COUNT(OFFSET(P$121,$BB79-1,0,$BA79,1))&gt;1,MAX(OFFSET(P$121,$BB79-1,0,$BA79,1))-MIN(OFFSET(P$121,$BB79-1,0,$BA79,1)),""))</f>
        <v/>
      </c>
      <c r="Q79" s="29">
        <f>IF(OR($A79="",Q$116=0),"",IF(COUNT(OFFSET(Q$121,$BB79-1,0,$BA79,1))&gt;1,MAX(OFFSET(Q$121,$BB79-1,0,$BA79,1))-MIN(OFFSET(Q$121,$BB79-1,0,$BA79,1)),""))</f>
        <v/>
      </c>
      <c r="R79" s="29">
        <f>IF(OR($A79="",R$116=0),"",IF(COUNT(OFFSET(R$121,$BB79-1,0,$BA79,1))&gt;1,MAX(OFFSET(R$121,$BB79-1,0,$BA79,1))-MIN(OFFSET(R$121,$BB79-1,0,$BA79,1)),""))</f>
        <v/>
      </c>
      <c r="S79" s="29">
        <f>IF(OR($A79="",S$116=0),"",IF(COUNT(OFFSET(S$121,$BB79-1,0,$BA79,1))&gt;1,MAX(OFFSET(S$121,$BB79-1,0,$BA79,1))-MIN(OFFSET(S$121,$BB79-1,0,$BA79,1)),""))</f>
        <v/>
      </c>
      <c r="T79" s="29">
        <f>IF(OR($A79="",T$116=0),"",IF(COUNT(OFFSET(T$121,$BB79-1,0,$BA79,1))&gt;1,MAX(OFFSET(T$121,$BB79-1,0,$BA79,1))-MIN(OFFSET(T$121,$BB79-1,0,$BA79,1)),""))</f>
        <v/>
      </c>
      <c r="U79" s="29">
        <f>IF(OR($A79="",U$116=0),"",IF(COUNT(OFFSET(U$121,$BB79-1,0,$BA79,1))&gt;1,MAX(OFFSET(U$121,$BB79-1,0,$BA79,1))-MIN(OFFSET(U$121,$BB79-1,0,$BA79,1)),""))</f>
        <v/>
      </c>
      <c r="V79" s="29">
        <f>IF(OR($A79="",V$116=0),"",IF(COUNT(OFFSET(V$121,$BB79-1,0,$BA79,1))&gt;1,MAX(OFFSET(V$121,$BB79-1,0,$BA79,1))-MIN(OFFSET(V$121,$BB79-1,0,$BA79,1)),""))</f>
        <v/>
      </c>
      <c r="W79" s="29">
        <f>IF(OR($A79="",W$116=0),"",IF(COUNT(OFFSET(W$121,$BB79-1,0,$BA79,1))&gt;1,MAX(OFFSET(W$121,$BB79-1,0,$BA79,1))-MIN(OFFSET(W$121,$BB79-1,0,$BA79,1)),""))</f>
        <v/>
      </c>
      <c r="X79" s="29">
        <f>IF(OR($A79="",X$116=0),"",IF(COUNT(OFFSET(X$121,$BB79-1,0,$BA79,1))&gt;1,MAX(OFFSET(X$121,$BB79-1,0,$BA79,1))-MIN(OFFSET(X$121,$BB79-1,0,$BA79,1)),""))</f>
        <v/>
      </c>
      <c r="Y79" s="29">
        <f>IF(OR($A79="",Y$116=0),"",IF(COUNT(OFFSET(Y$121,$BB79-1,0,$BA79,1))&gt;1,MAX(OFFSET(Y$121,$BB79-1,0,$BA79,1))-MIN(OFFSET(Y$121,$BB79-1,0,$BA79,1)),""))</f>
        <v/>
      </c>
      <c r="Z79" s="29">
        <f>IF(OR($A79="",Z$116=0),"",IF(COUNT(OFFSET(Z$121,$BB79-1,0,$BA79,1))&gt;1,MAX(OFFSET(Z$121,$BB79-1,0,$BA79,1))-MIN(OFFSET(Z$121,$BB79-1,0,$BA79,1)),""))</f>
        <v/>
      </c>
      <c r="AA79" s="29">
        <f>IF(OR($A79="",AA$116=0),"",IF(COUNT(OFFSET(AA$121,$BB79-1,0,$BA79,1))&gt;1,MAX(OFFSET(AA$121,$BB79-1,0,$BA79,1))-MIN(OFFSET(AA$121,$BB79-1,0,$BA79,1)),""))</f>
        <v/>
      </c>
      <c r="AB79" s="29">
        <f>IF(OR($A79="",AB$116=0),"",IF(COUNT(OFFSET(AB$121,$BB79-1,0,$BA79,1))&gt;1,MAX(OFFSET(AB$121,$BB79-1,0,$BA79,1))-MIN(OFFSET(AB$121,$BB79-1,0,$BA79,1)),""))</f>
        <v/>
      </c>
      <c r="AC79" s="29">
        <f>IF(OR($A79="",AC$116=0),"",IF(COUNT(OFFSET(AC$121,$BB79-1,0,$BA79,1))&gt;1,MAX(OFFSET(AC$121,$BB79-1,0,$BA79,1))-MIN(OFFSET(AC$121,$BB79-1,0,$BA79,1)),""))</f>
        <v/>
      </c>
      <c r="AD79" s="29">
        <f>IF(OR($A79="",AD$116=0),"",IF(COUNT(OFFSET(AD$121,$BB79-1,0,$BA79,1))&gt;1,MAX(OFFSET(AD$121,$BB79-1,0,$BA79,1))-MIN(OFFSET(AD$121,$BB79-1,0,$BA79,1)),""))</f>
        <v/>
      </c>
      <c r="AE79" s="29">
        <f>IF(OR($A79="",AE$116=0),"",IF(COUNT(OFFSET(AE$121,$BB79-1,0,$BA79,1))&gt;1,MAX(OFFSET(AE$121,$BB79-1,0,$BA79,1))-MIN(OFFSET(AE$121,$BB79-1,0,$BA79,1)),""))</f>
        <v/>
      </c>
      <c r="AF79" s="29">
        <f>IF(OR($A79="",AF$116=0),"",IF(COUNT(OFFSET(AF$121,$BB79-1,0,$BA79,1))&gt;1,MAX(OFFSET(AF$121,$BB79-1,0,$BA79,1))-MIN(OFFSET(AF$121,$BB79-1,0,$BA79,1)),""))</f>
        <v/>
      </c>
      <c r="AG79" s="29">
        <f>IF(OR($A79="",AG$116=0),"",IF(COUNT(OFFSET(AG$121,$BB79-1,0,$BA79,1))&gt;1,MAX(OFFSET(AG$121,$BB79-1,0,$BA79,1))-MIN(OFFSET(AG$121,$BB79-1,0,$BA79,1)),""))</f>
        <v/>
      </c>
      <c r="AH79" s="29">
        <f>IF(OR($A79="",AH$116=0),"",IF(COUNT(OFFSET(AH$121,$BB79-1,0,$BA79,1))&gt;1,MAX(OFFSET(AH$121,$BB79-1,0,$BA79,1))-MIN(OFFSET(AH$121,$BB79-1,0,$BA79,1)),""))</f>
        <v/>
      </c>
      <c r="AI79" s="29">
        <f>IF(OR($A79="",AI$116=0),"",IF(COUNT(OFFSET(AI$121,$BB79-1,0,$BA79,1))&gt;1,MAX(OFFSET(AI$121,$BB79-1,0,$BA79,1))-MIN(OFFSET(AI$121,$BB79-1,0,$BA79,1)),""))</f>
        <v/>
      </c>
      <c r="AJ79" s="29">
        <f>IF(OR($A79="",AJ$116=0),"",IF(COUNT(OFFSET(AJ$121,$BB79-1,0,$BA79,1))&gt;1,MAX(OFFSET(AJ$121,$BB79-1,0,$BA79,1))-MIN(OFFSET(AJ$121,$BB79-1,0,$BA79,1)),""))</f>
        <v/>
      </c>
      <c r="AK79" s="29">
        <f>IF(OR($A79="",AK$116=0),"",IF(COUNT(OFFSET(AK$121,$BB79-1,0,$BA79,1))&gt;1,MAX(OFFSET(AK$121,$BB79-1,0,$BA79,1))-MIN(OFFSET(AK$121,$BB79-1,0,$BA79,1)),""))</f>
        <v/>
      </c>
      <c r="AL79" s="29">
        <f>IF(OR($A79="",AL$116=0),"",IF(COUNT(OFFSET(AL$121,$BB79-1,0,$BA79,1))&gt;1,MAX(OFFSET(AL$121,$BB79-1,0,$BA79,1))-MIN(OFFSET(AL$121,$BB79-1,0,$BA79,1)),""))</f>
        <v/>
      </c>
      <c r="AM79" s="29">
        <f>IF(OR($A79="",AM$116=0),"",IF(COUNT(OFFSET(AM$121,$BB79-1,0,$BA79,1))&gt;1,MAX(OFFSET(AM$121,$BB79-1,0,$BA79,1))-MIN(OFFSET(AM$121,$BB79-1,0,$BA79,1)),""))</f>
        <v/>
      </c>
      <c r="AN79" s="29">
        <f>IF(OR($A79="",AN$116=0),"",IF(COUNT(OFFSET(AN$121,$BB79-1,0,$BA79,1))&gt;1,MAX(OFFSET(AN$121,$BB79-1,0,$BA79,1))-MIN(OFFSET(AN$121,$BB79-1,0,$BA79,1)),""))</f>
        <v/>
      </c>
      <c r="AO79" s="29">
        <f>IF(OR($A79="",AO$116=0),"",IF(COUNT(OFFSET(AO$121,$BB79-1,0,$BA79,1))&gt;1,MAX(OFFSET(AO$121,$BB79-1,0,$BA79,1))-MIN(OFFSET(AO$121,$BB79-1,0,$BA79,1)),""))</f>
        <v/>
      </c>
      <c r="AP79" s="29">
        <f>IF(OR($A79="",AP$116=0),"",IF(COUNT(OFFSET(AP$121,$BB79-1,0,$BA79,1))&gt;1,MAX(OFFSET(AP$121,$BB79-1,0,$BA79,1))-MIN(OFFSET(AP$121,$BB79-1,0,$BA79,1)),""))</f>
        <v/>
      </c>
      <c r="AQ79" s="29">
        <f>IF(OR($A79="",AQ$116=0),"",IF(COUNT(OFFSET(AQ$121,$BB79-1,0,$BA79,1))&gt;1,MAX(OFFSET(AQ$121,$BB79-1,0,$BA79,1))-MIN(OFFSET(AQ$121,$BB79-1,0,$BA79,1)),""))</f>
        <v/>
      </c>
      <c r="AR79" s="29">
        <f>IF(OR($A79="",AR$116=0),"",IF(COUNT(OFFSET(AR$121,$BB79-1,0,$BA79,1))&gt;1,MAX(OFFSET(AR$121,$BB79-1,0,$BA79,1))-MIN(OFFSET(AR$121,$BB79-1,0,$BA79,1)),""))</f>
        <v/>
      </c>
      <c r="AS79" s="29">
        <f>IF(OR($A79="",AS$116=0),"",IF(COUNT(OFFSET(AS$121,$BB79-1,0,$BA79,1))&gt;1,MAX(OFFSET(AS$121,$BB79-1,0,$BA79,1))-MIN(OFFSET(AS$121,$BB79-1,0,$BA79,1)),""))</f>
        <v/>
      </c>
      <c r="AT79" s="29">
        <f>IF(OR($A79="",AT$116=0),"",IF(COUNT(OFFSET(AT$121,$BB79-1,0,$BA79,1))&gt;1,MAX(OFFSET(AT$121,$BB79-1,0,$BA79,1))-MIN(OFFSET(AT$121,$BB79-1,0,$BA79,1)),""))</f>
        <v/>
      </c>
      <c r="AU79" s="29">
        <f>IF(OR($A79="",AU$116=0),"",IF(COUNT(OFFSET(AU$121,$BB79-1,0,$BA79,1))&gt;1,MAX(OFFSET(AU$121,$BB79-1,0,$BA79,1))-MIN(OFFSET(AU$121,$BB79-1,0,$BA79,1)),""))</f>
        <v/>
      </c>
      <c r="AV79" s="29">
        <f>IF(OR($A79="",AV$116=0),"",IF(COUNT(OFFSET(AV$121,$BB79-1,0,$BA79,1))&gt;1,MAX(OFFSET(AV$121,$BB79-1,0,$BA79,1))-MIN(OFFSET(AV$121,$BB79-1,0,$BA79,1)),""))</f>
        <v/>
      </c>
      <c r="AW79" s="29">
        <f>IF(OR($A79="",AW$116=0),"",IF(COUNT(OFFSET(AW$121,$BB79-1,0,$BA79,1))&gt;1,MAX(OFFSET(AW$121,$BB79-1,0,$BA79,1))-MIN(OFFSET(AW$121,$BB79-1,0,$BA79,1)),""))</f>
        <v/>
      </c>
      <c r="AX79" s="29">
        <f>IF(OR($A79="",AX$116=0),"",IF(COUNT(OFFSET(AX$121,$BB79-1,0,$BA79,1))&gt;1,MAX(OFFSET(AX$121,$BB79-1,0,$BA79,1))-MIN(OFFSET(AX$121,$BB79-1,0,$BA79,1)),""))</f>
        <v/>
      </c>
      <c r="AY79" s="29">
        <f>IF(OR($A79="",AY$116=0),"",IF(COUNT(OFFSET(AY$121,$BB79-1,0,$BA79,1))&gt;1,MAX(OFFSET(AY$121,$BB79-1,0,$BA79,1))-MIN(OFFSET(AY$121,$BB79-1,0,$BA79,1)),""))</f>
        <v/>
      </c>
      <c r="BA79" s="28">
        <f>IF($A79="","",COUNTIF($BA$121:$BA$1120,$A79))</f>
        <v/>
      </c>
      <c r="BB79" s="28">
        <f>IF($A79="","",MATCH($A79,$BA$121:$BA$1120,0))</f>
        <v/>
      </c>
      <c r="BC79" s="13">
        <f>IF($A79="","",IF(COUNTIF(OFFSET($BA$121,$BB79-1,0,$BA79,1),$A79)=$BA79,"ja","NEE"))</f>
        <v/>
      </c>
    </row>
    <row r="80">
      <c r="A80" s="13">
        <f>IFERROR(INDEX($BA$121:$BA$1120,MATCH(7,$BB$121:$BB$1120,0)),"")</f>
        <v/>
      </c>
      <c r="B80" s="29">
        <f>IF(OR($A80="",B$116=0),"",IF(COUNT(OFFSET(B$121,$BB80-1,0,$BA80,1))&gt;1,MAX(OFFSET(B$121,$BB80-1,0,$BA80,1))-MIN(OFFSET(B$121,$BB80-1,0,$BA80,1)),""))</f>
        <v/>
      </c>
      <c r="C80" s="29">
        <f>IF(OR($A80="",C$116=0),"",IF(COUNT(OFFSET(C$121,$BB80-1,0,$BA80,1))&gt;1,MAX(OFFSET(C$121,$BB80-1,0,$BA80,1))-MIN(OFFSET(C$121,$BB80-1,0,$BA80,1)),""))</f>
        <v/>
      </c>
      <c r="D80" s="29">
        <f>IF(OR($A80="",D$116=0),"",IF(COUNT(OFFSET(D$121,$BB80-1,0,$BA80,1))&gt;1,MAX(OFFSET(D$121,$BB80-1,0,$BA80,1))-MIN(OFFSET(D$121,$BB80-1,0,$BA80,1)),""))</f>
        <v/>
      </c>
      <c r="E80" s="29">
        <f>IF(OR($A80="",E$116=0),"",IF(COUNT(OFFSET(E$121,$BB80-1,0,$BA80,1))&gt;1,MAX(OFFSET(E$121,$BB80-1,0,$BA80,1))-MIN(OFFSET(E$121,$BB80-1,0,$BA80,1)),""))</f>
        <v/>
      </c>
      <c r="F80" s="29">
        <f>IF(OR($A80="",F$116=0),"",IF(COUNT(OFFSET(F$121,$BB80-1,0,$BA80,1))&gt;1,MAX(OFFSET(F$121,$BB80-1,0,$BA80,1))-MIN(OFFSET(F$121,$BB80-1,0,$BA80,1)),""))</f>
        <v/>
      </c>
      <c r="G80" s="29">
        <f>IF(OR($A80="",G$116=0),"",IF(COUNT(OFFSET(G$121,$BB80-1,0,$BA80,1))&gt;1,MAX(OFFSET(G$121,$BB80-1,0,$BA80,1))-MIN(OFFSET(G$121,$BB80-1,0,$BA80,1)),""))</f>
        <v/>
      </c>
      <c r="H80" s="29">
        <f>IF(OR($A80="",H$116=0),"",IF(COUNT(OFFSET(H$121,$BB80-1,0,$BA80,1))&gt;1,MAX(OFFSET(H$121,$BB80-1,0,$BA80,1))-MIN(OFFSET(H$121,$BB80-1,0,$BA80,1)),""))</f>
        <v/>
      </c>
      <c r="I80" s="29">
        <f>IF(OR($A80="",I$116=0),"",IF(COUNT(OFFSET(I$121,$BB80-1,0,$BA80,1))&gt;1,MAX(OFFSET(I$121,$BB80-1,0,$BA80,1))-MIN(OFFSET(I$121,$BB80-1,0,$BA80,1)),""))</f>
        <v/>
      </c>
      <c r="J80" s="29">
        <f>IF(OR($A80="",J$116=0),"",IF(COUNT(OFFSET(J$121,$BB80-1,0,$BA80,1))&gt;1,MAX(OFFSET(J$121,$BB80-1,0,$BA80,1))-MIN(OFFSET(J$121,$BB80-1,0,$BA80,1)),""))</f>
        <v/>
      </c>
      <c r="K80" s="29">
        <f>IF(OR($A80="",K$116=0),"",IF(COUNT(OFFSET(K$121,$BB80-1,0,$BA80,1))&gt;1,MAX(OFFSET(K$121,$BB80-1,0,$BA80,1))-MIN(OFFSET(K$121,$BB80-1,0,$BA80,1)),""))</f>
        <v/>
      </c>
      <c r="L80" s="29">
        <f>IF(OR($A80="",L$116=0),"",IF(COUNT(OFFSET(L$121,$BB80-1,0,$BA80,1))&gt;1,MAX(OFFSET(L$121,$BB80-1,0,$BA80,1))-MIN(OFFSET(L$121,$BB80-1,0,$BA80,1)),""))</f>
        <v/>
      </c>
      <c r="M80" s="29">
        <f>IF(OR($A80="",M$116=0),"",IF(COUNT(OFFSET(M$121,$BB80-1,0,$BA80,1))&gt;1,MAX(OFFSET(M$121,$BB80-1,0,$BA80,1))-MIN(OFFSET(M$121,$BB80-1,0,$BA80,1)),""))</f>
        <v/>
      </c>
      <c r="N80" s="29">
        <f>IF(OR($A80="",N$116=0),"",IF(COUNT(OFFSET(N$121,$BB80-1,0,$BA80,1))&gt;1,MAX(OFFSET(N$121,$BB80-1,0,$BA80,1))-MIN(OFFSET(N$121,$BB80-1,0,$BA80,1)),""))</f>
        <v/>
      </c>
      <c r="O80" s="29">
        <f>IF(OR($A80="",O$116=0),"",IF(COUNT(OFFSET(O$121,$BB80-1,0,$BA80,1))&gt;1,MAX(OFFSET(O$121,$BB80-1,0,$BA80,1))-MIN(OFFSET(O$121,$BB80-1,0,$BA80,1)),""))</f>
        <v/>
      </c>
      <c r="P80" s="29">
        <f>IF(OR($A80="",P$116=0),"",IF(COUNT(OFFSET(P$121,$BB80-1,0,$BA80,1))&gt;1,MAX(OFFSET(P$121,$BB80-1,0,$BA80,1))-MIN(OFFSET(P$121,$BB80-1,0,$BA80,1)),""))</f>
        <v/>
      </c>
      <c r="Q80" s="29">
        <f>IF(OR($A80="",Q$116=0),"",IF(COUNT(OFFSET(Q$121,$BB80-1,0,$BA80,1))&gt;1,MAX(OFFSET(Q$121,$BB80-1,0,$BA80,1))-MIN(OFFSET(Q$121,$BB80-1,0,$BA80,1)),""))</f>
        <v/>
      </c>
      <c r="R80" s="29">
        <f>IF(OR($A80="",R$116=0),"",IF(COUNT(OFFSET(R$121,$BB80-1,0,$BA80,1))&gt;1,MAX(OFFSET(R$121,$BB80-1,0,$BA80,1))-MIN(OFFSET(R$121,$BB80-1,0,$BA80,1)),""))</f>
        <v/>
      </c>
      <c r="S80" s="29">
        <f>IF(OR($A80="",S$116=0),"",IF(COUNT(OFFSET(S$121,$BB80-1,0,$BA80,1))&gt;1,MAX(OFFSET(S$121,$BB80-1,0,$BA80,1))-MIN(OFFSET(S$121,$BB80-1,0,$BA80,1)),""))</f>
        <v/>
      </c>
      <c r="T80" s="29">
        <f>IF(OR($A80="",T$116=0),"",IF(COUNT(OFFSET(T$121,$BB80-1,0,$BA80,1))&gt;1,MAX(OFFSET(T$121,$BB80-1,0,$BA80,1))-MIN(OFFSET(T$121,$BB80-1,0,$BA80,1)),""))</f>
        <v/>
      </c>
      <c r="U80" s="29">
        <f>IF(OR($A80="",U$116=0),"",IF(COUNT(OFFSET(U$121,$BB80-1,0,$BA80,1))&gt;1,MAX(OFFSET(U$121,$BB80-1,0,$BA80,1))-MIN(OFFSET(U$121,$BB80-1,0,$BA80,1)),""))</f>
        <v/>
      </c>
      <c r="V80" s="29">
        <f>IF(OR($A80="",V$116=0),"",IF(COUNT(OFFSET(V$121,$BB80-1,0,$BA80,1))&gt;1,MAX(OFFSET(V$121,$BB80-1,0,$BA80,1))-MIN(OFFSET(V$121,$BB80-1,0,$BA80,1)),""))</f>
        <v/>
      </c>
      <c r="W80" s="29">
        <f>IF(OR($A80="",W$116=0),"",IF(COUNT(OFFSET(W$121,$BB80-1,0,$BA80,1))&gt;1,MAX(OFFSET(W$121,$BB80-1,0,$BA80,1))-MIN(OFFSET(W$121,$BB80-1,0,$BA80,1)),""))</f>
        <v/>
      </c>
      <c r="X80" s="29">
        <f>IF(OR($A80="",X$116=0),"",IF(COUNT(OFFSET(X$121,$BB80-1,0,$BA80,1))&gt;1,MAX(OFFSET(X$121,$BB80-1,0,$BA80,1))-MIN(OFFSET(X$121,$BB80-1,0,$BA80,1)),""))</f>
        <v/>
      </c>
      <c r="Y80" s="29">
        <f>IF(OR($A80="",Y$116=0),"",IF(COUNT(OFFSET(Y$121,$BB80-1,0,$BA80,1))&gt;1,MAX(OFFSET(Y$121,$BB80-1,0,$BA80,1))-MIN(OFFSET(Y$121,$BB80-1,0,$BA80,1)),""))</f>
        <v/>
      </c>
      <c r="Z80" s="29">
        <f>IF(OR($A80="",Z$116=0),"",IF(COUNT(OFFSET(Z$121,$BB80-1,0,$BA80,1))&gt;1,MAX(OFFSET(Z$121,$BB80-1,0,$BA80,1))-MIN(OFFSET(Z$121,$BB80-1,0,$BA80,1)),""))</f>
        <v/>
      </c>
      <c r="AA80" s="29">
        <f>IF(OR($A80="",AA$116=0),"",IF(COUNT(OFFSET(AA$121,$BB80-1,0,$BA80,1))&gt;1,MAX(OFFSET(AA$121,$BB80-1,0,$BA80,1))-MIN(OFFSET(AA$121,$BB80-1,0,$BA80,1)),""))</f>
        <v/>
      </c>
      <c r="AB80" s="29">
        <f>IF(OR($A80="",AB$116=0),"",IF(COUNT(OFFSET(AB$121,$BB80-1,0,$BA80,1))&gt;1,MAX(OFFSET(AB$121,$BB80-1,0,$BA80,1))-MIN(OFFSET(AB$121,$BB80-1,0,$BA80,1)),""))</f>
        <v/>
      </c>
      <c r="AC80" s="29">
        <f>IF(OR($A80="",AC$116=0),"",IF(COUNT(OFFSET(AC$121,$BB80-1,0,$BA80,1))&gt;1,MAX(OFFSET(AC$121,$BB80-1,0,$BA80,1))-MIN(OFFSET(AC$121,$BB80-1,0,$BA80,1)),""))</f>
        <v/>
      </c>
      <c r="AD80" s="29">
        <f>IF(OR($A80="",AD$116=0),"",IF(COUNT(OFFSET(AD$121,$BB80-1,0,$BA80,1))&gt;1,MAX(OFFSET(AD$121,$BB80-1,0,$BA80,1))-MIN(OFFSET(AD$121,$BB80-1,0,$BA80,1)),""))</f>
        <v/>
      </c>
      <c r="AE80" s="29">
        <f>IF(OR($A80="",AE$116=0),"",IF(COUNT(OFFSET(AE$121,$BB80-1,0,$BA80,1))&gt;1,MAX(OFFSET(AE$121,$BB80-1,0,$BA80,1))-MIN(OFFSET(AE$121,$BB80-1,0,$BA80,1)),""))</f>
        <v/>
      </c>
      <c r="AF80" s="29">
        <f>IF(OR($A80="",AF$116=0),"",IF(COUNT(OFFSET(AF$121,$BB80-1,0,$BA80,1))&gt;1,MAX(OFFSET(AF$121,$BB80-1,0,$BA80,1))-MIN(OFFSET(AF$121,$BB80-1,0,$BA80,1)),""))</f>
        <v/>
      </c>
      <c r="AG80" s="29">
        <f>IF(OR($A80="",AG$116=0),"",IF(COUNT(OFFSET(AG$121,$BB80-1,0,$BA80,1))&gt;1,MAX(OFFSET(AG$121,$BB80-1,0,$BA80,1))-MIN(OFFSET(AG$121,$BB80-1,0,$BA80,1)),""))</f>
        <v/>
      </c>
      <c r="AH80" s="29">
        <f>IF(OR($A80="",AH$116=0),"",IF(COUNT(OFFSET(AH$121,$BB80-1,0,$BA80,1))&gt;1,MAX(OFFSET(AH$121,$BB80-1,0,$BA80,1))-MIN(OFFSET(AH$121,$BB80-1,0,$BA80,1)),""))</f>
        <v/>
      </c>
      <c r="AI80" s="29">
        <f>IF(OR($A80="",AI$116=0),"",IF(COUNT(OFFSET(AI$121,$BB80-1,0,$BA80,1))&gt;1,MAX(OFFSET(AI$121,$BB80-1,0,$BA80,1))-MIN(OFFSET(AI$121,$BB80-1,0,$BA80,1)),""))</f>
        <v/>
      </c>
      <c r="AJ80" s="29">
        <f>IF(OR($A80="",AJ$116=0),"",IF(COUNT(OFFSET(AJ$121,$BB80-1,0,$BA80,1))&gt;1,MAX(OFFSET(AJ$121,$BB80-1,0,$BA80,1))-MIN(OFFSET(AJ$121,$BB80-1,0,$BA80,1)),""))</f>
        <v/>
      </c>
      <c r="AK80" s="29">
        <f>IF(OR($A80="",AK$116=0),"",IF(COUNT(OFFSET(AK$121,$BB80-1,0,$BA80,1))&gt;1,MAX(OFFSET(AK$121,$BB80-1,0,$BA80,1))-MIN(OFFSET(AK$121,$BB80-1,0,$BA80,1)),""))</f>
        <v/>
      </c>
      <c r="AL80" s="29">
        <f>IF(OR($A80="",AL$116=0),"",IF(COUNT(OFFSET(AL$121,$BB80-1,0,$BA80,1))&gt;1,MAX(OFFSET(AL$121,$BB80-1,0,$BA80,1))-MIN(OFFSET(AL$121,$BB80-1,0,$BA80,1)),""))</f>
        <v/>
      </c>
      <c r="AM80" s="29">
        <f>IF(OR($A80="",AM$116=0),"",IF(COUNT(OFFSET(AM$121,$BB80-1,0,$BA80,1))&gt;1,MAX(OFFSET(AM$121,$BB80-1,0,$BA80,1))-MIN(OFFSET(AM$121,$BB80-1,0,$BA80,1)),""))</f>
        <v/>
      </c>
      <c r="AN80" s="29">
        <f>IF(OR($A80="",AN$116=0),"",IF(COUNT(OFFSET(AN$121,$BB80-1,0,$BA80,1))&gt;1,MAX(OFFSET(AN$121,$BB80-1,0,$BA80,1))-MIN(OFFSET(AN$121,$BB80-1,0,$BA80,1)),""))</f>
        <v/>
      </c>
      <c r="AO80" s="29">
        <f>IF(OR($A80="",AO$116=0),"",IF(COUNT(OFFSET(AO$121,$BB80-1,0,$BA80,1))&gt;1,MAX(OFFSET(AO$121,$BB80-1,0,$BA80,1))-MIN(OFFSET(AO$121,$BB80-1,0,$BA80,1)),""))</f>
        <v/>
      </c>
      <c r="AP80" s="29">
        <f>IF(OR($A80="",AP$116=0),"",IF(COUNT(OFFSET(AP$121,$BB80-1,0,$BA80,1))&gt;1,MAX(OFFSET(AP$121,$BB80-1,0,$BA80,1))-MIN(OFFSET(AP$121,$BB80-1,0,$BA80,1)),""))</f>
        <v/>
      </c>
      <c r="AQ80" s="29">
        <f>IF(OR($A80="",AQ$116=0),"",IF(COUNT(OFFSET(AQ$121,$BB80-1,0,$BA80,1))&gt;1,MAX(OFFSET(AQ$121,$BB80-1,0,$BA80,1))-MIN(OFFSET(AQ$121,$BB80-1,0,$BA80,1)),""))</f>
        <v/>
      </c>
      <c r="AR80" s="29">
        <f>IF(OR($A80="",AR$116=0),"",IF(COUNT(OFFSET(AR$121,$BB80-1,0,$BA80,1))&gt;1,MAX(OFFSET(AR$121,$BB80-1,0,$BA80,1))-MIN(OFFSET(AR$121,$BB80-1,0,$BA80,1)),""))</f>
        <v/>
      </c>
      <c r="AS80" s="29">
        <f>IF(OR($A80="",AS$116=0),"",IF(COUNT(OFFSET(AS$121,$BB80-1,0,$BA80,1))&gt;1,MAX(OFFSET(AS$121,$BB80-1,0,$BA80,1))-MIN(OFFSET(AS$121,$BB80-1,0,$BA80,1)),""))</f>
        <v/>
      </c>
      <c r="AT80" s="29">
        <f>IF(OR($A80="",AT$116=0),"",IF(COUNT(OFFSET(AT$121,$BB80-1,0,$BA80,1))&gt;1,MAX(OFFSET(AT$121,$BB80-1,0,$BA80,1))-MIN(OFFSET(AT$121,$BB80-1,0,$BA80,1)),""))</f>
        <v/>
      </c>
      <c r="AU80" s="29">
        <f>IF(OR($A80="",AU$116=0),"",IF(COUNT(OFFSET(AU$121,$BB80-1,0,$BA80,1))&gt;1,MAX(OFFSET(AU$121,$BB80-1,0,$BA80,1))-MIN(OFFSET(AU$121,$BB80-1,0,$BA80,1)),""))</f>
        <v/>
      </c>
      <c r="AV80" s="29">
        <f>IF(OR($A80="",AV$116=0),"",IF(COUNT(OFFSET(AV$121,$BB80-1,0,$BA80,1))&gt;1,MAX(OFFSET(AV$121,$BB80-1,0,$BA80,1))-MIN(OFFSET(AV$121,$BB80-1,0,$BA80,1)),""))</f>
        <v/>
      </c>
      <c r="AW80" s="29">
        <f>IF(OR($A80="",AW$116=0),"",IF(COUNT(OFFSET(AW$121,$BB80-1,0,$BA80,1))&gt;1,MAX(OFFSET(AW$121,$BB80-1,0,$BA80,1))-MIN(OFFSET(AW$121,$BB80-1,0,$BA80,1)),""))</f>
        <v/>
      </c>
      <c r="AX80" s="29">
        <f>IF(OR($A80="",AX$116=0),"",IF(COUNT(OFFSET(AX$121,$BB80-1,0,$BA80,1))&gt;1,MAX(OFFSET(AX$121,$BB80-1,0,$BA80,1))-MIN(OFFSET(AX$121,$BB80-1,0,$BA80,1)),""))</f>
        <v/>
      </c>
      <c r="AY80" s="29">
        <f>IF(OR($A80="",AY$116=0),"",IF(COUNT(OFFSET(AY$121,$BB80-1,0,$BA80,1))&gt;1,MAX(OFFSET(AY$121,$BB80-1,0,$BA80,1))-MIN(OFFSET(AY$121,$BB80-1,0,$BA80,1)),""))</f>
        <v/>
      </c>
      <c r="BA80" s="28">
        <f>IF($A80="","",COUNTIF($BA$121:$BA$1120,$A80))</f>
        <v/>
      </c>
      <c r="BB80" s="28">
        <f>IF($A80="","",MATCH($A80,$BA$121:$BA$1120,0))</f>
        <v/>
      </c>
      <c r="BC80" s="13">
        <f>IF($A80="","",IF(COUNTIF(OFFSET($BA$121,$BB80-1,0,$BA80,1),$A80)=$BA80,"ja","NEE"))</f>
        <v/>
      </c>
    </row>
    <row r="81">
      <c r="A81" s="13">
        <f>IFERROR(INDEX($BA$121:$BA$1120,MATCH(8,$BB$121:$BB$1120,0)),"")</f>
        <v/>
      </c>
      <c r="B81" s="29">
        <f>IF(OR($A81="",B$116=0),"",IF(COUNT(OFFSET(B$121,$BB81-1,0,$BA81,1))&gt;1,MAX(OFFSET(B$121,$BB81-1,0,$BA81,1))-MIN(OFFSET(B$121,$BB81-1,0,$BA81,1)),""))</f>
        <v/>
      </c>
      <c r="C81" s="29">
        <f>IF(OR($A81="",C$116=0),"",IF(COUNT(OFFSET(C$121,$BB81-1,0,$BA81,1))&gt;1,MAX(OFFSET(C$121,$BB81-1,0,$BA81,1))-MIN(OFFSET(C$121,$BB81-1,0,$BA81,1)),""))</f>
        <v/>
      </c>
      <c r="D81" s="29">
        <f>IF(OR($A81="",D$116=0),"",IF(COUNT(OFFSET(D$121,$BB81-1,0,$BA81,1))&gt;1,MAX(OFFSET(D$121,$BB81-1,0,$BA81,1))-MIN(OFFSET(D$121,$BB81-1,0,$BA81,1)),""))</f>
        <v/>
      </c>
      <c r="E81" s="29">
        <f>IF(OR($A81="",E$116=0),"",IF(COUNT(OFFSET(E$121,$BB81-1,0,$BA81,1))&gt;1,MAX(OFFSET(E$121,$BB81-1,0,$BA81,1))-MIN(OFFSET(E$121,$BB81-1,0,$BA81,1)),""))</f>
        <v/>
      </c>
      <c r="F81" s="29">
        <f>IF(OR($A81="",F$116=0),"",IF(COUNT(OFFSET(F$121,$BB81-1,0,$BA81,1))&gt;1,MAX(OFFSET(F$121,$BB81-1,0,$BA81,1))-MIN(OFFSET(F$121,$BB81-1,0,$BA81,1)),""))</f>
        <v/>
      </c>
      <c r="G81" s="29">
        <f>IF(OR($A81="",G$116=0),"",IF(COUNT(OFFSET(G$121,$BB81-1,0,$BA81,1))&gt;1,MAX(OFFSET(G$121,$BB81-1,0,$BA81,1))-MIN(OFFSET(G$121,$BB81-1,0,$BA81,1)),""))</f>
        <v/>
      </c>
      <c r="H81" s="29">
        <f>IF(OR($A81="",H$116=0),"",IF(COUNT(OFFSET(H$121,$BB81-1,0,$BA81,1))&gt;1,MAX(OFFSET(H$121,$BB81-1,0,$BA81,1))-MIN(OFFSET(H$121,$BB81-1,0,$BA81,1)),""))</f>
        <v/>
      </c>
      <c r="I81" s="29">
        <f>IF(OR($A81="",I$116=0),"",IF(COUNT(OFFSET(I$121,$BB81-1,0,$BA81,1))&gt;1,MAX(OFFSET(I$121,$BB81-1,0,$BA81,1))-MIN(OFFSET(I$121,$BB81-1,0,$BA81,1)),""))</f>
        <v/>
      </c>
      <c r="J81" s="29">
        <f>IF(OR($A81="",J$116=0),"",IF(COUNT(OFFSET(J$121,$BB81-1,0,$BA81,1))&gt;1,MAX(OFFSET(J$121,$BB81-1,0,$BA81,1))-MIN(OFFSET(J$121,$BB81-1,0,$BA81,1)),""))</f>
        <v/>
      </c>
      <c r="K81" s="29">
        <f>IF(OR($A81="",K$116=0),"",IF(COUNT(OFFSET(K$121,$BB81-1,0,$BA81,1))&gt;1,MAX(OFFSET(K$121,$BB81-1,0,$BA81,1))-MIN(OFFSET(K$121,$BB81-1,0,$BA81,1)),""))</f>
        <v/>
      </c>
      <c r="L81" s="29">
        <f>IF(OR($A81="",L$116=0),"",IF(COUNT(OFFSET(L$121,$BB81-1,0,$BA81,1))&gt;1,MAX(OFFSET(L$121,$BB81-1,0,$BA81,1))-MIN(OFFSET(L$121,$BB81-1,0,$BA81,1)),""))</f>
        <v/>
      </c>
      <c r="M81" s="29">
        <f>IF(OR($A81="",M$116=0),"",IF(COUNT(OFFSET(M$121,$BB81-1,0,$BA81,1))&gt;1,MAX(OFFSET(M$121,$BB81-1,0,$BA81,1))-MIN(OFFSET(M$121,$BB81-1,0,$BA81,1)),""))</f>
        <v/>
      </c>
      <c r="N81" s="29">
        <f>IF(OR($A81="",N$116=0),"",IF(COUNT(OFFSET(N$121,$BB81-1,0,$BA81,1))&gt;1,MAX(OFFSET(N$121,$BB81-1,0,$BA81,1))-MIN(OFFSET(N$121,$BB81-1,0,$BA81,1)),""))</f>
        <v/>
      </c>
      <c r="O81" s="29">
        <f>IF(OR($A81="",O$116=0),"",IF(COUNT(OFFSET(O$121,$BB81-1,0,$BA81,1))&gt;1,MAX(OFFSET(O$121,$BB81-1,0,$BA81,1))-MIN(OFFSET(O$121,$BB81-1,0,$BA81,1)),""))</f>
        <v/>
      </c>
      <c r="P81" s="29">
        <f>IF(OR($A81="",P$116=0),"",IF(COUNT(OFFSET(P$121,$BB81-1,0,$BA81,1))&gt;1,MAX(OFFSET(P$121,$BB81-1,0,$BA81,1))-MIN(OFFSET(P$121,$BB81-1,0,$BA81,1)),""))</f>
        <v/>
      </c>
      <c r="Q81" s="29">
        <f>IF(OR($A81="",Q$116=0),"",IF(COUNT(OFFSET(Q$121,$BB81-1,0,$BA81,1))&gt;1,MAX(OFFSET(Q$121,$BB81-1,0,$BA81,1))-MIN(OFFSET(Q$121,$BB81-1,0,$BA81,1)),""))</f>
        <v/>
      </c>
      <c r="R81" s="29">
        <f>IF(OR($A81="",R$116=0),"",IF(COUNT(OFFSET(R$121,$BB81-1,0,$BA81,1))&gt;1,MAX(OFFSET(R$121,$BB81-1,0,$BA81,1))-MIN(OFFSET(R$121,$BB81-1,0,$BA81,1)),""))</f>
        <v/>
      </c>
      <c r="S81" s="29">
        <f>IF(OR($A81="",S$116=0),"",IF(COUNT(OFFSET(S$121,$BB81-1,0,$BA81,1))&gt;1,MAX(OFFSET(S$121,$BB81-1,0,$BA81,1))-MIN(OFFSET(S$121,$BB81-1,0,$BA81,1)),""))</f>
        <v/>
      </c>
      <c r="T81" s="29">
        <f>IF(OR($A81="",T$116=0),"",IF(COUNT(OFFSET(T$121,$BB81-1,0,$BA81,1))&gt;1,MAX(OFFSET(T$121,$BB81-1,0,$BA81,1))-MIN(OFFSET(T$121,$BB81-1,0,$BA81,1)),""))</f>
        <v/>
      </c>
      <c r="U81" s="29">
        <f>IF(OR($A81="",U$116=0),"",IF(COUNT(OFFSET(U$121,$BB81-1,0,$BA81,1))&gt;1,MAX(OFFSET(U$121,$BB81-1,0,$BA81,1))-MIN(OFFSET(U$121,$BB81-1,0,$BA81,1)),""))</f>
        <v/>
      </c>
      <c r="V81" s="29">
        <f>IF(OR($A81="",V$116=0),"",IF(COUNT(OFFSET(V$121,$BB81-1,0,$BA81,1))&gt;1,MAX(OFFSET(V$121,$BB81-1,0,$BA81,1))-MIN(OFFSET(V$121,$BB81-1,0,$BA81,1)),""))</f>
        <v/>
      </c>
      <c r="W81" s="29">
        <f>IF(OR($A81="",W$116=0),"",IF(COUNT(OFFSET(W$121,$BB81-1,0,$BA81,1))&gt;1,MAX(OFFSET(W$121,$BB81-1,0,$BA81,1))-MIN(OFFSET(W$121,$BB81-1,0,$BA81,1)),""))</f>
        <v/>
      </c>
      <c r="X81" s="29">
        <f>IF(OR($A81="",X$116=0),"",IF(COUNT(OFFSET(X$121,$BB81-1,0,$BA81,1))&gt;1,MAX(OFFSET(X$121,$BB81-1,0,$BA81,1))-MIN(OFFSET(X$121,$BB81-1,0,$BA81,1)),""))</f>
        <v/>
      </c>
      <c r="Y81" s="29">
        <f>IF(OR($A81="",Y$116=0),"",IF(COUNT(OFFSET(Y$121,$BB81-1,0,$BA81,1))&gt;1,MAX(OFFSET(Y$121,$BB81-1,0,$BA81,1))-MIN(OFFSET(Y$121,$BB81-1,0,$BA81,1)),""))</f>
        <v/>
      </c>
      <c r="Z81" s="29">
        <f>IF(OR($A81="",Z$116=0),"",IF(COUNT(OFFSET(Z$121,$BB81-1,0,$BA81,1))&gt;1,MAX(OFFSET(Z$121,$BB81-1,0,$BA81,1))-MIN(OFFSET(Z$121,$BB81-1,0,$BA81,1)),""))</f>
        <v/>
      </c>
      <c r="AA81" s="29">
        <f>IF(OR($A81="",AA$116=0),"",IF(COUNT(OFFSET(AA$121,$BB81-1,0,$BA81,1))&gt;1,MAX(OFFSET(AA$121,$BB81-1,0,$BA81,1))-MIN(OFFSET(AA$121,$BB81-1,0,$BA81,1)),""))</f>
        <v/>
      </c>
      <c r="AB81" s="29">
        <f>IF(OR($A81="",AB$116=0),"",IF(COUNT(OFFSET(AB$121,$BB81-1,0,$BA81,1))&gt;1,MAX(OFFSET(AB$121,$BB81-1,0,$BA81,1))-MIN(OFFSET(AB$121,$BB81-1,0,$BA81,1)),""))</f>
        <v/>
      </c>
      <c r="AC81" s="29">
        <f>IF(OR($A81="",AC$116=0),"",IF(COUNT(OFFSET(AC$121,$BB81-1,0,$BA81,1))&gt;1,MAX(OFFSET(AC$121,$BB81-1,0,$BA81,1))-MIN(OFFSET(AC$121,$BB81-1,0,$BA81,1)),""))</f>
        <v/>
      </c>
      <c r="AD81" s="29">
        <f>IF(OR($A81="",AD$116=0),"",IF(COUNT(OFFSET(AD$121,$BB81-1,0,$BA81,1))&gt;1,MAX(OFFSET(AD$121,$BB81-1,0,$BA81,1))-MIN(OFFSET(AD$121,$BB81-1,0,$BA81,1)),""))</f>
        <v/>
      </c>
      <c r="AE81" s="29">
        <f>IF(OR($A81="",AE$116=0),"",IF(COUNT(OFFSET(AE$121,$BB81-1,0,$BA81,1))&gt;1,MAX(OFFSET(AE$121,$BB81-1,0,$BA81,1))-MIN(OFFSET(AE$121,$BB81-1,0,$BA81,1)),""))</f>
        <v/>
      </c>
      <c r="AF81" s="29">
        <f>IF(OR($A81="",AF$116=0),"",IF(COUNT(OFFSET(AF$121,$BB81-1,0,$BA81,1))&gt;1,MAX(OFFSET(AF$121,$BB81-1,0,$BA81,1))-MIN(OFFSET(AF$121,$BB81-1,0,$BA81,1)),""))</f>
        <v/>
      </c>
      <c r="AG81" s="29">
        <f>IF(OR($A81="",AG$116=0),"",IF(COUNT(OFFSET(AG$121,$BB81-1,0,$BA81,1))&gt;1,MAX(OFFSET(AG$121,$BB81-1,0,$BA81,1))-MIN(OFFSET(AG$121,$BB81-1,0,$BA81,1)),""))</f>
        <v/>
      </c>
      <c r="AH81" s="29">
        <f>IF(OR($A81="",AH$116=0),"",IF(COUNT(OFFSET(AH$121,$BB81-1,0,$BA81,1))&gt;1,MAX(OFFSET(AH$121,$BB81-1,0,$BA81,1))-MIN(OFFSET(AH$121,$BB81-1,0,$BA81,1)),""))</f>
        <v/>
      </c>
      <c r="AI81" s="29">
        <f>IF(OR($A81="",AI$116=0),"",IF(COUNT(OFFSET(AI$121,$BB81-1,0,$BA81,1))&gt;1,MAX(OFFSET(AI$121,$BB81-1,0,$BA81,1))-MIN(OFFSET(AI$121,$BB81-1,0,$BA81,1)),""))</f>
        <v/>
      </c>
      <c r="AJ81" s="29">
        <f>IF(OR($A81="",AJ$116=0),"",IF(COUNT(OFFSET(AJ$121,$BB81-1,0,$BA81,1))&gt;1,MAX(OFFSET(AJ$121,$BB81-1,0,$BA81,1))-MIN(OFFSET(AJ$121,$BB81-1,0,$BA81,1)),""))</f>
        <v/>
      </c>
      <c r="AK81" s="29">
        <f>IF(OR($A81="",AK$116=0),"",IF(COUNT(OFFSET(AK$121,$BB81-1,0,$BA81,1))&gt;1,MAX(OFFSET(AK$121,$BB81-1,0,$BA81,1))-MIN(OFFSET(AK$121,$BB81-1,0,$BA81,1)),""))</f>
        <v/>
      </c>
      <c r="AL81" s="29">
        <f>IF(OR($A81="",AL$116=0),"",IF(COUNT(OFFSET(AL$121,$BB81-1,0,$BA81,1))&gt;1,MAX(OFFSET(AL$121,$BB81-1,0,$BA81,1))-MIN(OFFSET(AL$121,$BB81-1,0,$BA81,1)),""))</f>
        <v/>
      </c>
      <c r="AM81" s="29">
        <f>IF(OR($A81="",AM$116=0),"",IF(COUNT(OFFSET(AM$121,$BB81-1,0,$BA81,1))&gt;1,MAX(OFFSET(AM$121,$BB81-1,0,$BA81,1))-MIN(OFFSET(AM$121,$BB81-1,0,$BA81,1)),""))</f>
        <v/>
      </c>
      <c r="AN81" s="29">
        <f>IF(OR($A81="",AN$116=0),"",IF(COUNT(OFFSET(AN$121,$BB81-1,0,$BA81,1))&gt;1,MAX(OFFSET(AN$121,$BB81-1,0,$BA81,1))-MIN(OFFSET(AN$121,$BB81-1,0,$BA81,1)),""))</f>
        <v/>
      </c>
      <c r="AO81" s="29">
        <f>IF(OR($A81="",AO$116=0),"",IF(COUNT(OFFSET(AO$121,$BB81-1,0,$BA81,1))&gt;1,MAX(OFFSET(AO$121,$BB81-1,0,$BA81,1))-MIN(OFFSET(AO$121,$BB81-1,0,$BA81,1)),""))</f>
        <v/>
      </c>
      <c r="AP81" s="29">
        <f>IF(OR($A81="",AP$116=0),"",IF(COUNT(OFFSET(AP$121,$BB81-1,0,$BA81,1))&gt;1,MAX(OFFSET(AP$121,$BB81-1,0,$BA81,1))-MIN(OFFSET(AP$121,$BB81-1,0,$BA81,1)),""))</f>
        <v/>
      </c>
      <c r="AQ81" s="29">
        <f>IF(OR($A81="",AQ$116=0),"",IF(COUNT(OFFSET(AQ$121,$BB81-1,0,$BA81,1))&gt;1,MAX(OFFSET(AQ$121,$BB81-1,0,$BA81,1))-MIN(OFFSET(AQ$121,$BB81-1,0,$BA81,1)),""))</f>
        <v/>
      </c>
      <c r="AR81" s="29">
        <f>IF(OR($A81="",AR$116=0),"",IF(COUNT(OFFSET(AR$121,$BB81-1,0,$BA81,1))&gt;1,MAX(OFFSET(AR$121,$BB81-1,0,$BA81,1))-MIN(OFFSET(AR$121,$BB81-1,0,$BA81,1)),""))</f>
        <v/>
      </c>
      <c r="AS81" s="29">
        <f>IF(OR($A81="",AS$116=0),"",IF(COUNT(OFFSET(AS$121,$BB81-1,0,$BA81,1))&gt;1,MAX(OFFSET(AS$121,$BB81-1,0,$BA81,1))-MIN(OFFSET(AS$121,$BB81-1,0,$BA81,1)),""))</f>
        <v/>
      </c>
      <c r="AT81" s="29">
        <f>IF(OR($A81="",AT$116=0),"",IF(COUNT(OFFSET(AT$121,$BB81-1,0,$BA81,1))&gt;1,MAX(OFFSET(AT$121,$BB81-1,0,$BA81,1))-MIN(OFFSET(AT$121,$BB81-1,0,$BA81,1)),""))</f>
        <v/>
      </c>
      <c r="AU81" s="29">
        <f>IF(OR($A81="",AU$116=0),"",IF(COUNT(OFFSET(AU$121,$BB81-1,0,$BA81,1))&gt;1,MAX(OFFSET(AU$121,$BB81-1,0,$BA81,1))-MIN(OFFSET(AU$121,$BB81-1,0,$BA81,1)),""))</f>
        <v/>
      </c>
      <c r="AV81" s="29">
        <f>IF(OR($A81="",AV$116=0),"",IF(COUNT(OFFSET(AV$121,$BB81-1,0,$BA81,1))&gt;1,MAX(OFFSET(AV$121,$BB81-1,0,$BA81,1))-MIN(OFFSET(AV$121,$BB81-1,0,$BA81,1)),""))</f>
        <v/>
      </c>
      <c r="AW81" s="29">
        <f>IF(OR($A81="",AW$116=0),"",IF(COUNT(OFFSET(AW$121,$BB81-1,0,$BA81,1))&gt;1,MAX(OFFSET(AW$121,$BB81-1,0,$BA81,1))-MIN(OFFSET(AW$121,$BB81-1,0,$BA81,1)),""))</f>
        <v/>
      </c>
      <c r="AX81" s="29">
        <f>IF(OR($A81="",AX$116=0),"",IF(COUNT(OFFSET(AX$121,$BB81-1,0,$BA81,1))&gt;1,MAX(OFFSET(AX$121,$BB81-1,0,$BA81,1))-MIN(OFFSET(AX$121,$BB81-1,0,$BA81,1)),""))</f>
        <v/>
      </c>
      <c r="AY81" s="29">
        <f>IF(OR($A81="",AY$116=0),"",IF(COUNT(OFFSET(AY$121,$BB81-1,0,$BA81,1))&gt;1,MAX(OFFSET(AY$121,$BB81-1,0,$BA81,1))-MIN(OFFSET(AY$121,$BB81-1,0,$BA81,1)),""))</f>
        <v/>
      </c>
      <c r="BA81" s="28">
        <f>IF($A81="","",COUNTIF($BA$121:$BA$1120,$A81))</f>
        <v/>
      </c>
      <c r="BB81" s="28">
        <f>IF($A81="","",MATCH($A81,$BA$121:$BA$1120,0))</f>
        <v/>
      </c>
      <c r="BC81" s="13">
        <f>IF($A81="","",IF(COUNTIF(OFFSET($BA$121,$BB81-1,0,$BA81,1),$A81)=$BA81,"ja","NEE"))</f>
        <v/>
      </c>
    </row>
    <row r="82">
      <c r="A82" s="13">
        <f>IFERROR(INDEX($BA$121:$BA$1120,MATCH(9,$BB$121:$BB$1120,0)),"")</f>
        <v/>
      </c>
      <c r="B82" s="29">
        <f>IF(OR($A82="",B$116=0),"",IF(COUNT(OFFSET(B$121,$BB82-1,0,$BA82,1))&gt;1,MAX(OFFSET(B$121,$BB82-1,0,$BA82,1))-MIN(OFFSET(B$121,$BB82-1,0,$BA82,1)),""))</f>
        <v/>
      </c>
      <c r="C82" s="29">
        <f>IF(OR($A82="",C$116=0),"",IF(COUNT(OFFSET(C$121,$BB82-1,0,$BA82,1))&gt;1,MAX(OFFSET(C$121,$BB82-1,0,$BA82,1))-MIN(OFFSET(C$121,$BB82-1,0,$BA82,1)),""))</f>
        <v/>
      </c>
      <c r="D82" s="29">
        <f>IF(OR($A82="",D$116=0),"",IF(COUNT(OFFSET(D$121,$BB82-1,0,$BA82,1))&gt;1,MAX(OFFSET(D$121,$BB82-1,0,$BA82,1))-MIN(OFFSET(D$121,$BB82-1,0,$BA82,1)),""))</f>
        <v/>
      </c>
      <c r="E82" s="29">
        <f>IF(OR($A82="",E$116=0),"",IF(COUNT(OFFSET(E$121,$BB82-1,0,$BA82,1))&gt;1,MAX(OFFSET(E$121,$BB82-1,0,$BA82,1))-MIN(OFFSET(E$121,$BB82-1,0,$BA82,1)),""))</f>
        <v/>
      </c>
      <c r="F82" s="29">
        <f>IF(OR($A82="",F$116=0),"",IF(COUNT(OFFSET(F$121,$BB82-1,0,$BA82,1))&gt;1,MAX(OFFSET(F$121,$BB82-1,0,$BA82,1))-MIN(OFFSET(F$121,$BB82-1,0,$BA82,1)),""))</f>
        <v/>
      </c>
      <c r="G82" s="29">
        <f>IF(OR($A82="",G$116=0),"",IF(COUNT(OFFSET(G$121,$BB82-1,0,$BA82,1))&gt;1,MAX(OFFSET(G$121,$BB82-1,0,$BA82,1))-MIN(OFFSET(G$121,$BB82-1,0,$BA82,1)),""))</f>
        <v/>
      </c>
      <c r="H82" s="29">
        <f>IF(OR($A82="",H$116=0),"",IF(COUNT(OFFSET(H$121,$BB82-1,0,$BA82,1))&gt;1,MAX(OFFSET(H$121,$BB82-1,0,$BA82,1))-MIN(OFFSET(H$121,$BB82-1,0,$BA82,1)),""))</f>
        <v/>
      </c>
      <c r="I82" s="29">
        <f>IF(OR($A82="",I$116=0),"",IF(COUNT(OFFSET(I$121,$BB82-1,0,$BA82,1))&gt;1,MAX(OFFSET(I$121,$BB82-1,0,$BA82,1))-MIN(OFFSET(I$121,$BB82-1,0,$BA82,1)),""))</f>
        <v/>
      </c>
      <c r="J82" s="29">
        <f>IF(OR($A82="",J$116=0),"",IF(COUNT(OFFSET(J$121,$BB82-1,0,$BA82,1))&gt;1,MAX(OFFSET(J$121,$BB82-1,0,$BA82,1))-MIN(OFFSET(J$121,$BB82-1,0,$BA82,1)),""))</f>
        <v/>
      </c>
      <c r="K82" s="29">
        <f>IF(OR($A82="",K$116=0),"",IF(COUNT(OFFSET(K$121,$BB82-1,0,$BA82,1))&gt;1,MAX(OFFSET(K$121,$BB82-1,0,$BA82,1))-MIN(OFFSET(K$121,$BB82-1,0,$BA82,1)),""))</f>
        <v/>
      </c>
      <c r="L82" s="29">
        <f>IF(OR($A82="",L$116=0),"",IF(COUNT(OFFSET(L$121,$BB82-1,0,$BA82,1))&gt;1,MAX(OFFSET(L$121,$BB82-1,0,$BA82,1))-MIN(OFFSET(L$121,$BB82-1,0,$BA82,1)),""))</f>
        <v/>
      </c>
      <c r="M82" s="29">
        <f>IF(OR($A82="",M$116=0),"",IF(COUNT(OFFSET(M$121,$BB82-1,0,$BA82,1))&gt;1,MAX(OFFSET(M$121,$BB82-1,0,$BA82,1))-MIN(OFFSET(M$121,$BB82-1,0,$BA82,1)),""))</f>
        <v/>
      </c>
      <c r="N82" s="29">
        <f>IF(OR($A82="",N$116=0),"",IF(COUNT(OFFSET(N$121,$BB82-1,0,$BA82,1))&gt;1,MAX(OFFSET(N$121,$BB82-1,0,$BA82,1))-MIN(OFFSET(N$121,$BB82-1,0,$BA82,1)),""))</f>
        <v/>
      </c>
      <c r="O82" s="29">
        <f>IF(OR($A82="",O$116=0),"",IF(COUNT(OFFSET(O$121,$BB82-1,0,$BA82,1))&gt;1,MAX(OFFSET(O$121,$BB82-1,0,$BA82,1))-MIN(OFFSET(O$121,$BB82-1,0,$BA82,1)),""))</f>
        <v/>
      </c>
      <c r="P82" s="29">
        <f>IF(OR($A82="",P$116=0),"",IF(COUNT(OFFSET(P$121,$BB82-1,0,$BA82,1))&gt;1,MAX(OFFSET(P$121,$BB82-1,0,$BA82,1))-MIN(OFFSET(P$121,$BB82-1,0,$BA82,1)),""))</f>
        <v/>
      </c>
      <c r="Q82" s="29">
        <f>IF(OR($A82="",Q$116=0),"",IF(COUNT(OFFSET(Q$121,$BB82-1,0,$BA82,1))&gt;1,MAX(OFFSET(Q$121,$BB82-1,0,$BA82,1))-MIN(OFFSET(Q$121,$BB82-1,0,$BA82,1)),""))</f>
        <v/>
      </c>
      <c r="R82" s="29">
        <f>IF(OR($A82="",R$116=0),"",IF(COUNT(OFFSET(R$121,$BB82-1,0,$BA82,1))&gt;1,MAX(OFFSET(R$121,$BB82-1,0,$BA82,1))-MIN(OFFSET(R$121,$BB82-1,0,$BA82,1)),""))</f>
        <v/>
      </c>
      <c r="S82" s="29">
        <f>IF(OR($A82="",S$116=0),"",IF(COUNT(OFFSET(S$121,$BB82-1,0,$BA82,1))&gt;1,MAX(OFFSET(S$121,$BB82-1,0,$BA82,1))-MIN(OFFSET(S$121,$BB82-1,0,$BA82,1)),""))</f>
        <v/>
      </c>
      <c r="T82" s="29">
        <f>IF(OR($A82="",T$116=0),"",IF(COUNT(OFFSET(T$121,$BB82-1,0,$BA82,1))&gt;1,MAX(OFFSET(T$121,$BB82-1,0,$BA82,1))-MIN(OFFSET(T$121,$BB82-1,0,$BA82,1)),""))</f>
        <v/>
      </c>
      <c r="U82" s="29">
        <f>IF(OR($A82="",U$116=0),"",IF(COUNT(OFFSET(U$121,$BB82-1,0,$BA82,1))&gt;1,MAX(OFFSET(U$121,$BB82-1,0,$BA82,1))-MIN(OFFSET(U$121,$BB82-1,0,$BA82,1)),""))</f>
        <v/>
      </c>
      <c r="V82" s="29">
        <f>IF(OR($A82="",V$116=0),"",IF(COUNT(OFFSET(V$121,$BB82-1,0,$BA82,1))&gt;1,MAX(OFFSET(V$121,$BB82-1,0,$BA82,1))-MIN(OFFSET(V$121,$BB82-1,0,$BA82,1)),""))</f>
        <v/>
      </c>
      <c r="W82" s="29">
        <f>IF(OR($A82="",W$116=0),"",IF(COUNT(OFFSET(W$121,$BB82-1,0,$BA82,1))&gt;1,MAX(OFFSET(W$121,$BB82-1,0,$BA82,1))-MIN(OFFSET(W$121,$BB82-1,0,$BA82,1)),""))</f>
        <v/>
      </c>
      <c r="X82" s="29">
        <f>IF(OR($A82="",X$116=0),"",IF(COUNT(OFFSET(X$121,$BB82-1,0,$BA82,1))&gt;1,MAX(OFFSET(X$121,$BB82-1,0,$BA82,1))-MIN(OFFSET(X$121,$BB82-1,0,$BA82,1)),""))</f>
        <v/>
      </c>
      <c r="Y82" s="29">
        <f>IF(OR($A82="",Y$116=0),"",IF(COUNT(OFFSET(Y$121,$BB82-1,0,$BA82,1))&gt;1,MAX(OFFSET(Y$121,$BB82-1,0,$BA82,1))-MIN(OFFSET(Y$121,$BB82-1,0,$BA82,1)),""))</f>
        <v/>
      </c>
      <c r="Z82" s="29">
        <f>IF(OR($A82="",Z$116=0),"",IF(COUNT(OFFSET(Z$121,$BB82-1,0,$BA82,1))&gt;1,MAX(OFFSET(Z$121,$BB82-1,0,$BA82,1))-MIN(OFFSET(Z$121,$BB82-1,0,$BA82,1)),""))</f>
        <v/>
      </c>
      <c r="AA82" s="29">
        <f>IF(OR($A82="",AA$116=0),"",IF(COUNT(OFFSET(AA$121,$BB82-1,0,$BA82,1))&gt;1,MAX(OFFSET(AA$121,$BB82-1,0,$BA82,1))-MIN(OFFSET(AA$121,$BB82-1,0,$BA82,1)),""))</f>
        <v/>
      </c>
      <c r="AB82" s="29">
        <f>IF(OR($A82="",AB$116=0),"",IF(COUNT(OFFSET(AB$121,$BB82-1,0,$BA82,1))&gt;1,MAX(OFFSET(AB$121,$BB82-1,0,$BA82,1))-MIN(OFFSET(AB$121,$BB82-1,0,$BA82,1)),""))</f>
        <v/>
      </c>
      <c r="AC82" s="29">
        <f>IF(OR($A82="",AC$116=0),"",IF(COUNT(OFFSET(AC$121,$BB82-1,0,$BA82,1))&gt;1,MAX(OFFSET(AC$121,$BB82-1,0,$BA82,1))-MIN(OFFSET(AC$121,$BB82-1,0,$BA82,1)),""))</f>
        <v/>
      </c>
      <c r="AD82" s="29">
        <f>IF(OR($A82="",AD$116=0),"",IF(COUNT(OFFSET(AD$121,$BB82-1,0,$BA82,1))&gt;1,MAX(OFFSET(AD$121,$BB82-1,0,$BA82,1))-MIN(OFFSET(AD$121,$BB82-1,0,$BA82,1)),""))</f>
        <v/>
      </c>
      <c r="AE82" s="29">
        <f>IF(OR($A82="",AE$116=0),"",IF(COUNT(OFFSET(AE$121,$BB82-1,0,$BA82,1))&gt;1,MAX(OFFSET(AE$121,$BB82-1,0,$BA82,1))-MIN(OFFSET(AE$121,$BB82-1,0,$BA82,1)),""))</f>
        <v/>
      </c>
      <c r="AF82" s="29">
        <f>IF(OR($A82="",AF$116=0),"",IF(COUNT(OFFSET(AF$121,$BB82-1,0,$BA82,1))&gt;1,MAX(OFFSET(AF$121,$BB82-1,0,$BA82,1))-MIN(OFFSET(AF$121,$BB82-1,0,$BA82,1)),""))</f>
        <v/>
      </c>
      <c r="AG82" s="29">
        <f>IF(OR($A82="",AG$116=0),"",IF(COUNT(OFFSET(AG$121,$BB82-1,0,$BA82,1))&gt;1,MAX(OFFSET(AG$121,$BB82-1,0,$BA82,1))-MIN(OFFSET(AG$121,$BB82-1,0,$BA82,1)),""))</f>
        <v/>
      </c>
      <c r="AH82" s="29">
        <f>IF(OR($A82="",AH$116=0),"",IF(COUNT(OFFSET(AH$121,$BB82-1,0,$BA82,1))&gt;1,MAX(OFFSET(AH$121,$BB82-1,0,$BA82,1))-MIN(OFFSET(AH$121,$BB82-1,0,$BA82,1)),""))</f>
        <v/>
      </c>
      <c r="AI82" s="29">
        <f>IF(OR($A82="",AI$116=0),"",IF(COUNT(OFFSET(AI$121,$BB82-1,0,$BA82,1))&gt;1,MAX(OFFSET(AI$121,$BB82-1,0,$BA82,1))-MIN(OFFSET(AI$121,$BB82-1,0,$BA82,1)),""))</f>
        <v/>
      </c>
      <c r="AJ82" s="29">
        <f>IF(OR($A82="",AJ$116=0),"",IF(COUNT(OFFSET(AJ$121,$BB82-1,0,$BA82,1))&gt;1,MAX(OFFSET(AJ$121,$BB82-1,0,$BA82,1))-MIN(OFFSET(AJ$121,$BB82-1,0,$BA82,1)),""))</f>
        <v/>
      </c>
      <c r="AK82" s="29">
        <f>IF(OR($A82="",AK$116=0),"",IF(COUNT(OFFSET(AK$121,$BB82-1,0,$BA82,1))&gt;1,MAX(OFFSET(AK$121,$BB82-1,0,$BA82,1))-MIN(OFFSET(AK$121,$BB82-1,0,$BA82,1)),""))</f>
        <v/>
      </c>
      <c r="AL82" s="29">
        <f>IF(OR($A82="",AL$116=0),"",IF(COUNT(OFFSET(AL$121,$BB82-1,0,$BA82,1))&gt;1,MAX(OFFSET(AL$121,$BB82-1,0,$BA82,1))-MIN(OFFSET(AL$121,$BB82-1,0,$BA82,1)),""))</f>
        <v/>
      </c>
      <c r="AM82" s="29">
        <f>IF(OR($A82="",AM$116=0),"",IF(COUNT(OFFSET(AM$121,$BB82-1,0,$BA82,1))&gt;1,MAX(OFFSET(AM$121,$BB82-1,0,$BA82,1))-MIN(OFFSET(AM$121,$BB82-1,0,$BA82,1)),""))</f>
        <v/>
      </c>
      <c r="AN82" s="29">
        <f>IF(OR($A82="",AN$116=0),"",IF(COUNT(OFFSET(AN$121,$BB82-1,0,$BA82,1))&gt;1,MAX(OFFSET(AN$121,$BB82-1,0,$BA82,1))-MIN(OFFSET(AN$121,$BB82-1,0,$BA82,1)),""))</f>
        <v/>
      </c>
      <c r="AO82" s="29">
        <f>IF(OR($A82="",AO$116=0),"",IF(COUNT(OFFSET(AO$121,$BB82-1,0,$BA82,1))&gt;1,MAX(OFFSET(AO$121,$BB82-1,0,$BA82,1))-MIN(OFFSET(AO$121,$BB82-1,0,$BA82,1)),""))</f>
        <v/>
      </c>
      <c r="AP82" s="29">
        <f>IF(OR($A82="",AP$116=0),"",IF(COUNT(OFFSET(AP$121,$BB82-1,0,$BA82,1))&gt;1,MAX(OFFSET(AP$121,$BB82-1,0,$BA82,1))-MIN(OFFSET(AP$121,$BB82-1,0,$BA82,1)),""))</f>
        <v/>
      </c>
      <c r="AQ82" s="29">
        <f>IF(OR($A82="",AQ$116=0),"",IF(COUNT(OFFSET(AQ$121,$BB82-1,0,$BA82,1))&gt;1,MAX(OFFSET(AQ$121,$BB82-1,0,$BA82,1))-MIN(OFFSET(AQ$121,$BB82-1,0,$BA82,1)),""))</f>
        <v/>
      </c>
      <c r="AR82" s="29">
        <f>IF(OR($A82="",AR$116=0),"",IF(COUNT(OFFSET(AR$121,$BB82-1,0,$BA82,1))&gt;1,MAX(OFFSET(AR$121,$BB82-1,0,$BA82,1))-MIN(OFFSET(AR$121,$BB82-1,0,$BA82,1)),""))</f>
        <v/>
      </c>
      <c r="AS82" s="29">
        <f>IF(OR($A82="",AS$116=0),"",IF(COUNT(OFFSET(AS$121,$BB82-1,0,$BA82,1))&gt;1,MAX(OFFSET(AS$121,$BB82-1,0,$BA82,1))-MIN(OFFSET(AS$121,$BB82-1,0,$BA82,1)),""))</f>
        <v/>
      </c>
      <c r="AT82" s="29">
        <f>IF(OR($A82="",AT$116=0),"",IF(COUNT(OFFSET(AT$121,$BB82-1,0,$BA82,1))&gt;1,MAX(OFFSET(AT$121,$BB82-1,0,$BA82,1))-MIN(OFFSET(AT$121,$BB82-1,0,$BA82,1)),""))</f>
        <v/>
      </c>
      <c r="AU82" s="29">
        <f>IF(OR($A82="",AU$116=0),"",IF(COUNT(OFFSET(AU$121,$BB82-1,0,$BA82,1))&gt;1,MAX(OFFSET(AU$121,$BB82-1,0,$BA82,1))-MIN(OFFSET(AU$121,$BB82-1,0,$BA82,1)),""))</f>
        <v/>
      </c>
      <c r="AV82" s="29">
        <f>IF(OR($A82="",AV$116=0),"",IF(COUNT(OFFSET(AV$121,$BB82-1,0,$BA82,1))&gt;1,MAX(OFFSET(AV$121,$BB82-1,0,$BA82,1))-MIN(OFFSET(AV$121,$BB82-1,0,$BA82,1)),""))</f>
        <v/>
      </c>
      <c r="AW82" s="29">
        <f>IF(OR($A82="",AW$116=0),"",IF(COUNT(OFFSET(AW$121,$BB82-1,0,$BA82,1))&gt;1,MAX(OFFSET(AW$121,$BB82-1,0,$BA82,1))-MIN(OFFSET(AW$121,$BB82-1,0,$BA82,1)),""))</f>
        <v/>
      </c>
      <c r="AX82" s="29">
        <f>IF(OR($A82="",AX$116=0),"",IF(COUNT(OFFSET(AX$121,$BB82-1,0,$BA82,1))&gt;1,MAX(OFFSET(AX$121,$BB82-1,0,$BA82,1))-MIN(OFFSET(AX$121,$BB82-1,0,$BA82,1)),""))</f>
        <v/>
      </c>
      <c r="AY82" s="29">
        <f>IF(OR($A82="",AY$116=0),"",IF(COUNT(OFFSET(AY$121,$BB82-1,0,$BA82,1))&gt;1,MAX(OFFSET(AY$121,$BB82-1,0,$BA82,1))-MIN(OFFSET(AY$121,$BB82-1,0,$BA82,1)),""))</f>
        <v/>
      </c>
      <c r="BA82" s="28">
        <f>IF($A82="","",COUNTIF($BA$121:$BA$1120,$A82))</f>
        <v/>
      </c>
      <c r="BB82" s="28">
        <f>IF($A82="","",MATCH($A82,$BA$121:$BA$1120,0))</f>
        <v/>
      </c>
      <c r="BC82" s="13">
        <f>IF($A82="","",IF(COUNTIF(OFFSET($BA$121,$BB82-1,0,$BA82,1),$A82)=$BA82,"ja","NEE"))</f>
        <v/>
      </c>
    </row>
    <row r="83">
      <c r="A83" s="13">
        <f>IFERROR(INDEX($BA$121:$BA$1120,MATCH(10,$BB$121:$BB$1120,0)),"")</f>
        <v/>
      </c>
      <c r="B83" s="29">
        <f>IF(OR($A83="",B$116=0),"",IF(COUNT(OFFSET(B$121,$BB83-1,0,$BA83,1))&gt;1,MAX(OFFSET(B$121,$BB83-1,0,$BA83,1))-MIN(OFFSET(B$121,$BB83-1,0,$BA83,1)),""))</f>
        <v/>
      </c>
      <c r="C83" s="29">
        <f>IF(OR($A83="",C$116=0),"",IF(COUNT(OFFSET(C$121,$BB83-1,0,$BA83,1))&gt;1,MAX(OFFSET(C$121,$BB83-1,0,$BA83,1))-MIN(OFFSET(C$121,$BB83-1,0,$BA83,1)),""))</f>
        <v/>
      </c>
      <c r="D83" s="29">
        <f>IF(OR($A83="",D$116=0),"",IF(COUNT(OFFSET(D$121,$BB83-1,0,$BA83,1))&gt;1,MAX(OFFSET(D$121,$BB83-1,0,$BA83,1))-MIN(OFFSET(D$121,$BB83-1,0,$BA83,1)),""))</f>
        <v/>
      </c>
      <c r="E83" s="29">
        <f>IF(OR($A83="",E$116=0),"",IF(COUNT(OFFSET(E$121,$BB83-1,0,$BA83,1))&gt;1,MAX(OFFSET(E$121,$BB83-1,0,$BA83,1))-MIN(OFFSET(E$121,$BB83-1,0,$BA83,1)),""))</f>
        <v/>
      </c>
      <c r="F83" s="29">
        <f>IF(OR($A83="",F$116=0),"",IF(COUNT(OFFSET(F$121,$BB83-1,0,$BA83,1))&gt;1,MAX(OFFSET(F$121,$BB83-1,0,$BA83,1))-MIN(OFFSET(F$121,$BB83-1,0,$BA83,1)),""))</f>
        <v/>
      </c>
      <c r="G83" s="29">
        <f>IF(OR($A83="",G$116=0),"",IF(COUNT(OFFSET(G$121,$BB83-1,0,$BA83,1))&gt;1,MAX(OFFSET(G$121,$BB83-1,0,$BA83,1))-MIN(OFFSET(G$121,$BB83-1,0,$BA83,1)),""))</f>
        <v/>
      </c>
      <c r="H83" s="29">
        <f>IF(OR($A83="",H$116=0),"",IF(COUNT(OFFSET(H$121,$BB83-1,0,$BA83,1))&gt;1,MAX(OFFSET(H$121,$BB83-1,0,$BA83,1))-MIN(OFFSET(H$121,$BB83-1,0,$BA83,1)),""))</f>
        <v/>
      </c>
      <c r="I83" s="29">
        <f>IF(OR($A83="",I$116=0),"",IF(COUNT(OFFSET(I$121,$BB83-1,0,$BA83,1))&gt;1,MAX(OFFSET(I$121,$BB83-1,0,$BA83,1))-MIN(OFFSET(I$121,$BB83-1,0,$BA83,1)),""))</f>
        <v/>
      </c>
      <c r="J83" s="29">
        <f>IF(OR($A83="",J$116=0),"",IF(COUNT(OFFSET(J$121,$BB83-1,0,$BA83,1))&gt;1,MAX(OFFSET(J$121,$BB83-1,0,$BA83,1))-MIN(OFFSET(J$121,$BB83-1,0,$BA83,1)),""))</f>
        <v/>
      </c>
      <c r="K83" s="29">
        <f>IF(OR($A83="",K$116=0),"",IF(COUNT(OFFSET(K$121,$BB83-1,0,$BA83,1))&gt;1,MAX(OFFSET(K$121,$BB83-1,0,$BA83,1))-MIN(OFFSET(K$121,$BB83-1,0,$BA83,1)),""))</f>
        <v/>
      </c>
      <c r="L83" s="29">
        <f>IF(OR($A83="",L$116=0),"",IF(COUNT(OFFSET(L$121,$BB83-1,0,$BA83,1))&gt;1,MAX(OFFSET(L$121,$BB83-1,0,$BA83,1))-MIN(OFFSET(L$121,$BB83-1,0,$BA83,1)),""))</f>
        <v/>
      </c>
      <c r="M83" s="29">
        <f>IF(OR($A83="",M$116=0),"",IF(COUNT(OFFSET(M$121,$BB83-1,0,$BA83,1))&gt;1,MAX(OFFSET(M$121,$BB83-1,0,$BA83,1))-MIN(OFFSET(M$121,$BB83-1,0,$BA83,1)),""))</f>
        <v/>
      </c>
      <c r="N83" s="29">
        <f>IF(OR($A83="",N$116=0),"",IF(COUNT(OFFSET(N$121,$BB83-1,0,$BA83,1))&gt;1,MAX(OFFSET(N$121,$BB83-1,0,$BA83,1))-MIN(OFFSET(N$121,$BB83-1,0,$BA83,1)),""))</f>
        <v/>
      </c>
      <c r="O83" s="29">
        <f>IF(OR($A83="",O$116=0),"",IF(COUNT(OFFSET(O$121,$BB83-1,0,$BA83,1))&gt;1,MAX(OFFSET(O$121,$BB83-1,0,$BA83,1))-MIN(OFFSET(O$121,$BB83-1,0,$BA83,1)),""))</f>
        <v/>
      </c>
      <c r="P83" s="29">
        <f>IF(OR($A83="",P$116=0),"",IF(COUNT(OFFSET(P$121,$BB83-1,0,$BA83,1))&gt;1,MAX(OFFSET(P$121,$BB83-1,0,$BA83,1))-MIN(OFFSET(P$121,$BB83-1,0,$BA83,1)),""))</f>
        <v/>
      </c>
      <c r="Q83" s="29">
        <f>IF(OR($A83="",Q$116=0),"",IF(COUNT(OFFSET(Q$121,$BB83-1,0,$BA83,1))&gt;1,MAX(OFFSET(Q$121,$BB83-1,0,$BA83,1))-MIN(OFFSET(Q$121,$BB83-1,0,$BA83,1)),""))</f>
        <v/>
      </c>
      <c r="R83" s="29">
        <f>IF(OR($A83="",R$116=0),"",IF(COUNT(OFFSET(R$121,$BB83-1,0,$BA83,1))&gt;1,MAX(OFFSET(R$121,$BB83-1,0,$BA83,1))-MIN(OFFSET(R$121,$BB83-1,0,$BA83,1)),""))</f>
        <v/>
      </c>
      <c r="S83" s="29">
        <f>IF(OR($A83="",S$116=0),"",IF(COUNT(OFFSET(S$121,$BB83-1,0,$BA83,1))&gt;1,MAX(OFFSET(S$121,$BB83-1,0,$BA83,1))-MIN(OFFSET(S$121,$BB83-1,0,$BA83,1)),""))</f>
        <v/>
      </c>
      <c r="T83" s="29">
        <f>IF(OR($A83="",T$116=0),"",IF(COUNT(OFFSET(T$121,$BB83-1,0,$BA83,1))&gt;1,MAX(OFFSET(T$121,$BB83-1,0,$BA83,1))-MIN(OFFSET(T$121,$BB83-1,0,$BA83,1)),""))</f>
        <v/>
      </c>
      <c r="U83" s="29">
        <f>IF(OR($A83="",U$116=0),"",IF(COUNT(OFFSET(U$121,$BB83-1,0,$BA83,1))&gt;1,MAX(OFFSET(U$121,$BB83-1,0,$BA83,1))-MIN(OFFSET(U$121,$BB83-1,0,$BA83,1)),""))</f>
        <v/>
      </c>
      <c r="V83" s="29">
        <f>IF(OR($A83="",V$116=0),"",IF(COUNT(OFFSET(V$121,$BB83-1,0,$BA83,1))&gt;1,MAX(OFFSET(V$121,$BB83-1,0,$BA83,1))-MIN(OFFSET(V$121,$BB83-1,0,$BA83,1)),""))</f>
        <v/>
      </c>
      <c r="W83" s="29">
        <f>IF(OR($A83="",W$116=0),"",IF(COUNT(OFFSET(W$121,$BB83-1,0,$BA83,1))&gt;1,MAX(OFFSET(W$121,$BB83-1,0,$BA83,1))-MIN(OFFSET(W$121,$BB83-1,0,$BA83,1)),""))</f>
        <v/>
      </c>
      <c r="X83" s="29">
        <f>IF(OR($A83="",X$116=0),"",IF(COUNT(OFFSET(X$121,$BB83-1,0,$BA83,1))&gt;1,MAX(OFFSET(X$121,$BB83-1,0,$BA83,1))-MIN(OFFSET(X$121,$BB83-1,0,$BA83,1)),""))</f>
        <v/>
      </c>
      <c r="Y83" s="29">
        <f>IF(OR($A83="",Y$116=0),"",IF(COUNT(OFFSET(Y$121,$BB83-1,0,$BA83,1))&gt;1,MAX(OFFSET(Y$121,$BB83-1,0,$BA83,1))-MIN(OFFSET(Y$121,$BB83-1,0,$BA83,1)),""))</f>
        <v/>
      </c>
      <c r="Z83" s="29">
        <f>IF(OR($A83="",Z$116=0),"",IF(COUNT(OFFSET(Z$121,$BB83-1,0,$BA83,1))&gt;1,MAX(OFFSET(Z$121,$BB83-1,0,$BA83,1))-MIN(OFFSET(Z$121,$BB83-1,0,$BA83,1)),""))</f>
        <v/>
      </c>
      <c r="AA83" s="29">
        <f>IF(OR($A83="",AA$116=0),"",IF(COUNT(OFFSET(AA$121,$BB83-1,0,$BA83,1))&gt;1,MAX(OFFSET(AA$121,$BB83-1,0,$BA83,1))-MIN(OFFSET(AA$121,$BB83-1,0,$BA83,1)),""))</f>
        <v/>
      </c>
      <c r="AB83" s="29">
        <f>IF(OR($A83="",AB$116=0),"",IF(COUNT(OFFSET(AB$121,$BB83-1,0,$BA83,1))&gt;1,MAX(OFFSET(AB$121,$BB83-1,0,$BA83,1))-MIN(OFFSET(AB$121,$BB83-1,0,$BA83,1)),""))</f>
        <v/>
      </c>
      <c r="AC83" s="29">
        <f>IF(OR($A83="",AC$116=0),"",IF(COUNT(OFFSET(AC$121,$BB83-1,0,$BA83,1))&gt;1,MAX(OFFSET(AC$121,$BB83-1,0,$BA83,1))-MIN(OFFSET(AC$121,$BB83-1,0,$BA83,1)),""))</f>
        <v/>
      </c>
      <c r="AD83" s="29">
        <f>IF(OR($A83="",AD$116=0),"",IF(COUNT(OFFSET(AD$121,$BB83-1,0,$BA83,1))&gt;1,MAX(OFFSET(AD$121,$BB83-1,0,$BA83,1))-MIN(OFFSET(AD$121,$BB83-1,0,$BA83,1)),""))</f>
        <v/>
      </c>
      <c r="AE83" s="29">
        <f>IF(OR($A83="",AE$116=0),"",IF(COUNT(OFFSET(AE$121,$BB83-1,0,$BA83,1))&gt;1,MAX(OFFSET(AE$121,$BB83-1,0,$BA83,1))-MIN(OFFSET(AE$121,$BB83-1,0,$BA83,1)),""))</f>
        <v/>
      </c>
      <c r="AF83" s="29">
        <f>IF(OR($A83="",AF$116=0),"",IF(COUNT(OFFSET(AF$121,$BB83-1,0,$BA83,1))&gt;1,MAX(OFFSET(AF$121,$BB83-1,0,$BA83,1))-MIN(OFFSET(AF$121,$BB83-1,0,$BA83,1)),""))</f>
        <v/>
      </c>
      <c r="AG83" s="29">
        <f>IF(OR($A83="",AG$116=0),"",IF(COUNT(OFFSET(AG$121,$BB83-1,0,$BA83,1))&gt;1,MAX(OFFSET(AG$121,$BB83-1,0,$BA83,1))-MIN(OFFSET(AG$121,$BB83-1,0,$BA83,1)),""))</f>
        <v/>
      </c>
      <c r="AH83" s="29">
        <f>IF(OR($A83="",AH$116=0),"",IF(COUNT(OFFSET(AH$121,$BB83-1,0,$BA83,1))&gt;1,MAX(OFFSET(AH$121,$BB83-1,0,$BA83,1))-MIN(OFFSET(AH$121,$BB83-1,0,$BA83,1)),""))</f>
        <v/>
      </c>
      <c r="AI83" s="29">
        <f>IF(OR($A83="",AI$116=0),"",IF(COUNT(OFFSET(AI$121,$BB83-1,0,$BA83,1))&gt;1,MAX(OFFSET(AI$121,$BB83-1,0,$BA83,1))-MIN(OFFSET(AI$121,$BB83-1,0,$BA83,1)),""))</f>
        <v/>
      </c>
      <c r="AJ83" s="29">
        <f>IF(OR($A83="",AJ$116=0),"",IF(COUNT(OFFSET(AJ$121,$BB83-1,0,$BA83,1))&gt;1,MAX(OFFSET(AJ$121,$BB83-1,0,$BA83,1))-MIN(OFFSET(AJ$121,$BB83-1,0,$BA83,1)),""))</f>
        <v/>
      </c>
      <c r="AK83" s="29">
        <f>IF(OR($A83="",AK$116=0),"",IF(COUNT(OFFSET(AK$121,$BB83-1,0,$BA83,1))&gt;1,MAX(OFFSET(AK$121,$BB83-1,0,$BA83,1))-MIN(OFFSET(AK$121,$BB83-1,0,$BA83,1)),""))</f>
        <v/>
      </c>
      <c r="AL83" s="29">
        <f>IF(OR($A83="",AL$116=0),"",IF(COUNT(OFFSET(AL$121,$BB83-1,0,$BA83,1))&gt;1,MAX(OFFSET(AL$121,$BB83-1,0,$BA83,1))-MIN(OFFSET(AL$121,$BB83-1,0,$BA83,1)),""))</f>
        <v/>
      </c>
      <c r="AM83" s="29">
        <f>IF(OR($A83="",AM$116=0),"",IF(COUNT(OFFSET(AM$121,$BB83-1,0,$BA83,1))&gt;1,MAX(OFFSET(AM$121,$BB83-1,0,$BA83,1))-MIN(OFFSET(AM$121,$BB83-1,0,$BA83,1)),""))</f>
        <v/>
      </c>
      <c r="AN83" s="29">
        <f>IF(OR($A83="",AN$116=0),"",IF(COUNT(OFFSET(AN$121,$BB83-1,0,$BA83,1))&gt;1,MAX(OFFSET(AN$121,$BB83-1,0,$BA83,1))-MIN(OFFSET(AN$121,$BB83-1,0,$BA83,1)),""))</f>
        <v/>
      </c>
      <c r="AO83" s="29">
        <f>IF(OR($A83="",AO$116=0),"",IF(COUNT(OFFSET(AO$121,$BB83-1,0,$BA83,1))&gt;1,MAX(OFFSET(AO$121,$BB83-1,0,$BA83,1))-MIN(OFFSET(AO$121,$BB83-1,0,$BA83,1)),""))</f>
        <v/>
      </c>
      <c r="AP83" s="29">
        <f>IF(OR($A83="",AP$116=0),"",IF(COUNT(OFFSET(AP$121,$BB83-1,0,$BA83,1))&gt;1,MAX(OFFSET(AP$121,$BB83-1,0,$BA83,1))-MIN(OFFSET(AP$121,$BB83-1,0,$BA83,1)),""))</f>
        <v/>
      </c>
      <c r="AQ83" s="29">
        <f>IF(OR($A83="",AQ$116=0),"",IF(COUNT(OFFSET(AQ$121,$BB83-1,0,$BA83,1))&gt;1,MAX(OFFSET(AQ$121,$BB83-1,0,$BA83,1))-MIN(OFFSET(AQ$121,$BB83-1,0,$BA83,1)),""))</f>
        <v/>
      </c>
      <c r="AR83" s="29">
        <f>IF(OR($A83="",AR$116=0),"",IF(COUNT(OFFSET(AR$121,$BB83-1,0,$BA83,1))&gt;1,MAX(OFFSET(AR$121,$BB83-1,0,$BA83,1))-MIN(OFFSET(AR$121,$BB83-1,0,$BA83,1)),""))</f>
        <v/>
      </c>
      <c r="AS83" s="29">
        <f>IF(OR($A83="",AS$116=0),"",IF(COUNT(OFFSET(AS$121,$BB83-1,0,$BA83,1))&gt;1,MAX(OFFSET(AS$121,$BB83-1,0,$BA83,1))-MIN(OFFSET(AS$121,$BB83-1,0,$BA83,1)),""))</f>
        <v/>
      </c>
      <c r="AT83" s="29">
        <f>IF(OR($A83="",AT$116=0),"",IF(COUNT(OFFSET(AT$121,$BB83-1,0,$BA83,1))&gt;1,MAX(OFFSET(AT$121,$BB83-1,0,$BA83,1))-MIN(OFFSET(AT$121,$BB83-1,0,$BA83,1)),""))</f>
        <v/>
      </c>
      <c r="AU83" s="29">
        <f>IF(OR($A83="",AU$116=0),"",IF(COUNT(OFFSET(AU$121,$BB83-1,0,$BA83,1))&gt;1,MAX(OFFSET(AU$121,$BB83-1,0,$BA83,1))-MIN(OFFSET(AU$121,$BB83-1,0,$BA83,1)),""))</f>
        <v/>
      </c>
      <c r="AV83" s="29">
        <f>IF(OR($A83="",AV$116=0),"",IF(COUNT(OFFSET(AV$121,$BB83-1,0,$BA83,1))&gt;1,MAX(OFFSET(AV$121,$BB83-1,0,$BA83,1))-MIN(OFFSET(AV$121,$BB83-1,0,$BA83,1)),""))</f>
        <v/>
      </c>
      <c r="AW83" s="29">
        <f>IF(OR($A83="",AW$116=0),"",IF(COUNT(OFFSET(AW$121,$BB83-1,0,$BA83,1))&gt;1,MAX(OFFSET(AW$121,$BB83-1,0,$BA83,1))-MIN(OFFSET(AW$121,$BB83-1,0,$BA83,1)),""))</f>
        <v/>
      </c>
      <c r="AX83" s="29">
        <f>IF(OR($A83="",AX$116=0),"",IF(COUNT(OFFSET(AX$121,$BB83-1,0,$BA83,1))&gt;1,MAX(OFFSET(AX$121,$BB83-1,0,$BA83,1))-MIN(OFFSET(AX$121,$BB83-1,0,$BA83,1)),""))</f>
        <v/>
      </c>
      <c r="AY83" s="29">
        <f>IF(OR($A83="",AY$116=0),"",IF(COUNT(OFFSET(AY$121,$BB83-1,0,$BA83,1))&gt;1,MAX(OFFSET(AY$121,$BB83-1,0,$BA83,1))-MIN(OFFSET(AY$121,$BB83-1,0,$BA83,1)),""))</f>
        <v/>
      </c>
      <c r="BA83" s="28">
        <f>IF($A83="","",COUNTIF($BA$121:$BA$1120,$A83))</f>
        <v/>
      </c>
      <c r="BB83" s="28">
        <f>IF($A83="","",MATCH($A83,$BA$121:$BA$1120,0))</f>
        <v/>
      </c>
      <c r="BC83" s="13">
        <f>IF($A83="","",IF(COUNTIF(OFFSET($BA$121,$BB83-1,0,$BA83,1),$A83)=$BA83,"ja","NEE"))</f>
        <v/>
      </c>
    </row>
    <row r="84">
      <c r="A84" s="13">
        <f>IFERROR(INDEX($BA$121:$BA$1120,MATCH(11,$BB$121:$BB$1120,0)),"")</f>
        <v/>
      </c>
      <c r="B84" s="29">
        <f>IF(OR($A84="",B$116=0),"",IF(COUNT(OFFSET(B$121,$BB84-1,0,$BA84,1))&gt;1,MAX(OFFSET(B$121,$BB84-1,0,$BA84,1))-MIN(OFFSET(B$121,$BB84-1,0,$BA84,1)),""))</f>
        <v/>
      </c>
      <c r="C84" s="29">
        <f>IF(OR($A84="",C$116=0),"",IF(COUNT(OFFSET(C$121,$BB84-1,0,$BA84,1))&gt;1,MAX(OFFSET(C$121,$BB84-1,0,$BA84,1))-MIN(OFFSET(C$121,$BB84-1,0,$BA84,1)),""))</f>
        <v/>
      </c>
      <c r="D84" s="29">
        <f>IF(OR($A84="",D$116=0),"",IF(COUNT(OFFSET(D$121,$BB84-1,0,$BA84,1))&gt;1,MAX(OFFSET(D$121,$BB84-1,0,$BA84,1))-MIN(OFFSET(D$121,$BB84-1,0,$BA84,1)),""))</f>
        <v/>
      </c>
      <c r="E84" s="29">
        <f>IF(OR($A84="",E$116=0),"",IF(COUNT(OFFSET(E$121,$BB84-1,0,$BA84,1))&gt;1,MAX(OFFSET(E$121,$BB84-1,0,$BA84,1))-MIN(OFFSET(E$121,$BB84-1,0,$BA84,1)),""))</f>
        <v/>
      </c>
      <c r="F84" s="29">
        <f>IF(OR($A84="",F$116=0),"",IF(COUNT(OFFSET(F$121,$BB84-1,0,$BA84,1))&gt;1,MAX(OFFSET(F$121,$BB84-1,0,$BA84,1))-MIN(OFFSET(F$121,$BB84-1,0,$BA84,1)),""))</f>
        <v/>
      </c>
      <c r="G84" s="29">
        <f>IF(OR($A84="",G$116=0),"",IF(COUNT(OFFSET(G$121,$BB84-1,0,$BA84,1))&gt;1,MAX(OFFSET(G$121,$BB84-1,0,$BA84,1))-MIN(OFFSET(G$121,$BB84-1,0,$BA84,1)),""))</f>
        <v/>
      </c>
      <c r="H84" s="29">
        <f>IF(OR($A84="",H$116=0),"",IF(COUNT(OFFSET(H$121,$BB84-1,0,$BA84,1))&gt;1,MAX(OFFSET(H$121,$BB84-1,0,$BA84,1))-MIN(OFFSET(H$121,$BB84-1,0,$BA84,1)),""))</f>
        <v/>
      </c>
      <c r="I84" s="29">
        <f>IF(OR($A84="",I$116=0),"",IF(COUNT(OFFSET(I$121,$BB84-1,0,$BA84,1))&gt;1,MAX(OFFSET(I$121,$BB84-1,0,$BA84,1))-MIN(OFFSET(I$121,$BB84-1,0,$BA84,1)),""))</f>
        <v/>
      </c>
      <c r="J84" s="29">
        <f>IF(OR($A84="",J$116=0),"",IF(COUNT(OFFSET(J$121,$BB84-1,0,$BA84,1))&gt;1,MAX(OFFSET(J$121,$BB84-1,0,$BA84,1))-MIN(OFFSET(J$121,$BB84-1,0,$BA84,1)),""))</f>
        <v/>
      </c>
      <c r="K84" s="29">
        <f>IF(OR($A84="",K$116=0),"",IF(COUNT(OFFSET(K$121,$BB84-1,0,$BA84,1))&gt;1,MAX(OFFSET(K$121,$BB84-1,0,$BA84,1))-MIN(OFFSET(K$121,$BB84-1,0,$BA84,1)),""))</f>
        <v/>
      </c>
      <c r="L84" s="29">
        <f>IF(OR($A84="",L$116=0),"",IF(COUNT(OFFSET(L$121,$BB84-1,0,$BA84,1))&gt;1,MAX(OFFSET(L$121,$BB84-1,0,$BA84,1))-MIN(OFFSET(L$121,$BB84-1,0,$BA84,1)),""))</f>
        <v/>
      </c>
      <c r="M84" s="29">
        <f>IF(OR($A84="",M$116=0),"",IF(COUNT(OFFSET(M$121,$BB84-1,0,$BA84,1))&gt;1,MAX(OFFSET(M$121,$BB84-1,0,$BA84,1))-MIN(OFFSET(M$121,$BB84-1,0,$BA84,1)),""))</f>
        <v/>
      </c>
      <c r="N84" s="29">
        <f>IF(OR($A84="",N$116=0),"",IF(COUNT(OFFSET(N$121,$BB84-1,0,$BA84,1))&gt;1,MAX(OFFSET(N$121,$BB84-1,0,$BA84,1))-MIN(OFFSET(N$121,$BB84-1,0,$BA84,1)),""))</f>
        <v/>
      </c>
      <c r="O84" s="29">
        <f>IF(OR($A84="",O$116=0),"",IF(COUNT(OFFSET(O$121,$BB84-1,0,$BA84,1))&gt;1,MAX(OFFSET(O$121,$BB84-1,0,$BA84,1))-MIN(OFFSET(O$121,$BB84-1,0,$BA84,1)),""))</f>
        <v/>
      </c>
      <c r="P84" s="29">
        <f>IF(OR($A84="",P$116=0),"",IF(COUNT(OFFSET(P$121,$BB84-1,0,$BA84,1))&gt;1,MAX(OFFSET(P$121,$BB84-1,0,$BA84,1))-MIN(OFFSET(P$121,$BB84-1,0,$BA84,1)),""))</f>
        <v/>
      </c>
      <c r="Q84" s="29">
        <f>IF(OR($A84="",Q$116=0),"",IF(COUNT(OFFSET(Q$121,$BB84-1,0,$BA84,1))&gt;1,MAX(OFFSET(Q$121,$BB84-1,0,$BA84,1))-MIN(OFFSET(Q$121,$BB84-1,0,$BA84,1)),""))</f>
        <v/>
      </c>
      <c r="R84" s="29">
        <f>IF(OR($A84="",R$116=0),"",IF(COUNT(OFFSET(R$121,$BB84-1,0,$BA84,1))&gt;1,MAX(OFFSET(R$121,$BB84-1,0,$BA84,1))-MIN(OFFSET(R$121,$BB84-1,0,$BA84,1)),""))</f>
        <v/>
      </c>
      <c r="S84" s="29">
        <f>IF(OR($A84="",S$116=0),"",IF(COUNT(OFFSET(S$121,$BB84-1,0,$BA84,1))&gt;1,MAX(OFFSET(S$121,$BB84-1,0,$BA84,1))-MIN(OFFSET(S$121,$BB84-1,0,$BA84,1)),""))</f>
        <v/>
      </c>
      <c r="T84" s="29">
        <f>IF(OR($A84="",T$116=0),"",IF(COUNT(OFFSET(T$121,$BB84-1,0,$BA84,1))&gt;1,MAX(OFFSET(T$121,$BB84-1,0,$BA84,1))-MIN(OFFSET(T$121,$BB84-1,0,$BA84,1)),""))</f>
        <v/>
      </c>
      <c r="U84" s="29">
        <f>IF(OR($A84="",U$116=0),"",IF(COUNT(OFFSET(U$121,$BB84-1,0,$BA84,1))&gt;1,MAX(OFFSET(U$121,$BB84-1,0,$BA84,1))-MIN(OFFSET(U$121,$BB84-1,0,$BA84,1)),""))</f>
        <v/>
      </c>
      <c r="V84" s="29">
        <f>IF(OR($A84="",V$116=0),"",IF(COUNT(OFFSET(V$121,$BB84-1,0,$BA84,1))&gt;1,MAX(OFFSET(V$121,$BB84-1,0,$BA84,1))-MIN(OFFSET(V$121,$BB84-1,0,$BA84,1)),""))</f>
        <v/>
      </c>
      <c r="W84" s="29">
        <f>IF(OR($A84="",W$116=0),"",IF(COUNT(OFFSET(W$121,$BB84-1,0,$BA84,1))&gt;1,MAX(OFFSET(W$121,$BB84-1,0,$BA84,1))-MIN(OFFSET(W$121,$BB84-1,0,$BA84,1)),""))</f>
        <v/>
      </c>
      <c r="X84" s="29">
        <f>IF(OR($A84="",X$116=0),"",IF(COUNT(OFFSET(X$121,$BB84-1,0,$BA84,1))&gt;1,MAX(OFFSET(X$121,$BB84-1,0,$BA84,1))-MIN(OFFSET(X$121,$BB84-1,0,$BA84,1)),""))</f>
        <v/>
      </c>
      <c r="Y84" s="29">
        <f>IF(OR($A84="",Y$116=0),"",IF(COUNT(OFFSET(Y$121,$BB84-1,0,$BA84,1))&gt;1,MAX(OFFSET(Y$121,$BB84-1,0,$BA84,1))-MIN(OFFSET(Y$121,$BB84-1,0,$BA84,1)),""))</f>
        <v/>
      </c>
      <c r="Z84" s="29">
        <f>IF(OR($A84="",Z$116=0),"",IF(COUNT(OFFSET(Z$121,$BB84-1,0,$BA84,1))&gt;1,MAX(OFFSET(Z$121,$BB84-1,0,$BA84,1))-MIN(OFFSET(Z$121,$BB84-1,0,$BA84,1)),""))</f>
        <v/>
      </c>
      <c r="AA84" s="29">
        <f>IF(OR($A84="",AA$116=0),"",IF(COUNT(OFFSET(AA$121,$BB84-1,0,$BA84,1))&gt;1,MAX(OFFSET(AA$121,$BB84-1,0,$BA84,1))-MIN(OFFSET(AA$121,$BB84-1,0,$BA84,1)),""))</f>
        <v/>
      </c>
      <c r="AB84" s="29">
        <f>IF(OR($A84="",AB$116=0),"",IF(COUNT(OFFSET(AB$121,$BB84-1,0,$BA84,1))&gt;1,MAX(OFFSET(AB$121,$BB84-1,0,$BA84,1))-MIN(OFFSET(AB$121,$BB84-1,0,$BA84,1)),""))</f>
        <v/>
      </c>
      <c r="AC84" s="29">
        <f>IF(OR($A84="",AC$116=0),"",IF(COUNT(OFFSET(AC$121,$BB84-1,0,$BA84,1))&gt;1,MAX(OFFSET(AC$121,$BB84-1,0,$BA84,1))-MIN(OFFSET(AC$121,$BB84-1,0,$BA84,1)),""))</f>
        <v/>
      </c>
      <c r="AD84" s="29">
        <f>IF(OR($A84="",AD$116=0),"",IF(COUNT(OFFSET(AD$121,$BB84-1,0,$BA84,1))&gt;1,MAX(OFFSET(AD$121,$BB84-1,0,$BA84,1))-MIN(OFFSET(AD$121,$BB84-1,0,$BA84,1)),""))</f>
        <v/>
      </c>
      <c r="AE84" s="29">
        <f>IF(OR($A84="",AE$116=0),"",IF(COUNT(OFFSET(AE$121,$BB84-1,0,$BA84,1))&gt;1,MAX(OFFSET(AE$121,$BB84-1,0,$BA84,1))-MIN(OFFSET(AE$121,$BB84-1,0,$BA84,1)),""))</f>
        <v/>
      </c>
      <c r="AF84" s="29">
        <f>IF(OR($A84="",AF$116=0),"",IF(COUNT(OFFSET(AF$121,$BB84-1,0,$BA84,1))&gt;1,MAX(OFFSET(AF$121,$BB84-1,0,$BA84,1))-MIN(OFFSET(AF$121,$BB84-1,0,$BA84,1)),""))</f>
        <v/>
      </c>
      <c r="AG84" s="29">
        <f>IF(OR($A84="",AG$116=0),"",IF(COUNT(OFFSET(AG$121,$BB84-1,0,$BA84,1))&gt;1,MAX(OFFSET(AG$121,$BB84-1,0,$BA84,1))-MIN(OFFSET(AG$121,$BB84-1,0,$BA84,1)),""))</f>
        <v/>
      </c>
      <c r="AH84" s="29">
        <f>IF(OR($A84="",AH$116=0),"",IF(COUNT(OFFSET(AH$121,$BB84-1,0,$BA84,1))&gt;1,MAX(OFFSET(AH$121,$BB84-1,0,$BA84,1))-MIN(OFFSET(AH$121,$BB84-1,0,$BA84,1)),""))</f>
        <v/>
      </c>
      <c r="AI84" s="29">
        <f>IF(OR($A84="",AI$116=0),"",IF(COUNT(OFFSET(AI$121,$BB84-1,0,$BA84,1))&gt;1,MAX(OFFSET(AI$121,$BB84-1,0,$BA84,1))-MIN(OFFSET(AI$121,$BB84-1,0,$BA84,1)),""))</f>
        <v/>
      </c>
      <c r="AJ84" s="29">
        <f>IF(OR($A84="",AJ$116=0),"",IF(COUNT(OFFSET(AJ$121,$BB84-1,0,$BA84,1))&gt;1,MAX(OFFSET(AJ$121,$BB84-1,0,$BA84,1))-MIN(OFFSET(AJ$121,$BB84-1,0,$BA84,1)),""))</f>
        <v/>
      </c>
      <c r="AK84" s="29">
        <f>IF(OR($A84="",AK$116=0),"",IF(COUNT(OFFSET(AK$121,$BB84-1,0,$BA84,1))&gt;1,MAX(OFFSET(AK$121,$BB84-1,0,$BA84,1))-MIN(OFFSET(AK$121,$BB84-1,0,$BA84,1)),""))</f>
        <v/>
      </c>
      <c r="AL84" s="29">
        <f>IF(OR($A84="",AL$116=0),"",IF(COUNT(OFFSET(AL$121,$BB84-1,0,$BA84,1))&gt;1,MAX(OFFSET(AL$121,$BB84-1,0,$BA84,1))-MIN(OFFSET(AL$121,$BB84-1,0,$BA84,1)),""))</f>
        <v/>
      </c>
      <c r="AM84" s="29">
        <f>IF(OR($A84="",AM$116=0),"",IF(COUNT(OFFSET(AM$121,$BB84-1,0,$BA84,1))&gt;1,MAX(OFFSET(AM$121,$BB84-1,0,$BA84,1))-MIN(OFFSET(AM$121,$BB84-1,0,$BA84,1)),""))</f>
        <v/>
      </c>
      <c r="AN84" s="29">
        <f>IF(OR($A84="",AN$116=0),"",IF(COUNT(OFFSET(AN$121,$BB84-1,0,$BA84,1))&gt;1,MAX(OFFSET(AN$121,$BB84-1,0,$BA84,1))-MIN(OFFSET(AN$121,$BB84-1,0,$BA84,1)),""))</f>
        <v/>
      </c>
      <c r="AO84" s="29">
        <f>IF(OR($A84="",AO$116=0),"",IF(COUNT(OFFSET(AO$121,$BB84-1,0,$BA84,1))&gt;1,MAX(OFFSET(AO$121,$BB84-1,0,$BA84,1))-MIN(OFFSET(AO$121,$BB84-1,0,$BA84,1)),""))</f>
        <v/>
      </c>
      <c r="AP84" s="29">
        <f>IF(OR($A84="",AP$116=0),"",IF(COUNT(OFFSET(AP$121,$BB84-1,0,$BA84,1))&gt;1,MAX(OFFSET(AP$121,$BB84-1,0,$BA84,1))-MIN(OFFSET(AP$121,$BB84-1,0,$BA84,1)),""))</f>
        <v/>
      </c>
      <c r="AQ84" s="29">
        <f>IF(OR($A84="",AQ$116=0),"",IF(COUNT(OFFSET(AQ$121,$BB84-1,0,$BA84,1))&gt;1,MAX(OFFSET(AQ$121,$BB84-1,0,$BA84,1))-MIN(OFFSET(AQ$121,$BB84-1,0,$BA84,1)),""))</f>
        <v/>
      </c>
      <c r="AR84" s="29">
        <f>IF(OR($A84="",AR$116=0),"",IF(COUNT(OFFSET(AR$121,$BB84-1,0,$BA84,1))&gt;1,MAX(OFFSET(AR$121,$BB84-1,0,$BA84,1))-MIN(OFFSET(AR$121,$BB84-1,0,$BA84,1)),""))</f>
        <v/>
      </c>
      <c r="AS84" s="29">
        <f>IF(OR($A84="",AS$116=0),"",IF(COUNT(OFFSET(AS$121,$BB84-1,0,$BA84,1))&gt;1,MAX(OFFSET(AS$121,$BB84-1,0,$BA84,1))-MIN(OFFSET(AS$121,$BB84-1,0,$BA84,1)),""))</f>
        <v/>
      </c>
      <c r="AT84" s="29">
        <f>IF(OR($A84="",AT$116=0),"",IF(COUNT(OFFSET(AT$121,$BB84-1,0,$BA84,1))&gt;1,MAX(OFFSET(AT$121,$BB84-1,0,$BA84,1))-MIN(OFFSET(AT$121,$BB84-1,0,$BA84,1)),""))</f>
        <v/>
      </c>
      <c r="AU84" s="29">
        <f>IF(OR($A84="",AU$116=0),"",IF(COUNT(OFFSET(AU$121,$BB84-1,0,$BA84,1))&gt;1,MAX(OFFSET(AU$121,$BB84-1,0,$BA84,1))-MIN(OFFSET(AU$121,$BB84-1,0,$BA84,1)),""))</f>
        <v/>
      </c>
      <c r="AV84" s="29">
        <f>IF(OR($A84="",AV$116=0),"",IF(COUNT(OFFSET(AV$121,$BB84-1,0,$BA84,1))&gt;1,MAX(OFFSET(AV$121,$BB84-1,0,$BA84,1))-MIN(OFFSET(AV$121,$BB84-1,0,$BA84,1)),""))</f>
        <v/>
      </c>
      <c r="AW84" s="29">
        <f>IF(OR($A84="",AW$116=0),"",IF(COUNT(OFFSET(AW$121,$BB84-1,0,$BA84,1))&gt;1,MAX(OFFSET(AW$121,$BB84-1,0,$BA84,1))-MIN(OFFSET(AW$121,$BB84-1,0,$BA84,1)),""))</f>
        <v/>
      </c>
      <c r="AX84" s="29">
        <f>IF(OR($A84="",AX$116=0),"",IF(COUNT(OFFSET(AX$121,$BB84-1,0,$BA84,1))&gt;1,MAX(OFFSET(AX$121,$BB84-1,0,$BA84,1))-MIN(OFFSET(AX$121,$BB84-1,0,$BA84,1)),""))</f>
        <v/>
      </c>
      <c r="AY84" s="29">
        <f>IF(OR($A84="",AY$116=0),"",IF(COUNT(OFFSET(AY$121,$BB84-1,0,$BA84,1))&gt;1,MAX(OFFSET(AY$121,$BB84-1,0,$BA84,1))-MIN(OFFSET(AY$121,$BB84-1,0,$BA84,1)),""))</f>
        <v/>
      </c>
      <c r="BA84" s="28">
        <f>IF($A84="","",COUNTIF($BA$121:$BA$1120,$A84))</f>
        <v/>
      </c>
      <c r="BB84" s="28">
        <f>IF($A84="","",MATCH($A84,$BA$121:$BA$1120,0))</f>
        <v/>
      </c>
      <c r="BC84" s="13">
        <f>IF($A84="","",IF(COUNTIF(OFFSET($BA$121,$BB84-1,0,$BA84,1),$A84)=$BA84,"ja","NEE"))</f>
        <v/>
      </c>
    </row>
    <row r="85">
      <c r="A85" s="13">
        <f>IFERROR(INDEX($BA$121:$BA$1120,MATCH(12,$BB$121:$BB$1120,0)),"")</f>
        <v/>
      </c>
      <c r="B85" s="29">
        <f>IF(OR($A85="",B$116=0),"",IF(COUNT(OFFSET(B$121,$BB85-1,0,$BA85,1))&gt;1,MAX(OFFSET(B$121,$BB85-1,0,$BA85,1))-MIN(OFFSET(B$121,$BB85-1,0,$BA85,1)),""))</f>
        <v/>
      </c>
      <c r="C85" s="29">
        <f>IF(OR($A85="",C$116=0),"",IF(COUNT(OFFSET(C$121,$BB85-1,0,$BA85,1))&gt;1,MAX(OFFSET(C$121,$BB85-1,0,$BA85,1))-MIN(OFFSET(C$121,$BB85-1,0,$BA85,1)),""))</f>
        <v/>
      </c>
      <c r="D85" s="29">
        <f>IF(OR($A85="",D$116=0),"",IF(COUNT(OFFSET(D$121,$BB85-1,0,$BA85,1))&gt;1,MAX(OFFSET(D$121,$BB85-1,0,$BA85,1))-MIN(OFFSET(D$121,$BB85-1,0,$BA85,1)),""))</f>
        <v/>
      </c>
      <c r="E85" s="29">
        <f>IF(OR($A85="",E$116=0),"",IF(COUNT(OFFSET(E$121,$BB85-1,0,$BA85,1))&gt;1,MAX(OFFSET(E$121,$BB85-1,0,$BA85,1))-MIN(OFFSET(E$121,$BB85-1,0,$BA85,1)),""))</f>
        <v/>
      </c>
      <c r="F85" s="29">
        <f>IF(OR($A85="",F$116=0),"",IF(COUNT(OFFSET(F$121,$BB85-1,0,$BA85,1))&gt;1,MAX(OFFSET(F$121,$BB85-1,0,$BA85,1))-MIN(OFFSET(F$121,$BB85-1,0,$BA85,1)),""))</f>
        <v/>
      </c>
      <c r="G85" s="29">
        <f>IF(OR($A85="",G$116=0),"",IF(COUNT(OFFSET(G$121,$BB85-1,0,$BA85,1))&gt;1,MAX(OFFSET(G$121,$BB85-1,0,$BA85,1))-MIN(OFFSET(G$121,$BB85-1,0,$BA85,1)),""))</f>
        <v/>
      </c>
      <c r="H85" s="29">
        <f>IF(OR($A85="",H$116=0),"",IF(COUNT(OFFSET(H$121,$BB85-1,0,$BA85,1))&gt;1,MAX(OFFSET(H$121,$BB85-1,0,$BA85,1))-MIN(OFFSET(H$121,$BB85-1,0,$BA85,1)),""))</f>
        <v/>
      </c>
      <c r="I85" s="29">
        <f>IF(OR($A85="",I$116=0),"",IF(COUNT(OFFSET(I$121,$BB85-1,0,$BA85,1))&gt;1,MAX(OFFSET(I$121,$BB85-1,0,$BA85,1))-MIN(OFFSET(I$121,$BB85-1,0,$BA85,1)),""))</f>
        <v/>
      </c>
      <c r="J85" s="29">
        <f>IF(OR($A85="",J$116=0),"",IF(COUNT(OFFSET(J$121,$BB85-1,0,$BA85,1))&gt;1,MAX(OFFSET(J$121,$BB85-1,0,$BA85,1))-MIN(OFFSET(J$121,$BB85-1,0,$BA85,1)),""))</f>
        <v/>
      </c>
      <c r="K85" s="29">
        <f>IF(OR($A85="",K$116=0),"",IF(COUNT(OFFSET(K$121,$BB85-1,0,$BA85,1))&gt;1,MAX(OFFSET(K$121,$BB85-1,0,$BA85,1))-MIN(OFFSET(K$121,$BB85-1,0,$BA85,1)),""))</f>
        <v/>
      </c>
      <c r="L85" s="29">
        <f>IF(OR($A85="",L$116=0),"",IF(COUNT(OFFSET(L$121,$BB85-1,0,$BA85,1))&gt;1,MAX(OFFSET(L$121,$BB85-1,0,$BA85,1))-MIN(OFFSET(L$121,$BB85-1,0,$BA85,1)),""))</f>
        <v/>
      </c>
      <c r="M85" s="29">
        <f>IF(OR($A85="",M$116=0),"",IF(COUNT(OFFSET(M$121,$BB85-1,0,$BA85,1))&gt;1,MAX(OFFSET(M$121,$BB85-1,0,$BA85,1))-MIN(OFFSET(M$121,$BB85-1,0,$BA85,1)),""))</f>
        <v/>
      </c>
      <c r="N85" s="29">
        <f>IF(OR($A85="",N$116=0),"",IF(COUNT(OFFSET(N$121,$BB85-1,0,$BA85,1))&gt;1,MAX(OFFSET(N$121,$BB85-1,0,$BA85,1))-MIN(OFFSET(N$121,$BB85-1,0,$BA85,1)),""))</f>
        <v/>
      </c>
      <c r="O85" s="29">
        <f>IF(OR($A85="",O$116=0),"",IF(COUNT(OFFSET(O$121,$BB85-1,0,$BA85,1))&gt;1,MAX(OFFSET(O$121,$BB85-1,0,$BA85,1))-MIN(OFFSET(O$121,$BB85-1,0,$BA85,1)),""))</f>
        <v/>
      </c>
      <c r="P85" s="29">
        <f>IF(OR($A85="",P$116=0),"",IF(COUNT(OFFSET(P$121,$BB85-1,0,$BA85,1))&gt;1,MAX(OFFSET(P$121,$BB85-1,0,$BA85,1))-MIN(OFFSET(P$121,$BB85-1,0,$BA85,1)),""))</f>
        <v/>
      </c>
      <c r="Q85" s="29">
        <f>IF(OR($A85="",Q$116=0),"",IF(COUNT(OFFSET(Q$121,$BB85-1,0,$BA85,1))&gt;1,MAX(OFFSET(Q$121,$BB85-1,0,$BA85,1))-MIN(OFFSET(Q$121,$BB85-1,0,$BA85,1)),""))</f>
        <v/>
      </c>
      <c r="R85" s="29">
        <f>IF(OR($A85="",R$116=0),"",IF(COUNT(OFFSET(R$121,$BB85-1,0,$BA85,1))&gt;1,MAX(OFFSET(R$121,$BB85-1,0,$BA85,1))-MIN(OFFSET(R$121,$BB85-1,0,$BA85,1)),""))</f>
        <v/>
      </c>
      <c r="S85" s="29">
        <f>IF(OR($A85="",S$116=0),"",IF(COUNT(OFFSET(S$121,$BB85-1,0,$BA85,1))&gt;1,MAX(OFFSET(S$121,$BB85-1,0,$BA85,1))-MIN(OFFSET(S$121,$BB85-1,0,$BA85,1)),""))</f>
        <v/>
      </c>
      <c r="T85" s="29">
        <f>IF(OR($A85="",T$116=0),"",IF(COUNT(OFFSET(T$121,$BB85-1,0,$BA85,1))&gt;1,MAX(OFFSET(T$121,$BB85-1,0,$BA85,1))-MIN(OFFSET(T$121,$BB85-1,0,$BA85,1)),""))</f>
        <v/>
      </c>
      <c r="U85" s="29">
        <f>IF(OR($A85="",U$116=0),"",IF(COUNT(OFFSET(U$121,$BB85-1,0,$BA85,1))&gt;1,MAX(OFFSET(U$121,$BB85-1,0,$BA85,1))-MIN(OFFSET(U$121,$BB85-1,0,$BA85,1)),""))</f>
        <v/>
      </c>
      <c r="V85" s="29">
        <f>IF(OR($A85="",V$116=0),"",IF(COUNT(OFFSET(V$121,$BB85-1,0,$BA85,1))&gt;1,MAX(OFFSET(V$121,$BB85-1,0,$BA85,1))-MIN(OFFSET(V$121,$BB85-1,0,$BA85,1)),""))</f>
        <v/>
      </c>
      <c r="W85" s="29">
        <f>IF(OR($A85="",W$116=0),"",IF(COUNT(OFFSET(W$121,$BB85-1,0,$BA85,1))&gt;1,MAX(OFFSET(W$121,$BB85-1,0,$BA85,1))-MIN(OFFSET(W$121,$BB85-1,0,$BA85,1)),""))</f>
        <v/>
      </c>
      <c r="X85" s="29">
        <f>IF(OR($A85="",X$116=0),"",IF(COUNT(OFFSET(X$121,$BB85-1,0,$BA85,1))&gt;1,MAX(OFFSET(X$121,$BB85-1,0,$BA85,1))-MIN(OFFSET(X$121,$BB85-1,0,$BA85,1)),""))</f>
        <v/>
      </c>
      <c r="Y85" s="29">
        <f>IF(OR($A85="",Y$116=0),"",IF(COUNT(OFFSET(Y$121,$BB85-1,0,$BA85,1))&gt;1,MAX(OFFSET(Y$121,$BB85-1,0,$BA85,1))-MIN(OFFSET(Y$121,$BB85-1,0,$BA85,1)),""))</f>
        <v/>
      </c>
      <c r="Z85" s="29">
        <f>IF(OR($A85="",Z$116=0),"",IF(COUNT(OFFSET(Z$121,$BB85-1,0,$BA85,1))&gt;1,MAX(OFFSET(Z$121,$BB85-1,0,$BA85,1))-MIN(OFFSET(Z$121,$BB85-1,0,$BA85,1)),""))</f>
        <v/>
      </c>
      <c r="AA85" s="29">
        <f>IF(OR($A85="",AA$116=0),"",IF(COUNT(OFFSET(AA$121,$BB85-1,0,$BA85,1))&gt;1,MAX(OFFSET(AA$121,$BB85-1,0,$BA85,1))-MIN(OFFSET(AA$121,$BB85-1,0,$BA85,1)),""))</f>
        <v/>
      </c>
      <c r="AB85" s="29">
        <f>IF(OR($A85="",AB$116=0),"",IF(COUNT(OFFSET(AB$121,$BB85-1,0,$BA85,1))&gt;1,MAX(OFFSET(AB$121,$BB85-1,0,$BA85,1))-MIN(OFFSET(AB$121,$BB85-1,0,$BA85,1)),""))</f>
        <v/>
      </c>
      <c r="AC85" s="29">
        <f>IF(OR($A85="",AC$116=0),"",IF(COUNT(OFFSET(AC$121,$BB85-1,0,$BA85,1))&gt;1,MAX(OFFSET(AC$121,$BB85-1,0,$BA85,1))-MIN(OFFSET(AC$121,$BB85-1,0,$BA85,1)),""))</f>
        <v/>
      </c>
      <c r="AD85" s="29">
        <f>IF(OR($A85="",AD$116=0),"",IF(COUNT(OFFSET(AD$121,$BB85-1,0,$BA85,1))&gt;1,MAX(OFFSET(AD$121,$BB85-1,0,$BA85,1))-MIN(OFFSET(AD$121,$BB85-1,0,$BA85,1)),""))</f>
        <v/>
      </c>
      <c r="AE85" s="29">
        <f>IF(OR($A85="",AE$116=0),"",IF(COUNT(OFFSET(AE$121,$BB85-1,0,$BA85,1))&gt;1,MAX(OFFSET(AE$121,$BB85-1,0,$BA85,1))-MIN(OFFSET(AE$121,$BB85-1,0,$BA85,1)),""))</f>
        <v/>
      </c>
      <c r="AF85" s="29">
        <f>IF(OR($A85="",AF$116=0),"",IF(COUNT(OFFSET(AF$121,$BB85-1,0,$BA85,1))&gt;1,MAX(OFFSET(AF$121,$BB85-1,0,$BA85,1))-MIN(OFFSET(AF$121,$BB85-1,0,$BA85,1)),""))</f>
        <v/>
      </c>
      <c r="AG85" s="29">
        <f>IF(OR($A85="",AG$116=0),"",IF(COUNT(OFFSET(AG$121,$BB85-1,0,$BA85,1))&gt;1,MAX(OFFSET(AG$121,$BB85-1,0,$BA85,1))-MIN(OFFSET(AG$121,$BB85-1,0,$BA85,1)),""))</f>
        <v/>
      </c>
      <c r="AH85" s="29">
        <f>IF(OR($A85="",AH$116=0),"",IF(COUNT(OFFSET(AH$121,$BB85-1,0,$BA85,1))&gt;1,MAX(OFFSET(AH$121,$BB85-1,0,$BA85,1))-MIN(OFFSET(AH$121,$BB85-1,0,$BA85,1)),""))</f>
        <v/>
      </c>
      <c r="AI85" s="29">
        <f>IF(OR($A85="",AI$116=0),"",IF(COUNT(OFFSET(AI$121,$BB85-1,0,$BA85,1))&gt;1,MAX(OFFSET(AI$121,$BB85-1,0,$BA85,1))-MIN(OFFSET(AI$121,$BB85-1,0,$BA85,1)),""))</f>
        <v/>
      </c>
      <c r="AJ85" s="29">
        <f>IF(OR($A85="",AJ$116=0),"",IF(COUNT(OFFSET(AJ$121,$BB85-1,0,$BA85,1))&gt;1,MAX(OFFSET(AJ$121,$BB85-1,0,$BA85,1))-MIN(OFFSET(AJ$121,$BB85-1,0,$BA85,1)),""))</f>
        <v/>
      </c>
      <c r="AK85" s="29">
        <f>IF(OR($A85="",AK$116=0),"",IF(COUNT(OFFSET(AK$121,$BB85-1,0,$BA85,1))&gt;1,MAX(OFFSET(AK$121,$BB85-1,0,$BA85,1))-MIN(OFFSET(AK$121,$BB85-1,0,$BA85,1)),""))</f>
        <v/>
      </c>
      <c r="AL85" s="29">
        <f>IF(OR($A85="",AL$116=0),"",IF(COUNT(OFFSET(AL$121,$BB85-1,0,$BA85,1))&gt;1,MAX(OFFSET(AL$121,$BB85-1,0,$BA85,1))-MIN(OFFSET(AL$121,$BB85-1,0,$BA85,1)),""))</f>
        <v/>
      </c>
      <c r="AM85" s="29">
        <f>IF(OR($A85="",AM$116=0),"",IF(COUNT(OFFSET(AM$121,$BB85-1,0,$BA85,1))&gt;1,MAX(OFFSET(AM$121,$BB85-1,0,$BA85,1))-MIN(OFFSET(AM$121,$BB85-1,0,$BA85,1)),""))</f>
        <v/>
      </c>
      <c r="AN85" s="29">
        <f>IF(OR($A85="",AN$116=0),"",IF(COUNT(OFFSET(AN$121,$BB85-1,0,$BA85,1))&gt;1,MAX(OFFSET(AN$121,$BB85-1,0,$BA85,1))-MIN(OFFSET(AN$121,$BB85-1,0,$BA85,1)),""))</f>
        <v/>
      </c>
      <c r="AO85" s="29">
        <f>IF(OR($A85="",AO$116=0),"",IF(COUNT(OFFSET(AO$121,$BB85-1,0,$BA85,1))&gt;1,MAX(OFFSET(AO$121,$BB85-1,0,$BA85,1))-MIN(OFFSET(AO$121,$BB85-1,0,$BA85,1)),""))</f>
        <v/>
      </c>
      <c r="AP85" s="29">
        <f>IF(OR($A85="",AP$116=0),"",IF(COUNT(OFFSET(AP$121,$BB85-1,0,$BA85,1))&gt;1,MAX(OFFSET(AP$121,$BB85-1,0,$BA85,1))-MIN(OFFSET(AP$121,$BB85-1,0,$BA85,1)),""))</f>
        <v/>
      </c>
      <c r="AQ85" s="29">
        <f>IF(OR($A85="",AQ$116=0),"",IF(COUNT(OFFSET(AQ$121,$BB85-1,0,$BA85,1))&gt;1,MAX(OFFSET(AQ$121,$BB85-1,0,$BA85,1))-MIN(OFFSET(AQ$121,$BB85-1,0,$BA85,1)),""))</f>
        <v/>
      </c>
      <c r="AR85" s="29">
        <f>IF(OR($A85="",AR$116=0),"",IF(COUNT(OFFSET(AR$121,$BB85-1,0,$BA85,1))&gt;1,MAX(OFFSET(AR$121,$BB85-1,0,$BA85,1))-MIN(OFFSET(AR$121,$BB85-1,0,$BA85,1)),""))</f>
        <v/>
      </c>
      <c r="AS85" s="29">
        <f>IF(OR($A85="",AS$116=0),"",IF(COUNT(OFFSET(AS$121,$BB85-1,0,$BA85,1))&gt;1,MAX(OFFSET(AS$121,$BB85-1,0,$BA85,1))-MIN(OFFSET(AS$121,$BB85-1,0,$BA85,1)),""))</f>
        <v/>
      </c>
      <c r="AT85" s="29">
        <f>IF(OR($A85="",AT$116=0),"",IF(COUNT(OFFSET(AT$121,$BB85-1,0,$BA85,1))&gt;1,MAX(OFFSET(AT$121,$BB85-1,0,$BA85,1))-MIN(OFFSET(AT$121,$BB85-1,0,$BA85,1)),""))</f>
        <v/>
      </c>
      <c r="AU85" s="29">
        <f>IF(OR($A85="",AU$116=0),"",IF(COUNT(OFFSET(AU$121,$BB85-1,0,$BA85,1))&gt;1,MAX(OFFSET(AU$121,$BB85-1,0,$BA85,1))-MIN(OFFSET(AU$121,$BB85-1,0,$BA85,1)),""))</f>
        <v/>
      </c>
      <c r="AV85" s="29">
        <f>IF(OR($A85="",AV$116=0),"",IF(COUNT(OFFSET(AV$121,$BB85-1,0,$BA85,1))&gt;1,MAX(OFFSET(AV$121,$BB85-1,0,$BA85,1))-MIN(OFFSET(AV$121,$BB85-1,0,$BA85,1)),""))</f>
        <v/>
      </c>
      <c r="AW85" s="29">
        <f>IF(OR($A85="",AW$116=0),"",IF(COUNT(OFFSET(AW$121,$BB85-1,0,$BA85,1))&gt;1,MAX(OFFSET(AW$121,$BB85-1,0,$BA85,1))-MIN(OFFSET(AW$121,$BB85-1,0,$BA85,1)),""))</f>
        <v/>
      </c>
      <c r="AX85" s="29">
        <f>IF(OR($A85="",AX$116=0),"",IF(COUNT(OFFSET(AX$121,$BB85-1,0,$BA85,1))&gt;1,MAX(OFFSET(AX$121,$BB85-1,0,$BA85,1))-MIN(OFFSET(AX$121,$BB85-1,0,$BA85,1)),""))</f>
        <v/>
      </c>
      <c r="AY85" s="29">
        <f>IF(OR($A85="",AY$116=0),"",IF(COUNT(OFFSET(AY$121,$BB85-1,0,$BA85,1))&gt;1,MAX(OFFSET(AY$121,$BB85-1,0,$BA85,1))-MIN(OFFSET(AY$121,$BB85-1,0,$BA85,1)),""))</f>
        <v/>
      </c>
      <c r="BA85" s="28">
        <f>IF($A85="","",COUNTIF($BA$121:$BA$1120,$A85))</f>
        <v/>
      </c>
      <c r="BB85" s="28">
        <f>IF($A85="","",MATCH($A85,$BA$121:$BA$1120,0))</f>
        <v/>
      </c>
      <c r="BC85" s="13">
        <f>IF($A85="","",IF(COUNTIF(OFFSET($BA$121,$BB85-1,0,$BA85,1),$A85)=$BA85,"ja","NEE"))</f>
        <v/>
      </c>
    </row>
    <row r="86">
      <c r="A86" s="13">
        <f>IFERROR(INDEX($BA$121:$BA$1120,MATCH(13,$BB$121:$BB$1120,0)),"")</f>
        <v/>
      </c>
      <c r="B86" s="29">
        <f>IF(OR($A86="",B$116=0),"",IF(COUNT(OFFSET(B$121,$BB86-1,0,$BA86,1))&gt;1,MAX(OFFSET(B$121,$BB86-1,0,$BA86,1))-MIN(OFFSET(B$121,$BB86-1,0,$BA86,1)),""))</f>
        <v/>
      </c>
      <c r="C86" s="29">
        <f>IF(OR($A86="",C$116=0),"",IF(COUNT(OFFSET(C$121,$BB86-1,0,$BA86,1))&gt;1,MAX(OFFSET(C$121,$BB86-1,0,$BA86,1))-MIN(OFFSET(C$121,$BB86-1,0,$BA86,1)),""))</f>
        <v/>
      </c>
      <c r="D86" s="29">
        <f>IF(OR($A86="",D$116=0),"",IF(COUNT(OFFSET(D$121,$BB86-1,0,$BA86,1))&gt;1,MAX(OFFSET(D$121,$BB86-1,0,$BA86,1))-MIN(OFFSET(D$121,$BB86-1,0,$BA86,1)),""))</f>
        <v/>
      </c>
      <c r="E86" s="29">
        <f>IF(OR($A86="",E$116=0),"",IF(COUNT(OFFSET(E$121,$BB86-1,0,$BA86,1))&gt;1,MAX(OFFSET(E$121,$BB86-1,0,$BA86,1))-MIN(OFFSET(E$121,$BB86-1,0,$BA86,1)),""))</f>
        <v/>
      </c>
      <c r="F86" s="29">
        <f>IF(OR($A86="",F$116=0),"",IF(COUNT(OFFSET(F$121,$BB86-1,0,$BA86,1))&gt;1,MAX(OFFSET(F$121,$BB86-1,0,$BA86,1))-MIN(OFFSET(F$121,$BB86-1,0,$BA86,1)),""))</f>
        <v/>
      </c>
      <c r="G86" s="29">
        <f>IF(OR($A86="",G$116=0),"",IF(COUNT(OFFSET(G$121,$BB86-1,0,$BA86,1))&gt;1,MAX(OFFSET(G$121,$BB86-1,0,$BA86,1))-MIN(OFFSET(G$121,$BB86-1,0,$BA86,1)),""))</f>
        <v/>
      </c>
      <c r="H86" s="29">
        <f>IF(OR($A86="",H$116=0),"",IF(COUNT(OFFSET(H$121,$BB86-1,0,$BA86,1))&gt;1,MAX(OFFSET(H$121,$BB86-1,0,$BA86,1))-MIN(OFFSET(H$121,$BB86-1,0,$BA86,1)),""))</f>
        <v/>
      </c>
      <c r="I86" s="29">
        <f>IF(OR($A86="",I$116=0),"",IF(COUNT(OFFSET(I$121,$BB86-1,0,$BA86,1))&gt;1,MAX(OFFSET(I$121,$BB86-1,0,$BA86,1))-MIN(OFFSET(I$121,$BB86-1,0,$BA86,1)),""))</f>
        <v/>
      </c>
      <c r="J86" s="29">
        <f>IF(OR($A86="",J$116=0),"",IF(COUNT(OFFSET(J$121,$BB86-1,0,$BA86,1))&gt;1,MAX(OFFSET(J$121,$BB86-1,0,$BA86,1))-MIN(OFFSET(J$121,$BB86-1,0,$BA86,1)),""))</f>
        <v/>
      </c>
      <c r="K86" s="29">
        <f>IF(OR($A86="",K$116=0),"",IF(COUNT(OFFSET(K$121,$BB86-1,0,$BA86,1))&gt;1,MAX(OFFSET(K$121,$BB86-1,0,$BA86,1))-MIN(OFFSET(K$121,$BB86-1,0,$BA86,1)),""))</f>
        <v/>
      </c>
      <c r="L86" s="29">
        <f>IF(OR($A86="",L$116=0),"",IF(COUNT(OFFSET(L$121,$BB86-1,0,$BA86,1))&gt;1,MAX(OFFSET(L$121,$BB86-1,0,$BA86,1))-MIN(OFFSET(L$121,$BB86-1,0,$BA86,1)),""))</f>
        <v/>
      </c>
      <c r="M86" s="29">
        <f>IF(OR($A86="",M$116=0),"",IF(COUNT(OFFSET(M$121,$BB86-1,0,$BA86,1))&gt;1,MAX(OFFSET(M$121,$BB86-1,0,$BA86,1))-MIN(OFFSET(M$121,$BB86-1,0,$BA86,1)),""))</f>
        <v/>
      </c>
      <c r="N86" s="29">
        <f>IF(OR($A86="",N$116=0),"",IF(COUNT(OFFSET(N$121,$BB86-1,0,$BA86,1))&gt;1,MAX(OFFSET(N$121,$BB86-1,0,$BA86,1))-MIN(OFFSET(N$121,$BB86-1,0,$BA86,1)),""))</f>
        <v/>
      </c>
      <c r="O86" s="29">
        <f>IF(OR($A86="",O$116=0),"",IF(COUNT(OFFSET(O$121,$BB86-1,0,$BA86,1))&gt;1,MAX(OFFSET(O$121,$BB86-1,0,$BA86,1))-MIN(OFFSET(O$121,$BB86-1,0,$BA86,1)),""))</f>
        <v/>
      </c>
      <c r="P86" s="29">
        <f>IF(OR($A86="",P$116=0),"",IF(COUNT(OFFSET(P$121,$BB86-1,0,$BA86,1))&gt;1,MAX(OFFSET(P$121,$BB86-1,0,$BA86,1))-MIN(OFFSET(P$121,$BB86-1,0,$BA86,1)),""))</f>
        <v/>
      </c>
      <c r="Q86" s="29">
        <f>IF(OR($A86="",Q$116=0),"",IF(COUNT(OFFSET(Q$121,$BB86-1,0,$BA86,1))&gt;1,MAX(OFFSET(Q$121,$BB86-1,0,$BA86,1))-MIN(OFFSET(Q$121,$BB86-1,0,$BA86,1)),""))</f>
        <v/>
      </c>
      <c r="R86" s="29">
        <f>IF(OR($A86="",R$116=0),"",IF(COUNT(OFFSET(R$121,$BB86-1,0,$BA86,1))&gt;1,MAX(OFFSET(R$121,$BB86-1,0,$BA86,1))-MIN(OFFSET(R$121,$BB86-1,0,$BA86,1)),""))</f>
        <v/>
      </c>
      <c r="S86" s="29">
        <f>IF(OR($A86="",S$116=0),"",IF(COUNT(OFFSET(S$121,$BB86-1,0,$BA86,1))&gt;1,MAX(OFFSET(S$121,$BB86-1,0,$BA86,1))-MIN(OFFSET(S$121,$BB86-1,0,$BA86,1)),""))</f>
        <v/>
      </c>
      <c r="T86" s="29">
        <f>IF(OR($A86="",T$116=0),"",IF(COUNT(OFFSET(T$121,$BB86-1,0,$BA86,1))&gt;1,MAX(OFFSET(T$121,$BB86-1,0,$BA86,1))-MIN(OFFSET(T$121,$BB86-1,0,$BA86,1)),""))</f>
        <v/>
      </c>
      <c r="U86" s="29">
        <f>IF(OR($A86="",U$116=0),"",IF(COUNT(OFFSET(U$121,$BB86-1,0,$BA86,1))&gt;1,MAX(OFFSET(U$121,$BB86-1,0,$BA86,1))-MIN(OFFSET(U$121,$BB86-1,0,$BA86,1)),""))</f>
        <v/>
      </c>
      <c r="V86" s="29">
        <f>IF(OR($A86="",V$116=0),"",IF(COUNT(OFFSET(V$121,$BB86-1,0,$BA86,1))&gt;1,MAX(OFFSET(V$121,$BB86-1,0,$BA86,1))-MIN(OFFSET(V$121,$BB86-1,0,$BA86,1)),""))</f>
        <v/>
      </c>
      <c r="W86" s="29">
        <f>IF(OR($A86="",W$116=0),"",IF(COUNT(OFFSET(W$121,$BB86-1,0,$BA86,1))&gt;1,MAX(OFFSET(W$121,$BB86-1,0,$BA86,1))-MIN(OFFSET(W$121,$BB86-1,0,$BA86,1)),""))</f>
        <v/>
      </c>
      <c r="X86" s="29">
        <f>IF(OR($A86="",X$116=0),"",IF(COUNT(OFFSET(X$121,$BB86-1,0,$BA86,1))&gt;1,MAX(OFFSET(X$121,$BB86-1,0,$BA86,1))-MIN(OFFSET(X$121,$BB86-1,0,$BA86,1)),""))</f>
        <v/>
      </c>
      <c r="Y86" s="29">
        <f>IF(OR($A86="",Y$116=0),"",IF(COUNT(OFFSET(Y$121,$BB86-1,0,$BA86,1))&gt;1,MAX(OFFSET(Y$121,$BB86-1,0,$BA86,1))-MIN(OFFSET(Y$121,$BB86-1,0,$BA86,1)),""))</f>
        <v/>
      </c>
      <c r="Z86" s="29">
        <f>IF(OR($A86="",Z$116=0),"",IF(COUNT(OFFSET(Z$121,$BB86-1,0,$BA86,1))&gt;1,MAX(OFFSET(Z$121,$BB86-1,0,$BA86,1))-MIN(OFFSET(Z$121,$BB86-1,0,$BA86,1)),""))</f>
        <v/>
      </c>
      <c r="AA86" s="29">
        <f>IF(OR($A86="",AA$116=0),"",IF(COUNT(OFFSET(AA$121,$BB86-1,0,$BA86,1))&gt;1,MAX(OFFSET(AA$121,$BB86-1,0,$BA86,1))-MIN(OFFSET(AA$121,$BB86-1,0,$BA86,1)),""))</f>
        <v/>
      </c>
      <c r="AB86" s="29">
        <f>IF(OR($A86="",AB$116=0),"",IF(COUNT(OFFSET(AB$121,$BB86-1,0,$BA86,1))&gt;1,MAX(OFFSET(AB$121,$BB86-1,0,$BA86,1))-MIN(OFFSET(AB$121,$BB86-1,0,$BA86,1)),""))</f>
        <v/>
      </c>
      <c r="AC86" s="29">
        <f>IF(OR($A86="",AC$116=0),"",IF(COUNT(OFFSET(AC$121,$BB86-1,0,$BA86,1))&gt;1,MAX(OFFSET(AC$121,$BB86-1,0,$BA86,1))-MIN(OFFSET(AC$121,$BB86-1,0,$BA86,1)),""))</f>
        <v/>
      </c>
      <c r="AD86" s="29">
        <f>IF(OR($A86="",AD$116=0),"",IF(COUNT(OFFSET(AD$121,$BB86-1,0,$BA86,1))&gt;1,MAX(OFFSET(AD$121,$BB86-1,0,$BA86,1))-MIN(OFFSET(AD$121,$BB86-1,0,$BA86,1)),""))</f>
        <v/>
      </c>
      <c r="AE86" s="29">
        <f>IF(OR($A86="",AE$116=0),"",IF(COUNT(OFFSET(AE$121,$BB86-1,0,$BA86,1))&gt;1,MAX(OFFSET(AE$121,$BB86-1,0,$BA86,1))-MIN(OFFSET(AE$121,$BB86-1,0,$BA86,1)),""))</f>
        <v/>
      </c>
      <c r="AF86" s="29">
        <f>IF(OR($A86="",AF$116=0),"",IF(COUNT(OFFSET(AF$121,$BB86-1,0,$BA86,1))&gt;1,MAX(OFFSET(AF$121,$BB86-1,0,$BA86,1))-MIN(OFFSET(AF$121,$BB86-1,0,$BA86,1)),""))</f>
        <v/>
      </c>
      <c r="AG86" s="29">
        <f>IF(OR($A86="",AG$116=0),"",IF(COUNT(OFFSET(AG$121,$BB86-1,0,$BA86,1))&gt;1,MAX(OFFSET(AG$121,$BB86-1,0,$BA86,1))-MIN(OFFSET(AG$121,$BB86-1,0,$BA86,1)),""))</f>
        <v/>
      </c>
      <c r="AH86" s="29">
        <f>IF(OR($A86="",AH$116=0),"",IF(COUNT(OFFSET(AH$121,$BB86-1,0,$BA86,1))&gt;1,MAX(OFFSET(AH$121,$BB86-1,0,$BA86,1))-MIN(OFFSET(AH$121,$BB86-1,0,$BA86,1)),""))</f>
        <v/>
      </c>
      <c r="AI86" s="29">
        <f>IF(OR($A86="",AI$116=0),"",IF(COUNT(OFFSET(AI$121,$BB86-1,0,$BA86,1))&gt;1,MAX(OFFSET(AI$121,$BB86-1,0,$BA86,1))-MIN(OFFSET(AI$121,$BB86-1,0,$BA86,1)),""))</f>
        <v/>
      </c>
      <c r="AJ86" s="29">
        <f>IF(OR($A86="",AJ$116=0),"",IF(COUNT(OFFSET(AJ$121,$BB86-1,0,$BA86,1))&gt;1,MAX(OFFSET(AJ$121,$BB86-1,0,$BA86,1))-MIN(OFFSET(AJ$121,$BB86-1,0,$BA86,1)),""))</f>
        <v/>
      </c>
      <c r="AK86" s="29">
        <f>IF(OR($A86="",AK$116=0),"",IF(COUNT(OFFSET(AK$121,$BB86-1,0,$BA86,1))&gt;1,MAX(OFFSET(AK$121,$BB86-1,0,$BA86,1))-MIN(OFFSET(AK$121,$BB86-1,0,$BA86,1)),""))</f>
        <v/>
      </c>
      <c r="AL86" s="29">
        <f>IF(OR($A86="",AL$116=0),"",IF(COUNT(OFFSET(AL$121,$BB86-1,0,$BA86,1))&gt;1,MAX(OFFSET(AL$121,$BB86-1,0,$BA86,1))-MIN(OFFSET(AL$121,$BB86-1,0,$BA86,1)),""))</f>
        <v/>
      </c>
      <c r="AM86" s="29">
        <f>IF(OR($A86="",AM$116=0),"",IF(COUNT(OFFSET(AM$121,$BB86-1,0,$BA86,1))&gt;1,MAX(OFFSET(AM$121,$BB86-1,0,$BA86,1))-MIN(OFFSET(AM$121,$BB86-1,0,$BA86,1)),""))</f>
        <v/>
      </c>
      <c r="AN86" s="29">
        <f>IF(OR($A86="",AN$116=0),"",IF(COUNT(OFFSET(AN$121,$BB86-1,0,$BA86,1))&gt;1,MAX(OFFSET(AN$121,$BB86-1,0,$BA86,1))-MIN(OFFSET(AN$121,$BB86-1,0,$BA86,1)),""))</f>
        <v/>
      </c>
      <c r="AO86" s="29">
        <f>IF(OR($A86="",AO$116=0),"",IF(COUNT(OFFSET(AO$121,$BB86-1,0,$BA86,1))&gt;1,MAX(OFFSET(AO$121,$BB86-1,0,$BA86,1))-MIN(OFFSET(AO$121,$BB86-1,0,$BA86,1)),""))</f>
        <v/>
      </c>
      <c r="AP86" s="29">
        <f>IF(OR($A86="",AP$116=0),"",IF(COUNT(OFFSET(AP$121,$BB86-1,0,$BA86,1))&gt;1,MAX(OFFSET(AP$121,$BB86-1,0,$BA86,1))-MIN(OFFSET(AP$121,$BB86-1,0,$BA86,1)),""))</f>
        <v/>
      </c>
      <c r="AQ86" s="29">
        <f>IF(OR($A86="",AQ$116=0),"",IF(COUNT(OFFSET(AQ$121,$BB86-1,0,$BA86,1))&gt;1,MAX(OFFSET(AQ$121,$BB86-1,0,$BA86,1))-MIN(OFFSET(AQ$121,$BB86-1,0,$BA86,1)),""))</f>
        <v/>
      </c>
      <c r="AR86" s="29">
        <f>IF(OR($A86="",AR$116=0),"",IF(COUNT(OFFSET(AR$121,$BB86-1,0,$BA86,1))&gt;1,MAX(OFFSET(AR$121,$BB86-1,0,$BA86,1))-MIN(OFFSET(AR$121,$BB86-1,0,$BA86,1)),""))</f>
        <v/>
      </c>
      <c r="AS86" s="29">
        <f>IF(OR($A86="",AS$116=0),"",IF(COUNT(OFFSET(AS$121,$BB86-1,0,$BA86,1))&gt;1,MAX(OFFSET(AS$121,$BB86-1,0,$BA86,1))-MIN(OFFSET(AS$121,$BB86-1,0,$BA86,1)),""))</f>
        <v/>
      </c>
      <c r="AT86" s="29">
        <f>IF(OR($A86="",AT$116=0),"",IF(COUNT(OFFSET(AT$121,$BB86-1,0,$BA86,1))&gt;1,MAX(OFFSET(AT$121,$BB86-1,0,$BA86,1))-MIN(OFFSET(AT$121,$BB86-1,0,$BA86,1)),""))</f>
        <v/>
      </c>
      <c r="AU86" s="29">
        <f>IF(OR($A86="",AU$116=0),"",IF(COUNT(OFFSET(AU$121,$BB86-1,0,$BA86,1))&gt;1,MAX(OFFSET(AU$121,$BB86-1,0,$BA86,1))-MIN(OFFSET(AU$121,$BB86-1,0,$BA86,1)),""))</f>
        <v/>
      </c>
      <c r="AV86" s="29">
        <f>IF(OR($A86="",AV$116=0),"",IF(COUNT(OFFSET(AV$121,$BB86-1,0,$BA86,1))&gt;1,MAX(OFFSET(AV$121,$BB86-1,0,$BA86,1))-MIN(OFFSET(AV$121,$BB86-1,0,$BA86,1)),""))</f>
        <v/>
      </c>
      <c r="AW86" s="29">
        <f>IF(OR($A86="",AW$116=0),"",IF(COUNT(OFFSET(AW$121,$BB86-1,0,$BA86,1))&gt;1,MAX(OFFSET(AW$121,$BB86-1,0,$BA86,1))-MIN(OFFSET(AW$121,$BB86-1,0,$BA86,1)),""))</f>
        <v/>
      </c>
      <c r="AX86" s="29">
        <f>IF(OR($A86="",AX$116=0),"",IF(COUNT(OFFSET(AX$121,$BB86-1,0,$BA86,1))&gt;1,MAX(OFFSET(AX$121,$BB86-1,0,$BA86,1))-MIN(OFFSET(AX$121,$BB86-1,0,$BA86,1)),""))</f>
        <v/>
      </c>
      <c r="AY86" s="29">
        <f>IF(OR($A86="",AY$116=0),"",IF(COUNT(OFFSET(AY$121,$BB86-1,0,$BA86,1))&gt;1,MAX(OFFSET(AY$121,$BB86-1,0,$BA86,1))-MIN(OFFSET(AY$121,$BB86-1,0,$BA86,1)),""))</f>
        <v/>
      </c>
      <c r="BA86" s="28">
        <f>IF($A86="","",COUNTIF($BA$121:$BA$1120,$A86))</f>
        <v/>
      </c>
      <c r="BB86" s="28">
        <f>IF($A86="","",MATCH($A86,$BA$121:$BA$1120,0))</f>
        <v/>
      </c>
      <c r="BC86" s="13">
        <f>IF($A86="","",IF(COUNTIF(OFFSET($BA$121,$BB86-1,0,$BA86,1),$A86)=$BA86,"ja","NEE"))</f>
        <v/>
      </c>
    </row>
    <row r="87">
      <c r="A87" s="13">
        <f>IFERROR(INDEX($BA$121:$BA$1120,MATCH(14,$BB$121:$BB$1120,0)),"")</f>
        <v/>
      </c>
      <c r="B87" s="29">
        <f>IF(OR($A87="",B$116=0),"",IF(COUNT(OFFSET(B$121,$BB87-1,0,$BA87,1))&gt;1,MAX(OFFSET(B$121,$BB87-1,0,$BA87,1))-MIN(OFFSET(B$121,$BB87-1,0,$BA87,1)),""))</f>
        <v/>
      </c>
      <c r="C87" s="29">
        <f>IF(OR($A87="",C$116=0),"",IF(COUNT(OFFSET(C$121,$BB87-1,0,$BA87,1))&gt;1,MAX(OFFSET(C$121,$BB87-1,0,$BA87,1))-MIN(OFFSET(C$121,$BB87-1,0,$BA87,1)),""))</f>
        <v/>
      </c>
      <c r="D87" s="29">
        <f>IF(OR($A87="",D$116=0),"",IF(COUNT(OFFSET(D$121,$BB87-1,0,$BA87,1))&gt;1,MAX(OFFSET(D$121,$BB87-1,0,$BA87,1))-MIN(OFFSET(D$121,$BB87-1,0,$BA87,1)),""))</f>
        <v/>
      </c>
      <c r="E87" s="29">
        <f>IF(OR($A87="",E$116=0),"",IF(COUNT(OFFSET(E$121,$BB87-1,0,$BA87,1))&gt;1,MAX(OFFSET(E$121,$BB87-1,0,$BA87,1))-MIN(OFFSET(E$121,$BB87-1,0,$BA87,1)),""))</f>
        <v/>
      </c>
      <c r="F87" s="29">
        <f>IF(OR($A87="",F$116=0),"",IF(COUNT(OFFSET(F$121,$BB87-1,0,$BA87,1))&gt;1,MAX(OFFSET(F$121,$BB87-1,0,$BA87,1))-MIN(OFFSET(F$121,$BB87-1,0,$BA87,1)),""))</f>
        <v/>
      </c>
      <c r="G87" s="29">
        <f>IF(OR($A87="",G$116=0),"",IF(COUNT(OFFSET(G$121,$BB87-1,0,$BA87,1))&gt;1,MAX(OFFSET(G$121,$BB87-1,0,$BA87,1))-MIN(OFFSET(G$121,$BB87-1,0,$BA87,1)),""))</f>
        <v/>
      </c>
      <c r="H87" s="29">
        <f>IF(OR($A87="",H$116=0),"",IF(COUNT(OFFSET(H$121,$BB87-1,0,$BA87,1))&gt;1,MAX(OFFSET(H$121,$BB87-1,0,$BA87,1))-MIN(OFFSET(H$121,$BB87-1,0,$BA87,1)),""))</f>
        <v/>
      </c>
      <c r="I87" s="29">
        <f>IF(OR($A87="",I$116=0),"",IF(COUNT(OFFSET(I$121,$BB87-1,0,$BA87,1))&gt;1,MAX(OFFSET(I$121,$BB87-1,0,$BA87,1))-MIN(OFFSET(I$121,$BB87-1,0,$BA87,1)),""))</f>
        <v/>
      </c>
      <c r="J87" s="29">
        <f>IF(OR($A87="",J$116=0),"",IF(COUNT(OFFSET(J$121,$BB87-1,0,$BA87,1))&gt;1,MAX(OFFSET(J$121,$BB87-1,0,$BA87,1))-MIN(OFFSET(J$121,$BB87-1,0,$BA87,1)),""))</f>
        <v/>
      </c>
      <c r="K87" s="29">
        <f>IF(OR($A87="",K$116=0),"",IF(COUNT(OFFSET(K$121,$BB87-1,0,$BA87,1))&gt;1,MAX(OFFSET(K$121,$BB87-1,0,$BA87,1))-MIN(OFFSET(K$121,$BB87-1,0,$BA87,1)),""))</f>
        <v/>
      </c>
      <c r="L87" s="29">
        <f>IF(OR($A87="",L$116=0),"",IF(COUNT(OFFSET(L$121,$BB87-1,0,$BA87,1))&gt;1,MAX(OFFSET(L$121,$BB87-1,0,$BA87,1))-MIN(OFFSET(L$121,$BB87-1,0,$BA87,1)),""))</f>
        <v/>
      </c>
      <c r="M87" s="29">
        <f>IF(OR($A87="",M$116=0),"",IF(COUNT(OFFSET(M$121,$BB87-1,0,$BA87,1))&gt;1,MAX(OFFSET(M$121,$BB87-1,0,$BA87,1))-MIN(OFFSET(M$121,$BB87-1,0,$BA87,1)),""))</f>
        <v/>
      </c>
      <c r="N87" s="29">
        <f>IF(OR($A87="",N$116=0),"",IF(COUNT(OFFSET(N$121,$BB87-1,0,$BA87,1))&gt;1,MAX(OFFSET(N$121,$BB87-1,0,$BA87,1))-MIN(OFFSET(N$121,$BB87-1,0,$BA87,1)),""))</f>
        <v/>
      </c>
      <c r="O87" s="29">
        <f>IF(OR($A87="",O$116=0),"",IF(COUNT(OFFSET(O$121,$BB87-1,0,$BA87,1))&gt;1,MAX(OFFSET(O$121,$BB87-1,0,$BA87,1))-MIN(OFFSET(O$121,$BB87-1,0,$BA87,1)),""))</f>
        <v/>
      </c>
      <c r="P87" s="29">
        <f>IF(OR($A87="",P$116=0),"",IF(COUNT(OFFSET(P$121,$BB87-1,0,$BA87,1))&gt;1,MAX(OFFSET(P$121,$BB87-1,0,$BA87,1))-MIN(OFFSET(P$121,$BB87-1,0,$BA87,1)),""))</f>
        <v/>
      </c>
      <c r="Q87" s="29">
        <f>IF(OR($A87="",Q$116=0),"",IF(COUNT(OFFSET(Q$121,$BB87-1,0,$BA87,1))&gt;1,MAX(OFFSET(Q$121,$BB87-1,0,$BA87,1))-MIN(OFFSET(Q$121,$BB87-1,0,$BA87,1)),""))</f>
        <v/>
      </c>
      <c r="R87" s="29">
        <f>IF(OR($A87="",R$116=0),"",IF(COUNT(OFFSET(R$121,$BB87-1,0,$BA87,1))&gt;1,MAX(OFFSET(R$121,$BB87-1,0,$BA87,1))-MIN(OFFSET(R$121,$BB87-1,0,$BA87,1)),""))</f>
        <v/>
      </c>
      <c r="S87" s="29">
        <f>IF(OR($A87="",S$116=0),"",IF(COUNT(OFFSET(S$121,$BB87-1,0,$BA87,1))&gt;1,MAX(OFFSET(S$121,$BB87-1,0,$BA87,1))-MIN(OFFSET(S$121,$BB87-1,0,$BA87,1)),""))</f>
        <v/>
      </c>
      <c r="T87" s="29">
        <f>IF(OR($A87="",T$116=0),"",IF(COUNT(OFFSET(T$121,$BB87-1,0,$BA87,1))&gt;1,MAX(OFFSET(T$121,$BB87-1,0,$BA87,1))-MIN(OFFSET(T$121,$BB87-1,0,$BA87,1)),""))</f>
        <v/>
      </c>
      <c r="U87" s="29">
        <f>IF(OR($A87="",U$116=0),"",IF(COUNT(OFFSET(U$121,$BB87-1,0,$BA87,1))&gt;1,MAX(OFFSET(U$121,$BB87-1,0,$BA87,1))-MIN(OFFSET(U$121,$BB87-1,0,$BA87,1)),""))</f>
        <v/>
      </c>
      <c r="V87" s="29">
        <f>IF(OR($A87="",V$116=0),"",IF(COUNT(OFFSET(V$121,$BB87-1,0,$BA87,1))&gt;1,MAX(OFFSET(V$121,$BB87-1,0,$BA87,1))-MIN(OFFSET(V$121,$BB87-1,0,$BA87,1)),""))</f>
        <v/>
      </c>
      <c r="W87" s="29">
        <f>IF(OR($A87="",W$116=0),"",IF(COUNT(OFFSET(W$121,$BB87-1,0,$BA87,1))&gt;1,MAX(OFFSET(W$121,$BB87-1,0,$BA87,1))-MIN(OFFSET(W$121,$BB87-1,0,$BA87,1)),""))</f>
        <v/>
      </c>
      <c r="X87" s="29">
        <f>IF(OR($A87="",X$116=0),"",IF(COUNT(OFFSET(X$121,$BB87-1,0,$BA87,1))&gt;1,MAX(OFFSET(X$121,$BB87-1,0,$BA87,1))-MIN(OFFSET(X$121,$BB87-1,0,$BA87,1)),""))</f>
        <v/>
      </c>
      <c r="Y87" s="29">
        <f>IF(OR($A87="",Y$116=0),"",IF(COUNT(OFFSET(Y$121,$BB87-1,0,$BA87,1))&gt;1,MAX(OFFSET(Y$121,$BB87-1,0,$BA87,1))-MIN(OFFSET(Y$121,$BB87-1,0,$BA87,1)),""))</f>
        <v/>
      </c>
      <c r="Z87" s="29">
        <f>IF(OR($A87="",Z$116=0),"",IF(COUNT(OFFSET(Z$121,$BB87-1,0,$BA87,1))&gt;1,MAX(OFFSET(Z$121,$BB87-1,0,$BA87,1))-MIN(OFFSET(Z$121,$BB87-1,0,$BA87,1)),""))</f>
        <v/>
      </c>
      <c r="AA87" s="29">
        <f>IF(OR($A87="",AA$116=0),"",IF(COUNT(OFFSET(AA$121,$BB87-1,0,$BA87,1))&gt;1,MAX(OFFSET(AA$121,$BB87-1,0,$BA87,1))-MIN(OFFSET(AA$121,$BB87-1,0,$BA87,1)),""))</f>
        <v/>
      </c>
      <c r="AB87" s="29">
        <f>IF(OR($A87="",AB$116=0),"",IF(COUNT(OFFSET(AB$121,$BB87-1,0,$BA87,1))&gt;1,MAX(OFFSET(AB$121,$BB87-1,0,$BA87,1))-MIN(OFFSET(AB$121,$BB87-1,0,$BA87,1)),""))</f>
        <v/>
      </c>
      <c r="AC87" s="29">
        <f>IF(OR($A87="",AC$116=0),"",IF(COUNT(OFFSET(AC$121,$BB87-1,0,$BA87,1))&gt;1,MAX(OFFSET(AC$121,$BB87-1,0,$BA87,1))-MIN(OFFSET(AC$121,$BB87-1,0,$BA87,1)),""))</f>
        <v/>
      </c>
      <c r="AD87" s="29">
        <f>IF(OR($A87="",AD$116=0),"",IF(COUNT(OFFSET(AD$121,$BB87-1,0,$BA87,1))&gt;1,MAX(OFFSET(AD$121,$BB87-1,0,$BA87,1))-MIN(OFFSET(AD$121,$BB87-1,0,$BA87,1)),""))</f>
        <v/>
      </c>
      <c r="AE87" s="29">
        <f>IF(OR($A87="",AE$116=0),"",IF(COUNT(OFFSET(AE$121,$BB87-1,0,$BA87,1))&gt;1,MAX(OFFSET(AE$121,$BB87-1,0,$BA87,1))-MIN(OFFSET(AE$121,$BB87-1,0,$BA87,1)),""))</f>
        <v/>
      </c>
      <c r="AF87" s="29">
        <f>IF(OR($A87="",AF$116=0),"",IF(COUNT(OFFSET(AF$121,$BB87-1,0,$BA87,1))&gt;1,MAX(OFFSET(AF$121,$BB87-1,0,$BA87,1))-MIN(OFFSET(AF$121,$BB87-1,0,$BA87,1)),""))</f>
        <v/>
      </c>
      <c r="AG87" s="29">
        <f>IF(OR($A87="",AG$116=0),"",IF(COUNT(OFFSET(AG$121,$BB87-1,0,$BA87,1))&gt;1,MAX(OFFSET(AG$121,$BB87-1,0,$BA87,1))-MIN(OFFSET(AG$121,$BB87-1,0,$BA87,1)),""))</f>
        <v/>
      </c>
      <c r="AH87" s="29">
        <f>IF(OR($A87="",AH$116=0),"",IF(COUNT(OFFSET(AH$121,$BB87-1,0,$BA87,1))&gt;1,MAX(OFFSET(AH$121,$BB87-1,0,$BA87,1))-MIN(OFFSET(AH$121,$BB87-1,0,$BA87,1)),""))</f>
        <v/>
      </c>
      <c r="AI87" s="29">
        <f>IF(OR($A87="",AI$116=0),"",IF(COUNT(OFFSET(AI$121,$BB87-1,0,$BA87,1))&gt;1,MAX(OFFSET(AI$121,$BB87-1,0,$BA87,1))-MIN(OFFSET(AI$121,$BB87-1,0,$BA87,1)),""))</f>
        <v/>
      </c>
      <c r="AJ87" s="29">
        <f>IF(OR($A87="",AJ$116=0),"",IF(COUNT(OFFSET(AJ$121,$BB87-1,0,$BA87,1))&gt;1,MAX(OFFSET(AJ$121,$BB87-1,0,$BA87,1))-MIN(OFFSET(AJ$121,$BB87-1,0,$BA87,1)),""))</f>
        <v/>
      </c>
      <c r="AK87" s="29">
        <f>IF(OR($A87="",AK$116=0),"",IF(COUNT(OFFSET(AK$121,$BB87-1,0,$BA87,1))&gt;1,MAX(OFFSET(AK$121,$BB87-1,0,$BA87,1))-MIN(OFFSET(AK$121,$BB87-1,0,$BA87,1)),""))</f>
        <v/>
      </c>
      <c r="AL87" s="29">
        <f>IF(OR($A87="",AL$116=0),"",IF(COUNT(OFFSET(AL$121,$BB87-1,0,$BA87,1))&gt;1,MAX(OFFSET(AL$121,$BB87-1,0,$BA87,1))-MIN(OFFSET(AL$121,$BB87-1,0,$BA87,1)),""))</f>
        <v/>
      </c>
      <c r="AM87" s="29">
        <f>IF(OR($A87="",AM$116=0),"",IF(COUNT(OFFSET(AM$121,$BB87-1,0,$BA87,1))&gt;1,MAX(OFFSET(AM$121,$BB87-1,0,$BA87,1))-MIN(OFFSET(AM$121,$BB87-1,0,$BA87,1)),""))</f>
        <v/>
      </c>
      <c r="AN87" s="29">
        <f>IF(OR($A87="",AN$116=0),"",IF(COUNT(OFFSET(AN$121,$BB87-1,0,$BA87,1))&gt;1,MAX(OFFSET(AN$121,$BB87-1,0,$BA87,1))-MIN(OFFSET(AN$121,$BB87-1,0,$BA87,1)),""))</f>
        <v/>
      </c>
      <c r="AO87" s="29">
        <f>IF(OR($A87="",AO$116=0),"",IF(COUNT(OFFSET(AO$121,$BB87-1,0,$BA87,1))&gt;1,MAX(OFFSET(AO$121,$BB87-1,0,$BA87,1))-MIN(OFFSET(AO$121,$BB87-1,0,$BA87,1)),""))</f>
        <v/>
      </c>
      <c r="AP87" s="29">
        <f>IF(OR($A87="",AP$116=0),"",IF(COUNT(OFFSET(AP$121,$BB87-1,0,$BA87,1))&gt;1,MAX(OFFSET(AP$121,$BB87-1,0,$BA87,1))-MIN(OFFSET(AP$121,$BB87-1,0,$BA87,1)),""))</f>
        <v/>
      </c>
      <c r="AQ87" s="29">
        <f>IF(OR($A87="",AQ$116=0),"",IF(COUNT(OFFSET(AQ$121,$BB87-1,0,$BA87,1))&gt;1,MAX(OFFSET(AQ$121,$BB87-1,0,$BA87,1))-MIN(OFFSET(AQ$121,$BB87-1,0,$BA87,1)),""))</f>
        <v/>
      </c>
      <c r="AR87" s="29">
        <f>IF(OR($A87="",AR$116=0),"",IF(COUNT(OFFSET(AR$121,$BB87-1,0,$BA87,1))&gt;1,MAX(OFFSET(AR$121,$BB87-1,0,$BA87,1))-MIN(OFFSET(AR$121,$BB87-1,0,$BA87,1)),""))</f>
        <v/>
      </c>
      <c r="AS87" s="29">
        <f>IF(OR($A87="",AS$116=0),"",IF(COUNT(OFFSET(AS$121,$BB87-1,0,$BA87,1))&gt;1,MAX(OFFSET(AS$121,$BB87-1,0,$BA87,1))-MIN(OFFSET(AS$121,$BB87-1,0,$BA87,1)),""))</f>
        <v/>
      </c>
      <c r="AT87" s="29">
        <f>IF(OR($A87="",AT$116=0),"",IF(COUNT(OFFSET(AT$121,$BB87-1,0,$BA87,1))&gt;1,MAX(OFFSET(AT$121,$BB87-1,0,$BA87,1))-MIN(OFFSET(AT$121,$BB87-1,0,$BA87,1)),""))</f>
        <v/>
      </c>
      <c r="AU87" s="29">
        <f>IF(OR($A87="",AU$116=0),"",IF(COUNT(OFFSET(AU$121,$BB87-1,0,$BA87,1))&gt;1,MAX(OFFSET(AU$121,$BB87-1,0,$BA87,1))-MIN(OFFSET(AU$121,$BB87-1,0,$BA87,1)),""))</f>
        <v/>
      </c>
      <c r="AV87" s="29">
        <f>IF(OR($A87="",AV$116=0),"",IF(COUNT(OFFSET(AV$121,$BB87-1,0,$BA87,1))&gt;1,MAX(OFFSET(AV$121,$BB87-1,0,$BA87,1))-MIN(OFFSET(AV$121,$BB87-1,0,$BA87,1)),""))</f>
        <v/>
      </c>
      <c r="AW87" s="29">
        <f>IF(OR($A87="",AW$116=0),"",IF(COUNT(OFFSET(AW$121,$BB87-1,0,$BA87,1))&gt;1,MAX(OFFSET(AW$121,$BB87-1,0,$BA87,1))-MIN(OFFSET(AW$121,$BB87-1,0,$BA87,1)),""))</f>
        <v/>
      </c>
      <c r="AX87" s="29">
        <f>IF(OR($A87="",AX$116=0),"",IF(COUNT(OFFSET(AX$121,$BB87-1,0,$BA87,1))&gt;1,MAX(OFFSET(AX$121,$BB87-1,0,$BA87,1))-MIN(OFFSET(AX$121,$BB87-1,0,$BA87,1)),""))</f>
        <v/>
      </c>
      <c r="AY87" s="29">
        <f>IF(OR($A87="",AY$116=0),"",IF(COUNT(OFFSET(AY$121,$BB87-1,0,$BA87,1))&gt;1,MAX(OFFSET(AY$121,$BB87-1,0,$BA87,1))-MIN(OFFSET(AY$121,$BB87-1,0,$BA87,1)),""))</f>
        <v/>
      </c>
      <c r="BA87" s="28">
        <f>IF($A87="","",COUNTIF($BA$121:$BA$1120,$A87))</f>
        <v/>
      </c>
      <c r="BB87" s="28">
        <f>IF($A87="","",MATCH($A87,$BA$121:$BA$1120,0))</f>
        <v/>
      </c>
      <c r="BC87" s="13">
        <f>IF($A87="","",IF(COUNTIF(OFFSET($BA$121,$BB87-1,0,$BA87,1),$A87)=$BA87,"ja","NEE"))</f>
        <v/>
      </c>
    </row>
    <row r="88">
      <c r="A88" s="13">
        <f>IFERROR(INDEX($BA$121:$BA$1120,MATCH(15,$BB$121:$BB$1120,0)),"")</f>
        <v/>
      </c>
      <c r="B88" s="29">
        <f>IF(OR($A88="",B$116=0),"",IF(COUNT(OFFSET(B$121,$BB88-1,0,$BA88,1))&gt;1,MAX(OFFSET(B$121,$BB88-1,0,$BA88,1))-MIN(OFFSET(B$121,$BB88-1,0,$BA88,1)),""))</f>
        <v/>
      </c>
      <c r="C88" s="29">
        <f>IF(OR($A88="",C$116=0),"",IF(COUNT(OFFSET(C$121,$BB88-1,0,$BA88,1))&gt;1,MAX(OFFSET(C$121,$BB88-1,0,$BA88,1))-MIN(OFFSET(C$121,$BB88-1,0,$BA88,1)),""))</f>
        <v/>
      </c>
      <c r="D88" s="29">
        <f>IF(OR($A88="",D$116=0),"",IF(COUNT(OFFSET(D$121,$BB88-1,0,$BA88,1))&gt;1,MAX(OFFSET(D$121,$BB88-1,0,$BA88,1))-MIN(OFFSET(D$121,$BB88-1,0,$BA88,1)),""))</f>
        <v/>
      </c>
      <c r="E88" s="29">
        <f>IF(OR($A88="",E$116=0),"",IF(COUNT(OFFSET(E$121,$BB88-1,0,$BA88,1))&gt;1,MAX(OFFSET(E$121,$BB88-1,0,$BA88,1))-MIN(OFFSET(E$121,$BB88-1,0,$BA88,1)),""))</f>
        <v/>
      </c>
      <c r="F88" s="29">
        <f>IF(OR($A88="",F$116=0),"",IF(COUNT(OFFSET(F$121,$BB88-1,0,$BA88,1))&gt;1,MAX(OFFSET(F$121,$BB88-1,0,$BA88,1))-MIN(OFFSET(F$121,$BB88-1,0,$BA88,1)),""))</f>
        <v/>
      </c>
      <c r="G88" s="29">
        <f>IF(OR($A88="",G$116=0),"",IF(COUNT(OFFSET(G$121,$BB88-1,0,$BA88,1))&gt;1,MAX(OFFSET(G$121,$BB88-1,0,$BA88,1))-MIN(OFFSET(G$121,$BB88-1,0,$BA88,1)),""))</f>
        <v/>
      </c>
      <c r="H88" s="29">
        <f>IF(OR($A88="",H$116=0),"",IF(COUNT(OFFSET(H$121,$BB88-1,0,$BA88,1))&gt;1,MAX(OFFSET(H$121,$BB88-1,0,$BA88,1))-MIN(OFFSET(H$121,$BB88-1,0,$BA88,1)),""))</f>
        <v/>
      </c>
      <c r="I88" s="29">
        <f>IF(OR($A88="",I$116=0),"",IF(COUNT(OFFSET(I$121,$BB88-1,0,$BA88,1))&gt;1,MAX(OFFSET(I$121,$BB88-1,0,$BA88,1))-MIN(OFFSET(I$121,$BB88-1,0,$BA88,1)),""))</f>
        <v/>
      </c>
      <c r="J88" s="29">
        <f>IF(OR($A88="",J$116=0),"",IF(COUNT(OFFSET(J$121,$BB88-1,0,$BA88,1))&gt;1,MAX(OFFSET(J$121,$BB88-1,0,$BA88,1))-MIN(OFFSET(J$121,$BB88-1,0,$BA88,1)),""))</f>
        <v/>
      </c>
      <c r="K88" s="29">
        <f>IF(OR($A88="",K$116=0),"",IF(COUNT(OFFSET(K$121,$BB88-1,0,$BA88,1))&gt;1,MAX(OFFSET(K$121,$BB88-1,0,$BA88,1))-MIN(OFFSET(K$121,$BB88-1,0,$BA88,1)),""))</f>
        <v/>
      </c>
      <c r="L88" s="29">
        <f>IF(OR($A88="",L$116=0),"",IF(COUNT(OFFSET(L$121,$BB88-1,0,$BA88,1))&gt;1,MAX(OFFSET(L$121,$BB88-1,0,$BA88,1))-MIN(OFFSET(L$121,$BB88-1,0,$BA88,1)),""))</f>
        <v/>
      </c>
      <c r="M88" s="29">
        <f>IF(OR($A88="",M$116=0),"",IF(COUNT(OFFSET(M$121,$BB88-1,0,$BA88,1))&gt;1,MAX(OFFSET(M$121,$BB88-1,0,$BA88,1))-MIN(OFFSET(M$121,$BB88-1,0,$BA88,1)),""))</f>
        <v/>
      </c>
      <c r="N88" s="29">
        <f>IF(OR($A88="",N$116=0),"",IF(COUNT(OFFSET(N$121,$BB88-1,0,$BA88,1))&gt;1,MAX(OFFSET(N$121,$BB88-1,0,$BA88,1))-MIN(OFFSET(N$121,$BB88-1,0,$BA88,1)),""))</f>
        <v/>
      </c>
      <c r="O88" s="29">
        <f>IF(OR($A88="",O$116=0),"",IF(COUNT(OFFSET(O$121,$BB88-1,0,$BA88,1))&gt;1,MAX(OFFSET(O$121,$BB88-1,0,$BA88,1))-MIN(OFFSET(O$121,$BB88-1,0,$BA88,1)),""))</f>
        <v/>
      </c>
      <c r="P88" s="29">
        <f>IF(OR($A88="",P$116=0),"",IF(COUNT(OFFSET(P$121,$BB88-1,0,$BA88,1))&gt;1,MAX(OFFSET(P$121,$BB88-1,0,$BA88,1))-MIN(OFFSET(P$121,$BB88-1,0,$BA88,1)),""))</f>
        <v/>
      </c>
      <c r="Q88" s="29">
        <f>IF(OR($A88="",Q$116=0),"",IF(COUNT(OFFSET(Q$121,$BB88-1,0,$BA88,1))&gt;1,MAX(OFFSET(Q$121,$BB88-1,0,$BA88,1))-MIN(OFFSET(Q$121,$BB88-1,0,$BA88,1)),""))</f>
        <v/>
      </c>
      <c r="R88" s="29">
        <f>IF(OR($A88="",R$116=0),"",IF(COUNT(OFFSET(R$121,$BB88-1,0,$BA88,1))&gt;1,MAX(OFFSET(R$121,$BB88-1,0,$BA88,1))-MIN(OFFSET(R$121,$BB88-1,0,$BA88,1)),""))</f>
        <v/>
      </c>
      <c r="S88" s="29">
        <f>IF(OR($A88="",S$116=0),"",IF(COUNT(OFFSET(S$121,$BB88-1,0,$BA88,1))&gt;1,MAX(OFFSET(S$121,$BB88-1,0,$BA88,1))-MIN(OFFSET(S$121,$BB88-1,0,$BA88,1)),""))</f>
        <v/>
      </c>
      <c r="T88" s="29">
        <f>IF(OR($A88="",T$116=0),"",IF(COUNT(OFFSET(T$121,$BB88-1,0,$BA88,1))&gt;1,MAX(OFFSET(T$121,$BB88-1,0,$BA88,1))-MIN(OFFSET(T$121,$BB88-1,0,$BA88,1)),""))</f>
        <v/>
      </c>
      <c r="U88" s="29">
        <f>IF(OR($A88="",U$116=0),"",IF(COUNT(OFFSET(U$121,$BB88-1,0,$BA88,1))&gt;1,MAX(OFFSET(U$121,$BB88-1,0,$BA88,1))-MIN(OFFSET(U$121,$BB88-1,0,$BA88,1)),""))</f>
        <v/>
      </c>
      <c r="V88" s="29">
        <f>IF(OR($A88="",V$116=0),"",IF(COUNT(OFFSET(V$121,$BB88-1,0,$BA88,1))&gt;1,MAX(OFFSET(V$121,$BB88-1,0,$BA88,1))-MIN(OFFSET(V$121,$BB88-1,0,$BA88,1)),""))</f>
        <v/>
      </c>
      <c r="W88" s="29">
        <f>IF(OR($A88="",W$116=0),"",IF(COUNT(OFFSET(W$121,$BB88-1,0,$BA88,1))&gt;1,MAX(OFFSET(W$121,$BB88-1,0,$BA88,1))-MIN(OFFSET(W$121,$BB88-1,0,$BA88,1)),""))</f>
        <v/>
      </c>
      <c r="X88" s="29">
        <f>IF(OR($A88="",X$116=0),"",IF(COUNT(OFFSET(X$121,$BB88-1,0,$BA88,1))&gt;1,MAX(OFFSET(X$121,$BB88-1,0,$BA88,1))-MIN(OFFSET(X$121,$BB88-1,0,$BA88,1)),""))</f>
        <v/>
      </c>
      <c r="Y88" s="29">
        <f>IF(OR($A88="",Y$116=0),"",IF(COUNT(OFFSET(Y$121,$BB88-1,0,$BA88,1))&gt;1,MAX(OFFSET(Y$121,$BB88-1,0,$BA88,1))-MIN(OFFSET(Y$121,$BB88-1,0,$BA88,1)),""))</f>
        <v/>
      </c>
      <c r="Z88" s="29">
        <f>IF(OR($A88="",Z$116=0),"",IF(COUNT(OFFSET(Z$121,$BB88-1,0,$BA88,1))&gt;1,MAX(OFFSET(Z$121,$BB88-1,0,$BA88,1))-MIN(OFFSET(Z$121,$BB88-1,0,$BA88,1)),""))</f>
        <v/>
      </c>
      <c r="AA88" s="29">
        <f>IF(OR($A88="",AA$116=0),"",IF(COUNT(OFFSET(AA$121,$BB88-1,0,$BA88,1))&gt;1,MAX(OFFSET(AA$121,$BB88-1,0,$BA88,1))-MIN(OFFSET(AA$121,$BB88-1,0,$BA88,1)),""))</f>
        <v/>
      </c>
      <c r="AB88" s="29">
        <f>IF(OR($A88="",AB$116=0),"",IF(COUNT(OFFSET(AB$121,$BB88-1,0,$BA88,1))&gt;1,MAX(OFFSET(AB$121,$BB88-1,0,$BA88,1))-MIN(OFFSET(AB$121,$BB88-1,0,$BA88,1)),""))</f>
        <v/>
      </c>
      <c r="AC88" s="29">
        <f>IF(OR($A88="",AC$116=0),"",IF(COUNT(OFFSET(AC$121,$BB88-1,0,$BA88,1))&gt;1,MAX(OFFSET(AC$121,$BB88-1,0,$BA88,1))-MIN(OFFSET(AC$121,$BB88-1,0,$BA88,1)),""))</f>
        <v/>
      </c>
      <c r="AD88" s="29">
        <f>IF(OR($A88="",AD$116=0),"",IF(COUNT(OFFSET(AD$121,$BB88-1,0,$BA88,1))&gt;1,MAX(OFFSET(AD$121,$BB88-1,0,$BA88,1))-MIN(OFFSET(AD$121,$BB88-1,0,$BA88,1)),""))</f>
        <v/>
      </c>
      <c r="AE88" s="29">
        <f>IF(OR($A88="",AE$116=0),"",IF(COUNT(OFFSET(AE$121,$BB88-1,0,$BA88,1))&gt;1,MAX(OFFSET(AE$121,$BB88-1,0,$BA88,1))-MIN(OFFSET(AE$121,$BB88-1,0,$BA88,1)),""))</f>
        <v/>
      </c>
      <c r="AF88" s="29">
        <f>IF(OR($A88="",AF$116=0),"",IF(COUNT(OFFSET(AF$121,$BB88-1,0,$BA88,1))&gt;1,MAX(OFFSET(AF$121,$BB88-1,0,$BA88,1))-MIN(OFFSET(AF$121,$BB88-1,0,$BA88,1)),""))</f>
        <v/>
      </c>
      <c r="AG88" s="29">
        <f>IF(OR($A88="",AG$116=0),"",IF(COUNT(OFFSET(AG$121,$BB88-1,0,$BA88,1))&gt;1,MAX(OFFSET(AG$121,$BB88-1,0,$BA88,1))-MIN(OFFSET(AG$121,$BB88-1,0,$BA88,1)),""))</f>
        <v/>
      </c>
      <c r="AH88" s="29">
        <f>IF(OR($A88="",AH$116=0),"",IF(COUNT(OFFSET(AH$121,$BB88-1,0,$BA88,1))&gt;1,MAX(OFFSET(AH$121,$BB88-1,0,$BA88,1))-MIN(OFFSET(AH$121,$BB88-1,0,$BA88,1)),""))</f>
        <v/>
      </c>
      <c r="AI88" s="29">
        <f>IF(OR($A88="",AI$116=0),"",IF(COUNT(OFFSET(AI$121,$BB88-1,0,$BA88,1))&gt;1,MAX(OFFSET(AI$121,$BB88-1,0,$BA88,1))-MIN(OFFSET(AI$121,$BB88-1,0,$BA88,1)),""))</f>
        <v/>
      </c>
      <c r="AJ88" s="29">
        <f>IF(OR($A88="",AJ$116=0),"",IF(COUNT(OFFSET(AJ$121,$BB88-1,0,$BA88,1))&gt;1,MAX(OFFSET(AJ$121,$BB88-1,0,$BA88,1))-MIN(OFFSET(AJ$121,$BB88-1,0,$BA88,1)),""))</f>
        <v/>
      </c>
      <c r="AK88" s="29">
        <f>IF(OR($A88="",AK$116=0),"",IF(COUNT(OFFSET(AK$121,$BB88-1,0,$BA88,1))&gt;1,MAX(OFFSET(AK$121,$BB88-1,0,$BA88,1))-MIN(OFFSET(AK$121,$BB88-1,0,$BA88,1)),""))</f>
        <v/>
      </c>
      <c r="AL88" s="29">
        <f>IF(OR($A88="",AL$116=0),"",IF(COUNT(OFFSET(AL$121,$BB88-1,0,$BA88,1))&gt;1,MAX(OFFSET(AL$121,$BB88-1,0,$BA88,1))-MIN(OFFSET(AL$121,$BB88-1,0,$BA88,1)),""))</f>
        <v/>
      </c>
      <c r="AM88" s="29">
        <f>IF(OR($A88="",AM$116=0),"",IF(COUNT(OFFSET(AM$121,$BB88-1,0,$BA88,1))&gt;1,MAX(OFFSET(AM$121,$BB88-1,0,$BA88,1))-MIN(OFFSET(AM$121,$BB88-1,0,$BA88,1)),""))</f>
        <v/>
      </c>
      <c r="AN88" s="29">
        <f>IF(OR($A88="",AN$116=0),"",IF(COUNT(OFFSET(AN$121,$BB88-1,0,$BA88,1))&gt;1,MAX(OFFSET(AN$121,$BB88-1,0,$BA88,1))-MIN(OFFSET(AN$121,$BB88-1,0,$BA88,1)),""))</f>
        <v/>
      </c>
      <c r="AO88" s="29">
        <f>IF(OR($A88="",AO$116=0),"",IF(COUNT(OFFSET(AO$121,$BB88-1,0,$BA88,1))&gt;1,MAX(OFFSET(AO$121,$BB88-1,0,$BA88,1))-MIN(OFFSET(AO$121,$BB88-1,0,$BA88,1)),""))</f>
        <v/>
      </c>
      <c r="AP88" s="29">
        <f>IF(OR($A88="",AP$116=0),"",IF(COUNT(OFFSET(AP$121,$BB88-1,0,$BA88,1))&gt;1,MAX(OFFSET(AP$121,$BB88-1,0,$BA88,1))-MIN(OFFSET(AP$121,$BB88-1,0,$BA88,1)),""))</f>
        <v/>
      </c>
      <c r="AQ88" s="29">
        <f>IF(OR($A88="",AQ$116=0),"",IF(COUNT(OFFSET(AQ$121,$BB88-1,0,$BA88,1))&gt;1,MAX(OFFSET(AQ$121,$BB88-1,0,$BA88,1))-MIN(OFFSET(AQ$121,$BB88-1,0,$BA88,1)),""))</f>
        <v/>
      </c>
      <c r="AR88" s="29">
        <f>IF(OR($A88="",AR$116=0),"",IF(COUNT(OFFSET(AR$121,$BB88-1,0,$BA88,1))&gt;1,MAX(OFFSET(AR$121,$BB88-1,0,$BA88,1))-MIN(OFFSET(AR$121,$BB88-1,0,$BA88,1)),""))</f>
        <v/>
      </c>
      <c r="AS88" s="29">
        <f>IF(OR($A88="",AS$116=0),"",IF(COUNT(OFFSET(AS$121,$BB88-1,0,$BA88,1))&gt;1,MAX(OFFSET(AS$121,$BB88-1,0,$BA88,1))-MIN(OFFSET(AS$121,$BB88-1,0,$BA88,1)),""))</f>
        <v/>
      </c>
      <c r="AT88" s="29">
        <f>IF(OR($A88="",AT$116=0),"",IF(COUNT(OFFSET(AT$121,$BB88-1,0,$BA88,1))&gt;1,MAX(OFFSET(AT$121,$BB88-1,0,$BA88,1))-MIN(OFFSET(AT$121,$BB88-1,0,$BA88,1)),""))</f>
        <v/>
      </c>
      <c r="AU88" s="29">
        <f>IF(OR($A88="",AU$116=0),"",IF(COUNT(OFFSET(AU$121,$BB88-1,0,$BA88,1))&gt;1,MAX(OFFSET(AU$121,$BB88-1,0,$BA88,1))-MIN(OFFSET(AU$121,$BB88-1,0,$BA88,1)),""))</f>
        <v/>
      </c>
      <c r="AV88" s="29">
        <f>IF(OR($A88="",AV$116=0),"",IF(COUNT(OFFSET(AV$121,$BB88-1,0,$BA88,1))&gt;1,MAX(OFFSET(AV$121,$BB88-1,0,$BA88,1))-MIN(OFFSET(AV$121,$BB88-1,0,$BA88,1)),""))</f>
        <v/>
      </c>
      <c r="AW88" s="29">
        <f>IF(OR($A88="",AW$116=0),"",IF(COUNT(OFFSET(AW$121,$BB88-1,0,$BA88,1))&gt;1,MAX(OFFSET(AW$121,$BB88-1,0,$BA88,1))-MIN(OFFSET(AW$121,$BB88-1,0,$BA88,1)),""))</f>
        <v/>
      </c>
      <c r="AX88" s="29">
        <f>IF(OR($A88="",AX$116=0),"",IF(COUNT(OFFSET(AX$121,$BB88-1,0,$BA88,1))&gt;1,MAX(OFFSET(AX$121,$BB88-1,0,$BA88,1))-MIN(OFFSET(AX$121,$BB88-1,0,$BA88,1)),""))</f>
        <v/>
      </c>
      <c r="AY88" s="29">
        <f>IF(OR($A88="",AY$116=0),"",IF(COUNT(OFFSET(AY$121,$BB88-1,0,$BA88,1))&gt;1,MAX(OFFSET(AY$121,$BB88-1,0,$BA88,1))-MIN(OFFSET(AY$121,$BB88-1,0,$BA88,1)),""))</f>
        <v/>
      </c>
      <c r="BA88" s="28">
        <f>IF($A88="","",COUNTIF($BA$121:$BA$1120,$A88))</f>
        <v/>
      </c>
      <c r="BB88" s="28">
        <f>IF($A88="","",MATCH($A88,$BA$121:$BA$1120,0))</f>
        <v/>
      </c>
      <c r="BC88" s="13">
        <f>IF($A88="","",IF(COUNTIF(OFFSET($BA$121,$BB88-1,0,$BA88,1),$A88)=$BA88,"ja","NEE"))</f>
        <v/>
      </c>
    </row>
    <row r="89">
      <c r="A89" s="13">
        <f>IFERROR(INDEX($BA$121:$BA$1120,MATCH(16,$BB$121:$BB$1120,0)),"")</f>
        <v/>
      </c>
      <c r="B89" s="29">
        <f>IF(OR($A89="",B$116=0),"",IF(COUNT(OFFSET(B$121,$BB89-1,0,$BA89,1))&gt;1,MAX(OFFSET(B$121,$BB89-1,0,$BA89,1))-MIN(OFFSET(B$121,$BB89-1,0,$BA89,1)),""))</f>
        <v/>
      </c>
      <c r="C89" s="29">
        <f>IF(OR($A89="",C$116=0),"",IF(COUNT(OFFSET(C$121,$BB89-1,0,$BA89,1))&gt;1,MAX(OFFSET(C$121,$BB89-1,0,$BA89,1))-MIN(OFFSET(C$121,$BB89-1,0,$BA89,1)),""))</f>
        <v/>
      </c>
      <c r="D89" s="29">
        <f>IF(OR($A89="",D$116=0),"",IF(COUNT(OFFSET(D$121,$BB89-1,0,$BA89,1))&gt;1,MAX(OFFSET(D$121,$BB89-1,0,$BA89,1))-MIN(OFFSET(D$121,$BB89-1,0,$BA89,1)),""))</f>
        <v/>
      </c>
      <c r="E89" s="29">
        <f>IF(OR($A89="",E$116=0),"",IF(COUNT(OFFSET(E$121,$BB89-1,0,$BA89,1))&gt;1,MAX(OFFSET(E$121,$BB89-1,0,$BA89,1))-MIN(OFFSET(E$121,$BB89-1,0,$BA89,1)),""))</f>
        <v/>
      </c>
      <c r="F89" s="29">
        <f>IF(OR($A89="",F$116=0),"",IF(COUNT(OFFSET(F$121,$BB89-1,0,$BA89,1))&gt;1,MAX(OFFSET(F$121,$BB89-1,0,$BA89,1))-MIN(OFFSET(F$121,$BB89-1,0,$BA89,1)),""))</f>
        <v/>
      </c>
      <c r="G89" s="29">
        <f>IF(OR($A89="",G$116=0),"",IF(COUNT(OFFSET(G$121,$BB89-1,0,$BA89,1))&gt;1,MAX(OFFSET(G$121,$BB89-1,0,$BA89,1))-MIN(OFFSET(G$121,$BB89-1,0,$BA89,1)),""))</f>
        <v/>
      </c>
      <c r="H89" s="29">
        <f>IF(OR($A89="",H$116=0),"",IF(COUNT(OFFSET(H$121,$BB89-1,0,$BA89,1))&gt;1,MAX(OFFSET(H$121,$BB89-1,0,$BA89,1))-MIN(OFFSET(H$121,$BB89-1,0,$BA89,1)),""))</f>
        <v/>
      </c>
      <c r="I89" s="29">
        <f>IF(OR($A89="",I$116=0),"",IF(COUNT(OFFSET(I$121,$BB89-1,0,$BA89,1))&gt;1,MAX(OFFSET(I$121,$BB89-1,0,$BA89,1))-MIN(OFFSET(I$121,$BB89-1,0,$BA89,1)),""))</f>
        <v/>
      </c>
      <c r="J89" s="29">
        <f>IF(OR($A89="",J$116=0),"",IF(COUNT(OFFSET(J$121,$BB89-1,0,$BA89,1))&gt;1,MAX(OFFSET(J$121,$BB89-1,0,$BA89,1))-MIN(OFFSET(J$121,$BB89-1,0,$BA89,1)),""))</f>
        <v/>
      </c>
      <c r="K89" s="29">
        <f>IF(OR($A89="",K$116=0),"",IF(COUNT(OFFSET(K$121,$BB89-1,0,$BA89,1))&gt;1,MAX(OFFSET(K$121,$BB89-1,0,$BA89,1))-MIN(OFFSET(K$121,$BB89-1,0,$BA89,1)),""))</f>
        <v/>
      </c>
      <c r="L89" s="29">
        <f>IF(OR($A89="",L$116=0),"",IF(COUNT(OFFSET(L$121,$BB89-1,0,$BA89,1))&gt;1,MAX(OFFSET(L$121,$BB89-1,0,$BA89,1))-MIN(OFFSET(L$121,$BB89-1,0,$BA89,1)),""))</f>
        <v/>
      </c>
      <c r="M89" s="29">
        <f>IF(OR($A89="",M$116=0),"",IF(COUNT(OFFSET(M$121,$BB89-1,0,$BA89,1))&gt;1,MAX(OFFSET(M$121,$BB89-1,0,$BA89,1))-MIN(OFFSET(M$121,$BB89-1,0,$BA89,1)),""))</f>
        <v/>
      </c>
      <c r="N89" s="29">
        <f>IF(OR($A89="",N$116=0),"",IF(COUNT(OFFSET(N$121,$BB89-1,0,$BA89,1))&gt;1,MAX(OFFSET(N$121,$BB89-1,0,$BA89,1))-MIN(OFFSET(N$121,$BB89-1,0,$BA89,1)),""))</f>
        <v/>
      </c>
      <c r="O89" s="29">
        <f>IF(OR($A89="",O$116=0),"",IF(COUNT(OFFSET(O$121,$BB89-1,0,$BA89,1))&gt;1,MAX(OFFSET(O$121,$BB89-1,0,$BA89,1))-MIN(OFFSET(O$121,$BB89-1,0,$BA89,1)),""))</f>
        <v/>
      </c>
      <c r="P89" s="29">
        <f>IF(OR($A89="",P$116=0),"",IF(COUNT(OFFSET(P$121,$BB89-1,0,$BA89,1))&gt;1,MAX(OFFSET(P$121,$BB89-1,0,$BA89,1))-MIN(OFFSET(P$121,$BB89-1,0,$BA89,1)),""))</f>
        <v/>
      </c>
      <c r="Q89" s="29">
        <f>IF(OR($A89="",Q$116=0),"",IF(COUNT(OFFSET(Q$121,$BB89-1,0,$BA89,1))&gt;1,MAX(OFFSET(Q$121,$BB89-1,0,$BA89,1))-MIN(OFFSET(Q$121,$BB89-1,0,$BA89,1)),""))</f>
        <v/>
      </c>
      <c r="R89" s="29">
        <f>IF(OR($A89="",R$116=0),"",IF(COUNT(OFFSET(R$121,$BB89-1,0,$BA89,1))&gt;1,MAX(OFFSET(R$121,$BB89-1,0,$BA89,1))-MIN(OFFSET(R$121,$BB89-1,0,$BA89,1)),""))</f>
        <v/>
      </c>
      <c r="S89" s="29">
        <f>IF(OR($A89="",S$116=0),"",IF(COUNT(OFFSET(S$121,$BB89-1,0,$BA89,1))&gt;1,MAX(OFFSET(S$121,$BB89-1,0,$BA89,1))-MIN(OFFSET(S$121,$BB89-1,0,$BA89,1)),""))</f>
        <v/>
      </c>
      <c r="T89" s="29">
        <f>IF(OR($A89="",T$116=0),"",IF(COUNT(OFFSET(T$121,$BB89-1,0,$BA89,1))&gt;1,MAX(OFFSET(T$121,$BB89-1,0,$BA89,1))-MIN(OFFSET(T$121,$BB89-1,0,$BA89,1)),""))</f>
        <v/>
      </c>
      <c r="U89" s="29">
        <f>IF(OR($A89="",U$116=0),"",IF(COUNT(OFFSET(U$121,$BB89-1,0,$BA89,1))&gt;1,MAX(OFFSET(U$121,$BB89-1,0,$BA89,1))-MIN(OFFSET(U$121,$BB89-1,0,$BA89,1)),""))</f>
        <v/>
      </c>
      <c r="V89" s="29">
        <f>IF(OR($A89="",V$116=0),"",IF(COUNT(OFFSET(V$121,$BB89-1,0,$BA89,1))&gt;1,MAX(OFFSET(V$121,$BB89-1,0,$BA89,1))-MIN(OFFSET(V$121,$BB89-1,0,$BA89,1)),""))</f>
        <v/>
      </c>
      <c r="W89" s="29">
        <f>IF(OR($A89="",W$116=0),"",IF(COUNT(OFFSET(W$121,$BB89-1,0,$BA89,1))&gt;1,MAX(OFFSET(W$121,$BB89-1,0,$BA89,1))-MIN(OFFSET(W$121,$BB89-1,0,$BA89,1)),""))</f>
        <v/>
      </c>
      <c r="X89" s="29">
        <f>IF(OR($A89="",X$116=0),"",IF(COUNT(OFFSET(X$121,$BB89-1,0,$BA89,1))&gt;1,MAX(OFFSET(X$121,$BB89-1,0,$BA89,1))-MIN(OFFSET(X$121,$BB89-1,0,$BA89,1)),""))</f>
        <v/>
      </c>
      <c r="Y89" s="29">
        <f>IF(OR($A89="",Y$116=0),"",IF(COUNT(OFFSET(Y$121,$BB89-1,0,$BA89,1))&gt;1,MAX(OFFSET(Y$121,$BB89-1,0,$BA89,1))-MIN(OFFSET(Y$121,$BB89-1,0,$BA89,1)),""))</f>
        <v/>
      </c>
      <c r="Z89" s="29">
        <f>IF(OR($A89="",Z$116=0),"",IF(COUNT(OFFSET(Z$121,$BB89-1,0,$BA89,1))&gt;1,MAX(OFFSET(Z$121,$BB89-1,0,$BA89,1))-MIN(OFFSET(Z$121,$BB89-1,0,$BA89,1)),""))</f>
        <v/>
      </c>
      <c r="AA89" s="29">
        <f>IF(OR($A89="",AA$116=0),"",IF(COUNT(OFFSET(AA$121,$BB89-1,0,$BA89,1))&gt;1,MAX(OFFSET(AA$121,$BB89-1,0,$BA89,1))-MIN(OFFSET(AA$121,$BB89-1,0,$BA89,1)),""))</f>
        <v/>
      </c>
      <c r="AB89" s="29">
        <f>IF(OR($A89="",AB$116=0),"",IF(COUNT(OFFSET(AB$121,$BB89-1,0,$BA89,1))&gt;1,MAX(OFFSET(AB$121,$BB89-1,0,$BA89,1))-MIN(OFFSET(AB$121,$BB89-1,0,$BA89,1)),""))</f>
        <v/>
      </c>
      <c r="AC89" s="29">
        <f>IF(OR($A89="",AC$116=0),"",IF(COUNT(OFFSET(AC$121,$BB89-1,0,$BA89,1))&gt;1,MAX(OFFSET(AC$121,$BB89-1,0,$BA89,1))-MIN(OFFSET(AC$121,$BB89-1,0,$BA89,1)),""))</f>
        <v/>
      </c>
      <c r="AD89" s="29">
        <f>IF(OR($A89="",AD$116=0),"",IF(COUNT(OFFSET(AD$121,$BB89-1,0,$BA89,1))&gt;1,MAX(OFFSET(AD$121,$BB89-1,0,$BA89,1))-MIN(OFFSET(AD$121,$BB89-1,0,$BA89,1)),""))</f>
        <v/>
      </c>
      <c r="AE89" s="29">
        <f>IF(OR($A89="",AE$116=0),"",IF(COUNT(OFFSET(AE$121,$BB89-1,0,$BA89,1))&gt;1,MAX(OFFSET(AE$121,$BB89-1,0,$BA89,1))-MIN(OFFSET(AE$121,$BB89-1,0,$BA89,1)),""))</f>
        <v/>
      </c>
      <c r="AF89" s="29">
        <f>IF(OR($A89="",AF$116=0),"",IF(COUNT(OFFSET(AF$121,$BB89-1,0,$BA89,1))&gt;1,MAX(OFFSET(AF$121,$BB89-1,0,$BA89,1))-MIN(OFFSET(AF$121,$BB89-1,0,$BA89,1)),""))</f>
        <v/>
      </c>
      <c r="AG89" s="29">
        <f>IF(OR($A89="",AG$116=0),"",IF(COUNT(OFFSET(AG$121,$BB89-1,0,$BA89,1))&gt;1,MAX(OFFSET(AG$121,$BB89-1,0,$BA89,1))-MIN(OFFSET(AG$121,$BB89-1,0,$BA89,1)),""))</f>
        <v/>
      </c>
      <c r="AH89" s="29">
        <f>IF(OR($A89="",AH$116=0),"",IF(COUNT(OFFSET(AH$121,$BB89-1,0,$BA89,1))&gt;1,MAX(OFFSET(AH$121,$BB89-1,0,$BA89,1))-MIN(OFFSET(AH$121,$BB89-1,0,$BA89,1)),""))</f>
        <v/>
      </c>
      <c r="AI89" s="29">
        <f>IF(OR($A89="",AI$116=0),"",IF(COUNT(OFFSET(AI$121,$BB89-1,0,$BA89,1))&gt;1,MAX(OFFSET(AI$121,$BB89-1,0,$BA89,1))-MIN(OFFSET(AI$121,$BB89-1,0,$BA89,1)),""))</f>
        <v/>
      </c>
      <c r="AJ89" s="29">
        <f>IF(OR($A89="",AJ$116=0),"",IF(COUNT(OFFSET(AJ$121,$BB89-1,0,$BA89,1))&gt;1,MAX(OFFSET(AJ$121,$BB89-1,0,$BA89,1))-MIN(OFFSET(AJ$121,$BB89-1,0,$BA89,1)),""))</f>
        <v/>
      </c>
      <c r="AK89" s="29">
        <f>IF(OR($A89="",AK$116=0),"",IF(COUNT(OFFSET(AK$121,$BB89-1,0,$BA89,1))&gt;1,MAX(OFFSET(AK$121,$BB89-1,0,$BA89,1))-MIN(OFFSET(AK$121,$BB89-1,0,$BA89,1)),""))</f>
        <v/>
      </c>
      <c r="AL89" s="29">
        <f>IF(OR($A89="",AL$116=0),"",IF(COUNT(OFFSET(AL$121,$BB89-1,0,$BA89,1))&gt;1,MAX(OFFSET(AL$121,$BB89-1,0,$BA89,1))-MIN(OFFSET(AL$121,$BB89-1,0,$BA89,1)),""))</f>
        <v/>
      </c>
      <c r="AM89" s="29">
        <f>IF(OR($A89="",AM$116=0),"",IF(COUNT(OFFSET(AM$121,$BB89-1,0,$BA89,1))&gt;1,MAX(OFFSET(AM$121,$BB89-1,0,$BA89,1))-MIN(OFFSET(AM$121,$BB89-1,0,$BA89,1)),""))</f>
        <v/>
      </c>
      <c r="AN89" s="29">
        <f>IF(OR($A89="",AN$116=0),"",IF(COUNT(OFFSET(AN$121,$BB89-1,0,$BA89,1))&gt;1,MAX(OFFSET(AN$121,$BB89-1,0,$BA89,1))-MIN(OFFSET(AN$121,$BB89-1,0,$BA89,1)),""))</f>
        <v/>
      </c>
      <c r="AO89" s="29">
        <f>IF(OR($A89="",AO$116=0),"",IF(COUNT(OFFSET(AO$121,$BB89-1,0,$BA89,1))&gt;1,MAX(OFFSET(AO$121,$BB89-1,0,$BA89,1))-MIN(OFFSET(AO$121,$BB89-1,0,$BA89,1)),""))</f>
        <v/>
      </c>
      <c r="AP89" s="29">
        <f>IF(OR($A89="",AP$116=0),"",IF(COUNT(OFFSET(AP$121,$BB89-1,0,$BA89,1))&gt;1,MAX(OFFSET(AP$121,$BB89-1,0,$BA89,1))-MIN(OFFSET(AP$121,$BB89-1,0,$BA89,1)),""))</f>
        <v/>
      </c>
      <c r="AQ89" s="29">
        <f>IF(OR($A89="",AQ$116=0),"",IF(COUNT(OFFSET(AQ$121,$BB89-1,0,$BA89,1))&gt;1,MAX(OFFSET(AQ$121,$BB89-1,0,$BA89,1))-MIN(OFFSET(AQ$121,$BB89-1,0,$BA89,1)),""))</f>
        <v/>
      </c>
      <c r="AR89" s="29">
        <f>IF(OR($A89="",AR$116=0),"",IF(COUNT(OFFSET(AR$121,$BB89-1,0,$BA89,1))&gt;1,MAX(OFFSET(AR$121,$BB89-1,0,$BA89,1))-MIN(OFFSET(AR$121,$BB89-1,0,$BA89,1)),""))</f>
        <v/>
      </c>
      <c r="AS89" s="29">
        <f>IF(OR($A89="",AS$116=0),"",IF(COUNT(OFFSET(AS$121,$BB89-1,0,$BA89,1))&gt;1,MAX(OFFSET(AS$121,$BB89-1,0,$BA89,1))-MIN(OFFSET(AS$121,$BB89-1,0,$BA89,1)),""))</f>
        <v/>
      </c>
      <c r="AT89" s="29">
        <f>IF(OR($A89="",AT$116=0),"",IF(COUNT(OFFSET(AT$121,$BB89-1,0,$BA89,1))&gt;1,MAX(OFFSET(AT$121,$BB89-1,0,$BA89,1))-MIN(OFFSET(AT$121,$BB89-1,0,$BA89,1)),""))</f>
        <v/>
      </c>
      <c r="AU89" s="29">
        <f>IF(OR($A89="",AU$116=0),"",IF(COUNT(OFFSET(AU$121,$BB89-1,0,$BA89,1))&gt;1,MAX(OFFSET(AU$121,$BB89-1,0,$BA89,1))-MIN(OFFSET(AU$121,$BB89-1,0,$BA89,1)),""))</f>
        <v/>
      </c>
      <c r="AV89" s="29">
        <f>IF(OR($A89="",AV$116=0),"",IF(COUNT(OFFSET(AV$121,$BB89-1,0,$BA89,1))&gt;1,MAX(OFFSET(AV$121,$BB89-1,0,$BA89,1))-MIN(OFFSET(AV$121,$BB89-1,0,$BA89,1)),""))</f>
        <v/>
      </c>
      <c r="AW89" s="29">
        <f>IF(OR($A89="",AW$116=0),"",IF(COUNT(OFFSET(AW$121,$BB89-1,0,$BA89,1))&gt;1,MAX(OFFSET(AW$121,$BB89-1,0,$BA89,1))-MIN(OFFSET(AW$121,$BB89-1,0,$BA89,1)),""))</f>
        <v/>
      </c>
      <c r="AX89" s="29">
        <f>IF(OR($A89="",AX$116=0),"",IF(COUNT(OFFSET(AX$121,$BB89-1,0,$BA89,1))&gt;1,MAX(OFFSET(AX$121,$BB89-1,0,$BA89,1))-MIN(OFFSET(AX$121,$BB89-1,0,$BA89,1)),""))</f>
        <v/>
      </c>
      <c r="AY89" s="29">
        <f>IF(OR($A89="",AY$116=0),"",IF(COUNT(OFFSET(AY$121,$BB89-1,0,$BA89,1))&gt;1,MAX(OFFSET(AY$121,$BB89-1,0,$BA89,1))-MIN(OFFSET(AY$121,$BB89-1,0,$BA89,1)),""))</f>
        <v/>
      </c>
      <c r="BA89" s="28">
        <f>IF($A89="","",COUNTIF($BA$121:$BA$1120,$A89))</f>
        <v/>
      </c>
      <c r="BB89" s="28">
        <f>IF($A89="","",MATCH($A89,$BA$121:$BA$1120,0))</f>
        <v/>
      </c>
      <c r="BC89" s="13">
        <f>IF($A89="","",IF(COUNTIF(OFFSET($BA$121,$BB89-1,0,$BA89,1),$A89)=$BA89,"ja","NEE"))</f>
        <v/>
      </c>
    </row>
    <row r="90">
      <c r="A90" s="13">
        <f>IFERROR(INDEX($BA$121:$BA$1120,MATCH(17,$BB$121:$BB$1120,0)),"")</f>
        <v/>
      </c>
      <c r="B90" s="29">
        <f>IF(OR($A90="",B$116=0),"",IF(COUNT(OFFSET(B$121,$BB90-1,0,$BA90,1))&gt;1,MAX(OFFSET(B$121,$BB90-1,0,$BA90,1))-MIN(OFFSET(B$121,$BB90-1,0,$BA90,1)),""))</f>
        <v/>
      </c>
      <c r="C90" s="29">
        <f>IF(OR($A90="",C$116=0),"",IF(COUNT(OFFSET(C$121,$BB90-1,0,$BA90,1))&gt;1,MAX(OFFSET(C$121,$BB90-1,0,$BA90,1))-MIN(OFFSET(C$121,$BB90-1,0,$BA90,1)),""))</f>
        <v/>
      </c>
      <c r="D90" s="29">
        <f>IF(OR($A90="",D$116=0),"",IF(COUNT(OFFSET(D$121,$BB90-1,0,$BA90,1))&gt;1,MAX(OFFSET(D$121,$BB90-1,0,$BA90,1))-MIN(OFFSET(D$121,$BB90-1,0,$BA90,1)),""))</f>
        <v/>
      </c>
      <c r="E90" s="29">
        <f>IF(OR($A90="",E$116=0),"",IF(COUNT(OFFSET(E$121,$BB90-1,0,$BA90,1))&gt;1,MAX(OFFSET(E$121,$BB90-1,0,$BA90,1))-MIN(OFFSET(E$121,$BB90-1,0,$BA90,1)),""))</f>
        <v/>
      </c>
      <c r="F90" s="29">
        <f>IF(OR($A90="",F$116=0),"",IF(COUNT(OFFSET(F$121,$BB90-1,0,$BA90,1))&gt;1,MAX(OFFSET(F$121,$BB90-1,0,$BA90,1))-MIN(OFFSET(F$121,$BB90-1,0,$BA90,1)),""))</f>
        <v/>
      </c>
      <c r="G90" s="29">
        <f>IF(OR($A90="",G$116=0),"",IF(COUNT(OFFSET(G$121,$BB90-1,0,$BA90,1))&gt;1,MAX(OFFSET(G$121,$BB90-1,0,$BA90,1))-MIN(OFFSET(G$121,$BB90-1,0,$BA90,1)),""))</f>
        <v/>
      </c>
      <c r="H90" s="29">
        <f>IF(OR($A90="",H$116=0),"",IF(COUNT(OFFSET(H$121,$BB90-1,0,$BA90,1))&gt;1,MAX(OFFSET(H$121,$BB90-1,0,$BA90,1))-MIN(OFFSET(H$121,$BB90-1,0,$BA90,1)),""))</f>
        <v/>
      </c>
      <c r="I90" s="29">
        <f>IF(OR($A90="",I$116=0),"",IF(COUNT(OFFSET(I$121,$BB90-1,0,$BA90,1))&gt;1,MAX(OFFSET(I$121,$BB90-1,0,$BA90,1))-MIN(OFFSET(I$121,$BB90-1,0,$BA90,1)),""))</f>
        <v/>
      </c>
      <c r="J90" s="29">
        <f>IF(OR($A90="",J$116=0),"",IF(COUNT(OFFSET(J$121,$BB90-1,0,$BA90,1))&gt;1,MAX(OFFSET(J$121,$BB90-1,0,$BA90,1))-MIN(OFFSET(J$121,$BB90-1,0,$BA90,1)),""))</f>
        <v/>
      </c>
      <c r="K90" s="29">
        <f>IF(OR($A90="",K$116=0),"",IF(COUNT(OFFSET(K$121,$BB90-1,0,$BA90,1))&gt;1,MAX(OFFSET(K$121,$BB90-1,0,$BA90,1))-MIN(OFFSET(K$121,$BB90-1,0,$BA90,1)),""))</f>
        <v/>
      </c>
      <c r="L90" s="29">
        <f>IF(OR($A90="",L$116=0),"",IF(COUNT(OFFSET(L$121,$BB90-1,0,$BA90,1))&gt;1,MAX(OFFSET(L$121,$BB90-1,0,$BA90,1))-MIN(OFFSET(L$121,$BB90-1,0,$BA90,1)),""))</f>
        <v/>
      </c>
      <c r="M90" s="29">
        <f>IF(OR($A90="",M$116=0),"",IF(COUNT(OFFSET(M$121,$BB90-1,0,$BA90,1))&gt;1,MAX(OFFSET(M$121,$BB90-1,0,$BA90,1))-MIN(OFFSET(M$121,$BB90-1,0,$BA90,1)),""))</f>
        <v/>
      </c>
      <c r="N90" s="29">
        <f>IF(OR($A90="",N$116=0),"",IF(COUNT(OFFSET(N$121,$BB90-1,0,$BA90,1))&gt;1,MAX(OFFSET(N$121,$BB90-1,0,$BA90,1))-MIN(OFFSET(N$121,$BB90-1,0,$BA90,1)),""))</f>
        <v/>
      </c>
      <c r="O90" s="29">
        <f>IF(OR($A90="",O$116=0),"",IF(COUNT(OFFSET(O$121,$BB90-1,0,$BA90,1))&gt;1,MAX(OFFSET(O$121,$BB90-1,0,$BA90,1))-MIN(OFFSET(O$121,$BB90-1,0,$BA90,1)),""))</f>
        <v/>
      </c>
      <c r="P90" s="29">
        <f>IF(OR($A90="",P$116=0),"",IF(COUNT(OFFSET(P$121,$BB90-1,0,$BA90,1))&gt;1,MAX(OFFSET(P$121,$BB90-1,0,$BA90,1))-MIN(OFFSET(P$121,$BB90-1,0,$BA90,1)),""))</f>
        <v/>
      </c>
      <c r="Q90" s="29">
        <f>IF(OR($A90="",Q$116=0),"",IF(COUNT(OFFSET(Q$121,$BB90-1,0,$BA90,1))&gt;1,MAX(OFFSET(Q$121,$BB90-1,0,$BA90,1))-MIN(OFFSET(Q$121,$BB90-1,0,$BA90,1)),""))</f>
        <v/>
      </c>
      <c r="R90" s="29">
        <f>IF(OR($A90="",R$116=0),"",IF(COUNT(OFFSET(R$121,$BB90-1,0,$BA90,1))&gt;1,MAX(OFFSET(R$121,$BB90-1,0,$BA90,1))-MIN(OFFSET(R$121,$BB90-1,0,$BA90,1)),""))</f>
        <v/>
      </c>
      <c r="S90" s="29">
        <f>IF(OR($A90="",S$116=0),"",IF(COUNT(OFFSET(S$121,$BB90-1,0,$BA90,1))&gt;1,MAX(OFFSET(S$121,$BB90-1,0,$BA90,1))-MIN(OFFSET(S$121,$BB90-1,0,$BA90,1)),""))</f>
        <v/>
      </c>
      <c r="T90" s="29">
        <f>IF(OR($A90="",T$116=0),"",IF(COUNT(OFFSET(T$121,$BB90-1,0,$BA90,1))&gt;1,MAX(OFFSET(T$121,$BB90-1,0,$BA90,1))-MIN(OFFSET(T$121,$BB90-1,0,$BA90,1)),""))</f>
        <v/>
      </c>
      <c r="U90" s="29">
        <f>IF(OR($A90="",U$116=0),"",IF(COUNT(OFFSET(U$121,$BB90-1,0,$BA90,1))&gt;1,MAX(OFFSET(U$121,$BB90-1,0,$BA90,1))-MIN(OFFSET(U$121,$BB90-1,0,$BA90,1)),""))</f>
        <v/>
      </c>
      <c r="V90" s="29">
        <f>IF(OR($A90="",V$116=0),"",IF(COUNT(OFFSET(V$121,$BB90-1,0,$BA90,1))&gt;1,MAX(OFFSET(V$121,$BB90-1,0,$BA90,1))-MIN(OFFSET(V$121,$BB90-1,0,$BA90,1)),""))</f>
        <v/>
      </c>
      <c r="W90" s="29">
        <f>IF(OR($A90="",W$116=0),"",IF(COUNT(OFFSET(W$121,$BB90-1,0,$BA90,1))&gt;1,MAX(OFFSET(W$121,$BB90-1,0,$BA90,1))-MIN(OFFSET(W$121,$BB90-1,0,$BA90,1)),""))</f>
        <v/>
      </c>
      <c r="X90" s="29">
        <f>IF(OR($A90="",X$116=0),"",IF(COUNT(OFFSET(X$121,$BB90-1,0,$BA90,1))&gt;1,MAX(OFFSET(X$121,$BB90-1,0,$BA90,1))-MIN(OFFSET(X$121,$BB90-1,0,$BA90,1)),""))</f>
        <v/>
      </c>
      <c r="Y90" s="29">
        <f>IF(OR($A90="",Y$116=0),"",IF(COUNT(OFFSET(Y$121,$BB90-1,0,$BA90,1))&gt;1,MAX(OFFSET(Y$121,$BB90-1,0,$BA90,1))-MIN(OFFSET(Y$121,$BB90-1,0,$BA90,1)),""))</f>
        <v/>
      </c>
      <c r="Z90" s="29">
        <f>IF(OR($A90="",Z$116=0),"",IF(COUNT(OFFSET(Z$121,$BB90-1,0,$BA90,1))&gt;1,MAX(OFFSET(Z$121,$BB90-1,0,$BA90,1))-MIN(OFFSET(Z$121,$BB90-1,0,$BA90,1)),""))</f>
        <v/>
      </c>
      <c r="AA90" s="29">
        <f>IF(OR($A90="",AA$116=0),"",IF(COUNT(OFFSET(AA$121,$BB90-1,0,$BA90,1))&gt;1,MAX(OFFSET(AA$121,$BB90-1,0,$BA90,1))-MIN(OFFSET(AA$121,$BB90-1,0,$BA90,1)),""))</f>
        <v/>
      </c>
      <c r="AB90" s="29">
        <f>IF(OR($A90="",AB$116=0),"",IF(COUNT(OFFSET(AB$121,$BB90-1,0,$BA90,1))&gt;1,MAX(OFFSET(AB$121,$BB90-1,0,$BA90,1))-MIN(OFFSET(AB$121,$BB90-1,0,$BA90,1)),""))</f>
        <v/>
      </c>
      <c r="AC90" s="29">
        <f>IF(OR($A90="",AC$116=0),"",IF(COUNT(OFFSET(AC$121,$BB90-1,0,$BA90,1))&gt;1,MAX(OFFSET(AC$121,$BB90-1,0,$BA90,1))-MIN(OFFSET(AC$121,$BB90-1,0,$BA90,1)),""))</f>
        <v/>
      </c>
      <c r="AD90" s="29">
        <f>IF(OR($A90="",AD$116=0),"",IF(COUNT(OFFSET(AD$121,$BB90-1,0,$BA90,1))&gt;1,MAX(OFFSET(AD$121,$BB90-1,0,$BA90,1))-MIN(OFFSET(AD$121,$BB90-1,0,$BA90,1)),""))</f>
        <v/>
      </c>
      <c r="AE90" s="29">
        <f>IF(OR($A90="",AE$116=0),"",IF(COUNT(OFFSET(AE$121,$BB90-1,0,$BA90,1))&gt;1,MAX(OFFSET(AE$121,$BB90-1,0,$BA90,1))-MIN(OFFSET(AE$121,$BB90-1,0,$BA90,1)),""))</f>
        <v/>
      </c>
      <c r="AF90" s="29">
        <f>IF(OR($A90="",AF$116=0),"",IF(COUNT(OFFSET(AF$121,$BB90-1,0,$BA90,1))&gt;1,MAX(OFFSET(AF$121,$BB90-1,0,$BA90,1))-MIN(OFFSET(AF$121,$BB90-1,0,$BA90,1)),""))</f>
        <v/>
      </c>
      <c r="AG90" s="29">
        <f>IF(OR($A90="",AG$116=0),"",IF(COUNT(OFFSET(AG$121,$BB90-1,0,$BA90,1))&gt;1,MAX(OFFSET(AG$121,$BB90-1,0,$BA90,1))-MIN(OFFSET(AG$121,$BB90-1,0,$BA90,1)),""))</f>
        <v/>
      </c>
      <c r="AH90" s="29">
        <f>IF(OR($A90="",AH$116=0),"",IF(COUNT(OFFSET(AH$121,$BB90-1,0,$BA90,1))&gt;1,MAX(OFFSET(AH$121,$BB90-1,0,$BA90,1))-MIN(OFFSET(AH$121,$BB90-1,0,$BA90,1)),""))</f>
        <v/>
      </c>
      <c r="AI90" s="29">
        <f>IF(OR($A90="",AI$116=0),"",IF(COUNT(OFFSET(AI$121,$BB90-1,0,$BA90,1))&gt;1,MAX(OFFSET(AI$121,$BB90-1,0,$BA90,1))-MIN(OFFSET(AI$121,$BB90-1,0,$BA90,1)),""))</f>
        <v/>
      </c>
      <c r="AJ90" s="29">
        <f>IF(OR($A90="",AJ$116=0),"",IF(COUNT(OFFSET(AJ$121,$BB90-1,0,$BA90,1))&gt;1,MAX(OFFSET(AJ$121,$BB90-1,0,$BA90,1))-MIN(OFFSET(AJ$121,$BB90-1,0,$BA90,1)),""))</f>
        <v/>
      </c>
      <c r="AK90" s="29">
        <f>IF(OR($A90="",AK$116=0),"",IF(COUNT(OFFSET(AK$121,$BB90-1,0,$BA90,1))&gt;1,MAX(OFFSET(AK$121,$BB90-1,0,$BA90,1))-MIN(OFFSET(AK$121,$BB90-1,0,$BA90,1)),""))</f>
        <v/>
      </c>
      <c r="AL90" s="29">
        <f>IF(OR($A90="",AL$116=0),"",IF(COUNT(OFFSET(AL$121,$BB90-1,0,$BA90,1))&gt;1,MAX(OFFSET(AL$121,$BB90-1,0,$BA90,1))-MIN(OFFSET(AL$121,$BB90-1,0,$BA90,1)),""))</f>
        <v/>
      </c>
      <c r="AM90" s="29">
        <f>IF(OR($A90="",AM$116=0),"",IF(COUNT(OFFSET(AM$121,$BB90-1,0,$BA90,1))&gt;1,MAX(OFFSET(AM$121,$BB90-1,0,$BA90,1))-MIN(OFFSET(AM$121,$BB90-1,0,$BA90,1)),""))</f>
        <v/>
      </c>
      <c r="AN90" s="29">
        <f>IF(OR($A90="",AN$116=0),"",IF(COUNT(OFFSET(AN$121,$BB90-1,0,$BA90,1))&gt;1,MAX(OFFSET(AN$121,$BB90-1,0,$BA90,1))-MIN(OFFSET(AN$121,$BB90-1,0,$BA90,1)),""))</f>
        <v/>
      </c>
      <c r="AO90" s="29">
        <f>IF(OR($A90="",AO$116=0),"",IF(COUNT(OFFSET(AO$121,$BB90-1,0,$BA90,1))&gt;1,MAX(OFFSET(AO$121,$BB90-1,0,$BA90,1))-MIN(OFFSET(AO$121,$BB90-1,0,$BA90,1)),""))</f>
        <v/>
      </c>
      <c r="AP90" s="29">
        <f>IF(OR($A90="",AP$116=0),"",IF(COUNT(OFFSET(AP$121,$BB90-1,0,$BA90,1))&gt;1,MAX(OFFSET(AP$121,$BB90-1,0,$BA90,1))-MIN(OFFSET(AP$121,$BB90-1,0,$BA90,1)),""))</f>
        <v/>
      </c>
      <c r="AQ90" s="29">
        <f>IF(OR($A90="",AQ$116=0),"",IF(COUNT(OFFSET(AQ$121,$BB90-1,0,$BA90,1))&gt;1,MAX(OFFSET(AQ$121,$BB90-1,0,$BA90,1))-MIN(OFFSET(AQ$121,$BB90-1,0,$BA90,1)),""))</f>
        <v/>
      </c>
      <c r="AR90" s="29">
        <f>IF(OR($A90="",AR$116=0),"",IF(COUNT(OFFSET(AR$121,$BB90-1,0,$BA90,1))&gt;1,MAX(OFFSET(AR$121,$BB90-1,0,$BA90,1))-MIN(OFFSET(AR$121,$BB90-1,0,$BA90,1)),""))</f>
        <v/>
      </c>
      <c r="AS90" s="29">
        <f>IF(OR($A90="",AS$116=0),"",IF(COUNT(OFFSET(AS$121,$BB90-1,0,$BA90,1))&gt;1,MAX(OFFSET(AS$121,$BB90-1,0,$BA90,1))-MIN(OFFSET(AS$121,$BB90-1,0,$BA90,1)),""))</f>
        <v/>
      </c>
      <c r="AT90" s="29">
        <f>IF(OR($A90="",AT$116=0),"",IF(COUNT(OFFSET(AT$121,$BB90-1,0,$BA90,1))&gt;1,MAX(OFFSET(AT$121,$BB90-1,0,$BA90,1))-MIN(OFFSET(AT$121,$BB90-1,0,$BA90,1)),""))</f>
        <v/>
      </c>
      <c r="AU90" s="29">
        <f>IF(OR($A90="",AU$116=0),"",IF(COUNT(OFFSET(AU$121,$BB90-1,0,$BA90,1))&gt;1,MAX(OFFSET(AU$121,$BB90-1,0,$BA90,1))-MIN(OFFSET(AU$121,$BB90-1,0,$BA90,1)),""))</f>
        <v/>
      </c>
      <c r="AV90" s="29">
        <f>IF(OR($A90="",AV$116=0),"",IF(COUNT(OFFSET(AV$121,$BB90-1,0,$BA90,1))&gt;1,MAX(OFFSET(AV$121,$BB90-1,0,$BA90,1))-MIN(OFFSET(AV$121,$BB90-1,0,$BA90,1)),""))</f>
        <v/>
      </c>
      <c r="AW90" s="29">
        <f>IF(OR($A90="",AW$116=0),"",IF(COUNT(OFFSET(AW$121,$BB90-1,0,$BA90,1))&gt;1,MAX(OFFSET(AW$121,$BB90-1,0,$BA90,1))-MIN(OFFSET(AW$121,$BB90-1,0,$BA90,1)),""))</f>
        <v/>
      </c>
      <c r="AX90" s="29">
        <f>IF(OR($A90="",AX$116=0),"",IF(COUNT(OFFSET(AX$121,$BB90-1,0,$BA90,1))&gt;1,MAX(OFFSET(AX$121,$BB90-1,0,$BA90,1))-MIN(OFFSET(AX$121,$BB90-1,0,$BA90,1)),""))</f>
        <v/>
      </c>
      <c r="AY90" s="29">
        <f>IF(OR($A90="",AY$116=0),"",IF(COUNT(OFFSET(AY$121,$BB90-1,0,$BA90,1))&gt;1,MAX(OFFSET(AY$121,$BB90-1,0,$BA90,1))-MIN(OFFSET(AY$121,$BB90-1,0,$BA90,1)),""))</f>
        <v/>
      </c>
      <c r="BA90" s="28">
        <f>IF($A90="","",COUNTIF($BA$121:$BA$1120,$A90))</f>
        <v/>
      </c>
      <c r="BB90" s="28">
        <f>IF($A90="","",MATCH($A90,$BA$121:$BA$1120,0))</f>
        <v/>
      </c>
      <c r="BC90" s="13">
        <f>IF($A90="","",IF(COUNTIF(OFFSET($BA$121,$BB90-1,0,$BA90,1),$A90)=$BA90,"ja","NEE"))</f>
        <v/>
      </c>
    </row>
    <row r="91">
      <c r="A91" s="13">
        <f>IFERROR(INDEX($BA$121:$BA$1120,MATCH(18,$BB$121:$BB$1120,0)),"")</f>
        <v/>
      </c>
      <c r="B91" s="29">
        <f>IF(OR($A91="",B$116=0),"",IF(COUNT(OFFSET(B$121,$BB91-1,0,$BA91,1))&gt;1,MAX(OFFSET(B$121,$BB91-1,0,$BA91,1))-MIN(OFFSET(B$121,$BB91-1,0,$BA91,1)),""))</f>
        <v/>
      </c>
      <c r="C91" s="29">
        <f>IF(OR($A91="",C$116=0),"",IF(COUNT(OFFSET(C$121,$BB91-1,0,$BA91,1))&gt;1,MAX(OFFSET(C$121,$BB91-1,0,$BA91,1))-MIN(OFFSET(C$121,$BB91-1,0,$BA91,1)),""))</f>
        <v/>
      </c>
      <c r="D91" s="29">
        <f>IF(OR($A91="",D$116=0),"",IF(COUNT(OFFSET(D$121,$BB91-1,0,$BA91,1))&gt;1,MAX(OFFSET(D$121,$BB91-1,0,$BA91,1))-MIN(OFFSET(D$121,$BB91-1,0,$BA91,1)),""))</f>
        <v/>
      </c>
      <c r="E91" s="29">
        <f>IF(OR($A91="",E$116=0),"",IF(COUNT(OFFSET(E$121,$BB91-1,0,$BA91,1))&gt;1,MAX(OFFSET(E$121,$BB91-1,0,$BA91,1))-MIN(OFFSET(E$121,$BB91-1,0,$BA91,1)),""))</f>
        <v/>
      </c>
      <c r="F91" s="29">
        <f>IF(OR($A91="",F$116=0),"",IF(COUNT(OFFSET(F$121,$BB91-1,0,$BA91,1))&gt;1,MAX(OFFSET(F$121,$BB91-1,0,$BA91,1))-MIN(OFFSET(F$121,$BB91-1,0,$BA91,1)),""))</f>
        <v/>
      </c>
      <c r="G91" s="29">
        <f>IF(OR($A91="",G$116=0),"",IF(COUNT(OFFSET(G$121,$BB91-1,0,$BA91,1))&gt;1,MAX(OFFSET(G$121,$BB91-1,0,$BA91,1))-MIN(OFFSET(G$121,$BB91-1,0,$BA91,1)),""))</f>
        <v/>
      </c>
      <c r="H91" s="29">
        <f>IF(OR($A91="",H$116=0),"",IF(COUNT(OFFSET(H$121,$BB91-1,0,$BA91,1))&gt;1,MAX(OFFSET(H$121,$BB91-1,0,$BA91,1))-MIN(OFFSET(H$121,$BB91-1,0,$BA91,1)),""))</f>
        <v/>
      </c>
      <c r="I91" s="29">
        <f>IF(OR($A91="",I$116=0),"",IF(COUNT(OFFSET(I$121,$BB91-1,0,$BA91,1))&gt;1,MAX(OFFSET(I$121,$BB91-1,0,$BA91,1))-MIN(OFFSET(I$121,$BB91-1,0,$BA91,1)),""))</f>
        <v/>
      </c>
      <c r="J91" s="29">
        <f>IF(OR($A91="",J$116=0),"",IF(COUNT(OFFSET(J$121,$BB91-1,0,$BA91,1))&gt;1,MAX(OFFSET(J$121,$BB91-1,0,$BA91,1))-MIN(OFFSET(J$121,$BB91-1,0,$BA91,1)),""))</f>
        <v/>
      </c>
      <c r="K91" s="29">
        <f>IF(OR($A91="",K$116=0),"",IF(COUNT(OFFSET(K$121,$BB91-1,0,$BA91,1))&gt;1,MAX(OFFSET(K$121,$BB91-1,0,$BA91,1))-MIN(OFFSET(K$121,$BB91-1,0,$BA91,1)),""))</f>
        <v/>
      </c>
      <c r="L91" s="29">
        <f>IF(OR($A91="",L$116=0),"",IF(COUNT(OFFSET(L$121,$BB91-1,0,$BA91,1))&gt;1,MAX(OFFSET(L$121,$BB91-1,0,$BA91,1))-MIN(OFFSET(L$121,$BB91-1,0,$BA91,1)),""))</f>
        <v/>
      </c>
      <c r="M91" s="29">
        <f>IF(OR($A91="",M$116=0),"",IF(COUNT(OFFSET(M$121,$BB91-1,0,$BA91,1))&gt;1,MAX(OFFSET(M$121,$BB91-1,0,$BA91,1))-MIN(OFFSET(M$121,$BB91-1,0,$BA91,1)),""))</f>
        <v/>
      </c>
      <c r="N91" s="29">
        <f>IF(OR($A91="",N$116=0),"",IF(COUNT(OFFSET(N$121,$BB91-1,0,$BA91,1))&gt;1,MAX(OFFSET(N$121,$BB91-1,0,$BA91,1))-MIN(OFFSET(N$121,$BB91-1,0,$BA91,1)),""))</f>
        <v/>
      </c>
      <c r="O91" s="29">
        <f>IF(OR($A91="",O$116=0),"",IF(COUNT(OFFSET(O$121,$BB91-1,0,$BA91,1))&gt;1,MAX(OFFSET(O$121,$BB91-1,0,$BA91,1))-MIN(OFFSET(O$121,$BB91-1,0,$BA91,1)),""))</f>
        <v/>
      </c>
      <c r="P91" s="29">
        <f>IF(OR($A91="",P$116=0),"",IF(COUNT(OFFSET(P$121,$BB91-1,0,$BA91,1))&gt;1,MAX(OFFSET(P$121,$BB91-1,0,$BA91,1))-MIN(OFFSET(P$121,$BB91-1,0,$BA91,1)),""))</f>
        <v/>
      </c>
      <c r="Q91" s="29">
        <f>IF(OR($A91="",Q$116=0),"",IF(COUNT(OFFSET(Q$121,$BB91-1,0,$BA91,1))&gt;1,MAX(OFFSET(Q$121,$BB91-1,0,$BA91,1))-MIN(OFFSET(Q$121,$BB91-1,0,$BA91,1)),""))</f>
        <v/>
      </c>
      <c r="R91" s="29">
        <f>IF(OR($A91="",R$116=0),"",IF(COUNT(OFFSET(R$121,$BB91-1,0,$BA91,1))&gt;1,MAX(OFFSET(R$121,$BB91-1,0,$BA91,1))-MIN(OFFSET(R$121,$BB91-1,0,$BA91,1)),""))</f>
        <v/>
      </c>
      <c r="S91" s="29">
        <f>IF(OR($A91="",S$116=0),"",IF(COUNT(OFFSET(S$121,$BB91-1,0,$BA91,1))&gt;1,MAX(OFFSET(S$121,$BB91-1,0,$BA91,1))-MIN(OFFSET(S$121,$BB91-1,0,$BA91,1)),""))</f>
        <v/>
      </c>
      <c r="T91" s="29">
        <f>IF(OR($A91="",T$116=0),"",IF(COUNT(OFFSET(T$121,$BB91-1,0,$BA91,1))&gt;1,MAX(OFFSET(T$121,$BB91-1,0,$BA91,1))-MIN(OFFSET(T$121,$BB91-1,0,$BA91,1)),""))</f>
        <v/>
      </c>
      <c r="U91" s="29">
        <f>IF(OR($A91="",U$116=0),"",IF(COUNT(OFFSET(U$121,$BB91-1,0,$BA91,1))&gt;1,MAX(OFFSET(U$121,$BB91-1,0,$BA91,1))-MIN(OFFSET(U$121,$BB91-1,0,$BA91,1)),""))</f>
        <v/>
      </c>
      <c r="V91" s="29">
        <f>IF(OR($A91="",V$116=0),"",IF(COUNT(OFFSET(V$121,$BB91-1,0,$BA91,1))&gt;1,MAX(OFFSET(V$121,$BB91-1,0,$BA91,1))-MIN(OFFSET(V$121,$BB91-1,0,$BA91,1)),""))</f>
        <v/>
      </c>
      <c r="W91" s="29">
        <f>IF(OR($A91="",W$116=0),"",IF(COUNT(OFFSET(W$121,$BB91-1,0,$BA91,1))&gt;1,MAX(OFFSET(W$121,$BB91-1,0,$BA91,1))-MIN(OFFSET(W$121,$BB91-1,0,$BA91,1)),""))</f>
        <v/>
      </c>
      <c r="X91" s="29">
        <f>IF(OR($A91="",X$116=0),"",IF(COUNT(OFFSET(X$121,$BB91-1,0,$BA91,1))&gt;1,MAX(OFFSET(X$121,$BB91-1,0,$BA91,1))-MIN(OFFSET(X$121,$BB91-1,0,$BA91,1)),""))</f>
        <v/>
      </c>
      <c r="Y91" s="29">
        <f>IF(OR($A91="",Y$116=0),"",IF(COUNT(OFFSET(Y$121,$BB91-1,0,$BA91,1))&gt;1,MAX(OFFSET(Y$121,$BB91-1,0,$BA91,1))-MIN(OFFSET(Y$121,$BB91-1,0,$BA91,1)),""))</f>
        <v/>
      </c>
      <c r="Z91" s="29">
        <f>IF(OR($A91="",Z$116=0),"",IF(COUNT(OFFSET(Z$121,$BB91-1,0,$BA91,1))&gt;1,MAX(OFFSET(Z$121,$BB91-1,0,$BA91,1))-MIN(OFFSET(Z$121,$BB91-1,0,$BA91,1)),""))</f>
        <v/>
      </c>
      <c r="AA91" s="29">
        <f>IF(OR($A91="",AA$116=0),"",IF(COUNT(OFFSET(AA$121,$BB91-1,0,$BA91,1))&gt;1,MAX(OFFSET(AA$121,$BB91-1,0,$BA91,1))-MIN(OFFSET(AA$121,$BB91-1,0,$BA91,1)),""))</f>
        <v/>
      </c>
      <c r="AB91" s="29">
        <f>IF(OR($A91="",AB$116=0),"",IF(COUNT(OFFSET(AB$121,$BB91-1,0,$BA91,1))&gt;1,MAX(OFFSET(AB$121,$BB91-1,0,$BA91,1))-MIN(OFFSET(AB$121,$BB91-1,0,$BA91,1)),""))</f>
        <v/>
      </c>
      <c r="AC91" s="29">
        <f>IF(OR($A91="",AC$116=0),"",IF(COUNT(OFFSET(AC$121,$BB91-1,0,$BA91,1))&gt;1,MAX(OFFSET(AC$121,$BB91-1,0,$BA91,1))-MIN(OFFSET(AC$121,$BB91-1,0,$BA91,1)),""))</f>
        <v/>
      </c>
      <c r="AD91" s="29">
        <f>IF(OR($A91="",AD$116=0),"",IF(COUNT(OFFSET(AD$121,$BB91-1,0,$BA91,1))&gt;1,MAX(OFFSET(AD$121,$BB91-1,0,$BA91,1))-MIN(OFFSET(AD$121,$BB91-1,0,$BA91,1)),""))</f>
        <v/>
      </c>
      <c r="AE91" s="29">
        <f>IF(OR($A91="",AE$116=0),"",IF(COUNT(OFFSET(AE$121,$BB91-1,0,$BA91,1))&gt;1,MAX(OFFSET(AE$121,$BB91-1,0,$BA91,1))-MIN(OFFSET(AE$121,$BB91-1,0,$BA91,1)),""))</f>
        <v/>
      </c>
      <c r="AF91" s="29">
        <f>IF(OR($A91="",AF$116=0),"",IF(COUNT(OFFSET(AF$121,$BB91-1,0,$BA91,1))&gt;1,MAX(OFFSET(AF$121,$BB91-1,0,$BA91,1))-MIN(OFFSET(AF$121,$BB91-1,0,$BA91,1)),""))</f>
        <v/>
      </c>
      <c r="AG91" s="29">
        <f>IF(OR($A91="",AG$116=0),"",IF(COUNT(OFFSET(AG$121,$BB91-1,0,$BA91,1))&gt;1,MAX(OFFSET(AG$121,$BB91-1,0,$BA91,1))-MIN(OFFSET(AG$121,$BB91-1,0,$BA91,1)),""))</f>
        <v/>
      </c>
      <c r="AH91" s="29">
        <f>IF(OR($A91="",AH$116=0),"",IF(COUNT(OFFSET(AH$121,$BB91-1,0,$BA91,1))&gt;1,MAX(OFFSET(AH$121,$BB91-1,0,$BA91,1))-MIN(OFFSET(AH$121,$BB91-1,0,$BA91,1)),""))</f>
        <v/>
      </c>
      <c r="AI91" s="29">
        <f>IF(OR($A91="",AI$116=0),"",IF(COUNT(OFFSET(AI$121,$BB91-1,0,$BA91,1))&gt;1,MAX(OFFSET(AI$121,$BB91-1,0,$BA91,1))-MIN(OFFSET(AI$121,$BB91-1,0,$BA91,1)),""))</f>
        <v/>
      </c>
      <c r="AJ91" s="29">
        <f>IF(OR($A91="",AJ$116=0),"",IF(COUNT(OFFSET(AJ$121,$BB91-1,0,$BA91,1))&gt;1,MAX(OFFSET(AJ$121,$BB91-1,0,$BA91,1))-MIN(OFFSET(AJ$121,$BB91-1,0,$BA91,1)),""))</f>
        <v/>
      </c>
      <c r="AK91" s="29">
        <f>IF(OR($A91="",AK$116=0),"",IF(COUNT(OFFSET(AK$121,$BB91-1,0,$BA91,1))&gt;1,MAX(OFFSET(AK$121,$BB91-1,0,$BA91,1))-MIN(OFFSET(AK$121,$BB91-1,0,$BA91,1)),""))</f>
        <v/>
      </c>
      <c r="AL91" s="29">
        <f>IF(OR($A91="",AL$116=0),"",IF(COUNT(OFFSET(AL$121,$BB91-1,0,$BA91,1))&gt;1,MAX(OFFSET(AL$121,$BB91-1,0,$BA91,1))-MIN(OFFSET(AL$121,$BB91-1,0,$BA91,1)),""))</f>
        <v/>
      </c>
      <c r="AM91" s="29">
        <f>IF(OR($A91="",AM$116=0),"",IF(COUNT(OFFSET(AM$121,$BB91-1,0,$BA91,1))&gt;1,MAX(OFFSET(AM$121,$BB91-1,0,$BA91,1))-MIN(OFFSET(AM$121,$BB91-1,0,$BA91,1)),""))</f>
        <v/>
      </c>
      <c r="AN91" s="29">
        <f>IF(OR($A91="",AN$116=0),"",IF(COUNT(OFFSET(AN$121,$BB91-1,0,$BA91,1))&gt;1,MAX(OFFSET(AN$121,$BB91-1,0,$BA91,1))-MIN(OFFSET(AN$121,$BB91-1,0,$BA91,1)),""))</f>
        <v/>
      </c>
      <c r="AO91" s="29">
        <f>IF(OR($A91="",AO$116=0),"",IF(COUNT(OFFSET(AO$121,$BB91-1,0,$BA91,1))&gt;1,MAX(OFFSET(AO$121,$BB91-1,0,$BA91,1))-MIN(OFFSET(AO$121,$BB91-1,0,$BA91,1)),""))</f>
        <v/>
      </c>
      <c r="AP91" s="29">
        <f>IF(OR($A91="",AP$116=0),"",IF(COUNT(OFFSET(AP$121,$BB91-1,0,$BA91,1))&gt;1,MAX(OFFSET(AP$121,$BB91-1,0,$BA91,1))-MIN(OFFSET(AP$121,$BB91-1,0,$BA91,1)),""))</f>
        <v/>
      </c>
      <c r="AQ91" s="29">
        <f>IF(OR($A91="",AQ$116=0),"",IF(COUNT(OFFSET(AQ$121,$BB91-1,0,$BA91,1))&gt;1,MAX(OFFSET(AQ$121,$BB91-1,0,$BA91,1))-MIN(OFFSET(AQ$121,$BB91-1,0,$BA91,1)),""))</f>
        <v/>
      </c>
      <c r="AR91" s="29">
        <f>IF(OR($A91="",AR$116=0),"",IF(COUNT(OFFSET(AR$121,$BB91-1,0,$BA91,1))&gt;1,MAX(OFFSET(AR$121,$BB91-1,0,$BA91,1))-MIN(OFFSET(AR$121,$BB91-1,0,$BA91,1)),""))</f>
        <v/>
      </c>
      <c r="AS91" s="29">
        <f>IF(OR($A91="",AS$116=0),"",IF(COUNT(OFFSET(AS$121,$BB91-1,0,$BA91,1))&gt;1,MAX(OFFSET(AS$121,$BB91-1,0,$BA91,1))-MIN(OFFSET(AS$121,$BB91-1,0,$BA91,1)),""))</f>
        <v/>
      </c>
      <c r="AT91" s="29">
        <f>IF(OR($A91="",AT$116=0),"",IF(COUNT(OFFSET(AT$121,$BB91-1,0,$BA91,1))&gt;1,MAX(OFFSET(AT$121,$BB91-1,0,$BA91,1))-MIN(OFFSET(AT$121,$BB91-1,0,$BA91,1)),""))</f>
        <v/>
      </c>
      <c r="AU91" s="29">
        <f>IF(OR($A91="",AU$116=0),"",IF(COUNT(OFFSET(AU$121,$BB91-1,0,$BA91,1))&gt;1,MAX(OFFSET(AU$121,$BB91-1,0,$BA91,1))-MIN(OFFSET(AU$121,$BB91-1,0,$BA91,1)),""))</f>
        <v/>
      </c>
      <c r="AV91" s="29">
        <f>IF(OR($A91="",AV$116=0),"",IF(COUNT(OFFSET(AV$121,$BB91-1,0,$BA91,1))&gt;1,MAX(OFFSET(AV$121,$BB91-1,0,$BA91,1))-MIN(OFFSET(AV$121,$BB91-1,0,$BA91,1)),""))</f>
        <v/>
      </c>
      <c r="AW91" s="29">
        <f>IF(OR($A91="",AW$116=0),"",IF(COUNT(OFFSET(AW$121,$BB91-1,0,$BA91,1))&gt;1,MAX(OFFSET(AW$121,$BB91-1,0,$BA91,1))-MIN(OFFSET(AW$121,$BB91-1,0,$BA91,1)),""))</f>
        <v/>
      </c>
      <c r="AX91" s="29">
        <f>IF(OR($A91="",AX$116=0),"",IF(COUNT(OFFSET(AX$121,$BB91-1,0,$BA91,1))&gt;1,MAX(OFFSET(AX$121,$BB91-1,0,$BA91,1))-MIN(OFFSET(AX$121,$BB91-1,0,$BA91,1)),""))</f>
        <v/>
      </c>
      <c r="AY91" s="29">
        <f>IF(OR($A91="",AY$116=0),"",IF(COUNT(OFFSET(AY$121,$BB91-1,0,$BA91,1))&gt;1,MAX(OFFSET(AY$121,$BB91-1,0,$BA91,1))-MIN(OFFSET(AY$121,$BB91-1,0,$BA91,1)),""))</f>
        <v/>
      </c>
      <c r="BA91" s="28">
        <f>IF($A91="","",COUNTIF($BA$121:$BA$1120,$A91))</f>
        <v/>
      </c>
      <c r="BB91" s="28">
        <f>IF($A91="","",MATCH($A91,$BA$121:$BA$1120,0))</f>
        <v/>
      </c>
      <c r="BC91" s="13">
        <f>IF($A91="","",IF(COUNTIF(OFFSET($BA$121,$BB91-1,0,$BA91,1),$A91)=$BA91,"ja","NEE"))</f>
        <v/>
      </c>
    </row>
    <row r="92">
      <c r="A92" s="13">
        <f>IFERROR(INDEX($BA$121:$BA$1120,MATCH(19,$BB$121:$BB$1120,0)),"")</f>
        <v/>
      </c>
      <c r="B92" s="29">
        <f>IF(OR($A92="",B$116=0),"",IF(COUNT(OFFSET(B$121,$BB92-1,0,$BA92,1))&gt;1,MAX(OFFSET(B$121,$BB92-1,0,$BA92,1))-MIN(OFFSET(B$121,$BB92-1,0,$BA92,1)),""))</f>
        <v/>
      </c>
      <c r="C92" s="29">
        <f>IF(OR($A92="",C$116=0),"",IF(COUNT(OFFSET(C$121,$BB92-1,0,$BA92,1))&gt;1,MAX(OFFSET(C$121,$BB92-1,0,$BA92,1))-MIN(OFFSET(C$121,$BB92-1,0,$BA92,1)),""))</f>
        <v/>
      </c>
      <c r="D92" s="29">
        <f>IF(OR($A92="",D$116=0),"",IF(COUNT(OFFSET(D$121,$BB92-1,0,$BA92,1))&gt;1,MAX(OFFSET(D$121,$BB92-1,0,$BA92,1))-MIN(OFFSET(D$121,$BB92-1,0,$BA92,1)),""))</f>
        <v/>
      </c>
      <c r="E92" s="29">
        <f>IF(OR($A92="",E$116=0),"",IF(COUNT(OFFSET(E$121,$BB92-1,0,$BA92,1))&gt;1,MAX(OFFSET(E$121,$BB92-1,0,$BA92,1))-MIN(OFFSET(E$121,$BB92-1,0,$BA92,1)),""))</f>
        <v/>
      </c>
      <c r="F92" s="29">
        <f>IF(OR($A92="",F$116=0),"",IF(COUNT(OFFSET(F$121,$BB92-1,0,$BA92,1))&gt;1,MAX(OFFSET(F$121,$BB92-1,0,$BA92,1))-MIN(OFFSET(F$121,$BB92-1,0,$BA92,1)),""))</f>
        <v/>
      </c>
      <c r="G92" s="29">
        <f>IF(OR($A92="",G$116=0),"",IF(COUNT(OFFSET(G$121,$BB92-1,0,$BA92,1))&gt;1,MAX(OFFSET(G$121,$BB92-1,0,$BA92,1))-MIN(OFFSET(G$121,$BB92-1,0,$BA92,1)),""))</f>
        <v/>
      </c>
      <c r="H92" s="29">
        <f>IF(OR($A92="",H$116=0),"",IF(COUNT(OFFSET(H$121,$BB92-1,0,$BA92,1))&gt;1,MAX(OFFSET(H$121,$BB92-1,0,$BA92,1))-MIN(OFFSET(H$121,$BB92-1,0,$BA92,1)),""))</f>
        <v/>
      </c>
      <c r="I92" s="29">
        <f>IF(OR($A92="",I$116=0),"",IF(COUNT(OFFSET(I$121,$BB92-1,0,$BA92,1))&gt;1,MAX(OFFSET(I$121,$BB92-1,0,$BA92,1))-MIN(OFFSET(I$121,$BB92-1,0,$BA92,1)),""))</f>
        <v/>
      </c>
      <c r="J92" s="29">
        <f>IF(OR($A92="",J$116=0),"",IF(COUNT(OFFSET(J$121,$BB92-1,0,$BA92,1))&gt;1,MAX(OFFSET(J$121,$BB92-1,0,$BA92,1))-MIN(OFFSET(J$121,$BB92-1,0,$BA92,1)),""))</f>
        <v/>
      </c>
      <c r="K92" s="29">
        <f>IF(OR($A92="",K$116=0),"",IF(COUNT(OFFSET(K$121,$BB92-1,0,$BA92,1))&gt;1,MAX(OFFSET(K$121,$BB92-1,0,$BA92,1))-MIN(OFFSET(K$121,$BB92-1,0,$BA92,1)),""))</f>
        <v/>
      </c>
      <c r="L92" s="29">
        <f>IF(OR($A92="",L$116=0),"",IF(COUNT(OFFSET(L$121,$BB92-1,0,$BA92,1))&gt;1,MAX(OFFSET(L$121,$BB92-1,0,$BA92,1))-MIN(OFFSET(L$121,$BB92-1,0,$BA92,1)),""))</f>
        <v/>
      </c>
      <c r="M92" s="29">
        <f>IF(OR($A92="",M$116=0),"",IF(COUNT(OFFSET(M$121,$BB92-1,0,$BA92,1))&gt;1,MAX(OFFSET(M$121,$BB92-1,0,$BA92,1))-MIN(OFFSET(M$121,$BB92-1,0,$BA92,1)),""))</f>
        <v/>
      </c>
      <c r="N92" s="29">
        <f>IF(OR($A92="",N$116=0),"",IF(COUNT(OFFSET(N$121,$BB92-1,0,$BA92,1))&gt;1,MAX(OFFSET(N$121,$BB92-1,0,$BA92,1))-MIN(OFFSET(N$121,$BB92-1,0,$BA92,1)),""))</f>
        <v/>
      </c>
      <c r="O92" s="29">
        <f>IF(OR($A92="",O$116=0),"",IF(COUNT(OFFSET(O$121,$BB92-1,0,$BA92,1))&gt;1,MAX(OFFSET(O$121,$BB92-1,0,$BA92,1))-MIN(OFFSET(O$121,$BB92-1,0,$BA92,1)),""))</f>
        <v/>
      </c>
      <c r="P92" s="29">
        <f>IF(OR($A92="",P$116=0),"",IF(COUNT(OFFSET(P$121,$BB92-1,0,$BA92,1))&gt;1,MAX(OFFSET(P$121,$BB92-1,0,$BA92,1))-MIN(OFFSET(P$121,$BB92-1,0,$BA92,1)),""))</f>
        <v/>
      </c>
      <c r="Q92" s="29">
        <f>IF(OR($A92="",Q$116=0),"",IF(COUNT(OFFSET(Q$121,$BB92-1,0,$BA92,1))&gt;1,MAX(OFFSET(Q$121,$BB92-1,0,$BA92,1))-MIN(OFFSET(Q$121,$BB92-1,0,$BA92,1)),""))</f>
        <v/>
      </c>
      <c r="R92" s="29">
        <f>IF(OR($A92="",R$116=0),"",IF(COUNT(OFFSET(R$121,$BB92-1,0,$BA92,1))&gt;1,MAX(OFFSET(R$121,$BB92-1,0,$BA92,1))-MIN(OFFSET(R$121,$BB92-1,0,$BA92,1)),""))</f>
        <v/>
      </c>
      <c r="S92" s="29">
        <f>IF(OR($A92="",S$116=0),"",IF(COUNT(OFFSET(S$121,$BB92-1,0,$BA92,1))&gt;1,MAX(OFFSET(S$121,$BB92-1,0,$BA92,1))-MIN(OFFSET(S$121,$BB92-1,0,$BA92,1)),""))</f>
        <v/>
      </c>
      <c r="T92" s="29">
        <f>IF(OR($A92="",T$116=0),"",IF(COUNT(OFFSET(T$121,$BB92-1,0,$BA92,1))&gt;1,MAX(OFFSET(T$121,$BB92-1,0,$BA92,1))-MIN(OFFSET(T$121,$BB92-1,0,$BA92,1)),""))</f>
        <v/>
      </c>
      <c r="U92" s="29">
        <f>IF(OR($A92="",U$116=0),"",IF(COUNT(OFFSET(U$121,$BB92-1,0,$BA92,1))&gt;1,MAX(OFFSET(U$121,$BB92-1,0,$BA92,1))-MIN(OFFSET(U$121,$BB92-1,0,$BA92,1)),""))</f>
        <v/>
      </c>
      <c r="V92" s="29">
        <f>IF(OR($A92="",V$116=0),"",IF(COUNT(OFFSET(V$121,$BB92-1,0,$BA92,1))&gt;1,MAX(OFFSET(V$121,$BB92-1,0,$BA92,1))-MIN(OFFSET(V$121,$BB92-1,0,$BA92,1)),""))</f>
        <v/>
      </c>
      <c r="W92" s="29">
        <f>IF(OR($A92="",W$116=0),"",IF(COUNT(OFFSET(W$121,$BB92-1,0,$BA92,1))&gt;1,MAX(OFFSET(W$121,$BB92-1,0,$BA92,1))-MIN(OFFSET(W$121,$BB92-1,0,$BA92,1)),""))</f>
        <v/>
      </c>
      <c r="X92" s="29">
        <f>IF(OR($A92="",X$116=0),"",IF(COUNT(OFFSET(X$121,$BB92-1,0,$BA92,1))&gt;1,MAX(OFFSET(X$121,$BB92-1,0,$BA92,1))-MIN(OFFSET(X$121,$BB92-1,0,$BA92,1)),""))</f>
        <v/>
      </c>
      <c r="Y92" s="29">
        <f>IF(OR($A92="",Y$116=0),"",IF(COUNT(OFFSET(Y$121,$BB92-1,0,$BA92,1))&gt;1,MAX(OFFSET(Y$121,$BB92-1,0,$BA92,1))-MIN(OFFSET(Y$121,$BB92-1,0,$BA92,1)),""))</f>
        <v/>
      </c>
      <c r="Z92" s="29">
        <f>IF(OR($A92="",Z$116=0),"",IF(COUNT(OFFSET(Z$121,$BB92-1,0,$BA92,1))&gt;1,MAX(OFFSET(Z$121,$BB92-1,0,$BA92,1))-MIN(OFFSET(Z$121,$BB92-1,0,$BA92,1)),""))</f>
        <v/>
      </c>
      <c r="AA92" s="29">
        <f>IF(OR($A92="",AA$116=0),"",IF(COUNT(OFFSET(AA$121,$BB92-1,0,$BA92,1))&gt;1,MAX(OFFSET(AA$121,$BB92-1,0,$BA92,1))-MIN(OFFSET(AA$121,$BB92-1,0,$BA92,1)),""))</f>
        <v/>
      </c>
      <c r="AB92" s="29">
        <f>IF(OR($A92="",AB$116=0),"",IF(COUNT(OFFSET(AB$121,$BB92-1,0,$BA92,1))&gt;1,MAX(OFFSET(AB$121,$BB92-1,0,$BA92,1))-MIN(OFFSET(AB$121,$BB92-1,0,$BA92,1)),""))</f>
        <v/>
      </c>
      <c r="AC92" s="29">
        <f>IF(OR($A92="",AC$116=0),"",IF(COUNT(OFFSET(AC$121,$BB92-1,0,$BA92,1))&gt;1,MAX(OFFSET(AC$121,$BB92-1,0,$BA92,1))-MIN(OFFSET(AC$121,$BB92-1,0,$BA92,1)),""))</f>
        <v/>
      </c>
      <c r="AD92" s="29">
        <f>IF(OR($A92="",AD$116=0),"",IF(COUNT(OFFSET(AD$121,$BB92-1,0,$BA92,1))&gt;1,MAX(OFFSET(AD$121,$BB92-1,0,$BA92,1))-MIN(OFFSET(AD$121,$BB92-1,0,$BA92,1)),""))</f>
        <v/>
      </c>
      <c r="AE92" s="29">
        <f>IF(OR($A92="",AE$116=0),"",IF(COUNT(OFFSET(AE$121,$BB92-1,0,$BA92,1))&gt;1,MAX(OFFSET(AE$121,$BB92-1,0,$BA92,1))-MIN(OFFSET(AE$121,$BB92-1,0,$BA92,1)),""))</f>
        <v/>
      </c>
      <c r="AF92" s="29">
        <f>IF(OR($A92="",AF$116=0),"",IF(COUNT(OFFSET(AF$121,$BB92-1,0,$BA92,1))&gt;1,MAX(OFFSET(AF$121,$BB92-1,0,$BA92,1))-MIN(OFFSET(AF$121,$BB92-1,0,$BA92,1)),""))</f>
        <v/>
      </c>
      <c r="AG92" s="29">
        <f>IF(OR($A92="",AG$116=0),"",IF(COUNT(OFFSET(AG$121,$BB92-1,0,$BA92,1))&gt;1,MAX(OFFSET(AG$121,$BB92-1,0,$BA92,1))-MIN(OFFSET(AG$121,$BB92-1,0,$BA92,1)),""))</f>
        <v/>
      </c>
      <c r="AH92" s="29">
        <f>IF(OR($A92="",AH$116=0),"",IF(COUNT(OFFSET(AH$121,$BB92-1,0,$BA92,1))&gt;1,MAX(OFFSET(AH$121,$BB92-1,0,$BA92,1))-MIN(OFFSET(AH$121,$BB92-1,0,$BA92,1)),""))</f>
        <v/>
      </c>
      <c r="AI92" s="29">
        <f>IF(OR($A92="",AI$116=0),"",IF(COUNT(OFFSET(AI$121,$BB92-1,0,$BA92,1))&gt;1,MAX(OFFSET(AI$121,$BB92-1,0,$BA92,1))-MIN(OFFSET(AI$121,$BB92-1,0,$BA92,1)),""))</f>
        <v/>
      </c>
      <c r="AJ92" s="29">
        <f>IF(OR($A92="",AJ$116=0),"",IF(COUNT(OFFSET(AJ$121,$BB92-1,0,$BA92,1))&gt;1,MAX(OFFSET(AJ$121,$BB92-1,0,$BA92,1))-MIN(OFFSET(AJ$121,$BB92-1,0,$BA92,1)),""))</f>
        <v/>
      </c>
      <c r="AK92" s="29">
        <f>IF(OR($A92="",AK$116=0),"",IF(COUNT(OFFSET(AK$121,$BB92-1,0,$BA92,1))&gt;1,MAX(OFFSET(AK$121,$BB92-1,0,$BA92,1))-MIN(OFFSET(AK$121,$BB92-1,0,$BA92,1)),""))</f>
        <v/>
      </c>
      <c r="AL92" s="29">
        <f>IF(OR($A92="",AL$116=0),"",IF(COUNT(OFFSET(AL$121,$BB92-1,0,$BA92,1))&gt;1,MAX(OFFSET(AL$121,$BB92-1,0,$BA92,1))-MIN(OFFSET(AL$121,$BB92-1,0,$BA92,1)),""))</f>
        <v/>
      </c>
      <c r="AM92" s="29">
        <f>IF(OR($A92="",AM$116=0),"",IF(COUNT(OFFSET(AM$121,$BB92-1,0,$BA92,1))&gt;1,MAX(OFFSET(AM$121,$BB92-1,0,$BA92,1))-MIN(OFFSET(AM$121,$BB92-1,0,$BA92,1)),""))</f>
        <v/>
      </c>
      <c r="AN92" s="29">
        <f>IF(OR($A92="",AN$116=0),"",IF(COUNT(OFFSET(AN$121,$BB92-1,0,$BA92,1))&gt;1,MAX(OFFSET(AN$121,$BB92-1,0,$BA92,1))-MIN(OFFSET(AN$121,$BB92-1,0,$BA92,1)),""))</f>
        <v/>
      </c>
      <c r="AO92" s="29">
        <f>IF(OR($A92="",AO$116=0),"",IF(COUNT(OFFSET(AO$121,$BB92-1,0,$BA92,1))&gt;1,MAX(OFFSET(AO$121,$BB92-1,0,$BA92,1))-MIN(OFFSET(AO$121,$BB92-1,0,$BA92,1)),""))</f>
        <v/>
      </c>
      <c r="AP92" s="29">
        <f>IF(OR($A92="",AP$116=0),"",IF(COUNT(OFFSET(AP$121,$BB92-1,0,$BA92,1))&gt;1,MAX(OFFSET(AP$121,$BB92-1,0,$BA92,1))-MIN(OFFSET(AP$121,$BB92-1,0,$BA92,1)),""))</f>
        <v/>
      </c>
      <c r="AQ92" s="29">
        <f>IF(OR($A92="",AQ$116=0),"",IF(COUNT(OFFSET(AQ$121,$BB92-1,0,$BA92,1))&gt;1,MAX(OFFSET(AQ$121,$BB92-1,0,$BA92,1))-MIN(OFFSET(AQ$121,$BB92-1,0,$BA92,1)),""))</f>
        <v/>
      </c>
      <c r="AR92" s="29">
        <f>IF(OR($A92="",AR$116=0),"",IF(COUNT(OFFSET(AR$121,$BB92-1,0,$BA92,1))&gt;1,MAX(OFFSET(AR$121,$BB92-1,0,$BA92,1))-MIN(OFFSET(AR$121,$BB92-1,0,$BA92,1)),""))</f>
        <v/>
      </c>
      <c r="AS92" s="29">
        <f>IF(OR($A92="",AS$116=0),"",IF(COUNT(OFFSET(AS$121,$BB92-1,0,$BA92,1))&gt;1,MAX(OFFSET(AS$121,$BB92-1,0,$BA92,1))-MIN(OFFSET(AS$121,$BB92-1,0,$BA92,1)),""))</f>
        <v/>
      </c>
      <c r="AT92" s="29">
        <f>IF(OR($A92="",AT$116=0),"",IF(COUNT(OFFSET(AT$121,$BB92-1,0,$BA92,1))&gt;1,MAX(OFFSET(AT$121,$BB92-1,0,$BA92,1))-MIN(OFFSET(AT$121,$BB92-1,0,$BA92,1)),""))</f>
        <v/>
      </c>
      <c r="AU92" s="29">
        <f>IF(OR($A92="",AU$116=0),"",IF(COUNT(OFFSET(AU$121,$BB92-1,0,$BA92,1))&gt;1,MAX(OFFSET(AU$121,$BB92-1,0,$BA92,1))-MIN(OFFSET(AU$121,$BB92-1,0,$BA92,1)),""))</f>
        <v/>
      </c>
      <c r="AV92" s="29">
        <f>IF(OR($A92="",AV$116=0),"",IF(COUNT(OFFSET(AV$121,$BB92-1,0,$BA92,1))&gt;1,MAX(OFFSET(AV$121,$BB92-1,0,$BA92,1))-MIN(OFFSET(AV$121,$BB92-1,0,$BA92,1)),""))</f>
        <v/>
      </c>
      <c r="AW92" s="29">
        <f>IF(OR($A92="",AW$116=0),"",IF(COUNT(OFFSET(AW$121,$BB92-1,0,$BA92,1))&gt;1,MAX(OFFSET(AW$121,$BB92-1,0,$BA92,1))-MIN(OFFSET(AW$121,$BB92-1,0,$BA92,1)),""))</f>
        <v/>
      </c>
      <c r="AX92" s="29">
        <f>IF(OR($A92="",AX$116=0),"",IF(COUNT(OFFSET(AX$121,$BB92-1,0,$BA92,1))&gt;1,MAX(OFFSET(AX$121,$BB92-1,0,$BA92,1))-MIN(OFFSET(AX$121,$BB92-1,0,$BA92,1)),""))</f>
        <v/>
      </c>
      <c r="AY92" s="29">
        <f>IF(OR($A92="",AY$116=0),"",IF(COUNT(OFFSET(AY$121,$BB92-1,0,$BA92,1))&gt;1,MAX(OFFSET(AY$121,$BB92-1,0,$BA92,1))-MIN(OFFSET(AY$121,$BB92-1,0,$BA92,1)),""))</f>
        <v/>
      </c>
      <c r="BA92" s="28">
        <f>IF($A92="","",COUNTIF($BA$121:$BA$1120,$A92))</f>
        <v/>
      </c>
      <c r="BB92" s="28">
        <f>IF($A92="","",MATCH($A92,$BA$121:$BA$1120,0))</f>
        <v/>
      </c>
      <c r="BC92" s="13">
        <f>IF($A92="","",IF(COUNTIF(OFFSET($BA$121,$BB92-1,0,$BA92,1),$A92)=$BA92,"ja","NEE"))</f>
        <v/>
      </c>
    </row>
    <row r="93">
      <c r="A93" s="13">
        <f>IFERROR(INDEX($BA$121:$BA$1120,MATCH(20,$BB$121:$BB$1120,0)),"")</f>
        <v/>
      </c>
      <c r="B93" s="29">
        <f>IF(OR($A93="",B$116=0),"",IF(COUNT(OFFSET(B$121,$BB93-1,0,$BA93,1))&gt;1,MAX(OFFSET(B$121,$BB93-1,0,$BA93,1))-MIN(OFFSET(B$121,$BB93-1,0,$BA93,1)),""))</f>
        <v/>
      </c>
      <c r="C93" s="29">
        <f>IF(OR($A93="",C$116=0),"",IF(COUNT(OFFSET(C$121,$BB93-1,0,$BA93,1))&gt;1,MAX(OFFSET(C$121,$BB93-1,0,$BA93,1))-MIN(OFFSET(C$121,$BB93-1,0,$BA93,1)),""))</f>
        <v/>
      </c>
      <c r="D93" s="29">
        <f>IF(OR($A93="",D$116=0),"",IF(COUNT(OFFSET(D$121,$BB93-1,0,$BA93,1))&gt;1,MAX(OFFSET(D$121,$BB93-1,0,$BA93,1))-MIN(OFFSET(D$121,$BB93-1,0,$BA93,1)),""))</f>
        <v/>
      </c>
      <c r="E93" s="29">
        <f>IF(OR($A93="",E$116=0),"",IF(COUNT(OFFSET(E$121,$BB93-1,0,$BA93,1))&gt;1,MAX(OFFSET(E$121,$BB93-1,0,$BA93,1))-MIN(OFFSET(E$121,$BB93-1,0,$BA93,1)),""))</f>
        <v/>
      </c>
      <c r="F93" s="29">
        <f>IF(OR($A93="",F$116=0),"",IF(COUNT(OFFSET(F$121,$BB93-1,0,$BA93,1))&gt;1,MAX(OFFSET(F$121,$BB93-1,0,$BA93,1))-MIN(OFFSET(F$121,$BB93-1,0,$BA93,1)),""))</f>
        <v/>
      </c>
      <c r="G93" s="29">
        <f>IF(OR($A93="",G$116=0),"",IF(COUNT(OFFSET(G$121,$BB93-1,0,$BA93,1))&gt;1,MAX(OFFSET(G$121,$BB93-1,0,$BA93,1))-MIN(OFFSET(G$121,$BB93-1,0,$BA93,1)),""))</f>
        <v/>
      </c>
      <c r="H93" s="29">
        <f>IF(OR($A93="",H$116=0),"",IF(COUNT(OFFSET(H$121,$BB93-1,0,$BA93,1))&gt;1,MAX(OFFSET(H$121,$BB93-1,0,$BA93,1))-MIN(OFFSET(H$121,$BB93-1,0,$BA93,1)),""))</f>
        <v/>
      </c>
      <c r="I93" s="29">
        <f>IF(OR($A93="",I$116=0),"",IF(COUNT(OFFSET(I$121,$BB93-1,0,$BA93,1))&gt;1,MAX(OFFSET(I$121,$BB93-1,0,$BA93,1))-MIN(OFFSET(I$121,$BB93-1,0,$BA93,1)),""))</f>
        <v/>
      </c>
      <c r="J93" s="29">
        <f>IF(OR($A93="",J$116=0),"",IF(COUNT(OFFSET(J$121,$BB93-1,0,$BA93,1))&gt;1,MAX(OFFSET(J$121,$BB93-1,0,$BA93,1))-MIN(OFFSET(J$121,$BB93-1,0,$BA93,1)),""))</f>
        <v/>
      </c>
      <c r="K93" s="29">
        <f>IF(OR($A93="",K$116=0),"",IF(COUNT(OFFSET(K$121,$BB93-1,0,$BA93,1))&gt;1,MAX(OFFSET(K$121,$BB93-1,0,$BA93,1))-MIN(OFFSET(K$121,$BB93-1,0,$BA93,1)),""))</f>
        <v/>
      </c>
      <c r="L93" s="29">
        <f>IF(OR($A93="",L$116=0),"",IF(COUNT(OFFSET(L$121,$BB93-1,0,$BA93,1))&gt;1,MAX(OFFSET(L$121,$BB93-1,0,$BA93,1))-MIN(OFFSET(L$121,$BB93-1,0,$BA93,1)),""))</f>
        <v/>
      </c>
      <c r="M93" s="29">
        <f>IF(OR($A93="",M$116=0),"",IF(COUNT(OFFSET(M$121,$BB93-1,0,$BA93,1))&gt;1,MAX(OFFSET(M$121,$BB93-1,0,$BA93,1))-MIN(OFFSET(M$121,$BB93-1,0,$BA93,1)),""))</f>
        <v/>
      </c>
      <c r="N93" s="29">
        <f>IF(OR($A93="",N$116=0),"",IF(COUNT(OFFSET(N$121,$BB93-1,0,$BA93,1))&gt;1,MAX(OFFSET(N$121,$BB93-1,0,$BA93,1))-MIN(OFFSET(N$121,$BB93-1,0,$BA93,1)),""))</f>
        <v/>
      </c>
      <c r="O93" s="29">
        <f>IF(OR($A93="",O$116=0),"",IF(COUNT(OFFSET(O$121,$BB93-1,0,$BA93,1))&gt;1,MAX(OFFSET(O$121,$BB93-1,0,$BA93,1))-MIN(OFFSET(O$121,$BB93-1,0,$BA93,1)),""))</f>
        <v/>
      </c>
      <c r="P93" s="29">
        <f>IF(OR($A93="",P$116=0),"",IF(COUNT(OFFSET(P$121,$BB93-1,0,$BA93,1))&gt;1,MAX(OFFSET(P$121,$BB93-1,0,$BA93,1))-MIN(OFFSET(P$121,$BB93-1,0,$BA93,1)),""))</f>
        <v/>
      </c>
      <c r="Q93" s="29">
        <f>IF(OR($A93="",Q$116=0),"",IF(COUNT(OFFSET(Q$121,$BB93-1,0,$BA93,1))&gt;1,MAX(OFFSET(Q$121,$BB93-1,0,$BA93,1))-MIN(OFFSET(Q$121,$BB93-1,0,$BA93,1)),""))</f>
        <v/>
      </c>
      <c r="R93" s="29">
        <f>IF(OR($A93="",R$116=0),"",IF(COUNT(OFFSET(R$121,$BB93-1,0,$BA93,1))&gt;1,MAX(OFFSET(R$121,$BB93-1,0,$BA93,1))-MIN(OFFSET(R$121,$BB93-1,0,$BA93,1)),""))</f>
        <v/>
      </c>
      <c r="S93" s="29">
        <f>IF(OR($A93="",S$116=0),"",IF(COUNT(OFFSET(S$121,$BB93-1,0,$BA93,1))&gt;1,MAX(OFFSET(S$121,$BB93-1,0,$BA93,1))-MIN(OFFSET(S$121,$BB93-1,0,$BA93,1)),""))</f>
        <v/>
      </c>
      <c r="T93" s="29">
        <f>IF(OR($A93="",T$116=0),"",IF(COUNT(OFFSET(T$121,$BB93-1,0,$BA93,1))&gt;1,MAX(OFFSET(T$121,$BB93-1,0,$BA93,1))-MIN(OFFSET(T$121,$BB93-1,0,$BA93,1)),""))</f>
        <v/>
      </c>
      <c r="U93" s="29">
        <f>IF(OR($A93="",U$116=0),"",IF(COUNT(OFFSET(U$121,$BB93-1,0,$BA93,1))&gt;1,MAX(OFFSET(U$121,$BB93-1,0,$BA93,1))-MIN(OFFSET(U$121,$BB93-1,0,$BA93,1)),""))</f>
        <v/>
      </c>
      <c r="V93" s="29">
        <f>IF(OR($A93="",V$116=0),"",IF(COUNT(OFFSET(V$121,$BB93-1,0,$BA93,1))&gt;1,MAX(OFFSET(V$121,$BB93-1,0,$BA93,1))-MIN(OFFSET(V$121,$BB93-1,0,$BA93,1)),""))</f>
        <v/>
      </c>
      <c r="W93" s="29">
        <f>IF(OR($A93="",W$116=0),"",IF(COUNT(OFFSET(W$121,$BB93-1,0,$BA93,1))&gt;1,MAX(OFFSET(W$121,$BB93-1,0,$BA93,1))-MIN(OFFSET(W$121,$BB93-1,0,$BA93,1)),""))</f>
        <v/>
      </c>
      <c r="X93" s="29">
        <f>IF(OR($A93="",X$116=0),"",IF(COUNT(OFFSET(X$121,$BB93-1,0,$BA93,1))&gt;1,MAX(OFFSET(X$121,$BB93-1,0,$BA93,1))-MIN(OFFSET(X$121,$BB93-1,0,$BA93,1)),""))</f>
        <v/>
      </c>
      <c r="Y93" s="29">
        <f>IF(OR($A93="",Y$116=0),"",IF(COUNT(OFFSET(Y$121,$BB93-1,0,$BA93,1))&gt;1,MAX(OFFSET(Y$121,$BB93-1,0,$BA93,1))-MIN(OFFSET(Y$121,$BB93-1,0,$BA93,1)),""))</f>
        <v/>
      </c>
      <c r="Z93" s="29">
        <f>IF(OR($A93="",Z$116=0),"",IF(COUNT(OFFSET(Z$121,$BB93-1,0,$BA93,1))&gt;1,MAX(OFFSET(Z$121,$BB93-1,0,$BA93,1))-MIN(OFFSET(Z$121,$BB93-1,0,$BA93,1)),""))</f>
        <v/>
      </c>
      <c r="AA93" s="29">
        <f>IF(OR($A93="",AA$116=0),"",IF(COUNT(OFFSET(AA$121,$BB93-1,0,$BA93,1))&gt;1,MAX(OFFSET(AA$121,$BB93-1,0,$BA93,1))-MIN(OFFSET(AA$121,$BB93-1,0,$BA93,1)),""))</f>
        <v/>
      </c>
      <c r="AB93" s="29">
        <f>IF(OR($A93="",AB$116=0),"",IF(COUNT(OFFSET(AB$121,$BB93-1,0,$BA93,1))&gt;1,MAX(OFFSET(AB$121,$BB93-1,0,$BA93,1))-MIN(OFFSET(AB$121,$BB93-1,0,$BA93,1)),""))</f>
        <v/>
      </c>
      <c r="AC93" s="29">
        <f>IF(OR($A93="",AC$116=0),"",IF(COUNT(OFFSET(AC$121,$BB93-1,0,$BA93,1))&gt;1,MAX(OFFSET(AC$121,$BB93-1,0,$BA93,1))-MIN(OFFSET(AC$121,$BB93-1,0,$BA93,1)),""))</f>
        <v/>
      </c>
      <c r="AD93" s="29">
        <f>IF(OR($A93="",AD$116=0),"",IF(COUNT(OFFSET(AD$121,$BB93-1,0,$BA93,1))&gt;1,MAX(OFFSET(AD$121,$BB93-1,0,$BA93,1))-MIN(OFFSET(AD$121,$BB93-1,0,$BA93,1)),""))</f>
        <v/>
      </c>
      <c r="AE93" s="29">
        <f>IF(OR($A93="",AE$116=0),"",IF(COUNT(OFFSET(AE$121,$BB93-1,0,$BA93,1))&gt;1,MAX(OFFSET(AE$121,$BB93-1,0,$BA93,1))-MIN(OFFSET(AE$121,$BB93-1,0,$BA93,1)),""))</f>
        <v/>
      </c>
      <c r="AF93" s="29">
        <f>IF(OR($A93="",AF$116=0),"",IF(COUNT(OFFSET(AF$121,$BB93-1,0,$BA93,1))&gt;1,MAX(OFFSET(AF$121,$BB93-1,0,$BA93,1))-MIN(OFFSET(AF$121,$BB93-1,0,$BA93,1)),""))</f>
        <v/>
      </c>
      <c r="AG93" s="29">
        <f>IF(OR($A93="",AG$116=0),"",IF(COUNT(OFFSET(AG$121,$BB93-1,0,$BA93,1))&gt;1,MAX(OFFSET(AG$121,$BB93-1,0,$BA93,1))-MIN(OFFSET(AG$121,$BB93-1,0,$BA93,1)),""))</f>
        <v/>
      </c>
      <c r="AH93" s="29">
        <f>IF(OR($A93="",AH$116=0),"",IF(COUNT(OFFSET(AH$121,$BB93-1,0,$BA93,1))&gt;1,MAX(OFFSET(AH$121,$BB93-1,0,$BA93,1))-MIN(OFFSET(AH$121,$BB93-1,0,$BA93,1)),""))</f>
        <v/>
      </c>
      <c r="AI93" s="29">
        <f>IF(OR($A93="",AI$116=0),"",IF(COUNT(OFFSET(AI$121,$BB93-1,0,$BA93,1))&gt;1,MAX(OFFSET(AI$121,$BB93-1,0,$BA93,1))-MIN(OFFSET(AI$121,$BB93-1,0,$BA93,1)),""))</f>
        <v/>
      </c>
      <c r="AJ93" s="29">
        <f>IF(OR($A93="",AJ$116=0),"",IF(COUNT(OFFSET(AJ$121,$BB93-1,0,$BA93,1))&gt;1,MAX(OFFSET(AJ$121,$BB93-1,0,$BA93,1))-MIN(OFFSET(AJ$121,$BB93-1,0,$BA93,1)),""))</f>
        <v/>
      </c>
      <c r="AK93" s="29">
        <f>IF(OR($A93="",AK$116=0),"",IF(COUNT(OFFSET(AK$121,$BB93-1,0,$BA93,1))&gt;1,MAX(OFFSET(AK$121,$BB93-1,0,$BA93,1))-MIN(OFFSET(AK$121,$BB93-1,0,$BA93,1)),""))</f>
        <v/>
      </c>
      <c r="AL93" s="29">
        <f>IF(OR($A93="",AL$116=0),"",IF(COUNT(OFFSET(AL$121,$BB93-1,0,$BA93,1))&gt;1,MAX(OFFSET(AL$121,$BB93-1,0,$BA93,1))-MIN(OFFSET(AL$121,$BB93-1,0,$BA93,1)),""))</f>
        <v/>
      </c>
      <c r="AM93" s="29">
        <f>IF(OR($A93="",AM$116=0),"",IF(COUNT(OFFSET(AM$121,$BB93-1,0,$BA93,1))&gt;1,MAX(OFFSET(AM$121,$BB93-1,0,$BA93,1))-MIN(OFFSET(AM$121,$BB93-1,0,$BA93,1)),""))</f>
        <v/>
      </c>
      <c r="AN93" s="29">
        <f>IF(OR($A93="",AN$116=0),"",IF(COUNT(OFFSET(AN$121,$BB93-1,0,$BA93,1))&gt;1,MAX(OFFSET(AN$121,$BB93-1,0,$BA93,1))-MIN(OFFSET(AN$121,$BB93-1,0,$BA93,1)),""))</f>
        <v/>
      </c>
      <c r="AO93" s="29">
        <f>IF(OR($A93="",AO$116=0),"",IF(COUNT(OFFSET(AO$121,$BB93-1,0,$BA93,1))&gt;1,MAX(OFFSET(AO$121,$BB93-1,0,$BA93,1))-MIN(OFFSET(AO$121,$BB93-1,0,$BA93,1)),""))</f>
        <v/>
      </c>
      <c r="AP93" s="29">
        <f>IF(OR($A93="",AP$116=0),"",IF(COUNT(OFFSET(AP$121,$BB93-1,0,$BA93,1))&gt;1,MAX(OFFSET(AP$121,$BB93-1,0,$BA93,1))-MIN(OFFSET(AP$121,$BB93-1,0,$BA93,1)),""))</f>
        <v/>
      </c>
      <c r="AQ93" s="29">
        <f>IF(OR($A93="",AQ$116=0),"",IF(COUNT(OFFSET(AQ$121,$BB93-1,0,$BA93,1))&gt;1,MAX(OFFSET(AQ$121,$BB93-1,0,$BA93,1))-MIN(OFFSET(AQ$121,$BB93-1,0,$BA93,1)),""))</f>
        <v/>
      </c>
      <c r="AR93" s="29">
        <f>IF(OR($A93="",AR$116=0),"",IF(COUNT(OFFSET(AR$121,$BB93-1,0,$BA93,1))&gt;1,MAX(OFFSET(AR$121,$BB93-1,0,$BA93,1))-MIN(OFFSET(AR$121,$BB93-1,0,$BA93,1)),""))</f>
        <v/>
      </c>
      <c r="AS93" s="29">
        <f>IF(OR($A93="",AS$116=0),"",IF(COUNT(OFFSET(AS$121,$BB93-1,0,$BA93,1))&gt;1,MAX(OFFSET(AS$121,$BB93-1,0,$BA93,1))-MIN(OFFSET(AS$121,$BB93-1,0,$BA93,1)),""))</f>
        <v/>
      </c>
      <c r="AT93" s="29">
        <f>IF(OR($A93="",AT$116=0),"",IF(COUNT(OFFSET(AT$121,$BB93-1,0,$BA93,1))&gt;1,MAX(OFFSET(AT$121,$BB93-1,0,$BA93,1))-MIN(OFFSET(AT$121,$BB93-1,0,$BA93,1)),""))</f>
        <v/>
      </c>
      <c r="AU93" s="29">
        <f>IF(OR($A93="",AU$116=0),"",IF(COUNT(OFFSET(AU$121,$BB93-1,0,$BA93,1))&gt;1,MAX(OFFSET(AU$121,$BB93-1,0,$BA93,1))-MIN(OFFSET(AU$121,$BB93-1,0,$BA93,1)),""))</f>
        <v/>
      </c>
      <c r="AV93" s="29">
        <f>IF(OR($A93="",AV$116=0),"",IF(COUNT(OFFSET(AV$121,$BB93-1,0,$BA93,1))&gt;1,MAX(OFFSET(AV$121,$BB93-1,0,$BA93,1))-MIN(OFFSET(AV$121,$BB93-1,0,$BA93,1)),""))</f>
        <v/>
      </c>
      <c r="AW93" s="29">
        <f>IF(OR($A93="",AW$116=0),"",IF(COUNT(OFFSET(AW$121,$BB93-1,0,$BA93,1))&gt;1,MAX(OFFSET(AW$121,$BB93-1,0,$BA93,1))-MIN(OFFSET(AW$121,$BB93-1,0,$BA93,1)),""))</f>
        <v/>
      </c>
      <c r="AX93" s="29">
        <f>IF(OR($A93="",AX$116=0),"",IF(COUNT(OFFSET(AX$121,$BB93-1,0,$BA93,1))&gt;1,MAX(OFFSET(AX$121,$BB93-1,0,$BA93,1))-MIN(OFFSET(AX$121,$BB93-1,0,$BA93,1)),""))</f>
        <v/>
      </c>
      <c r="AY93" s="29">
        <f>IF(OR($A93="",AY$116=0),"",IF(COUNT(OFFSET(AY$121,$BB93-1,0,$BA93,1))&gt;1,MAX(OFFSET(AY$121,$BB93-1,0,$BA93,1))-MIN(OFFSET(AY$121,$BB93-1,0,$BA93,1)),""))</f>
        <v/>
      </c>
      <c r="BA93" s="28">
        <f>IF($A93="","",COUNTIF($BA$121:$BA$1120,$A93))</f>
        <v/>
      </c>
      <c r="BB93" s="28">
        <f>IF($A93="","",MATCH($A93,$BA$121:$BA$1120,0))</f>
        <v/>
      </c>
      <c r="BC93" s="13">
        <f>IF($A93="","",IF(COUNTIF(OFFSET($BA$121,$BB93-1,0,$BA93,1),$A93)=$BA93,"ja","NEE"))</f>
        <v/>
      </c>
    </row>
    <row r="94">
      <c r="A94" s="10" t="inlineStr">
        <is>
          <t>Gemiddelde over de herhalingen</t>
        </is>
      </c>
      <c r="B94" s="10" t="inlineStr">
        <is>
          <t>Deel 1</t>
        </is>
      </c>
      <c r="C94" s="10" t="inlineStr">
        <is>
          <t>Deel 2</t>
        </is>
      </c>
      <c r="D94" s="10" t="inlineStr">
        <is>
          <t>Deel 3</t>
        </is>
      </c>
      <c r="E94" s="10" t="inlineStr">
        <is>
          <t>Deel 4</t>
        </is>
      </c>
      <c r="F94" s="10" t="inlineStr">
        <is>
          <t>Deel 5</t>
        </is>
      </c>
      <c r="G94" s="10" t="inlineStr">
        <is>
          <t>Deel 6</t>
        </is>
      </c>
      <c r="H94" s="10" t="inlineStr">
        <is>
          <t>Deel 7</t>
        </is>
      </c>
      <c r="I94" s="10" t="inlineStr">
        <is>
          <t>Deel 8</t>
        </is>
      </c>
      <c r="J94" s="10" t="inlineStr">
        <is>
          <t>Deel 9</t>
        </is>
      </c>
      <c r="K94" s="10" t="inlineStr">
        <is>
          <t>Deel 10</t>
        </is>
      </c>
      <c r="L94" s="10" t="inlineStr">
        <is>
          <t>Deel 11</t>
        </is>
      </c>
      <c r="M94" s="10" t="inlineStr">
        <is>
          <t>Deel 12</t>
        </is>
      </c>
      <c r="N94" s="10" t="inlineStr">
        <is>
          <t>Deel 13</t>
        </is>
      </c>
      <c r="O94" s="10" t="inlineStr">
        <is>
          <t>Deel 14</t>
        </is>
      </c>
      <c r="P94" s="10" t="inlineStr">
        <is>
          <t>Deel 15</t>
        </is>
      </c>
      <c r="Q94" s="10" t="inlineStr">
        <is>
          <t>Deel 16</t>
        </is>
      </c>
      <c r="R94" s="10" t="inlineStr">
        <is>
          <t>Deel 17</t>
        </is>
      </c>
      <c r="S94" s="10" t="inlineStr">
        <is>
          <t>Deel 18</t>
        </is>
      </c>
      <c r="T94" s="10" t="inlineStr">
        <is>
          <t>Deel 19</t>
        </is>
      </c>
      <c r="U94" s="10" t="inlineStr">
        <is>
          <t>Deel 20</t>
        </is>
      </c>
      <c r="V94" s="10" t="inlineStr">
        <is>
          <t>Deel 21</t>
        </is>
      </c>
      <c r="W94" s="10" t="inlineStr">
        <is>
          <t>Deel 22</t>
        </is>
      </c>
      <c r="X94" s="10" t="inlineStr">
        <is>
          <t>Deel 23</t>
        </is>
      </c>
      <c r="Y94" s="10" t="inlineStr">
        <is>
          <t>Deel 24</t>
        </is>
      </c>
      <c r="Z94" s="10" t="inlineStr">
        <is>
          <t>Deel 25</t>
        </is>
      </c>
      <c r="AA94" s="10" t="inlineStr">
        <is>
          <t>Deel 26</t>
        </is>
      </c>
      <c r="AB94" s="10" t="inlineStr">
        <is>
          <t>Deel 27</t>
        </is>
      </c>
      <c r="AC94" s="10" t="inlineStr">
        <is>
          <t>Deel 28</t>
        </is>
      </c>
      <c r="AD94" s="10" t="inlineStr">
        <is>
          <t>Deel 29</t>
        </is>
      </c>
      <c r="AE94" s="10" t="inlineStr">
        <is>
          <t>Deel 30</t>
        </is>
      </c>
      <c r="AF94" s="10" t="inlineStr">
        <is>
          <t>Deel 31</t>
        </is>
      </c>
      <c r="AG94" s="10" t="inlineStr">
        <is>
          <t>Deel 32</t>
        </is>
      </c>
      <c r="AH94" s="10" t="inlineStr">
        <is>
          <t>Deel 33</t>
        </is>
      </c>
      <c r="AI94" s="10" t="inlineStr">
        <is>
          <t>Deel 34</t>
        </is>
      </c>
      <c r="AJ94" s="10" t="inlineStr">
        <is>
          <t>Deel 35</t>
        </is>
      </c>
      <c r="AK94" s="10" t="inlineStr">
        <is>
          <t>Deel 36</t>
        </is>
      </c>
      <c r="AL94" s="10" t="inlineStr">
        <is>
          <t>Deel 37</t>
        </is>
      </c>
      <c r="AM94" s="10" t="inlineStr">
        <is>
          <t>Deel 38</t>
        </is>
      </c>
      <c r="AN94" s="10" t="inlineStr">
        <is>
          <t>Deel 39</t>
        </is>
      </c>
      <c r="AO94" s="10" t="inlineStr">
        <is>
          <t>Deel 40</t>
        </is>
      </c>
      <c r="AP94" s="10" t="inlineStr">
        <is>
          <t>Deel 41</t>
        </is>
      </c>
      <c r="AQ94" s="10" t="inlineStr">
        <is>
          <t>Deel 42</t>
        </is>
      </c>
      <c r="AR94" s="10" t="inlineStr">
        <is>
          <t>Deel 43</t>
        </is>
      </c>
      <c r="AS94" s="10" t="inlineStr">
        <is>
          <t>Deel 44</t>
        </is>
      </c>
      <c r="AT94" s="10" t="inlineStr">
        <is>
          <t>Deel 45</t>
        </is>
      </c>
      <c r="AU94" s="10" t="inlineStr">
        <is>
          <t>Deel 46</t>
        </is>
      </c>
      <c r="AV94" s="10" t="inlineStr">
        <is>
          <t>Deel 47</t>
        </is>
      </c>
      <c r="AW94" s="10" t="inlineStr">
        <is>
          <t>Deel 48</t>
        </is>
      </c>
      <c r="AX94" s="10" t="inlineStr">
        <is>
          <t>Deel 49</t>
        </is>
      </c>
      <c r="AY94" s="10" t="inlineStr">
        <is>
          <t>Deel 50</t>
        </is>
      </c>
      <c r="AZ94" s="10" t="inlineStr">
        <is>
          <t>gemiddelde operator</t>
        </is>
      </c>
    </row>
    <row r="95">
      <c r="A95" s="13">
        <f>A74</f>
        <v/>
      </c>
      <c r="B95" s="29">
        <f>IF(OR($A74="",B$116=0),"",IF(COUNT(OFFSET(B$121,$BB74-1,0,$BA74,1))&gt;0,AVERAGE(OFFSET(B$121,$BB74-1,0,$BA74,1)),""))</f>
        <v/>
      </c>
      <c r="C95" s="29">
        <f>IF(OR($A74="",C$116=0),"",IF(COUNT(OFFSET(C$121,$BB74-1,0,$BA74,1))&gt;0,AVERAGE(OFFSET(C$121,$BB74-1,0,$BA74,1)),""))</f>
        <v/>
      </c>
      <c r="D95" s="29">
        <f>IF(OR($A74="",D$116=0),"",IF(COUNT(OFFSET(D$121,$BB74-1,0,$BA74,1))&gt;0,AVERAGE(OFFSET(D$121,$BB74-1,0,$BA74,1)),""))</f>
        <v/>
      </c>
      <c r="E95" s="29">
        <f>IF(OR($A74="",E$116=0),"",IF(COUNT(OFFSET(E$121,$BB74-1,0,$BA74,1))&gt;0,AVERAGE(OFFSET(E$121,$BB74-1,0,$BA74,1)),""))</f>
        <v/>
      </c>
      <c r="F95" s="29">
        <f>IF(OR($A74="",F$116=0),"",IF(COUNT(OFFSET(F$121,$BB74-1,0,$BA74,1))&gt;0,AVERAGE(OFFSET(F$121,$BB74-1,0,$BA74,1)),""))</f>
        <v/>
      </c>
      <c r="G95" s="29">
        <f>IF(OR($A74="",G$116=0),"",IF(COUNT(OFFSET(G$121,$BB74-1,0,$BA74,1))&gt;0,AVERAGE(OFFSET(G$121,$BB74-1,0,$BA74,1)),""))</f>
        <v/>
      </c>
      <c r="H95" s="29">
        <f>IF(OR($A74="",H$116=0),"",IF(COUNT(OFFSET(H$121,$BB74-1,0,$BA74,1))&gt;0,AVERAGE(OFFSET(H$121,$BB74-1,0,$BA74,1)),""))</f>
        <v/>
      </c>
      <c r="I95" s="29">
        <f>IF(OR($A74="",I$116=0),"",IF(COUNT(OFFSET(I$121,$BB74-1,0,$BA74,1))&gt;0,AVERAGE(OFFSET(I$121,$BB74-1,0,$BA74,1)),""))</f>
        <v/>
      </c>
      <c r="J95" s="29">
        <f>IF(OR($A74="",J$116=0),"",IF(COUNT(OFFSET(J$121,$BB74-1,0,$BA74,1))&gt;0,AVERAGE(OFFSET(J$121,$BB74-1,0,$BA74,1)),""))</f>
        <v/>
      </c>
      <c r="K95" s="29">
        <f>IF(OR($A74="",K$116=0),"",IF(COUNT(OFFSET(K$121,$BB74-1,0,$BA74,1))&gt;0,AVERAGE(OFFSET(K$121,$BB74-1,0,$BA74,1)),""))</f>
        <v/>
      </c>
      <c r="L95" s="29">
        <f>IF(OR($A74="",L$116=0),"",IF(COUNT(OFFSET(L$121,$BB74-1,0,$BA74,1))&gt;0,AVERAGE(OFFSET(L$121,$BB74-1,0,$BA74,1)),""))</f>
        <v/>
      </c>
      <c r="M95" s="29">
        <f>IF(OR($A74="",M$116=0),"",IF(COUNT(OFFSET(M$121,$BB74-1,0,$BA74,1))&gt;0,AVERAGE(OFFSET(M$121,$BB74-1,0,$BA74,1)),""))</f>
        <v/>
      </c>
      <c r="N95" s="29">
        <f>IF(OR($A74="",N$116=0),"",IF(COUNT(OFFSET(N$121,$BB74-1,0,$BA74,1))&gt;0,AVERAGE(OFFSET(N$121,$BB74-1,0,$BA74,1)),""))</f>
        <v/>
      </c>
      <c r="O95" s="29">
        <f>IF(OR($A74="",O$116=0),"",IF(COUNT(OFFSET(O$121,$BB74-1,0,$BA74,1))&gt;0,AVERAGE(OFFSET(O$121,$BB74-1,0,$BA74,1)),""))</f>
        <v/>
      </c>
      <c r="P95" s="29">
        <f>IF(OR($A74="",P$116=0),"",IF(COUNT(OFFSET(P$121,$BB74-1,0,$BA74,1))&gt;0,AVERAGE(OFFSET(P$121,$BB74-1,0,$BA74,1)),""))</f>
        <v/>
      </c>
      <c r="Q95" s="29">
        <f>IF(OR($A74="",Q$116=0),"",IF(COUNT(OFFSET(Q$121,$BB74-1,0,$BA74,1))&gt;0,AVERAGE(OFFSET(Q$121,$BB74-1,0,$BA74,1)),""))</f>
        <v/>
      </c>
      <c r="R95" s="29">
        <f>IF(OR($A74="",R$116=0),"",IF(COUNT(OFFSET(R$121,$BB74-1,0,$BA74,1))&gt;0,AVERAGE(OFFSET(R$121,$BB74-1,0,$BA74,1)),""))</f>
        <v/>
      </c>
      <c r="S95" s="29">
        <f>IF(OR($A74="",S$116=0),"",IF(COUNT(OFFSET(S$121,$BB74-1,0,$BA74,1))&gt;0,AVERAGE(OFFSET(S$121,$BB74-1,0,$BA74,1)),""))</f>
        <v/>
      </c>
      <c r="T95" s="29">
        <f>IF(OR($A74="",T$116=0),"",IF(COUNT(OFFSET(T$121,$BB74-1,0,$BA74,1))&gt;0,AVERAGE(OFFSET(T$121,$BB74-1,0,$BA74,1)),""))</f>
        <v/>
      </c>
      <c r="U95" s="29">
        <f>IF(OR($A74="",U$116=0),"",IF(COUNT(OFFSET(U$121,$BB74-1,0,$BA74,1))&gt;0,AVERAGE(OFFSET(U$121,$BB74-1,0,$BA74,1)),""))</f>
        <v/>
      </c>
      <c r="V95" s="29">
        <f>IF(OR($A74="",V$116=0),"",IF(COUNT(OFFSET(V$121,$BB74-1,0,$BA74,1))&gt;0,AVERAGE(OFFSET(V$121,$BB74-1,0,$BA74,1)),""))</f>
        <v/>
      </c>
      <c r="W95" s="29">
        <f>IF(OR($A74="",W$116=0),"",IF(COUNT(OFFSET(W$121,$BB74-1,0,$BA74,1))&gt;0,AVERAGE(OFFSET(W$121,$BB74-1,0,$BA74,1)),""))</f>
        <v/>
      </c>
      <c r="X95" s="29">
        <f>IF(OR($A74="",X$116=0),"",IF(COUNT(OFFSET(X$121,$BB74-1,0,$BA74,1))&gt;0,AVERAGE(OFFSET(X$121,$BB74-1,0,$BA74,1)),""))</f>
        <v/>
      </c>
      <c r="Y95" s="29">
        <f>IF(OR($A74="",Y$116=0),"",IF(COUNT(OFFSET(Y$121,$BB74-1,0,$BA74,1))&gt;0,AVERAGE(OFFSET(Y$121,$BB74-1,0,$BA74,1)),""))</f>
        <v/>
      </c>
      <c r="Z95" s="29">
        <f>IF(OR($A74="",Z$116=0),"",IF(COUNT(OFFSET(Z$121,$BB74-1,0,$BA74,1))&gt;0,AVERAGE(OFFSET(Z$121,$BB74-1,0,$BA74,1)),""))</f>
        <v/>
      </c>
      <c r="AA95" s="29">
        <f>IF(OR($A74="",AA$116=0),"",IF(COUNT(OFFSET(AA$121,$BB74-1,0,$BA74,1))&gt;0,AVERAGE(OFFSET(AA$121,$BB74-1,0,$BA74,1)),""))</f>
        <v/>
      </c>
      <c r="AB95" s="29">
        <f>IF(OR($A74="",AB$116=0),"",IF(COUNT(OFFSET(AB$121,$BB74-1,0,$BA74,1))&gt;0,AVERAGE(OFFSET(AB$121,$BB74-1,0,$BA74,1)),""))</f>
        <v/>
      </c>
      <c r="AC95" s="29">
        <f>IF(OR($A74="",AC$116=0),"",IF(COUNT(OFFSET(AC$121,$BB74-1,0,$BA74,1))&gt;0,AVERAGE(OFFSET(AC$121,$BB74-1,0,$BA74,1)),""))</f>
        <v/>
      </c>
      <c r="AD95" s="29">
        <f>IF(OR($A74="",AD$116=0),"",IF(COUNT(OFFSET(AD$121,$BB74-1,0,$BA74,1))&gt;0,AVERAGE(OFFSET(AD$121,$BB74-1,0,$BA74,1)),""))</f>
        <v/>
      </c>
      <c r="AE95" s="29">
        <f>IF(OR($A74="",AE$116=0),"",IF(COUNT(OFFSET(AE$121,$BB74-1,0,$BA74,1))&gt;0,AVERAGE(OFFSET(AE$121,$BB74-1,0,$BA74,1)),""))</f>
        <v/>
      </c>
      <c r="AF95" s="29">
        <f>IF(OR($A74="",AF$116=0),"",IF(COUNT(OFFSET(AF$121,$BB74-1,0,$BA74,1))&gt;0,AVERAGE(OFFSET(AF$121,$BB74-1,0,$BA74,1)),""))</f>
        <v/>
      </c>
      <c r="AG95" s="29">
        <f>IF(OR($A74="",AG$116=0),"",IF(COUNT(OFFSET(AG$121,$BB74-1,0,$BA74,1))&gt;0,AVERAGE(OFFSET(AG$121,$BB74-1,0,$BA74,1)),""))</f>
        <v/>
      </c>
      <c r="AH95" s="29">
        <f>IF(OR($A74="",AH$116=0),"",IF(COUNT(OFFSET(AH$121,$BB74-1,0,$BA74,1))&gt;0,AVERAGE(OFFSET(AH$121,$BB74-1,0,$BA74,1)),""))</f>
        <v/>
      </c>
      <c r="AI95" s="29">
        <f>IF(OR($A74="",AI$116=0),"",IF(COUNT(OFFSET(AI$121,$BB74-1,0,$BA74,1))&gt;0,AVERAGE(OFFSET(AI$121,$BB74-1,0,$BA74,1)),""))</f>
        <v/>
      </c>
      <c r="AJ95" s="29">
        <f>IF(OR($A74="",AJ$116=0),"",IF(COUNT(OFFSET(AJ$121,$BB74-1,0,$BA74,1))&gt;0,AVERAGE(OFFSET(AJ$121,$BB74-1,0,$BA74,1)),""))</f>
        <v/>
      </c>
      <c r="AK95" s="29">
        <f>IF(OR($A74="",AK$116=0),"",IF(COUNT(OFFSET(AK$121,$BB74-1,0,$BA74,1))&gt;0,AVERAGE(OFFSET(AK$121,$BB74-1,0,$BA74,1)),""))</f>
        <v/>
      </c>
      <c r="AL95" s="29">
        <f>IF(OR($A74="",AL$116=0),"",IF(COUNT(OFFSET(AL$121,$BB74-1,0,$BA74,1))&gt;0,AVERAGE(OFFSET(AL$121,$BB74-1,0,$BA74,1)),""))</f>
        <v/>
      </c>
      <c r="AM95" s="29">
        <f>IF(OR($A74="",AM$116=0),"",IF(COUNT(OFFSET(AM$121,$BB74-1,0,$BA74,1))&gt;0,AVERAGE(OFFSET(AM$121,$BB74-1,0,$BA74,1)),""))</f>
        <v/>
      </c>
      <c r="AN95" s="29">
        <f>IF(OR($A74="",AN$116=0),"",IF(COUNT(OFFSET(AN$121,$BB74-1,0,$BA74,1))&gt;0,AVERAGE(OFFSET(AN$121,$BB74-1,0,$BA74,1)),""))</f>
        <v/>
      </c>
      <c r="AO95" s="29">
        <f>IF(OR($A74="",AO$116=0),"",IF(COUNT(OFFSET(AO$121,$BB74-1,0,$BA74,1))&gt;0,AVERAGE(OFFSET(AO$121,$BB74-1,0,$BA74,1)),""))</f>
        <v/>
      </c>
      <c r="AP95" s="29">
        <f>IF(OR($A74="",AP$116=0),"",IF(COUNT(OFFSET(AP$121,$BB74-1,0,$BA74,1))&gt;0,AVERAGE(OFFSET(AP$121,$BB74-1,0,$BA74,1)),""))</f>
        <v/>
      </c>
      <c r="AQ95" s="29">
        <f>IF(OR($A74="",AQ$116=0),"",IF(COUNT(OFFSET(AQ$121,$BB74-1,0,$BA74,1))&gt;0,AVERAGE(OFFSET(AQ$121,$BB74-1,0,$BA74,1)),""))</f>
        <v/>
      </c>
      <c r="AR95" s="29">
        <f>IF(OR($A74="",AR$116=0),"",IF(COUNT(OFFSET(AR$121,$BB74-1,0,$BA74,1))&gt;0,AVERAGE(OFFSET(AR$121,$BB74-1,0,$BA74,1)),""))</f>
        <v/>
      </c>
      <c r="AS95" s="29">
        <f>IF(OR($A74="",AS$116=0),"",IF(COUNT(OFFSET(AS$121,$BB74-1,0,$BA74,1))&gt;0,AVERAGE(OFFSET(AS$121,$BB74-1,0,$BA74,1)),""))</f>
        <v/>
      </c>
      <c r="AT95" s="29">
        <f>IF(OR($A74="",AT$116=0),"",IF(COUNT(OFFSET(AT$121,$BB74-1,0,$BA74,1))&gt;0,AVERAGE(OFFSET(AT$121,$BB74-1,0,$BA74,1)),""))</f>
        <v/>
      </c>
      <c r="AU95" s="29">
        <f>IF(OR($A74="",AU$116=0),"",IF(COUNT(OFFSET(AU$121,$BB74-1,0,$BA74,1))&gt;0,AVERAGE(OFFSET(AU$121,$BB74-1,0,$BA74,1)),""))</f>
        <v/>
      </c>
      <c r="AV95" s="29">
        <f>IF(OR($A74="",AV$116=0),"",IF(COUNT(OFFSET(AV$121,$BB74-1,0,$BA74,1))&gt;0,AVERAGE(OFFSET(AV$121,$BB74-1,0,$BA74,1)),""))</f>
        <v/>
      </c>
      <c r="AW95" s="29">
        <f>IF(OR($A74="",AW$116=0),"",IF(COUNT(OFFSET(AW$121,$BB74-1,0,$BA74,1))&gt;0,AVERAGE(OFFSET(AW$121,$BB74-1,0,$BA74,1)),""))</f>
        <v/>
      </c>
      <c r="AX95" s="29">
        <f>IF(OR($A74="",AX$116=0),"",IF(COUNT(OFFSET(AX$121,$BB74-1,0,$BA74,1))&gt;0,AVERAGE(OFFSET(AX$121,$BB74-1,0,$BA74,1)),""))</f>
        <v/>
      </c>
      <c r="AY95" s="29">
        <f>IF(OR($A74="",AY$116=0),"",IF(COUNT(OFFSET(AY$121,$BB74-1,0,$BA74,1))&gt;0,AVERAGE(OFFSET(AY$121,$BB74-1,0,$BA74,1)),""))</f>
        <v/>
      </c>
      <c r="AZ95" s="29">
        <f>IF($A74="","",AVERAGE(OFFSET($B$121,$BB74-1,0,$BA74,50)))</f>
        <v/>
      </c>
    </row>
    <row r="96">
      <c r="A96" s="13">
        <f>A75</f>
        <v/>
      </c>
      <c r="B96" s="29">
        <f>IF(OR($A75="",B$116=0),"",IF(COUNT(OFFSET(B$121,$BB75-1,0,$BA75,1))&gt;0,AVERAGE(OFFSET(B$121,$BB75-1,0,$BA75,1)),""))</f>
        <v/>
      </c>
      <c r="C96" s="29">
        <f>IF(OR($A75="",C$116=0),"",IF(COUNT(OFFSET(C$121,$BB75-1,0,$BA75,1))&gt;0,AVERAGE(OFFSET(C$121,$BB75-1,0,$BA75,1)),""))</f>
        <v/>
      </c>
      <c r="D96" s="29">
        <f>IF(OR($A75="",D$116=0),"",IF(COUNT(OFFSET(D$121,$BB75-1,0,$BA75,1))&gt;0,AVERAGE(OFFSET(D$121,$BB75-1,0,$BA75,1)),""))</f>
        <v/>
      </c>
      <c r="E96" s="29">
        <f>IF(OR($A75="",E$116=0),"",IF(COUNT(OFFSET(E$121,$BB75-1,0,$BA75,1))&gt;0,AVERAGE(OFFSET(E$121,$BB75-1,0,$BA75,1)),""))</f>
        <v/>
      </c>
      <c r="F96" s="29">
        <f>IF(OR($A75="",F$116=0),"",IF(COUNT(OFFSET(F$121,$BB75-1,0,$BA75,1))&gt;0,AVERAGE(OFFSET(F$121,$BB75-1,0,$BA75,1)),""))</f>
        <v/>
      </c>
      <c r="G96" s="29">
        <f>IF(OR($A75="",G$116=0),"",IF(COUNT(OFFSET(G$121,$BB75-1,0,$BA75,1))&gt;0,AVERAGE(OFFSET(G$121,$BB75-1,0,$BA75,1)),""))</f>
        <v/>
      </c>
      <c r="H96" s="29">
        <f>IF(OR($A75="",H$116=0),"",IF(COUNT(OFFSET(H$121,$BB75-1,0,$BA75,1))&gt;0,AVERAGE(OFFSET(H$121,$BB75-1,0,$BA75,1)),""))</f>
        <v/>
      </c>
      <c r="I96" s="29">
        <f>IF(OR($A75="",I$116=0),"",IF(COUNT(OFFSET(I$121,$BB75-1,0,$BA75,1))&gt;0,AVERAGE(OFFSET(I$121,$BB75-1,0,$BA75,1)),""))</f>
        <v/>
      </c>
      <c r="J96" s="29">
        <f>IF(OR($A75="",J$116=0),"",IF(COUNT(OFFSET(J$121,$BB75-1,0,$BA75,1))&gt;0,AVERAGE(OFFSET(J$121,$BB75-1,0,$BA75,1)),""))</f>
        <v/>
      </c>
      <c r="K96" s="29">
        <f>IF(OR($A75="",K$116=0),"",IF(COUNT(OFFSET(K$121,$BB75-1,0,$BA75,1))&gt;0,AVERAGE(OFFSET(K$121,$BB75-1,0,$BA75,1)),""))</f>
        <v/>
      </c>
      <c r="L96" s="29">
        <f>IF(OR($A75="",L$116=0),"",IF(COUNT(OFFSET(L$121,$BB75-1,0,$BA75,1))&gt;0,AVERAGE(OFFSET(L$121,$BB75-1,0,$BA75,1)),""))</f>
        <v/>
      </c>
      <c r="M96" s="29">
        <f>IF(OR($A75="",M$116=0),"",IF(COUNT(OFFSET(M$121,$BB75-1,0,$BA75,1))&gt;0,AVERAGE(OFFSET(M$121,$BB75-1,0,$BA75,1)),""))</f>
        <v/>
      </c>
      <c r="N96" s="29">
        <f>IF(OR($A75="",N$116=0),"",IF(COUNT(OFFSET(N$121,$BB75-1,0,$BA75,1))&gt;0,AVERAGE(OFFSET(N$121,$BB75-1,0,$BA75,1)),""))</f>
        <v/>
      </c>
      <c r="O96" s="29">
        <f>IF(OR($A75="",O$116=0),"",IF(COUNT(OFFSET(O$121,$BB75-1,0,$BA75,1))&gt;0,AVERAGE(OFFSET(O$121,$BB75-1,0,$BA75,1)),""))</f>
        <v/>
      </c>
      <c r="P96" s="29">
        <f>IF(OR($A75="",P$116=0),"",IF(COUNT(OFFSET(P$121,$BB75-1,0,$BA75,1))&gt;0,AVERAGE(OFFSET(P$121,$BB75-1,0,$BA75,1)),""))</f>
        <v/>
      </c>
      <c r="Q96" s="29">
        <f>IF(OR($A75="",Q$116=0),"",IF(COUNT(OFFSET(Q$121,$BB75-1,0,$BA75,1))&gt;0,AVERAGE(OFFSET(Q$121,$BB75-1,0,$BA75,1)),""))</f>
        <v/>
      </c>
      <c r="R96" s="29">
        <f>IF(OR($A75="",R$116=0),"",IF(COUNT(OFFSET(R$121,$BB75-1,0,$BA75,1))&gt;0,AVERAGE(OFFSET(R$121,$BB75-1,0,$BA75,1)),""))</f>
        <v/>
      </c>
      <c r="S96" s="29">
        <f>IF(OR($A75="",S$116=0),"",IF(COUNT(OFFSET(S$121,$BB75-1,0,$BA75,1))&gt;0,AVERAGE(OFFSET(S$121,$BB75-1,0,$BA75,1)),""))</f>
        <v/>
      </c>
      <c r="T96" s="29">
        <f>IF(OR($A75="",T$116=0),"",IF(COUNT(OFFSET(T$121,$BB75-1,0,$BA75,1))&gt;0,AVERAGE(OFFSET(T$121,$BB75-1,0,$BA75,1)),""))</f>
        <v/>
      </c>
      <c r="U96" s="29">
        <f>IF(OR($A75="",U$116=0),"",IF(COUNT(OFFSET(U$121,$BB75-1,0,$BA75,1))&gt;0,AVERAGE(OFFSET(U$121,$BB75-1,0,$BA75,1)),""))</f>
        <v/>
      </c>
      <c r="V96" s="29">
        <f>IF(OR($A75="",V$116=0),"",IF(COUNT(OFFSET(V$121,$BB75-1,0,$BA75,1))&gt;0,AVERAGE(OFFSET(V$121,$BB75-1,0,$BA75,1)),""))</f>
        <v/>
      </c>
      <c r="W96" s="29">
        <f>IF(OR($A75="",W$116=0),"",IF(COUNT(OFFSET(W$121,$BB75-1,0,$BA75,1))&gt;0,AVERAGE(OFFSET(W$121,$BB75-1,0,$BA75,1)),""))</f>
        <v/>
      </c>
      <c r="X96" s="29">
        <f>IF(OR($A75="",X$116=0),"",IF(COUNT(OFFSET(X$121,$BB75-1,0,$BA75,1))&gt;0,AVERAGE(OFFSET(X$121,$BB75-1,0,$BA75,1)),""))</f>
        <v/>
      </c>
      <c r="Y96" s="29">
        <f>IF(OR($A75="",Y$116=0),"",IF(COUNT(OFFSET(Y$121,$BB75-1,0,$BA75,1))&gt;0,AVERAGE(OFFSET(Y$121,$BB75-1,0,$BA75,1)),""))</f>
        <v/>
      </c>
      <c r="Z96" s="29">
        <f>IF(OR($A75="",Z$116=0),"",IF(COUNT(OFFSET(Z$121,$BB75-1,0,$BA75,1))&gt;0,AVERAGE(OFFSET(Z$121,$BB75-1,0,$BA75,1)),""))</f>
        <v/>
      </c>
      <c r="AA96" s="29">
        <f>IF(OR($A75="",AA$116=0),"",IF(COUNT(OFFSET(AA$121,$BB75-1,0,$BA75,1))&gt;0,AVERAGE(OFFSET(AA$121,$BB75-1,0,$BA75,1)),""))</f>
        <v/>
      </c>
      <c r="AB96" s="29">
        <f>IF(OR($A75="",AB$116=0),"",IF(COUNT(OFFSET(AB$121,$BB75-1,0,$BA75,1))&gt;0,AVERAGE(OFFSET(AB$121,$BB75-1,0,$BA75,1)),""))</f>
        <v/>
      </c>
      <c r="AC96" s="29">
        <f>IF(OR($A75="",AC$116=0),"",IF(COUNT(OFFSET(AC$121,$BB75-1,0,$BA75,1))&gt;0,AVERAGE(OFFSET(AC$121,$BB75-1,0,$BA75,1)),""))</f>
        <v/>
      </c>
      <c r="AD96" s="29">
        <f>IF(OR($A75="",AD$116=0),"",IF(COUNT(OFFSET(AD$121,$BB75-1,0,$BA75,1))&gt;0,AVERAGE(OFFSET(AD$121,$BB75-1,0,$BA75,1)),""))</f>
        <v/>
      </c>
      <c r="AE96" s="29">
        <f>IF(OR($A75="",AE$116=0),"",IF(COUNT(OFFSET(AE$121,$BB75-1,0,$BA75,1))&gt;0,AVERAGE(OFFSET(AE$121,$BB75-1,0,$BA75,1)),""))</f>
        <v/>
      </c>
      <c r="AF96" s="29">
        <f>IF(OR($A75="",AF$116=0),"",IF(COUNT(OFFSET(AF$121,$BB75-1,0,$BA75,1))&gt;0,AVERAGE(OFFSET(AF$121,$BB75-1,0,$BA75,1)),""))</f>
        <v/>
      </c>
      <c r="AG96" s="29">
        <f>IF(OR($A75="",AG$116=0),"",IF(COUNT(OFFSET(AG$121,$BB75-1,0,$BA75,1))&gt;0,AVERAGE(OFFSET(AG$121,$BB75-1,0,$BA75,1)),""))</f>
        <v/>
      </c>
      <c r="AH96" s="29">
        <f>IF(OR($A75="",AH$116=0),"",IF(COUNT(OFFSET(AH$121,$BB75-1,0,$BA75,1))&gt;0,AVERAGE(OFFSET(AH$121,$BB75-1,0,$BA75,1)),""))</f>
        <v/>
      </c>
      <c r="AI96" s="29">
        <f>IF(OR($A75="",AI$116=0),"",IF(COUNT(OFFSET(AI$121,$BB75-1,0,$BA75,1))&gt;0,AVERAGE(OFFSET(AI$121,$BB75-1,0,$BA75,1)),""))</f>
        <v/>
      </c>
      <c r="AJ96" s="29">
        <f>IF(OR($A75="",AJ$116=0),"",IF(COUNT(OFFSET(AJ$121,$BB75-1,0,$BA75,1))&gt;0,AVERAGE(OFFSET(AJ$121,$BB75-1,0,$BA75,1)),""))</f>
        <v/>
      </c>
      <c r="AK96" s="29">
        <f>IF(OR($A75="",AK$116=0),"",IF(COUNT(OFFSET(AK$121,$BB75-1,0,$BA75,1))&gt;0,AVERAGE(OFFSET(AK$121,$BB75-1,0,$BA75,1)),""))</f>
        <v/>
      </c>
      <c r="AL96" s="29">
        <f>IF(OR($A75="",AL$116=0),"",IF(COUNT(OFFSET(AL$121,$BB75-1,0,$BA75,1))&gt;0,AVERAGE(OFFSET(AL$121,$BB75-1,0,$BA75,1)),""))</f>
        <v/>
      </c>
      <c r="AM96" s="29">
        <f>IF(OR($A75="",AM$116=0),"",IF(COUNT(OFFSET(AM$121,$BB75-1,0,$BA75,1))&gt;0,AVERAGE(OFFSET(AM$121,$BB75-1,0,$BA75,1)),""))</f>
        <v/>
      </c>
      <c r="AN96" s="29">
        <f>IF(OR($A75="",AN$116=0),"",IF(COUNT(OFFSET(AN$121,$BB75-1,0,$BA75,1))&gt;0,AVERAGE(OFFSET(AN$121,$BB75-1,0,$BA75,1)),""))</f>
        <v/>
      </c>
      <c r="AO96" s="29">
        <f>IF(OR($A75="",AO$116=0),"",IF(COUNT(OFFSET(AO$121,$BB75-1,0,$BA75,1))&gt;0,AVERAGE(OFFSET(AO$121,$BB75-1,0,$BA75,1)),""))</f>
        <v/>
      </c>
      <c r="AP96" s="29">
        <f>IF(OR($A75="",AP$116=0),"",IF(COUNT(OFFSET(AP$121,$BB75-1,0,$BA75,1))&gt;0,AVERAGE(OFFSET(AP$121,$BB75-1,0,$BA75,1)),""))</f>
        <v/>
      </c>
      <c r="AQ96" s="29">
        <f>IF(OR($A75="",AQ$116=0),"",IF(COUNT(OFFSET(AQ$121,$BB75-1,0,$BA75,1))&gt;0,AVERAGE(OFFSET(AQ$121,$BB75-1,0,$BA75,1)),""))</f>
        <v/>
      </c>
      <c r="AR96" s="29">
        <f>IF(OR($A75="",AR$116=0),"",IF(COUNT(OFFSET(AR$121,$BB75-1,0,$BA75,1))&gt;0,AVERAGE(OFFSET(AR$121,$BB75-1,0,$BA75,1)),""))</f>
        <v/>
      </c>
      <c r="AS96" s="29">
        <f>IF(OR($A75="",AS$116=0),"",IF(COUNT(OFFSET(AS$121,$BB75-1,0,$BA75,1))&gt;0,AVERAGE(OFFSET(AS$121,$BB75-1,0,$BA75,1)),""))</f>
        <v/>
      </c>
      <c r="AT96" s="29">
        <f>IF(OR($A75="",AT$116=0),"",IF(COUNT(OFFSET(AT$121,$BB75-1,0,$BA75,1))&gt;0,AVERAGE(OFFSET(AT$121,$BB75-1,0,$BA75,1)),""))</f>
        <v/>
      </c>
      <c r="AU96" s="29">
        <f>IF(OR($A75="",AU$116=0),"",IF(COUNT(OFFSET(AU$121,$BB75-1,0,$BA75,1))&gt;0,AVERAGE(OFFSET(AU$121,$BB75-1,0,$BA75,1)),""))</f>
        <v/>
      </c>
      <c r="AV96" s="29">
        <f>IF(OR($A75="",AV$116=0),"",IF(COUNT(OFFSET(AV$121,$BB75-1,0,$BA75,1))&gt;0,AVERAGE(OFFSET(AV$121,$BB75-1,0,$BA75,1)),""))</f>
        <v/>
      </c>
      <c r="AW96" s="29">
        <f>IF(OR($A75="",AW$116=0),"",IF(COUNT(OFFSET(AW$121,$BB75-1,0,$BA75,1))&gt;0,AVERAGE(OFFSET(AW$121,$BB75-1,0,$BA75,1)),""))</f>
        <v/>
      </c>
      <c r="AX96" s="29">
        <f>IF(OR($A75="",AX$116=0),"",IF(COUNT(OFFSET(AX$121,$BB75-1,0,$BA75,1))&gt;0,AVERAGE(OFFSET(AX$121,$BB75-1,0,$BA75,1)),""))</f>
        <v/>
      </c>
      <c r="AY96" s="29">
        <f>IF(OR($A75="",AY$116=0),"",IF(COUNT(OFFSET(AY$121,$BB75-1,0,$BA75,1))&gt;0,AVERAGE(OFFSET(AY$121,$BB75-1,0,$BA75,1)),""))</f>
        <v/>
      </c>
      <c r="AZ96" s="29">
        <f>IF($A75="","",AVERAGE(OFFSET($B$121,$BB75-1,0,$BA75,50)))</f>
        <v/>
      </c>
    </row>
    <row r="97">
      <c r="A97" s="13">
        <f>A76</f>
        <v/>
      </c>
      <c r="B97" s="29">
        <f>IF(OR($A76="",B$116=0),"",IF(COUNT(OFFSET(B$121,$BB76-1,0,$BA76,1))&gt;0,AVERAGE(OFFSET(B$121,$BB76-1,0,$BA76,1)),""))</f>
        <v/>
      </c>
      <c r="C97" s="29">
        <f>IF(OR($A76="",C$116=0),"",IF(COUNT(OFFSET(C$121,$BB76-1,0,$BA76,1))&gt;0,AVERAGE(OFFSET(C$121,$BB76-1,0,$BA76,1)),""))</f>
        <v/>
      </c>
      <c r="D97" s="29">
        <f>IF(OR($A76="",D$116=0),"",IF(COUNT(OFFSET(D$121,$BB76-1,0,$BA76,1))&gt;0,AVERAGE(OFFSET(D$121,$BB76-1,0,$BA76,1)),""))</f>
        <v/>
      </c>
      <c r="E97" s="29">
        <f>IF(OR($A76="",E$116=0),"",IF(COUNT(OFFSET(E$121,$BB76-1,0,$BA76,1))&gt;0,AVERAGE(OFFSET(E$121,$BB76-1,0,$BA76,1)),""))</f>
        <v/>
      </c>
      <c r="F97" s="29">
        <f>IF(OR($A76="",F$116=0),"",IF(COUNT(OFFSET(F$121,$BB76-1,0,$BA76,1))&gt;0,AVERAGE(OFFSET(F$121,$BB76-1,0,$BA76,1)),""))</f>
        <v/>
      </c>
      <c r="G97" s="29">
        <f>IF(OR($A76="",G$116=0),"",IF(COUNT(OFFSET(G$121,$BB76-1,0,$BA76,1))&gt;0,AVERAGE(OFFSET(G$121,$BB76-1,0,$BA76,1)),""))</f>
        <v/>
      </c>
      <c r="H97" s="29">
        <f>IF(OR($A76="",H$116=0),"",IF(COUNT(OFFSET(H$121,$BB76-1,0,$BA76,1))&gt;0,AVERAGE(OFFSET(H$121,$BB76-1,0,$BA76,1)),""))</f>
        <v/>
      </c>
      <c r="I97" s="29">
        <f>IF(OR($A76="",I$116=0),"",IF(COUNT(OFFSET(I$121,$BB76-1,0,$BA76,1))&gt;0,AVERAGE(OFFSET(I$121,$BB76-1,0,$BA76,1)),""))</f>
        <v/>
      </c>
      <c r="J97" s="29">
        <f>IF(OR($A76="",J$116=0),"",IF(COUNT(OFFSET(J$121,$BB76-1,0,$BA76,1))&gt;0,AVERAGE(OFFSET(J$121,$BB76-1,0,$BA76,1)),""))</f>
        <v/>
      </c>
      <c r="K97" s="29">
        <f>IF(OR($A76="",K$116=0),"",IF(COUNT(OFFSET(K$121,$BB76-1,0,$BA76,1))&gt;0,AVERAGE(OFFSET(K$121,$BB76-1,0,$BA76,1)),""))</f>
        <v/>
      </c>
      <c r="L97" s="29">
        <f>IF(OR($A76="",L$116=0),"",IF(COUNT(OFFSET(L$121,$BB76-1,0,$BA76,1))&gt;0,AVERAGE(OFFSET(L$121,$BB76-1,0,$BA76,1)),""))</f>
        <v/>
      </c>
      <c r="M97" s="29">
        <f>IF(OR($A76="",M$116=0),"",IF(COUNT(OFFSET(M$121,$BB76-1,0,$BA76,1))&gt;0,AVERAGE(OFFSET(M$121,$BB76-1,0,$BA76,1)),""))</f>
        <v/>
      </c>
      <c r="N97" s="29">
        <f>IF(OR($A76="",N$116=0),"",IF(COUNT(OFFSET(N$121,$BB76-1,0,$BA76,1))&gt;0,AVERAGE(OFFSET(N$121,$BB76-1,0,$BA76,1)),""))</f>
        <v/>
      </c>
      <c r="O97" s="29">
        <f>IF(OR($A76="",O$116=0),"",IF(COUNT(OFFSET(O$121,$BB76-1,0,$BA76,1))&gt;0,AVERAGE(OFFSET(O$121,$BB76-1,0,$BA76,1)),""))</f>
        <v/>
      </c>
      <c r="P97" s="29">
        <f>IF(OR($A76="",P$116=0),"",IF(COUNT(OFFSET(P$121,$BB76-1,0,$BA76,1))&gt;0,AVERAGE(OFFSET(P$121,$BB76-1,0,$BA76,1)),""))</f>
        <v/>
      </c>
      <c r="Q97" s="29">
        <f>IF(OR($A76="",Q$116=0),"",IF(COUNT(OFFSET(Q$121,$BB76-1,0,$BA76,1))&gt;0,AVERAGE(OFFSET(Q$121,$BB76-1,0,$BA76,1)),""))</f>
        <v/>
      </c>
      <c r="R97" s="29">
        <f>IF(OR($A76="",R$116=0),"",IF(COUNT(OFFSET(R$121,$BB76-1,0,$BA76,1))&gt;0,AVERAGE(OFFSET(R$121,$BB76-1,0,$BA76,1)),""))</f>
        <v/>
      </c>
      <c r="S97" s="29">
        <f>IF(OR($A76="",S$116=0),"",IF(COUNT(OFFSET(S$121,$BB76-1,0,$BA76,1))&gt;0,AVERAGE(OFFSET(S$121,$BB76-1,0,$BA76,1)),""))</f>
        <v/>
      </c>
      <c r="T97" s="29">
        <f>IF(OR($A76="",T$116=0),"",IF(COUNT(OFFSET(T$121,$BB76-1,0,$BA76,1))&gt;0,AVERAGE(OFFSET(T$121,$BB76-1,0,$BA76,1)),""))</f>
        <v/>
      </c>
      <c r="U97" s="29">
        <f>IF(OR($A76="",U$116=0),"",IF(COUNT(OFFSET(U$121,$BB76-1,0,$BA76,1))&gt;0,AVERAGE(OFFSET(U$121,$BB76-1,0,$BA76,1)),""))</f>
        <v/>
      </c>
      <c r="V97" s="29">
        <f>IF(OR($A76="",V$116=0),"",IF(COUNT(OFFSET(V$121,$BB76-1,0,$BA76,1))&gt;0,AVERAGE(OFFSET(V$121,$BB76-1,0,$BA76,1)),""))</f>
        <v/>
      </c>
      <c r="W97" s="29">
        <f>IF(OR($A76="",W$116=0),"",IF(COUNT(OFFSET(W$121,$BB76-1,0,$BA76,1))&gt;0,AVERAGE(OFFSET(W$121,$BB76-1,0,$BA76,1)),""))</f>
        <v/>
      </c>
      <c r="X97" s="29">
        <f>IF(OR($A76="",X$116=0),"",IF(COUNT(OFFSET(X$121,$BB76-1,0,$BA76,1))&gt;0,AVERAGE(OFFSET(X$121,$BB76-1,0,$BA76,1)),""))</f>
        <v/>
      </c>
      <c r="Y97" s="29">
        <f>IF(OR($A76="",Y$116=0),"",IF(COUNT(OFFSET(Y$121,$BB76-1,0,$BA76,1))&gt;0,AVERAGE(OFFSET(Y$121,$BB76-1,0,$BA76,1)),""))</f>
        <v/>
      </c>
      <c r="Z97" s="29">
        <f>IF(OR($A76="",Z$116=0),"",IF(COUNT(OFFSET(Z$121,$BB76-1,0,$BA76,1))&gt;0,AVERAGE(OFFSET(Z$121,$BB76-1,0,$BA76,1)),""))</f>
        <v/>
      </c>
      <c r="AA97" s="29">
        <f>IF(OR($A76="",AA$116=0),"",IF(COUNT(OFFSET(AA$121,$BB76-1,0,$BA76,1))&gt;0,AVERAGE(OFFSET(AA$121,$BB76-1,0,$BA76,1)),""))</f>
        <v/>
      </c>
      <c r="AB97" s="29">
        <f>IF(OR($A76="",AB$116=0),"",IF(COUNT(OFFSET(AB$121,$BB76-1,0,$BA76,1))&gt;0,AVERAGE(OFFSET(AB$121,$BB76-1,0,$BA76,1)),""))</f>
        <v/>
      </c>
      <c r="AC97" s="29">
        <f>IF(OR($A76="",AC$116=0),"",IF(COUNT(OFFSET(AC$121,$BB76-1,0,$BA76,1))&gt;0,AVERAGE(OFFSET(AC$121,$BB76-1,0,$BA76,1)),""))</f>
        <v/>
      </c>
      <c r="AD97" s="29">
        <f>IF(OR($A76="",AD$116=0),"",IF(COUNT(OFFSET(AD$121,$BB76-1,0,$BA76,1))&gt;0,AVERAGE(OFFSET(AD$121,$BB76-1,0,$BA76,1)),""))</f>
        <v/>
      </c>
      <c r="AE97" s="29">
        <f>IF(OR($A76="",AE$116=0),"",IF(COUNT(OFFSET(AE$121,$BB76-1,0,$BA76,1))&gt;0,AVERAGE(OFFSET(AE$121,$BB76-1,0,$BA76,1)),""))</f>
        <v/>
      </c>
      <c r="AF97" s="29">
        <f>IF(OR($A76="",AF$116=0),"",IF(COUNT(OFFSET(AF$121,$BB76-1,0,$BA76,1))&gt;0,AVERAGE(OFFSET(AF$121,$BB76-1,0,$BA76,1)),""))</f>
        <v/>
      </c>
      <c r="AG97" s="29">
        <f>IF(OR($A76="",AG$116=0),"",IF(COUNT(OFFSET(AG$121,$BB76-1,0,$BA76,1))&gt;0,AVERAGE(OFFSET(AG$121,$BB76-1,0,$BA76,1)),""))</f>
        <v/>
      </c>
      <c r="AH97" s="29">
        <f>IF(OR($A76="",AH$116=0),"",IF(COUNT(OFFSET(AH$121,$BB76-1,0,$BA76,1))&gt;0,AVERAGE(OFFSET(AH$121,$BB76-1,0,$BA76,1)),""))</f>
        <v/>
      </c>
      <c r="AI97" s="29">
        <f>IF(OR($A76="",AI$116=0),"",IF(COUNT(OFFSET(AI$121,$BB76-1,0,$BA76,1))&gt;0,AVERAGE(OFFSET(AI$121,$BB76-1,0,$BA76,1)),""))</f>
        <v/>
      </c>
      <c r="AJ97" s="29">
        <f>IF(OR($A76="",AJ$116=0),"",IF(COUNT(OFFSET(AJ$121,$BB76-1,0,$BA76,1))&gt;0,AVERAGE(OFFSET(AJ$121,$BB76-1,0,$BA76,1)),""))</f>
        <v/>
      </c>
      <c r="AK97" s="29">
        <f>IF(OR($A76="",AK$116=0),"",IF(COUNT(OFFSET(AK$121,$BB76-1,0,$BA76,1))&gt;0,AVERAGE(OFFSET(AK$121,$BB76-1,0,$BA76,1)),""))</f>
        <v/>
      </c>
      <c r="AL97" s="29">
        <f>IF(OR($A76="",AL$116=0),"",IF(COUNT(OFFSET(AL$121,$BB76-1,0,$BA76,1))&gt;0,AVERAGE(OFFSET(AL$121,$BB76-1,0,$BA76,1)),""))</f>
        <v/>
      </c>
      <c r="AM97" s="29">
        <f>IF(OR($A76="",AM$116=0),"",IF(COUNT(OFFSET(AM$121,$BB76-1,0,$BA76,1))&gt;0,AVERAGE(OFFSET(AM$121,$BB76-1,0,$BA76,1)),""))</f>
        <v/>
      </c>
      <c r="AN97" s="29">
        <f>IF(OR($A76="",AN$116=0),"",IF(COUNT(OFFSET(AN$121,$BB76-1,0,$BA76,1))&gt;0,AVERAGE(OFFSET(AN$121,$BB76-1,0,$BA76,1)),""))</f>
        <v/>
      </c>
      <c r="AO97" s="29">
        <f>IF(OR($A76="",AO$116=0),"",IF(COUNT(OFFSET(AO$121,$BB76-1,0,$BA76,1))&gt;0,AVERAGE(OFFSET(AO$121,$BB76-1,0,$BA76,1)),""))</f>
        <v/>
      </c>
      <c r="AP97" s="29">
        <f>IF(OR($A76="",AP$116=0),"",IF(COUNT(OFFSET(AP$121,$BB76-1,0,$BA76,1))&gt;0,AVERAGE(OFFSET(AP$121,$BB76-1,0,$BA76,1)),""))</f>
        <v/>
      </c>
      <c r="AQ97" s="29">
        <f>IF(OR($A76="",AQ$116=0),"",IF(COUNT(OFFSET(AQ$121,$BB76-1,0,$BA76,1))&gt;0,AVERAGE(OFFSET(AQ$121,$BB76-1,0,$BA76,1)),""))</f>
        <v/>
      </c>
      <c r="AR97" s="29">
        <f>IF(OR($A76="",AR$116=0),"",IF(COUNT(OFFSET(AR$121,$BB76-1,0,$BA76,1))&gt;0,AVERAGE(OFFSET(AR$121,$BB76-1,0,$BA76,1)),""))</f>
        <v/>
      </c>
      <c r="AS97" s="29">
        <f>IF(OR($A76="",AS$116=0),"",IF(COUNT(OFFSET(AS$121,$BB76-1,0,$BA76,1))&gt;0,AVERAGE(OFFSET(AS$121,$BB76-1,0,$BA76,1)),""))</f>
        <v/>
      </c>
      <c r="AT97" s="29">
        <f>IF(OR($A76="",AT$116=0),"",IF(COUNT(OFFSET(AT$121,$BB76-1,0,$BA76,1))&gt;0,AVERAGE(OFFSET(AT$121,$BB76-1,0,$BA76,1)),""))</f>
        <v/>
      </c>
      <c r="AU97" s="29">
        <f>IF(OR($A76="",AU$116=0),"",IF(COUNT(OFFSET(AU$121,$BB76-1,0,$BA76,1))&gt;0,AVERAGE(OFFSET(AU$121,$BB76-1,0,$BA76,1)),""))</f>
        <v/>
      </c>
      <c r="AV97" s="29">
        <f>IF(OR($A76="",AV$116=0),"",IF(COUNT(OFFSET(AV$121,$BB76-1,0,$BA76,1))&gt;0,AVERAGE(OFFSET(AV$121,$BB76-1,0,$BA76,1)),""))</f>
        <v/>
      </c>
      <c r="AW97" s="29">
        <f>IF(OR($A76="",AW$116=0),"",IF(COUNT(OFFSET(AW$121,$BB76-1,0,$BA76,1))&gt;0,AVERAGE(OFFSET(AW$121,$BB76-1,0,$BA76,1)),""))</f>
        <v/>
      </c>
      <c r="AX97" s="29">
        <f>IF(OR($A76="",AX$116=0),"",IF(COUNT(OFFSET(AX$121,$BB76-1,0,$BA76,1))&gt;0,AVERAGE(OFFSET(AX$121,$BB76-1,0,$BA76,1)),""))</f>
        <v/>
      </c>
      <c r="AY97" s="29">
        <f>IF(OR($A76="",AY$116=0),"",IF(COUNT(OFFSET(AY$121,$BB76-1,0,$BA76,1))&gt;0,AVERAGE(OFFSET(AY$121,$BB76-1,0,$BA76,1)),""))</f>
        <v/>
      </c>
      <c r="AZ97" s="29">
        <f>IF($A76="","",AVERAGE(OFFSET($B$121,$BB76-1,0,$BA76,50)))</f>
        <v/>
      </c>
    </row>
    <row r="98">
      <c r="A98" s="13">
        <f>A77</f>
        <v/>
      </c>
      <c r="B98" s="29">
        <f>IF(OR($A77="",B$116=0),"",IF(COUNT(OFFSET(B$121,$BB77-1,0,$BA77,1))&gt;0,AVERAGE(OFFSET(B$121,$BB77-1,0,$BA77,1)),""))</f>
        <v/>
      </c>
      <c r="C98" s="29">
        <f>IF(OR($A77="",C$116=0),"",IF(COUNT(OFFSET(C$121,$BB77-1,0,$BA77,1))&gt;0,AVERAGE(OFFSET(C$121,$BB77-1,0,$BA77,1)),""))</f>
        <v/>
      </c>
      <c r="D98" s="29">
        <f>IF(OR($A77="",D$116=0),"",IF(COUNT(OFFSET(D$121,$BB77-1,0,$BA77,1))&gt;0,AVERAGE(OFFSET(D$121,$BB77-1,0,$BA77,1)),""))</f>
        <v/>
      </c>
      <c r="E98" s="29">
        <f>IF(OR($A77="",E$116=0),"",IF(COUNT(OFFSET(E$121,$BB77-1,0,$BA77,1))&gt;0,AVERAGE(OFFSET(E$121,$BB77-1,0,$BA77,1)),""))</f>
        <v/>
      </c>
      <c r="F98" s="29">
        <f>IF(OR($A77="",F$116=0),"",IF(COUNT(OFFSET(F$121,$BB77-1,0,$BA77,1))&gt;0,AVERAGE(OFFSET(F$121,$BB77-1,0,$BA77,1)),""))</f>
        <v/>
      </c>
      <c r="G98" s="29">
        <f>IF(OR($A77="",G$116=0),"",IF(COUNT(OFFSET(G$121,$BB77-1,0,$BA77,1))&gt;0,AVERAGE(OFFSET(G$121,$BB77-1,0,$BA77,1)),""))</f>
        <v/>
      </c>
      <c r="H98" s="29">
        <f>IF(OR($A77="",H$116=0),"",IF(COUNT(OFFSET(H$121,$BB77-1,0,$BA77,1))&gt;0,AVERAGE(OFFSET(H$121,$BB77-1,0,$BA77,1)),""))</f>
        <v/>
      </c>
      <c r="I98" s="29">
        <f>IF(OR($A77="",I$116=0),"",IF(COUNT(OFFSET(I$121,$BB77-1,0,$BA77,1))&gt;0,AVERAGE(OFFSET(I$121,$BB77-1,0,$BA77,1)),""))</f>
        <v/>
      </c>
      <c r="J98" s="29">
        <f>IF(OR($A77="",J$116=0),"",IF(COUNT(OFFSET(J$121,$BB77-1,0,$BA77,1))&gt;0,AVERAGE(OFFSET(J$121,$BB77-1,0,$BA77,1)),""))</f>
        <v/>
      </c>
      <c r="K98" s="29">
        <f>IF(OR($A77="",K$116=0),"",IF(COUNT(OFFSET(K$121,$BB77-1,0,$BA77,1))&gt;0,AVERAGE(OFFSET(K$121,$BB77-1,0,$BA77,1)),""))</f>
        <v/>
      </c>
      <c r="L98" s="29">
        <f>IF(OR($A77="",L$116=0),"",IF(COUNT(OFFSET(L$121,$BB77-1,0,$BA77,1))&gt;0,AVERAGE(OFFSET(L$121,$BB77-1,0,$BA77,1)),""))</f>
        <v/>
      </c>
      <c r="M98" s="29">
        <f>IF(OR($A77="",M$116=0),"",IF(COUNT(OFFSET(M$121,$BB77-1,0,$BA77,1))&gt;0,AVERAGE(OFFSET(M$121,$BB77-1,0,$BA77,1)),""))</f>
        <v/>
      </c>
      <c r="N98" s="29">
        <f>IF(OR($A77="",N$116=0),"",IF(COUNT(OFFSET(N$121,$BB77-1,0,$BA77,1))&gt;0,AVERAGE(OFFSET(N$121,$BB77-1,0,$BA77,1)),""))</f>
        <v/>
      </c>
      <c r="O98" s="29">
        <f>IF(OR($A77="",O$116=0),"",IF(COUNT(OFFSET(O$121,$BB77-1,0,$BA77,1))&gt;0,AVERAGE(OFFSET(O$121,$BB77-1,0,$BA77,1)),""))</f>
        <v/>
      </c>
      <c r="P98" s="29">
        <f>IF(OR($A77="",P$116=0),"",IF(COUNT(OFFSET(P$121,$BB77-1,0,$BA77,1))&gt;0,AVERAGE(OFFSET(P$121,$BB77-1,0,$BA77,1)),""))</f>
        <v/>
      </c>
      <c r="Q98" s="29">
        <f>IF(OR($A77="",Q$116=0),"",IF(COUNT(OFFSET(Q$121,$BB77-1,0,$BA77,1))&gt;0,AVERAGE(OFFSET(Q$121,$BB77-1,0,$BA77,1)),""))</f>
        <v/>
      </c>
      <c r="R98" s="29">
        <f>IF(OR($A77="",R$116=0),"",IF(COUNT(OFFSET(R$121,$BB77-1,0,$BA77,1))&gt;0,AVERAGE(OFFSET(R$121,$BB77-1,0,$BA77,1)),""))</f>
        <v/>
      </c>
      <c r="S98" s="29">
        <f>IF(OR($A77="",S$116=0),"",IF(COUNT(OFFSET(S$121,$BB77-1,0,$BA77,1))&gt;0,AVERAGE(OFFSET(S$121,$BB77-1,0,$BA77,1)),""))</f>
        <v/>
      </c>
      <c r="T98" s="29">
        <f>IF(OR($A77="",T$116=0),"",IF(COUNT(OFFSET(T$121,$BB77-1,0,$BA77,1))&gt;0,AVERAGE(OFFSET(T$121,$BB77-1,0,$BA77,1)),""))</f>
        <v/>
      </c>
      <c r="U98" s="29">
        <f>IF(OR($A77="",U$116=0),"",IF(COUNT(OFFSET(U$121,$BB77-1,0,$BA77,1))&gt;0,AVERAGE(OFFSET(U$121,$BB77-1,0,$BA77,1)),""))</f>
        <v/>
      </c>
      <c r="V98" s="29">
        <f>IF(OR($A77="",V$116=0),"",IF(COUNT(OFFSET(V$121,$BB77-1,0,$BA77,1))&gt;0,AVERAGE(OFFSET(V$121,$BB77-1,0,$BA77,1)),""))</f>
        <v/>
      </c>
      <c r="W98" s="29">
        <f>IF(OR($A77="",W$116=0),"",IF(COUNT(OFFSET(W$121,$BB77-1,0,$BA77,1))&gt;0,AVERAGE(OFFSET(W$121,$BB77-1,0,$BA77,1)),""))</f>
        <v/>
      </c>
      <c r="X98" s="29">
        <f>IF(OR($A77="",X$116=0),"",IF(COUNT(OFFSET(X$121,$BB77-1,0,$BA77,1))&gt;0,AVERAGE(OFFSET(X$121,$BB77-1,0,$BA77,1)),""))</f>
        <v/>
      </c>
      <c r="Y98" s="29">
        <f>IF(OR($A77="",Y$116=0),"",IF(COUNT(OFFSET(Y$121,$BB77-1,0,$BA77,1))&gt;0,AVERAGE(OFFSET(Y$121,$BB77-1,0,$BA77,1)),""))</f>
        <v/>
      </c>
      <c r="Z98" s="29">
        <f>IF(OR($A77="",Z$116=0),"",IF(COUNT(OFFSET(Z$121,$BB77-1,0,$BA77,1))&gt;0,AVERAGE(OFFSET(Z$121,$BB77-1,0,$BA77,1)),""))</f>
        <v/>
      </c>
      <c r="AA98" s="29">
        <f>IF(OR($A77="",AA$116=0),"",IF(COUNT(OFFSET(AA$121,$BB77-1,0,$BA77,1))&gt;0,AVERAGE(OFFSET(AA$121,$BB77-1,0,$BA77,1)),""))</f>
        <v/>
      </c>
      <c r="AB98" s="29">
        <f>IF(OR($A77="",AB$116=0),"",IF(COUNT(OFFSET(AB$121,$BB77-1,0,$BA77,1))&gt;0,AVERAGE(OFFSET(AB$121,$BB77-1,0,$BA77,1)),""))</f>
        <v/>
      </c>
      <c r="AC98" s="29">
        <f>IF(OR($A77="",AC$116=0),"",IF(COUNT(OFFSET(AC$121,$BB77-1,0,$BA77,1))&gt;0,AVERAGE(OFFSET(AC$121,$BB77-1,0,$BA77,1)),""))</f>
        <v/>
      </c>
      <c r="AD98" s="29">
        <f>IF(OR($A77="",AD$116=0),"",IF(COUNT(OFFSET(AD$121,$BB77-1,0,$BA77,1))&gt;0,AVERAGE(OFFSET(AD$121,$BB77-1,0,$BA77,1)),""))</f>
        <v/>
      </c>
      <c r="AE98" s="29">
        <f>IF(OR($A77="",AE$116=0),"",IF(COUNT(OFFSET(AE$121,$BB77-1,0,$BA77,1))&gt;0,AVERAGE(OFFSET(AE$121,$BB77-1,0,$BA77,1)),""))</f>
        <v/>
      </c>
      <c r="AF98" s="29">
        <f>IF(OR($A77="",AF$116=0),"",IF(COUNT(OFFSET(AF$121,$BB77-1,0,$BA77,1))&gt;0,AVERAGE(OFFSET(AF$121,$BB77-1,0,$BA77,1)),""))</f>
        <v/>
      </c>
      <c r="AG98" s="29">
        <f>IF(OR($A77="",AG$116=0),"",IF(COUNT(OFFSET(AG$121,$BB77-1,0,$BA77,1))&gt;0,AVERAGE(OFFSET(AG$121,$BB77-1,0,$BA77,1)),""))</f>
        <v/>
      </c>
      <c r="AH98" s="29">
        <f>IF(OR($A77="",AH$116=0),"",IF(COUNT(OFFSET(AH$121,$BB77-1,0,$BA77,1))&gt;0,AVERAGE(OFFSET(AH$121,$BB77-1,0,$BA77,1)),""))</f>
        <v/>
      </c>
      <c r="AI98" s="29">
        <f>IF(OR($A77="",AI$116=0),"",IF(COUNT(OFFSET(AI$121,$BB77-1,0,$BA77,1))&gt;0,AVERAGE(OFFSET(AI$121,$BB77-1,0,$BA77,1)),""))</f>
        <v/>
      </c>
      <c r="AJ98" s="29">
        <f>IF(OR($A77="",AJ$116=0),"",IF(COUNT(OFFSET(AJ$121,$BB77-1,0,$BA77,1))&gt;0,AVERAGE(OFFSET(AJ$121,$BB77-1,0,$BA77,1)),""))</f>
        <v/>
      </c>
      <c r="AK98" s="29">
        <f>IF(OR($A77="",AK$116=0),"",IF(COUNT(OFFSET(AK$121,$BB77-1,0,$BA77,1))&gt;0,AVERAGE(OFFSET(AK$121,$BB77-1,0,$BA77,1)),""))</f>
        <v/>
      </c>
      <c r="AL98" s="29">
        <f>IF(OR($A77="",AL$116=0),"",IF(COUNT(OFFSET(AL$121,$BB77-1,0,$BA77,1))&gt;0,AVERAGE(OFFSET(AL$121,$BB77-1,0,$BA77,1)),""))</f>
        <v/>
      </c>
      <c r="AM98" s="29">
        <f>IF(OR($A77="",AM$116=0),"",IF(COUNT(OFFSET(AM$121,$BB77-1,0,$BA77,1))&gt;0,AVERAGE(OFFSET(AM$121,$BB77-1,0,$BA77,1)),""))</f>
        <v/>
      </c>
      <c r="AN98" s="29">
        <f>IF(OR($A77="",AN$116=0),"",IF(COUNT(OFFSET(AN$121,$BB77-1,0,$BA77,1))&gt;0,AVERAGE(OFFSET(AN$121,$BB77-1,0,$BA77,1)),""))</f>
        <v/>
      </c>
      <c r="AO98" s="29">
        <f>IF(OR($A77="",AO$116=0),"",IF(COUNT(OFFSET(AO$121,$BB77-1,0,$BA77,1))&gt;0,AVERAGE(OFFSET(AO$121,$BB77-1,0,$BA77,1)),""))</f>
        <v/>
      </c>
      <c r="AP98" s="29">
        <f>IF(OR($A77="",AP$116=0),"",IF(COUNT(OFFSET(AP$121,$BB77-1,0,$BA77,1))&gt;0,AVERAGE(OFFSET(AP$121,$BB77-1,0,$BA77,1)),""))</f>
        <v/>
      </c>
      <c r="AQ98" s="29">
        <f>IF(OR($A77="",AQ$116=0),"",IF(COUNT(OFFSET(AQ$121,$BB77-1,0,$BA77,1))&gt;0,AVERAGE(OFFSET(AQ$121,$BB77-1,0,$BA77,1)),""))</f>
        <v/>
      </c>
      <c r="AR98" s="29">
        <f>IF(OR($A77="",AR$116=0),"",IF(COUNT(OFFSET(AR$121,$BB77-1,0,$BA77,1))&gt;0,AVERAGE(OFFSET(AR$121,$BB77-1,0,$BA77,1)),""))</f>
        <v/>
      </c>
      <c r="AS98" s="29">
        <f>IF(OR($A77="",AS$116=0),"",IF(COUNT(OFFSET(AS$121,$BB77-1,0,$BA77,1))&gt;0,AVERAGE(OFFSET(AS$121,$BB77-1,0,$BA77,1)),""))</f>
        <v/>
      </c>
      <c r="AT98" s="29">
        <f>IF(OR($A77="",AT$116=0),"",IF(COUNT(OFFSET(AT$121,$BB77-1,0,$BA77,1))&gt;0,AVERAGE(OFFSET(AT$121,$BB77-1,0,$BA77,1)),""))</f>
        <v/>
      </c>
      <c r="AU98" s="29">
        <f>IF(OR($A77="",AU$116=0),"",IF(COUNT(OFFSET(AU$121,$BB77-1,0,$BA77,1))&gt;0,AVERAGE(OFFSET(AU$121,$BB77-1,0,$BA77,1)),""))</f>
        <v/>
      </c>
      <c r="AV98" s="29">
        <f>IF(OR($A77="",AV$116=0),"",IF(COUNT(OFFSET(AV$121,$BB77-1,0,$BA77,1))&gt;0,AVERAGE(OFFSET(AV$121,$BB77-1,0,$BA77,1)),""))</f>
        <v/>
      </c>
      <c r="AW98" s="29">
        <f>IF(OR($A77="",AW$116=0),"",IF(COUNT(OFFSET(AW$121,$BB77-1,0,$BA77,1))&gt;0,AVERAGE(OFFSET(AW$121,$BB77-1,0,$BA77,1)),""))</f>
        <v/>
      </c>
      <c r="AX98" s="29">
        <f>IF(OR($A77="",AX$116=0),"",IF(COUNT(OFFSET(AX$121,$BB77-1,0,$BA77,1))&gt;0,AVERAGE(OFFSET(AX$121,$BB77-1,0,$BA77,1)),""))</f>
        <v/>
      </c>
      <c r="AY98" s="29">
        <f>IF(OR($A77="",AY$116=0),"",IF(COUNT(OFFSET(AY$121,$BB77-1,0,$BA77,1))&gt;0,AVERAGE(OFFSET(AY$121,$BB77-1,0,$BA77,1)),""))</f>
        <v/>
      </c>
      <c r="AZ98" s="29">
        <f>IF($A77="","",AVERAGE(OFFSET($B$121,$BB77-1,0,$BA77,50)))</f>
        <v/>
      </c>
    </row>
    <row r="99">
      <c r="A99" s="13">
        <f>A78</f>
        <v/>
      </c>
      <c r="B99" s="29">
        <f>IF(OR($A78="",B$116=0),"",IF(COUNT(OFFSET(B$121,$BB78-1,0,$BA78,1))&gt;0,AVERAGE(OFFSET(B$121,$BB78-1,0,$BA78,1)),""))</f>
        <v/>
      </c>
      <c r="C99" s="29">
        <f>IF(OR($A78="",C$116=0),"",IF(COUNT(OFFSET(C$121,$BB78-1,0,$BA78,1))&gt;0,AVERAGE(OFFSET(C$121,$BB78-1,0,$BA78,1)),""))</f>
        <v/>
      </c>
      <c r="D99" s="29">
        <f>IF(OR($A78="",D$116=0),"",IF(COUNT(OFFSET(D$121,$BB78-1,0,$BA78,1))&gt;0,AVERAGE(OFFSET(D$121,$BB78-1,0,$BA78,1)),""))</f>
        <v/>
      </c>
      <c r="E99" s="29">
        <f>IF(OR($A78="",E$116=0),"",IF(COUNT(OFFSET(E$121,$BB78-1,0,$BA78,1))&gt;0,AVERAGE(OFFSET(E$121,$BB78-1,0,$BA78,1)),""))</f>
        <v/>
      </c>
      <c r="F99" s="29">
        <f>IF(OR($A78="",F$116=0),"",IF(COUNT(OFFSET(F$121,$BB78-1,0,$BA78,1))&gt;0,AVERAGE(OFFSET(F$121,$BB78-1,0,$BA78,1)),""))</f>
        <v/>
      </c>
      <c r="G99" s="29">
        <f>IF(OR($A78="",G$116=0),"",IF(COUNT(OFFSET(G$121,$BB78-1,0,$BA78,1))&gt;0,AVERAGE(OFFSET(G$121,$BB78-1,0,$BA78,1)),""))</f>
        <v/>
      </c>
      <c r="H99" s="29">
        <f>IF(OR($A78="",H$116=0),"",IF(COUNT(OFFSET(H$121,$BB78-1,0,$BA78,1))&gt;0,AVERAGE(OFFSET(H$121,$BB78-1,0,$BA78,1)),""))</f>
        <v/>
      </c>
      <c r="I99" s="29">
        <f>IF(OR($A78="",I$116=0),"",IF(COUNT(OFFSET(I$121,$BB78-1,0,$BA78,1))&gt;0,AVERAGE(OFFSET(I$121,$BB78-1,0,$BA78,1)),""))</f>
        <v/>
      </c>
      <c r="J99" s="29">
        <f>IF(OR($A78="",J$116=0),"",IF(COUNT(OFFSET(J$121,$BB78-1,0,$BA78,1))&gt;0,AVERAGE(OFFSET(J$121,$BB78-1,0,$BA78,1)),""))</f>
        <v/>
      </c>
      <c r="K99" s="29">
        <f>IF(OR($A78="",K$116=0),"",IF(COUNT(OFFSET(K$121,$BB78-1,0,$BA78,1))&gt;0,AVERAGE(OFFSET(K$121,$BB78-1,0,$BA78,1)),""))</f>
        <v/>
      </c>
      <c r="L99" s="29">
        <f>IF(OR($A78="",L$116=0),"",IF(COUNT(OFFSET(L$121,$BB78-1,0,$BA78,1))&gt;0,AVERAGE(OFFSET(L$121,$BB78-1,0,$BA78,1)),""))</f>
        <v/>
      </c>
      <c r="M99" s="29">
        <f>IF(OR($A78="",M$116=0),"",IF(COUNT(OFFSET(M$121,$BB78-1,0,$BA78,1))&gt;0,AVERAGE(OFFSET(M$121,$BB78-1,0,$BA78,1)),""))</f>
        <v/>
      </c>
      <c r="N99" s="29">
        <f>IF(OR($A78="",N$116=0),"",IF(COUNT(OFFSET(N$121,$BB78-1,0,$BA78,1))&gt;0,AVERAGE(OFFSET(N$121,$BB78-1,0,$BA78,1)),""))</f>
        <v/>
      </c>
      <c r="O99" s="29">
        <f>IF(OR($A78="",O$116=0),"",IF(COUNT(OFFSET(O$121,$BB78-1,0,$BA78,1))&gt;0,AVERAGE(OFFSET(O$121,$BB78-1,0,$BA78,1)),""))</f>
        <v/>
      </c>
      <c r="P99" s="29">
        <f>IF(OR($A78="",P$116=0),"",IF(COUNT(OFFSET(P$121,$BB78-1,0,$BA78,1))&gt;0,AVERAGE(OFFSET(P$121,$BB78-1,0,$BA78,1)),""))</f>
        <v/>
      </c>
      <c r="Q99" s="29">
        <f>IF(OR($A78="",Q$116=0),"",IF(COUNT(OFFSET(Q$121,$BB78-1,0,$BA78,1))&gt;0,AVERAGE(OFFSET(Q$121,$BB78-1,0,$BA78,1)),""))</f>
        <v/>
      </c>
      <c r="R99" s="29">
        <f>IF(OR($A78="",R$116=0),"",IF(COUNT(OFFSET(R$121,$BB78-1,0,$BA78,1))&gt;0,AVERAGE(OFFSET(R$121,$BB78-1,0,$BA78,1)),""))</f>
        <v/>
      </c>
      <c r="S99" s="29">
        <f>IF(OR($A78="",S$116=0),"",IF(COUNT(OFFSET(S$121,$BB78-1,0,$BA78,1))&gt;0,AVERAGE(OFFSET(S$121,$BB78-1,0,$BA78,1)),""))</f>
        <v/>
      </c>
      <c r="T99" s="29">
        <f>IF(OR($A78="",T$116=0),"",IF(COUNT(OFFSET(T$121,$BB78-1,0,$BA78,1))&gt;0,AVERAGE(OFFSET(T$121,$BB78-1,0,$BA78,1)),""))</f>
        <v/>
      </c>
      <c r="U99" s="29">
        <f>IF(OR($A78="",U$116=0),"",IF(COUNT(OFFSET(U$121,$BB78-1,0,$BA78,1))&gt;0,AVERAGE(OFFSET(U$121,$BB78-1,0,$BA78,1)),""))</f>
        <v/>
      </c>
      <c r="V99" s="29">
        <f>IF(OR($A78="",V$116=0),"",IF(COUNT(OFFSET(V$121,$BB78-1,0,$BA78,1))&gt;0,AVERAGE(OFFSET(V$121,$BB78-1,0,$BA78,1)),""))</f>
        <v/>
      </c>
      <c r="W99" s="29">
        <f>IF(OR($A78="",W$116=0),"",IF(COUNT(OFFSET(W$121,$BB78-1,0,$BA78,1))&gt;0,AVERAGE(OFFSET(W$121,$BB78-1,0,$BA78,1)),""))</f>
        <v/>
      </c>
      <c r="X99" s="29">
        <f>IF(OR($A78="",X$116=0),"",IF(COUNT(OFFSET(X$121,$BB78-1,0,$BA78,1))&gt;0,AVERAGE(OFFSET(X$121,$BB78-1,0,$BA78,1)),""))</f>
        <v/>
      </c>
      <c r="Y99" s="29">
        <f>IF(OR($A78="",Y$116=0),"",IF(COUNT(OFFSET(Y$121,$BB78-1,0,$BA78,1))&gt;0,AVERAGE(OFFSET(Y$121,$BB78-1,0,$BA78,1)),""))</f>
        <v/>
      </c>
      <c r="Z99" s="29">
        <f>IF(OR($A78="",Z$116=0),"",IF(COUNT(OFFSET(Z$121,$BB78-1,0,$BA78,1))&gt;0,AVERAGE(OFFSET(Z$121,$BB78-1,0,$BA78,1)),""))</f>
        <v/>
      </c>
      <c r="AA99" s="29">
        <f>IF(OR($A78="",AA$116=0),"",IF(COUNT(OFFSET(AA$121,$BB78-1,0,$BA78,1))&gt;0,AVERAGE(OFFSET(AA$121,$BB78-1,0,$BA78,1)),""))</f>
        <v/>
      </c>
      <c r="AB99" s="29">
        <f>IF(OR($A78="",AB$116=0),"",IF(COUNT(OFFSET(AB$121,$BB78-1,0,$BA78,1))&gt;0,AVERAGE(OFFSET(AB$121,$BB78-1,0,$BA78,1)),""))</f>
        <v/>
      </c>
      <c r="AC99" s="29">
        <f>IF(OR($A78="",AC$116=0),"",IF(COUNT(OFFSET(AC$121,$BB78-1,0,$BA78,1))&gt;0,AVERAGE(OFFSET(AC$121,$BB78-1,0,$BA78,1)),""))</f>
        <v/>
      </c>
      <c r="AD99" s="29">
        <f>IF(OR($A78="",AD$116=0),"",IF(COUNT(OFFSET(AD$121,$BB78-1,0,$BA78,1))&gt;0,AVERAGE(OFFSET(AD$121,$BB78-1,0,$BA78,1)),""))</f>
        <v/>
      </c>
      <c r="AE99" s="29">
        <f>IF(OR($A78="",AE$116=0),"",IF(COUNT(OFFSET(AE$121,$BB78-1,0,$BA78,1))&gt;0,AVERAGE(OFFSET(AE$121,$BB78-1,0,$BA78,1)),""))</f>
        <v/>
      </c>
      <c r="AF99" s="29">
        <f>IF(OR($A78="",AF$116=0),"",IF(COUNT(OFFSET(AF$121,$BB78-1,0,$BA78,1))&gt;0,AVERAGE(OFFSET(AF$121,$BB78-1,0,$BA78,1)),""))</f>
        <v/>
      </c>
      <c r="AG99" s="29">
        <f>IF(OR($A78="",AG$116=0),"",IF(COUNT(OFFSET(AG$121,$BB78-1,0,$BA78,1))&gt;0,AVERAGE(OFFSET(AG$121,$BB78-1,0,$BA78,1)),""))</f>
        <v/>
      </c>
      <c r="AH99" s="29">
        <f>IF(OR($A78="",AH$116=0),"",IF(COUNT(OFFSET(AH$121,$BB78-1,0,$BA78,1))&gt;0,AVERAGE(OFFSET(AH$121,$BB78-1,0,$BA78,1)),""))</f>
        <v/>
      </c>
      <c r="AI99" s="29">
        <f>IF(OR($A78="",AI$116=0),"",IF(COUNT(OFFSET(AI$121,$BB78-1,0,$BA78,1))&gt;0,AVERAGE(OFFSET(AI$121,$BB78-1,0,$BA78,1)),""))</f>
        <v/>
      </c>
      <c r="AJ99" s="29">
        <f>IF(OR($A78="",AJ$116=0),"",IF(COUNT(OFFSET(AJ$121,$BB78-1,0,$BA78,1))&gt;0,AVERAGE(OFFSET(AJ$121,$BB78-1,0,$BA78,1)),""))</f>
        <v/>
      </c>
      <c r="AK99" s="29">
        <f>IF(OR($A78="",AK$116=0),"",IF(COUNT(OFFSET(AK$121,$BB78-1,0,$BA78,1))&gt;0,AVERAGE(OFFSET(AK$121,$BB78-1,0,$BA78,1)),""))</f>
        <v/>
      </c>
      <c r="AL99" s="29">
        <f>IF(OR($A78="",AL$116=0),"",IF(COUNT(OFFSET(AL$121,$BB78-1,0,$BA78,1))&gt;0,AVERAGE(OFFSET(AL$121,$BB78-1,0,$BA78,1)),""))</f>
        <v/>
      </c>
      <c r="AM99" s="29">
        <f>IF(OR($A78="",AM$116=0),"",IF(COUNT(OFFSET(AM$121,$BB78-1,0,$BA78,1))&gt;0,AVERAGE(OFFSET(AM$121,$BB78-1,0,$BA78,1)),""))</f>
        <v/>
      </c>
      <c r="AN99" s="29">
        <f>IF(OR($A78="",AN$116=0),"",IF(COUNT(OFFSET(AN$121,$BB78-1,0,$BA78,1))&gt;0,AVERAGE(OFFSET(AN$121,$BB78-1,0,$BA78,1)),""))</f>
        <v/>
      </c>
      <c r="AO99" s="29">
        <f>IF(OR($A78="",AO$116=0),"",IF(COUNT(OFFSET(AO$121,$BB78-1,0,$BA78,1))&gt;0,AVERAGE(OFFSET(AO$121,$BB78-1,0,$BA78,1)),""))</f>
        <v/>
      </c>
      <c r="AP99" s="29">
        <f>IF(OR($A78="",AP$116=0),"",IF(COUNT(OFFSET(AP$121,$BB78-1,0,$BA78,1))&gt;0,AVERAGE(OFFSET(AP$121,$BB78-1,0,$BA78,1)),""))</f>
        <v/>
      </c>
      <c r="AQ99" s="29">
        <f>IF(OR($A78="",AQ$116=0),"",IF(COUNT(OFFSET(AQ$121,$BB78-1,0,$BA78,1))&gt;0,AVERAGE(OFFSET(AQ$121,$BB78-1,0,$BA78,1)),""))</f>
        <v/>
      </c>
      <c r="AR99" s="29">
        <f>IF(OR($A78="",AR$116=0),"",IF(COUNT(OFFSET(AR$121,$BB78-1,0,$BA78,1))&gt;0,AVERAGE(OFFSET(AR$121,$BB78-1,0,$BA78,1)),""))</f>
        <v/>
      </c>
      <c r="AS99" s="29">
        <f>IF(OR($A78="",AS$116=0),"",IF(COUNT(OFFSET(AS$121,$BB78-1,0,$BA78,1))&gt;0,AVERAGE(OFFSET(AS$121,$BB78-1,0,$BA78,1)),""))</f>
        <v/>
      </c>
      <c r="AT99" s="29">
        <f>IF(OR($A78="",AT$116=0),"",IF(COUNT(OFFSET(AT$121,$BB78-1,0,$BA78,1))&gt;0,AVERAGE(OFFSET(AT$121,$BB78-1,0,$BA78,1)),""))</f>
        <v/>
      </c>
      <c r="AU99" s="29">
        <f>IF(OR($A78="",AU$116=0),"",IF(COUNT(OFFSET(AU$121,$BB78-1,0,$BA78,1))&gt;0,AVERAGE(OFFSET(AU$121,$BB78-1,0,$BA78,1)),""))</f>
        <v/>
      </c>
      <c r="AV99" s="29">
        <f>IF(OR($A78="",AV$116=0),"",IF(COUNT(OFFSET(AV$121,$BB78-1,0,$BA78,1))&gt;0,AVERAGE(OFFSET(AV$121,$BB78-1,0,$BA78,1)),""))</f>
        <v/>
      </c>
      <c r="AW99" s="29">
        <f>IF(OR($A78="",AW$116=0),"",IF(COUNT(OFFSET(AW$121,$BB78-1,0,$BA78,1))&gt;0,AVERAGE(OFFSET(AW$121,$BB78-1,0,$BA78,1)),""))</f>
        <v/>
      </c>
      <c r="AX99" s="29">
        <f>IF(OR($A78="",AX$116=0),"",IF(COUNT(OFFSET(AX$121,$BB78-1,0,$BA78,1))&gt;0,AVERAGE(OFFSET(AX$121,$BB78-1,0,$BA78,1)),""))</f>
        <v/>
      </c>
      <c r="AY99" s="29">
        <f>IF(OR($A78="",AY$116=0),"",IF(COUNT(OFFSET(AY$121,$BB78-1,0,$BA78,1))&gt;0,AVERAGE(OFFSET(AY$121,$BB78-1,0,$BA78,1)),""))</f>
        <v/>
      </c>
      <c r="AZ99" s="29">
        <f>IF($A78="","",AVERAGE(OFFSET($B$121,$BB78-1,0,$BA78,50)))</f>
        <v/>
      </c>
    </row>
    <row r="100">
      <c r="A100" s="13">
        <f>A79</f>
        <v/>
      </c>
      <c r="B100" s="29">
        <f>IF(OR($A79="",B$116=0),"",IF(COUNT(OFFSET(B$121,$BB79-1,0,$BA79,1))&gt;0,AVERAGE(OFFSET(B$121,$BB79-1,0,$BA79,1)),""))</f>
        <v/>
      </c>
      <c r="C100" s="29">
        <f>IF(OR($A79="",C$116=0),"",IF(COUNT(OFFSET(C$121,$BB79-1,0,$BA79,1))&gt;0,AVERAGE(OFFSET(C$121,$BB79-1,0,$BA79,1)),""))</f>
        <v/>
      </c>
      <c r="D100" s="29">
        <f>IF(OR($A79="",D$116=0),"",IF(COUNT(OFFSET(D$121,$BB79-1,0,$BA79,1))&gt;0,AVERAGE(OFFSET(D$121,$BB79-1,0,$BA79,1)),""))</f>
        <v/>
      </c>
      <c r="E100" s="29">
        <f>IF(OR($A79="",E$116=0),"",IF(COUNT(OFFSET(E$121,$BB79-1,0,$BA79,1))&gt;0,AVERAGE(OFFSET(E$121,$BB79-1,0,$BA79,1)),""))</f>
        <v/>
      </c>
      <c r="F100" s="29">
        <f>IF(OR($A79="",F$116=0),"",IF(COUNT(OFFSET(F$121,$BB79-1,0,$BA79,1))&gt;0,AVERAGE(OFFSET(F$121,$BB79-1,0,$BA79,1)),""))</f>
        <v/>
      </c>
      <c r="G100" s="29">
        <f>IF(OR($A79="",G$116=0),"",IF(COUNT(OFFSET(G$121,$BB79-1,0,$BA79,1))&gt;0,AVERAGE(OFFSET(G$121,$BB79-1,0,$BA79,1)),""))</f>
        <v/>
      </c>
      <c r="H100" s="29">
        <f>IF(OR($A79="",H$116=0),"",IF(COUNT(OFFSET(H$121,$BB79-1,0,$BA79,1))&gt;0,AVERAGE(OFFSET(H$121,$BB79-1,0,$BA79,1)),""))</f>
        <v/>
      </c>
      <c r="I100" s="29">
        <f>IF(OR($A79="",I$116=0),"",IF(COUNT(OFFSET(I$121,$BB79-1,0,$BA79,1))&gt;0,AVERAGE(OFFSET(I$121,$BB79-1,0,$BA79,1)),""))</f>
        <v/>
      </c>
      <c r="J100" s="29">
        <f>IF(OR($A79="",J$116=0),"",IF(COUNT(OFFSET(J$121,$BB79-1,0,$BA79,1))&gt;0,AVERAGE(OFFSET(J$121,$BB79-1,0,$BA79,1)),""))</f>
        <v/>
      </c>
      <c r="K100" s="29">
        <f>IF(OR($A79="",K$116=0),"",IF(COUNT(OFFSET(K$121,$BB79-1,0,$BA79,1))&gt;0,AVERAGE(OFFSET(K$121,$BB79-1,0,$BA79,1)),""))</f>
        <v/>
      </c>
      <c r="L100" s="29">
        <f>IF(OR($A79="",L$116=0),"",IF(COUNT(OFFSET(L$121,$BB79-1,0,$BA79,1))&gt;0,AVERAGE(OFFSET(L$121,$BB79-1,0,$BA79,1)),""))</f>
        <v/>
      </c>
      <c r="M100" s="29">
        <f>IF(OR($A79="",M$116=0),"",IF(COUNT(OFFSET(M$121,$BB79-1,0,$BA79,1))&gt;0,AVERAGE(OFFSET(M$121,$BB79-1,0,$BA79,1)),""))</f>
        <v/>
      </c>
      <c r="N100" s="29">
        <f>IF(OR($A79="",N$116=0),"",IF(COUNT(OFFSET(N$121,$BB79-1,0,$BA79,1))&gt;0,AVERAGE(OFFSET(N$121,$BB79-1,0,$BA79,1)),""))</f>
        <v/>
      </c>
      <c r="O100" s="29">
        <f>IF(OR($A79="",O$116=0),"",IF(COUNT(OFFSET(O$121,$BB79-1,0,$BA79,1))&gt;0,AVERAGE(OFFSET(O$121,$BB79-1,0,$BA79,1)),""))</f>
        <v/>
      </c>
      <c r="P100" s="29">
        <f>IF(OR($A79="",P$116=0),"",IF(COUNT(OFFSET(P$121,$BB79-1,0,$BA79,1))&gt;0,AVERAGE(OFFSET(P$121,$BB79-1,0,$BA79,1)),""))</f>
        <v/>
      </c>
      <c r="Q100" s="29">
        <f>IF(OR($A79="",Q$116=0),"",IF(COUNT(OFFSET(Q$121,$BB79-1,0,$BA79,1))&gt;0,AVERAGE(OFFSET(Q$121,$BB79-1,0,$BA79,1)),""))</f>
        <v/>
      </c>
      <c r="R100" s="29">
        <f>IF(OR($A79="",R$116=0),"",IF(COUNT(OFFSET(R$121,$BB79-1,0,$BA79,1))&gt;0,AVERAGE(OFFSET(R$121,$BB79-1,0,$BA79,1)),""))</f>
        <v/>
      </c>
      <c r="S100" s="29">
        <f>IF(OR($A79="",S$116=0),"",IF(COUNT(OFFSET(S$121,$BB79-1,0,$BA79,1))&gt;0,AVERAGE(OFFSET(S$121,$BB79-1,0,$BA79,1)),""))</f>
        <v/>
      </c>
      <c r="T100" s="29">
        <f>IF(OR($A79="",T$116=0),"",IF(COUNT(OFFSET(T$121,$BB79-1,0,$BA79,1))&gt;0,AVERAGE(OFFSET(T$121,$BB79-1,0,$BA79,1)),""))</f>
        <v/>
      </c>
      <c r="U100" s="29">
        <f>IF(OR($A79="",U$116=0),"",IF(COUNT(OFFSET(U$121,$BB79-1,0,$BA79,1))&gt;0,AVERAGE(OFFSET(U$121,$BB79-1,0,$BA79,1)),""))</f>
        <v/>
      </c>
      <c r="V100" s="29">
        <f>IF(OR($A79="",V$116=0),"",IF(COUNT(OFFSET(V$121,$BB79-1,0,$BA79,1))&gt;0,AVERAGE(OFFSET(V$121,$BB79-1,0,$BA79,1)),""))</f>
        <v/>
      </c>
      <c r="W100" s="29">
        <f>IF(OR($A79="",W$116=0),"",IF(COUNT(OFFSET(W$121,$BB79-1,0,$BA79,1))&gt;0,AVERAGE(OFFSET(W$121,$BB79-1,0,$BA79,1)),""))</f>
        <v/>
      </c>
      <c r="X100" s="29">
        <f>IF(OR($A79="",X$116=0),"",IF(COUNT(OFFSET(X$121,$BB79-1,0,$BA79,1))&gt;0,AVERAGE(OFFSET(X$121,$BB79-1,0,$BA79,1)),""))</f>
        <v/>
      </c>
      <c r="Y100" s="29">
        <f>IF(OR($A79="",Y$116=0),"",IF(COUNT(OFFSET(Y$121,$BB79-1,0,$BA79,1))&gt;0,AVERAGE(OFFSET(Y$121,$BB79-1,0,$BA79,1)),""))</f>
        <v/>
      </c>
      <c r="Z100" s="29">
        <f>IF(OR($A79="",Z$116=0),"",IF(COUNT(OFFSET(Z$121,$BB79-1,0,$BA79,1))&gt;0,AVERAGE(OFFSET(Z$121,$BB79-1,0,$BA79,1)),""))</f>
        <v/>
      </c>
      <c r="AA100" s="29">
        <f>IF(OR($A79="",AA$116=0),"",IF(COUNT(OFFSET(AA$121,$BB79-1,0,$BA79,1))&gt;0,AVERAGE(OFFSET(AA$121,$BB79-1,0,$BA79,1)),""))</f>
        <v/>
      </c>
      <c r="AB100" s="29">
        <f>IF(OR($A79="",AB$116=0),"",IF(COUNT(OFFSET(AB$121,$BB79-1,0,$BA79,1))&gt;0,AVERAGE(OFFSET(AB$121,$BB79-1,0,$BA79,1)),""))</f>
        <v/>
      </c>
      <c r="AC100" s="29">
        <f>IF(OR($A79="",AC$116=0),"",IF(COUNT(OFFSET(AC$121,$BB79-1,0,$BA79,1))&gt;0,AVERAGE(OFFSET(AC$121,$BB79-1,0,$BA79,1)),""))</f>
        <v/>
      </c>
      <c r="AD100" s="29">
        <f>IF(OR($A79="",AD$116=0),"",IF(COUNT(OFFSET(AD$121,$BB79-1,0,$BA79,1))&gt;0,AVERAGE(OFFSET(AD$121,$BB79-1,0,$BA79,1)),""))</f>
        <v/>
      </c>
      <c r="AE100" s="29">
        <f>IF(OR($A79="",AE$116=0),"",IF(COUNT(OFFSET(AE$121,$BB79-1,0,$BA79,1))&gt;0,AVERAGE(OFFSET(AE$121,$BB79-1,0,$BA79,1)),""))</f>
        <v/>
      </c>
      <c r="AF100" s="29">
        <f>IF(OR($A79="",AF$116=0),"",IF(COUNT(OFFSET(AF$121,$BB79-1,0,$BA79,1))&gt;0,AVERAGE(OFFSET(AF$121,$BB79-1,0,$BA79,1)),""))</f>
        <v/>
      </c>
      <c r="AG100" s="29">
        <f>IF(OR($A79="",AG$116=0),"",IF(COUNT(OFFSET(AG$121,$BB79-1,0,$BA79,1))&gt;0,AVERAGE(OFFSET(AG$121,$BB79-1,0,$BA79,1)),""))</f>
        <v/>
      </c>
      <c r="AH100" s="29">
        <f>IF(OR($A79="",AH$116=0),"",IF(COUNT(OFFSET(AH$121,$BB79-1,0,$BA79,1))&gt;0,AVERAGE(OFFSET(AH$121,$BB79-1,0,$BA79,1)),""))</f>
        <v/>
      </c>
      <c r="AI100" s="29">
        <f>IF(OR($A79="",AI$116=0),"",IF(COUNT(OFFSET(AI$121,$BB79-1,0,$BA79,1))&gt;0,AVERAGE(OFFSET(AI$121,$BB79-1,0,$BA79,1)),""))</f>
        <v/>
      </c>
      <c r="AJ100" s="29">
        <f>IF(OR($A79="",AJ$116=0),"",IF(COUNT(OFFSET(AJ$121,$BB79-1,0,$BA79,1))&gt;0,AVERAGE(OFFSET(AJ$121,$BB79-1,0,$BA79,1)),""))</f>
        <v/>
      </c>
      <c r="AK100" s="29">
        <f>IF(OR($A79="",AK$116=0),"",IF(COUNT(OFFSET(AK$121,$BB79-1,0,$BA79,1))&gt;0,AVERAGE(OFFSET(AK$121,$BB79-1,0,$BA79,1)),""))</f>
        <v/>
      </c>
      <c r="AL100" s="29">
        <f>IF(OR($A79="",AL$116=0),"",IF(COUNT(OFFSET(AL$121,$BB79-1,0,$BA79,1))&gt;0,AVERAGE(OFFSET(AL$121,$BB79-1,0,$BA79,1)),""))</f>
        <v/>
      </c>
      <c r="AM100" s="29">
        <f>IF(OR($A79="",AM$116=0),"",IF(COUNT(OFFSET(AM$121,$BB79-1,0,$BA79,1))&gt;0,AVERAGE(OFFSET(AM$121,$BB79-1,0,$BA79,1)),""))</f>
        <v/>
      </c>
      <c r="AN100" s="29">
        <f>IF(OR($A79="",AN$116=0),"",IF(COUNT(OFFSET(AN$121,$BB79-1,0,$BA79,1))&gt;0,AVERAGE(OFFSET(AN$121,$BB79-1,0,$BA79,1)),""))</f>
        <v/>
      </c>
      <c r="AO100" s="29">
        <f>IF(OR($A79="",AO$116=0),"",IF(COUNT(OFFSET(AO$121,$BB79-1,0,$BA79,1))&gt;0,AVERAGE(OFFSET(AO$121,$BB79-1,0,$BA79,1)),""))</f>
        <v/>
      </c>
      <c r="AP100" s="29">
        <f>IF(OR($A79="",AP$116=0),"",IF(COUNT(OFFSET(AP$121,$BB79-1,0,$BA79,1))&gt;0,AVERAGE(OFFSET(AP$121,$BB79-1,0,$BA79,1)),""))</f>
        <v/>
      </c>
      <c r="AQ100" s="29">
        <f>IF(OR($A79="",AQ$116=0),"",IF(COUNT(OFFSET(AQ$121,$BB79-1,0,$BA79,1))&gt;0,AVERAGE(OFFSET(AQ$121,$BB79-1,0,$BA79,1)),""))</f>
        <v/>
      </c>
      <c r="AR100" s="29">
        <f>IF(OR($A79="",AR$116=0),"",IF(COUNT(OFFSET(AR$121,$BB79-1,0,$BA79,1))&gt;0,AVERAGE(OFFSET(AR$121,$BB79-1,0,$BA79,1)),""))</f>
        <v/>
      </c>
      <c r="AS100" s="29">
        <f>IF(OR($A79="",AS$116=0),"",IF(COUNT(OFFSET(AS$121,$BB79-1,0,$BA79,1))&gt;0,AVERAGE(OFFSET(AS$121,$BB79-1,0,$BA79,1)),""))</f>
        <v/>
      </c>
      <c r="AT100" s="29">
        <f>IF(OR($A79="",AT$116=0),"",IF(COUNT(OFFSET(AT$121,$BB79-1,0,$BA79,1))&gt;0,AVERAGE(OFFSET(AT$121,$BB79-1,0,$BA79,1)),""))</f>
        <v/>
      </c>
      <c r="AU100" s="29">
        <f>IF(OR($A79="",AU$116=0),"",IF(COUNT(OFFSET(AU$121,$BB79-1,0,$BA79,1))&gt;0,AVERAGE(OFFSET(AU$121,$BB79-1,0,$BA79,1)),""))</f>
        <v/>
      </c>
      <c r="AV100" s="29">
        <f>IF(OR($A79="",AV$116=0),"",IF(COUNT(OFFSET(AV$121,$BB79-1,0,$BA79,1))&gt;0,AVERAGE(OFFSET(AV$121,$BB79-1,0,$BA79,1)),""))</f>
        <v/>
      </c>
      <c r="AW100" s="29">
        <f>IF(OR($A79="",AW$116=0),"",IF(COUNT(OFFSET(AW$121,$BB79-1,0,$BA79,1))&gt;0,AVERAGE(OFFSET(AW$121,$BB79-1,0,$BA79,1)),""))</f>
        <v/>
      </c>
      <c r="AX100" s="29">
        <f>IF(OR($A79="",AX$116=0),"",IF(COUNT(OFFSET(AX$121,$BB79-1,0,$BA79,1))&gt;0,AVERAGE(OFFSET(AX$121,$BB79-1,0,$BA79,1)),""))</f>
        <v/>
      </c>
      <c r="AY100" s="29">
        <f>IF(OR($A79="",AY$116=0),"",IF(COUNT(OFFSET(AY$121,$BB79-1,0,$BA79,1))&gt;0,AVERAGE(OFFSET(AY$121,$BB79-1,0,$BA79,1)),""))</f>
        <v/>
      </c>
      <c r="AZ100" s="29">
        <f>IF($A79="","",AVERAGE(OFFSET($B$121,$BB79-1,0,$BA79,50)))</f>
        <v/>
      </c>
    </row>
    <row r="101">
      <c r="A101" s="13">
        <f>A80</f>
        <v/>
      </c>
      <c r="B101" s="29">
        <f>IF(OR($A80="",B$116=0),"",IF(COUNT(OFFSET(B$121,$BB80-1,0,$BA80,1))&gt;0,AVERAGE(OFFSET(B$121,$BB80-1,0,$BA80,1)),""))</f>
        <v/>
      </c>
      <c r="C101" s="29">
        <f>IF(OR($A80="",C$116=0),"",IF(COUNT(OFFSET(C$121,$BB80-1,0,$BA80,1))&gt;0,AVERAGE(OFFSET(C$121,$BB80-1,0,$BA80,1)),""))</f>
        <v/>
      </c>
      <c r="D101" s="29">
        <f>IF(OR($A80="",D$116=0),"",IF(COUNT(OFFSET(D$121,$BB80-1,0,$BA80,1))&gt;0,AVERAGE(OFFSET(D$121,$BB80-1,0,$BA80,1)),""))</f>
        <v/>
      </c>
      <c r="E101" s="29">
        <f>IF(OR($A80="",E$116=0),"",IF(COUNT(OFFSET(E$121,$BB80-1,0,$BA80,1))&gt;0,AVERAGE(OFFSET(E$121,$BB80-1,0,$BA80,1)),""))</f>
        <v/>
      </c>
      <c r="F101" s="29">
        <f>IF(OR($A80="",F$116=0),"",IF(COUNT(OFFSET(F$121,$BB80-1,0,$BA80,1))&gt;0,AVERAGE(OFFSET(F$121,$BB80-1,0,$BA80,1)),""))</f>
        <v/>
      </c>
      <c r="G101" s="29">
        <f>IF(OR($A80="",G$116=0),"",IF(COUNT(OFFSET(G$121,$BB80-1,0,$BA80,1))&gt;0,AVERAGE(OFFSET(G$121,$BB80-1,0,$BA80,1)),""))</f>
        <v/>
      </c>
      <c r="H101" s="29">
        <f>IF(OR($A80="",H$116=0),"",IF(COUNT(OFFSET(H$121,$BB80-1,0,$BA80,1))&gt;0,AVERAGE(OFFSET(H$121,$BB80-1,0,$BA80,1)),""))</f>
        <v/>
      </c>
      <c r="I101" s="29">
        <f>IF(OR($A80="",I$116=0),"",IF(COUNT(OFFSET(I$121,$BB80-1,0,$BA80,1))&gt;0,AVERAGE(OFFSET(I$121,$BB80-1,0,$BA80,1)),""))</f>
        <v/>
      </c>
      <c r="J101" s="29">
        <f>IF(OR($A80="",J$116=0),"",IF(COUNT(OFFSET(J$121,$BB80-1,0,$BA80,1))&gt;0,AVERAGE(OFFSET(J$121,$BB80-1,0,$BA80,1)),""))</f>
        <v/>
      </c>
      <c r="K101" s="29">
        <f>IF(OR($A80="",K$116=0),"",IF(COUNT(OFFSET(K$121,$BB80-1,0,$BA80,1))&gt;0,AVERAGE(OFFSET(K$121,$BB80-1,0,$BA80,1)),""))</f>
        <v/>
      </c>
      <c r="L101" s="29">
        <f>IF(OR($A80="",L$116=0),"",IF(COUNT(OFFSET(L$121,$BB80-1,0,$BA80,1))&gt;0,AVERAGE(OFFSET(L$121,$BB80-1,0,$BA80,1)),""))</f>
        <v/>
      </c>
      <c r="M101" s="29">
        <f>IF(OR($A80="",M$116=0),"",IF(COUNT(OFFSET(M$121,$BB80-1,0,$BA80,1))&gt;0,AVERAGE(OFFSET(M$121,$BB80-1,0,$BA80,1)),""))</f>
        <v/>
      </c>
      <c r="N101" s="29">
        <f>IF(OR($A80="",N$116=0),"",IF(COUNT(OFFSET(N$121,$BB80-1,0,$BA80,1))&gt;0,AVERAGE(OFFSET(N$121,$BB80-1,0,$BA80,1)),""))</f>
        <v/>
      </c>
      <c r="O101" s="29">
        <f>IF(OR($A80="",O$116=0),"",IF(COUNT(OFFSET(O$121,$BB80-1,0,$BA80,1))&gt;0,AVERAGE(OFFSET(O$121,$BB80-1,0,$BA80,1)),""))</f>
        <v/>
      </c>
      <c r="P101" s="29">
        <f>IF(OR($A80="",P$116=0),"",IF(COUNT(OFFSET(P$121,$BB80-1,0,$BA80,1))&gt;0,AVERAGE(OFFSET(P$121,$BB80-1,0,$BA80,1)),""))</f>
        <v/>
      </c>
      <c r="Q101" s="29">
        <f>IF(OR($A80="",Q$116=0),"",IF(COUNT(OFFSET(Q$121,$BB80-1,0,$BA80,1))&gt;0,AVERAGE(OFFSET(Q$121,$BB80-1,0,$BA80,1)),""))</f>
        <v/>
      </c>
      <c r="R101" s="29">
        <f>IF(OR($A80="",R$116=0),"",IF(COUNT(OFFSET(R$121,$BB80-1,0,$BA80,1))&gt;0,AVERAGE(OFFSET(R$121,$BB80-1,0,$BA80,1)),""))</f>
        <v/>
      </c>
      <c r="S101" s="29">
        <f>IF(OR($A80="",S$116=0),"",IF(COUNT(OFFSET(S$121,$BB80-1,0,$BA80,1))&gt;0,AVERAGE(OFFSET(S$121,$BB80-1,0,$BA80,1)),""))</f>
        <v/>
      </c>
      <c r="T101" s="29">
        <f>IF(OR($A80="",T$116=0),"",IF(COUNT(OFFSET(T$121,$BB80-1,0,$BA80,1))&gt;0,AVERAGE(OFFSET(T$121,$BB80-1,0,$BA80,1)),""))</f>
        <v/>
      </c>
      <c r="U101" s="29">
        <f>IF(OR($A80="",U$116=0),"",IF(COUNT(OFFSET(U$121,$BB80-1,0,$BA80,1))&gt;0,AVERAGE(OFFSET(U$121,$BB80-1,0,$BA80,1)),""))</f>
        <v/>
      </c>
      <c r="V101" s="29">
        <f>IF(OR($A80="",V$116=0),"",IF(COUNT(OFFSET(V$121,$BB80-1,0,$BA80,1))&gt;0,AVERAGE(OFFSET(V$121,$BB80-1,0,$BA80,1)),""))</f>
        <v/>
      </c>
      <c r="W101" s="29">
        <f>IF(OR($A80="",W$116=0),"",IF(COUNT(OFFSET(W$121,$BB80-1,0,$BA80,1))&gt;0,AVERAGE(OFFSET(W$121,$BB80-1,0,$BA80,1)),""))</f>
        <v/>
      </c>
      <c r="X101" s="29">
        <f>IF(OR($A80="",X$116=0),"",IF(COUNT(OFFSET(X$121,$BB80-1,0,$BA80,1))&gt;0,AVERAGE(OFFSET(X$121,$BB80-1,0,$BA80,1)),""))</f>
        <v/>
      </c>
      <c r="Y101" s="29">
        <f>IF(OR($A80="",Y$116=0),"",IF(COUNT(OFFSET(Y$121,$BB80-1,0,$BA80,1))&gt;0,AVERAGE(OFFSET(Y$121,$BB80-1,0,$BA80,1)),""))</f>
        <v/>
      </c>
      <c r="Z101" s="29">
        <f>IF(OR($A80="",Z$116=0),"",IF(COUNT(OFFSET(Z$121,$BB80-1,0,$BA80,1))&gt;0,AVERAGE(OFFSET(Z$121,$BB80-1,0,$BA80,1)),""))</f>
        <v/>
      </c>
      <c r="AA101" s="29">
        <f>IF(OR($A80="",AA$116=0),"",IF(COUNT(OFFSET(AA$121,$BB80-1,0,$BA80,1))&gt;0,AVERAGE(OFFSET(AA$121,$BB80-1,0,$BA80,1)),""))</f>
        <v/>
      </c>
      <c r="AB101" s="29">
        <f>IF(OR($A80="",AB$116=0),"",IF(COUNT(OFFSET(AB$121,$BB80-1,0,$BA80,1))&gt;0,AVERAGE(OFFSET(AB$121,$BB80-1,0,$BA80,1)),""))</f>
        <v/>
      </c>
      <c r="AC101" s="29">
        <f>IF(OR($A80="",AC$116=0),"",IF(COUNT(OFFSET(AC$121,$BB80-1,0,$BA80,1))&gt;0,AVERAGE(OFFSET(AC$121,$BB80-1,0,$BA80,1)),""))</f>
        <v/>
      </c>
      <c r="AD101" s="29">
        <f>IF(OR($A80="",AD$116=0),"",IF(COUNT(OFFSET(AD$121,$BB80-1,0,$BA80,1))&gt;0,AVERAGE(OFFSET(AD$121,$BB80-1,0,$BA80,1)),""))</f>
        <v/>
      </c>
      <c r="AE101" s="29">
        <f>IF(OR($A80="",AE$116=0),"",IF(COUNT(OFFSET(AE$121,$BB80-1,0,$BA80,1))&gt;0,AVERAGE(OFFSET(AE$121,$BB80-1,0,$BA80,1)),""))</f>
        <v/>
      </c>
      <c r="AF101" s="29">
        <f>IF(OR($A80="",AF$116=0),"",IF(COUNT(OFFSET(AF$121,$BB80-1,0,$BA80,1))&gt;0,AVERAGE(OFFSET(AF$121,$BB80-1,0,$BA80,1)),""))</f>
        <v/>
      </c>
      <c r="AG101" s="29">
        <f>IF(OR($A80="",AG$116=0),"",IF(COUNT(OFFSET(AG$121,$BB80-1,0,$BA80,1))&gt;0,AVERAGE(OFFSET(AG$121,$BB80-1,0,$BA80,1)),""))</f>
        <v/>
      </c>
      <c r="AH101" s="29">
        <f>IF(OR($A80="",AH$116=0),"",IF(COUNT(OFFSET(AH$121,$BB80-1,0,$BA80,1))&gt;0,AVERAGE(OFFSET(AH$121,$BB80-1,0,$BA80,1)),""))</f>
        <v/>
      </c>
      <c r="AI101" s="29">
        <f>IF(OR($A80="",AI$116=0),"",IF(COUNT(OFFSET(AI$121,$BB80-1,0,$BA80,1))&gt;0,AVERAGE(OFFSET(AI$121,$BB80-1,0,$BA80,1)),""))</f>
        <v/>
      </c>
      <c r="AJ101" s="29">
        <f>IF(OR($A80="",AJ$116=0),"",IF(COUNT(OFFSET(AJ$121,$BB80-1,0,$BA80,1))&gt;0,AVERAGE(OFFSET(AJ$121,$BB80-1,0,$BA80,1)),""))</f>
        <v/>
      </c>
      <c r="AK101" s="29">
        <f>IF(OR($A80="",AK$116=0),"",IF(COUNT(OFFSET(AK$121,$BB80-1,0,$BA80,1))&gt;0,AVERAGE(OFFSET(AK$121,$BB80-1,0,$BA80,1)),""))</f>
        <v/>
      </c>
      <c r="AL101" s="29">
        <f>IF(OR($A80="",AL$116=0),"",IF(COUNT(OFFSET(AL$121,$BB80-1,0,$BA80,1))&gt;0,AVERAGE(OFFSET(AL$121,$BB80-1,0,$BA80,1)),""))</f>
        <v/>
      </c>
      <c r="AM101" s="29">
        <f>IF(OR($A80="",AM$116=0),"",IF(COUNT(OFFSET(AM$121,$BB80-1,0,$BA80,1))&gt;0,AVERAGE(OFFSET(AM$121,$BB80-1,0,$BA80,1)),""))</f>
        <v/>
      </c>
      <c r="AN101" s="29">
        <f>IF(OR($A80="",AN$116=0),"",IF(COUNT(OFFSET(AN$121,$BB80-1,0,$BA80,1))&gt;0,AVERAGE(OFFSET(AN$121,$BB80-1,0,$BA80,1)),""))</f>
        <v/>
      </c>
      <c r="AO101" s="29">
        <f>IF(OR($A80="",AO$116=0),"",IF(COUNT(OFFSET(AO$121,$BB80-1,0,$BA80,1))&gt;0,AVERAGE(OFFSET(AO$121,$BB80-1,0,$BA80,1)),""))</f>
        <v/>
      </c>
      <c r="AP101" s="29">
        <f>IF(OR($A80="",AP$116=0),"",IF(COUNT(OFFSET(AP$121,$BB80-1,0,$BA80,1))&gt;0,AVERAGE(OFFSET(AP$121,$BB80-1,0,$BA80,1)),""))</f>
        <v/>
      </c>
      <c r="AQ101" s="29">
        <f>IF(OR($A80="",AQ$116=0),"",IF(COUNT(OFFSET(AQ$121,$BB80-1,0,$BA80,1))&gt;0,AVERAGE(OFFSET(AQ$121,$BB80-1,0,$BA80,1)),""))</f>
        <v/>
      </c>
      <c r="AR101" s="29">
        <f>IF(OR($A80="",AR$116=0),"",IF(COUNT(OFFSET(AR$121,$BB80-1,0,$BA80,1))&gt;0,AVERAGE(OFFSET(AR$121,$BB80-1,0,$BA80,1)),""))</f>
        <v/>
      </c>
      <c r="AS101" s="29">
        <f>IF(OR($A80="",AS$116=0),"",IF(COUNT(OFFSET(AS$121,$BB80-1,0,$BA80,1))&gt;0,AVERAGE(OFFSET(AS$121,$BB80-1,0,$BA80,1)),""))</f>
        <v/>
      </c>
      <c r="AT101" s="29">
        <f>IF(OR($A80="",AT$116=0),"",IF(COUNT(OFFSET(AT$121,$BB80-1,0,$BA80,1))&gt;0,AVERAGE(OFFSET(AT$121,$BB80-1,0,$BA80,1)),""))</f>
        <v/>
      </c>
      <c r="AU101" s="29">
        <f>IF(OR($A80="",AU$116=0),"",IF(COUNT(OFFSET(AU$121,$BB80-1,0,$BA80,1))&gt;0,AVERAGE(OFFSET(AU$121,$BB80-1,0,$BA80,1)),""))</f>
        <v/>
      </c>
      <c r="AV101" s="29">
        <f>IF(OR($A80="",AV$116=0),"",IF(COUNT(OFFSET(AV$121,$BB80-1,0,$BA80,1))&gt;0,AVERAGE(OFFSET(AV$121,$BB80-1,0,$BA80,1)),""))</f>
        <v/>
      </c>
      <c r="AW101" s="29">
        <f>IF(OR($A80="",AW$116=0),"",IF(COUNT(OFFSET(AW$121,$BB80-1,0,$BA80,1))&gt;0,AVERAGE(OFFSET(AW$121,$BB80-1,0,$BA80,1)),""))</f>
        <v/>
      </c>
      <c r="AX101" s="29">
        <f>IF(OR($A80="",AX$116=0),"",IF(COUNT(OFFSET(AX$121,$BB80-1,0,$BA80,1))&gt;0,AVERAGE(OFFSET(AX$121,$BB80-1,0,$BA80,1)),""))</f>
        <v/>
      </c>
      <c r="AY101" s="29">
        <f>IF(OR($A80="",AY$116=0),"",IF(COUNT(OFFSET(AY$121,$BB80-1,0,$BA80,1))&gt;0,AVERAGE(OFFSET(AY$121,$BB80-1,0,$BA80,1)),""))</f>
        <v/>
      </c>
      <c r="AZ101" s="29">
        <f>IF($A80="","",AVERAGE(OFFSET($B$121,$BB80-1,0,$BA80,50)))</f>
        <v/>
      </c>
    </row>
    <row r="102">
      <c r="A102" s="13">
        <f>A81</f>
        <v/>
      </c>
      <c r="B102" s="29">
        <f>IF(OR($A81="",B$116=0),"",IF(COUNT(OFFSET(B$121,$BB81-1,0,$BA81,1))&gt;0,AVERAGE(OFFSET(B$121,$BB81-1,0,$BA81,1)),""))</f>
        <v/>
      </c>
      <c r="C102" s="29">
        <f>IF(OR($A81="",C$116=0),"",IF(COUNT(OFFSET(C$121,$BB81-1,0,$BA81,1))&gt;0,AVERAGE(OFFSET(C$121,$BB81-1,0,$BA81,1)),""))</f>
        <v/>
      </c>
      <c r="D102" s="29">
        <f>IF(OR($A81="",D$116=0),"",IF(COUNT(OFFSET(D$121,$BB81-1,0,$BA81,1))&gt;0,AVERAGE(OFFSET(D$121,$BB81-1,0,$BA81,1)),""))</f>
        <v/>
      </c>
      <c r="E102" s="29">
        <f>IF(OR($A81="",E$116=0),"",IF(COUNT(OFFSET(E$121,$BB81-1,0,$BA81,1))&gt;0,AVERAGE(OFFSET(E$121,$BB81-1,0,$BA81,1)),""))</f>
        <v/>
      </c>
      <c r="F102" s="29">
        <f>IF(OR($A81="",F$116=0),"",IF(COUNT(OFFSET(F$121,$BB81-1,0,$BA81,1))&gt;0,AVERAGE(OFFSET(F$121,$BB81-1,0,$BA81,1)),""))</f>
        <v/>
      </c>
      <c r="G102" s="29">
        <f>IF(OR($A81="",G$116=0),"",IF(COUNT(OFFSET(G$121,$BB81-1,0,$BA81,1))&gt;0,AVERAGE(OFFSET(G$121,$BB81-1,0,$BA81,1)),""))</f>
        <v/>
      </c>
      <c r="H102" s="29">
        <f>IF(OR($A81="",H$116=0),"",IF(COUNT(OFFSET(H$121,$BB81-1,0,$BA81,1))&gt;0,AVERAGE(OFFSET(H$121,$BB81-1,0,$BA81,1)),""))</f>
        <v/>
      </c>
      <c r="I102" s="29">
        <f>IF(OR($A81="",I$116=0),"",IF(COUNT(OFFSET(I$121,$BB81-1,0,$BA81,1))&gt;0,AVERAGE(OFFSET(I$121,$BB81-1,0,$BA81,1)),""))</f>
        <v/>
      </c>
      <c r="J102" s="29">
        <f>IF(OR($A81="",J$116=0),"",IF(COUNT(OFFSET(J$121,$BB81-1,0,$BA81,1))&gt;0,AVERAGE(OFFSET(J$121,$BB81-1,0,$BA81,1)),""))</f>
        <v/>
      </c>
      <c r="K102" s="29">
        <f>IF(OR($A81="",K$116=0),"",IF(COUNT(OFFSET(K$121,$BB81-1,0,$BA81,1))&gt;0,AVERAGE(OFFSET(K$121,$BB81-1,0,$BA81,1)),""))</f>
        <v/>
      </c>
      <c r="L102" s="29">
        <f>IF(OR($A81="",L$116=0),"",IF(COUNT(OFFSET(L$121,$BB81-1,0,$BA81,1))&gt;0,AVERAGE(OFFSET(L$121,$BB81-1,0,$BA81,1)),""))</f>
        <v/>
      </c>
      <c r="M102" s="29">
        <f>IF(OR($A81="",M$116=0),"",IF(COUNT(OFFSET(M$121,$BB81-1,0,$BA81,1))&gt;0,AVERAGE(OFFSET(M$121,$BB81-1,0,$BA81,1)),""))</f>
        <v/>
      </c>
      <c r="N102" s="29">
        <f>IF(OR($A81="",N$116=0),"",IF(COUNT(OFFSET(N$121,$BB81-1,0,$BA81,1))&gt;0,AVERAGE(OFFSET(N$121,$BB81-1,0,$BA81,1)),""))</f>
        <v/>
      </c>
      <c r="O102" s="29">
        <f>IF(OR($A81="",O$116=0),"",IF(COUNT(OFFSET(O$121,$BB81-1,0,$BA81,1))&gt;0,AVERAGE(OFFSET(O$121,$BB81-1,0,$BA81,1)),""))</f>
        <v/>
      </c>
      <c r="P102" s="29">
        <f>IF(OR($A81="",P$116=0),"",IF(COUNT(OFFSET(P$121,$BB81-1,0,$BA81,1))&gt;0,AVERAGE(OFFSET(P$121,$BB81-1,0,$BA81,1)),""))</f>
        <v/>
      </c>
      <c r="Q102" s="29">
        <f>IF(OR($A81="",Q$116=0),"",IF(COUNT(OFFSET(Q$121,$BB81-1,0,$BA81,1))&gt;0,AVERAGE(OFFSET(Q$121,$BB81-1,0,$BA81,1)),""))</f>
        <v/>
      </c>
      <c r="R102" s="29">
        <f>IF(OR($A81="",R$116=0),"",IF(COUNT(OFFSET(R$121,$BB81-1,0,$BA81,1))&gt;0,AVERAGE(OFFSET(R$121,$BB81-1,0,$BA81,1)),""))</f>
        <v/>
      </c>
      <c r="S102" s="29">
        <f>IF(OR($A81="",S$116=0),"",IF(COUNT(OFFSET(S$121,$BB81-1,0,$BA81,1))&gt;0,AVERAGE(OFFSET(S$121,$BB81-1,0,$BA81,1)),""))</f>
        <v/>
      </c>
      <c r="T102" s="29">
        <f>IF(OR($A81="",T$116=0),"",IF(COUNT(OFFSET(T$121,$BB81-1,0,$BA81,1))&gt;0,AVERAGE(OFFSET(T$121,$BB81-1,0,$BA81,1)),""))</f>
        <v/>
      </c>
      <c r="U102" s="29">
        <f>IF(OR($A81="",U$116=0),"",IF(COUNT(OFFSET(U$121,$BB81-1,0,$BA81,1))&gt;0,AVERAGE(OFFSET(U$121,$BB81-1,0,$BA81,1)),""))</f>
        <v/>
      </c>
      <c r="V102" s="29">
        <f>IF(OR($A81="",V$116=0),"",IF(COUNT(OFFSET(V$121,$BB81-1,0,$BA81,1))&gt;0,AVERAGE(OFFSET(V$121,$BB81-1,0,$BA81,1)),""))</f>
        <v/>
      </c>
      <c r="W102" s="29">
        <f>IF(OR($A81="",W$116=0),"",IF(COUNT(OFFSET(W$121,$BB81-1,0,$BA81,1))&gt;0,AVERAGE(OFFSET(W$121,$BB81-1,0,$BA81,1)),""))</f>
        <v/>
      </c>
      <c r="X102" s="29">
        <f>IF(OR($A81="",X$116=0),"",IF(COUNT(OFFSET(X$121,$BB81-1,0,$BA81,1))&gt;0,AVERAGE(OFFSET(X$121,$BB81-1,0,$BA81,1)),""))</f>
        <v/>
      </c>
      <c r="Y102" s="29">
        <f>IF(OR($A81="",Y$116=0),"",IF(COUNT(OFFSET(Y$121,$BB81-1,0,$BA81,1))&gt;0,AVERAGE(OFFSET(Y$121,$BB81-1,0,$BA81,1)),""))</f>
        <v/>
      </c>
      <c r="Z102" s="29">
        <f>IF(OR($A81="",Z$116=0),"",IF(COUNT(OFFSET(Z$121,$BB81-1,0,$BA81,1))&gt;0,AVERAGE(OFFSET(Z$121,$BB81-1,0,$BA81,1)),""))</f>
        <v/>
      </c>
      <c r="AA102" s="29">
        <f>IF(OR($A81="",AA$116=0),"",IF(COUNT(OFFSET(AA$121,$BB81-1,0,$BA81,1))&gt;0,AVERAGE(OFFSET(AA$121,$BB81-1,0,$BA81,1)),""))</f>
        <v/>
      </c>
      <c r="AB102" s="29">
        <f>IF(OR($A81="",AB$116=0),"",IF(COUNT(OFFSET(AB$121,$BB81-1,0,$BA81,1))&gt;0,AVERAGE(OFFSET(AB$121,$BB81-1,0,$BA81,1)),""))</f>
        <v/>
      </c>
      <c r="AC102" s="29">
        <f>IF(OR($A81="",AC$116=0),"",IF(COUNT(OFFSET(AC$121,$BB81-1,0,$BA81,1))&gt;0,AVERAGE(OFFSET(AC$121,$BB81-1,0,$BA81,1)),""))</f>
        <v/>
      </c>
      <c r="AD102" s="29">
        <f>IF(OR($A81="",AD$116=0),"",IF(COUNT(OFFSET(AD$121,$BB81-1,0,$BA81,1))&gt;0,AVERAGE(OFFSET(AD$121,$BB81-1,0,$BA81,1)),""))</f>
        <v/>
      </c>
      <c r="AE102" s="29">
        <f>IF(OR($A81="",AE$116=0),"",IF(COUNT(OFFSET(AE$121,$BB81-1,0,$BA81,1))&gt;0,AVERAGE(OFFSET(AE$121,$BB81-1,0,$BA81,1)),""))</f>
        <v/>
      </c>
      <c r="AF102" s="29">
        <f>IF(OR($A81="",AF$116=0),"",IF(COUNT(OFFSET(AF$121,$BB81-1,0,$BA81,1))&gt;0,AVERAGE(OFFSET(AF$121,$BB81-1,0,$BA81,1)),""))</f>
        <v/>
      </c>
      <c r="AG102" s="29">
        <f>IF(OR($A81="",AG$116=0),"",IF(COUNT(OFFSET(AG$121,$BB81-1,0,$BA81,1))&gt;0,AVERAGE(OFFSET(AG$121,$BB81-1,0,$BA81,1)),""))</f>
        <v/>
      </c>
      <c r="AH102" s="29">
        <f>IF(OR($A81="",AH$116=0),"",IF(COUNT(OFFSET(AH$121,$BB81-1,0,$BA81,1))&gt;0,AVERAGE(OFFSET(AH$121,$BB81-1,0,$BA81,1)),""))</f>
        <v/>
      </c>
      <c r="AI102" s="29">
        <f>IF(OR($A81="",AI$116=0),"",IF(COUNT(OFFSET(AI$121,$BB81-1,0,$BA81,1))&gt;0,AVERAGE(OFFSET(AI$121,$BB81-1,0,$BA81,1)),""))</f>
        <v/>
      </c>
      <c r="AJ102" s="29">
        <f>IF(OR($A81="",AJ$116=0),"",IF(COUNT(OFFSET(AJ$121,$BB81-1,0,$BA81,1))&gt;0,AVERAGE(OFFSET(AJ$121,$BB81-1,0,$BA81,1)),""))</f>
        <v/>
      </c>
      <c r="AK102" s="29">
        <f>IF(OR($A81="",AK$116=0),"",IF(COUNT(OFFSET(AK$121,$BB81-1,0,$BA81,1))&gt;0,AVERAGE(OFFSET(AK$121,$BB81-1,0,$BA81,1)),""))</f>
        <v/>
      </c>
      <c r="AL102" s="29">
        <f>IF(OR($A81="",AL$116=0),"",IF(COUNT(OFFSET(AL$121,$BB81-1,0,$BA81,1))&gt;0,AVERAGE(OFFSET(AL$121,$BB81-1,0,$BA81,1)),""))</f>
        <v/>
      </c>
      <c r="AM102" s="29">
        <f>IF(OR($A81="",AM$116=0),"",IF(COUNT(OFFSET(AM$121,$BB81-1,0,$BA81,1))&gt;0,AVERAGE(OFFSET(AM$121,$BB81-1,0,$BA81,1)),""))</f>
        <v/>
      </c>
      <c r="AN102" s="29">
        <f>IF(OR($A81="",AN$116=0),"",IF(COUNT(OFFSET(AN$121,$BB81-1,0,$BA81,1))&gt;0,AVERAGE(OFFSET(AN$121,$BB81-1,0,$BA81,1)),""))</f>
        <v/>
      </c>
      <c r="AO102" s="29">
        <f>IF(OR($A81="",AO$116=0),"",IF(COUNT(OFFSET(AO$121,$BB81-1,0,$BA81,1))&gt;0,AVERAGE(OFFSET(AO$121,$BB81-1,0,$BA81,1)),""))</f>
        <v/>
      </c>
      <c r="AP102" s="29">
        <f>IF(OR($A81="",AP$116=0),"",IF(COUNT(OFFSET(AP$121,$BB81-1,0,$BA81,1))&gt;0,AVERAGE(OFFSET(AP$121,$BB81-1,0,$BA81,1)),""))</f>
        <v/>
      </c>
      <c r="AQ102" s="29">
        <f>IF(OR($A81="",AQ$116=0),"",IF(COUNT(OFFSET(AQ$121,$BB81-1,0,$BA81,1))&gt;0,AVERAGE(OFFSET(AQ$121,$BB81-1,0,$BA81,1)),""))</f>
        <v/>
      </c>
      <c r="AR102" s="29">
        <f>IF(OR($A81="",AR$116=0),"",IF(COUNT(OFFSET(AR$121,$BB81-1,0,$BA81,1))&gt;0,AVERAGE(OFFSET(AR$121,$BB81-1,0,$BA81,1)),""))</f>
        <v/>
      </c>
      <c r="AS102" s="29">
        <f>IF(OR($A81="",AS$116=0),"",IF(COUNT(OFFSET(AS$121,$BB81-1,0,$BA81,1))&gt;0,AVERAGE(OFFSET(AS$121,$BB81-1,0,$BA81,1)),""))</f>
        <v/>
      </c>
      <c r="AT102" s="29">
        <f>IF(OR($A81="",AT$116=0),"",IF(COUNT(OFFSET(AT$121,$BB81-1,0,$BA81,1))&gt;0,AVERAGE(OFFSET(AT$121,$BB81-1,0,$BA81,1)),""))</f>
        <v/>
      </c>
      <c r="AU102" s="29">
        <f>IF(OR($A81="",AU$116=0),"",IF(COUNT(OFFSET(AU$121,$BB81-1,0,$BA81,1))&gt;0,AVERAGE(OFFSET(AU$121,$BB81-1,0,$BA81,1)),""))</f>
        <v/>
      </c>
      <c r="AV102" s="29">
        <f>IF(OR($A81="",AV$116=0),"",IF(COUNT(OFFSET(AV$121,$BB81-1,0,$BA81,1))&gt;0,AVERAGE(OFFSET(AV$121,$BB81-1,0,$BA81,1)),""))</f>
        <v/>
      </c>
      <c r="AW102" s="29">
        <f>IF(OR($A81="",AW$116=0),"",IF(COUNT(OFFSET(AW$121,$BB81-1,0,$BA81,1))&gt;0,AVERAGE(OFFSET(AW$121,$BB81-1,0,$BA81,1)),""))</f>
        <v/>
      </c>
      <c r="AX102" s="29">
        <f>IF(OR($A81="",AX$116=0),"",IF(COUNT(OFFSET(AX$121,$BB81-1,0,$BA81,1))&gt;0,AVERAGE(OFFSET(AX$121,$BB81-1,0,$BA81,1)),""))</f>
        <v/>
      </c>
      <c r="AY102" s="29">
        <f>IF(OR($A81="",AY$116=0),"",IF(COUNT(OFFSET(AY$121,$BB81-1,0,$BA81,1))&gt;0,AVERAGE(OFFSET(AY$121,$BB81-1,0,$BA81,1)),""))</f>
        <v/>
      </c>
      <c r="AZ102" s="29">
        <f>IF($A81="","",AVERAGE(OFFSET($B$121,$BB81-1,0,$BA81,50)))</f>
        <v/>
      </c>
    </row>
    <row r="103">
      <c r="A103" s="13">
        <f>A82</f>
        <v/>
      </c>
      <c r="B103" s="29">
        <f>IF(OR($A82="",B$116=0),"",IF(COUNT(OFFSET(B$121,$BB82-1,0,$BA82,1))&gt;0,AVERAGE(OFFSET(B$121,$BB82-1,0,$BA82,1)),""))</f>
        <v/>
      </c>
      <c r="C103" s="29">
        <f>IF(OR($A82="",C$116=0),"",IF(COUNT(OFFSET(C$121,$BB82-1,0,$BA82,1))&gt;0,AVERAGE(OFFSET(C$121,$BB82-1,0,$BA82,1)),""))</f>
        <v/>
      </c>
      <c r="D103" s="29">
        <f>IF(OR($A82="",D$116=0),"",IF(COUNT(OFFSET(D$121,$BB82-1,0,$BA82,1))&gt;0,AVERAGE(OFFSET(D$121,$BB82-1,0,$BA82,1)),""))</f>
        <v/>
      </c>
      <c r="E103" s="29">
        <f>IF(OR($A82="",E$116=0),"",IF(COUNT(OFFSET(E$121,$BB82-1,0,$BA82,1))&gt;0,AVERAGE(OFFSET(E$121,$BB82-1,0,$BA82,1)),""))</f>
        <v/>
      </c>
      <c r="F103" s="29">
        <f>IF(OR($A82="",F$116=0),"",IF(COUNT(OFFSET(F$121,$BB82-1,0,$BA82,1))&gt;0,AVERAGE(OFFSET(F$121,$BB82-1,0,$BA82,1)),""))</f>
        <v/>
      </c>
      <c r="G103" s="29">
        <f>IF(OR($A82="",G$116=0),"",IF(COUNT(OFFSET(G$121,$BB82-1,0,$BA82,1))&gt;0,AVERAGE(OFFSET(G$121,$BB82-1,0,$BA82,1)),""))</f>
        <v/>
      </c>
      <c r="H103" s="29">
        <f>IF(OR($A82="",H$116=0),"",IF(COUNT(OFFSET(H$121,$BB82-1,0,$BA82,1))&gt;0,AVERAGE(OFFSET(H$121,$BB82-1,0,$BA82,1)),""))</f>
        <v/>
      </c>
      <c r="I103" s="29">
        <f>IF(OR($A82="",I$116=0),"",IF(COUNT(OFFSET(I$121,$BB82-1,0,$BA82,1))&gt;0,AVERAGE(OFFSET(I$121,$BB82-1,0,$BA82,1)),""))</f>
        <v/>
      </c>
      <c r="J103" s="29">
        <f>IF(OR($A82="",J$116=0),"",IF(COUNT(OFFSET(J$121,$BB82-1,0,$BA82,1))&gt;0,AVERAGE(OFFSET(J$121,$BB82-1,0,$BA82,1)),""))</f>
        <v/>
      </c>
      <c r="K103" s="29">
        <f>IF(OR($A82="",K$116=0),"",IF(COUNT(OFFSET(K$121,$BB82-1,0,$BA82,1))&gt;0,AVERAGE(OFFSET(K$121,$BB82-1,0,$BA82,1)),""))</f>
        <v/>
      </c>
      <c r="L103" s="29">
        <f>IF(OR($A82="",L$116=0),"",IF(COUNT(OFFSET(L$121,$BB82-1,0,$BA82,1))&gt;0,AVERAGE(OFFSET(L$121,$BB82-1,0,$BA82,1)),""))</f>
        <v/>
      </c>
      <c r="M103" s="29">
        <f>IF(OR($A82="",M$116=0),"",IF(COUNT(OFFSET(M$121,$BB82-1,0,$BA82,1))&gt;0,AVERAGE(OFFSET(M$121,$BB82-1,0,$BA82,1)),""))</f>
        <v/>
      </c>
      <c r="N103" s="29">
        <f>IF(OR($A82="",N$116=0),"",IF(COUNT(OFFSET(N$121,$BB82-1,0,$BA82,1))&gt;0,AVERAGE(OFFSET(N$121,$BB82-1,0,$BA82,1)),""))</f>
        <v/>
      </c>
      <c r="O103" s="29">
        <f>IF(OR($A82="",O$116=0),"",IF(COUNT(OFFSET(O$121,$BB82-1,0,$BA82,1))&gt;0,AVERAGE(OFFSET(O$121,$BB82-1,0,$BA82,1)),""))</f>
        <v/>
      </c>
      <c r="P103" s="29">
        <f>IF(OR($A82="",P$116=0),"",IF(COUNT(OFFSET(P$121,$BB82-1,0,$BA82,1))&gt;0,AVERAGE(OFFSET(P$121,$BB82-1,0,$BA82,1)),""))</f>
        <v/>
      </c>
      <c r="Q103" s="29">
        <f>IF(OR($A82="",Q$116=0),"",IF(COUNT(OFFSET(Q$121,$BB82-1,0,$BA82,1))&gt;0,AVERAGE(OFFSET(Q$121,$BB82-1,0,$BA82,1)),""))</f>
        <v/>
      </c>
      <c r="R103" s="29">
        <f>IF(OR($A82="",R$116=0),"",IF(COUNT(OFFSET(R$121,$BB82-1,0,$BA82,1))&gt;0,AVERAGE(OFFSET(R$121,$BB82-1,0,$BA82,1)),""))</f>
        <v/>
      </c>
      <c r="S103" s="29">
        <f>IF(OR($A82="",S$116=0),"",IF(COUNT(OFFSET(S$121,$BB82-1,0,$BA82,1))&gt;0,AVERAGE(OFFSET(S$121,$BB82-1,0,$BA82,1)),""))</f>
        <v/>
      </c>
      <c r="T103" s="29">
        <f>IF(OR($A82="",T$116=0),"",IF(COUNT(OFFSET(T$121,$BB82-1,0,$BA82,1))&gt;0,AVERAGE(OFFSET(T$121,$BB82-1,0,$BA82,1)),""))</f>
        <v/>
      </c>
      <c r="U103" s="29">
        <f>IF(OR($A82="",U$116=0),"",IF(COUNT(OFFSET(U$121,$BB82-1,0,$BA82,1))&gt;0,AVERAGE(OFFSET(U$121,$BB82-1,0,$BA82,1)),""))</f>
        <v/>
      </c>
      <c r="V103" s="29">
        <f>IF(OR($A82="",V$116=0),"",IF(COUNT(OFFSET(V$121,$BB82-1,0,$BA82,1))&gt;0,AVERAGE(OFFSET(V$121,$BB82-1,0,$BA82,1)),""))</f>
        <v/>
      </c>
      <c r="W103" s="29">
        <f>IF(OR($A82="",W$116=0),"",IF(COUNT(OFFSET(W$121,$BB82-1,0,$BA82,1))&gt;0,AVERAGE(OFFSET(W$121,$BB82-1,0,$BA82,1)),""))</f>
        <v/>
      </c>
      <c r="X103" s="29">
        <f>IF(OR($A82="",X$116=0),"",IF(COUNT(OFFSET(X$121,$BB82-1,0,$BA82,1))&gt;0,AVERAGE(OFFSET(X$121,$BB82-1,0,$BA82,1)),""))</f>
        <v/>
      </c>
      <c r="Y103" s="29">
        <f>IF(OR($A82="",Y$116=0),"",IF(COUNT(OFFSET(Y$121,$BB82-1,0,$BA82,1))&gt;0,AVERAGE(OFFSET(Y$121,$BB82-1,0,$BA82,1)),""))</f>
        <v/>
      </c>
      <c r="Z103" s="29">
        <f>IF(OR($A82="",Z$116=0),"",IF(COUNT(OFFSET(Z$121,$BB82-1,0,$BA82,1))&gt;0,AVERAGE(OFFSET(Z$121,$BB82-1,0,$BA82,1)),""))</f>
        <v/>
      </c>
      <c r="AA103" s="29">
        <f>IF(OR($A82="",AA$116=0),"",IF(COUNT(OFFSET(AA$121,$BB82-1,0,$BA82,1))&gt;0,AVERAGE(OFFSET(AA$121,$BB82-1,0,$BA82,1)),""))</f>
        <v/>
      </c>
      <c r="AB103" s="29">
        <f>IF(OR($A82="",AB$116=0),"",IF(COUNT(OFFSET(AB$121,$BB82-1,0,$BA82,1))&gt;0,AVERAGE(OFFSET(AB$121,$BB82-1,0,$BA82,1)),""))</f>
        <v/>
      </c>
      <c r="AC103" s="29">
        <f>IF(OR($A82="",AC$116=0),"",IF(COUNT(OFFSET(AC$121,$BB82-1,0,$BA82,1))&gt;0,AVERAGE(OFFSET(AC$121,$BB82-1,0,$BA82,1)),""))</f>
        <v/>
      </c>
      <c r="AD103" s="29">
        <f>IF(OR($A82="",AD$116=0),"",IF(COUNT(OFFSET(AD$121,$BB82-1,0,$BA82,1))&gt;0,AVERAGE(OFFSET(AD$121,$BB82-1,0,$BA82,1)),""))</f>
        <v/>
      </c>
      <c r="AE103" s="29">
        <f>IF(OR($A82="",AE$116=0),"",IF(COUNT(OFFSET(AE$121,$BB82-1,0,$BA82,1))&gt;0,AVERAGE(OFFSET(AE$121,$BB82-1,0,$BA82,1)),""))</f>
        <v/>
      </c>
      <c r="AF103" s="29">
        <f>IF(OR($A82="",AF$116=0),"",IF(COUNT(OFFSET(AF$121,$BB82-1,0,$BA82,1))&gt;0,AVERAGE(OFFSET(AF$121,$BB82-1,0,$BA82,1)),""))</f>
        <v/>
      </c>
      <c r="AG103" s="29">
        <f>IF(OR($A82="",AG$116=0),"",IF(COUNT(OFFSET(AG$121,$BB82-1,0,$BA82,1))&gt;0,AVERAGE(OFFSET(AG$121,$BB82-1,0,$BA82,1)),""))</f>
        <v/>
      </c>
      <c r="AH103" s="29">
        <f>IF(OR($A82="",AH$116=0),"",IF(COUNT(OFFSET(AH$121,$BB82-1,0,$BA82,1))&gt;0,AVERAGE(OFFSET(AH$121,$BB82-1,0,$BA82,1)),""))</f>
        <v/>
      </c>
      <c r="AI103" s="29">
        <f>IF(OR($A82="",AI$116=0),"",IF(COUNT(OFFSET(AI$121,$BB82-1,0,$BA82,1))&gt;0,AVERAGE(OFFSET(AI$121,$BB82-1,0,$BA82,1)),""))</f>
        <v/>
      </c>
      <c r="AJ103" s="29">
        <f>IF(OR($A82="",AJ$116=0),"",IF(COUNT(OFFSET(AJ$121,$BB82-1,0,$BA82,1))&gt;0,AVERAGE(OFFSET(AJ$121,$BB82-1,0,$BA82,1)),""))</f>
        <v/>
      </c>
      <c r="AK103" s="29">
        <f>IF(OR($A82="",AK$116=0),"",IF(COUNT(OFFSET(AK$121,$BB82-1,0,$BA82,1))&gt;0,AVERAGE(OFFSET(AK$121,$BB82-1,0,$BA82,1)),""))</f>
        <v/>
      </c>
      <c r="AL103" s="29">
        <f>IF(OR($A82="",AL$116=0),"",IF(COUNT(OFFSET(AL$121,$BB82-1,0,$BA82,1))&gt;0,AVERAGE(OFFSET(AL$121,$BB82-1,0,$BA82,1)),""))</f>
        <v/>
      </c>
      <c r="AM103" s="29">
        <f>IF(OR($A82="",AM$116=0),"",IF(COUNT(OFFSET(AM$121,$BB82-1,0,$BA82,1))&gt;0,AVERAGE(OFFSET(AM$121,$BB82-1,0,$BA82,1)),""))</f>
        <v/>
      </c>
      <c r="AN103" s="29">
        <f>IF(OR($A82="",AN$116=0),"",IF(COUNT(OFFSET(AN$121,$BB82-1,0,$BA82,1))&gt;0,AVERAGE(OFFSET(AN$121,$BB82-1,0,$BA82,1)),""))</f>
        <v/>
      </c>
      <c r="AO103" s="29">
        <f>IF(OR($A82="",AO$116=0),"",IF(COUNT(OFFSET(AO$121,$BB82-1,0,$BA82,1))&gt;0,AVERAGE(OFFSET(AO$121,$BB82-1,0,$BA82,1)),""))</f>
        <v/>
      </c>
      <c r="AP103" s="29">
        <f>IF(OR($A82="",AP$116=0),"",IF(COUNT(OFFSET(AP$121,$BB82-1,0,$BA82,1))&gt;0,AVERAGE(OFFSET(AP$121,$BB82-1,0,$BA82,1)),""))</f>
        <v/>
      </c>
      <c r="AQ103" s="29">
        <f>IF(OR($A82="",AQ$116=0),"",IF(COUNT(OFFSET(AQ$121,$BB82-1,0,$BA82,1))&gt;0,AVERAGE(OFFSET(AQ$121,$BB82-1,0,$BA82,1)),""))</f>
        <v/>
      </c>
      <c r="AR103" s="29">
        <f>IF(OR($A82="",AR$116=0),"",IF(COUNT(OFFSET(AR$121,$BB82-1,0,$BA82,1))&gt;0,AVERAGE(OFFSET(AR$121,$BB82-1,0,$BA82,1)),""))</f>
        <v/>
      </c>
      <c r="AS103" s="29">
        <f>IF(OR($A82="",AS$116=0),"",IF(COUNT(OFFSET(AS$121,$BB82-1,0,$BA82,1))&gt;0,AVERAGE(OFFSET(AS$121,$BB82-1,0,$BA82,1)),""))</f>
        <v/>
      </c>
      <c r="AT103" s="29">
        <f>IF(OR($A82="",AT$116=0),"",IF(COUNT(OFFSET(AT$121,$BB82-1,0,$BA82,1))&gt;0,AVERAGE(OFFSET(AT$121,$BB82-1,0,$BA82,1)),""))</f>
        <v/>
      </c>
      <c r="AU103" s="29">
        <f>IF(OR($A82="",AU$116=0),"",IF(COUNT(OFFSET(AU$121,$BB82-1,0,$BA82,1))&gt;0,AVERAGE(OFFSET(AU$121,$BB82-1,0,$BA82,1)),""))</f>
        <v/>
      </c>
      <c r="AV103" s="29">
        <f>IF(OR($A82="",AV$116=0),"",IF(COUNT(OFFSET(AV$121,$BB82-1,0,$BA82,1))&gt;0,AVERAGE(OFFSET(AV$121,$BB82-1,0,$BA82,1)),""))</f>
        <v/>
      </c>
      <c r="AW103" s="29">
        <f>IF(OR($A82="",AW$116=0),"",IF(COUNT(OFFSET(AW$121,$BB82-1,0,$BA82,1))&gt;0,AVERAGE(OFFSET(AW$121,$BB82-1,0,$BA82,1)),""))</f>
        <v/>
      </c>
      <c r="AX103" s="29">
        <f>IF(OR($A82="",AX$116=0),"",IF(COUNT(OFFSET(AX$121,$BB82-1,0,$BA82,1))&gt;0,AVERAGE(OFFSET(AX$121,$BB82-1,0,$BA82,1)),""))</f>
        <v/>
      </c>
      <c r="AY103" s="29">
        <f>IF(OR($A82="",AY$116=0),"",IF(COUNT(OFFSET(AY$121,$BB82-1,0,$BA82,1))&gt;0,AVERAGE(OFFSET(AY$121,$BB82-1,0,$BA82,1)),""))</f>
        <v/>
      </c>
      <c r="AZ103" s="29">
        <f>IF($A82="","",AVERAGE(OFFSET($B$121,$BB82-1,0,$BA82,50)))</f>
        <v/>
      </c>
    </row>
    <row r="104">
      <c r="A104" s="13">
        <f>A83</f>
        <v/>
      </c>
      <c r="B104" s="29">
        <f>IF(OR($A83="",B$116=0),"",IF(COUNT(OFFSET(B$121,$BB83-1,0,$BA83,1))&gt;0,AVERAGE(OFFSET(B$121,$BB83-1,0,$BA83,1)),""))</f>
        <v/>
      </c>
      <c r="C104" s="29">
        <f>IF(OR($A83="",C$116=0),"",IF(COUNT(OFFSET(C$121,$BB83-1,0,$BA83,1))&gt;0,AVERAGE(OFFSET(C$121,$BB83-1,0,$BA83,1)),""))</f>
        <v/>
      </c>
      <c r="D104" s="29">
        <f>IF(OR($A83="",D$116=0),"",IF(COUNT(OFFSET(D$121,$BB83-1,0,$BA83,1))&gt;0,AVERAGE(OFFSET(D$121,$BB83-1,0,$BA83,1)),""))</f>
        <v/>
      </c>
      <c r="E104" s="29">
        <f>IF(OR($A83="",E$116=0),"",IF(COUNT(OFFSET(E$121,$BB83-1,0,$BA83,1))&gt;0,AVERAGE(OFFSET(E$121,$BB83-1,0,$BA83,1)),""))</f>
        <v/>
      </c>
      <c r="F104" s="29">
        <f>IF(OR($A83="",F$116=0),"",IF(COUNT(OFFSET(F$121,$BB83-1,0,$BA83,1))&gt;0,AVERAGE(OFFSET(F$121,$BB83-1,0,$BA83,1)),""))</f>
        <v/>
      </c>
      <c r="G104" s="29">
        <f>IF(OR($A83="",G$116=0),"",IF(COUNT(OFFSET(G$121,$BB83-1,0,$BA83,1))&gt;0,AVERAGE(OFFSET(G$121,$BB83-1,0,$BA83,1)),""))</f>
        <v/>
      </c>
      <c r="H104" s="29">
        <f>IF(OR($A83="",H$116=0),"",IF(COUNT(OFFSET(H$121,$BB83-1,0,$BA83,1))&gt;0,AVERAGE(OFFSET(H$121,$BB83-1,0,$BA83,1)),""))</f>
        <v/>
      </c>
      <c r="I104" s="29">
        <f>IF(OR($A83="",I$116=0),"",IF(COUNT(OFFSET(I$121,$BB83-1,0,$BA83,1))&gt;0,AVERAGE(OFFSET(I$121,$BB83-1,0,$BA83,1)),""))</f>
        <v/>
      </c>
      <c r="J104" s="29">
        <f>IF(OR($A83="",J$116=0),"",IF(COUNT(OFFSET(J$121,$BB83-1,0,$BA83,1))&gt;0,AVERAGE(OFFSET(J$121,$BB83-1,0,$BA83,1)),""))</f>
        <v/>
      </c>
      <c r="K104" s="29">
        <f>IF(OR($A83="",K$116=0),"",IF(COUNT(OFFSET(K$121,$BB83-1,0,$BA83,1))&gt;0,AVERAGE(OFFSET(K$121,$BB83-1,0,$BA83,1)),""))</f>
        <v/>
      </c>
      <c r="L104" s="29">
        <f>IF(OR($A83="",L$116=0),"",IF(COUNT(OFFSET(L$121,$BB83-1,0,$BA83,1))&gt;0,AVERAGE(OFFSET(L$121,$BB83-1,0,$BA83,1)),""))</f>
        <v/>
      </c>
      <c r="M104" s="29">
        <f>IF(OR($A83="",M$116=0),"",IF(COUNT(OFFSET(M$121,$BB83-1,0,$BA83,1))&gt;0,AVERAGE(OFFSET(M$121,$BB83-1,0,$BA83,1)),""))</f>
        <v/>
      </c>
      <c r="N104" s="29">
        <f>IF(OR($A83="",N$116=0),"",IF(COUNT(OFFSET(N$121,$BB83-1,0,$BA83,1))&gt;0,AVERAGE(OFFSET(N$121,$BB83-1,0,$BA83,1)),""))</f>
        <v/>
      </c>
      <c r="O104" s="29">
        <f>IF(OR($A83="",O$116=0),"",IF(COUNT(OFFSET(O$121,$BB83-1,0,$BA83,1))&gt;0,AVERAGE(OFFSET(O$121,$BB83-1,0,$BA83,1)),""))</f>
        <v/>
      </c>
      <c r="P104" s="29">
        <f>IF(OR($A83="",P$116=0),"",IF(COUNT(OFFSET(P$121,$BB83-1,0,$BA83,1))&gt;0,AVERAGE(OFFSET(P$121,$BB83-1,0,$BA83,1)),""))</f>
        <v/>
      </c>
      <c r="Q104" s="29">
        <f>IF(OR($A83="",Q$116=0),"",IF(COUNT(OFFSET(Q$121,$BB83-1,0,$BA83,1))&gt;0,AVERAGE(OFFSET(Q$121,$BB83-1,0,$BA83,1)),""))</f>
        <v/>
      </c>
      <c r="R104" s="29">
        <f>IF(OR($A83="",R$116=0),"",IF(COUNT(OFFSET(R$121,$BB83-1,0,$BA83,1))&gt;0,AVERAGE(OFFSET(R$121,$BB83-1,0,$BA83,1)),""))</f>
        <v/>
      </c>
      <c r="S104" s="29">
        <f>IF(OR($A83="",S$116=0),"",IF(COUNT(OFFSET(S$121,$BB83-1,0,$BA83,1))&gt;0,AVERAGE(OFFSET(S$121,$BB83-1,0,$BA83,1)),""))</f>
        <v/>
      </c>
      <c r="T104" s="29">
        <f>IF(OR($A83="",T$116=0),"",IF(COUNT(OFFSET(T$121,$BB83-1,0,$BA83,1))&gt;0,AVERAGE(OFFSET(T$121,$BB83-1,0,$BA83,1)),""))</f>
        <v/>
      </c>
      <c r="U104" s="29">
        <f>IF(OR($A83="",U$116=0),"",IF(COUNT(OFFSET(U$121,$BB83-1,0,$BA83,1))&gt;0,AVERAGE(OFFSET(U$121,$BB83-1,0,$BA83,1)),""))</f>
        <v/>
      </c>
      <c r="V104" s="29">
        <f>IF(OR($A83="",V$116=0),"",IF(COUNT(OFFSET(V$121,$BB83-1,0,$BA83,1))&gt;0,AVERAGE(OFFSET(V$121,$BB83-1,0,$BA83,1)),""))</f>
        <v/>
      </c>
      <c r="W104" s="29">
        <f>IF(OR($A83="",W$116=0),"",IF(COUNT(OFFSET(W$121,$BB83-1,0,$BA83,1))&gt;0,AVERAGE(OFFSET(W$121,$BB83-1,0,$BA83,1)),""))</f>
        <v/>
      </c>
      <c r="X104" s="29">
        <f>IF(OR($A83="",X$116=0),"",IF(COUNT(OFFSET(X$121,$BB83-1,0,$BA83,1))&gt;0,AVERAGE(OFFSET(X$121,$BB83-1,0,$BA83,1)),""))</f>
        <v/>
      </c>
      <c r="Y104" s="29">
        <f>IF(OR($A83="",Y$116=0),"",IF(COUNT(OFFSET(Y$121,$BB83-1,0,$BA83,1))&gt;0,AVERAGE(OFFSET(Y$121,$BB83-1,0,$BA83,1)),""))</f>
        <v/>
      </c>
      <c r="Z104" s="29">
        <f>IF(OR($A83="",Z$116=0),"",IF(COUNT(OFFSET(Z$121,$BB83-1,0,$BA83,1))&gt;0,AVERAGE(OFFSET(Z$121,$BB83-1,0,$BA83,1)),""))</f>
        <v/>
      </c>
      <c r="AA104" s="29">
        <f>IF(OR($A83="",AA$116=0),"",IF(COUNT(OFFSET(AA$121,$BB83-1,0,$BA83,1))&gt;0,AVERAGE(OFFSET(AA$121,$BB83-1,0,$BA83,1)),""))</f>
        <v/>
      </c>
      <c r="AB104" s="29">
        <f>IF(OR($A83="",AB$116=0),"",IF(COUNT(OFFSET(AB$121,$BB83-1,0,$BA83,1))&gt;0,AVERAGE(OFFSET(AB$121,$BB83-1,0,$BA83,1)),""))</f>
        <v/>
      </c>
      <c r="AC104" s="29">
        <f>IF(OR($A83="",AC$116=0),"",IF(COUNT(OFFSET(AC$121,$BB83-1,0,$BA83,1))&gt;0,AVERAGE(OFFSET(AC$121,$BB83-1,0,$BA83,1)),""))</f>
        <v/>
      </c>
      <c r="AD104" s="29">
        <f>IF(OR($A83="",AD$116=0),"",IF(COUNT(OFFSET(AD$121,$BB83-1,0,$BA83,1))&gt;0,AVERAGE(OFFSET(AD$121,$BB83-1,0,$BA83,1)),""))</f>
        <v/>
      </c>
      <c r="AE104" s="29">
        <f>IF(OR($A83="",AE$116=0),"",IF(COUNT(OFFSET(AE$121,$BB83-1,0,$BA83,1))&gt;0,AVERAGE(OFFSET(AE$121,$BB83-1,0,$BA83,1)),""))</f>
        <v/>
      </c>
      <c r="AF104" s="29">
        <f>IF(OR($A83="",AF$116=0),"",IF(COUNT(OFFSET(AF$121,$BB83-1,0,$BA83,1))&gt;0,AVERAGE(OFFSET(AF$121,$BB83-1,0,$BA83,1)),""))</f>
        <v/>
      </c>
      <c r="AG104" s="29">
        <f>IF(OR($A83="",AG$116=0),"",IF(COUNT(OFFSET(AG$121,$BB83-1,0,$BA83,1))&gt;0,AVERAGE(OFFSET(AG$121,$BB83-1,0,$BA83,1)),""))</f>
        <v/>
      </c>
      <c r="AH104" s="29">
        <f>IF(OR($A83="",AH$116=0),"",IF(COUNT(OFFSET(AH$121,$BB83-1,0,$BA83,1))&gt;0,AVERAGE(OFFSET(AH$121,$BB83-1,0,$BA83,1)),""))</f>
        <v/>
      </c>
      <c r="AI104" s="29">
        <f>IF(OR($A83="",AI$116=0),"",IF(COUNT(OFFSET(AI$121,$BB83-1,0,$BA83,1))&gt;0,AVERAGE(OFFSET(AI$121,$BB83-1,0,$BA83,1)),""))</f>
        <v/>
      </c>
      <c r="AJ104" s="29">
        <f>IF(OR($A83="",AJ$116=0),"",IF(COUNT(OFFSET(AJ$121,$BB83-1,0,$BA83,1))&gt;0,AVERAGE(OFFSET(AJ$121,$BB83-1,0,$BA83,1)),""))</f>
        <v/>
      </c>
      <c r="AK104" s="29">
        <f>IF(OR($A83="",AK$116=0),"",IF(COUNT(OFFSET(AK$121,$BB83-1,0,$BA83,1))&gt;0,AVERAGE(OFFSET(AK$121,$BB83-1,0,$BA83,1)),""))</f>
        <v/>
      </c>
      <c r="AL104" s="29">
        <f>IF(OR($A83="",AL$116=0),"",IF(COUNT(OFFSET(AL$121,$BB83-1,0,$BA83,1))&gt;0,AVERAGE(OFFSET(AL$121,$BB83-1,0,$BA83,1)),""))</f>
        <v/>
      </c>
      <c r="AM104" s="29">
        <f>IF(OR($A83="",AM$116=0),"",IF(COUNT(OFFSET(AM$121,$BB83-1,0,$BA83,1))&gt;0,AVERAGE(OFFSET(AM$121,$BB83-1,0,$BA83,1)),""))</f>
        <v/>
      </c>
      <c r="AN104" s="29">
        <f>IF(OR($A83="",AN$116=0),"",IF(COUNT(OFFSET(AN$121,$BB83-1,0,$BA83,1))&gt;0,AVERAGE(OFFSET(AN$121,$BB83-1,0,$BA83,1)),""))</f>
        <v/>
      </c>
      <c r="AO104" s="29">
        <f>IF(OR($A83="",AO$116=0),"",IF(COUNT(OFFSET(AO$121,$BB83-1,0,$BA83,1))&gt;0,AVERAGE(OFFSET(AO$121,$BB83-1,0,$BA83,1)),""))</f>
        <v/>
      </c>
      <c r="AP104" s="29">
        <f>IF(OR($A83="",AP$116=0),"",IF(COUNT(OFFSET(AP$121,$BB83-1,0,$BA83,1))&gt;0,AVERAGE(OFFSET(AP$121,$BB83-1,0,$BA83,1)),""))</f>
        <v/>
      </c>
      <c r="AQ104" s="29">
        <f>IF(OR($A83="",AQ$116=0),"",IF(COUNT(OFFSET(AQ$121,$BB83-1,0,$BA83,1))&gt;0,AVERAGE(OFFSET(AQ$121,$BB83-1,0,$BA83,1)),""))</f>
        <v/>
      </c>
      <c r="AR104" s="29">
        <f>IF(OR($A83="",AR$116=0),"",IF(COUNT(OFFSET(AR$121,$BB83-1,0,$BA83,1))&gt;0,AVERAGE(OFFSET(AR$121,$BB83-1,0,$BA83,1)),""))</f>
        <v/>
      </c>
      <c r="AS104" s="29">
        <f>IF(OR($A83="",AS$116=0),"",IF(COUNT(OFFSET(AS$121,$BB83-1,0,$BA83,1))&gt;0,AVERAGE(OFFSET(AS$121,$BB83-1,0,$BA83,1)),""))</f>
        <v/>
      </c>
      <c r="AT104" s="29">
        <f>IF(OR($A83="",AT$116=0),"",IF(COUNT(OFFSET(AT$121,$BB83-1,0,$BA83,1))&gt;0,AVERAGE(OFFSET(AT$121,$BB83-1,0,$BA83,1)),""))</f>
        <v/>
      </c>
      <c r="AU104" s="29">
        <f>IF(OR($A83="",AU$116=0),"",IF(COUNT(OFFSET(AU$121,$BB83-1,0,$BA83,1))&gt;0,AVERAGE(OFFSET(AU$121,$BB83-1,0,$BA83,1)),""))</f>
        <v/>
      </c>
      <c r="AV104" s="29">
        <f>IF(OR($A83="",AV$116=0),"",IF(COUNT(OFFSET(AV$121,$BB83-1,0,$BA83,1))&gt;0,AVERAGE(OFFSET(AV$121,$BB83-1,0,$BA83,1)),""))</f>
        <v/>
      </c>
      <c r="AW104" s="29">
        <f>IF(OR($A83="",AW$116=0),"",IF(COUNT(OFFSET(AW$121,$BB83-1,0,$BA83,1))&gt;0,AVERAGE(OFFSET(AW$121,$BB83-1,0,$BA83,1)),""))</f>
        <v/>
      </c>
      <c r="AX104" s="29">
        <f>IF(OR($A83="",AX$116=0),"",IF(COUNT(OFFSET(AX$121,$BB83-1,0,$BA83,1))&gt;0,AVERAGE(OFFSET(AX$121,$BB83-1,0,$BA83,1)),""))</f>
        <v/>
      </c>
      <c r="AY104" s="29">
        <f>IF(OR($A83="",AY$116=0),"",IF(COUNT(OFFSET(AY$121,$BB83-1,0,$BA83,1))&gt;0,AVERAGE(OFFSET(AY$121,$BB83-1,0,$BA83,1)),""))</f>
        <v/>
      </c>
      <c r="AZ104" s="29">
        <f>IF($A83="","",AVERAGE(OFFSET($B$121,$BB83-1,0,$BA83,50)))</f>
        <v/>
      </c>
    </row>
    <row r="105">
      <c r="A105" s="13">
        <f>A84</f>
        <v/>
      </c>
      <c r="B105" s="29">
        <f>IF(OR($A84="",B$116=0),"",IF(COUNT(OFFSET(B$121,$BB84-1,0,$BA84,1))&gt;0,AVERAGE(OFFSET(B$121,$BB84-1,0,$BA84,1)),""))</f>
        <v/>
      </c>
      <c r="C105" s="29">
        <f>IF(OR($A84="",C$116=0),"",IF(COUNT(OFFSET(C$121,$BB84-1,0,$BA84,1))&gt;0,AVERAGE(OFFSET(C$121,$BB84-1,0,$BA84,1)),""))</f>
        <v/>
      </c>
      <c r="D105" s="29">
        <f>IF(OR($A84="",D$116=0),"",IF(COUNT(OFFSET(D$121,$BB84-1,0,$BA84,1))&gt;0,AVERAGE(OFFSET(D$121,$BB84-1,0,$BA84,1)),""))</f>
        <v/>
      </c>
      <c r="E105" s="29">
        <f>IF(OR($A84="",E$116=0),"",IF(COUNT(OFFSET(E$121,$BB84-1,0,$BA84,1))&gt;0,AVERAGE(OFFSET(E$121,$BB84-1,0,$BA84,1)),""))</f>
        <v/>
      </c>
      <c r="F105" s="29">
        <f>IF(OR($A84="",F$116=0),"",IF(COUNT(OFFSET(F$121,$BB84-1,0,$BA84,1))&gt;0,AVERAGE(OFFSET(F$121,$BB84-1,0,$BA84,1)),""))</f>
        <v/>
      </c>
      <c r="G105" s="29">
        <f>IF(OR($A84="",G$116=0),"",IF(COUNT(OFFSET(G$121,$BB84-1,0,$BA84,1))&gt;0,AVERAGE(OFFSET(G$121,$BB84-1,0,$BA84,1)),""))</f>
        <v/>
      </c>
      <c r="H105" s="29">
        <f>IF(OR($A84="",H$116=0),"",IF(COUNT(OFFSET(H$121,$BB84-1,0,$BA84,1))&gt;0,AVERAGE(OFFSET(H$121,$BB84-1,0,$BA84,1)),""))</f>
        <v/>
      </c>
      <c r="I105" s="29">
        <f>IF(OR($A84="",I$116=0),"",IF(COUNT(OFFSET(I$121,$BB84-1,0,$BA84,1))&gt;0,AVERAGE(OFFSET(I$121,$BB84-1,0,$BA84,1)),""))</f>
        <v/>
      </c>
      <c r="J105" s="29">
        <f>IF(OR($A84="",J$116=0),"",IF(COUNT(OFFSET(J$121,$BB84-1,0,$BA84,1))&gt;0,AVERAGE(OFFSET(J$121,$BB84-1,0,$BA84,1)),""))</f>
        <v/>
      </c>
      <c r="K105" s="29">
        <f>IF(OR($A84="",K$116=0),"",IF(COUNT(OFFSET(K$121,$BB84-1,0,$BA84,1))&gt;0,AVERAGE(OFFSET(K$121,$BB84-1,0,$BA84,1)),""))</f>
        <v/>
      </c>
      <c r="L105" s="29">
        <f>IF(OR($A84="",L$116=0),"",IF(COUNT(OFFSET(L$121,$BB84-1,0,$BA84,1))&gt;0,AVERAGE(OFFSET(L$121,$BB84-1,0,$BA84,1)),""))</f>
        <v/>
      </c>
      <c r="M105" s="29">
        <f>IF(OR($A84="",M$116=0),"",IF(COUNT(OFFSET(M$121,$BB84-1,0,$BA84,1))&gt;0,AVERAGE(OFFSET(M$121,$BB84-1,0,$BA84,1)),""))</f>
        <v/>
      </c>
      <c r="N105" s="29">
        <f>IF(OR($A84="",N$116=0),"",IF(COUNT(OFFSET(N$121,$BB84-1,0,$BA84,1))&gt;0,AVERAGE(OFFSET(N$121,$BB84-1,0,$BA84,1)),""))</f>
        <v/>
      </c>
      <c r="O105" s="29">
        <f>IF(OR($A84="",O$116=0),"",IF(COUNT(OFFSET(O$121,$BB84-1,0,$BA84,1))&gt;0,AVERAGE(OFFSET(O$121,$BB84-1,0,$BA84,1)),""))</f>
        <v/>
      </c>
      <c r="P105" s="29">
        <f>IF(OR($A84="",P$116=0),"",IF(COUNT(OFFSET(P$121,$BB84-1,0,$BA84,1))&gt;0,AVERAGE(OFFSET(P$121,$BB84-1,0,$BA84,1)),""))</f>
        <v/>
      </c>
      <c r="Q105" s="29">
        <f>IF(OR($A84="",Q$116=0),"",IF(COUNT(OFFSET(Q$121,$BB84-1,0,$BA84,1))&gt;0,AVERAGE(OFFSET(Q$121,$BB84-1,0,$BA84,1)),""))</f>
        <v/>
      </c>
      <c r="R105" s="29">
        <f>IF(OR($A84="",R$116=0),"",IF(COUNT(OFFSET(R$121,$BB84-1,0,$BA84,1))&gt;0,AVERAGE(OFFSET(R$121,$BB84-1,0,$BA84,1)),""))</f>
        <v/>
      </c>
      <c r="S105" s="29">
        <f>IF(OR($A84="",S$116=0),"",IF(COUNT(OFFSET(S$121,$BB84-1,0,$BA84,1))&gt;0,AVERAGE(OFFSET(S$121,$BB84-1,0,$BA84,1)),""))</f>
        <v/>
      </c>
      <c r="T105" s="29">
        <f>IF(OR($A84="",T$116=0),"",IF(COUNT(OFFSET(T$121,$BB84-1,0,$BA84,1))&gt;0,AVERAGE(OFFSET(T$121,$BB84-1,0,$BA84,1)),""))</f>
        <v/>
      </c>
      <c r="U105" s="29">
        <f>IF(OR($A84="",U$116=0),"",IF(COUNT(OFFSET(U$121,$BB84-1,0,$BA84,1))&gt;0,AVERAGE(OFFSET(U$121,$BB84-1,0,$BA84,1)),""))</f>
        <v/>
      </c>
      <c r="V105" s="29">
        <f>IF(OR($A84="",V$116=0),"",IF(COUNT(OFFSET(V$121,$BB84-1,0,$BA84,1))&gt;0,AVERAGE(OFFSET(V$121,$BB84-1,0,$BA84,1)),""))</f>
        <v/>
      </c>
      <c r="W105" s="29">
        <f>IF(OR($A84="",W$116=0),"",IF(COUNT(OFFSET(W$121,$BB84-1,0,$BA84,1))&gt;0,AVERAGE(OFFSET(W$121,$BB84-1,0,$BA84,1)),""))</f>
        <v/>
      </c>
      <c r="X105" s="29">
        <f>IF(OR($A84="",X$116=0),"",IF(COUNT(OFFSET(X$121,$BB84-1,0,$BA84,1))&gt;0,AVERAGE(OFFSET(X$121,$BB84-1,0,$BA84,1)),""))</f>
        <v/>
      </c>
      <c r="Y105" s="29">
        <f>IF(OR($A84="",Y$116=0),"",IF(COUNT(OFFSET(Y$121,$BB84-1,0,$BA84,1))&gt;0,AVERAGE(OFFSET(Y$121,$BB84-1,0,$BA84,1)),""))</f>
        <v/>
      </c>
      <c r="Z105" s="29">
        <f>IF(OR($A84="",Z$116=0),"",IF(COUNT(OFFSET(Z$121,$BB84-1,0,$BA84,1))&gt;0,AVERAGE(OFFSET(Z$121,$BB84-1,0,$BA84,1)),""))</f>
        <v/>
      </c>
      <c r="AA105" s="29">
        <f>IF(OR($A84="",AA$116=0),"",IF(COUNT(OFFSET(AA$121,$BB84-1,0,$BA84,1))&gt;0,AVERAGE(OFFSET(AA$121,$BB84-1,0,$BA84,1)),""))</f>
        <v/>
      </c>
      <c r="AB105" s="29">
        <f>IF(OR($A84="",AB$116=0),"",IF(COUNT(OFFSET(AB$121,$BB84-1,0,$BA84,1))&gt;0,AVERAGE(OFFSET(AB$121,$BB84-1,0,$BA84,1)),""))</f>
        <v/>
      </c>
      <c r="AC105" s="29">
        <f>IF(OR($A84="",AC$116=0),"",IF(COUNT(OFFSET(AC$121,$BB84-1,0,$BA84,1))&gt;0,AVERAGE(OFFSET(AC$121,$BB84-1,0,$BA84,1)),""))</f>
        <v/>
      </c>
      <c r="AD105" s="29">
        <f>IF(OR($A84="",AD$116=0),"",IF(COUNT(OFFSET(AD$121,$BB84-1,0,$BA84,1))&gt;0,AVERAGE(OFFSET(AD$121,$BB84-1,0,$BA84,1)),""))</f>
        <v/>
      </c>
      <c r="AE105" s="29">
        <f>IF(OR($A84="",AE$116=0),"",IF(COUNT(OFFSET(AE$121,$BB84-1,0,$BA84,1))&gt;0,AVERAGE(OFFSET(AE$121,$BB84-1,0,$BA84,1)),""))</f>
        <v/>
      </c>
      <c r="AF105" s="29">
        <f>IF(OR($A84="",AF$116=0),"",IF(COUNT(OFFSET(AF$121,$BB84-1,0,$BA84,1))&gt;0,AVERAGE(OFFSET(AF$121,$BB84-1,0,$BA84,1)),""))</f>
        <v/>
      </c>
      <c r="AG105" s="29">
        <f>IF(OR($A84="",AG$116=0),"",IF(COUNT(OFFSET(AG$121,$BB84-1,0,$BA84,1))&gt;0,AVERAGE(OFFSET(AG$121,$BB84-1,0,$BA84,1)),""))</f>
        <v/>
      </c>
      <c r="AH105" s="29">
        <f>IF(OR($A84="",AH$116=0),"",IF(COUNT(OFFSET(AH$121,$BB84-1,0,$BA84,1))&gt;0,AVERAGE(OFFSET(AH$121,$BB84-1,0,$BA84,1)),""))</f>
        <v/>
      </c>
      <c r="AI105" s="29">
        <f>IF(OR($A84="",AI$116=0),"",IF(COUNT(OFFSET(AI$121,$BB84-1,0,$BA84,1))&gt;0,AVERAGE(OFFSET(AI$121,$BB84-1,0,$BA84,1)),""))</f>
        <v/>
      </c>
      <c r="AJ105" s="29">
        <f>IF(OR($A84="",AJ$116=0),"",IF(COUNT(OFFSET(AJ$121,$BB84-1,0,$BA84,1))&gt;0,AVERAGE(OFFSET(AJ$121,$BB84-1,0,$BA84,1)),""))</f>
        <v/>
      </c>
      <c r="AK105" s="29">
        <f>IF(OR($A84="",AK$116=0),"",IF(COUNT(OFFSET(AK$121,$BB84-1,0,$BA84,1))&gt;0,AVERAGE(OFFSET(AK$121,$BB84-1,0,$BA84,1)),""))</f>
        <v/>
      </c>
      <c r="AL105" s="29">
        <f>IF(OR($A84="",AL$116=0),"",IF(COUNT(OFFSET(AL$121,$BB84-1,0,$BA84,1))&gt;0,AVERAGE(OFFSET(AL$121,$BB84-1,0,$BA84,1)),""))</f>
        <v/>
      </c>
      <c r="AM105" s="29">
        <f>IF(OR($A84="",AM$116=0),"",IF(COUNT(OFFSET(AM$121,$BB84-1,0,$BA84,1))&gt;0,AVERAGE(OFFSET(AM$121,$BB84-1,0,$BA84,1)),""))</f>
        <v/>
      </c>
      <c r="AN105" s="29">
        <f>IF(OR($A84="",AN$116=0),"",IF(COUNT(OFFSET(AN$121,$BB84-1,0,$BA84,1))&gt;0,AVERAGE(OFFSET(AN$121,$BB84-1,0,$BA84,1)),""))</f>
        <v/>
      </c>
      <c r="AO105" s="29">
        <f>IF(OR($A84="",AO$116=0),"",IF(COUNT(OFFSET(AO$121,$BB84-1,0,$BA84,1))&gt;0,AVERAGE(OFFSET(AO$121,$BB84-1,0,$BA84,1)),""))</f>
        <v/>
      </c>
      <c r="AP105" s="29">
        <f>IF(OR($A84="",AP$116=0),"",IF(COUNT(OFFSET(AP$121,$BB84-1,0,$BA84,1))&gt;0,AVERAGE(OFFSET(AP$121,$BB84-1,0,$BA84,1)),""))</f>
        <v/>
      </c>
      <c r="AQ105" s="29">
        <f>IF(OR($A84="",AQ$116=0),"",IF(COUNT(OFFSET(AQ$121,$BB84-1,0,$BA84,1))&gt;0,AVERAGE(OFFSET(AQ$121,$BB84-1,0,$BA84,1)),""))</f>
        <v/>
      </c>
      <c r="AR105" s="29">
        <f>IF(OR($A84="",AR$116=0),"",IF(COUNT(OFFSET(AR$121,$BB84-1,0,$BA84,1))&gt;0,AVERAGE(OFFSET(AR$121,$BB84-1,0,$BA84,1)),""))</f>
        <v/>
      </c>
      <c r="AS105" s="29">
        <f>IF(OR($A84="",AS$116=0),"",IF(COUNT(OFFSET(AS$121,$BB84-1,0,$BA84,1))&gt;0,AVERAGE(OFFSET(AS$121,$BB84-1,0,$BA84,1)),""))</f>
        <v/>
      </c>
      <c r="AT105" s="29">
        <f>IF(OR($A84="",AT$116=0),"",IF(COUNT(OFFSET(AT$121,$BB84-1,0,$BA84,1))&gt;0,AVERAGE(OFFSET(AT$121,$BB84-1,0,$BA84,1)),""))</f>
        <v/>
      </c>
      <c r="AU105" s="29">
        <f>IF(OR($A84="",AU$116=0),"",IF(COUNT(OFFSET(AU$121,$BB84-1,0,$BA84,1))&gt;0,AVERAGE(OFFSET(AU$121,$BB84-1,0,$BA84,1)),""))</f>
        <v/>
      </c>
      <c r="AV105" s="29">
        <f>IF(OR($A84="",AV$116=0),"",IF(COUNT(OFFSET(AV$121,$BB84-1,0,$BA84,1))&gt;0,AVERAGE(OFFSET(AV$121,$BB84-1,0,$BA84,1)),""))</f>
        <v/>
      </c>
      <c r="AW105" s="29">
        <f>IF(OR($A84="",AW$116=0),"",IF(COUNT(OFFSET(AW$121,$BB84-1,0,$BA84,1))&gt;0,AVERAGE(OFFSET(AW$121,$BB84-1,0,$BA84,1)),""))</f>
        <v/>
      </c>
      <c r="AX105" s="29">
        <f>IF(OR($A84="",AX$116=0),"",IF(COUNT(OFFSET(AX$121,$BB84-1,0,$BA84,1))&gt;0,AVERAGE(OFFSET(AX$121,$BB84-1,0,$BA84,1)),""))</f>
        <v/>
      </c>
      <c r="AY105" s="29">
        <f>IF(OR($A84="",AY$116=0),"",IF(COUNT(OFFSET(AY$121,$BB84-1,0,$BA84,1))&gt;0,AVERAGE(OFFSET(AY$121,$BB84-1,0,$BA84,1)),""))</f>
        <v/>
      </c>
      <c r="AZ105" s="29">
        <f>IF($A84="","",AVERAGE(OFFSET($B$121,$BB84-1,0,$BA84,50)))</f>
        <v/>
      </c>
    </row>
    <row r="106">
      <c r="A106" s="13">
        <f>A85</f>
        <v/>
      </c>
      <c r="B106" s="29">
        <f>IF(OR($A85="",B$116=0),"",IF(COUNT(OFFSET(B$121,$BB85-1,0,$BA85,1))&gt;0,AVERAGE(OFFSET(B$121,$BB85-1,0,$BA85,1)),""))</f>
        <v/>
      </c>
      <c r="C106" s="29">
        <f>IF(OR($A85="",C$116=0),"",IF(COUNT(OFFSET(C$121,$BB85-1,0,$BA85,1))&gt;0,AVERAGE(OFFSET(C$121,$BB85-1,0,$BA85,1)),""))</f>
        <v/>
      </c>
      <c r="D106" s="29">
        <f>IF(OR($A85="",D$116=0),"",IF(COUNT(OFFSET(D$121,$BB85-1,0,$BA85,1))&gt;0,AVERAGE(OFFSET(D$121,$BB85-1,0,$BA85,1)),""))</f>
        <v/>
      </c>
      <c r="E106" s="29">
        <f>IF(OR($A85="",E$116=0),"",IF(COUNT(OFFSET(E$121,$BB85-1,0,$BA85,1))&gt;0,AVERAGE(OFFSET(E$121,$BB85-1,0,$BA85,1)),""))</f>
        <v/>
      </c>
      <c r="F106" s="29">
        <f>IF(OR($A85="",F$116=0),"",IF(COUNT(OFFSET(F$121,$BB85-1,0,$BA85,1))&gt;0,AVERAGE(OFFSET(F$121,$BB85-1,0,$BA85,1)),""))</f>
        <v/>
      </c>
      <c r="G106" s="29">
        <f>IF(OR($A85="",G$116=0),"",IF(COUNT(OFFSET(G$121,$BB85-1,0,$BA85,1))&gt;0,AVERAGE(OFFSET(G$121,$BB85-1,0,$BA85,1)),""))</f>
        <v/>
      </c>
      <c r="H106" s="29">
        <f>IF(OR($A85="",H$116=0),"",IF(COUNT(OFFSET(H$121,$BB85-1,0,$BA85,1))&gt;0,AVERAGE(OFFSET(H$121,$BB85-1,0,$BA85,1)),""))</f>
        <v/>
      </c>
      <c r="I106" s="29">
        <f>IF(OR($A85="",I$116=0),"",IF(COUNT(OFFSET(I$121,$BB85-1,0,$BA85,1))&gt;0,AVERAGE(OFFSET(I$121,$BB85-1,0,$BA85,1)),""))</f>
        <v/>
      </c>
      <c r="J106" s="29">
        <f>IF(OR($A85="",J$116=0),"",IF(COUNT(OFFSET(J$121,$BB85-1,0,$BA85,1))&gt;0,AVERAGE(OFFSET(J$121,$BB85-1,0,$BA85,1)),""))</f>
        <v/>
      </c>
      <c r="K106" s="29">
        <f>IF(OR($A85="",K$116=0),"",IF(COUNT(OFFSET(K$121,$BB85-1,0,$BA85,1))&gt;0,AVERAGE(OFFSET(K$121,$BB85-1,0,$BA85,1)),""))</f>
        <v/>
      </c>
      <c r="L106" s="29">
        <f>IF(OR($A85="",L$116=0),"",IF(COUNT(OFFSET(L$121,$BB85-1,0,$BA85,1))&gt;0,AVERAGE(OFFSET(L$121,$BB85-1,0,$BA85,1)),""))</f>
        <v/>
      </c>
      <c r="M106" s="29">
        <f>IF(OR($A85="",M$116=0),"",IF(COUNT(OFFSET(M$121,$BB85-1,0,$BA85,1))&gt;0,AVERAGE(OFFSET(M$121,$BB85-1,0,$BA85,1)),""))</f>
        <v/>
      </c>
      <c r="N106" s="29">
        <f>IF(OR($A85="",N$116=0),"",IF(COUNT(OFFSET(N$121,$BB85-1,0,$BA85,1))&gt;0,AVERAGE(OFFSET(N$121,$BB85-1,0,$BA85,1)),""))</f>
        <v/>
      </c>
      <c r="O106" s="29">
        <f>IF(OR($A85="",O$116=0),"",IF(COUNT(OFFSET(O$121,$BB85-1,0,$BA85,1))&gt;0,AVERAGE(OFFSET(O$121,$BB85-1,0,$BA85,1)),""))</f>
        <v/>
      </c>
      <c r="P106" s="29">
        <f>IF(OR($A85="",P$116=0),"",IF(COUNT(OFFSET(P$121,$BB85-1,0,$BA85,1))&gt;0,AVERAGE(OFFSET(P$121,$BB85-1,0,$BA85,1)),""))</f>
        <v/>
      </c>
      <c r="Q106" s="29">
        <f>IF(OR($A85="",Q$116=0),"",IF(COUNT(OFFSET(Q$121,$BB85-1,0,$BA85,1))&gt;0,AVERAGE(OFFSET(Q$121,$BB85-1,0,$BA85,1)),""))</f>
        <v/>
      </c>
      <c r="R106" s="29">
        <f>IF(OR($A85="",R$116=0),"",IF(COUNT(OFFSET(R$121,$BB85-1,0,$BA85,1))&gt;0,AVERAGE(OFFSET(R$121,$BB85-1,0,$BA85,1)),""))</f>
        <v/>
      </c>
      <c r="S106" s="29">
        <f>IF(OR($A85="",S$116=0),"",IF(COUNT(OFFSET(S$121,$BB85-1,0,$BA85,1))&gt;0,AVERAGE(OFFSET(S$121,$BB85-1,0,$BA85,1)),""))</f>
        <v/>
      </c>
      <c r="T106" s="29">
        <f>IF(OR($A85="",T$116=0),"",IF(COUNT(OFFSET(T$121,$BB85-1,0,$BA85,1))&gt;0,AVERAGE(OFFSET(T$121,$BB85-1,0,$BA85,1)),""))</f>
        <v/>
      </c>
      <c r="U106" s="29">
        <f>IF(OR($A85="",U$116=0),"",IF(COUNT(OFFSET(U$121,$BB85-1,0,$BA85,1))&gt;0,AVERAGE(OFFSET(U$121,$BB85-1,0,$BA85,1)),""))</f>
        <v/>
      </c>
      <c r="V106" s="29">
        <f>IF(OR($A85="",V$116=0),"",IF(COUNT(OFFSET(V$121,$BB85-1,0,$BA85,1))&gt;0,AVERAGE(OFFSET(V$121,$BB85-1,0,$BA85,1)),""))</f>
        <v/>
      </c>
      <c r="W106" s="29">
        <f>IF(OR($A85="",W$116=0),"",IF(COUNT(OFFSET(W$121,$BB85-1,0,$BA85,1))&gt;0,AVERAGE(OFFSET(W$121,$BB85-1,0,$BA85,1)),""))</f>
        <v/>
      </c>
      <c r="X106" s="29">
        <f>IF(OR($A85="",X$116=0),"",IF(COUNT(OFFSET(X$121,$BB85-1,0,$BA85,1))&gt;0,AVERAGE(OFFSET(X$121,$BB85-1,0,$BA85,1)),""))</f>
        <v/>
      </c>
      <c r="Y106" s="29">
        <f>IF(OR($A85="",Y$116=0),"",IF(COUNT(OFFSET(Y$121,$BB85-1,0,$BA85,1))&gt;0,AVERAGE(OFFSET(Y$121,$BB85-1,0,$BA85,1)),""))</f>
        <v/>
      </c>
      <c r="Z106" s="29">
        <f>IF(OR($A85="",Z$116=0),"",IF(COUNT(OFFSET(Z$121,$BB85-1,0,$BA85,1))&gt;0,AVERAGE(OFFSET(Z$121,$BB85-1,0,$BA85,1)),""))</f>
        <v/>
      </c>
      <c r="AA106" s="29">
        <f>IF(OR($A85="",AA$116=0),"",IF(COUNT(OFFSET(AA$121,$BB85-1,0,$BA85,1))&gt;0,AVERAGE(OFFSET(AA$121,$BB85-1,0,$BA85,1)),""))</f>
        <v/>
      </c>
      <c r="AB106" s="29">
        <f>IF(OR($A85="",AB$116=0),"",IF(COUNT(OFFSET(AB$121,$BB85-1,0,$BA85,1))&gt;0,AVERAGE(OFFSET(AB$121,$BB85-1,0,$BA85,1)),""))</f>
        <v/>
      </c>
      <c r="AC106" s="29">
        <f>IF(OR($A85="",AC$116=0),"",IF(COUNT(OFFSET(AC$121,$BB85-1,0,$BA85,1))&gt;0,AVERAGE(OFFSET(AC$121,$BB85-1,0,$BA85,1)),""))</f>
        <v/>
      </c>
      <c r="AD106" s="29">
        <f>IF(OR($A85="",AD$116=0),"",IF(COUNT(OFFSET(AD$121,$BB85-1,0,$BA85,1))&gt;0,AVERAGE(OFFSET(AD$121,$BB85-1,0,$BA85,1)),""))</f>
        <v/>
      </c>
      <c r="AE106" s="29">
        <f>IF(OR($A85="",AE$116=0),"",IF(COUNT(OFFSET(AE$121,$BB85-1,0,$BA85,1))&gt;0,AVERAGE(OFFSET(AE$121,$BB85-1,0,$BA85,1)),""))</f>
        <v/>
      </c>
      <c r="AF106" s="29">
        <f>IF(OR($A85="",AF$116=0),"",IF(COUNT(OFFSET(AF$121,$BB85-1,0,$BA85,1))&gt;0,AVERAGE(OFFSET(AF$121,$BB85-1,0,$BA85,1)),""))</f>
        <v/>
      </c>
      <c r="AG106" s="29">
        <f>IF(OR($A85="",AG$116=0),"",IF(COUNT(OFFSET(AG$121,$BB85-1,0,$BA85,1))&gt;0,AVERAGE(OFFSET(AG$121,$BB85-1,0,$BA85,1)),""))</f>
        <v/>
      </c>
      <c r="AH106" s="29">
        <f>IF(OR($A85="",AH$116=0),"",IF(COUNT(OFFSET(AH$121,$BB85-1,0,$BA85,1))&gt;0,AVERAGE(OFFSET(AH$121,$BB85-1,0,$BA85,1)),""))</f>
        <v/>
      </c>
      <c r="AI106" s="29">
        <f>IF(OR($A85="",AI$116=0),"",IF(COUNT(OFFSET(AI$121,$BB85-1,0,$BA85,1))&gt;0,AVERAGE(OFFSET(AI$121,$BB85-1,0,$BA85,1)),""))</f>
        <v/>
      </c>
      <c r="AJ106" s="29">
        <f>IF(OR($A85="",AJ$116=0),"",IF(COUNT(OFFSET(AJ$121,$BB85-1,0,$BA85,1))&gt;0,AVERAGE(OFFSET(AJ$121,$BB85-1,0,$BA85,1)),""))</f>
        <v/>
      </c>
      <c r="AK106" s="29">
        <f>IF(OR($A85="",AK$116=0),"",IF(COUNT(OFFSET(AK$121,$BB85-1,0,$BA85,1))&gt;0,AVERAGE(OFFSET(AK$121,$BB85-1,0,$BA85,1)),""))</f>
        <v/>
      </c>
      <c r="AL106" s="29">
        <f>IF(OR($A85="",AL$116=0),"",IF(COUNT(OFFSET(AL$121,$BB85-1,0,$BA85,1))&gt;0,AVERAGE(OFFSET(AL$121,$BB85-1,0,$BA85,1)),""))</f>
        <v/>
      </c>
      <c r="AM106" s="29">
        <f>IF(OR($A85="",AM$116=0),"",IF(COUNT(OFFSET(AM$121,$BB85-1,0,$BA85,1))&gt;0,AVERAGE(OFFSET(AM$121,$BB85-1,0,$BA85,1)),""))</f>
        <v/>
      </c>
      <c r="AN106" s="29">
        <f>IF(OR($A85="",AN$116=0),"",IF(COUNT(OFFSET(AN$121,$BB85-1,0,$BA85,1))&gt;0,AVERAGE(OFFSET(AN$121,$BB85-1,0,$BA85,1)),""))</f>
        <v/>
      </c>
      <c r="AO106" s="29">
        <f>IF(OR($A85="",AO$116=0),"",IF(COUNT(OFFSET(AO$121,$BB85-1,0,$BA85,1))&gt;0,AVERAGE(OFFSET(AO$121,$BB85-1,0,$BA85,1)),""))</f>
        <v/>
      </c>
      <c r="AP106" s="29">
        <f>IF(OR($A85="",AP$116=0),"",IF(COUNT(OFFSET(AP$121,$BB85-1,0,$BA85,1))&gt;0,AVERAGE(OFFSET(AP$121,$BB85-1,0,$BA85,1)),""))</f>
        <v/>
      </c>
      <c r="AQ106" s="29">
        <f>IF(OR($A85="",AQ$116=0),"",IF(COUNT(OFFSET(AQ$121,$BB85-1,0,$BA85,1))&gt;0,AVERAGE(OFFSET(AQ$121,$BB85-1,0,$BA85,1)),""))</f>
        <v/>
      </c>
      <c r="AR106" s="29">
        <f>IF(OR($A85="",AR$116=0),"",IF(COUNT(OFFSET(AR$121,$BB85-1,0,$BA85,1))&gt;0,AVERAGE(OFFSET(AR$121,$BB85-1,0,$BA85,1)),""))</f>
        <v/>
      </c>
      <c r="AS106" s="29">
        <f>IF(OR($A85="",AS$116=0),"",IF(COUNT(OFFSET(AS$121,$BB85-1,0,$BA85,1))&gt;0,AVERAGE(OFFSET(AS$121,$BB85-1,0,$BA85,1)),""))</f>
        <v/>
      </c>
      <c r="AT106" s="29">
        <f>IF(OR($A85="",AT$116=0),"",IF(COUNT(OFFSET(AT$121,$BB85-1,0,$BA85,1))&gt;0,AVERAGE(OFFSET(AT$121,$BB85-1,0,$BA85,1)),""))</f>
        <v/>
      </c>
      <c r="AU106" s="29">
        <f>IF(OR($A85="",AU$116=0),"",IF(COUNT(OFFSET(AU$121,$BB85-1,0,$BA85,1))&gt;0,AVERAGE(OFFSET(AU$121,$BB85-1,0,$BA85,1)),""))</f>
        <v/>
      </c>
      <c r="AV106" s="29">
        <f>IF(OR($A85="",AV$116=0),"",IF(COUNT(OFFSET(AV$121,$BB85-1,0,$BA85,1))&gt;0,AVERAGE(OFFSET(AV$121,$BB85-1,0,$BA85,1)),""))</f>
        <v/>
      </c>
      <c r="AW106" s="29">
        <f>IF(OR($A85="",AW$116=0),"",IF(COUNT(OFFSET(AW$121,$BB85-1,0,$BA85,1))&gt;0,AVERAGE(OFFSET(AW$121,$BB85-1,0,$BA85,1)),""))</f>
        <v/>
      </c>
      <c r="AX106" s="29">
        <f>IF(OR($A85="",AX$116=0),"",IF(COUNT(OFFSET(AX$121,$BB85-1,0,$BA85,1))&gt;0,AVERAGE(OFFSET(AX$121,$BB85-1,0,$BA85,1)),""))</f>
        <v/>
      </c>
      <c r="AY106" s="29">
        <f>IF(OR($A85="",AY$116=0),"",IF(COUNT(OFFSET(AY$121,$BB85-1,0,$BA85,1))&gt;0,AVERAGE(OFFSET(AY$121,$BB85-1,0,$BA85,1)),""))</f>
        <v/>
      </c>
      <c r="AZ106" s="29">
        <f>IF($A85="","",AVERAGE(OFFSET($B$121,$BB85-1,0,$BA85,50)))</f>
        <v/>
      </c>
    </row>
    <row r="107">
      <c r="A107" s="13">
        <f>A86</f>
        <v/>
      </c>
      <c r="B107" s="29">
        <f>IF(OR($A86="",B$116=0),"",IF(COUNT(OFFSET(B$121,$BB86-1,0,$BA86,1))&gt;0,AVERAGE(OFFSET(B$121,$BB86-1,0,$BA86,1)),""))</f>
        <v/>
      </c>
      <c r="C107" s="29">
        <f>IF(OR($A86="",C$116=0),"",IF(COUNT(OFFSET(C$121,$BB86-1,0,$BA86,1))&gt;0,AVERAGE(OFFSET(C$121,$BB86-1,0,$BA86,1)),""))</f>
        <v/>
      </c>
      <c r="D107" s="29">
        <f>IF(OR($A86="",D$116=0),"",IF(COUNT(OFFSET(D$121,$BB86-1,0,$BA86,1))&gt;0,AVERAGE(OFFSET(D$121,$BB86-1,0,$BA86,1)),""))</f>
        <v/>
      </c>
      <c r="E107" s="29">
        <f>IF(OR($A86="",E$116=0),"",IF(COUNT(OFFSET(E$121,$BB86-1,0,$BA86,1))&gt;0,AVERAGE(OFFSET(E$121,$BB86-1,0,$BA86,1)),""))</f>
        <v/>
      </c>
      <c r="F107" s="29">
        <f>IF(OR($A86="",F$116=0),"",IF(COUNT(OFFSET(F$121,$BB86-1,0,$BA86,1))&gt;0,AVERAGE(OFFSET(F$121,$BB86-1,0,$BA86,1)),""))</f>
        <v/>
      </c>
      <c r="G107" s="29">
        <f>IF(OR($A86="",G$116=0),"",IF(COUNT(OFFSET(G$121,$BB86-1,0,$BA86,1))&gt;0,AVERAGE(OFFSET(G$121,$BB86-1,0,$BA86,1)),""))</f>
        <v/>
      </c>
      <c r="H107" s="29">
        <f>IF(OR($A86="",H$116=0),"",IF(COUNT(OFFSET(H$121,$BB86-1,0,$BA86,1))&gt;0,AVERAGE(OFFSET(H$121,$BB86-1,0,$BA86,1)),""))</f>
        <v/>
      </c>
      <c r="I107" s="29">
        <f>IF(OR($A86="",I$116=0),"",IF(COUNT(OFFSET(I$121,$BB86-1,0,$BA86,1))&gt;0,AVERAGE(OFFSET(I$121,$BB86-1,0,$BA86,1)),""))</f>
        <v/>
      </c>
      <c r="J107" s="29">
        <f>IF(OR($A86="",J$116=0),"",IF(COUNT(OFFSET(J$121,$BB86-1,0,$BA86,1))&gt;0,AVERAGE(OFFSET(J$121,$BB86-1,0,$BA86,1)),""))</f>
        <v/>
      </c>
      <c r="K107" s="29">
        <f>IF(OR($A86="",K$116=0),"",IF(COUNT(OFFSET(K$121,$BB86-1,0,$BA86,1))&gt;0,AVERAGE(OFFSET(K$121,$BB86-1,0,$BA86,1)),""))</f>
        <v/>
      </c>
      <c r="L107" s="29">
        <f>IF(OR($A86="",L$116=0),"",IF(COUNT(OFFSET(L$121,$BB86-1,0,$BA86,1))&gt;0,AVERAGE(OFFSET(L$121,$BB86-1,0,$BA86,1)),""))</f>
        <v/>
      </c>
      <c r="M107" s="29">
        <f>IF(OR($A86="",M$116=0),"",IF(COUNT(OFFSET(M$121,$BB86-1,0,$BA86,1))&gt;0,AVERAGE(OFFSET(M$121,$BB86-1,0,$BA86,1)),""))</f>
        <v/>
      </c>
      <c r="N107" s="29">
        <f>IF(OR($A86="",N$116=0),"",IF(COUNT(OFFSET(N$121,$BB86-1,0,$BA86,1))&gt;0,AVERAGE(OFFSET(N$121,$BB86-1,0,$BA86,1)),""))</f>
        <v/>
      </c>
      <c r="O107" s="29">
        <f>IF(OR($A86="",O$116=0),"",IF(COUNT(OFFSET(O$121,$BB86-1,0,$BA86,1))&gt;0,AVERAGE(OFFSET(O$121,$BB86-1,0,$BA86,1)),""))</f>
        <v/>
      </c>
      <c r="P107" s="29">
        <f>IF(OR($A86="",P$116=0),"",IF(COUNT(OFFSET(P$121,$BB86-1,0,$BA86,1))&gt;0,AVERAGE(OFFSET(P$121,$BB86-1,0,$BA86,1)),""))</f>
        <v/>
      </c>
      <c r="Q107" s="29">
        <f>IF(OR($A86="",Q$116=0),"",IF(COUNT(OFFSET(Q$121,$BB86-1,0,$BA86,1))&gt;0,AVERAGE(OFFSET(Q$121,$BB86-1,0,$BA86,1)),""))</f>
        <v/>
      </c>
      <c r="R107" s="29">
        <f>IF(OR($A86="",R$116=0),"",IF(COUNT(OFFSET(R$121,$BB86-1,0,$BA86,1))&gt;0,AVERAGE(OFFSET(R$121,$BB86-1,0,$BA86,1)),""))</f>
        <v/>
      </c>
      <c r="S107" s="29">
        <f>IF(OR($A86="",S$116=0),"",IF(COUNT(OFFSET(S$121,$BB86-1,0,$BA86,1))&gt;0,AVERAGE(OFFSET(S$121,$BB86-1,0,$BA86,1)),""))</f>
        <v/>
      </c>
      <c r="T107" s="29">
        <f>IF(OR($A86="",T$116=0),"",IF(COUNT(OFFSET(T$121,$BB86-1,0,$BA86,1))&gt;0,AVERAGE(OFFSET(T$121,$BB86-1,0,$BA86,1)),""))</f>
        <v/>
      </c>
      <c r="U107" s="29">
        <f>IF(OR($A86="",U$116=0),"",IF(COUNT(OFFSET(U$121,$BB86-1,0,$BA86,1))&gt;0,AVERAGE(OFFSET(U$121,$BB86-1,0,$BA86,1)),""))</f>
        <v/>
      </c>
      <c r="V107" s="29">
        <f>IF(OR($A86="",V$116=0),"",IF(COUNT(OFFSET(V$121,$BB86-1,0,$BA86,1))&gt;0,AVERAGE(OFFSET(V$121,$BB86-1,0,$BA86,1)),""))</f>
        <v/>
      </c>
      <c r="W107" s="29">
        <f>IF(OR($A86="",W$116=0),"",IF(COUNT(OFFSET(W$121,$BB86-1,0,$BA86,1))&gt;0,AVERAGE(OFFSET(W$121,$BB86-1,0,$BA86,1)),""))</f>
        <v/>
      </c>
      <c r="X107" s="29">
        <f>IF(OR($A86="",X$116=0),"",IF(COUNT(OFFSET(X$121,$BB86-1,0,$BA86,1))&gt;0,AVERAGE(OFFSET(X$121,$BB86-1,0,$BA86,1)),""))</f>
        <v/>
      </c>
      <c r="Y107" s="29">
        <f>IF(OR($A86="",Y$116=0),"",IF(COUNT(OFFSET(Y$121,$BB86-1,0,$BA86,1))&gt;0,AVERAGE(OFFSET(Y$121,$BB86-1,0,$BA86,1)),""))</f>
        <v/>
      </c>
      <c r="Z107" s="29">
        <f>IF(OR($A86="",Z$116=0),"",IF(COUNT(OFFSET(Z$121,$BB86-1,0,$BA86,1))&gt;0,AVERAGE(OFFSET(Z$121,$BB86-1,0,$BA86,1)),""))</f>
        <v/>
      </c>
      <c r="AA107" s="29">
        <f>IF(OR($A86="",AA$116=0),"",IF(COUNT(OFFSET(AA$121,$BB86-1,0,$BA86,1))&gt;0,AVERAGE(OFFSET(AA$121,$BB86-1,0,$BA86,1)),""))</f>
        <v/>
      </c>
      <c r="AB107" s="29">
        <f>IF(OR($A86="",AB$116=0),"",IF(COUNT(OFFSET(AB$121,$BB86-1,0,$BA86,1))&gt;0,AVERAGE(OFFSET(AB$121,$BB86-1,0,$BA86,1)),""))</f>
        <v/>
      </c>
      <c r="AC107" s="29">
        <f>IF(OR($A86="",AC$116=0),"",IF(COUNT(OFFSET(AC$121,$BB86-1,0,$BA86,1))&gt;0,AVERAGE(OFFSET(AC$121,$BB86-1,0,$BA86,1)),""))</f>
        <v/>
      </c>
      <c r="AD107" s="29">
        <f>IF(OR($A86="",AD$116=0),"",IF(COUNT(OFFSET(AD$121,$BB86-1,0,$BA86,1))&gt;0,AVERAGE(OFFSET(AD$121,$BB86-1,0,$BA86,1)),""))</f>
        <v/>
      </c>
      <c r="AE107" s="29">
        <f>IF(OR($A86="",AE$116=0),"",IF(COUNT(OFFSET(AE$121,$BB86-1,0,$BA86,1))&gt;0,AVERAGE(OFFSET(AE$121,$BB86-1,0,$BA86,1)),""))</f>
        <v/>
      </c>
      <c r="AF107" s="29">
        <f>IF(OR($A86="",AF$116=0),"",IF(COUNT(OFFSET(AF$121,$BB86-1,0,$BA86,1))&gt;0,AVERAGE(OFFSET(AF$121,$BB86-1,0,$BA86,1)),""))</f>
        <v/>
      </c>
      <c r="AG107" s="29">
        <f>IF(OR($A86="",AG$116=0),"",IF(COUNT(OFFSET(AG$121,$BB86-1,0,$BA86,1))&gt;0,AVERAGE(OFFSET(AG$121,$BB86-1,0,$BA86,1)),""))</f>
        <v/>
      </c>
      <c r="AH107" s="29">
        <f>IF(OR($A86="",AH$116=0),"",IF(COUNT(OFFSET(AH$121,$BB86-1,0,$BA86,1))&gt;0,AVERAGE(OFFSET(AH$121,$BB86-1,0,$BA86,1)),""))</f>
        <v/>
      </c>
      <c r="AI107" s="29">
        <f>IF(OR($A86="",AI$116=0),"",IF(COUNT(OFFSET(AI$121,$BB86-1,0,$BA86,1))&gt;0,AVERAGE(OFFSET(AI$121,$BB86-1,0,$BA86,1)),""))</f>
        <v/>
      </c>
      <c r="AJ107" s="29">
        <f>IF(OR($A86="",AJ$116=0),"",IF(COUNT(OFFSET(AJ$121,$BB86-1,0,$BA86,1))&gt;0,AVERAGE(OFFSET(AJ$121,$BB86-1,0,$BA86,1)),""))</f>
        <v/>
      </c>
      <c r="AK107" s="29">
        <f>IF(OR($A86="",AK$116=0),"",IF(COUNT(OFFSET(AK$121,$BB86-1,0,$BA86,1))&gt;0,AVERAGE(OFFSET(AK$121,$BB86-1,0,$BA86,1)),""))</f>
        <v/>
      </c>
      <c r="AL107" s="29">
        <f>IF(OR($A86="",AL$116=0),"",IF(COUNT(OFFSET(AL$121,$BB86-1,0,$BA86,1))&gt;0,AVERAGE(OFFSET(AL$121,$BB86-1,0,$BA86,1)),""))</f>
        <v/>
      </c>
      <c r="AM107" s="29">
        <f>IF(OR($A86="",AM$116=0),"",IF(COUNT(OFFSET(AM$121,$BB86-1,0,$BA86,1))&gt;0,AVERAGE(OFFSET(AM$121,$BB86-1,0,$BA86,1)),""))</f>
        <v/>
      </c>
      <c r="AN107" s="29">
        <f>IF(OR($A86="",AN$116=0),"",IF(COUNT(OFFSET(AN$121,$BB86-1,0,$BA86,1))&gt;0,AVERAGE(OFFSET(AN$121,$BB86-1,0,$BA86,1)),""))</f>
        <v/>
      </c>
      <c r="AO107" s="29">
        <f>IF(OR($A86="",AO$116=0),"",IF(COUNT(OFFSET(AO$121,$BB86-1,0,$BA86,1))&gt;0,AVERAGE(OFFSET(AO$121,$BB86-1,0,$BA86,1)),""))</f>
        <v/>
      </c>
      <c r="AP107" s="29">
        <f>IF(OR($A86="",AP$116=0),"",IF(COUNT(OFFSET(AP$121,$BB86-1,0,$BA86,1))&gt;0,AVERAGE(OFFSET(AP$121,$BB86-1,0,$BA86,1)),""))</f>
        <v/>
      </c>
      <c r="AQ107" s="29">
        <f>IF(OR($A86="",AQ$116=0),"",IF(COUNT(OFFSET(AQ$121,$BB86-1,0,$BA86,1))&gt;0,AVERAGE(OFFSET(AQ$121,$BB86-1,0,$BA86,1)),""))</f>
        <v/>
      </c>
      <c r="AR107" s="29">
        <f>IF(OR($A86="",AR$116=0),"",IF(COUNT(OFFSET(AR$121,$BB86-1,0,$BA86,1))&gt;0,AVERAGE(OFFSET(AR$121,$BB86-1,0,$BA86,1)),""))</f>
        <v/>
      </c>
      <c r="AS107" s="29">
        <f>IF(OR($A86="",AS$116=0),"",IF(COUNT(OFFSET(AS$121,$BB86-1,0,$BA86,1))&gt;0,AVERAGE(OFFSET(AS$121,$BB86-1,0,$BA86,1)),""))</f>
        <v/>
      </c>
      <c r="AT107" s="29">
        <f>IF(OR($A86="",AT$116=0),"",IF(COUNT(OFFSET(AT$121,$BB86-1,0,$BA86,1))&gt;0,AVERAGE(OFFSET(AT$121,$BB86-1,0,$BA86,1)),""))</f>
        <v/>
      </c>
      <c r="AU107" s="29">
        <f>IF(OR($A86="",AU$116=0),"",IF(COUNT(OFFSET(AU$121,$BB86-1,0,$BA86,1))&gt;0,AVERAGE(OFFSET(AU$121,$BB86-1,0,$BA86,1)),""))</f>
        <v/>
      </c>
      <c r="AV107" s="29">
        <f>IF(OR($A86="",AV$116=0),"",IF(COUNT(OFFSET(AV$121,$BB86-1,0,$BA86,1))&gt;0,AVERAGE(OFFSET(AV$121,$BB86-1,0,$BA86,1)),""))</f>
        <v/>
      </c>
      <c r="AW107" s="29">
        <f>IF(OR($A86="",AW$116=0),"",IF(COUNT(OFFSET(AW$121,$BB86-1,0,$BA86,1))&gt;0,AVERAGE(OFFSET(AW$121,$BB86-1,0,$BA86,1)),""))</f>
        <v/>
      </c>
      <c r="AX107" s="29">
        <f>IF(OR($A86="",AX$116=0),"",IF(COUNT(OFFSET(AX$121,$BB86-1,0,$BA86,1))&gt;0,AVERAGE(OFFSET(AX$121,$BB86-1,0,$BA86,1)),""))</f>
        <v/>
      </c>
      <c r="AY107" s="29">
        <f>IF(OR($A86="",AY$116=0),"",IF(COUNT(OFFSET(AY$121,$BB86-1,0,$BA86,1))&gt;0,AVERAGE(OFFSET(AY$121,$BB86-1,0,$BA86,1)),""))</f>
        <v/>
      </c>
      <c r="AZ107" s="29">
        <f>IF($A86="","",AVERAGE(OFFSET($B$121,$BB86-1,0,$BA86,50)))</f>
        <v/>
      </c>
    </row>
    <row r="108">
      <c r="A108" s="13">
        <f>A87</f>
        <v/>
      </c>
      <c r="B108" s="29">
        <f>IF(OR($A87="",B$116=0),"",IF(COUNT(OFFSET(B$121,$BB87-1,0,$BA87,1))&gt;0,AVERAGE(OFFSET(B$121,$BB87-1,0,$BA87,1)),""))</f>
        <v/>
      </c>
      <c r="C108" s="29">
        <f>IF(OR($A87="",C$116=0),"",IF(COUNT(OFFSET(C$121,$BB87-1,0,$BA87,1))&gt;0,AVERAGE(OFFSET(C$121,$BB87-1,0,$BA87,1)),""))</f>
        <v/>
      </c>
      <c r="D108" s="29">
        <f>IF(OR($A87="",D$116=0),"",IF(COUNT(OFFSET(D$121,$BB87-1,0,$BA87,1))&gt;0,AVERAGE(OFFSET(D$121,$BB87-1,0,$BA87,1)),""))</f>
        <v/>
      </c>
      <c r="E108" s="29">
        <f>IF(OR($A87="",E$116=0),"",IF(COUNT(OFFSET(E$121,$BB87-1,0,$BA87,1))&gt;0,AVERAGE(OFFSET(E$121,$BB87-1,0,$BA87,1)),""))</f>
        <v/>
      </c>
      <c r="F108" s="29">
        <f>IF(OR($A87="",F$116=0),"",IF(COUNT(OFFSET(F$121,$BB87-1,0,$BA87,1))&gt;0,AVERAGE(OFFSET(F$121,$BB87-1,0,$BA87,1)),""))</f>
        <v/>
      </c>
      <c r="G108" s="29">
        <f>IF(OR($A87="",G$116=0),"",IF(COUNT(OFFSET(G$121,$BB87-1,0,$BA87,1))&gt;0,AVERAGE(OFFSET(G$121,$BB87-1,0,$BA87,1)),""))</f>
        <v/>
      </c>
      <c r="H108" s="29">
        <f>IF(OR($A87="",H$116=0),"",IF(COUNT(OFFSET(H$121,$BB87-1,0,$BA87,1))&gt;0,AVERAGE(OFFSET(H$121,$BB87-1,0,$BA87,1)),""))</f>
        <v/>
      </c>
      <c r="I108" s="29">
        <f>IF(OR($A87="",I$116=0),"",IF(COUNT(OFFSET(I$121,$BB87-1,0,$BA87,1))&gt;0,AVERAGE(OFFSET(I$121,$BB87-1,0,$BA87,1)),""))</f>
        <v/>
      </c>
      <c r="J108" s="29">
        <f>IF(OR($A87="",J$116=0),"",IF(COUNT(OFFSET(J$121,$BB87-1,0,$BA87,1))&gt;0,AVERAGE(OFFSET(J$121,$BB87-1,0,$BA87,1)),""))</f>
        <v/>
      </c>
      <c r="K108" s="29">
        <f>IF(OR($A87="",K$116=0),"",IF(COUNT(OFFSET(K$121,$BB87-1,0,$BA87,1))&gt;0,AVERAGE(OFFSET(K$121,$BB87-1,0,$BA87,1)),""))</f>
        <v/>
      </c>
      <c r="L108" s="29">
        <f>IF(OR($A87="",L$116=0),"",IF(COUNT(OFFSET(L$121,$BB87-1,0,$BA87,1))&gt;0,AVERAGE(OFFSET(L$121,$BB87-1,0,$BA87,1)),""))</f>
        <v/>
      </c>
      <c r="M108" s="29">
        <f>IF(OR($A87="",M$116=0),"",IF(COUNT(OFFSET(M$121,$BB87-1,0,$BA87,1))&gt;0,AVERAGE(OFFSET(M$121,$BB87-1,0,$BA87,1)),""))</f>
        <v/>
      </c>
      <c r="N108" s="29">
        <f>IF(OR($A87="",N$116=0),"",IF(COUNT(OFFSET(N$121,$BB87-1,0,$BA87,1))&gt;0,AVERAGE(OFFSET(N$121,$BB87-1,0,$BA87,1)),""))</f>
        <v/>
      </c>
      <c r="O108" s="29">
        <f>IF(OR($A87="",O$116=0),"",IF(COUNT(OFFSET(O$121,$BB87-1,0,$BA87,1))&gt;0,AVERAGE(OFFSET(O$121,$BB87-1,0,$BA87,1)),""))</f>
        <v/>
      </c>
      <c r="P108" s="29">
        <f>IF(OR($A87="",P$116=0),"",IF(COUNT(OFFSET(P$121,$BB87-1,0,$BA87,1))&gt;0,AVERAGE(OFFSET(P$121,$BB87-1,0,$BA87,1)),""))</f>
        <v/>
      </c>
      <c r="Q108" s="29">
        <f>IF(OR($A87="",Q$116=0),"",IF(COUNT(OFFSET(Q$121,$BB87-1,0,$BA87,1))&gt;0,AVERAGE(OFFSET(Q$121,$BB87-1,0,$BA87,1)),""))</f>
        <v/>
      </c>
      <c r="R108" s="29">
        <f>IF(OR($A87="",R$116=0),"",IF(COUNT(OFFSET(R$121,$BB87-1,0,$BA87,1))&gt;0,AVERAGE(OFFSET(R$121,$BB87-1,0,$BA87,1)),""))</f>
        <v/>
      </c>
      <c r="S108" s="29">
        <f>IF(OR($A87="",S$116=0),"",IF(COUNT(OFFSET(S$121,$BB87-1,0,$BA87,1))&gt;0,AVERAGE(OFFSET(S$121,$BB87-1,0,$BA87,1)),""))</f>
        <v/>
      </c>
      <c r="T108" s="29">
        <f>IF(OR($A87="",T$116=0),"",IF(COUNT(OFFSET(T$121,$BB87-1,0,$BA87,1))&gt;0,AVERAGE(OFFSET(T$121,$BB87-1,0,$BA87,1)),""))</f>
        <v/>
      </c>
      <c r="U108" s="29">
        <f>IF(OR($A87="",U$116=0),"",IF(COUNT(OFFSET(U$121,$BB87-1,0,$BA87,1))&gt;0,AVERAGE(OFFSET(U$121,$BB87-1,0,$BA87,1)),""))</f>
        <v/>
      </c>
      <c r="V108" s="29">
        <f>IF(OR($A87="",V$116=0),"",IF(COUNT(OFFSET(V$121,$BB87-1,0,$BA87,1))&gt;0,AVERAGE(OFFSET(V$121,$BB87-1,0,$BA87,1)),""))</f>
        <v/>
      </c>
      <c r="W108" s="29">
        <f>IF(OR($A87="",W$116=0),"",IF(COUNT(OFFSET(W$121,$BB87-1,0,$BA87,1))&gt;0,AVERAGE(OFFSET(W$121,$BB87-1,0,$BA87,1)),""))</f>
        <v/>
      </c>
      <c r="X108" s="29">
        <f>IF(OR($A87="",X$116=0),"",IF(COUNT(OFFSET(X$121,$BB87-1,0,$BA87,1))&gt;0,AVERAGE(OFFSET(X$121,$BB87-1,0,$BA87,1)),""))</f>
        <v/>
      </c>
      <c r="Y108" s="29">
        <f>IF(OR($A87="",Y$116=0),"",IF(COUNT(OFFSET(Y$121,$BB87-1,0,$BA87,1))&gt;0,AVERAGE(OFFSET(Y$121,$BB87-1,0,$BA87,1)),""))</f>
        <v/>
      </c>
      <c r="Z108" s="29">
        <f>IF(OR($A87="",Z$116=0),"",IF(COUNT(OFFSET(Z$121,$BB87-1,0,$BA87,1))&gt;0,AVERAGE(OFFSET(Z$121,$BB87-1,0,$BA87,1)),""))</f>
        <v/>
      </c>
      <c r="AA108" s="29">
        <f>IF(OR($A87="",AA$116=0),"",IF(COUNT(OFFSET(AA$121,$BB87-1,0,$BA87,1))&gt;0,AVERAGE(OFFSET(AA$121,$BB87-1,0,$BA87,1)),""))</f>
        <v/>
      </c>
      <c r="AB108" s="29">
        <f>IF(OR($A87="",AB$116=0),"",IF(COUNT(OFFSET(AB$121,$BB87-1,0,$BA87,1))&gt;0,AVERAGE(OFFSET(AB$121,$BB87-1,0,$BA87,1)),""))</f>
        <v/>
      </c>
      <c r="AC108" s="29">
        <f>IF(OR($A87="",AC$116=0),"",IF(COUNT(OFFSET(AC$121,$BB87-1,0,$BA87,1))&gt;0,AVERAGE(OFFSET(AC$121,$BB87-1,0,$BA87,1)),""))</f>
        <v/>
      </c>
      <c r="AD108" s="29">
        <f>IF(OR($A87="",AD$116=0),"",IF(COUNT(OFFSET(AD$121,$BB87-1,0,$BA87,1))&gt;0,AVERAGE(OFFSET(AD$121,$BB87-1,0,$BA87,1)),""))</f>
        <v/>
      </c>
      <c r="AE108" s="29">
        <f>IF(OR($A87="",AE$116=0),"",IF(COUNT(OFFSET(AE$121,$BB87-1,0,$BA87,1))&gt;0,AVERAGE(OFFSET(AE$121,$BB87-1,0,$BA87,1)),""))</f>
        <v/>
      </c>
      <c r="AF108" s="29">
        <f>IF(OR($A87="",AF$116=0),"",IF(COUNT(OFFSET(AF$121,$BB87-1,0,$BA87,1))&gt;0,AVERAGE(OFFSET(AF$121,$BB87-1,0,$BA87,1)),""))</f>
        <v/>
      </c>
      <c r="AG108" s="29">
        <f>IF(OR($A87="",AG$116=0),"",IF(COUNT(OFFSET(AG$121,$BB87-1,0,$BA87,1))&gt;0,AVERAGE(OFFSET(AG$121,$BB87-1,0,$BA87,1)),""))</f>
        <v/>
      </c>
      <c r="AH108" s="29">
        <f>IF(OR($A87="",AH$116=0),"",IF(COUNT(OFFSET(AH$121,$BB87-1,0,$BA87,1))&gt;0,AVERAGE(OFFSET(AH$121,$BB87-1,0,$BA87,1)),""))</f>
        <v/>
      </c>
      <c r="AI108" s="29">
        <f>IF(OR($A87="",AI$116=0),"",IF(COUNT(OFFSET(AI$121,$BB87-1,0,$BA87,1))&gt;0,AVERAGE(OFFSET(AI$121,$BB87-1,0,$BA87,1)),""))</f>
        <v/>
      </c>
      <c r="AJ108" s="29">
        <f>IF(OR($A87="",AJ$116=0),"",IF(COUNT(OFFSET(AJ$121,$BB87-1,0,$BA87,1))&gt;0,AVERAGE(OFFSET(AJ$121,$BB87-1,0,$BA87,1)),""))</f>
        <v/>
      </c>
      <c r="AK108" s="29">
        <f>IF(OR($A87="",AK$116=0),"",IF(COUNT(OFFSET(AK$121,$BB87-1,0,$BA87,1))&gt;0,AVERAGE(OFFSET(AK$121,$BB87-1,0,$BA87,1)),""))</f>
        <v/>
      </c>
      <c r="AL108" s="29">
        <f>IF(OR($A87="",AL$116=0),"",IF(COUNT(OFFSET(AL$121,$BB87-1,0,$BA87,1))&gt;0,AVERAGE(OFFSET(AL$121,$BB87-1,0,$BA87,1)),""))</f>
        <v/>
      </c>
      <c r="AM108" s="29">
        <f>IF(OR($A87="",AM$116=0),"",IF(COUNT(OFFSET(AM$121,$BB87-1,0,$BA87,1))&gt;0,AVERAGE(OFFSET(AM$121,$BB87-1,0,$BA87,1)),""))</f>
        <v/>
      </c>
      <c r="AN108" s="29">
        <f>IF(OR($A87="",AN$116=0),"",IF(COUNT(OFFSET(AN$121,$BB87-1,0,$BA87,1))&gt;0,AVERAGE(OFFSET(AN$121,$BB87-1,0,$BA87,1)),""))</f>
        <v/>
      </c>
      <c r="AO108" s="29">
        <f>IF(OR($A87="",AO$116=0),"",IF(COUNT(OFFSET(AO$121,$BB87-1,0,$BA87,1))&gt;0,AVERAGE(OFFSET(AO$121,$BB87-1,0,$BA87,1)),""))</f>
        <v/>
      </c>
      <c r="AP108" s="29">
        <f>IF(OR($A87="",AP$116=0),"",IF(COUNT(OFFSET(AP$121,$BB87-1,0,$BA87,1))&gt;0,AVERAGE(OFFSET(AP$121,$BB87-1,0,$BA87,1)),""))</f>
        <v/>
      </c>
      <c r="AQ108" s="29">
        <f>IF(OR($A87="",AQ$116=0),"",IF(COUNT(OFFSET(AQ$121,$BB87-1,0,$BA87,1))&gt;0,AVERAGE(OFFSET(AQ$121,$BB87-1,0,$BA87,1)),""))</f>
        <v/>
      </c>
      <c r="AR108" s="29">
        <f>IF(OR($A87="",AR$116=0),"",IF(COUNT(OFFSET(AR$121,$BB87-1,0,$BA87,1))&gt;0,AVERAGE(OFFSET(AR$121,$BB87-1,0,$BA87,1)),""))</f>
        <v/>
      </c>
      <c r="AS108" s="29">
        <f>IF(OR($A87="",AS$116=0),"",IF(COUNT(OFFSET(AS$121,$BB87-1,0,$BA87,1))&gt;0,AVERAGE(OFFSET(AS$121,$BB87-1,0,$BA87,1)),""))</f>
        <v/>
      </c>
      <c r="AT108" s="29">
        <f>IF(OR($A87="",AT$116=0),"",IF(COUNT(OFFSET(AT$121,$BB87-1,0,$BA87,1))&gt;0,AVERAGE(OFFSET(AT$121,$BB87-1,0,$BA87,1)),""))</f>
        <v/>
      </c>
      <c r="AU108" s="29">
        <f>IF(OR($A87="",AU$116=0),"",IF(COUNT(OFFSET(AU$121,$BB87-1,0,$BA87,1))&gt;0,AVERAGE(OFFSET(AU$121,$BB87-1,0,$BA87,1)),""))</f>
        <v/>
      </c>
      <c r="AV108" s="29">
        <f>IF(OR($A87="",AV$116=0),"",IF(COUNT(OFFSET(AV$121,$BB87-1,0,$BA87,1))&gt;0,AVERAGE(OFFSET(AV$121,$BB87-1,0,$BA87,1)),""))</f>
        <v/>
      </c>
      <c r="AW108" s="29">
        <f>IF(OR($A87="",AW$116=0),"",IF(COUNT(OFFSET(AW$121,$BB87-1,0,$BA87,1))&gt;0,AVERAGE(OFFSET(AW$121,$BB87-1,0,$BA87,1)),""))</f>
        <v/>
      </c>
      <c r="AX108" s="29">
        <f>IF(OR($A87="",AX$116=0),"",IF(COUNT(OFFSET(AX$121,$BB87-1,0,$BA87,1))&gt;0,AVERAGE(OFFSET(AX$121,$BB87-1,0,$BA87,1)),""))</f>
        <v/>
      </c>
      <c r="AY108" s="29">
        <f>IF(OR($A87="",AY$116=0),"",IF(COUNT(OFFSET(AY$121,$BB87-1,0,$BA87,1))&gt;0,AVERAGE(OFFSET(AY$121,$BB87-1,0,$BA87,1)),""))</f>
        <v/>
      </c>
      <c r="AZ108" s="29">
        <f>IF($A87="","",AVERAGE(OFFSET($B$121,$BB87-1,0,$BA87,50)))</f>
        <v/>
      </c>
    </row>
    <row r="109">
      <c r="A109" s="13">
        <f>A88</f>
        <v/>
      </c>
      <c r="B109" s="29">
        <f>IF(OR($A88="",B$116=0),"",IF(COUNT(OFFSET(B$121,$BB88-1,0,$BA88,1))&gt;0,AVERAGE(OFFSET(B$121,$BB88-1,0,$BA88,1)),""))</f>
        <v/>
      </c>
      <c r="C109" s="29">
        <f>IF(OR($A88="",C$116=0),"",IF(COUNT(OFFSET(C$121,$BB88-1,0,$BA88,1))&gt;0,AVERAGE(OFFSET(C$121,$BB88-1,0,$BA88,1)),""))</f>
        <v/>
      </c>
      <c r="D109" s="29">
        <f>IF(OR($A88="",D$116=0),"",IF(COUNT(OFFSET(D$121,$BB88-1,0,$BA88,1))&gt;0,AVERAGE(OFFSET(D$121,$BB88-1,0,$BA88,1)),""))</f>
        <v/>
      </c>
      <c r="E109" s="29">
        <f>IF(OR($A88="",E$116=0),"",IF(COUNT(OFFSET(E$121,$BB88-1,0,$BA88,1))&gt;0,AVERAGE(OFFSET(E$121,$BB88-1,0,$BA88,1)),""))</f>
        <v/>
      </c>
      <c r="F109" s="29">
        <f>IF(OR($A88="",F$116=0),"",IF(COUNT(OFFSET(F$121,$BB88-1,0,$BA88,1))&gt;0,AVERAGE(OFFSET(F$121,$BB88-1,0,$BA88,1)),""))</f>
        <v/>
      </c>
      <c r="G109" s="29">
        <f>IF(OR($A88="",G$116=0),"",IF(COUNT(OFFSET(G$121,$BB88-1,0,$BA88,1))&gt;0,AVERAGE(OFFSET(G$121,$BB88-1,0,$BA88,1)),""))</f>
        <v/>
      </c>
      <c r="H109" s="29">
        <f>IF(OR($A88="",H$116=0),"",IF(COUNT(OFFSET(H$121,$BB88-1,0,$BA88,1))&gt;0,AVERAGE(OFFSET(H$121,$BB88-1,0,$BA88,1)),""))</f>
        <v/>
      </c>
      <c r="I109" s="29">
        <f>IF(OR($A88="",I$116=0),"",IF(COUNT(OFFSET(I$121,$BB88-1,0,$BA88,1))&gt;0,AVERAGE(OFFSET(I$121,$BB88-1,0,$BA88,1)),""))</f>
        <v/>
      </c>
      <c r="J109" s="29">
        <f>IF(OR($A88="",J$116=0),"",IF(COUNT(OFFSET(J$121,$BB88-1,0,$BA88,1))&gt;0,AVERAGE(OFFSET(J$121,$BB88-1,0,$BA88,1)),""))</f>
        <v/>
      </c>
      <c r="K109" s="29">
        <f>IF(OR($A88="",K$116=0),"",IF(COUNT(OFFSET(K$121,$BB88-1,0,$BA88,1))&gt;0,AVERAGE(OFFSET(K$121,$BB88-1,0,$BA88,1)),""))</f>
        <v/>
      </c>
      <c r="L109" s="29">
        <f>IF(OR($A88="",L$116=0),"",IF(COUNT(OFFSET(L$121,$BB88-1,0,$BA88,1))&gt;0,AVERAGE(OFFSET(L$121,$BB88-1,0,$BA88,1)),""))</f>
        <v/>
      </c>
      <c r="M109" s="29">
        <f>IF(OR($A88="",M$116=0),"",IF(COUNT(OFFSET(M$121,$BB88-1,0,$BA88,1))&gt;0,AVERAGE(OFFSET(M$121,$BB88-1,0,$BA88,1)),""))</f>
        <v/>
      </c>
      <c r="N109" s="29">
        <f>IF(OR($A88="",N$116=0),"",IF(COUNT(OFFSET(N$121,$BB88-1,0,$BA88,1))&gt;0,AVERAGE(OFFSET(N$121,$BB88-1,0,$BA88,1)),""))</f>
        <v/>
      </c>
      <c r="O109" s="29">
        <f>IF(OR($A88="",O$116=0),"",IF(COUNT(OFFSET(O$121,$BB88-1,0,$BA88,1))&gt;0,AVERAGE(OFFSET(O$121,$BB88-1,0,$BA88,1)),""))</f>
        <v/>
      </c>
      <c r="P109" s="29">
        <f>IF(OR($A88="",P$116=0),"",IF(COUNT(OFFSET(P$121,$BB88-1,0,$BA88,1))&gt;0,AVERAGE(OFFSET(P$121,$BB88-1,0,$BA88,1)),""))</f>
        <v/>
      </c>
      <c r="Q109" s="29">
        <f>IF(OR($A88="",Q$116=0),"",IF(COUNT(OFFSET(Q$121,$BB88-1,0,$BA88,1))&gt;0,AVERAGE(OFFSET(Q$121,$BB88-1,0,$BA88,1)),""))</f>
        <v/>
      </c>
      <c r="R109" s="29">
        <f>IF(OR($A88="",R$116=0),"",IF(COUNT(OFFSET(R$121,$BB88-1,0,$BA88,1))&gt;0,AVERAGE(OFFSET(R$121,$BB88-1,0,$BA88,1)),""))</f>
        <v/>
      </c>
      <c r="S109" s="29">
        <f>IF(OR($A88="",S$116=0),"",IF(COUNT(OFFSET(S$121,$BB88-1,0,$BA88,1))&gt;0,AVERAGE(OFFSET(S$121,$BB88-1,0,$BA88,1)),""))</f>
        <v/>
      </c>
      <c r="T109" s="29">
        <f>IF(OR($A88="",T$116=0),"",IF(COUNT(OFFSET(T$121,$BB88-1,0,$BA88,1))&gt;0,AVERAGE(OFFSET(T$121,$BB88-1,0,$BA88,1)),""))</f>
        <v/>
      </c>
      <c r="U109" s="29">
        <f>IF(OR($A88="",U$116=0),"",IF(COUNT(OFFSET(U$121,$BB88-1,0,$BA88,1))&gt;0,AVERAGE(OFFSET(U$121,$BB88-1,0,$BA88,1)),""))</f>
        <v/>
      </c>
      <c r="V109" s="29">
        <f>IF(OR($A88="",V$116=0),"",IF(COUNT(OFFSET(V$121,$BB88-1,0,$BA88,1))&gt;0,AVERAGE(OFFSET(V$121,$BB88-1,0,$BA88,1)),""))</f>
        <v/>
      </c>
      <c r="W109" s="29">
        <f>IF(OR($A88="",W$116=0),"",IF(COUNT(OFFSET(W$121,$BB88-1,0,$BA88,1))&gt;0,AVERAGE(OFFSET(W$121,$BB88-1,0,$BA88,1)),""))</f>
        <v/>
      </c>
      <c r="X109" s="29">
        <f>IF(OR($A88="",X$116=0),"",IF(COUNT(OFFSET(X$121,$BB88-1,0,$BA88,1))&gt;0,AVERAGE(OFFSET(X$121,$BB88-1,0,$BA88,1)),""))</f>
        <v/>
      </c>
      <c r="Y109" s="29">
        <f>IF(OR($A88="",Y$116=0),"",IF(COUNT(OFFSET(Y$121,$BB88-1,0,$BA88,1))&gt;0,AVERAGE(OFFSET(Y$121,$BB88-1,0,$BA88,1)),""))</f>
        <v/>
      </c>
      <c r="Z109" s="29">
        <f>IF(OR($A88="",Z$116=0),"",IF(COUNT(OFFSET(Z$121,$BB88-1,0,$BA88,1))&gt;0,AVERAGE(OFFSET(Z$121,$BB88-1,0,$BA88,1)),""))</f>
        <v/>
      </c>
      <c r="AA109" s="29">
        <f>IF(OR($A88="",AA$116=0),"",IF(COUNT(OFFSET(AA$121,$BB88-1,0,$BA88,1))&gt;0,AVERAGE(OFFSET(AA$121,$BB88-1,0,$BA88,1)),""))</f>
        <v/>
      </c>
      <c r="AB109" s="29">
        <f>IF(OR($A88="",AB$116=0),"",IF(COUNT(OFFSET(AB$121,$BB88-1,0,$BA88,1))&gt;0,AVERAGE(OFFSET(AB$121,$BB88-1,0,$BA88,1)),""))</f>
        <v/>
      </c>
      <c r="AC109" s="29">
        <f>IF(OR($A88="",AC$116=0),"",IF(COUNT(OFFSET(AC$121,$BB88-1,0,$BA88,1))&gt;0,AVERAGE(OFFSET(AC$121,$BB88-1,0,$BA88,1)),""))</f>
        <v/>
      </c>
      <c r="AD109" s="29">
        <f>IF(OR($A88="",AD$116=0),"",IF(COUNT(OFFSET(AD$121,$BB88-1,0,$BA88,1))&gt;0,AVERAGE(OFFSET(AD$121,$BB88-1,0,$BA88,1)),""))</f>
        <v/>
      </c>
      <c r="AE109" s="29">
        <f>IF(OR($A88="",AE$116=0),"",IF(COUNT(OFFSET(AE$121,$BB88-1,0,$BA88,1))&gt;0,AVERAGE(OFFSET(AE$121,$BB88-1,0,$BA88,1)),""))</f>
        <v/>
      </c>
      <c r="AF109" s="29">
        <f>IF(OR($A88="",AF$116=0),"",IF(COUNT(OFFSET(AF$121,$BB88-1,0,$BA88,1))&gt;0,AVERAGE(OFFSET(AF$121,$BB88-1,0,$BA88,1)),""))</f>
        <v/>
      </c>
      <c r="AG109" s="29">
        <f>IF(OR($A88="",AG$116=0),"",IF(COUNT(OFFSET(AG$121,$BB88-1,0,$BA88,1))&gt;0,AVERAGE(OFFSET(AG$121,$BB88-1,0,$BA88,1)),""))</f>
        <v/>
      </c>
      <c r="AH109" s="29">
        <f>IF(OR($A88="",AH$116=0),"",IF(COUNT(OFFSET(AH$121,$BB88-1,0,$BA88,1))&gt;0,AVERAGE(OFFSET(AH$121,$BB88-1,0,$BA88,1)),""))</f>
        <v/>
      </c>
      <c r="AI109" s="29">
        <f>IF(OR($A88="",AI$116=0),"",IF(COUNT(OFFSET(AI$121,$BB88-1,0,$BA88,1))&gt;0,AVERAGE(OFFSET(AI$121,$BB88-1,0,$BA88,1)),""))</f>
        <v/>
      </c>
      <c r="AJ109" s="29">
        <f>IF(OR($A88="",AJ$116=0),"",IF(COUNT(OFFSET(AJ$121,$BB88-1,0,$BA88,1))&gt;0,AVERAGE(OFFSET(AJ$121,$BB88-1,0,$BA88,1)),""))</f>
        <v/>
      </c>
      <c r="AK109" s="29">
        <f>IF(OR($A88="",AK$116=0),"",IF(COUNT(OFFSET(AK$121,$BB88-1,0,$BA88,1))&gt;0,AVERAGE(OFFSET(AK$121,$BB88-1,0,$BA88,1)),""))</f>
        <v/>
      </c>
      <c r="AL109" s="29">
        <f>IF(OR($A88="",AL$116=0),"",IF(COUNT(OFFSET(AL$121,$BB88-1,0,$BA88,1))&gt;0,AVERAGE(OFFSET(AL$121,$BB88-1,0,$BA88,1)),""))</f>
        <v/>
      </c>
      <c r="AM109" s="29">
        <f>IF(OR($A88="",AM$116=0),"",IF(COUNT(OFFSET(AM$121,$BB88-1,0,$BA88,1))&gt;0,AVERAGE(OFFSET(AM$121,$BB88-1,0,$BA88,1)),""))</f>
        <v/>
      </c>
      <c r="AN109" s="29">
        <f>IF(OR($A88="",AN$116=0),"",IF(COUNT(OFFSET(AN$121,$BB88-1,0,$BA88,1))&gt;0,AVERAGE(OFFSET(AN$121,$BB88-1,0,$BA88,1)),""))</f>
        <v/>
      </c>
      <c r="AO109" s="29">
        <f>IF(OR($A88="",AO$116=0),"",IF(COUNT(OFFSET(AO$121,$BB88-1,0,$BA88,1))&gt;0,AVERAGE(OFFSET(AO$121,$BB88-1,0,$BA88,1)),""))</f>
        <v/>
      </c>
      <c r="AP109" s="29">
        <f>IF(OR($A88="",AP$116=0),"",IF(COUNT(OFFSET(AP$121,$BB88-1,0,$BA88,1))&gt;0,AVERAGE(OFFSET(AP$121,$BB88-1,0,$BA88,1)),""))</f>
        <v/>
      </c>
      <c r="AQ109" s="29">
        <f>IF(OR($A88="",AQ$116=0),"",IF(COUNT(OFFSET(AQ$121,$BB88-1,0,$BA88,1))&gt;0,AVERAGE(OFFSET(AQ$121,$BB88-1,0,$BA88,1)),""))</f>
        <v/>
      </c>
      <c r="AR109" s="29">
        <f>IF(OR($A88="",AR$116=0),"",IF(COUNT(OFFSET(AR$121,$BB88-1,0,$BA88,1))&gt;0,AVERAGE(OFFSET(AR$121,$BB88-1,0,$BA88,1)),""))</f>
        <v/>
      </c>
      <c r="AS109" s="29">
        <f>IF(OR($A88="",AS$116=0),"",IF(COUNT(OFFSET(AS$121,$BB88-1,0,$BA88,1))&gt;0,AVERAGE(OFFSET(AS$121,$BB88-1,0,$BA88,1)),""))</f>
        <v/>
      </c>
      <c r="AT109" s="29">
        <f>IF(OR($A88="",AT$116=0),"",IF(COUNT(OFFSET(AT$121,$BB88-1,0,$BA88,1))&gt;0,AVERAGE(OFFSET(AT$121,$BB88-1,0,$BA88,1)),""))</f>
        <v/>
      </c>
      <c r="AU109" s="29">
        <f>IF(OR($A88="",AU$116=0),"",IF(COUNT(OFFSET(AU$121,$BB88-1,0,$BA88,1))&gt;0,AVERAGE(OFFSET(AU$121,$BB88-1,0,$BA88,1)),""))</f>
        <v/>
      </c>
      <c r="AV109" s="29">
        <f>IF(OR($A88="",AV$116=0),"",IF(COUNT(OFFSET(AV$121,$BB88-1,0,$BA88,1))&gt;0,AVERAGE(OFFSET(AV$121,$BB88-1,0,$BA88,1)),""))</f>
        <v/>
      </c>
      <c r="AW109" s="29">
        <f>IF(OR($A88="",AW$116=0),"",IF(COUNT(OFFSET(AW$121,$BB88-1,0,$BA88,1))&gt;0,AVERAGE(OFFSET(AW$121,$BB88-1,0,$BA88,1)),""))</f>
        <v/>
      </c>
      <c r="AX109" s="29">
        <f>IF(OR($A88="",AX$116=0),"",IF(COUNT(OFFSET(AX$121,$BB88-1,0,$BA88,1))&gt;0,AVERAGE(OFFSET(AX$121,$BB88-1,0,$BA88,1)),""))</f>
        <v/>
      </c>
      <c r="AY109" s="29">
        <f>IF(OR($A88="",AY$116=0),"",IF(COUNT(OFFSET(AY$121,$BB88-1,0,$BA88,1))&gt;0,AVERAGE(OFFSET(AY$121,$BB88-1,0,$BA88,1)),""))</f>
        <v/>
      </c>
      <c r="AZ109" s="29">
        <f>IF($A88="","",AVERAGE(OFFSET($B$121,$BB88-1,0,$BA88,50)))</f>
        <v/>
      </c>
    </row>
    <row r="110">
      <c r="A110" s="13">
        <f>A89</f>
        <v/>
      </c>
      <c r="B110" s="29">
        <f>IF(OR($A89="",B$116=0),"",IF(COUNT(OFFSET(B$121,$BB89-1,0,$BA89,1))&gt;0,AVERAGE(OFFSET(B$121,$BB89-1,0,$BA89,1)),""))</f>
        <v/>
      </c>
      <c r="C110" s="29">
        <f>IF(OR($A89="",C$116=0),"",IF(COUNT(OFFSET(C$121,$BB89-1,0,$BA89,1))&gt;0,AVERAGE(OFFSET(C$121,$BB89-1,0,$BA89,1)),""))</f>
        <v/>
      </c>
      <c r="D110" s="29">
        <f>IF(OR($A89="",D$116=0),"",IF(COUNT(OFFSET(D$121,$BB89-1,0,$BA89,1))&gt;0,AVERAGE(OFFSET(D$121,$BB89-1,0,$BA89,1)),""))</f>
        <v/>
      </c>
      <c r="E110" s="29">
        <f>IF(OR($A89="",E$116=0),"",IF(COUNT(OFFSET(E$121,$BB89-1,0,$BA89,1))&gt;0,AVERAGE(OFFSET(E$121,$BB89-1,0,$BA89,1)),""))</f>
        <v/>
      </c>
      <c r="F110" s="29">
        <f>IF(OR($A89="",F$116=0),"",IF(COUNT(OFFSET(F$121,$BB89-1,0,$BA89,1))&gt;0,AVERAGE(OFFSET(F$121,$BB89-1,0,$BA89,1)),""))</f>
        <v/>
      </c>
      <c r="G110" s="29">
        <f>IF(OR($A89="",G$116=0),"",IF(COUNT(OFFSET(G$121,$BB89-1,0,$BA89,1))&gt;0,AVERAGE(OFFSET(G$121,$BB89-1,0,$BA89,1)),""))</f>
        <v/>
      </c>
      <c r="H110" s="29">
        <f>IF(OR($A89="",H$116=0),"",IF(COUNT(OFFSET(H$121,$BB89-1,0,$BA89,1))&gt;0,AVERAGE(OFFSET(H$121,$BB89-1,0,$BA89,1)),""))</f>
        <v/>
      </c>
      <c r="I110" s="29">
        <f>IF(OR($A89="",I$116=0),"",IF(COUNT(OFFSET(I$121,$BB89-1,0,$BA89,1))&gt;0,AVERAGE(OFFSET(I$121,$BB89-1,0,$BA89,1)),""))</f>
        <v/>
      </c>
      <c r="J110" s="29">
        <f>IF(OR($A89="",J$116=0),"",IF(COUNT(OFFSET(J$121,$BB89-1,0,$BA89,1))&gt;0,AVERAGE(OFFSET(J$121,$BB89-1,0,$BA89,1)),""))</f>
        <v/>
      </c>
      <c r="K110" s="29">
        <f>IF(OR($A89="",K$116=0),"",IF(COUNT(OFFSET(K$121,$BB89-1,0,$BA89,1))&gt;0,AVERAGE(OFFSET(K$121,$BB89-1,0,$BA89,1)),""))</f>
        <v/>
      </c>
      <c r="L110" s="29">
        <f>IF(OR($A89="",L$116=0),"",IF(COUNT(OFFSET(L$121,$BB89-1,0,$BA89,1))&gt;0,AVERAGE(OFFSET(L$121,$BB89-1,0,$BA89,1)),""))</f>
        <v/>
      </c>
      <c r="M110" s="29">
        <f>IF(OR($A89="",M$116=0),"",IF(COUNT(OFFSET(M$121,$BB89-1,0,$BA89,1))&gt;0,AVERAGE(OFFSET(M$121,$BB89-1,0,$BA89,1)),""))</f>
        <v/>
      </c>
      <c r="N110" s="29">
        <f>IF(OR($A89="",N$116=0),"",IF(COUNT(OFFSET(N$121,$BB89-1,0,$BA89,1))&gt;0,AVERAGE(OFFSET(N$121,$BB89-1,0,$BA89,1)),""))</f>
        <v/>
      </c>
      <c r="O110" s="29">
        <f>IF(OR($A89="",O$116=0),"",IF(COUNT(OFFSET(O$121,$BB89-1,0,$BA89,1))&gt;0,AVERAGE(OFFSET(O$121,$BB89-1,0,$BA89,1)),""))</f>
        <v/>
      </c>
      <c r="P110" s="29">
        <f>IF(OR($A89="",P$116=0),"",IF(COUNT(OFFSET(P$121,$BB89-1,0,$BA89,1))&gt;0,AVERAGE(OFFSET(P$121,$BB89-1,0,$BA89,1)),""))</f>
        <v/>
      </c>
      <c r="Q110" s="29">
        <f>IF(OR($A89="",Q$116=0),"",IF(COUNT(OFFSET(Q$121,$BB89-1,0,$BA89,1))&gt;0,AVERAGE(OFFSET(Q$121,$BB89-1,0,$BA89,1)),""))</f>
        <v/>
      </c>
      <c r="R110" s="29">
        <f>IF(OR($A89="",R$116=0),"",IF(COUNT(OFFSET(R$121,$BB89-1,0,$BA89,1))&gt;0,AVERAGE(OFFSET(R$121,$BB89-1,0,$BA89,1)),""))</f>
        <v/>
      </c>
      <c r="S110" s="29">
        <f>IF(OR($A89="",S$116=0),"",IF(COUNT(OFFSET(S$121,$BB89-1,0,$BA89,1))&gt;0,AVERAGE(OFFSET(S$121,$BB89-1,0,$BA89,1)),""))</f>
        <v/>
      </c>
      <c r="T110" s="29">
        <f>IF(OR($A89="",T$116=0),"",IF(COUNT(OFFSET(T$121,$BB89-1,0,$BA89,1))&gt;0,AVERAGE(OFFSET(T$121,$BB89-1,0,$BA89,1)),""))</f>
        <v/>
      </c>
      <c r="U110" s="29">
        <f>IF(OR($A89="",U$116=0),"",IF(COUNT(OFFSET(U$121,$BB89-1,0,$BA89,1))&gt;0,AVERAGE(OFFSET(U$121,$BB89-1,0,$BA89,1)),""))</f>
        <v/>
      </c>
      <c r="V110" s="29">
        <f>IF(OR($A89="",V$116=0),"",IF(COUNT(OFFSET(V$121,$BB89-1,0,$BA89,1))&gt;0,AVERAGE(OFFSET(V$121,$BB89-1,0,$BA89,1)),""))</f>
        <v/>
      </c>
      <c r="W110" s="29">
        <f>IF(OR($A89="",W$116=0),"",IF(COUNT(OFFSET(W$121,$BB89-1,0,$BA89,1))&gt;0,AVERAGE(OFFSET(W$121,$BB89-1,0,$BA89,1)),""))</f>
        <v/>
      </c>
      <c r="X110" s="29">
        <f>IF(OR($A89="",X$116=0),"",IF(COUNT(OFFSET(X$121,$BB89-1,0,$BA89,1))&gt;0,AVERAGE(OFFSET(X$121,$BB89-1,0,$BA89,1)),""))</f>
        <v/>
      </c>
      <c r="Y110" s="29">
        <f>IF(OR($A89="",Y$116=0),"",IF(COUNT(OFFSET(Y$121,$BB89-1,0,$BA89,1))&gt;0,AVERAGE(OFFSET(Y$121,$BB89-1,0,$BA89,1)),""))</f>
        <v/>
      </c>
      <c r="Z110" s="29">
        <f>IF(OR($A89="",Z$116=0),"",IF(COUNT(OFFSET(Z$121,$BB89-1,0,$BA89,1))&gt;0,AVERAGE(OFFSET(Z$121,$BB89-1,0,$BA89,1)),""))</f>
        <v/>
      </c>
      <c r="AA110" s="29">
        <f>IF(OR($A89="",AA$116=0),"",IF(COUNT(OFFSET(AA$121,$BB89-1,0,$BA89,1))&gt;0,AVERAGE(OFFSET(AA$121,$BB89-1,0,$BA89,1)),""))</f>
        <v/>
      </c>
      <c r="AB110" s="29">
        <f>IF(OR($A89="",AB$116=0),"",IF(COUNT(OFFSET(AB$121,$BB89-1,0,$BA89,1))&gt;0,AVERAGE(OFFSET(AB$121,$BB89-1,0,$BA89,1)),""))</f>
        <v/>
      </c>
      <c r="AC110" s="29">
        <f>IF(OR($A89="",AC$116=0),"",IF(COUNT(OFFSET(AC$121,$BB89-1,0,$BA89,1))&gt;0,AVERAGE(OFFSET(AC$121,$BB89-1,0,$BA89,1)),""))</f>
        <v/>
      </c>
      <c r="AD110" s="29">
        <f>IF(OR($A89="",AD$116=0),"",IF(COUNT(OFFSET(AD$121,$BB89-1,0,$BA89,1))&gt;0,AVERAGE(OFFSET(AD$121,$BB89-1,0,$BA89,1)),""))</f>
        <v/>
      </c>
      <c r="AE110" s="29">
        <f>IF(OR($A89="",AE$116=0),"",IF(COUNT(OFFSET(AE$121,$BB89-1,0,$BA89,1))&gt;0,AVERAGE(OFFSET(AE$121,$BB89-1,0,$BA89,1)),""))</f>
        <v/>
      </c>
      <c r="AF110" s="29">
        <f>IF(OR($A89="",AF$116=0),"",IF(COUNT(OFFSET(AF$121,$BB89-1,0,$BA89,1))&gt;0,AVERAGE(OFFSET(AF$121,$BB89-1,0,$BA89,1)),""))</f>
        <v/>
      </c>
      <c r="AG110" s="29">
        <f>IF(OR($A89="",AG$116=0),"",IF(COUNT(OFFSET(AG$121,$BB89-1,0,$BA89,1))&gt;0,AVERAGE(OFFSET(AG$121,$BB89-1,0,$BA89,1)),""))</f>
        <v/>
      </c>
      <c r="AH110" s="29">
        <f>IF(OR($A89="",AH$116=0),"",IF(COUNT(OFFSET(AH$121,$BB89-1,0,$BA89,1))&gt;0,AVERAGE(OFFSET(AH$121,$BB89-1,0,$BA89,1)),""))</f>
        <v/>
      </c>
      <c r="AI110" s="29">
        <f>IF(OR($A89="",AI$116=0),"",IF(COUNT(OFFSET(AI$121,$BB89-1,0,$BA89,1))&gt;0,AVERAGE(OFFSET(AI$121,$BB89-1,0,$BA89,1)),""))</f>
        <v/>
      </c>
      <c r="AJ110" s="29">
        <f>IF(OR($A89="",AJ$116=0),"",IF(COUNT(OFFSET(AJ$121,$BB89-1,0,$BA89,1))&gt;0,AVERAGE(OFFSET(AJ$121,$BB89-1,0,$BA89,1)),""))</f>
        <v/>
      </c>
      <c r="AK110" s="29">
        <f>IF(OR($A89="",AK$116=0),"",IF(COUNT(OFFSET(AK$121,$BB89-1,0,$BA89,1))&gt;0,AVERAGE(OFFSET(AK$121,$BB89-1,0,$BA89,1)),""))</f>
        <v/>
      </c>
      <c r="AL110" s="29">
        <f>IF(OR($A89="",AL$116=0),"",IF(COUNT(OFFSET(AL$121,$BB89-1,0,$BA89,1))&gt;0,AVERAGE(OFFSET(AL$121,$BB89-1,0,$BA89,1)),""))</f>
        <v/>
      </c>
      <c r="AM110" s="29">
        <f>IF(OR($A89="",AM$116=0),"",IF(COUNT(OFFSET(AM$121,$BB89-1,0,$BA89,1))&gt;0,AVERAGE(OFFSET(AM$121,$BB89-1,0,$BA89,1)),""))</f>
        <v/>
      </c>
      <c r="AN110" s="29">
        <f>IF(OR($A89="",AN$116=0),"",IF(COUNT(OFFSET(AN$121,$BB89-1,0,$BA89,1))&gt;0,AVERAGE(OFFSET(AN$121,$BB89-1,0,$BA89,1)),""))</f>
        <v/>
      </c>
      <c r="AO110" s="29">
        <f>IF(OR($A89="",AO$116=0),"",IF(COUNT(OFFSET(AO$121,$BB89-1,0,$BA89,1))&gt;0,AVERAGE(OFFSET(AO$121,$BB89-1,0,$BA89,1)),""))</f>
        <v/>
      </c>
      <c r="AP110" s="29">
        <f>IF(OR($A89="",AP$116=0),"",IF(COUNT(OFFSET(AP$121,$BB89-1,0,$BA89,1))&gt;0,AVERAGE(OFFSET(AP$121,$BB89-1,0,$BA89,1)),""))</f>
        <v/>
      </c>
      <c r="AQ110" s="29">
        <f>IF(OR($A89="",AQ$116=0),"",IF(COUNT(OFFSET(AQ$121,$BB89-1,0,$BA89,1))&gt;0,AVERAGE(OFFSET(AQ$121,$BB89-1,0,$BA89,1)),""))</f>
        <v/>
      </c>
      <c r="AR110" s="29">
        <f>IF(OR($A89="",AR$116=0),"",IF(COUNT(OFFSET(AR$121,$BB89-1,0,$BA89,1))&gt;0,AVERAGE(OFFSET(AR$121,$BB89-1,0,$BA89,1)),""))</f>
        <v/>
      </c>
      <c r="AS110" s="29">
        <f>IF(OR($A89="",AS$116=0),"",IF(COUNT(OFFSET(AS$121,$BB89-1,0,$BA89,1))&gt;0,AVERAGE(OFFSET(AS$121,$BB89-1,0,$BA89,1)),""))</f>
        <v/>
      </c>
      <c r="AT110" s="29">
        <f>IF(OR($A89="",AT$116=0),"",IF(COUNT(OFFSET(AT$121,$BB89-1,0,$BA89,1))&gt;0,AVERAGE(OFFSET(AT$121,$BB89-1,0,$BA89,1)),""))</f>
        <v/>
      </c>
      <c r="AU110" s="29">
        <f>IF(OR($A89="",AU$116=0),"",IF(COUNT(OFFSET(AU$121,$BB89-1,0,$BA89,1))&gt;0,AVERAGE(OFFSET(AU$121,$BB89-1,0,$BA89,1)),""))</f>
        <v/>
      </c>
      <c r="AV110" s="29">
        <f>IF(OR($A89="",AV$116=0),"",IF(COUNT(OFFSET(AV$121,$BB89-1,0,$BA89,1))&gt;0,AVERAGE(OFFSET(AV$121,$BB89-1,0,$BA89,1)),""))</f>
        <v/>
      </c>
      <c r="AW110" s="29">
        <f>IF(OR($A89="",AW$116=0),"",IF(COUNT(OFFSET(AW$121,$BB89-1,0,$BA89,1))&gt;0,AVERAGE(OFFSET(AW$121,$BB89-1,0,$BA89,1)),""))</f>
        <v/>
      </c>
      <c r="AX110" s="29">
        <f>IF(OR($A89="",AX$116=0),"",IF(COUNT(OFFSET(AX$121,$BB89-1,0,$BA89,1))&gt;0,AVERAGE(OFFSET(AX$121,$BB89-1,0,$BA89,1)),""))</f>
        <v/>
      </c>
      <c r="AY110" s="29">
        <f>IF(OR($A89="",AY$116=0),"",IF(COUNT(OFFSET(AY$121,$BB89-1,0,$BA89,1))&gt;0,AVERAGE(OFFSET(AY$121,$BB89-1,0,$BA89,1)),""))</f>
        <v/>
      </c>
      <c r="AZ110" s="29">
        <f>IF($A89="","",AVERAGE(OFFSET($B$121,$BB89-1,0,$BA89,50)))</f>
        <v/>
      </c>
    </row>
    <row r="111">
      <c r="A111" s="13">
        <f>A90</f>
        <v/>
      </c>
      <c r="B111" s="29">
        <f>IF(OR($A90="",B$116=0),"",IF(COUNT(OFFSET(B$121,$BB90-1,0,$BA90,1))&gt;0,AVERAGE(OFFSET(B$121,$BB90-1,0,$BA90,1)),""))</f>
        <v/>
      </c>
      <c r="C111" s="29">
        <f>IF(OR($A90="",C$116=0),"",IF(COUNT(OFFSET(C$121,$BB90-1,0,$BA90,1))&gt;0,AVERAGE(OFFSET(C$121,$BB90-1,0,$BA90,1)),""))</f>
        <v/>
      </c>
      <c r="D111" s="29">
        <f>IF(OR($A90="",D$116=0),"",IF(COUNT(OFFSET(D$121,$BB90-1,0,$BA90,1))&gt;0,AVERAGE(OFFSET(D$121,$BB90-1,0,$BA90,1)),""))</f>
        <v/>
      </c>
      <c r="E111" s="29">
        <f>IF(OR($A90="",E$116=0),"",IF(COUNT(OFFSET(E$121,$BB90-1,0,$BA90,1))&gt;0,AVERAGE(OFFSET(E$121,$BB90-1,0,$BA90,1)),""))</f>
        <v/>
      </c>
      <c r="F111" s="29">
        <f>IF(OR($A90="",F$116=0),"",IF(COUNT(OFFSET(F$121,$BB90-1,0,$BA90,1))&gt;0,AVERAGE(OFFSET(F$121,$BB90-1,0,$BA90,1)),""))</f>
        <v/>
      </c>
      <c r="G111" s="29">
        <f>IF(OR($A90="",G$116=0),"",IF(COUNT(OFFSET(G$121,$BB90-1,0,$BA90,1))&gt;0,AVERAGE(OFFSET(G$121,$BB90-1,0,$BA90,1)),""))</f>
        <v/>
      </c>
      <c r="H111" s="29">
        <f>IF(OR($A90="",H$116=0),"",IF(COUNT(OFFSET(H$121,$BB90-1,0,$BA90,1))&gt;0,AVERAGE(OFFSET(H$121,$BB90-1,0,$BA90,1)),""))</f>
        <v/>
      </c>
      <c r="I111" s="29">
        <f>IF(OR($A90="",I$116=0),"",IF(COUNT(OFFSET(I$121,$BB90-1,0,$BA90,1))&gt;0,AVERAGE(OFFSET(I$121,$BB90-1,0,$BA90,1)),""))</f>
        <v/>
      </c>
      <c r="J111" s="29">
        <f>IF(OR($A90="",J$116=0),"",IF(COUNT(OFFSET(J$121,$BB90-1,0,$BA90,1))&gt;0,AVERAGE(OFFSET(J$121,$BB90-1,0,$BA90,1)),""))</f>
        <v/>
      </c>
      <c r="K111" s="29">
        <f>IF(OR($A90="",K$116=0),"",IF(COUNT(OFFSET(K$121,$BB90-1,0,$BA90,1))&gt;0,AVERAGE(OFFSET(K$121,$BB90-1,0,$BA90,1)),""))</f>
        <v/>
      </c>
      <c r="L111" s="29">
        <f>IF(OR($A90="",L$116=0),"",IF(COUNT(OFFSET(L$121,$BB90-1,0,$BA90,1))&gt;0,AVERAGE(OFFSET(L$121,$BB90-1,0,$BA90,1)),""))</f>
        <v/>
      </c>
      <c r="M111" s="29">
        <f>IF(OR($A90="",M$116=0),"",IF(COUNT(OFFSET(M$121,$BB90-1,0,$BA90,1))&gt;0,AVERAGE(OFFSET(M$121,$BB90-1,0,$BA90,1)),""))</f>
        <v/>
      </c>
      <c r="N111" s="29">
        <f>IF(OR($A90="",N$116=0),"",IF(COUNT(OFFSET(N$121,$BB90-1,0,$BA90,1))&gt;0,AVERAGE(OFFSET(N$121,$BB90-1,0,$BA90,1)),""))</f>
        <v/>
      </c>
      <c r="O111" s="29">
        <f>IF(OR($A90="",O$116=0),"",IF(COUNT(OFFSET(O$121,$BB90-1,0,$BA90,1))&gt;0,AVERAGE(OFFSET(O$121,$BB90-1,0,$BA90,1)),""))</f>
        <v/>
      </c>
      <c r="P111" s="29">
        <f>IF(OR($A90="",P$116=0),"",IF(COUNT(OFFSET(P$121,$BB90-1,0,$BA90,1))&gt;0,AVERAGE(OFFSET(P$121,$BB90-1,0,$BA90,1)),""))</f>
        <v/>
      </c>
      <c r="Q111" s="29">
        <f>IF(OR($A90="",Q$116=0),"",IF(COUNT(OFFSET(Q$121,$BB90-1,0,$BA90,1))&gt;0,AVERAGE(OFFSET(Q$121,$BB90-1,0,$BA90,1)),""))</f>
        <v/>
      </c>
      <c r="R111" s="29">
        <f>IF(OR($A90="",R$116=0),"",IF(COUNT(OFFSET(R$121,$BB90-1,0,$BA90,1))&gt;0,AVERAGE(OFFSET(R$121,$BB90-1,0,$BA90,1)),""))</f>
        <v/>
      </c>
      <c r="S111" s="29">
        <f>IF(OR($A90="",S$116=0),"",IF(COUNT(OFFSET(S$121,$BB90-1,0,$BA90,1))&gt;0,AVERAGE(OFFSET(S$121,$BB90-1,0,$BA90,1)),""))</f>
        <v/>
      </c>
      <c r="T111" s="29">
        <f>IF(OR($A90="",T$116=0),"",IF(COUNT(OFFSET(T$121,$BB90-1,0,$BA90,1))&gt;0,AVERAGE(OFFSET(T$121,$BB90-1,0,$BA90,1)),""))</f>
        <v/>
      </c>
      <c r="U111" s="29">
        <f>IF(OR($A90="",U$116=0),"",IF(COUNT(OFFSET(U$121,$BB90-1,0,$BA90,1))&gt;0,AVERAGE(OFFSET(U$121,$BB90-1,0,$BA90,1)),""))</f>
        <v/>
      </c>
      <c r="V111" s="29">
        <f>IF(OR($A90="",V$116=0),"",IF(COUNT(OFFSET(V$121,$BB90-1,0,$BA90,1))&gt;0,AVERAGE(OFFSET(V$121,$BB90-1,0,$BA90,1)),""))</f>
        <v/>
      </c>
      <c r="W111" s="29">
        <f>IF(OR($A90="",W$116=0),"",IF(COUNT(OFFSET(W$121,$BB90-1,0,$BA90,1))&gt;0,AVERAGE(OFFSET(W$121,$BB90-1,0,$BA90,1)),""))</f>
        <v/>
      </c>
      <c r="X111" s="29">
        <f>IF(OR($A90="",X$116=0),"",IF(COUNT(OFFSET(X$121,$BB90-1,0,$BA90,1))&gt;0,AVERAGE(OFFSET(X$121,$BB90-1,0,$BA90,1)),""))</f>
        <v/>
      </c>
      <c r="Y111" s="29">
        <f>IF(OR($A90="",Y$116=0),"",IF(COUNT(OFFSET(Y$121,$BB90-1,0,$BA90,1))&gt;0,AVERAGE(OFFSET(Y$121,$BB90-1,0,$BA90,1)),""))</f>
        <v/>
      </c>
      <c r="Z111" s="29">
        <f>IF(OR($A90="",Z$116=0),"",IF(COUNT(OFFSET(Z$121,$BB90-1,0,$BA90,1))&gt;0,AVERAGE(OFFSET(Z$121,$BB90-1,0,$BA90,1)),""))</f>
        <v/>
      </c>
      <c r="AA111" s="29">
        <f>IF(OR($A90="",AA$116=0),"",IF(COUNT(OFFSET(AA$121,$BB90-1,0,$BA90,1))&gt;0,AVERAGE(OFFSET(AA$121,$BB90-1,0,$BA90,1)),""))</f>
        <v/>
      </c>
      <c r="AB111" s="29">
        <f>IF(OR($A90="",AB$116=0),"",IF(COUNT(OFFSET(AB$121,$BB90-1,0,$BA90,1))&gt;0,AVERAGE(OFFSET(AB$121,$BB90-1,0,$BA90,1)),""))</f>
        <v/>
      </c>
      <c r="AC111" s="29">
        <f>IF(OR($A90="",AC$116=0),"",IF(COUNT(OFFSET(AC$121,$BB90-1,0,$BA90,1))&gt;0,AVERAGE(OFFSET(AC$121,$BB90-1,0,$BA90,1)),""))</f>
        <v/>
      </c>
      <c r="AD111" s="29">
        <f>IF(OR($A90="",AD$116=0),"",IF(COUNT(OFFSET(AD$121,$BB90-1,0,$BA90,1))&gt;0,AVERAGE(OFFSET(AD$121,$BB90-1,0,$BA90,1)),""))</f>
        <v/>
      </c>
      <c r="AE111" s="29">
        <f>IF(OR($A90="",AE$116=0),"",IF(COUNT(OFFSET(AE$121,$BB90-1,0,$BA90,1))&gt;0,AVERAGE(OFFSET(AE$121,$BB90-1,0,$BA90,1)),""))</f>
        <v/>
      </c>
      <c r="AF111" s="29">
        <f>IF(OR($A90="",AF$116=0),"",IF(COUNT(OFFSET(AF$121,$BB90-1,0,$BA90,1))&gt;0,AVERAGE(OFFSET(AF$121,$BB90-1,0,$BA90,1)),""))</f>
        <v/>
      </c>
      <c r="AG111" s="29">
        <f>IF(OR($A90="",AG$116=0),"",IF(COUNT(OFFSET(AG$121,$BB90-1,0,$BA90,1))&gt;0,AVERAGE(OFFSET(AG$121,$BB90-1,0,$BA90,1)),""))</f>
        <v/>
      </c>
      <c r="AH111" s="29">
        <f>IF(OR($A90="",AH$116=0),"",IF(COUNT(OFFSET(AH$121,$BB90-1,0,$BA90,1))&gt;0,AVERAGE(OFFSET(AH$121,$BB90-1,0,$BA90,1)),""))</f>
        <v/>
      </c>
      <c r="AI111" s="29">
        <f>IF(OR($A90="",AI$116=0),"",IF(COUNT(OFFSET(AI$121,$BB90-1,0,$BA90,1))&gt;0,AVERAGE(OFFSET(AI$121,$BB90-1,0,$BA90,1)),""))</f>
        <v/>
      </c>
      <c r="AJ111" s="29">
        <f>IF(OR($A90="",AJ$116=0),"",IF(COUNT(OFFSET(AJ$121,$BB90-1,0,$BA90,1))&gt;0,AVERAGE(OFFSET(AJ$121,$BB90-1,0,$BA90,1)),""))</f>
        <v/>
      </c>
      <c r="AK111" s="29">
        <f>IF(OR($A90="",AK$116=0),"",IF(COUNT(OFFSET(AK$121,$BB90-1,0,$BA90,1))&gt;0,AVERAGE(OFFSET(AK$121,$BB90-1,0,$BA90,1)),""))</f>
        <v/>
      </c>
      <c r="AL111" s="29">
        <f>IF(OR($A90="",AL$116=0),"",IF(COUNT(OFFSET(AL$121,$BB90-1,0,$BA90,1))&gt;0,AVERAGE(OFFSET(AL$121,$BB90-1,0,$BA90,1)),""))</f>
        <v/>
      </c>
      <c r="AM111" s="29">
        <f>IF(OR($A90="",AM$116=0),"",IF(COUNT(OFFSET(AM$121,$BB90-1,0,$BA90,1))&gt;0,AVERAGE(OFFSET(AM$121,$BB90-1,0,$BA90,1)),""))</f>
        <v/>
      </c>
      <c r="AN111" s="29">
        <f>IF(OR($A90="",AN$116=0),"",IF(COUNT(OFFSET(AN$121,$BB90-1,0,$BA90,1))&gt;0,AVERAGE(OFFSET(AN$121,$BB90-1,0,$BA90,1)),""))</f>
        <v/>
      </c>
      <c r="AO111" s="29">
        <f>IF(OR($A90="",AO$116=0),"",IF(COUNT(OFFSET(AO$121,$BB90-1,0,$BA90,1))&gt;0,AVERAGE(OFFSET(AO$121,$BB90-1,0,$BA90,1)),""))</f>
        <v/>
      </c>
      <c r="AP111" s="29">
        <f>IF(OR($A90="",AP$116=0),"",IF(COUNT(OFFSET(AP$121,$BB90-1,0,$BA90,1))&gt;0,AVERAGE(OFFSET(AP$121,$BB90-1,0,$BA90,1)),""))</f>
        <v/>
      </c>
      <c r="AQ111" s="29">
        <f>IF(OR($A90="",AQ$116=0),"",IF(COUNT(OFFSET(AQ$121,$BB90-1,0,$BA90,1))&gt;0,AVERAGE(OFFSET(AQ$121,$BB90-1,0,$BA90,1)),""))</f>
        <v/>
      </c>
      <c r="AR111" s="29">
        <f>IF(OR($A90="",AR$116=0),"",IF(COUNT(OFFSET(AR$121,$BB90-1,0,$BA90,1))&gt;0,AVERAGE(OFFSET(AR$121,$BB90-1,0,$BA90,1)),""))</f>
        <v/>
      </c>
      <c r="AS111" s="29">
        <f>IF(OR($A90="",AS$116=0),"",IF(COUNT(OFFSET(AS$121,$BB90-1,0,$BA90,1))&gt;0,AVERAGE(OFFSET(AS$121,$BB90-1,0,$BA90,1)),""))</f>
        <v/>
      </c>
      <c r="AT111" s="29">
        <f>IF(OR($A90="",AT$116=0),"",IF(COUNT(OFFSET(AT$121,$BB90-1,0,$BA90,1))&gt;0,AVERAGE(OFFSET(AT$121,$BB90-1,0,$BA90,1)),""))</f>
        <v/>
      </c>
      <c r="AU111" s="29">
        <f>IF(OR($A90="",AU$116=0),"",IF(COUNT(OFFSET(AU$121,$BB90-1,0,$BA90,1))&gt;0,AVERAGE(OFFSET(AU$121,$BB90-1,0,$BA90,1)),""))</f>
        <v/>
      </c>
      <c r="AV111" s="29">
        <f>IF(OR($A90="",AV$116=0),"",IF(COUNT(OFFSET(AV$121,$BB90-1,0,$BA90,1))&gt;0,AVERAGE(OFFSET(AV$121,$BB90-1,0,$BA90,1)),""))</f>
        <v/>
      </c>
      <c r="AW111" s="29">
        <f>IF(OR($A90="",AW$116=0),"",IF(COUNT(OFFSET(AW$121,$BB90-1,0,$BA90,1))&gt;0,AVERAGE(OFFSET(AW$121,$BB90-1,0,$BA90,1)),""))</f>
        <v/>
      </c>
      <c r="AX111" s="29">
        <f>IF(OR($A90="",AX$116=0),"",IF(COUNT(OFFSET(AX$121,$BB90-1,0,$BA90,1))&gt;0,AVERAGE(OFFSET(AX$121,$BB90-1,0,$BA90,1)),""))</f>
        <v/>
      </c>
      <c r="AY111" s="29">
        <f>IF(OR($A90="",AY$116=0),"",IF(COUNT(OFFSET(AY$121,$BB90-1,0,$BA90,1))&gt;0,AVERAGE(OFFSET(AY$121,$BB90-1,0,$BA90,1)),""))</f>
        <v/>
      </c>
      <c r="AZ111" s="29">
        <f>IF($A90="","",AVERAGE(OFFSET($B$121,$BB90-1,0,$BA90,50)))</f>
        <v/>
      </c>
    </row>
    <row r="112">
      <c r="A112" s="13">
        <f>A91</f>
        <v/>
      </c>
      <c r="B112" s="29">
        <f>IF(OR($A91="",B$116=0),"",IF(COUNT(OFFSET(B$121,$BB91-1,0,$BA91,1))&gt;0,AVERAGE(OFFSET(B$121,$BB91-1,0,$BA91,1)),""))</f>
        <v/>
      </c>
      <c r="C112" s="29">
        <f>IF(OR($A91="",C$116=0),"",IF(COUNT(OFFSET(C$121,$BB91-1,0,$BA91,1))&gt;0,AVERAGE(OFFSET(C$121,$BB91-1,0,$BA91,1)),""))</f>
        <v/>
      </c>
      <c r="D112" s="29">
        <f>IF(OR($A91="",D$116=0),"",IF(COUNT(OFFSET(D$121,$BB91-1,0,$BA91,1))&gt;0,AVERAGE(OFFSET(D$121,$BB91-1,0,$BA91,1)),""))</f>
        <v/>
      </c>
      <c r="E112" s="29">
        <f>IF(OR($A91="",E$116=0),"",IF(COUNT(OFFSET(E$121,$BB91-1,0,$BA91,1))&gt;0,AVERAGE(OFFSET(E$121,$BB91-1,0,$BA91,1)),""))</f>
        <v/>
      </c>
      <c r="F112" s="29">
        <f>IF(OR($A91="",F$116=0),"",IF(COUNT(OFFSET(F$121,$BB91-1,0,$BA91,1))&gt;0,AVERAGE(OFFSET(F$121,$BB91-1,0,$BA91,1)),""))</f>
        <v/>
      </c>
      <c r="G112" s="29">
        <f>IF(OR($A91="",G$116=0),"",IF(COUNT(OFFSET(G$121,$BB91-1,0,$BA91,1))&gt;0,AVERAGE(OFFSET(G$121,$BB91-1,0,$BA91,1)),""))</f>
        <v/>
      </c>
      <c r="H112" s="29">
        <f>IF(OR($A91="",H$116=0),"",IF(COUNT(OFFSET(H$121,$BB91-1,0,$BA91,1))&gt;0,AVERAGE(OFFSET(H$121,$BB91-1,0,$BA91,1)),""))</f>
        <v/>
      </c>
      <c r="I112" s="29">
        <f>IF(OR($A91="",I$116=0),"",IF(COUNT(OFFSET(I$121,$BB91-1,0,$BA91,1))&gt;0,AVERAGE(OFFSET(I$121,$BB91-1,0,$BA91,1)),""))</f>
        <v/>
      </c>
      <c r="J112" s="29">
        <f>IF(OR($A91="",J$116=0),"",IF(COUNT(OFFSET(J$121,$BB91-1,0,$BA91,1))&gt;0,AVERAGE(OFFSET(J$121,$BB91-1,0,$BA91,1)),""))</f>
        <v/>
      </c>
      <c r="K112" s="29">
        <f>IF(OR($A91="",K$116=0),"",IF(COUNT(OFFSET(K$121,$BB91-1,0,$BA91,1))&gt;0,AVERAGE(OFFSET(K$121,$BB91-1,0,$BA91,1)),""))</f>
        <v/>
      </c>
      <c r="L112" s="29">
        <f>IF(OR($A91="",L$116=0),"",IF(COUNT(OFFSET(L$121,$BB91-1,0,$BA91,1))&gt;0,AVERAGE(OFFSET(L$121,$BB91-1,0,$BA91,1)),""))</f>
        <v/>
      </c>
      <c r="M112" s="29">
        <f>IF(OR($A91="",M$116=0),"",IF(COUNT(OFFSET(M$121,$BB91-1,0,$BA91,1))&gt;0,AVERAGE(OFFSET(M$121,$BB91-1,0,$BA91,1)),""))</f>
        <v/>
      </c>
      <c r="N112" s="29">
        <f>IF(OR($A91="",N$116=0),"",IF(COUNT(OFFSET(N$121,$BB91-1,0,$BA91,1))&gt;0,AVERAGE(OFFSET(N$121,$BB91-1,0,$BA91,1)),""))</f>
        <v/>
      </c>
      <c r="O112" s="29">
        <f>IF(OR($A91="",O$116=0),"",IF(COUNT(OFFSET(O$121,$BB91-1,0,$BA91,1))&gt;0,AVERAGE(OFFSET(O$121,$BB91-1,0,$BA91,1)),""))</f>
        <v/>
      </c>
      <c r="P112" s="29">
        <f>IF(OR($A91="",P$116=0),"",IF(COUNT(OFFSET(P$121,$BB91-1,0,$BA91,1))&gt;0,AVERAGE(OFFSET(P$121,$BB91-1,0,$BA91,1)),""))</f>
        <v/>
      </c>
      <c r="Q112" s="29">
        <f>IF(OR($A91="",Q$116=0),"",IF(COUNT(OFFSET(Q$121,$BB91-1,0,$BA91,1))&gt;0,AVERAGE(OFFSET(Q$121,$BB91-1,0,$BA91,1)),""))</f>
        <v/>
      </c>
      <c r="R112" s="29">
        <f>IF(OR($A91="",R$116=0),"",IF(COUNT(OFFSET(R$121,$BB91-1,0,$BA91,1))&gt;0,AVERAGE(OFFSET(R$121,$BB91-1,0,$BA91,1)),""))</f>
        <v/>
      </c>
      <c r="S112" s="29">
        <f>IF(OR($A91="",S$116=0),"",IF(COUNT(OFFSET(S$121,$BB91-1,0,$BA91,1))&gt;0,AVERAGE(OFFSET(S$121,$BB91-1,0,$BA91,1)),""))</f>
        <v/>
      </c>
      <c r="T112" s="29">
        <f>IF(OR($A91="",T$116=0),"",IF(COUNT(OFFSET(T$121,$BB91-1,0,$BA91,1))&gt;0,AVERAGE(OFFSET(T$121,$BB91-1,0,$BA91,1)),""))</f>
        <v/>
      </c>
      <c r="U112" s="29">
        <f>IF(OR($A91="",U$116=0),"",IF(COUNT(OFFSET(U$121,$BB91-1,0,$BA91,1))&gt;0,AVERAGE(OFFSET(U$121,$BB91-1,0,$BA91,1)),""))</f>
        <v/>
      </c>
      <c r="V112" s="29">
        <f>IF(OR($A91="",V$116=0),"",IF(COUNT(OFFSET(V$121,$BB91-1,0,$BA91,1))&gt;0,AVERAGE(OFFSET(V$121,$BB91-1,0,$BA91,1)),""))</f>
        <v/>
      </c>
      <c r="W112" s="29">
        <f>IF(OR($A91="",W$116=0),"",IF(COUNT(OFFSET(W$121,$BB91-1,0,$BA91,1))&gt;0,AVERAGE(OFFSET(W$121,$BB91-1,0,$BA91,1)),""))</f>
        <v/>
      </c>
      <c r="X112" s="29">
        <f>IF(OR($A91="",X$116=0),"",IF(COUNT(OFFSET(X$121,$BB91-1,0,$BA91,1))&gt;0,AVERAGE(OFFSET(X$121,$BB91-1,0,$BA91,1)),""))</f>
        <v/>
      </c>
      <c r="Y112" s="29">
        <f>IF(OR($A91="",Y$116=0),"",IF(COUNT(OFFSET(Y$121,$BB91-1,0,$BA91,1))&gt;0,AVERAGE(OFFSET(Y$121,$BB91-1,0,$BA91,1)),""))</f>
        <v/>
      </c>
      <c r="Z112" s="29">
        <f>IF(OR($A91="",Z$116=0),"",IF(COUNT(OFFSET(Z$121,$BB91-1,0,$BA91,1))&gt;0,AVERAGE(OFFSET(Z$121,$BB91-1,0,$BA91,1)),""))</f>
        <v/>
      </c>
      <c r="AA112" s="29">
        <f>IF(OR($A91="",AA$116=0),"",IF(COUNT(OFFSET(AA$121,$BB91-1,0,$BA91,1))&gt;0,AVERAGE(OFFSET(AA$121,$BB91-1,0,$BA91,1)),""))</f>
        <v/>
      </c>
      <c r="AB112" s="29">
        <f>IF(OR($A91="",AB$116=0),"",IF(COUNT(OFFSET(AB$121,$BB91-1,0,$BA91,1))&gt;0,AVERAGE(OFFSET(AB$121,$BB91-1,0,$BA91,1)),""))</f>
        <v/>
      </c>
      <c r="AC112" s="29">
        <f>IF(OR($A91="",AC$116=0),"",IF(COUNT(OFFSET(AC$121,$BB91-1,0,$BA91,1))&gt;0,AVERAGE(OFFSET(AC$121,$BB91-1,0,$BA91,1)),""))</f>
        <v/>
      </c>
      <c r="AD112" s="29">
        <f>IF(OR($A91="",AD$116=0),"",IF(COUNT(OFFSET(AD$121,$BB91-1,0,$BA91,1))&gt;0,AVERAGE(OFFSET(AD$121,$BB91-1,0,$BA91,1)),""))</f>
        <v/>
      </c>
      <c r="AE112" s="29">
        <f>IF(OR($A91="",AE$116=0),"",IF(COUNT(OFFSET(AE$121,$BB91-1,0,$BA91,1))&gt;0,AVERAGE(OFFSET(AE$121,$BB91-1,0,$BA91,1)),""))</f>
        <v/>
      </c>
      <c r="AF112" s="29">
        <f>IF(OR($A91="",AF$116=0),"",IF(COUNT(OFFSET(AF$121,$BB91-1,0,$BA91,1))&gt;0,AVERAGE(OFFSET(AF$121,$BB91-1,0,$BA91,1)),""))</f>
        <v/>
      </c>
      <c r="AG112" s="29">
        <f>IF(OR($A91="",AG$116=0),"",IF(COUNT(OFFSET(AG$121,$BB91-1,0,$BA91,1))&gt;0,AVERAGE(OFFSET(AG$121,$BB91-1,0,$BA91,1)),""))</f>
        <v/>
      </c>
      <c r="AH112" s="29">
        <f>IF(OR($A91="",AH$116=0),"",IF(COUNT(OFFSET(AH$121,$BB91-1,0,$BA91,1))&gt;0,AVERAGE(OFFSET(AH$121,$BB91-1,0,$BA91,1)),""))</f>
        <v/>
      </c>
      <c r="AI112" s="29">
        <f>IF(OR($A91="",AI$116=0),"",IF(COUNT(OFFSET(AI$121,$BB91-1,0,$BA91,1))&gt;0,AVERAGE(OFFSET(AI$121,$BB91-1,0,$BA91,1)),""))</f>
        <v/>
      </c>
      <c r="AJ112" s="29">
        <f>IF(OR($A91="",AJ$116=0),"",IF(COUNT(OFFSET(AJ$121,$BB91-1,0,$BA91,1))&gt;0,AVERAGE(OFFSET(AJ$121,$BB91-1,0,$BA91,1)),""))</f>
        <v/>
      </c>
      <c r="AK112" s="29">
        <f>IF(OR($A91="",AK$116=0),"",IF(COUNT(OFFSET(AK$121,$BB91-1,0,$BA91,1))&gt;0,AVERAGE(OFFSET(AK$121,$BB91-1,0,$BA91,1)),""))</f>
        <v/>
      </c>
      <c r="AL112" s="29">
        <f>IF(OR($A91="",AL$116=0),"",IF(COUNT(OFFSET(AL$121,$BB91-1,0,$BA91,1))&gt;0,AVERAGE(OFFSET(AL$121,$BB91-1,0,$BA91,1)),""))</f>
        <v/>
      </c>
      <c r="AM112" s="29">
        <f>IF(OR($A91="",AM$116=0),"",IF(COUNT(OFFSET(AM$121,$BB91-1,0,$BA91,1))&gt;0,AVERAGE(OFFSET(AM$121,$BB91-1,0,$BA91,1)),""))</f>
        <v/>
      </c>
      <c r="AN112" s="29">
        <f>IF(OR($A91="",AN$116=0),"",IF(COUNT(OFFSET(AN$121,$BB91-1,0,$BA91,1))&gt;0,AVERAGE(OFFSET(AN$121,$BB91-1,0,$BA91,1)),""))</f>
        <v/>
      </c>
      <c r="AO112" s="29">
        <f>IF(OR($A91="",AO$116=0),"",IF(COUNT(OFFSET(AO$121,$BB91-1,0,$BA91,1))&gt;0,AVERAGE(OFFSET(AO$121,$BB91-1,0,$BA91,1)),""))</f>
        <v/>
      </c>
      <c r="AP112" s="29">
        <f>IF(OR($A91="",AP$116=0),"",IF(COUNT(OFFSET(AP$121,$BB91-1,0,$BA91,1))&gt;0,AVERAGE(OFFSET(AP$121,$BB91-1,0,$BA91,1)),""))</f>
        <v/>
      </c>
      <c r="AQ112" s="29">
        <f>IF(OR($A91="",AQ$116=0),"",IF(COUNT(OFFSET(AQ$121,$BB91-1,0,$BA91,1))&gt;0,AVERAGE(OFFSET(AQ$121,$BB91-1,0,$BA91,1)),""))</f>
        <v/>
      </c>
      <c r="AR112" s="29">
        <f>IF(OR($A91="",AR$116=0),"",IF(COUNT(OFFSET(AR$121,$BB91-1,0,$BA91,1))&gt;0,AVERAGE(OFFSET(AR$121,$BB91-1,0,$BA91,1)),""))</f>
        <v/>
      </c>
      <c r="AS112" s="29">
        <f>IF(OR($A91="",AS$116=0),"",IF(COUNT(OFFSET(AS$121,$BB91-1,0,$BA91,1))&gt;0,AVERAGE(OFFSET(AS$121,$BB91-1,0,$BA91,1)),""))</f>
        <v/>
      </c>
      <c r="AT112" s="29">
        <f>IF(OR($A91="",AT$116=0),"",IF(COUNT(OFFSET(AT$121,$BB91-1,0,$BA91,1))&gt;0,AVERAGE(OFFSET(AT$121,$BB91-1,0,$BA91,1)),""))</f>
        <v/>
      </c>
      <c r="AU112" s="29">
        <f>IF(OR($A91="",AU$116=0),"",IF(COUNT(OFFSET(AU$121,$BB91-1,0,$BA91,1))&gt;0,AVERAGE(OFFSET(AU$121,$BB91-1,0,$BA91,1)),""))</f>
        <v/>
      </c>
      <c r="AV112" s="29">
        <f>IF(OR($A91="",AV$116=0),"",IF(COUNT(OFFSET(AV$121,$BB91-1,0,$BA91,1))&gt;0,AVERAGE(OFFSET(AV$121,$BB91-1,0,$BA91,1)),""))</f>
        <v/>
      </c>
      <c r="AW112" s="29">
        <f>IF(OR($A91="",AW$116=0),"",IF(COUNT(OFFSET(AW$121,$BB91-1,0,$BA91,1))&gt;0,AVERAGE(OFFSET(AW$121,$BB91-1,0,$BA91,1)),""))</f>
        <v/>
      </c>
      <c r="AX112" s="29">
        <f>IF(OR($A91="",AX$116=0),"",IF(COUNT(OFFSET(AX$121,$BB91-1,0,$BA91,1))&gt;0,AVERAGE(OFFSET(AX$121,$BB91-1,0,$BA91,1)),""))</f>
        <v/>
      </c>
      <c r="AY112" s="29">
        <f>IF(OR($A91="",AY$116=0),"",IF(COUNT(OFFSET(AY$121,$BB91-1,0,$BA91,1))&gt;0,AVERAGE(OFFSET(AY$121,$BB91-1,0,$BA91,1)),""))</f>
        <v/>
      </c>
      <c r="AZ112" s="29">
        <f>IF($A91="","",AVERAGE(OFFSET($B$121,$BB91-1,0,$BA91,50)))</f>
        <v/>
      </c>
    </row>
    <row r="113">
      <c r="A113" s="13">
        <f>A92</f>
        <v/>
      </c>
      <c r="B113" s="29">
        <f>IF(OR($A92="",B$116=0),"",IF(COUNT(OFFSET(B$121,$BB92-1,0,$BA92,1))&gt;0,AVERAGE(OFFSET(B$121,$BB92-1,0,$BA92,1)),""))</f>
        <v/>
      </c>
      <c r="C113" s="29">
        <f>IF(OR($A92="",C$116=0),"",IF(COUNT(OFFSET(C$121,$BB92-1,0,$BA92,1))&gt;0,AVERAGE(OFFSET(C$121,$BB92-1,0,$BA92,1)),""))</f>
        <v/>
      </c>
      <c r="D113" s="29">
        <f>IF(OR($A92="",D$116=0),"",IF(COUNT(OFFSET(D$121,$BB92-1,0,$BA92,1))&gt;0,AVERAGE(OFFSET(D$121,$BB92-1,0,$BA92,1)),""))</f>
        <v/>
      </c>
      <c r="E113" s="29">
        <f>IF(OR($A92="",E$116=0),"",IF(COUNT(OFFSET(E$121,$BB92-1,0,$BA92,1))&gt;0,AVERAGE(OFFSET(E$121,$BB92-1,0,$BA92,1)),""))</f>
        <v/>
      </c>
      <c r="F113" s="29">
        <f>IF(OR($A92="",F$116=0),"",IF(COUNT(OFFSET(F$121,$BB92-1,0,$BA92,1))&gt;0,AVERAGE(OFFSET(F$121,$BB92-1,0,$BA92,1)),""))</f>
        <v/>
      </c>
      <c r="G113" s="29">
        <f>IF(OR($A92="",G$116=0),"",IF(COUNT(OFFSET(G$121,$BB92-1,0,$BA92,1))&gt;0,AVERAGE(OFFSET(G$121,$BB92-1,0,$BA92,1)),""))</f>
        <v/>
      </c>
      <c r="H113" s="29">
        <f>IF(OR($A92="",H$116=0),"",IF(COUNT(OFFSET(H$121,$BB92-1,0,$BA92,1))&gt;0,AVERAGE(OFFSET(H$121,$BB92-1,0,$BA92,1)),""))</f>
        <v/>
      </c>
      <c r="I113" s="29">
        <f>IF(OR($A92="",I$116=0),"",IF(COUNT(OFFSET(I$121,$BB92-1,0,$BA92,1))&gt;0,AVERAGE(OFFSET(I$121,$BB92-1,0,$BA92,1)),""))</f>
        <v/>
      </c>
      <c r="J113" s="29">
        <f>IF(OR($A92="",J$116=0),"",IF(COUNT(OFFSET(J$121,$BB92-1,0,$BA92,1))&gt;0,AVERAGE(OFFSET(J$121,$BB92-1,0,$BA92,1)),""))</f>
        <v/>
      </c>
      <c r="K113" s="29">
        <f>IF(OR($A92="",K$116=0),"",IF(COUNT(OFFSET(K$121,$BB92-1,0,$BA92,1))&gt;0,AVERAGE(OFFSET(K$121,$BB92-1,0,$BA92,1)),""))</f>
        <v/>
      </c>
      <c r="L113" s="29">
        <f>IF(OR($A92="",L$116=0),"",IF(COUNT(OFFSET(L$121,$BB92-1,0,$BA92,1))&gt;0,AVERAGE(OFFSET(L$121,$BB92-1,0,$BA92,1)),""))</f>
        <v/>
      </c>
      <c r="M113" s="29">
        <f>IF(OR($A92="",M$116=0),"",IF(COUNT(OFFSET(M$121,$BB92-1,0,$BA92,1))&gt;0,AVERAGE(OFFSET(M$121,$BB92-1,0,$BA92,1)),""))</f>
        <v/>
      </c>
      <c r="N113" s="29">
        <f>IF(OR($A92="",N$116=0),"",IF(COUNT(OFFSET(N$121,$BB92-1,0,$BA92,1))&gt;0,AVERAGE(OFFSET(N$121,$BB92-1,0,$BA92,1)),""))</f>
        <v/>
      </c>
      <c r="O113" s="29">
        <f>IF(OR($A92="",O$116=0),"",IF(COUNT(OFFSET(O$121,$BB92-1,0,$BA92,1))&gt;0,AVERAGE(OFFSET(O$121,$BB92-1,0,$BA92,1)),""))</f>
        <v/>
      </c>
      <c r="P113" s="29">
        <f>IF(OR($A92="",P$116=0),"",IF(COUNT(OFFSET(P$121,$BB92-1,0,$BA92,1))&gt;0,AVERAGE(OFFSET(P$121,$BB92-1,0,$BA92,1)),""))</f>
        <v/>
      </c>
      <c r="Q113" s="29">
        <f>IF(OR($A92="",Q$116=0),"",IF(COUNT(OFFSET(Q$121,$BB92-1,0,$BA92,1))&gt;0,AVERAGE(OFFSET(Q$121,$BB92-1,0,$BA92,1)),""))</f>
        <v/>
      </c>
      <c r="R113" s="29">
        <f>IF(OR($A92="",R$116=0),"",IF(COUNT(OFFSET(R$121,$BB92-1,0,$BA92,1))&gt;0,AVERAGE(OFFSET(R$121,$BB92-1,0,$BA92,1)),""))</f>
        <v/>
      </c>
      <c r="S113" s="29">
        <f>IF(OR($A92="",S$116=0),"",IF(COUNT(OFFSET(S$121,$BB92-1,0,$BA92,1))&gt;0,AVERAGE(OFFSET(S$121,$BB92-1,0,$BA92,1)),""))</f>
        <v/>
      </c>
      <c r="T113" s="29">
        <f>IF(OR($A92="",T$116=0),"",IF(COUNT(OFFSET(T$121,$BB92-1,0,$BA92,1))&gt;0,AVERAGE(OFFSET(T$121,$BB92-1,0,$BA92,1)),""))</f>
        <v/>
      </c>
      <c r="U113" s="29">
        <f>IF(OR($A92="",U$116=0),"",IF(COUNT(OFFSET(U$121,$BB92-1,0,$BA92,1))&gt;0,AVERAGE(OFFSET(U$121,$BB92-1,0,$BA92,1)),""))</f>
        <v/>
      </c>
      <c r="V113" s="29">
        <f>IF(OR($A92="",V$116=0),"",IF(COUNT(OFFSET(V$121,$BB92-1,0,$BA92,1))&gt;0,AVERAGE(OFFSET(V$121,$BB92-1,0,$BA92,1)),""))</f>
        <v/>
      </c>
      <c r="W113" s="29">
        <f>IF(OR($A92="",W$116=0),"",IF(COUNT(OFFSET(W$121,$BB92-1,0,$BA92,1))&gt;0,AVERAGE(OFFSET(W$121,$BB92-1,0,$BA92,1)),""))</f>
        <v/>
      </c>
      <c r="X113" s="29">
        <f>IF(OR($A92="",X$116=0),"",IF(COUNT(OFFSET(X$121,$BB92-1,0,$BA92,1))&gt;0,AVERAGE(OFFSET(X$121,$BB92-1,0,$BA92,1)),""))</f>
        <v/>
      </c>
      <c r="Y113" s="29">
        <f>IF(OR($A92="",Y$116=0),"",IF(COUNT(OFFSET(Y$121,$BB92-1,0,$BA92,1))&gt;0,AVERAGE(OFFSET(Y$121,$BB92-1,0,$BA92,1)),""))</f>
        <v/>
      </c>
      <c r="Z113" s="29">
        <f>IF(OR($A92="",Z$116=0),"",IF(COUNT(OFFSET(Z$121,$BB92-1,0,$BA92,1))&gt;0,AVERAGE(OFFSET(Z$121,$BB92-1,0,$BA92,1)),""))</f>
        <v/>
      </c>
      <c r="AA113" s="29">
        <f>IF(OR($A92="",AA$116=0),"",IF(COUNT(OFFSET(AA$121,$BB92-1,0,$BA92,1))&gt;0,AVERAGE(OFFSET(AA$121,$BB92-1,0,$BA92,1)),""))</f>
        <v/>
      </c>
      <c r="AB113" s="29">
        <f>IF(OR($A92="",AB$116=0),"",IF(COUNT(OFFSET(AB$121,$BB92-1,0,$BA92,1))&gt;0,AVERAGE(OFFSET(AB$121,$BB92-1,0,$BA92,1)),""))</f>
        <v/>
      </c>
      <c r="AC113" s="29">
        <f>IF(OR($A92="",AC$116=0),"",IF(COUNT(OFFSET(AC$121,$BB92-1,0,$BA92,1))&gt;0,AVERAGE(OFFSET(AC$121,$BB92-1,0,$BA92,1)),""))</f>
        <v/>
      </c>
      <c r="AD113" s="29">
        <f>IF(OR($A92="",AD$116=0),"",IF(COUNT(OFFSET(AD$121,$BB92-1,0,$BA92,1))&gt;0,AVERAGE(OFFSET(AD$121,$BB92-1,0,$BA92,1)),""))</f>
        <v/>
      </c>
      <c r="AE113" s="29">
        <f>IF(OR($A92="",AE$116=0),"",IF(COUNT(OFFSET(AE$121,$BB92-1,0,$BA92,1))&gt;0,AVERAGE(OFFSET(AE$121,$BB92-1,0,$BA92,1)),""))</f>
        <v/>
      </c>
      <c r="AF113" s="29">
        <f>IF(OR($A92="",AF$116=0),"",IF(COUNT(OFFSET(AF$121,$BB92-1,0,$BA92,1))&gt;0,AVERAGE(OFFSET(AF$121,$BB92-1,0,$BA92,1)),""))</f>
        <v/>
      </c>
      <c r="AG113" s="29">
        <f>IF(OR($A92="",AG$116=0),"",IF(COUNT(OFFSET(AG$121,$BB92-1,0,$BA92,1))&gt;0,AVERAGE(OFFSET(AG$121,$BB92-1,0,$BA92,1)),""))</f>
        <v/>
      </c>
      <c r="AH113" s="29">
        <f>IF(OR($A92="",AH$116=0),"",IF(COUNT(OFFSET(AH$121,$BB92-1,0,$BA92,1))&gt;0,AVERAGE(OFFSET(AH$121,$BB92-1,0,$BA92,1)),""))</f>
        <v/>
      </c>
      <c r="AI113" s="29">
        <f>IF(OR($A92="",AI$116=0),"",IF(COUNT(OFFSET(AI$121,$BB92-1,0,$BA92,1))&gt;0,AVERAGE(OFFSET(AI$121,$BB92-1,0,$BA92,1)),""))</f>
        <v/>
      </c>
      <c r="AJ113" s="29">
        <f>IF(OR($A92="",AJ$116=0),"",IF(COUNT(OFFSET(AJ$121,$BB92-1,0,$BA92,1))&gt;0,AVERAGE(OFFSET(AJ$121,$BB92-1,0,$BA92,1)),""))</f>
        <v/>
      </c>
      <c r="AK113" s="29">
        <f>IF(OR($A92="",AK$116=0),"",IF(COUNT(OFFSET(AK$121,$BB92-1,0,$BA92,1))&gt;0,AVERAGE(OFFSET(AK$121,$BB92-1,0,$BA92,1)),""))</f>
        <v/>
      </c>
      <c r="AL113" s="29">
        <f>IF(OR($A92="",AL$116=0),"",IF(COUNT(OFFSET(AL$121,$BB92-1,0,$BA92,1))&gt;0,AVERAGE(OFFSET(AL$121,$BB92-1,0,$BA92,1)),""))</f>
        <v/>
      </c>
      <c r="AM113" s="29">
        <f>IF(OR($A92="",AM$116=0),"",IF(COUNT(OFFSET(AM$121,$BB92-1,0,$BA92,1))&gt;0,AVERAGE(OFFSET(AM$121,$BB92-1,0,$BA92,1)),""))</f>
        <v/>
      </c>
      <c r="AN113" s="29">
        <f>IF(OR($A92="",AN$116=0),"",IF(COUNT(OFFSET(AN$121,$BB92-1,0,$BA92,1))&gt;0,AVERAGE(OFFSET(AN$121,$BB92-1,0,$BA92,1)),""))</f>
        <v/>
      </c>
      <c r="AO113" s="29">
        <f>IF(OR($A92="",AO$116=0),"",IF(COUNT(OFFSET(AO$121,$BB92-1,0,$BA92,1))&gt;0,AVERAGE(OFFSET(AO$121,$BB92-1,0,$BA92,1)),""))</f>
        <v/>
      </c>
      <c r="AP113" s="29">
        <f>IF(OR($A92="",AP$116=0),"",IF(COUNT(OFFSET(AP$121,$BB92-1,0,$BA92,1))&gt;0,AVERAGE(OFFSET(AP$121,$BB92-1,0,$BA92,1)),""))</f>
        <v/>
      </c>
      <c r="AQ113" s="29">
        <f>IF(OR($A92="",AQ$116=0),"",IF(COUNT(OFFSET(AQ$121,$BB92-1,0,$BA92,1))&gt;0,AVERAGE(OFFSET(AQ$121,$BB92-1,0,$BA92,1)),""))</f>
        <v/>
      </c>
      <c r="AR113" s="29">
        <f>IF(OR($A92="",AR$116=0),"",IF(COUNT(OFFSET(AR$121,$BB92-1,0,$BA92,1))&gt;0,AVERAGE(OFFSET(AR$121,$BB92-1,0,$BA92,1)),""))</f>
        <v/>
      </c>
      <c r="AS113" s="29">
        <f>IF(OR($A92="",AS$116=0),"",IF(COUNT(OFFSET(AS$121,$BB92-1,0,$BA92,1))&gt;0,AVERAGE(OFFSET(AS$121,$BB92-1,0,$BA92,1)),""))</f>
        <v/>
      </c>
      <c r="AT113" s="29">
        <f>IF(OR($A92="",AT$116=0),"",IF(COUNT(OFFSET(AT$121,$BB92-1,0,$BA92,1))&gt;0,AVERAGE(OFFSET(AT$121,$BB92-1,0,$BA92,1)),""))</f>
        <v/>
      </c>
      <c r="AU113" s="29">
        <f>IF(OR($A92="",AU$116=0),"",IF(COUNT(OFFSET(AU$121,$BB92-1,0,$BA92,1))&gt;0,AVERAGE(OFFSET(AU$121,$BB92-1,0,$BA92,1)),""))</f>
        <v/>
      </c>
      <c r="AV113" s="29">
        <f>IF(OR($A92="",AV$116=0),"",IF(COUNT(OFFSET(AV$121,$BB92-1,0,$BA92,1))&gt;0,AVERAGE(OFFSET(AV$121,$BB92-1,0,$BA92,1)),""))</f>
        <v/>
      </c>
      <c r="AW113" s="29">
        <f>IF(OR($A92="",AW$116=0),"",IF(COUNT(OFFSET(AW$121,$BB92-1,0,$BA92,1))&gt;0,AVERAGE(OFFSET(AW$121,$BB92-1,0,$BA92,1)),""))</f>
        <v/>
      </c>
      <c r="AX113" s="29">
        <f>IF(OR($A92="",AX$116=0),"",IF(COUNT(OFFSET(AX$121,$BB92-1,0,$BA92,1))&gt;0,AVERAGE(OFFSET(AX$121,$BB92-1,0,$BA92,1)),""))</f>
        <v/>
      </c>
      <c r="AY113" s="29">
        <f>IF(OR($A92="",AY$116=0),"",IF(COUNT(OFFSET(AY$121,$BB92-1,0,$BA92,1))&gt;0,AVERAGE(OFFSET(AY$121,$BB92-1,0,$BA92,1)),""))</f>
        <v/>
      </c>
      <c r="AZ113" s="29">
        <f>IF($A92="","",AVERAGE(OFFSET($B$121,$BB92-1,0,$BA92,50)))</f>
        <v/>
      </c>
    </row>
    <row r="114">
      <c r="A114" s="13">
        <f>A93</f>
        <v/>
      </c>
      <c r="B114" s="29">
        <f>IF(OR($A93="",B$116=0),"",IF(COUNT(OFFSET(B$121,$BB93-1,0,$BA93,1))&gt;0,AVERAGE(OFFSET(B$121,$BB93-1,0,$BA93,1)),""))</f>
        <v/>
      </c>
      <c r="C114" s="29">
        <f>IF(OR($A93="",C$116=0),"",IF(COUNT(OFFSET(C$121,$BB93-1,0,$BA93,1))&gt;0,AVERAGE(OFFSET(C$121,$BB93-1,0,$BA93,1)),""))</f>
        <v/>
      </c>
      <c r="D114" s="29">
        <f>IF(OR($A93="",D$116=0),"",IF(COUNT(OFFSET(D$121,$BB93-1,0,$BA93,1))&gt;0,AVERAGE(OFFSET(D$121,$BB93-1,0,$BA93,1)),""))</f>
        <v/>
      </c>
      <c r="E114" s="29">
        <f>IF(OR($A93="",E$116=0),"",IF(COUNT(OFFSET(E$121,$BB93-1,0,$BA93,1))&gt;0,AVERAGE(OFFSET(E$121,$BB93-1,0,$BA93,1)),""))</f>
        <v/>
      </c>
      <c r="F114" s="29">
        <f>IF(OR($A93="",F$116=0),"",IF(COUNT(OFFSET(F$121,$BB93-1,0,$BA93,1))&gt;0,AVERAGE(OFFSET(F$121,$BB93-1,0,$BA93,1)),""))</f>
        <v/>
      </c>
      <c r="G114" s="29">
        <f>IF(OR($A93="",G$116=0),"",IF(COUNT(OFFSET(G$121,$BB93-1,0,$BA93,1))&gt;0,AVERAGE(OFFSET(G$121,$BB93-1,0,$BA93,1)),""))</f>
        <v/>
      </c>
      <c r="H114" s="29">
        <f>IF(OR($A93="",H$116=0),"",IF(COUNT(OFFSET(H$121,$BB93-1,0,$BA93,1))&gt;0,AVERAGE(OFFSET(H$121,$BB93-1,0,$BA93,1)),""))</f>
        <v/>
      </c>
      <c r="I114" s="29">
        <f>IF(OR($A93="",I$116=0),"",IF(COUNT(OFFSET(I$121,$BB93-1,0,$BA93,1))&gt;0,AVERAGE(OFFSET(I$121,$BB93-1,0,$BA93,1)),""))</f>
        <v/>
      </c>
      <c r="J114" s="29">
        <f>IF(OR($A93="",J$116=0),"",IF(COUNT(OFFSET(J$121,$BB93-1,0,$BA93,1))&gt;0,AVERAGE(OFFSET(J$121,$BB93-1,0,$BA93,1)),""))</f>
        <v/>
      </c>
      <c r="K114" s="29">
        <f>IF(OR($A93="",K$116=0),"",IF(COUNT(OFFSET(K$121,$BB93-1,0,$BA93,1))&gt;0,AVERAGE(OFFSET(K$121,$BB93-1,0,$BA93,1)),""))</f>
        <v/>
      </c>
      <c r="L114" s="29">
        <f>IF(OR($A93="",L$116=0),"",IF(COUNT(OFFSET(L$121,$BB93-1,0,$BA93,1))&gt;0,AVERAGE(OFFSET(L$121,$BB93-1,0,$BA93,1)),""))</f>
        <v/>
      </c>
      <c r="M114" s="29">
        <f>IF(OR($A93="",M$116=0),"",IF(COUNT(OFFSET(M$121,$BB93-1,0,$BA93,1))&gt;0,AVERAGE(OFFSET(M$121,$BB93-1,0,$BA93,1)),""))</f>
        <v/>
      </c>
      <c r="N114" s="29">
        <f>IF(OR($A93="",N$116=0),"",IF(COUNT(OFFSET(N$121,$BB93-1,0,$BA93,1))&gt;0,AVERAGE(OFFSET(N$121,$BB93-1,0,$BA93,1)),""))</f>
        <v/>
      </c>
      <c r="O114" s="29">
        <f>IF(OR($A93="",O$116=0),"",IF(COUNT(OFFSET(O$121,$BB93-1,0,$BA93,1))&gt;0,AVERAGE(OFFSET(O$121,$BB93-1,0,$BA93,1)),""))</f>
        <v/>
      </c>
      <c r="P114" s="29">
        <f>IF(OR($A93="",P$116=0),"",IF(COUNT(OFFSET(P$121,$BB93-1,0,$BA93,1))&gt;0,AVERAGE(OFFSET(P$121,$BB93-1,0,$BA93,1)),""))</f>
        <v/>
      </c>
      <c r="Q114" s="29">
        <f>IF(OR($A93="",Q$116=0),"",IF(COUNT(OFFSET(Q$121,$BB93-1,0,$BA93,1))&gt;0,AVERAGE(OFFSET(Q$121,$BB93-1,0,$BA93,1)),""))</f>
        <v/>
      </c>
      <c r="R114" s="29">
        <f>IF(OR($A93="",R$116=0),"",IF(COUNT(OFFSET(R$121,$BB93-1,0,$BA93,1))&gt;0,AVERAGE(OFFSET(R$121,$BB93-1,0,$BA93,1)),""))</f>
        <v/>
      </c>
      <c r="S114" s="29">
        <f>IF(OR($A93="",S$116=0),"",IF(COUNT(OFFSET(S$121,$BB93-1,0,$BA93,1))&gt;0,AVERAGE(OFFSET(S$121,$BB93-1,0,$BA93,1)),""))</f>
        <v/>
      </c>
      <c r="T114" s="29">
        <f>IF(OR($A93="",T$116=0),"",IF(COUNT(OFFSET(T$121,$BB93-1,0,$BA93,1))&gt;0,AVERAGE(OFFSET(T$121,$BB93-1,0,$BA93,1)),""))</f>
        <v/>
      </c>
      <c r="U114" s="29">
        <f>IF(OR($A93="",U$116=0),"",IF(COUNT(OFFSET(U$121,$BB93-1,0,$BA93,1))&gt;0,AVERAGE(OFFSET(U$121,$BB93-1,0,$BA93,1)),""))</f>
        <v/>
      </c>
      <c r="V114" s="29">
        <f>IF(OR($A93="",V$116=0),"",IF(COUNT(OFFSET(V$121,$BB93-1,0,$BA93,1))&gt;0,AVERAGE(OFFSET(V$121,$BB93-1,0,$BA93,1)),""))</f>
        <v/>
      </c>
      <c r="W114" s="29">
        <f>IF(OR($A93="",W$116=0),"",IF(COUNT(OFFSET(W$121,$BB93-1,0,$BA93,1))&gt;0,AVERAGE(OFFSET(W$121,$BB93-1,0,$BA93,1)),""))</f>
        <v/>
      </c>
      <c r="X114" s="29">
        <f>IF(OR($A93="",X$116=0),"",IF(COUNT(OFFSET(X$121,$BB93-1,0,$BA93,1))&gt;0,AVERAGE(OFFSET(X$121,$BB93-1,0,$BA93,1)),""))</f>
        <v/>
      </c>
      <c r="Y114" s="29">
        <f>IF(OR($A93="",Y$116=0),"",IF(COUNT(OFFSET(Y$121,$BB93-1,0,$BA93,1))&gt;0,AVERAGE(OFFSET(Y$121,$BB93-1,0,$BA93,1)),""))</f>
        <v/>
      </c>
      <c r="Z114" s="29">
        <f>IF(OR($A93="",Z$116=0),"",IF(COUNT(OFFSET(Z$121,$BB93-1,0,$BA93,1))&gt;0,AVERAGE(OFFSET(Z$121,$BB93-1,0,$BA93,1)),""))</f>
        <v/>
      </c>
      <c r="AA114" s="29">
        <f>IF(OR($A93="",AA$116=0),"",IF(COUNT(OFFSET(AA$121,$BB93-1,0,$BA93,1))&gt;0,AVERAGE(OFFSET(AA$121,$BB93-1,0,$BA93,1)),""))</f>
        <v/>
      </c>
      <c r="AB114" s="29">
        <f>IF(OR($A93="",AB$116=0),"",IF(COUNT(OFFSET(AB$121,$BB93-1,0,$BA93,1))&gt;0,AVERAGE(OFFSET(AB$121,$BB93-1,0,$BA93,1)),""))</f>
        <v/>
      </c>
      <c r="AC114" s="29">
        <f>IF(OR($A93="",AC$116=0),"",IF(COUNT(OFFSET(AC$121,$BB93-1,0,$BA93,1))&gt;0,AVERAGE(OFFSET(AC$121,$BB93-1,0,$BA93,1)),""))</f>
        <v/>
      </c>
      <c r="AD114" s="29">
        <f>IF(OR($A93="",AD$116=0),"",IF(COUNT(OFFSET(AD$121,$BB93-1,0,$BA93,1))&gt;0,AVERAGE(OFFSET(AD$121,$BB93-1,0,$BA93,1)),""))</f>
        <v/>
      </c>
      <c r="AE114" s="29">
        <f>IF(OR($A93="",AE$116=0),"",IF(COUNT(OFFSET(AE$121,$BB93-1,0,$BA93,1))&gt;0,AVERAGE(OFFSET(AE$121,$BB93-1,0,$BA93,1)),""))</f>
        <v/>
      </c>
      <c r="AF114" s="29">
        <f>IF(OR($A93="",AF$116=0),"",IF(COUNT(OFFSET(AF$121,$BB93-1,0,$BA93,1))&gt;0,AVERAGE(OFFSET(AF$121,$BB93-1,0,$BA93,1)),""))</f>
        <v/>
      </c>
      <c r="AG114" s="29">
        <f>IF(OR($A93="",AG$116=0),"",IF(COUNT(OFFSET(AG$121,$BB93-1,0,$BA93,1))&gt;0,AVERAGE(OFFSET(AG$121,$BB93-1,0,$BA93,1)),""))</f>
        <v/>
      </c>
      <c r="AH114" s="29">
        <f>IF(OR($A93="",AH$116=0),"",IF(COUNT(OFFSET(AH$121,$BB93-1,0,$BA93,1))&gt;0,AVERAGE(OFFSET(AH$121,$BB93-1,0,$BA93,1)),""))</f>
        <v/>
      </c>
      <c r="AI114" s="29">
        <f>IF(OR($A93="",AI$116=0),"",IF(COUNT(OFFSET(AI$121,$BB93-1,0,$BA93,1))&gt;0,AVERAGE(OFFSET(AI$121,$BB93-1,0,$BA93,1)),""))</f>
        <v/>
      </c>
      <c r="AJ114" s="29">
        <f>IF(OR($A93="",AJ$116=0),"",IF(COUNT(OFFSET(AJ$121,$BB93-1,0,$BA93,1))&gt;0,AVERAGE(OFFSET(AJ$121,$BB93-1,0,$BA93,1)),""))</f>
        <v/>
      </c>
      <c r="AK114" s="29">
        <f>IF(OR($A93="",AK$116=0),"",IF(COUNT(OFFSET(AK$121,$BB93-1,0,$BA93,1))&gt;0,AVERAGE(OFFSET(AK$121,$BB93-1,0,$BA93,1)),""))</f>
        <v/>
      </c>
      <c r="AL114" s="29">
        <f>IF(OR($A93="",AL$116=0),"",IF(COUNT(OFFSET(AL$121,$BB93-1,0,$BA93,1))&gt;0,AVERAGE(OFFSET(AL$121,$BB93-1,0,$BA93,1)),""))</f>
        <v/>
      </c>
      <c r="AM114" s="29">
        <f>IF(OR($A93="",AM$116=0),"",IF(COUNT(OFFSET(AM$121,$BB93-1,0,$BA93,1))&gt;0,AVERAGE(OFFSET(AM$121,$BB93-1,0,$BA93,1)),""))</f>
        <v/>
      </c>
      <c r="AN114" s="29">
        <f>IF(OR($A93="",AN$116=0),"",IF(COUNT(OFFSET(AN$121,$BB93-1,0,$BA93,1))&gt;0,AVERAGE(OFFSET(AN$121,$BB93-1,0,$BA93,1)),""))</f>
        <v/>
      </c>
      <c r="AO114" s="29">
        <f>IF(OR($A93="",AO$116=0),"",IF(COUNT(OFFSET(AO$121,$BB93-1,0,$BA93,1))&gt;0,AVERAGE(OFFSET(AO$121,$BB93-1,0,$BA93,1)),""))</f>
        <v/>
      </c>
      <c r="AP114" s="29">
        <f>IF(OR($A93="",AP$116=0),"",IF(COUNT(OFFSET(AP$121,$BB93-1,0,$BA93,1))&gt;0,AVERAGE(OFFSET(AP$121,$BB93-1,0,$BA93,1)),""))</f>
        <v/>
      </c>
      <c r="AQ114" s="29">
        <f>IF(OR($A93="",AQ$116=0),"",IF(COUNT(OFFSET(AQ$121,$BB93-1,0,$BA93,1))&gt;0,AVERAGE(OFFSET(AQ$121,$BB93-1,0,$BA93,1)),""))</f>
        <v/>
      </c>
      <c r="AR114" s="29">
        <f>IF(OR($A93="",AR$116=0),"",IF(COUNT(OFFSET(AR$121,$BB93-1,0,$BA93,1))&gt;0,AVERAGE(OFFSET(AR$121,$BB93-1,0,$BA93,1)),""))</f>
        <v/>
      </c>
      <c r="AS114" s="29">
        <f>IF(OR($A93="",AS$116=0),"",IF(COUNT(OFFSET(AS$121,$BB93-1,0,$BA93,1))&gt;0,AVERAGE(OFFSET(AS$121,$BB93-1,0,$BA93,1)),""))</f>
        <v/>
      </c>
      <c r="AT114" s="29">
        <f>IF(OR($A93="",AT$116=0),"",IF(COUNT(OFFSET(AT$121,$BB93-1,0,$BA93,1))&gt;0,AVERAGE(OFFSET(AT$121,$BB93-1,0,$BA93,1)),""))</f>
        <v/>
      </c>
      <c r="AU114" s="29">
        <f>IF(OR($A93="",AU$116=0),"",IF(COUNT(OFFSET(AU$121,$BB93-1,0,$BA93,1))&gt;0,AVERAGE(OFFSET(AU$121,$BB93-1,0,$BA93,1)),""))</f>
        <v/>
      </c>
      <c r="AV114" s="29">
        <f>IF(OR($A93="",AV$116=0),"",IF(COUNT(OFFSET(AV$121,$BB93-1,0,$BA93,1))&gt;0,AVERAGE(OFFSET(AV$121,$BB93-1,0,$BA93,1)),""))</f>
        <v/>
      </c>
      <c r="AW114" s="29">
        <f>IF(OR($A93="",AW$116=0),"",IF(COUNT(OFFSET(AW$121,$BB93-1,0,$BA93,1))&gt;0,AVERAGE(OFFSET(AW$121,$BB93-1,0,$BA93,1)),""))</f>
        <v/>
      </c>
      <c r="AX114" s="29">
        <f>IF(OR($A93="",AX$116=0),"",IF(COUNT(OFFSET(AX$121,$BB93-1,0,$BA93,1))&gt;0,AVERAGE(OFFSET(AX$121,$BB93-1,0,$BA93,1)),""))</f>
        <v/>
      </c>
      <c r="AY114" s="29">
        <f>IF(OR($A93="",AY$116=0),"",IF(COUNT(OFFSET(AY$121,$BB93-1,0,$BA93,1))&gt;0,AVERAGE(OFFSET(AY$121,$BB93-1,0,$BA93,1)),""))</f>
        <v/>
      </c>
      <c r="AZ114" s="29">
        <f>IF($A93="","",AVERAGE(OFFSET($B$121,$BB93-1,0,$BA93,50)))</f>
        <v/>
      </c>
    </row>
    <row r="115">
      <c r="A115" s="6" t="inlineStr">
        <is>
          <t>Gemiddelde per deel (alle operators en herhalingen)</t>
        </is>
      </c>
      <c r="B115" s="29">
        <f>IF(COUNT(B$121:B$1120)&gt;0,AVERAGE(B$121:B$1120),"")</f>
        <v/>
      </c>
      <c r="C115" s="29">
        <f>IF(COUNT(C$121:C$1120)&gt;0,AVERAGE(C$121:C$1120),"")</f>
        <v/>
      </c>
      <c r="D115" s="29">
        <f>IF(COUNT(D$121:D$1120)&gt;0,AVERAGE(D$121:D$1120),"")</f>
        <v/>
      </c>
      <c r="E115" s="29">
        <f>IF(COUNT(E$121:E$1120)&gt;0,AVERAGE(E$121:E$1120),"")</f>
        <v/>
      </c>
      <c r="F115" s="29">
        <f>IF(COUNT(F$121:F$1120)&gt;0,AVERAGE(F$121:F$1120),"")</f>
        <v/>
      </c>
      <c r="G115" s="29">
        <f>IF(COUNT(G$121:G$1120)&gt;0,AVERAGE(G$121:G$1120),"")</f>
        <v/>
      </c>
      <c r="H115" s="29">
        <f>IF(COUNT(H$121:H$1120)&gt;0,AVERAGE(H$121:H$1120),"")</f>
        <v/>
      </c>
      <c r="I115" s="29">
        <f>IF(COUNT(I$121:I$1120)&gt;0,AVERAGE(I$121:I$1120),"")</f>
        <v/>
      </c>
      <c r="J115" s="29">
        <f>IF(COUNT(J$121:J$1120)&gt;0,AVERAGE(J$121:J$1120),"")</f>
        <v/>
      </c>
      <c r="K115" s="29">
        <f>IF(COUNT(K$121:K$1120)&gt;0,AVERAGE(K$121:K$1120),"")</f>
        <v/>
      </c>
      <c r="L115" s="29">
        <f>IF(COUNT(L$121:L$1120)&gt;0,AVERAGE(L$121:L$1120),"")</f>
        <v/>
      </c>
      <c r="M115" s="29">
        <f>IF(COUNT(M$121:M$1120)&gt;0,AVERAGE(M$121:M$1120),"")</f>
        <v/>
      </c>
      <c r="N115" s="29">
        <f>IF(COUNT(N$121:N$1120)&gt;0,AVERAGE(N$121:N$1120),"")</f>
        <v/>
      </c>
      <c r="O115" s="29">
        <f>IF(COUNT(O$121:O$1120)&gt;0,AVERAGE(O$121:O$1120),"")</f>
        <v/>
      </c>
      <c r="P115" s="29">
        <f>IF(COUNT(P$121:P$1120)&gt;0,AVERAGE(P$121:P$1120),"")</f>
        <v/>
      </c>
      <c r="Q115" s="29">
        <f>IF(COUNT(Q$121:Q$1120)&gt;0,AVERAGE(Q$121:Q$1120),"")</f>
        <v/>
      </c>
      <c r="R115" s="29">
        <f>IF(COUNT(R$121:R$1120)&gt;0,AVERAGE(R$121:R$1120),"")</f>
        <v/>
      </c>
      <c r="S115" s="29">
        <f>IF(COUNT(S$121:S$1120)&gt;0,AVERAGE(S$121:S$1120),"")</f>
        <v/>
      </c>
      <c r="T115" s="29">
        <f>IF(COUNT(T$121:T$1120)&gt;0,AVERAGE(T$121:T$1120),"")</f>
        <v/>
      </c>
      <c r="U115" s="29">
        <f>IF(COUNT(U$121:U$1120)&gt;0,AVERAGE(U$121:U$1120),"")</f>
        <v/>
      </c>
      <c r="V115" s="29">
        <f>IF(COUNT(V$121:V$1120)&gt;0,AVERAGE(V$121:V$1120),"")</f>
        <v/>
      </c>
      <c r="W115" s="29">
        <f>IF(COUNT(W$121:W$1120)&gt;0,AVERAGE(W$121:W$1120),"")</f>
        <v/>
      </c>
      <c r="X115" s="29">
        <f>IF(COUNT(X$121:X$1120)&gt;0,AVERAGE(X$121:X$1120),"")</f>
        <v/>
      </c>
      <c r="Y115" s="29">
        <f>IF(COUNT(Y$121:Y$1120)&gt;0,AVERAGE(Y$121:Y$1120),"")</f>
        <v/>
      </c>
      <c r="Z115" s="29">
        <f>IF(COUNT(Z$121:Z$1120)&gt;0,AVERAGE(Z$121:Z$1120),"")</f>
        <v/>
      </c>
      <c r="AA115" s="29">
        <f>IF(COUNT(AA$121:AA$1120)&gt;0,AVERAGE(AA$121:AA$1120),"")</f>
        <v/>
      </c>
      <c r="AB115" s="29">
        <f>IF(COUNT(AB$121:AB$1120)&gt;0,AVERAGE(AB$121:AB$1120),"")</f>
        <v/>
      </c>
      <c r="AC115" s="29">
        <f>IF(COUNT(AC$121:AC$1120)&gt;0,AVERAGE(AC$121:AC$1120),"")</f>
        <v/>
      </c>
      <c r="AD115" s="29">
        <f>IF(COUNT(AD$121:AD$1120)&gt;0,AVERAGE(AD$121:AD$1120),"")</f>
        <v/>
      </c>
      <c r="AE115" s="29">
        <f>IF(COUNT(AE$121:AE$1120)&gt;0,AVERAGE(AE$121:AE$1120),"")</f>
        <v/>
      </c>
      <c r="AF115" s="29">
        <f>IF(COUNT(AF$121:AF$1120)&gt;0,AVERAGE(AF$121:AF$1120),"")</f>
        <v/>
      </c>
      <c r="AG115" s="29">
        <f>IF(COUNT(AG$121:AG$1120)&gt;0,AVERAGE(AG$121:AG$1120),"")</f>
        <v/>
      </c>
      <c r="AH115" s="29">
        <f>IF(COUNT(AH$121:AH$1120)&gt;0,AVERAGE(AH$121:AH$1120),"")</f>
        <v/>
      </c>
      <c r="AI115" s="29">
        <f>IF(COUNT(AI$121:AI$1120)&gt;0,AVERAGE(AI$121:AI$1120),"")</f>
        <v/>
      </c>
      <c r="AJ115" s="29">
        <f>IF(COUNT(AJ$121:AJ$1120)&gt;0,AVERAGE(AJ$121:AJ$1120),"")</f>
        <v/>
      </c>
      <c r="AK115" s="29">
        <f>IF(COUNT(AK$121:AK$1120)&gt;0,AVERAGE(AK$121:AK$1120),"")</f>
        <v/>
      </c>
      <c r="AL115" s="29">
        <f>IF(COUNT(AL$121:AL$1120)&gt;0,AVERAGE(AL$121:AL$1120),"")</f>
        <v/>
      </c>
      <c r="AM115" s="29">
        <f>IF(COUNT(AM$121:AM$1120)&gt;0,AVERAGE(AM$121:AM$1120),"")</f>
        <v/>
      </c>
      <c r="AN115" s="29">
        <f>IF(COUNT(AN$121:AN$1120)&gt;0,AVERAGE(AN$121:AN$1120),"")</f>
        <v/>
      </c>
      <c r="AO115" s="29">
        <f>IF(COUNT(AO$121:AO$1120)&gt;0,AVERAGE(AO$121:AO$1120),"")</f>
        <v/>
      </c>
      <c r="AP115" s="29">
        <f>IF(COUNT(AP$121:AP$1120)&gt;0,AVERAGE(AP$121:AP$1120),"")</f>
        <v/>
      </c>
      <c r="AQ115" s="29">
        <f>IF(COUNT(AQ$121:AQ$1120)&gt;0,AVERAGE(AQ$121:AQ$1120),"")</f>
        <v/>
      </c>
      <c r="AR115" s="29">
        <f>IF(COUNT(AR$121:AR$1120)&gt;0,AVERAGE(AR$121:AR$1120),"")</f>
        <v/>
      </c>
      <c r="AS115" s="29">
        <f>IF(COUNT(AS$121:AS$1120)&gt;0,AVERAGE(AS$121:AS$1120),"")</f>
        <v/>
      </c>
      <c r="AT115" s="29">
        <f>IF(COUNT(AT$121:AT$1120)&gt;0,AVERAGE(AT$121:AT$1120),"")</f>
        <v/>
      </c>
      <c r="AU115" s="29">
        <f>IF(COUNT(AU$121:AU$1120)&gt;0,AVERAGE(AU$121:AU$1120),"")</f>
        <v/>
      </c>
      <c r="AV115" s="29">
        <f>IF(COUNT(AV$121:AV$1120)&gt;0,AVERAGE(AV$121:AV$1120),"")</f>
        <v/>
      </c>
      <c r="AW115" s="29">
        <f>IF(COUNT(AW$121:AW$1120)&gt;0,AVERAGE(AW$121:AW$1120),"")</f>
        <v/>
      </c>
      <c r="AX115" s="29">
        <f>IF(COUNT(AX$121:AX$1120)&gt;0,AVERAGE(AX$121:AX$1120),"")</f>
        <v/>
      </c>
      <c r="AY115" s="29">
        <f>IF(COUNT(AY$121:AY$1120)&gt;0,AVERAGE(AY$121:AY$1120),"")</f>
        <v/>
      </c>
    </row>
    <row r="116">
      <c r="A116" s="6" t="inlineStr">
        <is>
          <t>aantal waarden per deel</t>
        </is>
      </c>
      <c r="B116" s="28">
        <f>COUNT(B$121:B$1120)</f>
        <v/>
      </c>
      <c r="C116" s="28">
        <f>COUNT(C$121:C$1120)</f>
        <v/>
      </c>
      <c r="D116" s="28">
        <f>COUNT(D$121:D$1120)</f>
        <v/>
      </c>
      <c r="E116" s="28">
        <f>COUNT(E$121:E$1120)</f>
        <v/>
      </c>
      <c r="F116" s="28">
        <f>COUNT(F$121:F$1120)</f>
        <v/>
      </c>
      <c r="G116" s="28">
        <f>COUNT(G$121:G$1120)</f>
        <v/>
      </c>
      <c r="H116" s="28">
        <f>COUNT(H$121:H$1120)</f>
        <v/>
      </c>
      <c r="I116" s="28">
        <f>COUNT(I$121:I$1120)</f>
        <v/>
      </c>
      <c r="J116" s="28">
        <f>COUNT(J$121:J$1120)</f>
        <v/>
      </c>
      <c r="K116" s="28">
        <f>COUNT(K$121:K$1120)</f>
        <v/>
      </c>
      <c r="L116" s="28">
        <f>COUNT(L$121:L$1120)</f>
        <v/>
      </c>
      <c r="M116" s="28">
        <f>COUNT(M$121:M$1120)</f>
        <v/>
      </c>
      <c r="N116" s="28">
        <f>COUNT(N$121:N$1120)</f>
        <v/>
      </c>
      <c r="O116" s="28">
        <f>COUNT(O$121:O$1120)</f>
        <v/>
      </c>
      <c r="P116" s="28">
        <f>COUNT(P$121:P$1120)</f>
        <v/>
      </c>
      <c r="Q116" s="28">
        <f>COUNT(Q$121:Q$1120)</f>
        <v/>
      </c>
      <c r="R116" s="28">
        <f>COUNT(R$121:R$1120)</f>
        <v/>
      </c>
      <c r="S116" s="28">
        <f>COUNT(S$121:S$1120)</f>
        <v/>
      </c>
      <c r="T116" s="28">
        <f>COUNT(T$121:T$1120)</f>
        <v/>
      </c>
      <c r="U116" s="28">
        <f>COUNT(U$121:U$1120)</f>
        <v/>
      </c>
      <c r="V116" s="28">
        <f>COUNT(V$121:V$1120)</f>
        <v/>
      </c>
      <c r="W116" s="28">
        <f>COUNT(W$121:W$1120)</f>
        <v/>
      </c>
      <c r="X116" s="28">
        <f>COUNT(X$121:X$1120)</f>
        <v/>
      </c>
      <c r="Y116" s="28">
        <f>COUNT(Y$121:Y$1120)</f>
        <v/>
      </c>
      <c r="Z116" s="28">
        <f>COUNT(Z$121:Z$1120)</f>
        <v/>
      </c>
      <c r="AA116" s="28">
        <f>COUNT(AA$121:AA$1120)</f>
        <v/>
      </c>
      <c r="AB116" s="28">
        <f>COUNT(AB$121:AB$1120)</f>
        <v/>
      </c>
      <c r="AC116" s="28">
        <f>COUNT(AC$121:AC$1120)</f>
        <v/>
      </c>
      <c r="AD116" s="28">
        <f>COUNT(AD$121:AD$1120)</f>
        <v/>
      </c>
      <c r="AE116" s="28">
        <f>COUNT(AE$121:AE$1120)</f>
        <v/>
      </c>
      <c r="AF116" s="28">
        <f>COUNT(AF$121:AF$1120)</f>
        <v/>
      </c>
      <c r="AG116" s="28">
        <f>COUNT(AG$121:AG$1120)</f>
        <v/>
      </c>
      <c r="AH116" s="28">
        <f>COUNT(AH$121:AH$1120)</f>
        <v/>
      </c>
      <c r="AI116" s="28">
        <f>COUNT(AI$121:AI$1120)</f>
        <v/>
      </c>
      <c r="AJ116" s="28">
        <f>COUNT(AJ$121:AJ$1120)</f>
        <v/>
      </c>
      <c r="AK116" s="28">
        <f>COUNT(AK$121:AK$1120)</f>
        <v/>
      </c>
      <c r="AL116" s="28">
        <f>COUNT(AL$121:AL$1120)</f>
        <v/>
      </c>
      <c r="AM116" s="28">
        <f>COUNT(AM$121:AM$1120)</f>
        <v/>
      </c>
      <c r="AN116" s="28">
        <f>COUNT(AN$121:AN$1120)</f>
        <v/>
      </c>
      <c r="AO116" s="28">
        <f>COUNT(AO$121:AO$1120)</f>
        <v/>
      </c>
      <c r="AP116" s="28">
        <f>COUNT(AP$121:AP$1120)</f>
        <v/>
      </c>
      <c r="AQ116" s="28">
        <f>COUNT(AQ$121:AQ$1120)</f>
        <v/>
      </c>
      <c r="AR116" s="28">
        <f>COUNT(AR$121:AR$1120)</f>
        <v/>
      </c>
      <c r="AS116" s="28">
        <f>COUNT(AS$121:AS$1120)</f>
        <v/>
      </c>
      <c r="AT116" s="28">
        <f>COUNT(AT$121:AT$1120)</f>
        <v/>
      </c>
      <c r="AU116" s="28">
        <f>COUNT(AU$121:AU$1120)</f>
        <v/>
      </c>
      <c r="AV116" s="28">
        <f>COUNT(AV$121:AV$1120)</f>
        <v/>
      </c>
      <c r="AW116" s="28">
        <f>COUNT(AW$121:AW$1120)</f>
        <v/>
      </c>
      <c r="AX116" s="28">
        <f>COUNT(AX$121:AX$1120)</f>
        <v/>
      </c>
      <c r="AY116" s="28">
        <f>COUNT(AY$121:AY$1120)</f>
        <v/>
      </c>
    </row>
    <row r="118">
      <c r="A118" s="5" t="inlineStr">
        <is>
          <t>9. Studiedata (zie sectie 2): kolom A = operator (tekst), kolommen B … = delen (getallen)</t>
        </is>
      </c>
    </row>
    <row r="119">
      <c r="BA119" s="8" t="inlineStr">
        <is>
          <t>hulpkolommen: operator van de rij en zijn volgnummer (niet invullen)</t>
        </is>
      </c>
    </row>
    <row r="120">
      <c r="A120" s="10" t="inlineStr">
        <is>
          <t>Operator (tekst)</t>
        </is>
      </c>
      <c r="B120" s="10" t="inlineStr">
        <is>
          <t>Deel 1</t>
        </is>
      </c>
      <c r="C120" s="10" t="inlineStr">
        <is>
          <t>Deel 2</t>
        </is>
      </c>
      <c r="D120" s="10" t="inlineStr">
        <is>
          <t>Deel 3</t>
        </is>
      </c>
      <c r="E120" s="10" t="inlineStr">
        <is>
          <t>Deel 4</t>
        </is>
      </c>
      <c r="F120" s="10" t="inlineStr">
        <is>
          <t>Deel 5</t>
        </is>
      </c>
      <c r="G120" s="10" t="inlineStr">
        <is>
          <t>Deel 6</t>
        </is>
      </c>
      <c r="H120" s="10" t="inlineStr">
        <is>
          <t>Deel 7</t>
        </is>
      </c>
      <c r="I120" s="10" t="inlineStr">
        <is>
          <t>Deel 8</t>
        </is>
      </c>
      <c r="J120" s="10" t="inlineStr">
        <is>
          <t>Deel 9</t>
        </is>
      </c>
      <c r="K120" s="10" t="inlineStr">
        <is>
          <t>Deel 10</t>
        </is>
      </c>
      <c r="L120" s="10" t="inlineStr">
        <is>
          <t>Deel 11</t>
        </is>
      </c>
      <c r="M120" s="10" t="inlineStr">
        <is>
          <t>Deel 12</t>
        </is>
      </c>
      <c r="N120" s="10" t="inlineStr">
        <is>
          <t>Deel 13</t>
        </is>
      </c>
      <c r="O120" s="10" t="inlineStr">
        <is>
          <t>Deel 14</t>
        </is>
      </c>
      <c r="P120" s="10" t="inlineStr">
        <is>
          <t>Deel 15</t>
        </is>
      </c>
      <c r="Q120" s="10" t="inlineStr">
        <is>
          <t>Deel 16</t>
        </is>
      </c>
      <c r="R120" s="10" t="inlineStr">
        <is>
          <t>Deel 17</t>
        </is>
      </c>
      <c r="S120" s="10" t="inlineStr">
        <is>
          <t>Deel 18</t>
        </is>
      </c>
      <c r="T120" s="10" t="inlineStr">
        <is>
          <t>Deel 19</t>
        </is>
      </c>
      <c r="U120" s="10" t="inlineStr">
        <is>
          <t>Deel 20</t>
        </is>
      </c>
      <c r="V120" s="10" t="inlineStr">
        <is>
          <t>Deel 21</t>
        </is>
      </c>
      <c r="W120" s="10" t="inlineStr">
        <is>
          <t>Deel 22</t>
        </is>
      </c>
      <c r="X120" s="10" t="inlineStr">
        <is>
          <t>Deel 23</t>
        </is>
      </c>
      <c r="Y120" s="10" t="inlineStr">
        <is>
          <t>Deel 24</t>
        </is>
      </c>
      <c r="Z120" s="10" t="inlineStr">
        <is>
          <t>Deel 25</t>
        </is>
      </c>
      <c r="AA120" s="10" t="inlineStr">
        <is>
          <t>Deel 26</t>
        </is>
      </c>
      <c r="AB120" s="10" t="inlineStr">
        <is>
          <t>Deel 27</t>
        </is>
      </c>
      <c r="AC120" s="10" t="inlineStr">
        <is>
          <t>Deel 28</t>
        </is>
      </c>
      <c r="AD120" s="10" t="inlineStr">
        <is>
          <t>Deel 29</t>
        </is>
      </c>
      <c r="AE120" s="10" t="inlineStr">
        <is>
          <t>Deel 30</t>
        </is>
      </c>
      <c r="AF120" s="10" t="inlineStr">
        <is>
          <t>Deel 31</t>
        </is>
      </c>
      <c r="AG120" s="10" t="inlineStr">
        <is>
          <t>Deel 32</t>
        </is>
      </c>
      <c r="AH120" s="10" t="inlineStr">
        <is>
          <t>Deel 33</t>
        </is>
      </c>
      <c r="AI120" s="10" t="inlineStr">
        <is>
          <t>Deel 34</t>
        </is>
      </c>
      <c r="AJ120" s="10" t="inlineStr">
        <is>
          <t>Deel 35</t>
        </is>
      </c>
      <c r="AK120" s="10" t="inlineStr">
        <is>
          <t>Deel 36</t>
        </is>
      </c>
      <c r="AL120" s="10" t="inlineStr">
        <is>
          <t>Deel 37</t>
        </is>
      </c>
      <c r="AM120" s="10" t="inlineStr">
        <is>
          <t>Deel 38</t>
        </is>
      </c>
      <c r="AN120" s="10" t="inlineStr">
        <is>
          <t>Deel 39</t>
        </is>
      </c>
      <c r="AO120" s="10" t="inlineStr">
        <is>
          <t>Deel 40</t>
        </is>
      </c>
      <c r="AP120" s="10" t="inlineStr">
        <is>
          <t>Deel 41</t>
        </is>
      </c>
      <c r="AQ120" s="10" t="inlineStr">
        <is>
          <t>Deel 42</t>
        </is>
      </c>
      <c r="AR120" s="10" t="inlineStr">
        <is>
          <t>Deel 43</t>
        </is>
      </c>
      <c r="AS120" s="10" t="inlineStr">
        <is>
          <t>Deel 44</t>
        </is>
      </c>
      <c r="AT120" s="10" t="inlineStr">
        <is>
          <t>Deel 45</t>
        </is>
      </c>
      <c r="AU120" s="10" t="inlineStr">
        <is>
          <t>Deel 46</t>
        </is>
      </c>
      <c r="AV120" s="10" t="inlineStr">
        <is>
          <t>Deel 47</t>
        </is>
      </c>
      <c r="AW120" s="10" t="inlineStr">
        <is>
          <t>Deel 48</t>
        </is>
      </c>
      <c r="AX120" s="10" t="inlineStr">
        <is>
          <t>Deel 49</t>
        </is>
      </c>
      <c r="AY120" s="10" t="inlineStr">
        <is>
          <t>Deel 50</t>
        </is>
      </c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  <c r="AJ121" s="7" t="n"/>
      <c r="AK121" s="7" t="n"/>
      <c r="AL121" s="7" t="n"/>
      <c r="AM121" s="7" t="n"/>
      <c r="AN121" s="7" t="n"/>
      <c r="AO121" s="7" t="n"/>
      <c r="AP121" s="7" t="n"/>
      <c r="AQ121" s="7" t="n"/>
      <c r="AR121" s="7" t="n"/>
      <c r="AS121" s="7" t="n"/>
      <c r="AT121" s="7" t="n"/>
      <c r="AU121" s="7" t="n"/>
      <c r="AV121" s="7" t="n"/>
      <c r="AW121" s="7" t="n"/>
      <c r="AX121" s="7" t="n"/>
      <c r="AY121" s="7" t="n"/>
      <c r="BA121" s="42">
        <f>IF(COUNT(B121:AY121)=0,"",IF(TRIM(A121)&lt;&gt;"",TRIM(A121),IF(BA120="","(geen naam)",BA120)))</f>
        <v/>
      </c>
      <c r="BB121" s="42">
        <f>IF(BA121="","",IF(ISNA(MATCH(BA121,BA$120:BA120,0)),MAX(BB$120:BB120)+1,""))</f>
        <v/>
      </c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7" t="n"/>
      <c r="AM122" s="7" t="n"/>
      <c r="AN122" s="7" t="n"/>
      <c r="AO122" s="7" t="n"/>
      <c r="AP122" s="7" t="n"/>
      <c r="AQ122" s="7" t="n"/>
      <c r="AR122" s="7" t="n"/>
      <c r="AS122" s="7" t="n"/>
      <c r="AT122" s="7" t="n"/>
      <c r="AU122" s="7" t="n"/>
      <c r="AV122" s="7" t="n"/>
      <c r="AW122" s="7" t="n"/>
      <c r="AX122" s="7" t="n"/>
      <c r="AY122" s="7" t="n"/>
      <c r="BA122" s="42">
        <f>IF(COUNT(B122:AY122)=0,"",IF(TRIM(A122)&lt;&gt;"",TRIM(A122),IF(BA121="","(geen naam)",BA121)))</f>
        <v/>
      </c>
      <c r="BB122" s="42">
        <f>IF(BA122="","",IF(ISNA(MATCH(BA122,BA$120:BA121,0)),MAX(BB$120:BB121)+1,""))</f>
        <v/>
      </c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  <c r="AJ123" s="7" t="n"/>
      <c r="AK123" s="7" t="n"/>
      <c r="AL123" s="7" t="n"/>
      <c r="AM123" s="7" t="n"/>
      <c r="AN123" s="7" t="n"/>
      <c r="AO123" s="7" t="n"/>
      <c r="AP123" s="7" t="n"/>
      <c r="AQ123" s="7" t="n"/>
      <c r="AR123" s="7" t="n"/>
      <c r="AS123" s="7" t="n"/>
      <c r="AT123" s="7" t="n"/>
      <c r="AU123" s="7" t="n"/>
      <c r="AV123" s="7" t="n"/>
      <c r="AW123" s="7" t="n"/>
      <c r="AX123" s="7" t="n"/>
      <c r="AY123" s="7" t="n"/>
      <c r="BA123" s="42">
        <f>IF(COUNT(B123:AY123)=0,"",IF(TRIM(A123)&lt;&gt;"",TRIM(A123),IF(BA122="","(geen naam)",BA122)))</f>
        <v/>
      </c>
      <c r="BB123" s="42">
        <f>IF(BA123="","",IF(ISNA(MATCH(BA123,BA$120:BA122,0)),MAX(BB$120:BB122)+1,""))</f>
        <v/>
      </c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/>
      <c r="AH124" s="7" t="n"/>
      <c r="AI124" s="7" t="n"/>
      <c r="AJ124" s="7" t="n"/>
      <c r="AK124" s="7" t="n"/>
      <c r="AL124" s="7" t="n"/>
      <c r="AM124" s="7" t="n"/>
      <c r="AN124" s="7" t="n"/>
      <c r="AO124" s="7" t="n"/>
      <c r="AP124" s="7" t="n"/>
      <c r="AQ124" s="7" t="n"/>
      <c r="AR124" s="7" t="n"/>
      <c r="AS124" s="7" t="n"/>
      <c r="AT124" s="7" t="n"/>
      <c r="AU124" s="7" t="n"/>
      <c r="AV124" s="7" t="n"/>
      <c r="AW124" s="7" t="n"/>
      <c r="AX124" s="7" t="n"/>
      <c r="AY124" s="7" t="n"/>
      <c r="BA124" s="42">
        <f>IF(COUNT(B124:AY124)=0,"",IF(TRIM(A124)&lt;&gt;"",TRIM(A124),IF(BA123="","(geen naam)",BA123)))</f>
        <v/>
      </c>
      <c r="BB124" s="42">
        <f>IF(BA124="","",IF(ISNA(MATCH(BA124,BA$120:BA123,0)),MAX(BB$120:BB123)+1,""))</f>
        <v/>
      </c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  <c r="AJ125" s="7" t="n"/>
      <c r="AK125" s="7" t="n"/>
      <c r="AL125" s="7" t="n"/>
      <c r="AM125" s="7" t="n"/>
      <c r="AN125" s="7" t="n"/>
      <c r="AO125" s="7" t="n"/>
      <c r="AP125" s="7" t="n"/>
      <c r="AQ125" s="7" t="n"/>
      <c r="AR125" s="7" t="n"/>
      <c r="AS125" s="7" t="n"/>
      <c r="AT125" s="7" t="n"/>
      <c r="AU125" s="7" t="n"/>
      <c r="AV125" s="7" t="n"/>
      <c r="AW125" s="7" t="n"/>
      <c r="AX125" s="7" t="n"/>
      <c r="AY125" s="7" t="n"/>
      <c r="BA125" s="42">
        <f>IF(COUNT(B125:AY125)=0,"",IF(TRIM(A125)&lt;&gt;"",TRIM(A125),IF(BA124="","(geen naam)",BA124)))</f>
        <v/>
      </c>
      <c r="BB125" s="42">
        <f>IF(BA125="","",IF(ISNA(MATCH(BA125,BA$120:BA124,0)),MAX(BB$120:BB124)+1,""))</f>
        <v/>
      </c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/>
      <c r="AH126" s="7" t="n"/>
      <c r="AI126" s="7" t="n"/>
      <c r="AJ126" s="7" t="n"/>
      <c r="AK126" s="7" t="n"/>
      <c r="AL126" s="7" t="n"/>
      <c r="AM126" s="7" t="n"/>
      <c r="AN126" s="7" t="n"/>
      <c r="AO126" s="7" t="n"/>
      <c r="AP126" s="7" t="n"/>
      <c r="AQ126" s="7" t="n"/>
      <c r="AR126" s="7" t="n"/>
      <c r="AS126" s="7" t="n"/>
      <c r="AT126" s="7" t="n"/>
      <c r="AU126" s="7" t="n"/>
      <c r="AV126" s="7" t="n"/>
      <c r="AW126" s="7" t="n"/>
      <c r="AX126" s="7" t="n"/>
      <c r="AY126" s="7" t="n"/>
      <c r="BA126" s="42">
        <f>IF(COUNT(B126:AY126)=0,"",IF(TRIM(A126)&lt;&gt;"",TRIM(A126),IF(BA125="","(geen naam)",BA125)))</f>
        <v/>
      </c>
      <c r="BB126" s="42">
        <f>IF(BA126="","",IF(ISNA(MATCH(BA126,BA$120:BA125,0)),MAX(BB$120:BB125)+1,""))</f>
        <v/>
      </c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7" t="n"/>
      <c r="AM127" s="7" t="n"/>
      <c r="AN127" s="7" t="n"/>
      <c r="AO127" s="7" t="n"/>
      <c r="AP127" s="7" t="n"/>
      <c r="AQ127" s="7" t="n"/>
      <c r="AR127" s="7" t="n"/>
      <c r="AS127" s="7" t="n"/>
      <c r="AT127" s="7" t="n"/>
      <c r="AU127" s="7" t="n"/>
      <c r="AV127" s="7" t="n"/>
      <c r="AW127" s="7" t="n"/>
      <c r="AX127" s="7" t="n"/>
      <c r="AY127" s="7" t="n"/>
      <c r="BA127" s="42">
        <f>IF(COUNT(B127:AY127)=0,"",IF(TRIM(A127)&lt;&gt;"",TRIM(A127),IF(BA126="","(geen naam)",BA126)))</f>
        <v/>
      </c>
      <c r="BB127" s="42">
        <f>IF(BA127="","",IF(ISNA(MATCH(BA127,BA$120:BA126,0)),MAX(BB$120:BB126)+1,""))</f>
        <v/>
      </c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/>
      <c r="AK128" s="7" t="n"/>
      <c r="AL128" s="7" t="n"/>
      <c r="AM128" s="7" t="n"/>
      <c r="AN128" s="7" t="n"/>
      <c r="AO128" s="7" t="n"/>
      <c r="AP128" s="7" t="n"/>
      <c r="AQ128" s="7" t="n"/>
      <c r="AR128" s="7" t="n"/>
      <c r="AS128" s="7" t="n"/>
      <c r="AT128" s="7" t="n"/>
      <c r="AU128" s="7" t="n"/>
      <c r="AV128" s="7" t="n"/>
      <c r="AW128" s="7" t="n"/>
      <c r="AX128" s="7" t="n"/>
      <c r="AY128" s="7" t="n"/>
      <c r="BA128" s="42">
        <f>IF(COUNT(B128:AY128)=0,"",IF(TRIM(A128)&lt;&gt;"",TRIM(A128),IF(BA127="","(geen naam)",BA127)))</f>
        <v/>
      </c>
      <c r="BB128" s="42">
        <f>IF(BA128="","",IF(ISNA(MATCH(BA128,BA$120:BA127,0)),MAX(BB$120:BB127)+1,""))</f>
        <v/>
      </c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  <c r="AL129" s="7" t="n"/>
      <c r="AM129" s="7" t="n"/>
      <c r="AN129" s="7" t="n"/>
      <c r="AO129" s="7" t="n"/>
      <c r="AP129" s="7" t="n"/>
      <c r="AQ129" s="7" t="n"/>
      <c r="AR129" s="7" t="n"/>
      <c r="AS129" s="7" t="n"/>
      <c r="AT129" s="7" t="n"/>
      <c r="AU129" s="7" t="n"/>
      <c r="AV129" s="7" t="n"/>
      <c r="AW129" s="7" t="n"/>
      <c r="AX129" s="7" t="n"/>
      <c r="AY129" s="7" t="n"/>
      <c r="BA129" s="42">
        <f>IF(COUNT(B129:AY129)=0,"",IF(TRIM(A129)&lt;&gt;"",TRIM(A129),IF(BA128="","(geen naam)",BA128)))</f>
        <v/>
      </c>
      <c r="BB129" s="42">
        <f>IF(BA129="","",IF(ISNA(MATCH(BA129,BA$120:BA128,0)),MAX(BB$120:BB128)+1,""))</f>
        <v/>
      </c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  <c r="AL130" s="7" t="n"/>
      <c r="AM130" s="7" t="n"/>
      <c r="AN130" s="7" t="n"/>
      <c r="AO130" s="7" t="n"/>
      <c r="AP130" s="7" t="n"/>
      <c r="AQ130" s="7" t="n"/>
      <c r="AR130" s="7" t="n"/>
      <c r="AS130" s="7" t="n"/>
      <c r="AT130" s="7" t="n"/>
      <c r="AU130" s="7" t="n"/>
      <c r="AV130" s="7" t="n"/>
      <c r="AW130" s="7" t="n"/>
      <c r="AX130" s="7" t="n"/>
      <c r="AY130" s="7" t="n"/>
      <c r="BA130" s="42">
        <f>IF(COUNT(B130:AY130)=0,"",IF(TRIM(A130)&lt;&gt;"",TRIM(A130),IF(BA129="","(geen naam)",BA129)))</f>
        <v/>
      </c>
      <c r="BB130" s="42">
        <f>IF(BA130="","",IF(ISNA(MATCH(BA130,BA$120:BA129,0)),MAX(BB$120:BB129)+1,""))</f>
        <v/>
      </c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/>
      <c r="AK131" s="7" t="n"/>
      <c r="AL131" s="7" t="n"/>
      <c r="AM131" s="7" t="n"/>
      <c r="AN131" s="7" t="n"/>
      <c r="AO131" s="7" t="n"/>
      <c r="AP131" s="7" t="n"/>
      <c r="AQ131" s="7" t="n"/>
      <c r="AR131" s="7" t="n"/>
      <c r="AS131" s="7" t="n"/>
      <c r="AT131" s="7" t="n"/>
      <c r="AU131" s="7" t="n"/>
      <c r="AV131" s="7" t="n"/>
      <c r="AW131" s="7" t="n"/>
      <c r="AX131" s="7" t="n"/>
      <c r="AY131" s="7" t="n"/>
      <c r="BA131" s="42">
        <f>IF(COUNT(B131:AY131)=0,"",IF(TRIM(A131)&lt;&gt;"",TRIM(A131),IF(BA130="","(geen naam)",BA130)))</f>
        <v/>
      </c>
      <c r="BB131" s="42">
        <f>IF(BA131="","",IF(ISNA(MATCH(BA131,BA$120:BA130,0)),MAX(BB$120:BB130)+1,""))</f>
        <v/>
      </c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/>
      <c r="AK132" s="7" t="n"/>
      <c r="AL132" s="7" t="n"/>
      <c r="AM132" s="7" t="n"/>
      <c r="AN132" s="7" t="n"/>
      <c r="AO132" s="7" t="n"/>
      <c r="AP132" s="7" t="n"/>
      <c r="AQ132" s="7" t="n"/>
      <c r="AR132" s="7" t="n"/>
      <c r="AS132" s="7" t="n"/>
      <c r="AT132" s="7" t="n"/>
      <c r="AU132" s="7" t="n"/>
      <c r="AV132" s="7" t="n"/>
      <c r="AW132" s="7" t="n"/>
      <c r="AX132" s="7" t="n"/>
      <c r="AY132" s="7" t="n"/>
      <c r="BA132" s="42">
        <f>IF(COUNT(B132:AY132)=0,"",IF(TRIM(A132)&lt;&gt;"",TRIM(A132),IF(BA131="","(geen naam)",BA131)))</f>
        <v/>
      </c>
      <c r="BB132" s="42">
        <f>IF(BA132="","",IF(ISNA(MATCH(BA132,BA$120:BA131,0)),MAX(BB$120:BB131)+1,""))</f>
        <v/>
      </c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BA133" s="42">
        <f>IF(COUNT(B133:AY133)=0,"",IF(TRIM(A133)&lt;&gt;"",TRIM(A133),IF(BA132="","(geen naam)",BA132)))</f>
        <v/>
      </c>
      <c r="BB133" s="42">
        <f>IF(BA133="","",IF(ISNA(MATCH(BA133,BA$120:BA132,0)),MAX(BB$120:BB132)+1,""))</f>
        <v/>
      </c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/>
      <c r="AK134" s="7" t="n"/>
      <c r="AL134" s="7" t="n"/>
      <c r="AM134" s="7" t="n"/>
      <c r="AN134" s="7" t="n"/>
      <c r="AO134" s="7" t="n"/>
      <c r="AP134" s="7" t="n"/>
      <c r="AQ134" s="7" t="n"/>
      <c r="AR134" s="7" t="n"/>
      <c r="AS134" s="7" t="n"/>
      <c r="AT134" s="7" t="n"/>
      <c r="AU134" s="7" t="n"/>
      <c r="AV134" s="7" t="n"/>
      <c r="AW134" s="7" t="n"/>
      <c r="AX134" s="7" t="n"/>
      <c r="AY134" s="7" t="n"/>
      <c r="BA134" s="42">
        <f>IF(COUNT(B134:AY134)=0,"",IF(TRIM(A134)&lt;&gt;"",TRIM(A134),IF(BA133="","(geen naam)",BA133)))</f>
        <v/>
      </c>
      <c r="BB134" s="42">
        <f>IF(BA134="","",IF(ISNA(MATCH(BA134,BA$120:BA133,0)),MAX(BB$120:BB133)+1,""))</f>
        <v/>
      </c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/>
      <c r="AK135" s="7" t="n"/>
      <c r="AL135" s="7" t="n"/>
      <c r="AM135" s="7" t="n"/>
      <c r="AN135" s="7" t="n"/>
      <c r="AO135" s="7" t="n"/>
      <c r="AP135" s="7" t="n"/>
      <c r="AQ135" s="7" t="n"/>
      <c r="AR135" s="7" t="n"/>
      <c r="AS135" s="7" t="n"/>
      <c r="AT135" s="7" t="n"/>
      <c r="AU135" s="7" t="n"/>
      <c r="AV135" s="7" t="n"/>
      <c r="AW135" s="7" t="n"/>
      <c r="AX135" s="7" t="n"/>
      <c r="AY135" s="7" t="n"/>
      <c r="BA135" s="42">
        <f>IF(COUNT(B135:AY135)=0,"",IF(TRIM(A135)&lt;&gt;"",TRIM(A135),IF(BA134="","(geen naam)",BA134)))</f>
        <v/>
      </c>
      <c r="BB135" s="42">
        <f>IF(BA135="","",IF(ISNA(MATCH(BA135,BA$120:BA134,0)),MAX(BB$120:BB134)+1,""))</f>
        <v/>
      </c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/>
      <c r="AK136" s="7" t="n"/>
      <c r="AL136" s="7" t="n"/>
      <c r="AM136" s="7" t="n"/>
      <c r="AN136" s="7" t="n"/>
      <c r="AO136" s="7" t="n"/>
      <c r="AP136" s="7" t="n"/>
      <c r="AQ136" s="7" t="n"/>
      <c r="AR136" s="7" t="n"/>
      <c r="AS136" s="7" t="n"/>
      <c r="AT136" s="7" t="n"/>
      <c r="AU136" s="7" t="n"/>
      <c r="AV136" s="7" t="n"/>
      <c r="AW136" s="7" t="n"/>
      <c r="AX136" s="7" t="n"/>
      <c r="AY136" s="7" t="n"/>
      <c r="BA136" s="42">
        <f>IF(COUNT(B136:AY136)=0,"",IF(TRIM(A136)&lt;&gt;"",TRIM(A136),IF(BA135="","(geen naam)",BA135)))</f>
        <v/>
      </c>
      <c r="BB136" s="42">
        <f>IF(BA136="","",IF(ISNA(MATCH(BA136,BA$120:BA135,0)),MAX(BB$120:BB135)+1,""))</f>
        <v/>
      </c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/>
      <c r="AK137" s="7" t="n"/>
      <c r="AL137" s="7" t="n"/>
      <c r="AM137" s="7" t="n"/>
      <c r="AN137" s="7" t="n"/>
      <c r="AO137" s="7" t="n"/>
      <c r="AP137" s="7" t="n"/>
      <c r="AQ137" s="7" t="n"/>
      <c r="AR137" s="7" t="n"/>
      <c r="AS137" s="7" t="n"/>
      <c r="AT137" s="7" t="n"/>
      <c r="AU137" s="7" t="n"/>
      <c r="AV137" s="7" t="n"/>
      <c r="AW137" s="7" t="n"/>
      <c r="AX137" s="7" t="n"/>
      <c r="AY137" s="7" t="n"/>
      <c r="BA137" s="42">
        <f>IF(COUNT(B137:AY137)=0,"",IF(TRIM(A137)&lt;&gt;"",TRIM(A137),IF(BA136="","(geen naam)",BA136)))</f>
        <v/>
      </c>
      <c r="BB137" s="42">
        <f>IF(BA137="","",IF(ISNA(MATCH(BA137,BA$120:BA136,0)),MAX(BB$120:BB136)+1,""))</f>
        <v/>
      </c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/>
      <c r="AK138" s="7" t="n"/>
      <c r="AL138" s="7" t="n"/>
      <c r="AM138" s="7" t="n"/>
      <c r="AN138" s="7" t="n"/>
      <c r="AO138" s="7" t="n"/>
      <c r="AP138" s="7" t="n"/>
      <c r="AQ138" s="7" t="n"/>
      <c r="AR138" s="7" t="n"/>
      <c r="AS138" s="7" t="n"/>
      <c r="AT138" s="7" t="n"/>
      <c r="AU138" s="7" t="n"/>
      <c r="AV138" s="7" t="n"/>
      <c r="AW138" s="7" t="n"/>
      <c r="AX138" s="7" t="n"/>
      <c r="AY138" s="7" t="n"/>
      <c r="BA138" s="42">
        <f>IF(COUNT(B138:AY138)=0,"",IF(TRIM(A138)&lt;&gt;"",TRIM(A138),IF(BA137="","(geen naam)",BA137)))</f>
        <v/>
      </c>
      <c r="BB138" s="42">
        <f>IF(BA138="","",IF(ISNA(MATCH(BA138,BA$120:BA137,0)),MAX(BB$120:BB137)+1,""))</f>
        <v/>
      </c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/>
      <c r="AK139" s="7" t="n"/>
      <c r="AL139" s="7" t="n"/>
      <c r="AM139" s="7" t="n"/>
      <c r="AN139" s="7" t="n"/>
      <c r="AO139" s="7" t="n"/>
      <c r="AP139" s="7" t="n"/>
      <c r="AQ139" s="7" t="n"/>
      <c r="AR139" s="7" t="n"/>
      <c r="AS139" s="7" t="n"/>
      <c r="AT139" s="7" t="n"/>
      <c r="AU139" s="7" t="n"/>
      <c r="AV139" s="7" t="n"/>
      <c r="AW139" s="7" t="n"/>
      <c r="AX139" s="7" t="n"/>
      <c r="AY139" s="7" t="n"/>
      <c r="BA139" s="42">
        <f>IF(COUNT(B139:AY139)=0,"",IF(TRIM(A139)&lt;&gt;"",TRIM(A139),IF(BA138="","(geen naam)",BA138)))</f>
        <v/>
      </c>
      <c r="BB139" s="42">
        <f>IF(BA139="","",IF(ISNA(MATCH(BA139,BA$120:BA138,0)),MAX(BB$120:BB138)+1,""))</f>
        <v/>
      </c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/>
      <c r="AK140" s="7" t="n"/>
      <c r="AL140" s="7" t="n"/>
      <c r="AM140" s="7" t="n"/>
      <c r="AN140" s="7" t="n"/>
      <c r="AO140" s="7" t="n"/>
      <c r="AP140" s="7" t="n"/>
      <c r="AQ140" s="7" t="n"/>
      <c r="AR140" s="7" t="n"/>
      <c r="AS140" s="7" t="n"/>
      <c r="AT140" s="7" t="n"/>
      <c r="AU140" s="7" t="n"/>
      <c r="AV140" s="7" t="n"/>
      <c r="AW140" s="7" t="n"/>
      <c r="AX140" s="7" t="n"/>
      <c r="AY140" s="7" t="n"/>
      <c r="BA140" s="42">
        <f>IF(COUNT(B140:AY140)=0,"",IF(TRIM(A140)&lt;&gt;"",TRIM(A140),IF(BA139="","(geen naam)",BA139)))</f>
        <v/>
      </c>
      <c r="BB140" s="42">
        <f>IF(BA140="","",IF(ISNA(MATCH(BA140,BA$120:BA139,0)),MAX(BB$120:BB139)+1,""))</f>
        <v/>
      </c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/>
      <c r="AK141" s="7" t="n"/>
      <c r="AL141" s="7" t="n"/>
      <c r="AM141" s="7" t="n"/>
      <c r="AN141" s="7" t="n"/>
      <c r="AO141" s="7" t="n"/>
      <c r="AP141" s="7" t="n"/>
      <c r="AQ141" s="7" t="n"/>
      <c r="AR141" s="7" t="n"/>
      <c r="AS141" s="7" t="n"/>
      <c r="AT141" s="7" t="n"/>
      <c r="AU141" s="7" t="n"/>
      <c r="AV141" s="7" t="n"/>
      <c r="AW141" s="7" t="n"/>
      <c r="AX141" s="7" t="n"/>
      <c r="AY141" s="7" t="n"/>
      <c r="BA141" s="42">
        <f>IF(COUNT(B141:AY141)=0,"",IF(TRIM(A141)&lt;&gt;"",TRIM(A141),IF(BA140="","(geen naam)",BA140)))</f>
        <v/>
      </c>
      <c r="BB141" s="42">
        <f>IF(BA141="","",IF(ISNA(MATCH(BA141,BA$120:BA140,0)),MAX(BB$120:BB140)+1,""))</f>
        <v/>
      </c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/>
      <c r="AK142" s="7" t="n"/>
      <c r="AL142" s="7" t="n"/>
      <c r="AM142" s="7" t="n"/>
      <c r="AN142" s="7" t="n"/>
      <c r="AO142" s="7" t="n"/>
      <c r="AP142" s="7" t="n"/>
      <c r="AQ142" s="7" t="n"/>
      <c r="AR142" s="7" t="n"/>
      <c r="AS142" s="7" t="n"/>
      <c r="AT142" s="7" t="n"/>
      <c r="AU142" s="7" t="n"/>
      <c r="AV142" s="7" t="n"/>
      <c r="AW142" s="7" t="n"/>
      <c r="AX142" s="7" t="n"/>
      <c r="AY142" s="7" t="n"/>
      <c r="BA142" s="42">
        <f>IF(COUNT(B142:AY142)=0,"",IF(TRIM(A142)&lt;&gt;"",TRIM(A142),IF(BA141="","(geen naam)",BA141)))</f>
        <v/>
      </c>
      <c r="BB142" s="42">
        <f>IF(BA142="","",IF(ISNA(MATCH(BA142,BA$120:BA141,0)),MAX(BB$120:BB141)+1,""))</f>
        <v/>
      </c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/>
      <c r="AK143" s="7" t="n"/>
      <c r="AL143" s="7" t="n"/>
      <c r="AM143" s="7" t="n"/>
      <c r="AN143" s="7" t="n"/>
      <c r="AO143" s="7" t="n"/>
      <c r="AP143" s="7" t="n"/>
      <c r="AQ143" s="7" t="n"/>
      <c r="AR143" s="7" t="n"/>
      <c r="AS143" s="7" t="n"/>
      <c r="AT143" s="7" t="n"/>
      <c r="AU143" s="7" t="n"/>
      <c r="AV143" s="7" t="n"/>
      <c r="AW143" s="7" t="n"/>
      <c r="AX143" s="7" t="n"/>
      <c r="AY143" s="7" t="n"/>
      <c r="BA143" s="42">
        <f>IF(COUNT(B143:AY143)=0,"",IF(TRIM(A143)&lt;&gt;"",TRIM(A143),IF(BA142="","(geen naam)",BA142)))</f>
        <v/>
      </c>
      <c r="BB143" s="42">
        <f>IF(BA143="","",IF(ISNA(MATCH(BA143,BA$120:BA142,0)),MAX(BB$120:BB142)+1,""))</f>
        <v/>
      </c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/>
      <c r="AK144" s="7" t="n"/>
      <c r="AL144" s="7" t="n"/>
      <c r="AM144" s="7" t="n"/>
      <c r="AN144" s="7" t="n"/>
      <c r="AO144" s="7" t="n"/>
      <c r="AP144" s="7" t="n"/>
      <c r="AQ144" s="7" t="n"/>
      <c r="AR144" s="7" t="n"/>
      <c r="AS144" s="7" t="n"/>
      <c r="AT144" s="7" t="n"/>
      <c r="AU144" s="7" t="n"/>
      <c r="AV144" s="7" t="n"/>
      <c r="AW144" s="7" t="n"/>
      <c r="AX144" s="7" t="n"/>
      <c r="AY144" s="7" t="n"/>
      <c r="BA144" s="42">
        <f>IF(COUNT(B144:AY144)=0,"",IF(TRIM(A144)&lt;&gt;"",TRIM(A144),IF(BA143="","(geen naam)",BA143)))</f>
        <v/>
      </c>
      <c r="BB144" s="42">
        <f>IF(BA144="","",IF(ISNA(MATCH(BA144,BA$120:BA143,0)),MAX(BB$120:BB143)+1,""))</f>
        <v/>
      </c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/>
      <c r="AK145" s="7" t="n"/>
      <c r="AL145" s="7" t="n"/>
      <c r="AM145" s="7" t="n"/>
      <c r="AN145" s="7" t="n"/>
      <c r="AO145" s="7" t="n"/>
      <c r="AP145" s="7" t="n"/>
      <c r="AQ145" s="7" t="n"/>
      <c r="AR145" s="7" t="n"/>
      <c r="AS145" s="7" t="n"/>
      <c r="AT145" s="7" t="n"/>
      <c r="AU145" s="7" t="n"/>
      <c r="AV145" s="7" t="n"/>
      <c r="AW145" s="7" t="n"/>
      <c r="AX145" s="7" t="n"/>
      <c r="AY145" s="7" t="n"/>
      <c r="BA145" s="42">
        <f>IF(COUNT(B145:AY145)=0,"",IF(TRIM(A145)&lt;&gt;"",TRIM(A145),IF(BA144="","(geen naam)",BA144)))</f>
        <v/>
      </c>
      <c r="BB145" s="42">
        <f>IF(BA145="","",IF(ISNA(MATCH(BA145,BA$120:BA144,0)),MAX(BB$120:BB144)+1,""))</f>
        <v/>
      </c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/>
      <c r="AK146" s="7" t="n"/>
      <c r="AL146" s="7" t="n"/>
      <c r="AM146" s="7" t="n"/>
      <c r="AN146" s="7" t="n"/>
      <c r="AO146" s="7" t="n"/>
      <c r="AP146" s="7" t="n"/>
      <c r="AQ146" s="7" t="n"/>
      <c r="AR146" s="7" t="n"/>
      <c r="AS146" s="7" t="n"/>
      <c r="AT146" s="7" t="n"/>
      <c r="AU146" s="7" t="n"/>
      <c r="AV146" s="7" t="n"/>
      <c r="AW146" s="7" t="n"/>
      <c r="AX146" s="7" t="n"/>
      <c r="AY146" s="7" t="n"/>
      <c r="BA146" s="42">
        <f>IF(COUNT(B146:AY146)=0,"",IF(TRIM(A146)&lt;&gt;"",TRIM(A146),IF(BA145="","(geen naam)",BA145)))</f>
        <v/>
      </c>
      <c r="BB146" s="42">
        <f>IF(BA146="","",IF(ISNA(MATCH(BA146,BA$120:BA145,0)),MAX(BB$120:BB145)+1,""))</f>
        <v/>
      </c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/>
      <c r="AK147" s="7" t="n"/>
      <c r="AL147" s="7" t="n"/>
      <c r="AM147" s="7" t="n"/>
      <c r="AN147" s="7" t="n"/>
      <c r="AO147" s="7" t="n"/>
      <c r="AP147" s="7" t="n"/>
      <c r="AQ147" s="7" t="n"/>
      <c r="AR147" s="7" t="n"/>
      <c r="AS147" s="7" t="n"/>
      <c r="AT147" s="7" t="n"/>
      <c r="AU147" s="7" t="n"/>
      <c r="AV147" s="7" t="n"/>
      <c r="AW147" s="7" t="n"/>
      <c r="AX147" s="7" t="n"/>
      <c r="AY147" s="7" t="n"/>
      <c r="BA147" s="42">
        <f>IF(COUNT(B147:AY147)=0,"",IF(TRIM(A147)&lt;&gt;"",TRIM(A147),IF(BA146="","(geen naam)",BA146)))</f>
        <v/>
      </c>
      <c r="BB147" s="42">
        <f>IF(BA147="","",IF(ISNA(MATCH(BA147,BA$120:BA146,0)),MAX(BB$120:BB146)+1,""))</f>
        <v/>
      </c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/>
      <c r="AK148" s="7" t="n"/>
      <c r="AL148" s="7" t="n"/>
      <c r="AM148" s="7" t="n"/>
      <c r="AN148" s="7" t="n"/>
      <c r="AO148" s="7" t="n"/>
      <c r="AP148" s="7" t="n"/>
      <c r="AQ148" s="7" t="n"/>
      <c r="AR148" s="7" t="n"/>
      <c r="AS148" s="7" t="n"/>
      <c r="AT148" s="7" t="n"/>
      <c r="AU148" s="7" t="n"/>
      <c r="AV148" s="7" t="n"/>
      <c r="AW148" s="7" t="n"/>
      <c r="AX148" s="7" t="n"/>
      <c r="AY148" s="7" t="n"/>
      <c r="BA148" s="42">
        <f>IF(COUNT(B148:AY148)=0,"",IF(TRIM(A148)&lt;&gt;"",TRIM(A148),IF(BA147="","(geen naam)",BA147)))</f>
        <v/>
      </c>
      <c r="BB148" s="42">
        <f>IF(BA148="","",IF(ISNA(MATCH(BA148,BA$120:BA147,0)),MAX(BB$120:BB147)+1,""))</f>
        <v/>
      </c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/>
      <c r="AK149" s="7" t="n"/>
      <c r="AL149" s="7" t="n"/>
      <c r="AM149" s="7" t="n"/>
      <c r="AN149" s="7" t="n"/>
      <c r="AO149" s="7" t="n"/>
      <c r="AP149" s="7" t="n"/>
      <c r="AQ149" s="7" t="n"/>
      <c r="AR149" s="7" t="n"/>
      <c r="AS149" s="7" t="n"/>
      <c r="AT149" s="7" t="n"/>
      <c r="AU149" s="7" t="n"/>
      <c r="AV149" s="7" t="n"/>
      <c r="AW149" s="7" t="n"/>
      <c r="AX149" s="7" t="n"/>
      <c r="AY149" s="7" t="n"/>
      <c r="BA149" s="42">
        <f>IF(COUNT(B149:AY149)=0,"",IF(TRIM(A149)&lt;&gt;"",TRIM(A149),IF(BA148="","(geen naam)",BA148)))</f>
        <v/>
      </c>
      <c r="BB149" s="42">
        <f>IF(BA149="","",IF(ISNA(MATCH(BA149,BA$120:BA148,0)),MAX(BB$120:BB148)+1,""))</f>
        <v/>
      </c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/>
      <c r="AK150" s="7" t="n"/>
      <c r="AL150" s="7" t="n"/>
      <c r="AM150" s="7" t="n"/>
      <c r="AN150" s="7" t="n"/>
      <c r="AO150" s="7" t="n"/>
      <c r="AP150" s="7" t="n"/>
      <c r="AQ150" s="7" t="n"/>
      <c r="AR150" s="7" t="n"/>
      <c r="AS150" s="7" t="n"/>
      <c r="AT150" s="7" t="n"/>
      <c r="AU150" s="7" t="n"/>
      <c r="AV150" s="7" t="n"/>
      <c r="AW150" s="7" t="n"/>
      <c r="AX150" s="7" t="n"/>
      <c r="AY150" s="7" t="n"/>
      <c r="BA150" s="42">
        <f>IF(COUNT(B150:AY150)=0,"",IF(TRIM(A150)&lt;&gt;"",TRIM(A150),IF(BA149="","(geen naam)",BA149)))</f>
        <v/>
      </c>
      <c r="BB150" s="42">
        <f>IF(BA150="","",IF(ISNA(MATCH(BA150,BA$120:BA149,0)),MAX(BB$120:BB149)+1,""))</f>
        <v/>
      </c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/>
      <c r="AK151" s="7" t="n"/>
      <c r="AL151" s="7" t="n"/>
      <c r="AM151" s="7" t="n"/>
      <c r="AN151" s="7" t="n"/>
      <c r="AO151" s="7" t="n"/>
      <c r="AP151" s="7" t="n"/>
      <c r="AQ151" s="7" t="n"/>
      <c r="AR151" s="7" t="n"/>
      <c r="AS151" s="7" t="n"/>
      <c r="AT151" s="7" t="n"/>
      <c r="AU151" s="7" t="n"/>
      <c r="AV151" s="7" t="n"/>
      <c r="AW151" s="7" t="n"/>
      <c r="AX151" s="7" t="n"/>
      <c r="AY151" s="7" t="n"/>
      <c r="BA151" s="42">
        <f>IF(COUNT(B151:AY151)=0,"",IF(TRIM(A151)&lt;&gt;"",TRIM(A151),IF(BA150="","(geen naam)",BA150)))</f>
        <v/>
      </c>
      <c r="BB151" s="42">
        <f>IF(BA151="","",IF(ISNA(MATCH(BA151,BA$120:BA150,0)),MAX(BB$120:BB150)+1,""))</f>
        <v/>
      </c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BA152" s="42">
        <f>IF(COUNT(B152:AY152)=0,"",IF(TRIM(A152)&lt;&gt;"",TRIM(A152),IF(BA151="","(geen naam)",BA151)))</f>
        <v/>
      </c>
      <c r="BB152" s="42">
        <f>IF(BA152="","",IF(ISNA(MATCH(BA152,BA$120:BA151,0)),MAX(BB$120:BB151)+1,""))</f>
        <v/>
      </c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/>
      <c r="AK153" s="7" t="n"/>
      <c r="AL153" s="7" t="n"/>
      <c r="AM153" s="7" t="n"/>
      <c r="AN153" s="7" t="n"/>
      <c r="AO153" s="7" t="n"/>
      <c r="AP153" s="7" t="n"/>
      <c r="AQ153" s="7" t="n"/>
      <c r="AR153" s="7" t="n"/>
      <c r="AS153" s="7" t="n"/>
      <c r="AT153" s="7" t="n"/>
      <c r="AU153" s="7" t="n"/>
      <c r="AV153" s="7" t="n"/>
      <c r="AW153" s="7" t="n"/>
      <c r="AX153" s="7" t="n"/>
      <c r="AY153" s="7" t="n"/>
      <c r="BA153" s="42">
        <f>IF(COUNT(B153:AY153)=0,"",IF(TRIM(A153)&lt;&gt;"",TRIM(A153),IF(BA152="","(geen naam)",BA152)))</f>
        <v/>
      </c>
      <c r="BB153" s="42">
        <f>IF(BA153="","",IF(ISNA(MATCH(BA153,BA$120:BA152,0)),MAX(BB$120:BB152)+1,""))</f>
        <v/>
      </c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/>
      <c r="AK154" s="7" t="n"/>
      <c r="AL154" s="7" t="n"/>
      <c r="AM154" s="7" t="n"/>
      <c r="AN154" s="7" t="n"/>
      <c r="AO154" s="7" t="n"/>
      <c r="AP154" s="7" t="n"/>
      <c r="AQ154" s="7" t="n"/>
      <c r="AR154" s="7" t="n"/>
      <c r="AS154" s="7" t="n"/>
      <c r="AT154" s="7" t="n"/>
      <c r="AU154" s="7" t="n"/>
      <c r="AV154" s="7" t="n"/>
      <c r="AW154" s="7" t="n"/>
      <c r="AX154" s="7" t="n"/>
      <c r="AY154" s="7" t="n"/>
      <c r="BA154" s="42">
        <f>IF(COUNT(B154:AY154)=0,"",IF(TRIM(A154)&lt;&gt;"",TRIM(A154),IF(BA153="","(geen naam)",BA153)))</f>
        <v/>
      </c>
      <c r="BB154" s="42">
        <f>IF(BA154="","",IF(ISNA(MATCH(BA154,BA$120:BA153,0)),MAX(BB$120:BB153)+1,""))</f>
        <v/>
      </c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/>
      <c r="AK155" s="7" t="n"/>
      <c r="AL155" s="7" t="n"/>
      <c r="AM155" s="7" t="n"/>
      <c r="AN155" s="7" t="n"/>
      <c r="AO155" s="7" t="n"/>
      <c r="AP155" s="7" t="n"/>
      <c r="AQ155" s="7" t="n"/>
      <c r="AR155" s="7" t="n"/>
      <c r="AS155" s="7" t="n"/>
      <c r="AT155" s="7" t="n"/>
      <c r="AU155" s="7" t="n"/>
      <c r="AV155" s="7" t="n"/>
      <c r="AW155" s="7" t="n"/>
      <c r="AX155" s="7" t="n"/>
      <c r="AY155" s="7" t="n"/>
      <c r="BA155" s="42">
        <f>IF(COUNT(B155:AY155)=0,"",IF(TRIM(A155)&lt;&gt;"",TRIM(A155),IF(BA154="","(geen naam)",BA154)))</f>
        <v/>
      </c>
      <c r="BB155" s="42">
        <f>IF(BA155="","",IF(ISNA(MATCH(BA155,BA$120:BA154,0)),MAX(BB$120:BB154)+1,""))</f>
        <v/>
      </c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/>
      <c r="AK156" s="7" t="n"/>
      <c r="AL156" s="7" t="n"/>
      <c r="AM156" s="7" t="n"/>
      <c r="AN156" s="7" t="n"/>
      <c r="AO156" s="7" t="n"/>
      <c r="AP156" s="7" t="n"/>
      <c r="AQ156" s="7" t="n"/>
      <c r="AR156" s="7" t="n"/>
      <c r="AS156" s="7" t="n"/>
      <c r="AT156" s="7" t="n"/>
      <c r="AU156" s="7" t="n"/>
      <c r="AV156" s="7" t="n"/>
      <c r="AW156" s="7" t="n"/>
      <c r="AX156" s="7" t="n"/>
      <c r="AY156" s="7" t="n"/>
      <c r="BA156" s="42">
        <f>IF(COUNT(B156:AY156)=0,"",IF(TRIM(A156)&lt;&gt;"",TRIM(A156),IF(BA155="","(geen naam)",BA155)))</f>
        <v/>
      </c>
      <c r="BB156" s="42">
        <f>IF(BA156="","",IF(ISNA(MATCH(BA156,BA$120:BA155,0)),MAX(BB$120:BB155)+1,""))</f>
        <v/>
      </c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/>
      <c r="AK157" s="7" t="n"/>
      <c r="AL157" s="7" t="n"/>
      <c r="AM157" s="7" t="n"/>
      <c r="AN157" s="7" t="n"/>
      <c r="AO157" s="7" t="n"/>
      <c r="AP157" s="7" t="n"/>
      <c r="AQ157" s="7" t="n"/>
      <c r="AR157" s="7" t="n"/>
      <c r="AS157" s="7" t="n"/>
      <c r="AT157" s="7" t="n"/>
      <c r="AU157" s="7" t="n"/>
      <c r="AV157" s="7" t="n"/>
      <c r="AW157" s="7" t="n"/>
      <c r="AX157" s="7" t="n"/>
      <c r="AY157" s="7" t="n"/>
      <c r="BA157" s="42">
        <f>IF(COUNT(B157:AY157)=0,"",IF(TRIM(A157)&lt;&gt;"",TRIM(A157),IF(BA156="","(geen naam)",BA156)))</f>
        <v/>
      </c>
      <c r="BB157" s="42">
        <f>IF(BA157="","",IF(ISNA(MATCH(BA157,BA$120:BA156,0)),MAX(BB$120:BB156)+1,""))</f>
        <v/>
      </c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/>
      <c r="AK158" s="7" t="n"/>
      <c r="AL158" s="7" t="n"/>
      <c r="AM158" s="7" t="n"/>
      <c r="AN158" s="7" t="n"/>
      <c r="AO158" s="7" t="n"/>
      <c r="AP158" s="7" t="n"/>
      <c r="AQ158" s="7" t="n"/>
      <c r="AR158" s="7" t="n"/>
      <c r="AS158" s="7" t="n"/>
      <c r="AT158" s="7" t="n"/>
      <c r="AU158" s="7" t="n"/>
      <c r="AV158" s="7" t="n"/>
      <c r="AW158" s="7" t="n"/>
      <c r="AX158" s="7" t="n"/>
      <c r="AY158" s="7" t="n"/>
      <c r="BA158" s="42">
        <f>IF(COUNT(B158:AY158)=0,"",IF(TRIM(A158)&lt;&gt;"",TRIM(A158),IF(BA157="","(geen naam)",BA157)))</f>
        <v/>
      </c>
      <c r="BB158" s="42">
        <f>IF(BA158="","",IF(ISNA(MATCH(BA158,BA$120:BA157,0)),MAX(BB$120:BB157)+1,""))</f>
        <v/>
      </c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/>
      <c r="AK159" s="7" t="n"/>
      <c r="AL159" s="7" t="n"/>
      <c r="AM159" s="7" t="n"/>
      <c r="AN159" s="7" t="n"/>
      <c r="AO159" s="7" t="n"/>
      <c r="AP159" s="7" t="n"/>
      <c r="AQ159" s="7" t="n"/>
      <c r="AR159" s="7" t="n"/>
      <c r="AS159" s="7" t="n"/>
      <c r="AT159" s="7" t="n"/>
      <c r="AU159" s="7" t="n"/>
      <c r="AV159" s="7" t="n"/>
      <c r="AW159" s="7" t="n"/>
      <c r="AX159" s="7" t="n"/>
      <c r="AY159" s="7" t="n"/>
      <c r="BA159" s="42">
        <f>IF(COUNT(B159:AY159)=0,"",IF(TRIM(A159)&lt;&gt;"",TRIM(A159),IF(BA158="","(geen naam)",BA158)))</f>
        <v/>
      </c>
      <c r="BB159" s="42">
        <f>IF(BA159="","",IF(ISNA(MATCH(BA159,BA$120:BA158,0)),MAX(BB$120:BB158)+1,""))</f>
        <v/>
      </c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/>
      <c r="AK160" s="7" t="n"/>
      <c r="AL160" s="7" t="n"/>
      <c r="AM160" s="7" t="n"/>
      <c r="AN160" s="7" t="n"/>
      <c r="AO160" s="7" t="n"/>
      <c r="AP160" s="7" t="n"/>
      <c r="AQ160" s="7" t="n"/>
      <c r="AR160" s="7" t="n"/>
      <c r="AS160" s="7" t="n"/>
      <c r="AT160" s="7" t="n"/>
      <c r="AU160" s="7" t="n"/>
      <c r="AV160" s="7" t="n"/>
      <c r="AW160" s="7" t="n"/>
      <c r="AX160" s="7" t="n"/>
      <c r="AY160" s="7" t="n"/>
      <c r="BA160" s="42">
        <f>IF(COUNT(B160:AY160)=0,"",IF(TRIM(A160)&lt;&gt;"",TRIM(A160),IF(BA159="","(geen naam)",BA159)))</f>
        <v/>
      </c>
      <c r="BB160" s="42">
        <f>IF(BA160="","",IF(ISNA(MATCH(BA160,BA$120:BA159,0)),MAX(BB$120:BB159)+1,""))</f>
        <v/>
      </c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/>
      <c r="AK161" s="7" t="n"/>
      <c r="AL161" s="7" t="n"/>
      <c r="AM161" s="7" t="n"/>
      <c r="AN161" s="7" t="n"/>
      <c r="AO161" s="7" t="n"/>
      <c r="AP161" s="7" t="n"/>
      <c r="AQ161" s="7" t="n"/>
      <c r="AR161" s="7" t="n"/>
      <c r="AS161" s="7" t="n"/>
      <c r="AT161" s="7" t="n"/>
      <c r="AU161" s="7" t="n"/>
      <c r="AV161" s="7" t="n"/>
      <c r="AW161" s="7" t="n"/>
      <c r="AX161" s="7" t="n"/>
      <c r="AY161" s="7" t="n"/>
      <c r="BA161" s="42">
        <f>IF(COUNT(B161:AY161)=0,"",IF(TRIM(A161)&lt;&gt;"",TRIM(A161),IF(BA160="","(geen naam)",BA160)))</f>
        <v/>
      </c>
      <c r="BB161" s="42">
        <f>IF(BA161="","",IF(ISNA(MATCH(BA161,BA$120:BA160,0)),MAX(BB$120:BB160)+1,""))</f>
        <v/>
      </c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/>
      <c r="AK162" s="7" t="n"/>
      <c r="AL162" s="7" t="n"/>
      <c r="AM162" s="7" t="n"/>
      <c r="AN162" s="7" t="n"/>
      <c r="AO162" s="7" t="n"/>
      <c r="AP162" s="7" t="n"/>
      <c r="AQ162" s="7" t="n"/>
      <c r="AR162" s="7" t="n"/>
      <c r="AS162" s="7" t="n"/>
      <c r="AT162" s="7" t="n"/>
      <c r="AU162" s="7" t="n"/>
      <c r="AV162" s="7" t="n"/>
      <c r="AW162" s="7" t="n"/>
      <c r="AX162" s="7" t="n"/>
      <c r="AY162" s="7" t="n"/>
      <c r="BA162" s="42">
        <f>IF(COUNT(B162:AY162)=0,"",IF(TRIM(A162)&lt;&gt;"",TRIM(A162),IF(BA161="","(geen naam)",BA161)))</f>
        <v/>
      </c>
      <c r="BB162" s="42">
        <f>IF(BA162="","",IF(ISNA(MATCH(BA162,BA$120:BA161,0)),MAX(BB$120:BB161)+1,""))</f>
        <v/>
      </c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/>
      <c r="AK163" s="7" t="n"/>
      <c r="AL163" s="7" t="n"/>
      <c r="AM163" s="7" t="n"/>
      <c r="AN163" s="7" t="n"/>
      <c r="AO163" s="7" t="n"/>
      <c r="AP163" s="7" t="n"/>
      <c r="AQ163" s="7" t="n"/>
      <c r="AR163" s="7" t="n"/>
      <c r="AS163" s="7" t="n"/>
      <c r="AT163" s="7" t="n"/>
      <c r="AU163" s="7" t="n"/>
      <c r="AV163" s="7" t="n"/>
      <c r="AW163" s="7" t="n"/>
      <c r="AX163" s="7" t="n"/>
      <c r="AY163" s="7" t="n"/>
      <c r="BA163" s="42">
        <f>IF(COUNT(B163:AY163)=0,"",IF(TRIM(A163)&lt;&gt;"",TRIM(A163),IF(BA162="","(geen naam)",BA162)))</f>
        <v/>
      </c>
      <c r="BB163" s="42">
        <f>IF(BA163="","",IF(ISNA(MATCH(BA163,BA$120:BA162,0)),MAX(BB$120:BB162)+1,""))</f>
        <v/>
      </c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BA164" s="42">
        <f>IF(COUNT(B164:AY164)=0,"",IF(TRIM(A164)&lt;&gt;"",TRIM(A164),IF(BA163="","(geen naam)",BA163)))</f>
        <v/>
      </c>
      <c r="BB164" s="42">
        <f>IF(BA164="","",IF(ISNA(MATCH(BA164,BA$120:BA163,0)),MAX(BB$120:BB163)+1,""))</f>
        <v/>
      </c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/>
      <c r="AK165" s="7" t="n"/>
      <c r="AL165" s="7" t="n"/>
      <c r="AM165" s="7" t="n"/>
      <c r="AN165" s="7" t="n"/>
      <c r="AO165" s="7" t="n"/>
      <c r="AP165" s="7" t="n"/>
      <c r="AQ165" s="7" t="n"/>
      <c r="AR165" s="7" t="n"/>
      <c r="AS165" s="7" t="n"/>
      <c r="AT165" s="7" t="n"/>
      <c r="AU165" s="7" t="n"/>
      <c r="AV165" s="7" t="n"/>
      <c r="AW165" s="7" t="n"/>
      <c r="AX165" s="7" t="n"/>
      <c r="AY165" s="7" t="n"/>
      <c r="BA165" s="42">
        <f>IF(COUNT(B165:AY165)=0,"",IF(TRIM(A165)&lt;&gt;"",TRIM(A165),IF(BA164="","(geen naam)",BA164)))</f>
        <v/>
      </c>
      <c r="BB165" s="42">
        <f>IF(BA165="","",IF(ISNA(MATCH(BA165,BA$120:BA164,0)),MAX(BB$120:BB164)+1,""))</f>
        <v/>
      </c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/>
      <c r="AK166" s="7" t="n"/>
      <c r="AL166" s="7" t="n"/>
      <c r="AM166" s="7" t="n"/>
      <c r="AN166" s="7" t="n"/>
      <c r="AO166" s="7" t="n"/>
      <c r="AP166" s="7" t="n"/>
      <c r="AQ166" s="7" t="n"/>
      <c r="AR166" s="7" t="n"/>
      <c r="AS166" s="7" t="n"/>
      <c r="AT166" s="7" t="n"/>
      <c r="AU166" s="7" t="n"/>
      <c r="AV166" s="7" t="n"/>
      <c r="AW166" s="7" t="n"/>
      <c r="AX166" s="7" t="n"/>
      <c r="AY166" s="7" t="n"/>
      <c r="BA166" s="42">
        <f>IF(COUNT(B166:AY166)=0,"",IF(TRIM(A166)&lt;&gt;"",TRIM(A166),IF(BA165="","(geen naam)",BA165)))</f>
        <v/>
      </c>
      <c r="BB166" s="42">
        <f>IF(BA166="","",IF(ISNA(MATCH(BA166,BA$120:BA165,0)),MAX(BB$120:BB165)+1,""))</f>
        <v/>
      </c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/>
      <c r="AK167" s="7" t="n"/>
      <c r="AL167" s="7" t="n"/>
      <c r="AM167" s="7" t="n"/>
      <c r="AN167" s="7" t="n"/>
      <c r="AO167" s="7" t="n"/>
      <c r="AP167" s="7" t="n"/>
      <c r="AQ167" s="7" t="n"/>
      <c r="AR167" s="7" t="n"/>
      <c r="AS167" s="7" t="n"/>
      <c r="AT167" s="7" t="n"/>
      <c r="AU167" s="7" t="n"/>
      <c r="AV167" s="7" t="n"/>
      <c r="AW167" s="7" t="n"/>
      <c r="AX167" s="7" t="n"/>
      <c r="AY167" s="7" t="n"/>
      <c r="BA167" s="42">
        <f>IF(COUNT(B167:AY167)=0,"",IF(TRIM(A167)&lt;&gt;"",TRIM(A167),IF(BA166="","(geen naam)",BA166)))</f>
        <v/>
      </c>
      <c r="BB167" s="42">
        <f>IF(BA167="","",IF(ISNA(MATCH(BA167,BA$120:BA166,0)),MAX(BB$120:BB166)+1,""))</f>
        <v/>
      </c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/>
      <c r="AK168" s="7" t="n"/>
      <c r="AL168" s="7" t="n"/>
      <c r="AM168" s="7" t="n"/>
      <c r="AN168" s="7" t="n"/>
      <c r="AO168" s="7" t="n"/>
      <c r="AP168" s="7" t="n"/>
      <c r="AQ168" s="7" t="n"/>
      <c r="AR168" s="7" t="n"/>
      <c r="AS168" s="7" t="n"/>
      <c r="AT168" s="7" t="n"/>
      <c r="AU168" s="7" t="n"/>
      <c r="AV168" s="7" t="n"/>
      <c r="AW168" s="7" t="n"/>
      <c r="AX168" s="7" t="n"/>
      <c r="AY168" s="7" t="n"/>
      <c r="BA168" s="42">
        <f>IF(COUNT(B168:AY168)=0,"",IF(TRIM(A168)&lt;&gt;"",TRIM(A168),IF(BA167="","(geen naam)",BA167)))</f>
        <v/>
      </c>
      <c r="BB168" s="42">
        <f>IF(BA168="","",IF(ISNA(MATCH(BA168,BA$120:BA167,0)),MAX(BB$120:BB167)+1,""))</f>
        <v/>
      </c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/>
      <c r="AK169" s="7" t="n"/>
      <c r="AL169" s="7" t="n"/>
      <c r="AM169" s="7" t="n"/>
      <c r="AN169" s="7" t="n"/>
      <c r="AO169" s="7" t="n"/>
      <c r="AP169" s="7" t="n"/>
      <c r="AQ169" s="7" t="n"/>
      <c r="AR169" s="7" t="n"/>
      <c r="AS169" s="7" t="n"/>
      <c r="AT169" s="7" t="n"/>
      <c r="AU169" s="7" t="n"/>
      <c r="AV169" s="7" t="n"/>
      <c r="AW169" s="7" t="n"/>
      <c r="AX169" s="7" t="n"/>
      <c r="AY169" s="7" t="n"/>
      <c r="BA169" s="42">
        <f>IF(COUNT(B169:AY169)=0,"",IF(TRIM(A169)&lt;&gt;"",TRIM(A169),IF(BA168="","(geen naam)",BA168)))</f>
        <v/>
      </c>
      <c r="BB169" s="42">
        <f>IF(BA169="","",IF(ISNA(MATCH(BA169,BA$120:BA168,0)),MAX(BB$120:BB168)+1,""))</f>
        <v/>
      </c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7" t="n"/>
      <c r="AM170" s="7" t="n"/>
      <c r="AN170" s="7" t="n"/>
      <c r="AO170" s="7" t="n"/>
      <c r="AP170" s="7" t="n"/>
      <c r="AQ170" s="7" t="n"/>
      <c r="AR170" s="7" t="n"/>
      <c r="AS170" s="7" t="n"/>
      <c r="AT170" s="7" t="n"/>
      <c r="AU170" s="7" t="n"/>
      <c r="AV170" s="7" t="n"/>
      <c r="AW170" s="7" t="n"/>
      <c r="AX170" s="7" t="n"/>
      <c r="AY170" s="7" t="n"/>
      <c r="BA170" s="42">
        <f>IF(COUNT(B170:AY170)=0,"",IF(TRIM(A170)&lt;&gt;"",TRIM(A170),IF(BA169="","(geen naam)",BA169)))</f>
        <v/>
      </c>
      <c r="BB170" s="42">
        <f>IF(BA170="","",IF(ISNA(MATCH(BA170,BA$120:BA169,0)),MAX(BB$120:BB169)+1,""))</f>
        <v/>
      </c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7" t="n"/>
      <c r="AM171" s="7" t="n"/>
      <c r="AN171" s="7" t="n"/>
      <c r="AO171" s="7" t="n"/>
      <c r="AP171" s="7" t="n"/>
      <c r="AQ171" s="7" t="n"/>
      <c r="AR171" s="7" t="n"/>
      <c r="AS171" s="7" t="n"/>
      <c r="AT171" s="7" t="n"/>
      <c r="AU171" s="7" t="n"/>
      <c r="AV171" s="7" t="n"/>
      <c r="AW171" s="7" t="n"/>
      <c r="AX171" s="7" t="n"/>
      <c r="AY171" s="7" t="n"/>
      <c r="BA171" s="42">
        <f>IF(COUNT(B171:AY171)=0,"",IF(TRIM(A171)&lt;&gt;"",TRIM(A171),IF(BA170="","(geen naam)",BA170)))</f>
        <v/>
      </c>
      <c r="BB171" s="42">
        <f>IF(BA171="","",IF(ISNA(MATCH(BA171,BA$120:BA170,0)),MAX(BB$120:BB170)+1,""))</f>
        <v/>
      </c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/>
      <c r="AF172" s="7" t="n"/>
      <c r="AG172" s="7" t="n"/>
      <c r="AH172" s="7" t="n"/>
      <c r="AI172" s="7" t="n"/>
      <c r="AJ172" s="7" t="n"/>
      <c r="AK172" s="7" t="n"/>
      <c r="AL172" s="7" t="n"/>
      <c r="AM172" s="7" t="n"/>
      <c r="AN172" s="7" t="n"/>
      <c r="AO172" s="7" t="n"/>
      <c r="AP172" s="7" t="n"/>
      <c r="AQ172" s="7" t="n"/>
      <c r="AR172" s="7" t="n"/>
      <c r="AS172" s="7" t="n"/>
      <c r="AT172" s="7" t="n"/>
      <c r="AU172" s="7" t="n"/>
      <c r="AV172" s="7" t="n"/>
      <c r="AW172" s="7" t="n"/>
      <c r="AX172" s="7" t="n"/>
      <c r="AY172" s="7" t="n"/>
      <c r="BA172" s="42">
        <f>IF(COUNT(B172:AY172)=0,"",IF(TRIM(A172)&lt;&gt;"",TRIM(A172),IF(BA171="","(geen naam)",BA171)))</f>
        <v/>
      </c>
      <c r="BB172" s="42">
        <f>IF(BA172="","",IF(ISNA(MATCH(BA172,BA$120:BA171,0)),MAX(BB$120:BB171)+1,""))</f>
        <v/>
      </c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  <c r="AJ173" s="7" t="n"/>
      <c r="AK173" s="7" t="n"/>
      <c r="AL173" s="7" t="n"/>
      <c r="AM173" s="7" t="n"/>
      <c r="AN173" s="7" t="n"/>
      <c r="AO173" s="7" t="n"/>
      <c r="AP173" s="7" t="n"/>
      <c r="AQ173" s="7" t="n"/>
      <c r="AR173" s="7" t="n"/>
      <c r="AS173" s="7" t="n"/>
      <c r="AT173" s="7" t="n"/>
      <c r="AU173" s="7" t="n"/>
      <c r="AV173" s="7" t="n"/>
      <c r="AW173" s="7" t="n"/>
      <c r="AX173" s="7" t="n"/>
      <c r="AY173" s="7" t="n"/>
      <c r="BA173" s="42">
        <f>IF(COUNT(B173:AY173)=0,"",IF(TRIM(A173)&lt;&gt;"",TRIM(A173),IF(BA172="","(geen naam)",BA172)))</f>
        <v/>
      </c>
      <c r="BB173" s="42">
        <f>IF(BA173="","",IF(ISNA(MATCH(BA173,BA$120:BA172,0)),MAX(BB$120:BB172)+1,""))</f>
        <v/>
      </c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7" t="n"/>
      <c r="AM174" s="7" t="n"/>
      <c r="AN174" s="7" t="n"/>
      <c r="AO174" s="7" t="n"/>
      <c r="AP174" s="7" t="n"/>
      <c r="AQ174" s="7" t="n"/>
      <c r="AR174" s="7" t="n"/>
      <c r="AS174" s="7" t="n"/>
      <c r="AT174" s="7" t="n"/>
      <c r="AU174" s="7" t="n"/>
      <c r="AV174" s="7" t="n"/>
      <c r="AW174" s="7" t="n"/>
      <c r="AX174" s="7" t="n"/>
      <c r="AY174" s="7" t="n"/>
      <c r="BA174" s="42">
        <f>IF(COUNT(B174:AY174)=0,"",IF(TRIM(A174)&lt;&gt;"",TRIM(A174),IF(BA173="","(geen naam)",BA173)))</f>
        <v/>
      </c>
      <c r="BB174" s="42">
        <f>IF(BA174="","",IF(ISNA(MATCH(BA174,BA$120:BA173,0)),MAX(BB$120:BB173)+1,""))</f>
        <v/>
      </c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BA175" s="42">
        <f>IF(COUNT(B175:AY175)=0,"",IF(TRIM(A175)&lt;&gt;"",TRIM(A175),IF(BA174="","(geen naam)",BA174)))</f>
        <v/>
      </c>
      <c r="BB175" s="42">
        <f>IF(BA175="","",IF(ISNA(MATCH(BA175,BA$120:BA174,0)),MAX(BB$120:BB174)+1,""))</f>
        <v/>
      </c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7" t="n"/>
      <c r="AM176" s="7" t="n"/>
      <c r="AN176" s="7" t="n"/>
      <c r="AO176" s="7" t="n"/>
      <c r="AP176" s="7" t="n"/>
      <c r="AQ176" s="7" t="n"/>
      <c r="AR176" s="7" t="n"/>
      <c r="AS176" s="7" t="n"/>
      <c r="AT176" s="7" t="n"/>
      <c r="AU176" s="7" t="n"/>
      <c r="AV176" s="7" t="n"/>
      <c r="AW176" s="7" t="n"/>
      <c r="AX176" s="7" t="n"/>
      <c r="AY176" s="7" t="n"/>
      <c r="BA176" s="42">
        <f>IF(COUNT(B176:AY176)=0,"",IF(TRIM(A176)&lt;&gt;"",TRIM(A176),IF(BA175="","(geen naam)",BA175)))</f>
        <v/>
      </c>
      <c r="BB176" s="42">
        <f>IF(BA176="","",IF(ISNA(MATCH(BA176,BA$120:BA175,0)),MAX(BB$120:BB175)+1,""))</f>
        <v/>
      </c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7" t="n"/>
      <c r="AM177" s="7" t="n"/>
      <c r="AN177" s="7" t="n"/>
      <c r="AO177" s="7" t="n"/>
      <c r="AP177" s="7" t="n"/>
      <c r="AQ177" s="7" t="n"/>
      <c r="AR177" s="7" t="n"/>
      <c r="AS177" s="7" t="n"/>
      <c r="AT177" s="7" t="n"/>
      <c r="AU177" s="7" t="n"/>
      <c r="AV177" s="7" t="n"/>
      <c r="AW177" s="7" t="n"/>
      <c r="AX177" s="7" t="n"/>
      <c r="AY177" s="7" t="n"/>
      <c r="BA177" s="42">
        <f>IF(COUNT(B177:AY177)=0,"",IF(TRIM(A177)&lt;&gt;"",TRIM(A177),IF(BA176="","(geen naam)",BA176)))</f>
        <v/>
      </c>
      <c r="BB177" s="42">
        <f>IF(BA177="","",IF(ISNA(MATCH(BA177,BA$120:BA176,0)),MAX(BB$120:BB176)+1,""))</f>
        <v/>
      </c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7" t="n"/>
      <c r="AM178" s="7" t="n"/>
      <c r="AN178" s="7" t="n"/>
      <c r="AO178" s="7" t="n"/>
      <c r="AP178" s="7" t="n"/>
      <c r="AQ178" s="7" t="n"/>
      <c r="AR178" s="7" t="n"/>
      <c r="AS178" s="7" t="n"/>
      <c r="AT178" s="7" t="n"/>
      <c r="AU178" s="7" t="n"/>
      <c r="AV178" s="7" t="n"/>
      <c r="AW178" s="7" t="n"/>
      <c r="AX178" s="7" t="n"/>
      <c r="AY178" s="7" t="n"/>
      <c r="BA178" s="42">
        <f>IF(COUNT(B178:AY178)=0,"",IF(TRIM(A178)&lt;&gt;"",TRIM(A178),IF(BA177="","(geen naam)",BA177)))</f>
        <v/>
      </c>
      <c r="BB178" s="42">
        <f>IF(BA178="","",IF(ISNA(MATCH(BA178,BA$120:BA177,0)),MAX(BB$120:BB177)+1,""))</f>
        <v/>
      </c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  <c r="AJ179" s="7" t="n"/>
      <c r="AK179" s="7" t="n"/>
      <c r="AL179" s="7" t="n"/>
      <c r="AM179" s="7" t="n"/>
      <c r="AN179" s="7" t="n"/>
      <c r="AO179" s="7" t="n"/>
      <c r="AP179" s="7" t="n"/>
      <c r="AQ179" s="7" t="n"/>
      <c r="AR179" s="7" t="n"/>
      <c r="AS179" s="7" t="n"/>
      <c r="AT179" s="7" t="n"/>
      <c r="AU179" s="7" t="n"/>
      <c r="AV179" s="7" t="n"/>
      <c r="AW179" s="7" t="n"/>
      <c r="AX179" s="7" t="n"/>
      <c r="AY179" s="7" t="n"/>
      <c r="BA179" s="42">
        <f>IF(COUNT(B179:AY179)=0,"",IF(TRIM(A179)&lt;&gt;"",TRIM(A179),IF(BA178="","(geen naam)",BA178)))</f>
        <v/>
      </c>
      <c r="BB179" s="42">
        <f>IF(BA179="","",IF(ISNA(MATCH(BA179,BA$120:BA178,0)),MAX(BB$120:BB178)+1,""))</f>
        <v/>
      </c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/>
      <c r="AE180" s="7" t="n"/>
      <c r="AF180" s="7" t="n"/>
      <c r="AG180" s="7" t="n"/>
      <c r="AH180" s="7" t="n"/>
      <c r="AI180" s="7" t="n"/>
      <c r="AJ180" s="7" t="n"/>
      <c r="AK180" s="7" t="n"/>
      <c r="AL180" s="7" t="n"/>
      <c r="AM180" s="7" t="n"/>
      <c r="AN180" s="7" t="n"/>
      <c r="AO180" s="7" t="n"/>
      <c r="AP180" s="7" t="n"/>
      <c r="AQ180" s="7" t="n"/>
      <c r="AR180" s="7" t="n"/>
      <c r="AS180" s="7" t="n"/>
      <c r="AT180" s="7" t="n"/>
      <c r="AU180" s="7" t="n"/>
      <c r="AV180" s="7" t="n"/>
      <c r="AW180" s="7" t="n"/>
      <c r="AX180" s="7" t="n"/>
      <c r="AY180" s="7" t="n"/>
      <c r="BA180" s="42">
        <f>IF(COUNT(B180:AY180)=0,"",IF(TRIM(A180)&lt;&gt;"",TRIM(A180),IF(BA179="","(geen naam)",BA179)))</f>
        <v/>
      </c>
      <c r="BB180" s="42">
        <f>IF(BA180="","",IF(ISNA(MATCH(BA180,BA$120:BA179,0)),MAX(BB$120:BB179)+1,""))</f>
        <v/>
      </c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  <c r="AC181" s="7" t="n"/>
      <c r="AD181" s="7" t="n"/>
      <c r="AE181" s="7" t="n"/>
      <c r="AF181" s="7" t="n"/>
      <c r="AG181" s="7" t="n"/>
      <c r="AH181" s="7" t="n"/>
      <c r="AI181" s="7" t="n"/>
      <c r="AJ181" s="7" t="n"/>
      <c r="AK181" s="7" t="n"/>
      <c r="AL181" s="7" t="n"/>
      <c r="AM181" s="7" t="n"/>
      <c r="AN181" s="7" t="n"/>
      <c r="AO181" s="7" t="n"/>
      <c r="AP181" s="7" t="n"/>
      <c r="AQ181" s="7" t="n"/>
      <c r="AR181" s="7" t="n"/>
      <c r="AS181" s="7" t="n"/>
      <c r="AT181" s="7" t="n"/>
      <c r="AU181" s="7" t="n"/>
      <c r="AV181" s="7" t="n"/>
      <c r="AW181" s="7" t="n"/>
      <c r="AX181" s="7" t="n"/>
      <c r="AY181" s="7" t="n"/>
      <c r="BA181" s="42">
        <f>IF(COUNT(B181:AY181)=0,"",IF(TRIM(A181)&lt;&gt;"",TRIM(A181),IF(BA180="","(geen naam)",BA180)))</f>
        <v/>
      </c>
      <c r="BB181" s="42">
        <f>IF(BA181="","",IF(ISNA(MATCH(BA181,BA$120:BA180,0)),MAX(BB$120:BB180)+1,""))</f>
        <v/>
      </c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  <c r="AC182" s="7" t="n"/>
      <c r="AD182" s="7" t="n"/>
      <c r="AE182" s="7" t="n"/>
      <c r="AF182" s="7" t="n"/>
      <c r="AG182" s="7" t="n"/>
      <c r="AH182" s="7" t="n"/>
      <c r="AI182" s="7" t="n"/>
      <c r="AJ182" s="7" t="n"/>
      <c r="AK182" s="7" t="n"/>
      <c r="AL182" s="7" t="n"/>
      <c r="AM182" s="7" t="n"/>
      <c r="AN182" s="7" t="n"/>
      <c r="AO182" s="7" t="n"/>
      <c r="AP182" s="7" t="n"/>
      <c r="AQ182" s="7" t="n"/>
      <c r="AR182" s="7" t="n"/>
      <c r="AS182" s="7" t="n"/>
      <c r="AT182" s="7" t="n"/>
      <c r="AU182" s="7" t="n"/>
      <c r="AV182" s="7" t="n"/>
      <c r="AW182" s="7" t="n"/>
      <c r="AX182" s="7" t="n"/>
      <c r="AY182" s="7" t="n"/>
      <c r="BA182" s="42">
        <f>IF(COUNT(B182:AY182)=0,"",IF(TRIM(A182)&lt;&gt;"",TRIM(A182),IF(BA181="","(geen naam)",BA181)))</f>
        <v/>
      </c>
      <c r="BB182" s="42">
        <f>IF(BA182="","",IF(ISNA(MATCH(BA182,BA$120:BA181,0)),MAX(BB$120:BB181)+1,""))</f>
        <v/>
      </c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  <c r="AC183" s="7" t="n"/>
      <c r="AD183" s="7" t="n"/>
      <c r="AE183" s="7" t="n"/>
      <c r="AF183" s="7" t="n"/>
      <c r="AG183" s="7" t="n"/>
      <c r="AH183" s="7" t="n"/>
      <c r="AI183" s="7" t="n"/>
      <c r="AJ183" s="7" t="n"/>
      <c r="AK183" s="7" t="n"/>
      <c r="AL183" s="7" t="n"/>
      <c r="AM183" s="7" t="n"/>
      <c r="AN183" s="7" t="n"/>
      <c r="AO183" s="7" t="n"/>
      <c r="AP183" s="7" t="n"/>
      <c r="AQ183" s="7" t="n"/>
      <c r="AR183" s="7" t="n"/>
      <c r="AS183" s="7" t="n"/>
      <c r="AT183" s="7" t="n"/>
      <c r="AU183" s="7" t="n"/>
      <c r="AV183" s="7" t="n"/>
      <c r="AW183" s="7" t="n"/>
      <c r="AX183" s="7" t="n"/>
      <c r="AY183" s="7" t="n"/>
      <c r="BA183" s="42">
        <f>IF(COUNT(B183:AY183)=0,"",IF(TRIM(A183)&lt;&gt;"",TRIM(A183),IF(BA182="","(geen naam)",BA182)))</f>
        <v/>
      </c>
      <c r="BB183" s="42">
        <f>IF(BA183="","",IF(ISNA(MATCH(BA183,BA$120:BA182,0)),MAX(BB$120:BB182)+1,""))</f>
        <v/>
      </c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  <c r="AC184" s="7" t="n"/>
      <c r="AD184" s="7" t="n"/>
      <c r="AE184" s="7" t="n"/>
      <c r="AF184" s="7" t="n"/>
      <c r="AG184" s="7" t="n"/>
      <c r="AH184" s="7" t="n"/>
      <c r="AI184" s="7" t="n"/>
      <c r="AJ184" s="7" t="n"/>
      <c r="AK184" s="7" t="n"/>
      <c r="AL184" s="7" t="n"/>
      <c r="AM184" s="7" t="n"/>
      <c r="AN184" s="7" t="n"/>
      <c r="AO184" s="7" t="n"/>
      <c r="AP184" s="7" t="n"/>
      <c r="AQ184" s="7" t="n"/>
      <c r="AR184" s="7" t="n"/>
      <c r="AS184" s="7" t="n"/>
      <c r="AT184" s="7" t="n"/>
      <c r="AU184" s="7" t="n"/>
      <c r="AV184" s="7" t="n"/>
      <c r="AW184" s="7" t="n"/>
      <c r="AX184" s="7" t="n"/>
      <c r="AY184" s="7" t="n"/>
      <c r="BA184" s="42">
        <f>IF(COUNT(B184:AY184)=0,"",IF(TRIM(A184)&lt;&gt;"",TRIM(A184),IF(BA183="","(geen naam)",BA183)))</f>
        <v/>
      </c>
      <c r="BB184" s="42">
        <f>IF(BA184="","",IF(ISNA(MATCH(BA184,BA$120:BA183,0)),MAX(BB$120:BB183)+1,""))</f>
        <v/>
      </c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  <c r="AC185" s="7" t="n"/>
      <c r="AD185" s="7" t="n"/>
      <c r="AE185" s="7" t="n"/>
      <c r="AF185" s="7" t="n"/>
      <c r="AG185" s="7" t="n"/>
      <c r="AH185" s="7" t="n"/>
      <c r="AI185" s="7" t="n"/>
      <c r="AJ185" s="7" t="n"/>
      <c r="AK185" s="7" t="n"/>
      <c r="AL185" s="7" t="n"/>
      <c r="AM185" s="7" t="n"/>
      <c r="AN185" s="7" t="n"/>
      <c r="AO185" s="7" t="n"/>
      <c r="AP185" s="7" t="n"/>
      <c r="AQ185" s="7" t="n"/>
      <c r="AR185" s="7" t="n"/>
      <c r="AS185" s="7" t="n"/>
      <c r="AT185" s="7" t="n"/>
      <c r="AU185" s="7" t="n"/>
      <c r="AV185" s="7" t="n"/>
      <c r="AW185" s="7" t="n"/>
      <c r="AX185" s="7" t="n"/>
      <c r="AY185" s="7" t="n"/>
      <c r="BA185" s="42">
        <f>IF(COUNT(B185:AY185)=0,"",IF(TRIM(A185)&lt;&gt;"",TRIM(A185),IF(BA184="","(geen naam)",BA184)))</f>
        <v/>
      </c>
      <c r="BB185" s="42">
        <f>IF(BA185="","",IF(ISNA(MATCH(BA185,BA$120:BA184,0)),MAX(BB$120:BB184)+1,""))</f>
        <v/>
      </c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  <c r="AC186" s="7" t="n"/>
      <c r="AD186" s="7" t="n"/>
      <c r="AE186" s="7" t="n"/>
      <c r="AF186" s="7" t="n"/>
      <c r="AG186" s="7" t="n"/>
      <c r="AH186" s="7" t="n"/>
      <c r="AI186" s="7" t="n"/>
      <c r="AJ186" s="7" t="n"/>
      <c r="AK186" s="7" t="n"/>
      <c r="AL186" s="7" t="n"/>
      <c r="AM186" s="7" t="n"/>
      <c r="AN186" s="7" t="n"/>
      <c r="AO186" s="7" t="n"/>
      <c r="AP186" s="7" t="n"/>
      <c r="AQ186" s="7" t="n"/>
      <c r="AR186" s="7" t="n"/>
      <c r="AS186" s="7" t="n"/>
      <c r="AT186" s="7" t="n"/>
      <c r="AU186" s="7" t="n"/>
      <c r="AV186" s="7" t="n"/>
      <c r="AW186" s="7" t="n"/>
      <c r="AX186" s="7" t="n"/>
      <c r="AY186" s="7" t="n"/>
      <c r="BA186" s="42">
        <f>IF(COUNT(B186:AY186)=0,"",IF(TRIM(A186)&lt;&gt;"",TRIM(A186),IF(BA185="","(geen naam)",BA185)))</f>
        <v/>
      </c>
      <c r="BB186" s="42">
        <f>IF(BA186="","",IF(ISNA(MATCH(BA186,BA$120:BA185,0)),MAX(BB$120:BB185)+1,""))</f>
        <v/>
      </c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BA187" s="42">
        <f>IF(COUNT(B187:AY187)=0,"",IF(TRIM(A187)&lt;&gt;"",TRIM(A187),IF(BA186="","(geen naam)",BA186)))</f>
        <v/>
      </c>
      <c r="BB187" s="42">
        <f>IF(BA187="","",IF(ISNA(MATCH(BA187,BA$120:BA186,0)),MAX(BB$120:BB186)+1,""))</f>
        <v/>
      </c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7" t="n"/>
      <c r="AS188" s="7" t="n"/>
      <c r="AT188" s="7" t="n"/>
      <c r="AU188" s="7" t="n"/>
      <c r="AV188" s="7" t="n"/>
      <c r="AW188" s="7" t="n"/>
      <c r="AX188" s="7" t="n"/>
      <c r="AY188" s="7" t="n"/>
      <c r="BA188" s="42">
        <f>IF(COUNT(B188:AY188)=0,"",IF(TRIM(A188)&lt;&gt;"",TRIM(A188),IF(BA187="","(geen naam)",BA187)))</f>
        <v/>
      </c>
      <c r="BB188" s="42">
        <f>IF(BA188="","",IF(ISNA(MATCH(BA188,BA$120:BA187,0)),MAX(BB$120:BB187)+1,""))</f>
        <v/>
      </c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7" t="n"/>
      <c r="AS189" s="7" t="n"/>
      <c r="AT189" s="7" t="n"/>
      <c r="AU189" s="7" t="n"/>
      <c r="AV189" s="7" t="n"/>
      <c r="AW189" s="7" t="n"/>
      <c r="AX189" s="7" t="n"/>
      <c r="AY189" s="7" t="n"/>
      <c r="BA189" s="42">
        <f>IF(COUNT(B189:AY189)=0,"",IF(TRIM(A189)&lt;&gt;"",TRIM(A189),IF(BA188="","(geen naam)",BA188)))</f>
        <v/>
      </c>
      <c r="BB189" s="42">
        <f>IF(BA189="","",IF(ISNA(MATCH(BA189,BA$120:BA188,0)),MAX(BB$120:BB188)+1,""))</f>
        <v/>
      </c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7" t="n"/>
      <c r="AS190" s="7" t="n"/>
      <c r="AT190" s="7" t="n"/>
      <c r="AU190" s="7" t="n"/>
      <c r="AV190" s="7" t="n"/>
      <c r="AW190" s="7" t="n"/>
      <c r="AX190" s="7" t="n"/>
      <c r="AY190" s="7" t="n"/>
      <c r="BA190" s="42">
        <f>IF(COUNT(B190:AY190)=0,"",IF(TRIM(A190)&lt;&gt;"",TRIM(A190),IF(BA189="","(geen naam)",BA189)))</f>
        <v/>
      </c>
      <c r="BB190" s="42">
        <f>IF(BA190="","",IF(ISNA(MATCH(BA190,BA$120:BA189,0)),MAX(BB$120:BB189)+1,""))</f>
        <v/>
      </c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/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7" t="n"/>
      <c r="AS191" s="7" t="n"/>
      <c r="AT191" s="7" t="n"/>
      <c r="AU191" s="7" t="n"/>
      <c r="AV191" s="7" t="n"/>
      <c r="AW191" s="7" t="n"/>
      <c r="AX191" s="7" t="n"/>
      <c r="AY191" s="7" t="n"/>
      <c r="BA191" s="42">
        <f>IF(COUNT(B191:AY191)=0,"",IF(TRIM(A191)&lt;&gt;"",TRIM(A191),IF(BA190="","(geen naam)",BA190)))</f>
        <v/>
      </c>
      <c r="BB191" s="42">
        <f>IF(BA191="","",IF(ISNA(MATCH(BA191,BA$120:BA190,0)),MAX(BB$120:BB190)+1,""))</f>
        <v/>
      </c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/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7" t="n"/>
      <c r="AS192" s="7" t="n"/>
      <c r="AT192" s="7" t="n"/>
      <c r="AU192" s="7" t="n"/>
      <c r="AV192" s="7" t="n"/>
      <c r="AW192" s="7" t="n"/>
      <c r="AX192" s="7" t="n"/>
      <c r="AY192" s="7" t="n"/>
      <c r="BA192" s="42">
        <f>IF(COUNT(B192:AY192)=0,"",IF(TRIM(A192)&lt;&gt;"",TRIM(A192),IF(BA191="","(geen naam)",BA191)))</f>
        <v/>
      </c>
      <c r="BB192" s="42">
        <f>IF(BA192="","",IF(ISNA(MATCH(BA192,BA$120:BA191,0)),MAX(BB$120:BB191)+1,""))</f>
        <v/>
      </c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/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7" t="n"/>
      <c r="AS193" s="7" t="n"/>
      <c r="AT193" s="7" t="n"/>
      <c r="AU193" s="7" t="n"/>
      <c r="AV193" s="7" t="n"/>
      <c r="AW193" s="7" t="n"/>
      <c r="AX193" s="7" t="n"/>
      <c r="AY193" s="7" t="n"/>
      <c r="BA193" s="42">
        <f>IF(COUNT(B193:AY193)=0,"",IF(TRIM(A193)&lt;&gt;"",TRIM(A193),IF(BA192="","(geen naam)",BA192)))</f>
        <v/>
      </c>
      <c r="BB193" s="42">
        <f>IF(BA193="","",IF(ISNA(MATCH(BA193,BA$120:BA192,0)),MAX(BB$120:BB192)+1,""))</f>
        <v/>
      </c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/>
      <c r="AO194" s="7" t="n"/>
      <c r="AP194" s="7" t="n"/>
      <c r="AQ194" s="7" t="n"/>
      <c r="AR194" s="7" t="n"/>
      <c r="AS194" s="7" t="n"/>
      <c r="AT194" s="7" t="n"/>
      <c r="AU194" s="7" t="n"/>
      <c r="AV194" s="7" t="n"/>
      <c r="AW194" s="7" t="n"/>
      <c r="AX194" s="7" t="n"/>
      <c r="AY194" s="7" t="n"/>
      <c r="BA194" s="42">
        <f>IF(COUNT(B194:AY194)=0,"",IF(TRIM(A194)&lt;&gt;"",TRIM(A194),IF(BA193="","(geen naam)",BA193)))</f>
        <v/>
      </c>
      <c r="BB194" s="42">
        <f>IF(BA194="","",IF(ISNA(MATCH(BA194,BA$120:BA193,0)),MAX(BB$120:BB193)+1,""))</f>
        <v/>
      </c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/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7" t="n"/>
      <c r="AS195" s="7" t="n"/>
      <c r="AT195" s="7" t="n"/>
      <c r="AU195" s="7" t="n"/>
      <c r="AV195" s="7" t="n"/>
      <c r="AW195" s="7" t="n"/>
      <c r="AX195" s="7" t="n"/>
      <c r="AY195" s="7" t="n"/>
      <c r="BA195" s="42">
        <f>IF(COUNT(B195:AY195)=0,"",IF(TRIM(A195)&lt;&gt;"",TRIM(A195),IF(BA194="","(geen naam)",BA194)))</f>
        <v/>
      </c>
      <c r="BB195" s="42">
        <f>IF(BA195="","",IF(ISNA(MATCH(BA195,BA$120:BA194,0)),MAX(BB$120:BB194)+1,""))</f>
        <v/>
      </c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BA196" s="42">
        <f>IF(COUNT(B196:AY196)=0,"",IF(TRIM(A196)&lt;&gt;"",TRIM(A196),IF(BA195="","(geen naam)",BA195)))</f>
        <v/>
      </c>
      <c r="BB196" s="42">
        <f>IF(BA196="","",IF(ISNA(MATCH(BA196,BA$120:BA195,0)),MAX(BB$120:BB195)+1,""))</f>
        <v/>
      </c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/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7" t="n"/>
      <c r="AS197" s="7" t="n"/>
      <c r="AT197" s="7" t="n"/>
      <c r="AU197" s="7" t="n"/>
      <c r="AV197" s="7" t="n"/>
      <c r="AW197" s="7" t="n"/>
      <c r="AX197" s="7" t="n"/>
      <c r="AY197" s="7" t="n"/>
      <c r="BA197" s="42">
        <f>IF(COUNT(B197:AY197)=0,"",IF(TRIM(A197)&lt;&gt;"",TRIM(A197),IF(BA196="","(geen naam)",BA196)))</f>
        <v/>
      </c>
      <c r="BB197" s="42">
        <f>IF(BA197="","",IF(ISNA(MATCH(BA197,BA$120:BA196,0)),MAX(BB$120:BB196)+1,""))</f>
        <v/>
      </c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/>
      <c r="AM198" s="7" t="n"/>
      <c r="AN198" s="7" t="n"/>
      <c r="AO198" s="7" t="n"/>
      <c r="AP198" s="7" t="n"/>
      <c r="AQ198" s="7" t="n"/>
      <c r="AR198" s="7" t="n"/>
      <c r="AS198" s="7" t="n"/>
      <c r="AT198" s="7" t="n"/>
      <c r="AU198" s="7" t="n"/>
      <c r="AV198" s="7" t="n"/>
      <c r="AW198" s="7" t="n"/>
      <c r="AX198" s="7" t="n"/>
      <c r="AY198" s="7" t="n"/>
      <c r="BA198" s="42">
        <f>IF(COUNT(B198:AY198)=0,"",IF(TRIM(A198)&lt;&gt;"",TRIM(A198),IF(BA197="","(geen naam)",BA197)))</f>
        <v/>
      </c>
      <c r="BB198" s="42">
        <f>IF(BA198="","",IF(ISNA(MATCH(BA198,BA$120:BA197,0)),MAX(BB$120:BB197)+1,""))</f>
        <v/>
      </c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/>
      <c r="AP199" s="7" t="n"/>
      <c r="AQ199" s="7" t="n"/>
      <c r="AR199" s="7" t="n"/>
      <c r="AS199" s="7" t="n"/>
      <c r="AT199" s="7" t="n"/>
      <c r="AU199" s="7" t="n"/>
      <c r="AV199" s="7" t="n"/>
      <c r="AW199" s="7" t="n"/>
      <c r="AX199" s="7" t="n"/>
      <c r="AY199" s="7" t="n"/>
      <c r="BA199" s="42">
        <f>IF(COUNT(B199:AY199)=0,"",IF(TRIM(A199)&lt;&gt;"",TRIM(A199),IF(BA198="","(geen naam)",BA198)))</f>
        <v/>
      </c>
      <c r="BB199" s="42">
        <f>IF(BA199="","",IF(ISNA(MATCH(BA199,BA$120:BA198,0)),MAX(BB$120:BB198)+1,""))</f>
        <v/>
      </c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/>
      <c r="AK200" s="7" t="n"/>
      <c r="AL200" s="7" t="n"/>
      <c r="AM200" s="7" t="n"/>
      <c r="AN200" s="7" t="n"/>
      <c r="AO200" s="7" t="n"/>
      <c r="AP200" s="7" t="n"/>
      <c r="AQ200" s="7" t="n"/>
      <c r="AR200" s="7" t="n"/>
      <c r="AS200" s="7" t="n"/>
      <c r="AT200" s="7" t="n"/>
      <c r="AU200" s="7" t="n"/>
      <c r="AV200" s="7" t="n"/>
      <c r="AW200" s="7" t="n"/>
      <c r="AX200" s="7" t="n"/>
      <c r="AY200" s="7" t="n"/>
      <c r="BA200" s="42">
        <f>IF(COUNT(B200:AY200)=0,"",IF(TRIM(A200)&lt;&gt;"",TRIM(A200),IF(BA199="","(geen naam)",BA199)))</f>
        <v/>
      </c>
      <c r="BB200" s="42">
        <f>IF(BA200="","",IF(ISNA(MATCH(BA200,BA$120:BA199,0)),MAX(BB$120:BB199)+1,""))</f>
        <v/>
      </c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/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7" t="n"/>
      <c r="AS201" s="7" t="n"/>
      <c r="AT201" s="7" t="n"/>
      <c r="AU201" s="7" t="n"/>
      <c r="AV201" s="7" t="n"/>
      <c r="AW201" s="7" t="n"/>
      <c r="AX201" s="7" t="n"/>
      <c r="AY201" s="7" t="n"/>
      <c r="BA201" s="42">
        <f>IF(COUNT(B201:AY201)=0,"",IF(TRIM(A201)&lt;&gt;"",TRIM(A201),IF(BA200="","(geen naam)",BA200)))</f>
        <v/>
      </c>
      <c r="BB201" s="42">
        <f>IF(BA201="","",IF(ISNA(MATCH(BA201,BA$120:BA200,0)),MAX(BB$120:BB200)+1,""))</f>
        <v/>
      </c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/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7" t="n"/>
      <c r="AS202" s="7" t="n"/>
      <c r="AT202" s="7" t="n"/>
      <c r="AU202" s="7" t="n"/>
      <c r="AV202" s="7" t="n"/>
      <c r="AW202" s="7" t="n"/>
      <c r="AX202" s="7" t="n"/>
      <c r="AY202" s="7" t="n"/>
      <c r="BA202" s="42">
        <f>IF(COUNT(B202:AY202)=0,"",IF(TRIM(A202)&lt;&gt;"",TRIM(A202),IF(BA201="","(geen naam)",BA201)))</f>
        <v/>
      </c>
      <c r="BB202" s="42">
        <f>IF(BA202="","",IF(ISNA(MATCH(BA202,BA$120:BA201,0)),MAX(BB$120:BB201)+1,""))</f>
        <v/>
      </c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/>
      <c r="AP203" s="7" t="n"/>
      <c r="AQ203" s="7" t="n"/>
      <c r="AR203" s="7" t="n"/>
      <c r="AS203" s="7" t="n"/>
      <c r="AT203" s="7" t="n"/>
      <c r="AU203" s="7" t="n"/>
      <c r="AV203" s="7" t="n"/>
      <c r="AW203" s="7" t="n"/>
      <c r="AX203" s="7" t="n"/>
      <c r="AY203" s="7" t="n"/>
      <c r="BA203" s="42">
        <f>IF(COUNT(B203:AY203)=0,"",IF(TRIM(A203)&lt;&gt;"",TRIM(A203),IF(BA202="","(geen naam)",BA202)))</f>
        <v/>
      </c>
      <c r="BB203" s="42">
        <f>IF(BA203="","",IF(ISNA(MATCH(BA203,BA$120:BA202,0)),MAX(BB$120:BB202)+1,""))</f>
        <v/>
      </c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/>
      <c r="AP204" s="7" t="n"/>
      <c r="AQ204" s="7" t="n"/>
      <c r="AR204" s="7" t="n"/>
      <c r="AS204" s="7" t="n"/>
      <c r="AT204" s="7" t="n"/>
      <c r="AU204" s="7" t="n"/>
      <c r="AV204" s="7" t="n"/>
      <c r="AW204" s="7" t="n"/>
      <c r="AX204" s="7" t="n"/>
      <c r="AY204" s="7" t="n"/>
      <c r="BA204" s="42">
        <f>IF(COUNT(B204:AY204)=0,"",IF(TRIM(A204)&lt;&gt;"",TRIM(A204),IF(BA203="","(geen naam)",BA203)))</f>
        <v/>
      </c>
      <c r="BB204" s="42">
        <f>IF(BA204="","",IF(ISNA(MATCH(BA204,BA$120:BA203,0)),MAX(BB$120:BB203)+1,""))</f>
        <v/>
      </c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/>
      <c r="AP205" s="7" t="n"/>
      <c r="AQ205" s="7" t="n"/>
      <c r="AR205" s="7" t="n"/>
      <c r="AS205" s="7" t="n"/>
      <c r="AT205" s="7" t="n"/>
      <c r="AU205" s="7" t="n"/>
      <c r="AV205" s="7" t="n"/>
      <c r="AW205" s="7" t="n"/>
      <c r="AX205" s="7" t="n"/>
      <c r="AY205" s="7" t="n"/>
      <c r="BA205" s="42">
        <f>IF(COUNT(B205:AY205)=0,"",IF(TRIM(A205)&lt;&gt;"",TRIM(A205),IF(BA204="","(geen naam)",BA204)))</f>
        <v/>
      </c>
      <c r="BB205" s="42">
        <f>IF(BA205="","",IF(ISNA(MATCH(BA205,BA$120:BA204,0)),MAX(BB$120:BB204)+1,""))</f>
        <v/>
      </c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7" t="n"/>
      <c r="AS206" s="7" t="n"/>
      <c r="AT206" s="7" t="n"/>
      <c r="AU206" s="7" t="n"/>
      <c r="AV206" s="7" t="n"/>
      <c r="AW206" s="7" t="n"/>
      <c r="AX206" s="7" t="n"/>
      <c r="AY206" s="7" t="n"/>
      <c r="BA206" s="42">
        <f>IF(COUNT(B206:AY206)=0,"",IF(TRIM(A206)&lt;&gt;"",TRIM(A206),IF(BA205="","(geen naam)",BA205)))</f>
        <v/>
      </c>
      <c r="BB206" s="42">
        <f>IF(BA206="","",IF(ISNA(MATCH(BA206,BA$120:BA205,0)),MAX(BB$120:BB205)+1,""))</f>
        <v/>
      </c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/>
      <c r="AO207" s="7" t="n"/>
      <c r="AP207" s="7" t="n"/>
      <c r="AQ207" s="7" t="n"/>
      <c r="AR207" s="7" t="n"/>
      <c r="AS207" s="7" t="n"/>
      <c r="AT207" s="7" t="n"/>
      <c r="AU207" s="7" t="n"/>
      <c r="AV207" s="7" t="n"/>
      <c r="AW207" s="7" t="n"/>
      <c r="AX207" s="7" t="n"/>
      <c r="AY207" s="7" t="n"/>
      <c r="BA207" s="42">
        <f>IF(COUNT(B207:AY207)=0,"",IF(TRIM(A207)&lt;&gt;"",TRIM(A207),IF(BA206="","(geen naam)",BA206)))</f>
        <v/>
      </c>
      <c r="BB207" s="42">
        <f>IF(BA207="","",IF(ISNA(MATCH(BA207,BA$120:BA206,0)),MAX(BB$120:BB206)+1,""))</f>
        <v/>
      </c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/>
      <c r="AN208" s="7" t="n"/>
      <c r="AO208" s="7" t="n"/>
      <c r="AP208" s="7" t="n"/>
      <c r="AQ208" s="7" t="n"/>
      <c r="AR208" s="7" t="n"/>
      <c r="AS208" s="7" t="n"/>
      <c r="AT208" s="7" t="n"/>
      <c r="AU208" s="7" t="n"/>
      <c r="AV208" s="7" t="n"/>
      <c r="AW208" s="7" t="n"/>
      <c r="AX208" s="7" t="n"/>
      <c r="AY208" s="7" t="n"/>
      <c r="BA208" s="42">
        <f>IF(COUNT(B208:AY208)=0,"",IF(TRIM(A208)&lt;&gt;"",TRIM(A208),IF(BA207="","(geen naam)",BA207)))</f>
        <v/>
      </c>
      <c r="BB208" s="42">
        <f>IF(BA208="","",IF(ISNA(MATCH(BA208,BA$120:BA207,0)),MAX(BB$120:BB207)+1,""))</f>
        <v/>
      </c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/>
      <c r="AN209" s="7" t="n"/>
      <c r="AO209" s="7" t="n"/>
      <c r="AP209" s="7" t="n"/>
      <c r="AQ209" s="7" t="n"/>
      <c r="AR209" s="7" t="n"/>
      <c r="AS209" s="7" t="n"/>
      <c r="AT209" s="7" t="n"/>
      <c r="AU209" s="7" t="n"/>
      <c r="AV209" s="7" t="n"/>
      <c r="AW209" s="7" t="n"/>
      <c r="AX209" s="7" t="n"/>
      <c r="AY209" s="7" t="n"/>
      <c r="BA209" s="42">
        <f>IF(COUNT(B209:AY209)=0,"",IF(TRIM(A209)&lt;&gt;"",TRIM(A209),IF(BA208="","(geen naam)",BA208)))</f>
        <v/>
      </c>
      <c r="BB209" s="42">
        <f>IF(BA209="","",IF(ISNA(MATCH(BA209,BA$120:BA208,0)),MAX(BB$120:BB208)+1,""))</f>
        <v/>
      </c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/>
      <c r="AO210" s="7" t="n"/>
      <c r="AP210" s="7" t="n"/>
      <c r="AQ210" s="7" t="n"/>
      <c r="AR210" s="7" t="n"/>
      <c r="AS210" s="7" t="n"/>
      <c r="AT210" s="7" t="n"/>
      <c r="AU210" s="7" t="n"/>
      <c r="AV210" s="7" t="n"/>
      <c r="AW210" s="7" t="n"/>
      <c r="AX210" s="7" t="n"/>
      <c r="AY210" s="7" t="n"/>
      <c r="BA210" s="42">
        <f>IF(COUNT(B210:AY210)=0,"",IF(TRIM(A210)&lt;&gt;"",TRIM(A210),IF(BA209="","(geen naam)",BA209)))</f>
        <v/>
      </c>
      <c r="BB210" s="42">
        <f>IF(BA210="","",IF(ISNA(MATCH(BA210,BA$120:BA209,0)),MAX(BB$120:BB209)+1,""))</f>
        <v/>
      </c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/>
      <c r="AO211" s="7" t="n"/>
      <c r="AP211" s="7" t="n"/>
      <c r="AQ211" s="7" t="n"/>
      <c r="AR211" s="7" t="n"/>
      <c r="AS211" s="7" t="n"/>
      <c r="AT211" s="7" t="n"/>
      <c r="AU211" s="7" t="n"/>
      <c r="AV211" s="7" t="n"/>
      <c r="AW211" s="7" t="n"/>
      <c r="AX211" s="7" t="n"/>
      <c r="AY211" s="7" t="n"/>
      <c r="BA211" s="42">
        <f>IF(COUNT(B211:AY211)=0,"",IF(TRIM(A211)&lt;&gt;"",TRIM(A211),IF(BA210="","(geen naam)",BA210)))</f>
        <v/>
      </c>
      <c r="BB211" s="42">
        <f>IF(BA211="","",IF(ISNA(MATCH(BA211,BA$120:BA210,0)),MAX(BB$120:BB210)+1,""))</f>
        <v/>
      </c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/>
      <c r="AP212" s="7" t="n"/>
      <c r="AQ212" s="7" t="n"/>
      <c r="AR212" s="7" t="n"/>
      <c r="AS212" s="7" t="n"/>
      <c r="AT212" s="7" t="n"/>
      <c r="AU212" s="7" t="n"/>
      <c r="AV212" s="7" t="n"/>
      <c r="AW212" s="7" t="n"/>
      <c r="AX212" s="7" t="n"/>
      <c r="AY212" s="7" t="n"/>
      <c r="BA212" s="42">
        <f>IF(COUNT(B212:AY212)=0,"",IF(TRIM(A212)&lt;&gt;"",TRIM(A212),IF(BA211="","(geen naam)",BA211)))</f>
        <v/>
      </c>
      <c r="BB212" s="42">
        <f>IF(BA212="","",IF(ISNA(MATCH(BA212,BA$120:BA211,0)),MAX(BB$120:BB211)+1,""))</f>
        <v/>
      </c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BA213" s="42">
        <f>IF(COUNT(B213:AY213)=0,"",IF(TRIM(A213)&lt;&gt;"",TRIM(A213),IF(BA212="","(geen naam)",BA212)))</f>
        <v/>
      </c>
      <c r="BB213" s="42">
        <f>IF(BA213="","",IF(ISNA(MATCH(BA213,BA$120:BA212,0)),MAX(BB$120:BB212)+1,""))</f>
        <v/>
      </c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/>
      <c r="AM214" s="7" t="n"/>
      <c r="AN214" s="7" t="n"/>
      <c r="AO214" s="7" t="n"/>
      <c r="AP214" s="7" t="n"/>
      <c r="AQ214" s="7" t="n"/>
      <c r="AR214" s="7" t="n"/>
      <c r="AS214" s="7" t="n"/>
      <c r="AT214" s="7" t="n"/>
      <c r="AU214" s="7" t="n"/>
      <c r="AV214" s="7" t="n"/>
      <c r="AW214" s="7" t="n"/>
      <c r="AX214" s="7" t="n"/>
      <c r="AY214" s="7" t="n"/>
      <c r="BA214" s="42">
        <f>IF(COUNT(B214:AY214)=0,"",IF(TRIM(A214)&lt;&gt;"",TRIM(A214),IF(BA213="","(geen naam)",BA213)))</f>
        <v/>
      </c>
      <c r="BB214" s="42">
        <f>IF(BA214="","",IF(ISNA(MATCH(BA214,BA$120:BA213,0)),MAX(BB$120:BB213)+1,""))</f>
        <v/>
      </c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/>
      <c r="AK215" s="7" t="n"/>
      <c r="AL215" s="7" t="n"/>
      <c r="AM215" s="7" t="n"/>
      <c r="AN215" s="7" t="n"/>
      <c r="AO215" s="7" t="n"/>
      <c r="AP215" s="7" t="n"/>
      <c r="AQ215" s="7" t="n"/>
      <c r="AR215" s="7" t="n"/>
      <c r="AS215" s="7" t="n"/>
      <c r="AT215" s="7" t="n"/>
      <c r="AU215" s="7" t="n"/>
      <c r="AV215" s="7" t="n"/>
      <c r="AW215" s="7" t="n"/>
      <c r="AX215" s="7" t="n"/>
      <c r="AY215" s="7" t="n"/>
      <c r="BA215" s="42">
        <f>IF(COUNT(B215:AY215)=0,"",IF(TRIM(A215)&lt;&gt;"",TRIM(A215),IF(BA214="","(geen naam)",BA214)))</f>
        <v/>
      </c>
      <c r="BB215" s="42">
        <f>IF(BA215="","",IF(ISNA(MATCH(BA215,BA$120:BA214,0)),MAX(BB$120:BB214)+1,""))</f>
        <v/>
      </c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/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7" t="n"/>
      <c r="AS216" s="7" t="n"/>
      <c r="AT216" s="7" t="n"/>
      <c r="AU216" s="7" t="n"/>
      <c r="AV216" s="7" t="n"/>
      <c r="AW216" s="7" t="n"/>
      <c r="AX216" s="7" t="n"/>
      <c r="AY216" s="7" t="n"/>
      <c r="BA216" s="42">
        <f>IF(COUNT(B216:AY216)=0,"",IF(TRIM(A216)&lt;&gt;"",TRIM(A216),IF(BA215="","(geen naam)",BA215)))</f>
        <v/>
      </c>
      <c r="BB216" s="42">
        <f>IF(BA216="","",IF(ISNA(MATCH(BA216,BA$120:BA215,0)),MAX(BB$120:BB215)+1,""))</f>
        <v/>
      </c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/>
      <c r="AL217" s="7" t="n"/>
      <c r="AM217" s="7" t="n"/>
      <c r="AN217" s="7" t="n"/>
      <c r="AO217" s="7" t="n"/>
      <c r="AP217" s="7" t="n"/>
      <c r="AQ217" s="7" t="n"/>
      <c r="AR217" s="7" t="n"/>
      <c r="AS217" s="7" t="n"/>
      <c r="AT217" s="7" t="n"/>
      <c r="AU217" s="7" t="n"/>
      <c r="AV217" s="7" t="n"/>
      <c r="AW217" s="7" t="n"/>
      <c r="AX217" s="7" t="n"/>
      <c r="AY217" s="7" t="n"/>
      <c r="BA217" s="42">
        <f>IF(COUNT(B217:AY217)=0,"",IF(TRIM(A217)&lt;&gt;"",TRIM(A217),IF(BA216="","(geen naam)",BA216)))</f>
        <v/>
      </c>
      <c r="BB217" s="42">
        <f>IF(BA217="","",IF(ISNA(MATCH(BA217,BA$120:BA216,0)),MAX(BB$120:BB216)+1,""))</f>
        <v/>
      </c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7" t="n"/>
      <c r="AS218" s="7" t="n"/>
      <c r="AT218" s="7" t="n"/>
      <c r="AU218" s="7" t="n"/>
      <c r="AV218" s="7" t="n"/>
      <c r="AW218" s="7" t="n"/>
      <c r="AX218" s="7" t="n"/>
      <c r="AY218" s="7" t="n"/>
      <c r="BA218" s="42">
        <f>IF(COUNT(B218:AY218)=0,"",IF(TRIM(A218)&lt;&gt;"",TRIM(A218),IF(BA217="","(geen naam)",BA217)))</f>
        <v/>
      </c>
      <c r="BB218" s="42">
        <f>IF(BA218="","",IF(ISNA(MATCH(BA218,BA$120:BA217,0)),MAX(BB$120:BB217)+1,""))</f>
        <v/>
      </c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BA219" s="42">
        <f>IF(COUNT(B219:AY219)=0,"",IF(TRIM(A219)&lt;&gt;"",TRIM(A219),IF(BA218="","(geen naam)",BA218)))</f>
        <v/>
      </c>
      <c r="BB219" s="42">
        <f>IF(BA219="","",IF(ISNA(MATCH(BA219,BA$120:BA218,0)),MAX(BB$120:BB218)+1,""))</f>
        <v/>
      </c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/>
      <c r="AL220" s="7" t="n"/>
      <c r="AM220" s="7" t="n"/>
      <c r="AN220" s="7" t="n"/>
      <c r="AO220" s="7" t="n"/>
      <c r="AP220" s="7" t="n"/>
      <c r="AQ220" s="7" t="n"/>
      <c r="AR220" s="7" t="n"/>
      <c r="AS220" s="7" t="n"/>
      <c r="AT220" s="7" t="n"/>
      <c r="AU220" s="7" t="n"/>
      <c r="AV220" s="7" t="n"/>
      <c r="AW220" s="7" t="n"/>
      <c r="AX220" s="7" t="n"/>
      <c r="AY220" s="7" t="n"/>
      <c r="BA220" s="42">
        <f>IF(COUNT(B220:AY220)=0,"",IF(TRIM(A220)&lt;&gt;"",TRIM(A220),IF(BA219="","(geen naam)",BA219)))</f>
        <v/>
      </c>
      <c r="BB220" s="42">
        <f>IF(BA220="","",IF(ISNA(MATCH(BA220,BA$120:BA219,0)),MAX(BB$120:BB219)+1,""))</f>
        <v/>
      </c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/>
      <c r="AM221" s="7" t="n"/>
      <c r="AN221" s="7" t="n"/>
      <c r="AO221" s="7" t="n"/>
      <c r="AP221" s="7" t="n"/>
      <c r="AQ221" s="7" t="n"/>
      <c r="AR221" s="7" t="n"/>
      <c r="AS221" s="7" t="n"/>
      <c r="AT221" s="7" t="n"/>
      <c r="AU221" s="7" t="n"/>
      <c r="AV221" s="7" t="n"/>
      <c r="AW221" s="7" t="n"/>
      <c r="AX221" s="7" t="n"/>
      <c r="AY221" s="7" t="n"/>
      <c r="BA221" s="42">
        <f>IF(COUNT(B221:AY221)=0,"",IF(TRIM(A221)&lt;&gt;"",TRIM(A221),IF(BA220="","(geen naam)",BA220)))</f>
        <v/>
      </c>
      <c r="BB221" s="42">
        <f>IF(BA221="","",IF(ISNA(MATCH(BA221,BA$120:BA220,0)),MAX(BB$120:BB220)+1,""))</f>
        <v/>
      </c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/>
      <c r="AN222" s="7" t="n"/>
      <c r="AO222" s="7" t="n"/>
      <c r="AP222" s="7" t="n"/>
      <c r="AQ222" s="7" t="n"/>
      <c r="AR222" s="7" t="n"/>
      <c r="AS222" s="7" t="n"/>
      <c r="AT222" s="7" t="n"/>
      <c r="AU222" s="7" t="n"/>
      <c r="AV222" s="7" t="n"/>
      <c r="AW222" s="7" t="n"/>
      <c r="AX222" s="7" t="n"/>
      <c r="AY222" s="7" t="n"/>
      <c r="BA222" s="42">
        <f>IF(COUNT(B222:AY222)=0,"",IF(TRIM(A222)&lt;&gt;"",TRIM(A222),IF(BA221="","(geen naam)",BA221)))</f>
        <v/>
      </c>
      <c r="BB222" s="42">
        <f>IF(BA222="","",IF(ISNA(MATCH(BA222,BA$120:BA221,0)),MAX(BB$120:BB221)+1,""))</f>
        <v/>
      </c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/>
      <c r="AN223" s="7" t="n"/>
      <c r="AO223" s="7" t="n"/>
      <c r="AP223" s="7" t="n"/>
      <c r="AQ223" s="7" t="n"/>
      <c r="AR223" s="7" t="n"/>
      <c r="AS223" s="7" t="n"/>
      <c r="AT223" s="7" t="n"/>
      <c r="AU223" s="7" t="n"/>
      <c r="AV223" s="7" t="n"/>
      <c r="AW223" s="7" t="n"/>
      <c r="AX223" s="7" t="n"/>
      <c r="AY223" s="7" t="n"/>
      <c r="BA223" s="42">
        <f>IF(COUNT(B223:AY223)=0,"",IF(TRIM(A223)&lt;&gt;"",TRIM(A223),IF(BA222="","(geen naam)",BA222)))</f>
        <v/>
      </c>
      <c r="BB223" s="42">
        <f>IF(BA223="","",IF(ISNA(MATCH(BA223,BA$120:BA222,0)),MAX(BB$120:BB222)+1,""))</f>
        <v/>
      </c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/>
      <c r="AO224" s="7" t="n"/>
      <c r="AP224" s="7" t="n"/>
      <c r="AQ224" s="7" t="n"/>
      <c r="AR224" s="7" t="n"/>
      <c r="AS224" s="7" t="n"/>
      <c r="AT224" s="7" t="n"/>
      <c r="AU224" s="7" t="n"/>
      <c r="AV224" s="7" t="n"/>
      <c r="AW224" s="7" t="n"/>
      <c r="AX224" s="7" t="n"/>
      <c r="AY224" s="7" t="n"/>
      <c r="BA224" s="42">
        <f>IF(COUNT(B224:AY224)=0,"",IF(TRIM(A224)&lt;&gt;"",TRIM(A224),IF(BA223="","(geen naam)",BA223)))</f>
        <v/>
      </c>
      <c r="BB224" s="42">
        <f>IF(BA224="","",IF(ISNA(MATCH(BA224,BA$120:BA223,0)),MAX(BB$120:BB223)+1,""))</f>
        <v/>
      </c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/>
      <c r="AO225" s="7" t="n"/>
      <c r="AP225" s="7" t="n"/>
      <c r="AQ225" s="7" t="n"/>
      <c r="AR225" s="7" t="n"/>
      <c r="AS225" s="7" t="n"/>
      <c r="AT225" s="7" t="n"/>
      <c r="AU225" s="7" t="n"/>
      <c r="AV225" s="7" t="n"/>
      <c r="AW225" s="7" t="n"/>
      <c r="AX225" s="7" t="n"/>
      <c r="AY225" s="7" t="n"/>
      <c r="BA225" s="42">
        <f>IF(COUNT(B225:AY225)=0,"",IF(TRIM(A225)&lt;&gt;"",TRIM(A225),IF(BA224="","(geen naam)",BA224)))</f>
        <v/>
      </c>
      <c r="BB225" s="42">
        <f>IF(BA225="","",IF(ISNA(MATCH(BA225,BA$120:BA224,0)),MAX(BB$120:BB224)+1,""))</f>
        <v/>
      </c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/>
      <c r="AP226" s="7" t="n"/>
      <c r="AQ226" s="7" t="n"/>
      <c r="AR226" s="7" t="n"/>
      <c r="AS226" s="7" t="n"/>
      <c r="AT226" s="7" t="n"/>
      <c r="AU226" s="7" t="n"/>
      <c r="AV226" s="7" t="n"/>
      <c r="AW226" s="7" t="n"/>
      <c r="AX226" s="7" t="n"/>
      <c r="AY226" s="7" t="n"/>
      <c r="BA226" s="42">
        <f>IF(COUNT(B226:AY226)=0,"",IF(TRIM(A226)&lt;&gt;"",TRIM(A226),IF(BA225="","(geen naam)",BA225)))</f>
        <v/>
      </c>
      <c r="BB226" s="42">
        <f>IF(BA226="","",IF(ISNA(MATCH(BA226,BA$120:BA225,0)),MAX(BB$120:BB225)+1,""))</f>
        <v/>
      </c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/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7" t="n"/>
      <c r="AS227" s="7" t="n"/>
      <c r="AT227" s="7" t="n"/>
      <c r="AU227" s="7" t="n"/>
      <c r="AV227" s="7" t="n"/>
      <c r="AW227" s="7" t="n"/>
      <c r="AX227" s="7" t="n"/>
      <c r="AY227" s="7" t="n"/>
      <c r="BA227" s="42">
        <f>IF(COUNT(B227:AY227)=0,"",IF(TRIM(A227)&lt;&gt;"",TRIM(A227),IF(BA226="","(geen naam)",BA226)))</f>
        <v/>
      </c>
      <c r="BB227" s="42">
        <f>IF(BA227="","",IF(ISNA(MATCH(BA227,BA$120:BA226,0)),MAX(BB$120:BB226)+1,""))</f>
        <v/>
      </c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/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7" t="n"/>
      <c r="AS228" s="7" t="n"/>
      <c r="AT228" s="7" t="n"/>
      <c r="AU228" s="7" t="n"/>
      <c r="AV228" s="7" t="n"/>
      <c r="AW228" s="7" t="n"/>
      <c r="AX228" s="7" t="n"/>
      <c r="AY228" s="7" t="n"/>
      <c r="BA228" s="42">
        <f>IF(COUNT(B228:AY228)=0,"",IF(TRIM(A228)&lt;&gt;"",TRIM(A228),IF(BA227="","(geen naam)",BA227)))</f>
        <v/>
      </c>
      <c r="BB228" s="42">
        <f>IF(BA228="","",IF(ISNA(MATCH(BA228,BA$120:BA227,0)),MAX(BB$120:BB227)+1,""))</f>
        <v/>
      </c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/>
      <c r="AM229" s="7" t="n"/>
      <c r="AN229" s="7" t="n"/>
      <c r="AO229" s="7" t="n"/>
      <c r="AP229" s="7" t="n"/>
      <c r="AQ229" s="7" t="n"/>
      <c r="AR229" s="7" t="n"/>
      <c r="AS229" s="7" t="n"/>
      <c r="AT229" s="7" t="n"/>
      <c r="AU229" s="7" t="n"/>
      <c r="AV229" s="7" t="n"/>
      <c r="AW229" s="7" t="n"/>
      <c r="AX229" s="7" t="n"/>
      <c r="AY229" s="7" t="n"/>
      <c r="BA229" s="42">
        <f>IF(COUNT(B229:AY229)=0,"",IF(TRIM(A229)&lt;&gt;"",TRIM(A229),IF(BA228="","(geen naam)",BA228)))</f>
        <v/>
      </c>
      <c r="BB229" s="42">
        <f>IF(BA229="","",IF(ISNA(MATCH(BA229,BA$120:BA228,0)),MAX(BB$120:BB228)+1,""))</f>
        <v/>
      </c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/>
      <c r="AM230" s="7" t="n"/>
      <c r="AN230" s="7" t="n"/>
      <c r="AO230" s="7" t="n"/>
      <c r="AP230" s="7" t="n"/>
      <c r="AQ230" s="7" t="n"/>
      <c r="AR230" s="7" t="n"/>
      <c r="AS230" s="7" t="n"/>
      <c r="AT230" s="7" t="n"/>
      <c r="AU230" s="7" t="n"/>
      <c r="AV230" s="7" t="n"/>
      <c r="AW230" s="7" t="n"/>
      <c r="AX230" s="7" t="n"/>
      <c r="AY230" s="7" t="n"/>
      <c r="BA230" s="42">
        <f>IF(COUNT(B230:AY230)=0,"",IF(TRIM(A230)&lt;&gt;"",TRIM(A230),IF(BA229="","(geen naam)",BA229)))</f>
        <v/>
      </c>
      <c r="BB230" s="42">
        <f>IF(BA230="","",IF(ISNA(MATCH(BA230,BA$120:BA229,0)),MAX(BB$120:BB229)+1,""))</f>
        <v/>
      </c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/>
      <c r="AN231" s="7" t="n"/>
      <c r="AO231" s="7" t="n"/>
      <c r="AP231" s="7" t="n"/>
      <c r="AQ231" s="7" t="n"/>
      <c r="AR231" s="7" t="n"/>
      <c r="AS231" s="7" t="n"/>
      <c r="AT231" s="7" t="n"/>
      <c r="AU231" s="7" t="n"/>
      <c r="AV231" s="7" t="n"/>
      <c r="AW231" s="7" t="n"/>
      <c r="AX231" s="7" t="n"/>
      <c r="AY231" s="7" t="n"/>
      <c r="BA231" s="42">
        <f>IF(COUNT(B231:AY231)=0,"",IF(TRIM(A231)&lt;&gt;"",TRIM(A231),IF(BA230="","(geen naam)",BA230)))</f>
        <v/>
      </c>
      <c r="BB231" s="42">
        <f>IF(BA231="","",IF(ISNA(MATCH(BA231,BA$120:BA230,0)),MAX(BB$120:BB230)+1,""))</f>
        <v/>
      </c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/>
      <c r="AK232" s="7" t="n"/>
      <c r="AL232" s="7" t="n"/>
      <c r="AM232" s="7" t="n"/>
      <c r="AN232" s="7" t="n"/>
      <c r="AO232" s="7" t="n"/>
      <c r="AP232" s="7" t="n"/>
      <c r="AQ232" s="7" t="n"/>
      <c r="AR232" s="7" t="n"/>
      <c r="AS232" s="7" t="n"/>
      <c r="AT232" s="7" t="n"/>
      <c r="AU232" s="7" t="n"/>
      <c r="AV232" s="7" t="n"/>
      <c r="AW232" s="7" t="n"/>
      <c r="AX232" s="7" t="n"/>
      <c r="AY232" s="7" t="n"/>
      <c r="BA232" s="42">
        <f>IF(COUNT(B232:AY232)=0,"",IF(TRIM(A232)&lt;&gt;"",TRIM(A232),IF(BA231="","(geen naam)",BA231)))</f>
        <v/>
      </c>
      <c r="BB232" s="42">
        <f>IF(BA232="","",IF(ISNA(MATCH(BA232,BA$120:BA231,0)),MAX(BB$120:BB231)+1,""))</f>
        <v/>
      </c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7" t="n"/>
      <c r="AS233" s="7" t="n"/>
      <c r="AT233" s="7" t="n"/>
      <c r="AU233" s="7" t="n"/>
      <c r="AV233" s="7" t="n"/>
      <c r="AW233" s="7" t="n"/>
      <c r="AX233" s="7" t="n"/>
      <c r="AY233" s="7" t="n"/>
      <c r="BA233" s="42">
        <f>IF(COUNT(B233:AY233)=0,"",IF(TRIM(A233)&lt;&gt;"",TRIM(A233),IF(BA232="","(geen naam)",BA232)))</f>
        <v/>
      </c>
      <c r="BB233" s="42">
        <f>IF(BA233="","",IF(ISNA(MATCH(BA233,BA$120:BA232,0)),MAX(BB$120:BB232)+1,""))</f>
        <v/>
      </c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/>
      <c r="AN234" s="7" t="n"/>
      <c r="AO234" s="7" t="n"/>
      <c r="AP234" s="7" t="n"/>
      <c r="AQ234" s="7" t="n"/>
      <c r="AR234" s="7" t="n"/>
      <c r="AS234" s="7" t="n"/>
      <c r="AT234" s="7" t="n"/>
      <c r="AU234" s="7" t="n"/>
      <c r="AV234" s="7" t="n"/>
      <c r="AW234" s="7" t="n"/>
      <c r="AX234" s="7" t="n"/>
      <c r="AY234" s="7" t="n"/>
      <c r="BA234" s="42">
        <f>IF(COUNT(B234:AY234)=0,"",IF(TRIM(A234)&lt;&gt;"",TRIM(A234),IF(BA233="","(geen naam)",BA233)))</f>
        <v/>
      </c>
      <c r="BB234" s="42">
        <f>IF(BA234="","",IF(ISNA(MATCH(BA234,BA$120:BA233,0)),MAX(BB$120:BB233)+1,""))</f>
        <v/>
      </c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7" t="n"/>
      <c r="AS235" s="7" t="n"/>
      <c r="AT235" s="7" t="n"/>
      <c r="AU235" s="7" t="n"/>
      <c r="AV235" s="7" t="n"/>
      <c r="AW235" s="7" t="n"/>
      <c r="AX235" s="7" t="n"/>
      <c r="AY235" s="7" t="n"/>
      <c r="BA235" s="42">
        <f>IF(COUNT(B235:AY235)=0,"",IF(TRIM(A235)&lt;&gt;"",TRIM(A235),IF(BA234="","(geen naam)",BA234)))</f>
        <v/>
      </c>
      <c r="BB235" s="42">
        <f>IF(BA235="","",IF(ISNA(MATCH(BA235,BA$120:BA234,0)),MAX(BB$120:BB234)+1,""))</f>
        <v/>
      </c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/>
      <c r="AM236" s="7" t="n"/>
      <c r="AN236" s="7" t="n"/>
      <c r="AO236" s="7" t="n"/>
      <c r="AP236" s="7" t="n"/>
      <c r="AQ236" s="7" t="n"/>
      <c r="AR236" s="7" t="n"/>
      <c r="AS236" s="7" t="n"/>
      <c r="AT236" s="7" t="n"/>
      <c r="AU236" s="7" t="n"/>
      <c r="AV236" s="7" t="n"/>
      <c r="AW236" s="7" t="n"/>
      <c r="AX236" s="7" t="n"/>
      <c r="AY236" s="7" t="n"/>
      <c r="BA236" s="42">
        <f>IF(COUNT(B236:AY236)=0,"",IF(TRIM(A236)&lt;&gt;"",TRIM(A236),IF(BA235="","(geen naam)",BA235)))</f>
        <v/>
      </c>
      <c r="BB236" s="42">
        <f>IF(BA236="","",IF(ISNA(MATCH(BA236,BA$120:BA235,0)),MAX(BB$120:BB235)+1,""))</f>
        <v/>
      </c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7" t="n"/>
      <c r="AS237" s="7" t="n"/>
      <c r="AT237" s="7" t="n"/>
      <c r="AU237" s="7" t="n"/>
      <c r="AV237" s="7" t="n"/>
      <c r="AW237" s="7" t="n"/>
      <c r="AX237" s="7" t="n"/>
      <c r="AY237" s="7" t="n"/>
      <c r="BA237" s="42">
        <f>IF(COUNT(B237:AY237)=0,"",IF(TRIM(A237)&lt;&gt;"",TRIM(A237),IF(BA236="","(geen naam)",BA236)))</f>
        <v/>
      </c>
      <c r="BB237" s="42">
        <f>IF(BA237="","",IF(ISNA(MATCH(BA237,BA$120:BA236,0)),MAX(BB$120:BB236)+1,""))</f>
        <v/>
      </c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/>
      <c r="AM238" s="7" t="n"/>
      <c r="AN238" s="7" t="n"/>
      <c r="AO238" s="7" t="n"/>
      <c r="AP238" s="7" t="n"/>
      <c r="AQ238" s="7" t="n"/>
      <c r="AR238" s="7" t="n"/>
      <c r="AS238" s="7" t="n"/>
      <c r="AT238" s="7" t="n"/>
      <c r="AU238" s="7" t="n"/>
      <c r="AV238" s="7" t="n"/>
      <c r="AW238" s="7" t="n"/>
      <c r="AX238" s="7" t="n"/>
      <c r="AY238" s="7" t="n"/>
      <c r="BA238" s="42">
        <f>IF(COUNT(B238:AY238)=0,"",IF(TRIM(A238)&lt;&gt;"",TRIM(A238),IF(BA237="","(geen naam)",BA237)))</f>
        <v/>
      </c>
      <c r="BB238" s="42">
        <f>IF(BA238="","",IF(ISNA(MATCH(BA238,BA$120:BA237,0)),MAX(BB$120:BB237)+1,""))</f>
        <v/>
      </c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/>
      <c r="AL239" s="7" t="n"/>
      <c r="AM239" s="7" t="n"/>
      <c r="AN239" s="7" t="n"/>
      <c r="AO239" s="7" t="n"/>
      <c r="AP239" s="7" t="n"/>
      <c r="AQ239" s="7" t="n"/>
      <c r="AR239" s="7" t="n"/>
      <c r="AS239" s="7" t="n"/>
      <c r="AT239" s="7" t="n"/>
      <c r="AU239" s="7" t="n"/>
      <c r="AV239" s="7" t="n"/>
      <c r="AW239" s="7" t="n"/>
      <c r="AX239" s="7" t="n"/>
      <c r="AY239" s="7" t="n"/>
      <c r="BA239" s="42">
        <f>IF(COUNT(B239:AY239)=0,"",IF(TRIM(A239)&lt;&gt;"",TRIM(A239),IF(BA238="","(geen naam)",BA238)))</f>
        <v/>
      </c>
      <c r="BB239" s="42">
        <f>IF(BA239="","",IF(ISNA(MATCH(BA239,BA$120:BA238,0)),MAX(BB$120:BB238)+1,""))</f>
        <v/>
      </c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/>
      <c r="AP240" s="7" t="n"/>
      <c r="AQ240" s="7" t="n"/>
      <c r="AR240" s="7" t="n"/>
      <c r="AS240" s="7" t="n"/>
      <c r="AT240" s="7" t="n"/>
      <c r="AU240" s="7" t="n"/>
      <c r="AV240" s="7" t="n"/>
      <c r="AW240" s="7" t="n"/>
      <c r="AX240" s="7" t="n"/>
      <c r="AY240" s="7" t="n"/>
      <c r="BA240" s="42">
        <f>IF(COUNT(B240:AY240)=0,"",IF(TRIM(A240)&lt;&gt;"",TRIM(A240),IF(BA239="","(geen naam)",BA239)))</f>
        <v/>
      </c>
      <c r="BB240" s="42">
        <f>IF(BA240="","",IF(ISNA(MATCH(BA240,BA$120:BA239,0)),MAX(BB$120:BB239)+1,""))</f>
        <v/>
      </c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7" t="n"/>
      <c r="AS241" s="7" t="n"/>
      <c r="AT241" s="7" t="n"/>
      <c r="AU241" s="7" t="n"/>
      <c r="AV241" s="7" t="n"/>
      <c r="AW241" s="7" t="n"/>
      <c r="AX241" s="7" t="n"/>
      <c r="AY241" s="7" t="n"/>
      <c r="BA241" s="42">
        <f>IF(COUNT(B241:AY241)=0,"",IF(TRIM(A241)&lt;&gt;"",TRIM(A241),IF(BA240="","(geen naam)",BA240)))</f>
        <v/>
      </c>
      <c r="BB241" s="42">
        <f>IF(BA241="","",IF(ISNA(MATCH(BA241,BA$120:BA240,0)),MAX(BB$120:BB240)+1,""))</f>
        <v/>
      </c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7" t="n"/>
      <c r="AS242" s="7" t="n"/>
      <c r="AT242" s="7" t="n"/>
      <c r="AU242" s="7" t="n"/>
      <c r="AV242" s="7" t="n"/>
      <c r="AW242" s="7" t="n"/>
      <c r="AX242" s="7" t="n"/>
      <c r="AY242" s="7" t="n"/>
      <c r="BA242" s="42">
        <f>IF(COUNT(B242:AY242)=0,"",IF(TRIM(A242)&lt;&gt;"",TRIM(A242),IF(BA241="","(geen naam)",BA241)))</f>
        <v/>
      </c>
      <c r="BB242" s="42">
        <f>IF(BA242="","",IF(ISNA(MATCH(BA242,BA$120:BA241,0)),MAX(BB$120:BB241)+1,""))</f>
        <v/>
      </c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7" t="n"/>
      <c r="AS243" s="7" t="n"/>
      <c r="AT243" s="7" t="n"/>
      <c r="AU243" s="7" t="n"/>
      <c r="AV243" s="7" t="n"/>
      <c r="AW243" s="7" t="n"/>
      <c r="AX243" s="7" t="n"/>
      <c r="AY243" s="7" t="n"/>
      <c r="BA243" s="42">
        <f>IF(COUNT(B243:AY243)=0,"",IF(TRIM(A243)&lt;&gt;"",TRIM(A243),IF(BA242="","(geen naam)",BA242)))</f>
        <v/>
      </c>
      <c r="BB243" s="42">
        <f>IF(BA243="","",IF(ISNA(MATCH(BA243,BA$120:BA242,0)),MAX(BB$120:BB242)+1,""))</f>
        <v/>
      </c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/>
      <c r="AO244" s="7" t="n"/>
      <c r="AP244" s="7" t="n"/>
      <c r="AQ244" s="7" t="n"/>
      <c r="AR244" s="7" t="n"/>
      <c r="AS244" s="7" t="n"/>
      <c r="AT244" s="7" t="n"/>
      <c r="AU244" s="7" t="n"/>
      <c r="AV244" s="7" t="n"/>
      <c r="AW244" s="7" t="n"/>
      <c r="AX244" s="7" t="n"/>
      <c r="AY244" s="7" t="n"/>
      <c r="BA244" s="42">
        <f>IF(COUNT(B244:AY244)=0,"",IF(TRIM(A244)&lt;&gt;"",TRIM(A244),IF(BA243="","(geen naam)",BA243)))</f>
        <v/>
      </c>
      <c r="BB244" s="42">
        <f>IF(BA244="","",IF(ISNA(MATCH(BA244,BA$120:BA243,0)),MAX(BB$120:BB243)+1,""))</f>
        <v/>
      </c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/>
      <c r="AP245" s="7" t="n"/>
      <c r="AQ245" s="7" t="n"/>
      <c r="AR245" s="7" t="n"/>
      <c r="AS245" s="7" t="n"/>
      <c r="AT245" s="7" t="n"/>
      <c r="AU245" s="7" t="n"/>
      <c r="AV245" s="7" t="n"/>
      <c r="AW245" s="7" t="n"/>
      <c r="AX245" s="7" t="n"/>
      <c r="AY245" s="7" t="n"/>
      <c r="BA245" s="42">
        <f>IF(COUNT(B245:AY245)=0,"",IF(TRIM(A245)&lt;&gt;"",TRIM(A245),IF(BA244="","(geen naam)",BA244)))</f>
        <v/>
      </c>
      <c r="BB245" s="42">
        <f>IF(BA245="","",IF(ISNA(MATCH(BA245,BA$120:BA244,0)),MAX(BB$120:BB244)+1,""))</f>
        <v/>
      </c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/>
      <c r="AP246" s="7" t="n"/>
      <c r="AQ246" s="7" t="n"/>
      <c r="AR246" s="7" t="n"/>
      <c r="AS246" s="7" t="n"/>
      <c r="AT246" s="7" t="n"/>
      <c r="AU246" s="7" t="n"/>
      <c r="AV246" s="7" t="n"/>
      <c r="AW246" s="7" t="n"/>
      <c r="AX246" s="7" t="n"/>
      <c r="AY246" s="7" t="n"/>
      <c r="BA246" s="42">
        <f>IF(COUNT(B246:AY246)=0,"",IF(TRIM(A246)&lt;&gt;"",TRIM(A246),IF(BA245="","(geen naam)",BA245)))</f>
        <v/>
      </c>
      <c r="BB246" s="42">
        <f>IF(BA246="","",IF(ISNA(MATCH(BA246,BA$120:BA245,0)),MAX(BB$120:BB245)+1,""))</f>
        <v/>
      </c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/>
      <c r="AP247" s="7" t="n"/>
      <c r="AQ247" s="7" t="n"/>
      <c r="AR247" s="7" t="n"/>
      <c r="AS247" s="7" t="n"/>
      <c r="AT247" s="7" t="n"/>
      <c r="AU247" s="7" t="n"/>
      <c r="AV247" s="7" t="n"/>
      <c r="AW247" s="7" t="n"/>
      <c r="AX247" s="7" t="n"/>
      <c r="AY247" s="7" t="n"/>
      <c r="BA247" s="42">
        <f>IF(COUNT(B247:AY247)=0,"",IF(TRIM(A247)&lt;&gt;"",TRIM(A247),IF(BA246="","(geen naam)",BA246)))</f>
        <v/>
      </c>
      <c r="BB247" s="42">
        <f>IF(BA247="","",IF(ISNA(MATCH(BA247,BA$120:BA246,0)),MAX(BB$120:BB246)+1,""))</f>
        <v/>
      </c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/>
      <c r="AP248" s="7" t="n"/>
      <c r="AQ248" s="7" t="n"/>
      <c r="AR248" s="7" t="n"/>
      <c r="AS248" s="7" t="n"/>
      <c r="AT248" s="7" t="n"/>
      <c r="AU248" s="7" t="n"/>
      <c r="AV248" s="7" t="n"/>
      <c r="AW248" s="7" t="n"/>
      <c r="AX248" s="7" t="n"/>
      <c r="AY248" s="7" t="n"/>
      <c r="BA248" s="42">
        <f>IF(COUNT(B248:AY248)=0,"",IF(TRIM(A248)&lt;&gt;"",TRIM(A248),IF(BA247="","(geen naam)",BA247)))</f>
        <v/>
      </c>
      <c r="BB248" s="42">
        <f>IF(BA248="","",IF(ISNA(MATCH(BA248,BA$120:BA247,0)),MAX(BB$120:BB247)+1,""))</f>
        <v/>
      </c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/>
      <c r="AP249" s="7" t="n"/>
      <c r="AQ249" s="7" t="n"/>
      <c r="AR249" s="7" t="n"/>
      <c r="AS249" s="7" t="n"/>
      <c r="AT249" s="7" t="n"/>
      <c r="AU249" s="7" t="n"/>
      <c r="AV249" s="7" t="n"/>
      <c r="AW249" s="7" t="n"/>
      <c r="AX249" s="7" t="n"/>
      <c r="AY249" s="7" t="n"/>
      <c r="BA249" s="42">
        <f>IF(COUNT(B249:AY249)=0,"",IF(TRIM(A249)&lt;&gt;"",TRIM(A249),IF(BA248="","(geen naam)",BA248)))</f>
        <v/>
      </c>
      <c r="BB249" s="42">
        <f>IF(BA249="","",IF(ISNA(MATCH(BA249,BA$120:BA248,0)),MAX(BB$120:BB248)+1,""))</f>
        <v/>
      </c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/>
      <c r="AP250" s="7" t="n"/>
      <c r="AQ250" s="7" t="n"/>
      <c r="AR250" s="7" t="n"/>
      <c r="AS250" s="7" t="n"/>
      <c r="AT250" s="7" t="n"/>
      <c r="AU250" s="7" t="n"/>
      <c r="AV250" s="7" t="n"/>
      <c r="AW250" s="7" t="n"/>
      <c r="AX250" s="7" t="n"/>
      <c r="AY250" s="7" t="n"/>
      <c r="BA250" s="42">
        <f>IF(COUNT(B250:AY250)=0,"",IF(TRIM(A250)&lt;&gt;"",TRIM(A250),IF(BA249="","(geen naam)",BA249)))</f>
        <v/>
      </c>
      <c r="BB250" s="42">
        <f>IF(BA250="","",IF(ISNA(MATCH(BA250,BA$120:BA249,0)),MAX(BB$120:BB249)+1,""))</f>
        <v/>
      </c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/>
      <c r="AP251" s="7" t="n"/>
      <c r="AQ251" s="7" t="n"/>
      <c r="AR251" s="7" t="n"/>
      <c r="AS251" s="7" t="n"/>
      <c r="AT251" s="7" t="n"/>
      <c r="AU251" s="7" t="n"/>
      <c r="AV251" s="7" t="n"/>
      <c r="AW251" s="7" t="n"/>
      <c r="AX251" s="7" t="n"/>
      <c r="AY251" s="7" t="n"/>
      <c r="BA251" s="42">
        <f>IF(COUNT(B251:AY251)=0,"",IF(TRIM(A251)&lt;&gt;"",TRIM(A251),IF(BA250="","(geen naam)",BA250)))</f>
        <v/>
      </c>
      <c r="BB251" s="42">
        <f>IF(BA251="","",IF(ISNA(MATCH(BA251,BA$120:BA250,0)),MAX(BB$120:BB250)+1,""))</f>
        <v/>
      </c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/>
      <c r="AP252" s="7" t="n"/>
      <c r="AQ252" s="7" t="n"/>
      <c r="AR252" s="7" t="n"/>
      <c r="AS252" s="7" t="n"/>
      <c r="AT252" s="7" t="n"/>
      <c r="AU252" s="7" t="n"/>
      <c r="AV252" s="7" t="n"/>
      <c r="AW252" s="7" t="n"/>
      <c r="AX252" s="7" t="n"/>
      <c r="AY252" s="7" t="n"/>
      <c r="BA252" s="42">
        <f>IF(COUNT(B252:AY252)=0,"",IF(TRIM(A252)&lt;&gt;"",TRIM(A252),IF(BA251="","(geen naam)",BA251)))</f>
        <v/>
      </c>
      <c r="BB252" s="42">
        <f>IF(BA252="","",IF(ISNA(MATCH(BA252,BA$120:BA251,0)),MAX(BB$120:BB251)+1,""))</f>
        <v/>
      </c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/>
      <c r="AP253" s="7" t="n"/>
      <c r="AQ253" s="7" t="n"/>
      <c r="AR253" s="7" t="n"/>
      <c r="AS253" s="7" t="n"/>
      <c r="AT253" s="7" t="n"/>
      <c r="AU253" s="7" t="n"/>
      <c r="AV253" s="7" t="n"/>
      <c r="AW253" s="7" t="n"/>
      <c r="AX253" s="7" t="n"/>
      <c r="AY253" s="7" t="n"/>
      <c r="BA253" s="42">
        <f>IF(COUNT(B253:AY253)=0,"",IF(TRIM(A253)&lt;&gt;"",TRIM(A253),IF(BA252="","(geen naam)",BA252)))</f>
        <v/>
      </c>
      <c r="BB253" s="42">
        <f>IF(BA253="","",IF(ISNA(MATCH(BA253,BA$120:BA252,0)),MAX(BB$120:BB252)+1,""))</f>
        <v/>
      </c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/>
      <c r="AP254" s="7" t="n"/>
      <c r="AQ254" s="7" t="n"/>
      <c r="AR254" s="7" t="n"/>
      <c r="AS254" s="7" t="n"/>
      <c r="AT254" s="7" t="n"/>
      <c r="AU254" s="7" t="n"/>
      <c r="AV254" s="7" t="n"/>
      <c r="AW254" s="7" t="n"/>
      <c r="AX254" s="7" t="n"/>
      <c r="AY254" s="7" t="n"/>
      <c r="BA254" s="42">
        <f>IF(COUNT(B254:AY254)=0,"",IF(TRIM(A254)&lt;&gt;"",TRIM(A254),IF(BA253="","(geen naam)",BA253)))</f>
        <v/>
      </c>
      <c r="BB254" s="42">
        <f>IF(BA254="","",IF(ISNA(MATCH(BA254,BA$120:BA253,0)),MAX(BB$120:BB253)+1,""))</f>
        <v/>
      </c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/>
      <c r="AP255" s="7" t="n"/>
      <c r="AQ255" s="7" t="n"/>
      <c r="AR255" s="7" t="n"/>
      <c r="AS255" s="7" t="n"/>
      <c r="AT255" s="7" t="n"/>
      <c r="AU255" s="7" t="n"/>
      <c r="AV255" s="7" t="n"/>
      <c r="AW255" s="7" t="n"/>
      <c r="AX255" s="7" t="n"/>
      <c r="AY255" s="7" t="n"/>
      <c r="BA255" s="42">
        <f>IF(COUNT(B255:AY255)=0,"",IF(TRIM(A255)&lt;&gt;"",TRIM(A255),IF(BA254="","(geen naam)",BA254)))</f>
        <v/>
      </c>
      <c r="BB255" s="42">
        <f>IF(BA255="","",IF(ISNA(MATCH(BA255,BA$120:BA254,0)),MAX(BB$120:BB254)+1,""))</f>
        <v/>
      </c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/>
      <c r="AP256" s="7" t="n"/>
      <c r="AQ256" s="7" t="n"/>
      <c r="AR256" s="7" t="n"/>
      <c r="AS256" s="7" t="n"/>
      <c r="AT256" s="7" t="n"/>
      <c r="AU256" s="7" t="n"/>
      <c r="AV256" s="7" t="n"/>
      <c r="AW256" s="7" t="n"/>
      <c r="AX256" s="7" t="n"/>
      <c r="AY256" s="7" t="n"/>
      <c r="BA256" s="42">
        <f>IF(COUNT(B256:AY256)=0,"",IF(TRIM(A256)&lt;&gt;"",TRIM(A256),IF(BA255="","(geen naam)",BA255)))</f>
        <v/>
      </c>
      <c r="BB256" s="42">
        <f>IF(BA256="","",IF(ISNA(MATCH(BA256,BA$120:BA255,0)),MAX(BB$120:BB255)+1,""))</f>
        <v/>
      </c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7" t="n"/>
      <c r="AS257" s="7" t="n"/>
      <c r="AT257" s="7" t="n"/>
      <c r="AU257" s="7" t="n"/>
      <c r="AV257" s="7" t="n"/>
      <c r="AW257" s="7" t="n"/>
      <c r="AX257" s="7" t="n"/>
      <c r="AY257" s="7" t="n"/>
      <c r="BA257" s="42">
        <f>IF(COUNT(B257:AY257)=0,"",IF(TRIM(A257)&lt;&gt;"",TRIM(A257),IF(BA256="","(geen naam)",BA256)))</f>
        <v/>
      </c>
      <c r="BB257" s="42">
        <f>IF(BA257="","",IF(ISNA(MATCH(BA257,BA$120:BA256,0)),MAX(BB$120:BB256)+1,""))</f>
        <v/>
      </c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/>
      <c r="AO258" s="7" t="n"/>
      <c r="AP258" s="7" t="n"/>
      <c r="AQ258" s="7" t="n"/>
      <c r="AR258" s="7" t="n"/>
      <c r="AS258" s="7" t="n"/>
      <c r="AT258" s="7" t="n"/>
      <c r="AU258" s="7" t="n"/>
      <c r="AV258" s="7" t="n"/>
      <c r="AW258" s="7" t="n"/>
      <c r="AX258" s="7" t="n"/>
      <c r="AY258" s="7" t="n"/>
      <c r="BA258" s="42">
        <f>IF(COUNT(B258:AY258)=0,"",IF(TRIM(A258)&lt;&gt;"",TRIM(A258),IF(BA257="","(geen naam)",BA257)))</f>
        <v/>
      </c>
      <c r="BB258" s="42">
        <f>IF(BA258="","",IF(ISNA(MATCH(BA258,BA$120:BA257,0)),MAX(BB$120:BB257)+1,""))</f>
        <v/>
      </c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7" t="n"/>
      <c r="AS259" s="7" t="n"/>
      <c r="AT259" s="7" t="n"/>
      <c r="AU259" s="7" t="n"/>
      <c r="AV259" s="7" t="n"/>
      <c r="AW259" s="7" t="n"/>
      <c r="AX259" s="7" t="n"/>
      <c r="AY259" s="7" t="n"/>
      <c r="BA259" s="42">
        <f>IF(COUNT(B259:AY259)=0,"",IF(TRIM(A259)&lt;&gt;"",TRIM(A259),IF(BA258="","(geen naam)",BA258)))</f>
        <v/>
      </c>
      <c r="BB259" s="42">
        <f>IF(BA259="","",IF(ISNA(MATCH(BA259,BA$120:BA258,0)),MAX(BB$120:BB258)+1,""))</f>
        <v/>
      </c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BA260" s="42">
        <f>IF(COUNT(B260:AY260)=0,"",IF(TRIM(A260)&lt;&gt;"",TRIM(A260),IF(BA259="","(geen naam)",BA259)))</f>
        <v/>
      </c>
      <c r="BB260" s="42">
        <f>IF(BA260="","",IF(ISNA(MATCH(BA260,BA$120:BA259,0)),MAX(BB$120:BB259)+1,""))</f>
        <v/>
      </c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/>
      <c r="AL261" s="7" t="n"/>
      <c r="AM261" s="7" t="n"/>
      <c r="AN261" s="7" t="n"/>
      <c r="AO261" s="7" t="n"/>
      <c r="AP261" s="7" t="n"/>
      <c r="AQ261" s="7" t="n"/>
      <c r="AR261" s="7" t="n"/>
      <c r="AS261" s="7" t="n"/>
      <c r="AT261" s="7" t="n"/>
      <c r="AU261" s="7" t="n"/>
      <c r="AV261" s="7" t="n"/>
      <c r="AW261" s="7" t="n"/>
      <c r="AX261" s="7" t="n"/>
      <c r="AY261" s="7" t="n"/>
      <c r="BA261" s="42">
        <f>IF(COUNT(B261:AY261)=0,"",IF(TRIM(A261)&lt;&gt;"",TRIM(A261),IF(BA260="","(geen naam)",BA260)))</f>
        <v/>
      </c>
      <c r="BB261" s="42">
        <f>IF(BA261="","",IF(ISNA(MATCH(BA261,BA$120:BA260,0)),MAX(BB$120:BB260)+1,""))</f>
        <v/>
      </c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/>
      <c r="AP262" s="7" t="n"/>
      <c r="AQ262" s="7" t="n"/>
      <c r="AR262" s="7" t="n"/>
      <c r="AS262" s="7" t="n"/>
      <c r="AT262" s="7" t="n"/>
      <c r="AU262" s="7" t="n"/>
      <c r="AV262" s="7" t="n"/>
      <c r="AW262" s="7" t="n"/>
      <c r="AX262" s="7" t="n"/>
      <c r="AY262" s="7" t="n"/>
      <c r="BA262" s="42">
        <f>IF(COUNT(B262:AY262)=0,"",IF(TRIM(A262)&lt;&gt;"",TRIM(A262),IF(BA261="","(geen naam)",BA261)))</f>
        <v/>
      </c>
      <c r="BB262" s="42">
        <f>IF(BA262="","",IF(ISNA(MATCH(BA262,BA$120:BA261,0)),MAX(BB$120:BB261)+1,""))</f>
        <v/>
      </c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/>
      <c r="AP263" s="7" t="n"/>
      <c r="AQ263" s="7" t="n"/>
      <c r="AR263" s="7" t="n"/>
      <c r="AS263" s="7" t="n"/>
      <c r="AT263" s="7" t="n"/>
      <c r="AU263" s="7" t="n"/>
      <c r="AV263" s="7" t="n"/>
      <c r="AW263" s="7" t="n"/>
      <c r="AX263" s="7" t="n"/>
      <c r="AY263" s="7" t="n"/>
      <c r="BA263" s="42">
        <f>IF(COUNT(B263:AY263)=0,"",IF(TRIM(A263)&lt;&gt;"",TRIM(A263),IF(BA262="","(geen naam)",BA262)))</f>
        <v/>
      </c>
      <c r="BB263" s="42">
        <f>IF(BA263="","",IF(ISNA(MATCH(BA263,BA$120:BA262,0)),MAX(BB$120:BB262)+1,""))</f>
        <v/>
      </c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/>
      <c r="AP264" s="7" t="n"/>
      <c r="AQ264" s="7" t="n"/>
      <c r="AR264" s="7" t="n"/>
      <c r="AS264" s="7" t="n"/>
      <c r="AT264" s="7" t="n"/>
      <c r="AU264" s="7" t="n"/>
      <c r="AV264" s="7" t="n"/>
      <c r="AW264" s="7" t="n"/>
      <c r="AX264" s="7" t="n"/>
      <c r="AY264" s="7" t="n"/>
      <c r="BA264" s="42">
        <f>IF(COUNT(B264:AY264)=0,"",IF(TRIM(A264)&lt;&gt;"",TRIM(A264),IF(BA263="","(geen naam)",BA263)))</f>
        <v/>
      </c>
      <c r="BB264" s="42">
        <f>IF(BA264="","",IF(ISNA(MATCH(BA264,BA$120:BA263,0)),MAX(BB$120:BB263)+1,""))</f>
        <v/>
      </c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/>
      <c r="AL265" s="7" t="n"/>
      <c r="AM265" s="7" t="n"/>
      <c r="AN265" s="7" t="n"/>
      <c r="AO265" s="7" t="n"/>
      <c r="AP265" s="7" t="n"/>
      <c r="AQ265" s="7" t="n"/>
      <c r="AR265" s="7" t="n"/>
      <c r="AS265" s="7" t="n"/>
      <c r="AT265" s="7" t="n"/>
      <c r="AU265" s="7" t="n"/>
      <c r="AV265" s="7" t="n"/>
      <c r="AW265" s="7" t="n"/>
      <c r="AX265" s="7" t="n"/>
      <c r="AY265" s="7" t="n"/>
      <c r="BA265" s="42">
        <f>IF(COUNT(B265:AY265)=0,"",IF(TRIM(A265)&lt;&gt;"",TRIM(A265),IF(BA264="","(geen naam)",BA264)))</f>
        <v/>
      </c>
      <c r="BB265" s="42">
        <f>IF(BA265="","",IF(ISNA(MATCH(BA265,BA$120:BA264,0)),MAX(BB$120:BB264)+1,""))</f>
        <v/>
      </c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/>
      <c r="AO266" s="7" t="n"/>
      <c r="AP266" s="7" t="n"/>
      <c r="AQ266" s="7" t="n"/>
      <c r="AR266" s="7" t="n"/>
      <c r="AS266" s="7" t="n"/>
      <c r="AT266" s="7" t="n"/>
      <c r="AU266" s="7" t="n"/>
      <c r="AV266" s="7" t="n"/>
      <c r="AW266" s="7" t="n"/>
      <c r="AX266" s="7" t="n"/>
      <c r="AY266" s="7" t="n"/>
      <c r="BA266" s="42">
        <f>IF(COUNT(B266:AY266)=0,"",IF(TRIM(A266)&lt;&gt;"",TRIM(A266),IF(BA265="","(geen naam)",BA265)))</f>
        <v/>
      </c>
      <c r="BB266" s="42">
        <f>IF(BA266="","",IF(ISNA(MATCH(BA266,BA$120:BA265,0)),MAX(BB$120:BB265)+1,""))</f>
        <v/>
      </c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/>
      <c r="AO267" s="7" t="n"/>
      <c r="AP267" s="7" t="n"/>
      <c r="AQ267" s="7" t="n"/>
      <c r="AR267" s="7" t="n"/>
      <c r="AS267" s="7" t="n"/>
      <c r="AT267" s="7" t="n"/>
      <c r="AU267" s="7" t="n"/>
      <c r="AV267" s="7" t="n"/>
      <c r="AW267" s="7" t="n"/>
      <c r="AX267" s="7" t="n"/>
      <c r="AY267" s="7" t="n"/>
      <c r="BA267" s="42">
        <f>IF(COUNT(B267:AY267)=0,"",IF(TRIM(A267)&lt;&gt;"",TRIM(A267),IF(BA266="","(geen naam)",BA266)))</f>
        <v/>
      </c>
      <c r="BB267" s="42">
        <f>IF(BA267="","",IF(ISNA(MATCH(BA267,BA$120:BA266,0)),MAX(BB$120:BB266)+1,""))</f>
        <v/>
      </c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/>
      <c r="AO268" s="7" t="n"/>
      <c r="AP268" s="7" t="n"/>
      <c r="AQ268" s="7" t="n"/>
      <c r="AR268" s="7" t="n"/>
      <c r="AS268" s="7" t="n"/>
      <c r="AT268" s="7" t="n"/>
      <c r="AU268" s="7" t="n"/>
      <c r="AV268" s="7" t="n"/>
      <c r="AW268" s="7" t="n"/>
      <c r="AX268" s="7" t="n"/>
      <c r="AY268" s="7" t="n"/>
      <c r="BA268" s="42">
        <f>IF(COUNT(B268:AY268)=0,"",IF(TRIM(A268)&lt;&gt;"",TRIM(A268),IF(BA267="","(geen naam)",BA267)))</f>
        <v/>
      </c>
      <c r="BB268" s="42">
        <f>IF(BA268="","",IF(ISNA(MATCH(BA268,BA$120:BA267,0)),MAX(BB$120:BB267)+1,""))</f>
        <v/>
      </c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/>
      <c r="AP269" s="7" t="n"/>
      <c r="AQ269" s="7" t="n"/>
      <c r="AR269" s="7" t="n"/>
      <c r="AS269" s="7" t="n"/>
      <c r="AT269" s="7" t="n"/>
      <c r="AU269" s="7" t="n"/>
      <c r="AV269" s="7" t="n"/>
      <c r="AW269" s="7" t="n"/>
      <c r="AX269" s="7" t="n"/>
      <c r="AY269" s="7" t="n"/>
      <c r="BA269" s="42">
        <f>IF(COUNT(B269:AY269)=0,"",IF(TRIM(A269)&lt;&gt;"",TRIM(A269),IF(BA268="","(geen naam)",BA268)))</f>
        <v/>
      </c>
      <c r="BB269" s="42">
        <f>IF(BA269="","",IF(ISNA(MATCH(BA269,BA$120:BA268,0)),MAX(BB$120:BB268)+1,""))</f>
        <v/>
      </c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BA270" s="42">
        <f>IF(COUNT(B270:AY270)=0,"",IF(TRIM(A270)&lt;&gt;"",TRIM(A270),IF(BA269="","(geen naam)",BA269)))</f>
        <v/>
      </c>
      <c r="BB270" s="42">
        <f>IF(BA270="","",IF(ISNA(MATCH(BA270,BA$120:BA269,0)),MAX(BB$120:BB269)+1,""))</f>
        <v/>
      </c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/>
      <c r="AP271" s="7" t="n"/>
      <c r="AQ271" s="7" t="n"/>
      <c r="AR271" s="7" t="n"/>
      <c r="AS271" s="7" t="n"/>
      <c r="AT271" s="7" t="n"/>
      <c r="AU271" s="7" t="n"/>
      <c r="AV271" s="7" t="n"/>
      <c r="AW271" s="7" t="n"/>
      <c r="AX271" s="7" t="n"/>
      <c r="AY271" s="7" t="n"/>
      <c r="BA271" s="42">
        <f>IF(COUNT(B271:AY271)=0,"",IF(TRIM(A271)&lt;&gt;"",TRIM(A271),IF(BA270="","(geen naam)",BA270)))</f>
        <v/>
      </c>
      <c r="BB271" s="42">
        <f>IF(BA271="","",IF(ISNA(MATCH(BA271,BA$120:BA270,0)),MAX(BB$120:BB270)+1,""))</f>
        <v/>
      </c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/>
      <c r="AP272" s="7" t="n"/>
      <c r="AQ272" s="7" t="n"/>
      <c r="AR272" s="7" t="n"/>
      <c r="AS272" s="7" t="n"/>
      <c r="AT272" s="7" t="n"/>
      <c r="AU272" s="7" t="n"/>
      <c r="AV272" s="7" t="n"/>
      <c r="AW272" s="7" t="n"/>
      <c r="AX272" s="7" t="n"/>
      <c r="AY272" s="7" t="n"/>
      <c r="BA272" s="42">
        <f>IF(COUNT(B272:AY272)=0,"",IF(TRIM(A272)&lt;&gt;"",TRIM(A272),IF(BA271="","(geen naam)",BA271)))</f>
        <v/>
      </c>
      <c r="BB272" s="42">
        <f>IF(BA272="","",IF(ISNA(MATCH(BA272,BA$120:BA271,0)),MAX(BB$120:BB271)+1,""))</f>
        <v/>
      </c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/>
      <c r="AP273" s="7" t="n"/>
      <c r="AQ273" s="7" t="n"/>
      <c r="AR273" s="7" t="n"/>
      <c r="AS273" s="7" t="n"/>
      <c r="AT273" s="7" t="n"/>
      <c r="AU273" s="7" t="n"/>
      <c r="AV273" s="7" t="n"/>
      <c r="AW273" s="7" t="n"/>
      <c r="AX273" s="7" t="n"/>
      <c r="AY273" s="7" t="n"/>
      <c r="BA273" s="42">
        <f>IF(COUNT(B273:AY273)=0,"",IF(TRIM(A273)&lt;&gt;"",TRIM(A273),IF(BA272="","(geen naam)",BA272)))</f>
        <v/>
      </c>
      <c r="BB273" s="42">
        <f>IF(BA273="","",IF(ISNA(MATCH(BA273,BA$120:BA272,0)),MAX(BB$120:BB272)+1,""))</f>
        <v/>
      </c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/>
      <c r="AP274" s="7" t="n"/>
      <c r="AQ274" s="7" t="n"/>
      <c r="AR274" s="7" t="n"/>
      <c r="AS274" s="7" t="n"/>
      <c r="AT274" s="7" t="n"/>
      <c r="AU274" s="7" t="n"/>
      <c r="AV274" s="7" t="n"/>
      <c r="AW274" s="7" t="n"/>
      <c r="AX274" s="7" t="n"/>
      <c r="AY274" s="7" t="n"/>
      <c r="BA274" s="42">
        <f>IF(COUNT(B274:AY274)=0,"",IF(TRIM(A274)&lt;&gt;"",TRIM(A274),IF(BA273="","(geen naam)",BA273)))</f>
        <v/>
      </c>
      <c r="BB274" s="42">
        <f>IF(BA274="","",IF(ISNA(MATCH(BA274,BA$120:BA273,0)),MAX(BB$120:BB273)+1,""))</f>
        <v/>
      </c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/>
      <c r="AP275" s="7" t="n"/>
      <c r="AQ275" s="7" t="n"/>
      <c r="AR275" s="7" t="n"/>
      <c r="AS275" s="7" t="n"/>
      <c r="AT275" s="7" t="n"/>
      <c r="AU275" s="7" t="n"/>
      <c r="AV275" s="7" t="n"/>
      <c r="AW275" s="7" t="n"/>
      <c r="AX275" s="7" t="n"/>
      <c r="AY275" s="7" t="n"/>
      <c r="BA275" s="42">
        <f>IF(COUNT(B275:AY275)=0,"",IF(TRIM(A275)&lt;&gt;"",TRIM(A275),IF(BA274="","(geen naam)",BA274)))</f>
        <v/>
      </c>
      <c r="BB275" s="42">
        <f>IF(BA275="","",IF(ISNA(MATCH(BA275,BA$120:BA274,0)),MAX(BB$120:BB274)+1,""))</f>
        <v/>
      </c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/>
      <c r="AP276" s="7" t="n"/>
      <c r="AQ276" s="7" t="n"/>
      <c r="AR276" s="7" t="n"/>
      <c r="AS276" s="7" t="n"/>
      <c r="AT276" s="7" t="n"/>
      <c r="AU276" s="7" t="n"/>
      <c r="AV276" s="7" t="n"/>
      <c r="AW276" s="7" t="n"/>
      <c r="AX276" s="7" t="n"/>
      <c r="AY276" s="7" t="n"/>
      <c r="BA276" s="42">
        <f>IF(COUNT(B276:AY276)=0,"",IF(TRIM(A276)&lt;&gt;"",TRIM(A276),IF(BA275="","(geen naam)",BA275)))</f>
        <v/>
      </c>
      <c r="BB276" s="42">
        <f>IF(BA276="","",IF(ISNA(MATCH(BA276,BA$120:BA275,0)),MAX(BB$120:BB275)+1,""))</f>
        <v/>
      </c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/>
      <c r="AP277" s="7" t="n"/>
      <c r="AQ277" s="7" t="n"/>
      <c r="AR277" s="7" t="n"/>
      <c r="AS277" s="7" t="n"/>
      <c r="AT277" s="7" t="n"/>
      <c r="AU277" s="7" t="n"/>
      <c r="AV277" s="7" t="n"/>
      <c r="AW277" s="7" t="n"/>
      <c r="AX277" s="7" t="n"/>
      <c r="AY277" s="7" t="n"/>
      <c r="BA277" s="42">
        <f>IF(COUNT(B277:AY277)=0,"",IF(TRIM(A277)&lt;&gt;"",TRIM(A277),IF(BA276="","(geen naam)",BA276)))</f>
        <v/>
      </c>
      <c r="BB277" s="42">
        <f>IF(BA277="","",IF(ISNA(MATCH(BA277,BA$120:BA276,0)),MAX(BB$120:BB276)+1,""))</f>
        <v/>
      </c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/>
      <c r="AP278" s="7" t="n"/>
      <c r="AQ278" s="7" t="n"/>
      <c r="AR278" s="7" t="n"/>
      <c r="AS278" s="7" t="n"/>
      <c r="AT278" s="7" t="n"/>
      <c r="AU278" s="7" t="n"/>
      <c r="AV278" s="7" t="n"/>
      <c r="AW278" s="7" t="n"/>
      <c r="AX278" s="7" t="n"/>
      <c r="AY278" s="7" t="n"/>
      <c r="BA278" s="42">
        <f>IF(COUNT(B278:AY278)=0,"",IF(TRIM(A278)&lt;&gt;"",TRIM(A278),IF(BA277="","(geen naam)",BA277)))</f>
        <v/>
      </c>
      <c r="BB278" s="42">
        <f>IF(BA278="","",IF(ISNA(MATCH(BA278,BA$120:BA277,0)),MAX(BB$120:BB277)+1,""))</f>
        <v/>
      </c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/>
      <c r="AP279" s="7" t="n"/>
      <c r="AQ279" s="7" t="n"/>
      <c r="AR279" s="7" t="n"/>
      <c r="AS279" s="7" t="n"/>
      <c r="AT279" s="7" t="n"/>
      <c r="AU279" s="7" t="n"/>
      <c r="AV279" s="7" t="n"/>
      <c r="AW279" s="7" t="n"/>
      <c r="AX279" s="7" t="n"/>
      <c r="AY279" s="7" t="n"/>
      <c r="BA279" s="42">
        <f>IF(COUNT(B279:AY279)=0,"",IF(TRIM(A279)&lt;&gt;"",TRIM(A279),IF(BA278="","(geen naam)",BA278)))</f>
        <v/>
      </c>
      <c r="BB279" s="42">
        <f>IF(BA279="","",IF(ISNA(MATCH(BA279,BA$120:BA278,0)),MAX(BB$120:BB278)+1,""))</f>
        <v/>
      </c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/>
      <c r="AP280" s="7" t="n"/>
      <c r="AQ280" s="7" t="n"/>
      <c r="AR280" s="7" t="n"/>
      <c r="AS280" s="7" t="n"/>
      <c r="AT280" s="7" t="n"/>
      <c r="AU280" s="7" t="n"/>
      <c r="AV280" s="7" t="n"/>
      <c r="AW280" s="7" t="n"/>
      <c r="AX280" s="7" t="n"/>
      <c r="AY280" s="7" t="n"/>
      <c r="BA280" s="42">
        <f>IF(COUNT(B280:AY280)=0,"",IF(TRIM(A280)&lt;&gt;"",TRIM(A280),IF(BA279="","(geen naam)",BA279)))</f>
        <v/>
      </c>
      <c r="BB280" s="42">
        <f>IF(BA280="","",IF(ISNA(MATCH(BA280,BA$120:BA279,0)),MAX(BB$120:BB279)+1,""))</f>
        <v/>
      </c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/>
      <c r="AP281" s="7" t="n"/>
      <c r="AQ281" s="7" t="n"/>
      <c r="AR281" s="7" t="n"/>
      <c r="AS281" s="7" t="n"/>
      <c r="AT281" s="7" t="n"/>
      <c r="AU281" s="7" t="n"/>
      <c r="AV281" s="7" t="n"/>
      <c r="AW281" s="7" t="n"/>
      <c r="AX281" s="7" t="n"/>
      <c r="AY281" s="7" t="n"/>
      <c r="BA281" s="42">
        <f>IF(COUNT(B281:AY281)=0,"",IF(TRIM(A281)&lt;&gt;"",TRIM(A281),IF(BA280="","(geen naam)",BA280)))</f>
        <v/>
      </c>
      <c r="BB281" s="42">
        <f>IF(BA281="","",IF(ISNA(MATCH(BA281,BA$120:BA280,0)),MAX(BB$120:BB280)+1,""))</f>
        <v/>
      </c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/>
      <c r="AP282" s="7" t="n"/>
      <c r="AQ282" s="7" t="n"/>
      <c r="AR282" s="7" t="n"/>
      <c r="AS282" s="7" t="n"/>
      <c r="AT282" s="7" t="n"/>
      <c r="AU282" s="7" t="n"/>
      <c r="AV282" s="7" t="n"/>
      <c r="AW282" s="7" t="n"/>
      <c r="AX282" s="7" t="n"/>
      <c r="AY282" s="7" t="n"/>
      <c r="BA282" s="42">
        <f>IF(COUNT(B282:AY282)=0,"",IF(TRIM(A282)&lt;&gt;"",TRIM(A282),IF(BA281="","(geen naam)",BA281)))</f>
        <v/>
      </c>
      <c r="BB282" s="42">
        <f>IF(BA282="","",IF(ISNA(MATCH(BA282,BA$120:BA281,0)),MAX(BB$120:BB281)+1,""))</f>
        <v/>
      </c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/>
      <c r="AP283" s="7" t="n"/>
      <c r="AQ283" s="7" t="n"/>
      <c r="AR283" s="7" t="n"/>
      <c r="AS283" s="7" t="n"/>
      <c r="AT283" s="7" t="n"/>
      <c r="AU283" s="7" t="n"/>
      <c r="AV283" s="7" t="n"/>
      <c r="AW283" s="7" t="n"/>
      <c r="AX283" s="7" t="n"/>
      <c r="AY283" s="7" t="n"/>
      <c r="BA283" s="42">
        <f>IF(COUNT(B283:AY283)=0,"",IF(TRIM(A283)&lt;&gt;"",TRIM(A283),IF(BA282="","(geen naam)",BA282)))</f>
        <v/>
      </c>
      <c r="BB283" s="42">
        <f>IF(BA283="","",IF(ISNA(MATCH(BA283,BA$120:BA282,0)),MAX(BB$120:BB282)+1,""))</f>
        <v/>
      </c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/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7" t="n"/>
      <c r="AS284" s="7" t="n"/>
      <c r="AT284" s="7" t="n"/>
      <c r="AU284" s="7" t="n"/>
      <c r="AV284" s="7" t="n"/>
      <c r="AW284" s="7" t="n"/>
      <c r="AX284" s="7" t="n"/>
      <c r="AY284" s="7" t="n"/>
      <c r="BA284" s="42">
        <f>IF(COUNT(B284:AY284)=0,"",IF(TRIM(A284)&lt;&gt;"",TRIM(A284),IF(BA283="","(geen naam)",BA283)))</f>
        <v/>
      </c>
      <c r="BB284" s="42">
        <f>IF(BA284="","",IF(ISNA(MATCH(BA284,BA$120:BA283,0)),MAX(BB$120:BB283)+1,""))</f>
        <v/>
      </c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BA285" s="42">
        <f>IF(COUNT(B285:AY285)=0,"",IF(TRIM(A285)&lt;&gt;"",TRIM(A285),IF(BA284="","(geen naam)",BA284)))</f>
        <v/>
      </c>
      <c r="BB285" s="42">
        <f>IF(BA285="","",IF(ISNA(MATCH(BA285,BA$120:BA284,0)),MAX(BB$120:BB284)+1,""))</f>
        <v/>
      </c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/>
      <c r="AM286" s="7" t="n"/>
      <c r="AN286" s="7" t="n"/>
      <c r="AO286" s="7" t="n"/>
      <c r="AP286" s="7" t="n"/>
      <c r="AQ286" s="7" t="n"/>
      <c r="AR286" s="7" t="n"/>
      <c r="AS286" s="7" t="n"/>
      <c r="AT286" s="7" t="n"/>
      <c r="AU286" s="7" t="n"/>
      <c r="AV286" s="7" t="n"/>
      <c r="AW286" s="7" t="n"/>
      <c r="AX286" s="7" t="n"/>
      <c r="AY286" s="7" t="n"/>
      <c r="BA286" s="42">
        <f>IF(COUNT(B286:AY286)=0,"",IF(TRIM(A286)&lt;&gt;"",TRIM(A286),IF(BA285="","(geen naam)",BA285)))</f>
        <v/>
      </c>
      <c r="BB286" s="42">
        <f>IF(BA286="","",IF(ISNA(MATCH(BA286,BA$120:BA285,0)),MAX(BB$120:BB285)+1,""))</f>
        <v/>
      </c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/>
      <c r="AP287" s="7" t="n"/>
      <c r="AQ287" s="7" t="n"/>
      <c r="AR287" s="7" t="n"/>
      <c r="AS287" s="7" t="n"/>
      <c r="AT287" s="7" t="n"/>
      <c r="AU287" s="7" t="n"/>
      <c r="AV287" s="7" t="n"/>
      <c r="AW287" s="7" t="n"/>
      <c r="AX287" s="7" t="n"/>
      <c r="AY287" s="7" t="n"/>
      <c r="BA287" s="42">
        <f>IF(COUNT(B287:AY287)=0,"",IF(TRIM(A287)&lt;&gt;"",TRIM(A287),IF(BA286="","(geen naam)",BA286)))</f>
        <v/>
      </c>
      <c r="BB287" s="42">
        <f>IF(BA287="","",IF(ISNA(MATCH(BA287,BA$120:BA286,0)),MAX(BB$120:BB286)+1,""))</f>
        <v/>
      </c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/>
      <c r="AN288" s="7" t="n"/>
      <c r="AO288" s="7" t="n"/>
      <c r="AP288" s="7" t="n"/>
      <c r="AQ288" s="7" t="n"/>
      <c r="AR288" s="7" t="n"/>
      <c r="AS288" s="7" t="n"/>
      <c r="AT288" s="7" t="n"/>
      <c r="AU288" s="7" t="n"/>
      <c r="AV288" s="7" t="n"/>
      <c r="AW288" s="7" t="n"/>
      <c r="AX288" s="7" t="n"/>
      <c r="AY288" s="7" t="n"/>
      <c r="BA288" s="42">
        <f>IF(COUNT(B288:AY288)=0,"",IF(TRIM(A288)&lt;&gt;"",TRIM(A288),IF(BA287="","(geen naam)",BA287)))</f>
        <v/>
      </c>
      <c r="BB288" s="42">
        <f>IF(BA288="","",IF(ISNA(MATCH(BA288,BA$120:BA287,0)),MAX(BB$120:BB287)+1,""))</f>
        <v/>
      </c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/>
      <c r="AN289" s="7" t="n"/>
      <c r="AO289" s="7" t="n"/>
      <c r="AP289" s="7" t="n"/>
      <c r="AQ289" s="7" t="n"/>
      <c r="AR289" s="7" t="n"/>
      <c r="AS289" s="7" t="n"/>
      <c r="AT289" s="7" t="n"/>
      <c r="AU289" s="7" t="n"/>
      <c r="AV289" s="7" t="n"/>
      <c r="AW289" s="7" t="n"/>
      <c r="AX289" s="7" t="n"/>
      <c r="AY289" s="7" t="n"/>
      <c r="BA289" s="42">
        <f>IF(COUNT(B289:AY289)=0,"",IF(TRIM(A289)&lt;&gt;"",TRIM(A289),IF(BA288="","(geen naam)",BA288)))</f>
        <v/>
      </c>
      <c r="BB289" s="42">
        <f>IF(BA289="","",IF(ISNA(MATCH(BA289,BA$120:BA288,0)),MAX(BB$120:BB288)+1,""))</f>
        <v/>
      </c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/>
      <c r="AO290" s="7" t="n"/>
      <c r="AP290" s="7" t="n"/>
      <c r="AQ290" s="7" t="n"/>
      <c r="AR290" s="7" t="n"/>
      <c r="AS290" s="7" t="n"/>
      <c r="AT290" s="7" t="n"/>
      <c r="AU290" s="7" t="n"/>
      <c r="AV290" s="7" t="n"/>
      <c r="AW290" s="7" t="n"/>
      <c r="AX290" s="7" t="n"/>
      <c r="AY290" s="7" t="n"/>
      <c r="BA290" s="42">
        <f>IF(COUNT(B290:AY290)=0,"",IF(TRIM(A290)&lt;&gt;"",TRIM(A290),IF(BA289="","(geen naam)",BA289)))</f>
        <v/>
      </c>
      <c r="BB290" s="42">
        <f>IF(BA290="","",IF(ISNA(MATCH(BA290,BA$120:BA289,0)),MAX(BB$120:BB289)+1,""))</f>
        <v/>
      </c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/>
      <c r="AO291" s="7" t="n"/>
      <c r="AP291" s="7" t="n"/>
      <c r="AQ291" s="7" t="n"/>
      <c r="AR291" s="7" t="n"/>
      <c r="AS291" s="7" t="n"/>
      <c r="AT291" s="7" t="n"/>
      <c r="AU291" s="7" t="n"/>
      <c r="AV291" s="7" t="n"/>
      <c r="AW291" s="7" t="n"/>
      <c r="AX291" s="7" t="n"/>
      <c r="AY291" s="7" t="n"/>
      <c r="BA291" s="42">
        <f>IF(COUNT(B291:AY291)=0,"",IF(TRIM(A291)&lt;&gt;"",TRIM(A291),IF(BA290="","(geen naam)",BA290)))</f>
        <v/>
      </c>
      <c r="BB291" s="42">
        <f>IF(BA291="","",IF(ISNA(MATCH(BA291,BA$120:BA290,0)),MAX(BB$120:BB290)+1,""))</f>
        <v/>
      </c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/>
      <c r="AP292" s="7" t="n"/>
      <c r="AQ292" s="7" t="n"/>
      <c r="AR292" s="7" t="n"/>
      <c r="AS292" s="7" t="n"/>
      <c r="AT292" s="7" t="n"/>
      <c r="AU292" s="7" t="n"/>
      <c r="AV292" s="7" t="n"/>
      <c r="AW292" s="7" t="n"/>
      <c r="AX292" s="7" t="n"/>
      <c r="AY292" s="7" t="n"/>
      <c r="BA292" s="42">
        <f>IF(COUNT(B292:AY292)=0,"",IF(TRIM(A292)&lt;&gt;"",TRIM(A292),IF(BA291="","(geen naam)",BA291)))</f>
        <v/>
      </c>
      <c r="BB292" s="42">
        <f>IF(BA292="","",IF(ISNA(MATCH(BA292,BA$120:BA291,0)),MAX(BB$120:BB291)+1,""))</f>
        <v/>
      </c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/>
      <c r="AP293" s="7" t="n"/>
      <c r="AQ293" s="7" t="n"/>
      <c r="AR293" s="7" t="n"/>
      <c r="AS293" s="7" t="n"/>
      <c r="AT293" s="7" t="n"/>
      <c r="AU293" s="7" t="n"/>
      <c r="AV293" s="7" t="n"/>
      <c r="AW293" s="7" t="n"/>
      <c r="AX293" s="7" t="n"/>
      <c r="AY293" s="7" t="n"/>
      <c r="BA293" s="42">
        <f>IF(COUNT(B293:AY293)=0,"",IF(TRIM(A293)&lt;&gt;"",TRIM(A293),IF(BA292="","(geen naam)",BA292)))</f>
        <v/>
      </c>
      <c r="BB293" s="42">
        <f>IF(BA293="","",IF(ISNA(MATCH(BA293,BA$120:BA292,0)),MAX(BB$120:BB292)+1,""))</f>
        <v/>
      </c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/>
      <c r="AP294" s="7" t="n"/>
      <c r="AQ294" s="7" t="n"/>
      <c r="AR294" s="7" t="n"/>
      <c r="AS294" s="7" t="n"/>
      <c r="AT294" s="7" t="n"/>
      <c r="AU294" s="7" t="n"/>
      <c r="AV294" s="7" t="n"/>
      <c r="AW294" s="7" t="n"/>
      <c r="AX294" s="7" t="n"/>
      <c r="AY294" s="7" t="n"/>
      <c r="BA294" s="42">
        <f>IF(COUNT(B294:AY294)=0,"",IF(TRIM(A294)&lt;&gt;"",TRIM(A294),IF(BA293="","(geen naam)",BA293)))</f>
        <v/>
      </c>
      <c r="BB294" s="42">
        <f>IF(BA294="","",IF(ISNA(MATCH(BA294,BA$120:BA293,0)),MAX(BB$120:BB293)+1,""))</f>
        <v/>
      </c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/>
      <c r="AP295" s="7" t="n"/>
      <c r="AQ295" s="7" t="n"/>
      <c r="AR295" s="7" t="n"/>
      <c r="AS295" s="7" t="n"/>
      <c r="AT295" s="7" t="n"/>
      <c r="AU295" s="7" t="n"/>
      <c r="AV295" s="7" t="n"/>
      <c r="AW295" s="7" t="n"/>
      <c r="AX295" s="7" t="n"/>
      <c r="AY295" s="7" t="n"/>
      <c r="BA295" s="42">
        <f>IF(COUNT(B295:AY295)=0,"",IF(TRIM(A295)&lt;&gt;"",TRIM(A295),IF(BA294="","(geen naam)",BA294)))</f>
        <v/>
      </c>
      <c r="BB295" s="42">
        <f>IF(BA295="","",IF(ISNA(MATCH(BA295,BA$120:BA294,0)),MAX(BB$120:BB294)+1,""))</f>
        <v/>
      </c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/>
      <c r="AP296" s="7" t="n"/>
      <c r="AQ296" s="7" t="n"/>
      <c r="AR296" s="7" t="n"/>
      <c r="AS296" s="7" t="n"/>
      <c r="AT296" s="7" t="n"/>
      <c r="AU296" s="7" t="n"/>
      <c r="AV296" s="7" t="n"/>
      <c r="AW296" s="7" t="n"/>
      <c r="AX296" s="7" t="n"/>
      <c r="AY296" s="7" t="n"/>
      <c r="BA296" s="42">
        <f>IF(COUNT(B296:AY296)=0,"",IF(TRIM(A296)&lt;&gt;"",TRIM(A296),IF(BA295="","(geen naam)",BA295)))</f>
        <v/>
      </c>
      <c r="BB296" s="42">
        <f>IF(BA296="","",IF(ISNA(MATCH(BA296,BA$120:BA295,0)),MAX(BB$120:BB295)+1,""))</f>
        <v/>
      </c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/>
      <c r="AP297" s="7" t="n"/>
      <c r="AQ297" s="7" t="n"/>
      <c r="AR297" s="7" t="n"/>
      <c r="AS297" s="7" t="n"/>
      <c r="AT297" s="7" t="n"/>
      <c r="AU297" s="7" t="n"/>
      <c r="AV297" s="7" t="n"/>
      <c r="AW297" s="7" t="n"/>
      <c r="AX297" s="7" t="n"/>
      <c r="AY297" s="7" t="n"/>
      <c r="BA297" s="42">
        <f>IF(COUNT(B297:AY297)=0,"",IF(TRIM(A297)&lt;&gt;"",TRIM(A297),IF(BA296="","(geen naam)",BA296)))</f>
        <v/>
      </c>
      <c r="BB297" s="42">
        <f>IF(BA297="","",IF(ISNA(MATCH(BA297,BA$120:BA296,0)),MAX(BB$120:BB296)+1,""))</f>
        <v/>
      </c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BA298" s="42">
        <f>IF(COUNT(B298:AY298)=0,"",IF(TRIM(A298)&lt;&gt;"",TRIM(A298),IF(BA297="","(geen naam)",BA297)))</f>
        <v/>
      </c>
      <c r="BB298" s="42">
        <f>IF(BA298="","",IF(ISNA(MATCH(BA298,BA$120:BA297,0)),MAX(BB$120:BB297)+1,""))</f>
        <v/>
      </c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/>
      <c r="AP299" s="7" t="n"/>
      <c r="AQ299" s="7" t="n"/>
      <c r="AR299" s="7" t="n"/>
      <c r="AS299" s="7" t="n"/>
      <c r="AT299" s="7" t="n"/>
      <c r="AU299" s="7" t="n"/>
      <c r="AV299" s="7" t="n"/>
      <c r="AW299" s="7" t="n"/>
      <c r="AX299" s="7" t="n"/>
      <c r="AY299" s="7" t="n"/>
      <c r="BA299" s="42">
        <f>IF(COUNT(B299:AY299)=0,"",IF(TRIM(A299)&lt;&gt;"",TRIM(A299),IF(BA298="","(geen naam)",BA298)))</f>
        <v/>
      </c>
      <c r="BB299" s="42">
        <f>IF(BA299="","",IF(ISNA(MATCH(BA299,BA$120:BA298,0)),MAX(BB$120:BB298)+1,""))</f>
        <v/>
      </c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/>
      <c r="AP300" s="7" t="n"/>
      <c r="AQ300" s="7" t="n"/>
      <c r="AR300" s="7" t="n"/>
      <c r="AS300" s="7" t="n"/>
      <c r="AT300" s="7" t="n"/>
      <c r="AU300" s="7" t="n"/>
      <c r="AV300" s="7" t="n"/>
      <c r="AW300" s="7" t="n"/>
      <c r="AX300" s="7" t="n"/>
      <c r="AY300" s="7" t="n"/>
      <c r="BA300" s="42">
        <f>IF(COUNT(B300:AY300)=0,"",IF(TRIM(A300)&lt;&gt;"",TRIM(A300),IF(BA299="","(geen naam)",BA299)))</f>
        <v/>
      </c>
      <c r="BB300" s="42">
        <f>IF(BA300="","",IF(ISNA(MATCH(BA300,BA$120:BA299,0)),MAX(BB$120:BB299)+1,""))</f>
        <v/>
      </c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/>
      <c r="AP301" s="7" t="n"/>
      <c r="AQ301" s="7" t="n"/>
      <c r="AR301" s="7" t="n"/>
      <c r="AS301" s="7" t="n"/>
      <c r="AT301" s="7" t="n"/>
      <c r="AU301" s="7" t="n"/>
      <c r="AV301" s="7" t="n"/>
      <c r="AW301" s="7" t="n"/>
      <c r="AX301" s="7" t="n"/>
      <c r="AY301" s="7" t="n"/>
      <c r="BA301" s="42">
        <f>IF(COUNT(B301:AY301)=0,"",IF(TRIM(A301)&lt;&gt;"",TRIM(A301),IF(BA300="","(geen naam)",BA300)))</f>
        <v/>
      </c>
      <c r="BB301" s="42">
        <f>IF(BA301="","",IF(ISNA(MATCH(BA301,BA$120:BA300,0)),MAX(BB$120:BB300)+1,""))</f>
        <v/>
      </c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/>
      <c r="AP302" s="7" t="n"/>
      <c r="AQ302" s="7" t="n"/>
      <c r="AR302" s="7" t="n"/>
      <c r="AS302" s="7" t="n"/>
      <c r="AT302" s="7" t="n"/>
      <c r="AU302" s="7" t="n"/>
      <c r="AV302" s="7" t="n"/>
      <c r="AW302" s="7" t="n"/>
      <c r="AX302" s="7" t="n"/>
      <c r="AY302" s="7" t="n"/>
      <c r="BA302" s="42">
        <f>IF(COUNT(B302:AY302)=0,"",IF(TRIM(A302)&lt;&gt;"",TRIM(A302),IF(BA301="","(geen naam)",BA301)))</f>
        <v/>
      </c>
      <c r="BB302" s="42">
        <f>IF(BA302="","",IF(ISNA(MATCH(BA302,BA$120:BA301,0)),MAX(BB$120:BB301)+1,""))</f>
        <v/>
      </c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/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7" t="n"/>
      <c r="AS303" s="7" t="n"/>
      <c r="AT303" s="7" t="n"/>
      <c r="AU303" s="7" t="n"/>
      <c r="AV303" s="7" t="n"/>
      <c r="AW303" s="7" t="n"/>
      <c r="AX303" s="7" t="n"/>
      <c r="AY303" s="7" t="n"/>
      <c r="BA303" s="42">
        <f>IF(COUNT(B303:AY303)=0,"",IF(TRIM(A303)&lt;&gt;"",TRIM(A303),IF(BA302="","(geen naam)",BA302)))</f>
        <v/>
      </c>
      <c r="BB303" s="42">
        <f>IF(BA303="","",IF(ISNA(MATCH(BA303,BA$120:BA302,0)),MAX(BB$120:BB302)+1,""))</f>
        <v/>
      </c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/>
      <c r="AK304" s="7" t="n"/>
      <c r="AL304" s="7" t="n"/>
      <c r="AM304" s="7" t="n"/>
      <c r="AN304" s="7" t="n"/>
      <c r="AO304" s="7" t="n"/>
      <c r="AP304" s="7" t="n"/>
      <c r="AQ304" s="7" t="n"/>
      <c r="AR304" s="7" t="n"/>
      <c r="AS304" s="7" t="n"/>
      <c r="AT304" s="7" t="n"/>
      <c r="AU304" s="7" t="n"/>
      <c r="AV304" s="7" t="n"/>
      <c r="AW304" s="7" t="n"/>
      <c r="AX304" s="7" t="n"/>
      <c r="AY304" s="7" t="n"/>
      <c r="BA304" s="42">
        <f>IF(COUNT(B304:AY304)=0,"",IF(TRIM(A304)&lt;&gt;"",TRIM(A304),IF(BA303="","(geen naam)",BA303)))</f>
        <v/>
      </c>
      <c r="BB304" s="42">
        <f>IF(BA304="","",IF(ISNA(MATCH(BA304,BA$120:BA303,0)),MAX(BB$120:BB303)+1,""))</f>
        <v/>
      </c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/>
      <c r="AM305" s="7" t="n"/>
      <c r="AN305" s="7" t="n"/>
      <c r="AO305" s="7" t="n"/>
      <c r="AP305" s="7" t="n"/>
      <c r="AQ305" s="7" t="n"/>
      <c r="AR305" s="7" t="n"/>
      <c r="AS305" s="7" t="n"/>
      <c r="AT305" s="7" t="n"/>
      <c r="AU305" s="7" t="n"/>
      <c r="AV305" s="7" t="n"/>
      <c r="AW305" s="7" t="n"/>
      <c r="AX305" s="7" t="n"/>
      <c r="AY305" s="7" t="n"/>
      <c r="BA305" s="42">
        <f>IF(COUNT(B305:AY305)=0,"",IF(TRIM(A305)&lt;&gt;"",TRIM(A305),IF(BA304="","(geen naam)",BA304)))</f>
        <v/>
      </c>
      <c r="BB305" s="42">
        <f>IF(BA305="","",IF(ISNA(MATCH(BA305,BA$120:BA304,0)),MAX(BB$120:BB304)+1,""))</f>
        <v/>
      </c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/>
      <c r="AO306" s="7" t="n"/>
      <c r="AP306" s="7" t="n"/>
      <c r="AQ306" s="7" t="n"/>
      <c r="AR306" s="7" t="n"/>
      <c r="AS306" s="7" t="n"/>
      <c r="AT306" s="7" t="n"/>
      <c r="AU306" s="7" t="n"/>
      <c r="AV306" s="7" t="n"/>
      <c r="AW306" s="7" t="n"/>
      <c r="AX306" s="7" t="n"/>
      <c r="AY306" s="7" t="n"/>
      <c r="BA306" s="42">
        <f>IF(COUNT(B306:AY306)=0,"",IF(TRIM(A306)&lt;&gt;"",TRIM(A306),IF(BA305="","(geen naam)",BA305)))</f>
        <v/>
      </c>
      <c r="BB306" s="42">
        <f>IF(BA306="","",IF(ISNA(MATCH(BA306,BA$120:BA305,0)),MAX(BB$120:BB305)+1,""))</f>
        <v/>
      </c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/>
      <c r="AO307" s="7" t="n"/>
      <c r="AP307" s="7" t="n"/>
      <c r="AQ307" s="7" t="n"/>
      <c r="AR307" s="7" t="n"/>
      <c r="AS307" s="7" t="n"/>
      <c r="AT307" s="7" t="n"/>
      <c r="AU307" s="7" t="n"/>
      <c r="AV307" s="7" t="n"/>
      <c r="AW307" s="7" t="n"/>
      <c r="AX307" s="7" t="n"/>
      <c r="AY307" s="7" t="n"/>
      <c r="BA307" s="42">
        <f>IF(COUNT(B307:AY307)=0,"",IF(TRIM(A307)&lt;&gt;"",TRIM(A307),IF(BA306="","(geen naam)",BA306)))</f>
        <v/>
      </c>
      <c r="BB307" s="42">
        <f>IF(BA307="","",IF(ISNA(MATCH(BA307,BA$120:BA306,0)),MAX(BB$120:BB306)+1,""))</f>
        <v/>
      </c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BA308" s="42">
        <f>IF(COUNT(B308:AY308)=0,"",IF(TRIM(A308)&lt;&gt;"",TRIM(A308),IF(BA307="","(geen naam)",BA307)))</f>
        <v/>
      </c>
      <c r="BB308" s="42">
        <f>IF(BA308="","",IF(ISNA(MATCH(BA308,BA$120:BA307,0)),MAX(BB$120:BB307)+1,""))</f>
        <v/>
      </c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7" t="n"/>
      <c r="AS309" s="7" t="n"/>
      <c r="AT309" s="7" t="n"/>
      <c r="AU309" s="7" t="n"/>
      <c r="AV309" s="7" t="n"/>
      <c r="AW309" s="7" t="n"/>
      <c r="AX309" s="7" t="n"/>
      <c r="AY309" s="7" t="n"/>
      <c r="BA309" s="42">
        <f>IF(COUNT(B309:AY309)=0,"",IF(TRIM(A309)&lt;&gt;"",TRIM(A309),IF(BA308="","(geen naam)",BA308)))</f>
        <v/>
      </c>
      <c r="BB309" s="42">
        <f>IF(BA309="","",IF(ISNA(MATCH(BA309,BA$120:BA308,0)),MAX(BB$120:BB308)+1,""))</f>
        <v/>
      </c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7" t="n"/>
      <c r="AS310" s="7" t="n"/>
      <c r="AT310" s="7" t="n"/>
      <c r="AU310" s="7" t="n"/>
      <c r="AV310" s="7" t="n"/>
      <c r="AW310" s="7" t="n"/>
      <c r="AX310" s="7" t="n"/>
      <c r="AY310" s="7" t="n"/>
      <c r="BA310" s="42">
        <f>IF(COUNT(B310:AY310)=0,"",IF(TRIM(A310)&lt;&gt;"",TRIM(A310),IF(BA309="","(geen naam)",BA309)))</f>
        <v/>
      </c>
      <c r="BB310" s="42">
        <f>IF(BA310="","",IF(ISNA(MATCH(BA310,BA$120:BA309,0)),MAX(BB$120:BB309)+1,""))</f>
        <v/>
      </c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7" t="n"/>
      <c r="AS311" s="7" t="n"/>
      <c r="AT311" s="7" t="n"/>
      <c r="AU311" s="7" t="n"/>
      <c r="AV311" s="7" t="n"/>
      <c r="AW311" s="7" t="n"/>
      <c r="AX311" s="7" t="n"/>
      <c r="AY311" s="7" t="n"/>
      <c r="BA311" s="42">
        <f>IF(COUNT(B311:AY311)=0,"",IF(TRIM(A311)&lt;&gt;"",TRIM(A311),IF(BA310="","(geen naam)",BA310)))</f>
        <v/>
      </c>
      <c r="BB311" s="42">
        <f>IF(BA311="","",IF(ISNA(MATCH(BA311,BA$120:BA310,0)),MAX(BB$120:BB310)+1,""))</f>
        <v/>
      </c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7" t="n"/>
      <c r="AS312" s="7" t="n"/>
      <c r="AT312" s="7" t="n"/>
      <c r="AU312" s="7" t="n"/>
      <c r="AV312" s="7" t="n"/>
      <c r="AW312" s="7" t="n"/>
      <c r="AX312" s="7" t="n"/>
      <c r="AY312" s="7" t="n"/>
      <c r="BA312" s="42">
        <f>IF(COUNT(B312:AY312)=0,"",IF(TRIM(A312)&lt;&gt;"",TRIM(A312),IF(BA311="","(geen naam)",BA311)))</f>
        <v/>
      </c>
      <c r="BB312" s="42">
        <f>IF(BA312="","",IF(ISNA(MATCH(BA312,BA$120:BA311,0)),MAX(BB$120:BB311)+1,""))</f>
        <v/>
      </c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7" t="n"/>
      <c r="AS313" s="7" t="n"/>
      <c r="AT313" s="7" t="n"/>
      <c r="AU313" s="7" t="n"/>
      <c r="AV313" s="7" t="n"/>
      <c r="AW313" s="7" t="n"/>
      <c r="AX313" s="7" t="n"/>
      <c r="AY313" s="7" t="n"/>
      <c r="BA313" s="42">
        <f>IF(COUNT(B313:AY313)=0,"",IF(TRIM(A313)&lt;&gt;"",TRIM(A313),IF(BA312="","(geen naam)",BA312)))</f>
        <v/>
      </c>
      <c r="BB313" s="42">
        <f>IF(BA313="","",IF(ISNA(MATCH(BA313,BA$120:BA312,0)),MAX(BB$120:BB312)+1,""))</f>
        <v/>
      </c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/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7" t="n"/>
      <c r="AS314" s="7" t="n"/>
      <c r="AT314" s="7" t="n"/>
      <c r="AU314" s="7" t="n"/>
      <c r="AV314" s="7" t="n"/>
      <c r="AW314" s="7" t="n"/>
      <c r="AX314" s="7" t="n"/>
      <c r="AY314" s="7" t="n"/>
      <c r="BA314" s="42">
        <f>IF(COUNT(B314:AY314)=0,"",IF(TRIM(A314)&lt;&gt;"",TRIM(A314),IF(BA313="","(geen naam)",BA313)))</f>
        <v/>
      </c>
      <c r="BB314" s="42">
        <f>IF(BA314="","",IF(ISNA(MATCH(BA314,BA$120:BA313,0)),MAX(BB$120:BB313)+1,""))</f>
        <v/>
      </c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/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7" t="n"/>
      <c r="AS315" s="7" t="n"/>
      <c r="AT315" s="7" t="n"/>
      <c r="AU315" s="7" t="n"/>
      <c r="AV315" s="7" t="n"/>
      <c r="AW315" s="7" t="n"/>
      <c r="AX315" s="7" t="n"/>
      <c r="AY315" s="7" t="n"/>
      <c r="BA315" s="42">
        <f>IF(COUNT(B315:AY315)=0,"",IF(TRIM(A315)&lt;&gt;"",TRIM(A315),IF(BA314="","(geen naam)",BA314)))</f>
        <v/>
      </c>
      <c r="BB315" s="42">
        <f>IF(BA315="","",IF(ISNA(MATCH(BA315,BA$120:BA314,0)),MAX(BB$120:BB314)+1,""))</f>
        <v/>
      </c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/>
      <c r="AK316" s="7" t="n"/>
      <c r="AL316" s="7" t="n"/>
      <c r="AM316" s="7" t="n"/>
      <c r="AN316" s="7" t="n"/>
      <c r="AO316" s="7" t="n"/>
      <c r="AP316" s="7" t="n"/>
      <c r="AQ316" s="7" t="n"/>
      <c r="AR316" s="7" t="n"/>
      <c r="AS316" s="7" t="n"/>
      <c r="AT316" s="7" t="n"/>
      <c r="AU316" s="7" t="n"/>
      <c r="AV316" s="7" t="n"/>
      <c r="AW316" s="7" t="n"/>
      <c r="AX316" s="7" t="n"/>
      <c r="AY316" s="7" t="n"/>
      <c r="BA316" s="42">
        <f>IF(COUNT(B316:AY316)=0,"",IF(TRIM(A316)&lt;&gt;"",TRIM(A316),IF(BA315="","(geen naam)",BA315)))</f>
        <v/>
      </c>
      <c r="BB316" s="42">
        <f>IF(BA316="","",IF(ISNA(MATCH(BA316,BA$120:BA315,0)),MAX(BB$120:BB315)+1,""))</f>
        <v/>
      </c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/>
      <c r="AL317" s="7" t="n"/>
      <c r="AM317" s="7" t="n"/>
      <c r="AN317" s="7" t="n"/>
      <c r="AO317" s="7" t="n"/>
      <c r="AP317" s="7" t="n"/>
      <c r="AQ317" s="7" t="n"/>
      <c r="AR317" s="7" t="n"/>
      <c r="AS317" s="7" t="n"/>
      <c r="AT317" s="7" t="n"/>
      <c r="AU317" s="7" t="n"/>
      <c r="AV317" s="7" t="n"/>
      <c r="AW317" s="7" t="n"/>
      <c r="AX317" s="7" t="n"/>
      <c r="AY317" s="7" t="n"/>
      <c r="BA317" s="42">
        <f>IF(COUNT(B317:AY317)=0,"",IF(TRIM(A317)&lt;&gt;"",TRIM(A317),IF(BA316="","(geen naam)",BA316)))</f>
        <v/>
      </c>
      <c r="BB317" s="42">
        <f>IF(BA317="","",IF(ISNA(MATCH(BA317,BA$120:BA316,0)),MAX(BB$120:BB316)+1,""))</f>
        <v/>
      </c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/>
      <c r="AL318" s="7" t="n"/>
      <c r="AM318" s="7" t="n"/>
      <c r="AN318" s="7" t="n"/>
      <c r="AO318" s="7" t="n"/>
      <c r="AP318" s="7" t="n"/>
      <c r="AQ318" s="7" t="n"/>
      <c r="AR318" s="7" t="n"/>
      <c r="AS318" s="7" t="n"/>
      <c r="AT318" s="7" t="n"/>
      <c r="AU318" s="7" t="n"/>
      <c r="AV318" s="7" t="n"/>
      <c r="AW318" s="7" t="n"/>
      <c r="AX318" s="7" t="n"/>
      <c r="AY318" s="7" t="n"/>
      <c r="BA318" s="42">
        <f>IF(COUNT(B318:AY318)=0,"",IF(TRIM(A318)&lt;&gt;"",TRIM(A318),IF(BA317="","(geen naam)",BA317)))</f>
        <v/>
      </c>
      <c r="BB318" s="42">
        <f>IF(BA318="","",IF(ISNA(MATCH(BA318,BA$120:BA317,0)),MAX(BB$120:BB317)+1,""))</f>
        <v/>
      </c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/>
      <c r="AL319" s="7" t="n"/>
      <c r="AM319" s="7" t="n"/>
      <c r="AN319" s="7" t="n"/>
      <c r="AO319" s="7" t="n"/>
      <c r="AP319" s="7" t="n"/>
      <c r="AQ319" s="7" t="n"/>
      <c r="AR319" s="7" t="n"/>
      <c r="AS319" s="7" t="n"/>
      <c r="AT319" s="7" t="n"/>
      <c r="AU319" s="7" t="n"/>
      <c r="AV319" s="7" t="n"/>
      <c r="AW319" s="7" t="n"/>
      <c r="AX319" s="7" t="n"/>
      <c r="AY319" s="7" t="n"/>
      <c r="BA319" s="42">
        <f>IF(COUNT(B319:AY319)=0,"",IF(TRIM(A319)&lt;&gt;"",TRIM(A319),IF(BA318="","(geen naam)",BA318)))</f>
        <v/>
      </c>
      <c r="BB319" s="42">
        <f>IF(BA319="","",IF(ISNA(MATCH(BA319,BA$120:BA318,0)),MAX(BB$120:BB318)+1,""))</f>
        <v/>
      </c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/>
      <c r="AM320" s="7" t="n"/>
      <c r="AN320" s="7" t="n"/>
      <c r="AO320" s="7" t="n"/>
      <c r="AP320" s="7" t="n"/>
      <c r="AQ320" s="7" t="n"/>
      <c r="AR320" s="7" t="n"/>
      <c r="AS320" s="7" t="n"/>
      <c r="AT320" s="7" t="n"/>
      <c r="AU320" s="7" t="n"/>
      <c r="AV320" s="7" t="n"/>
      <c r="AW320" s="7" t="n"/>
      <c r="AX320" s="7" t="n"/>
      <c r="AY320" s="7" t="n"/>
      <c r="BA320" s="42">
        <f>IF(COUNT(B320:AY320)=0,"",IF(TRIM(A320)&lt;&gt;"",TRIM(A320),IF(BA319="","(geen naam)",BA319)))</f>
        <v/>
      </c>
      <c r="BB320" s="42">
        <f>IF(BA320="","",IF(ISNA(MATCH(BA320,BA$120:BA319,0)),MAX(BB$120:BB319)+1,""))</f>
        <v/>
      </c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/>
      <c r="AN321" s="7" t="n"/>
      <c r="AO321" s="7" t="n"/>
      <c r="AP321" s="7" t="n"/>
      <c r="AQ321" s="7" t="n"/>
      <c r="AR321" s="7" t="n"/>
      <c r="AS321" s="7" t="n"/>
      <c r="AT321" s="7" t="n"/>
      <c r="AU321" s="7" t="n"/>
      <c r="AV321" s="7" t="n"/>
      <c r="AW321" s="7" t="n"/>
      <c r="AX321" s="7" t="n"/>
      <c r="AY321" s="7" t="n"/>
      <c r="BA321" s="42">
        <f>IF(COUNT(B321:AY321)=0,"",IF(TRIM(A321)&lt;&gt;"",TRIM(A321),IF(BA320="","(geen naam)",BA320)))</f>
        <v/>
      </c>
      <c r="BB321" s="42">
        <f>IF(BA321="","",IF(ISNA(MATCH(BA321,BA$120:BA320,0)),MAX(BB$120:BB320)+1,""))</f>
        <v/>
      </c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/>
      <c r="AN322" s="7" t="n"/>
      <c r="AO322" s="7" t="n"/>
      <c r="AP322" s="7" t="n"/>
      <c r="AQ322" s="7" t="n"/>
      <c r="AR322" s="7" t="n"/>
      <c r="AS322" s="7" t="n"/>
      <c r="AT322" s="7" t="n"/>
      <c r="AU322" s="7" t="n"/>
      <c r="AV322" s="7" t="n"/>
      <c r="AW322" s="7" t="n"/>
      <c r="AX322" s="7" t="n"/>
      <c r="AY322" s="7" t="n"/>
      <c r="BA322" s="42">
        <f>IF(COUNT(B322:AY322)=0,"",IF(TRIM(A322)&lt;&gt;"",TRIM(A322),IF(BA321="","(geen naam)",BA321)))</f>
        <v/>
      </c>
      <c r="BB322" s="42">
        <f>IF(BA322="","",IF(ISNA(MATCH(BA322,BA$120:BA321,0)),MAX(BB$120:BB321)+1,""))</f>
        <v/>
      </c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/>
      <c r="AO323" s="7" t="n"/>
      <c r="AP323" s="7" t="n"/>
      <c r="AQ323" s="7" t="n"/>
      <c r="AR323" s="7" t="n"/>
      <c r="AS323" s="7" t="n"/>
      <c r="AT323" s="7" t="n"/>
      <c r="AU323" s="7" t="n"/>
      <c r="AV323" s="7" t="n"/>
      <c r="AW323" s="7" t="n"/>
      <c r="AX323" s="7" t="n"/>
      <c r="AY323" s="7" t="n"/>
      <c r="BA323" s="42">
        <f>IF(COUNT(B323:AY323)=0,"",IF(TRIM(A323)&lt;&gt;"",TRIM(A323),IF(BA322="","(geen naam)",BA322)))</f>
        <v/>
      </c>
      <c r="BB323" s="42">
        <f>IF(BA323="","",IF(ISNA(MATCH(BA323,BA$120:BA322,0)),MAX(BB$120:BB322)+1,""))</f>
        <v/>
      </c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/>
      <c r="AO324" s="7" t="n"/>
      <c r="AP324" s="7" t="n"/>
      <c r="AQ324" s="7" t="n"/>
      <c r="AR324" s="7" t="n"/>
      <c r="AS324" s="7" t="n"/>
      <c r="AT324" s="7" t="n"/>
      <c r="AU324" s="7" t="n"/>
      <c r="AV324" s="7" t="n"/>
      <c r="AW324" s="7" t="n"/>
      <c r="AX324" s="7" t="n"/>
      <c r="AY324" s="7" t="n"/>
      <c r="BA324" s="42">
        <f>IF(COUNT(B324:AY324)=0,"",IF(TRIM(A324)&lt;&gt;"",TRIM(A324),IF(BA323="","(geen naam)",BA323)))</f>
        <v/>
      </c>
      <c r="BB324" s="42">
        <f>IF(BA324="","",IF(ISNA(MATCH(BA324,BA$120:BA323,0)),MAX(BB$120:BB323)+1,""))</f>
        <v/>
      </c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/>
      <c r="AO325" s="7" t="n"/>
      <c r="AP325" s="7" t="n"/>
      <c r="AQ325" s="7" t="n"/>
      <c r="AR325" s="7" t="n"/>
      <c r="AS325" s="7" t="n"/>
      <c r="AT325" s="7" t="n"/>
      <c r="AU325" s="7" t="n"/>
      <c r="AV325" s="7" t="n"/>
      <c r="AW325" s="7" t="n"/>
      <c r="AX325" s="7" t="n"/>
      <c r="AY325" s="7" t="n"/>
      <c r="BA325" s="42">
        <f>IF(COUNT(B325:AY325)=0,"",IF(TRIM(A325)&lt;&gt;"",TRIM(A325),IF(BA324="","(geen naam)",BA324)))</f>
        <v/>
      </c>
      <c r="BB325" s="42">
        <f>IF(BA325="","",IF(ISNA(MATCH(BA325,BA$120:BA324,0)),MAX(BB$120:BB324)+1,""))</f>
        <v/>
      </c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BA326" s="42">
        <f>IF(COUNT(B326:AY326)=0,"",IF(TRIM(A326)&lt;&gt;"",TRIM(A326),IF(BA325="","(geen naam)",BA325)))</f>
        <v/>
      </c>
      <c r="BB326" s="42">
        <f>IF(BA326="","",IF(ISNA(MATCH(BA326,BA$120:BA325,0)),MAX(BB$120:BB325)+1,""))</f>
        <v/>
      </c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/>
      <c r="AO327" s="7" t="n"/>
      <c r="AP327" s="7" t="n"/>
      <c r="AQ327" s="7" t="n"/>
      <c r="AR327" s="7" t="n"/>
      <c r="AS327" s="7" t="n"/>
      <c r="AT327" s="7" t="n"/>
      <c r="AU327" s="7" t="n"/>
      <c r="AV327" s="7" t="n"/>
      <c r="AW327" s="7" t="n"/>
      <c r="AX327" s="7" t="n"/>
      <c r="AY327" s="7" t="n"/>
      <c r="BA327" s="42">
        <f>IF(COUNT(B327:AY327)=0,"",IF(TRIM(A327)&lt;&gt;"",TRIM(A327),IF(BA326="","(geen naam)",BA326)))</f>
        <v/>
      </c>
      <c r="BB327" s="42">
        <f>IF(BA327="","",IF(ISNA(MATCH(BA327,BA$120:BA326,0)),MAX(BB$120:BB326)+1,""))</f>
        <v/>
      </c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/>
      <c r="AO328" s="7" t="n"/>
      <c r="AP328" s="7" t="n"/>
      <c r="AQ328" s="7" t="n"/>
      <c r="AR328" s="7" t="n"/>
      <c r="AS328" s="7" t="n"/>
      <c r="AT328" s="7" t="n"/>
      <c r="AU328" s="7" t="n"/>
      <c r="AV328" s="7" t="n"/>
      <c r="AW328" s="7" t="n"/>
      <c r="AX328" s="7" t="n"/>
      <c r="AY328" s="7" t="n"/>
      <c r="BA328" s="42">
        <f>IF(COUNT(B328:AY328)=0,"",IF(TRIM(A328)&lt;&gt;"",TRIM(A328),IF(BA327="","(geen naam)",BA327)))</f>
        <v/>
      </c>
      <c r="BB328" s="42">
        <f>IF(BA328="","",IF(ISNA(MATCH(BA328,BA$120:BA327,0)),MAX(BB$120:BB327)+1,""))</f>
        <v/>
      </c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/>
      <c r="AN329" s="7" t="n"/>
      <c r="AO329" s="7" t="n"/>
      <c r="AP329" s="7" t="n"/>
      <c r="AQ329" s="7" t="n"/>
      <c r="AR329" s="7" t="n"/>
      <c r="AS329" s="7" t="n"/>
      <c r="AT329" s="7" t="n"/>
      <c r="AU329" s="7" t="n"/>
      <c r="AV329" s="7" t="n"/>
      <c r="AW329" s="7" t="n"/>
      <c r="AX329" s="7" t="n"/>
      <c r="AY329" s="7" t="n"/>
      <c r="BA329" s="42">
        <f>IF(COUNT(B329:AY329)=0,"",IF(TRIM(A329)&lt;&gt;"",TRIM(A329),IF(BA328="","(geen naam)",BA328)))</f>
        <v/>
      </c>
      <c r="BB329" s="42">
        <f>IF(BA329="","",IF(ISNA(MATCH(BA329,BA$120:BA328,0)),MAX(BB$120:BB328)+1,""))</f>
        <v/>
      </c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/>
      <c r="AO330" s="7" t="n"/>
      <c r="AP330" s="7" t="n"/>
      <c r="AQ330" s="7" t="n"/>
      <c r="AR330" s="7" t="n"/>
      <c r="AS330" s="7" t="n"/>
      <c r="AT330" s="7" t="n"/>
      <c r="AU330" s="7" t="n"/>
      <c r="AV330" s="7" t="n"/>
      <c r="AW330" s="7" t="n"/>
      <c r="AX330" s="7" t="n"/>
      <c r="AY330" s="7" t="n"/>
      <c r="BA330" s="42">
        <f>IF(COUNT(B330:AY330)=0,"",IF(TRIM(A330)&lt;&gt;"",TRIM(A330),IF(BA329="","(geen naam)",BA329)))</f>
        <v/>
      </c>
      <c r="BB330" s="42">
        <f>IF(BA330="","",IF(ISNA(MATCH(BA330,BA$120:BA329,0)),MAX(BB$120:BB329)+1,""))</f>
        <v/>
      </c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/>
      <c r="AO331" s="7" t="n"/>
      <c r="AP331" s="7" t="n"/>
      <c r="AQ331" s="7" t="n"/>
      <c r="AR331" s="7" t="n"/>
      <c r="AS331" s="7" t="n"/>
      <c r="AT331" s="7" t="n"/>
      <c r="AU331" s="7" t="n"/>
      <c r="AV331" s="7" t="n"/>
      <c r="AW331" s="7" t="n"/>
      <c r="AX331" s="7" t="n"/>
      <c r="AY331" s="7" t="n"/>
      <c r="BA331" s="42">
        <f>IF(COUNT(B331:AY331)=0,"",IF(TRIM(A331)&lt;&gt;"",TRIM(A331),IF(BA330="","(geen naam)",BA330)))</f>
        <v/>
      </c>
      <c r="BB331" s="42">
        <f>IF(BA331="","",IF(ISNA(MATCH(BA331,BA$120:BA330,0)),MAX(BB$120:BB330)+1,""))</f>
        <v/>
      </c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/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7" t="n"/>
      <c r="AS332" s="7" t="n"/>
      <c r="AT332" s="7" t="n"/>
      <c r="AU332" s="7" t="n"/>
      <c r="AV332" s="7" t="n"/>
      <c r="AW332" s="7" t="n"/>
      <c r="AX332" s="7" t="n"/>
      <c r="AY332" s="7" t="n"/>
      <c r="BA332" s="42">
        <f>IF(COUNT(B332:AY332)=0,"",IF(TRIM(A332)&lt;&gt;"",TRIM(A332),IF(BA331="","(geen naam)",BA331)))</f>
        <v/>
      </c>
      <c r="BB332" s="42">
        <f>IF(BA332="","",IF(ISNA(MATCH(BA332,BA$120:BA331,0)),MAX(BB$120:BB331)+1,""))</f>
        <v/>
      </c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/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7" t="n"/>
      <c r="AS333" s="7" t="n"/>
      <c r="AT333" s="7" t="n"/>
      <c r="AU333" s="7" t="n"/>
      <c r="AV333" s="7" t="n"/>
      <c r="AW333" s="7" t="n"/>
      <c r="AX333" s="7" t="n"/>
      <c r="AY333" s="7" t="n"/>
      <c r="BA333" s="42">
        <f>IF(COUNT(B333:AY333)=0,"",IF(TRIM(A333)&lt;&gt;"",TRIM(A333),IF(BA332="","(geen naam)",BA332)))</f>
        <v/>
      </c>
      <c r="BB333" s="42">
        <f>IF(BA333="","",IF(ISNA(MATCH(BA333,BA$120:BA332,0)),MAX(BB$120:BB332)+1,""))</f>
        <v/>
      </c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/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7" t="n"/>
      <c r="AS334" s="7" t="n"/>
      <c r="AT334" s="7" t="n"/>
      <c r="AU334" s="7" t="n"/>
      <c r="AV334" s="7" t="n"/>
      <c r="AW334" s="7" t="n"/>
      <c r="AX334" s="7" t="n"/>
      <c r="AY334" s="7" t="n"/>
      <c r="BA334" s="42">
        <f>IF(COUNT(B334:AY334)=0,"",IF(TRIM(A334)&lt;&gt;"",TRIM(A334),IF(BA333="","(geen naam)",BA333)))</f>
        <v/>
      </c>
      <c r="BB334" s="42">
        <f>IF(BA334="","",IF(ISNA(MATCH(BA334,BA$120:BA333,0)),MAX(BB$120:BB333)+1,""))</f>
        <v/>
      </c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/>
      <c r="AK335" s="7" t="n"/>
      <c r="AL335" s="7" t="n"/>
      <c r="AM335" s="7" t="n"/>
      <c r="AN335" s="7" t="n"/>
      <c r="AO335" s="7" t="n"/>
      <c r="AP335" s="7" t="n"/>
      <c r="AQ335" s="7" t="n"/>
      <c r="AR335" s="7" t="n"/>
      <c r="AS335" s="7" t="n"/>
      <c r="AT335" s="7" t="n"/>
      <c r="AU335" s="7" t="n"/>
      <c r="AV335" s="7" t="n"/>
      <c r="AW335" s="7" t="n"/>
      <c r="AX335" s="7" t="n"/>
      <c r="AY335" s="7" t="n"/>
      <c r="BA335" s="42">
        <f>IF(COUNT(B335:AY335)=0,"",IF(TRIM(A335)&lt;&gt;"",TRIM(A335),IF(BA334="","(geen naam)",BA334)))</f>
        <v/>
      </c>
      <c r="BB335" s="42">
        <f>IF(BA335="","",IF(ISNA(MATCH(BA335,BA$120:BA334,0)),MAX(BB$120:BB334)+1,""))</f>
        <v/>
      </c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/>
      <c r="AK336" s="7" t="n"/>
      <c r="AL336" s="7" t="n"/>
      <c r="AM336" s="7" t="n"/>
      <c r="AN336" s="7" t="n"/>
      <c r="AO336" s="7" t="n"/>
      <c r="AP336" s="7" t="n"/>
      <c r="AQ336" s="7" t="n"/>
      <c r="AR336" s="7" t="n"/>
      <c r="AS336" s="7" t="n"/>
      <c r="AT336" s="7" t="n"/>
      <c r="AU336" s="7" t="n"/>
      <c r="AV336" s="7" t="n"/>
      <c r="AW336" s="7" t="n"/>
      <c r="AX336" s="7" t="n"/>
      <c r="AY336" s="7" t="n"/>
      <c r="BA336" s="42">
        <f>IF(COUNT(B336:AY336)=0,"",IF(TRIM(A336)&lt;&gt;"",TRIM(A336),IF(BA335="","(geen naam)",BA335)))</f>
        <v/>
      </c>
      <c r="BB336" s="42">
        <f>IF(BA336="","",IF(ISNA(MATCH(BA336,BA$120:BA335,0)),MAX(BB$120:BB335)+1,""))</f>
        <v/>
      </c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/>
      <c r="AL337" s="7" t="n"/>
      <c r="AM337" s="7" t="n"/>
      <c r="AN337" s="7" t="n"/>
      <c r="AO337" s="7" t="n"/>
      <c r="AP337" s="7" t="n"/>
      <c r="AQ337" s="7" t="n"/>
      <c r="AR337" s="7" t="n"/>
      <c r="AS337" s="7" t="n"/>
      <c r="AT337" s="7" t="n"/>
      <c r="AU337" s="7" t="n"/>
      <c r="AV337" s="7" t="n"/>
      <c r="AW337" s="7" t="n"/>
      <c r="AX337" s="7" t="n"/>
      <c r="AY337" s="7" t="n"/>
      <c r="BA337" s="42">
        <f>IF(COUNT(B337:AY337)=0,"",IF(TRIM(A337)&lt;&gt;"",TRIM(A337),IF(BA336="","(geen naam)",BA336)))</f>
        <v/>
      </c>
      <c r="BB337" s="42">
        <f>IF(BA337="","",IF(ISNA(MATCH(BA337,BA$120:BA336,0)),MAX(BB$120:BB336)+1,""))</f>
        <v/>
      </c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/>
      <c r="AM338" s="7" t="n"/>
      <c r="AN338" s="7" t="n"/>
      <c r="AO338" s="7" t="n"/>
      <c r="AP338" s="7" t="n"/>
      <c r="AQ338" s="7" t="n"/>
      <c r="AR338" s="7" t="n"/>
      <c r="AS338" s="7" t="n"/>
      <c r="AT338" s="7" t="n"/>
      <c r="AU338" s="7" t="n"/>
      <c r="AV338" s="7" t="n"/>
      <c r="AW338" s="7" t="n"/>
      <c r="AX338" s="7" t="n"/>
      <c r="AY338" s="7" t="n"/>
      <c r="BA338" s="42">
        <f>IF(COUNT(B338:AY338)=0,"",IF(TRIM(A338)&lt;&gt;"",TRIM(A338),IF(BA337="","(geen naam)",BA337)))</f>
        <v/>
      </c>
      <c r="BB338" s="42">
        <f>IF(BA338="","",IF(ISNA(MATCH(BA338,BA$120:BA337,0)),MAX(BB$120:BB337)+1,""))</f>
        <v/>
      </c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/>
      <c r="AN339" s="7" t="n"/>
      <c r="AO339" s="7" t="n"/>
      <c r="AP339" s="7" t="n"/>
      <c r="AQ339" s="7" t="n"/>
      <c r="AR339" s="7" t="n"/>
      <c r="AS339" s="7" t="n"/>
      <c r="AT339" s="7" t="n"/>
      <c r="AU339" s="7" t="n"/>
      <c r="AV339" s="7" t="n"/>
      <c r="AW339" s="7" t="n"/>
      <c r="AX339" s="7" t="n"/>
      <c r="AY339" s="7" t="n"/>
      <c r="BA339" s="42">
        <f>IF(COUNT(B339:AY339)=0,"",IF(TRIM(A339)&lt;&gt;"",TRIM(A339),IF(BA338="","(geen naam)",BA338)))</f>
        <v/>
      </c>
      <c r="BB339" s="42">
        <f>IF(BA339="","",IF(ISNA(MATCH(BA339,BA$120:BA338,0)),MAX(BB$120:BB338)+1,""))</f>
        <v/>
      </c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/>
      <c r="AO340" s="7" t="n"/>
      <c r="AP340" s="7" t="n"/>
      <c r="AQ340" s="7" t="n"/>
      <c r="AR340" s="7" t="n"/>
      <c r="AS340" s="7" t="n"/>
      <c r="AT340" s="7" t="n"/>
      <c r="AU340" s="7" t="n"/>
      <c r="AV340" s="7" t="n"/>
      <c r="AW340" s="7" t="n"/>
      <c r="AX340" s="7" t="n"/>
      <c r="AY340" s="7" t="n"/>
      <c r="BA340" s="42">
        <f>IF(COUNT(B340:AY340)=0,"",IF(TRIM(A340)&lt;&gt;"",TRIM(A340),IF(BA339="","(geen naam)",BA339)))</f>
        <v/>
      </c>
      <c r="BB340" s="42">
        <f>IF(BA340="","",IF(ISNA(MATCH(BA340,BA$120:BA339,0)),MAX(BB$120:BB339)+1,""))</f>
        <v/>
      </c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/>
      <c r="AP341" s="7" t="n"/>
      <c r="AQ341" s="7" t="n"/>
      <c r="AR341" s="7" t="n"/>
      <c r="AS341" s="7" t="n"/>
      <c r="AT341" s="7" t="n"/>
      <c r="AU341" s="7" t="n"/>
      <c r="AV341" s="7" t="n"/>
      <c r="AW341" s="7" t="n"/>
      <c r="AX341" s="7" t="n"/>
      <c r="AY341" s="7" t="n"/>
      <c r="BA341" s="42">
        <f>IF(COUNT(B341:AY341)=0,"",IF(TRIM(A341)&lt;&gt;"",TRIM(A341),IF(BA340="","(geen naam)",BA340)))</f>
        <v/>
      </c>
      <c r="BB341" s="42">
        <f>IF(BA341="","",IF(ISNA(MATCH(BA341,BA$120:BA340,0)),MAX(BB$120:BB340)+1,""))</f>
        <v/>
      </c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/>
      <c r="AP342" s="7" t="n"/>
      <c r="AQ342" s="7" t="n"/>
      <c r="AR342" s="7" t="n"/>
      <c r="AS342" s="7" t="n"/>
      <c r="AT342" s="7" t="n"/>
      <c r="AU342" s="7" t="n"/>
      <c r="AV342" s="7" t="n"/>
      <c r="AW342" s="7" t="n"/>
      <c r="AX342" s="7" t="n"/>
      <c r="AY342" s="7" t="n"/>
      <c r="BA342" s="42">
        <f>IF(COUNT(B342:AY342)=0,"",IF(TRIM(A342)&lt;&gt;"",TRIM(A342),IF(BA341="","(geen naam)",BA341)))</f>
        <v/>
      </c>
      <c r="BB342" s="42">
        <f>IF(BA342="","",IF(ISNA(MATCH(BA342,BA$120:BA341,0)),MAX(BB$120:BB341)+1,""))</f>
        <v/>
      </c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/>
      <c r="AP343" s="7" t="n"/>
      <c r="AQ343" s="7" t="n"/>
      <c r="AR343" s="7" t="n"/>
      <c r="AS343" s="7" t="n"/>
      <c r="AT343" s="7" t="n"/>
      <c r="AU343" s="7" t="n"/>
      <c r="AV343" s="7" t="n"/>
      <c r="AW343" s="7" t="n"/>
      <c r="AX343" s="7" t="n"/>
      <c r="AY343" s="7" t="n"/>
      <c r="BA343" s="42">
        <f>IF(COUNT(B343:AY343)=0,"",IF(TRIM(A343)&lt;&gt;"",TRIM(A343),IF(BA342="","(geen naam)",BA342)))</f>
        <v/>
      </c>
      <c r="BB343" s="42">
        <f>IF(BA343="","",IF(ISNA(MATCH(BA343,BA$120:BA342,0)),MAX(BB$120:BB342)+1,""))</f>
        <v/>
      </c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/>
      <c r="AP344" s="7" t="n"/>
      <c r="AQ344" s="7" t="n"/>
      <c r="AR344" s="7" t="n"/>
      <c r="AS344" s="7" t="n"/>
      <c r="AT344" s="7" t="n"/>
      <c r="AU344" s="7" t="n"/>
      <c r="AV344" s="7" t="n"/>
      <c r="AW344" s="7" t="n"/>
      <c r="AX344" s="7" t="n"/>
      <c r="AY344" s="7" t="n"/>
      <c r="BA344" s="42">
        <f>IF(COUNT(B344:AY344)=0,"",IF(TRIM(A344)&lt;&gt;"",TRIM(A344),IF(BA343="","(geen naam)",BA343)))</f>
        <v/>
      </c>
      <c r="BB344" s="42">
        <f>IF(BA344="","",IF(ISNA(MATCH(BA344,BA$120:BA343,0)),MAX(BB$120:BB343)+1,""))</f>
        <v/>
      </c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/>
      <c r="AP345" s="7" t="n"/>
      <c r="AQ345" s="7" t="n"/>
      <c r="AR345" s="7" t="n"/>
      <c r="AS345" s="7" t="n"/>
      <c r="AT345" s="7" t="n"/>
      <c r="AU345" s="7" t="n"/>
      <c r="AV345" s="7" t="n"/>
      <c r="AW345" s="7" t="n"/>
      <c r="AX345" s="7" t="n"/>
      <c r="AY345" s="7" t="n"/>
      <c r="BA345" s="42">
        <f>IF(COUNT(B345:AY345)=0,"",IF(TRIM(A345)&lt;&gt;"",TRIM(A345),IF(BA344="","(geen naam)",BA344)))</f>
        <v/>
      </c>
      <c r="BB345" s="42">
        <f>IF(BA345="","",IF(ISNA(MATCH(BA345,BA$120:BA344,0)),MAX(BB$120:BB344)+1,""))</f>
        <v/>
      </c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/>
      <c r="AP346" s="7" t="n"/>
      <c r="AQ346" s="7" t="n"/>
      <c r="AR346" s="7" t="n"/>
      <c r="AS346" s="7" t="n"/>
      <c r="AT346" s="7" t="n"/>
      <c r="AU346" s="7" t="n"/>
      <c r="AV346" s="7" t="n"/>
      <c r="AW346" s="7" t="n"/>
      <c r="AX346" s="7" t="n"/>
      <c r="AY346" s="7" t="n"/>
      <c r="BA346" s="42">
        <f>IF(COUNT(B346:AY346)=0,"",IF(TRIM(A346)&lt;&gt;"",TRIM(A346),IF(BA345="","(geen naam)",BA345)))</f>
        <v/>
      </c>
      <c r="BB346" s="42">
        <f>IF(BA346="","",IF(ISNA(MATCH(BA346,BA$120:BA345,0)),MAX(BB$120:BB345)+1,""))</f>
        <v/>
      </c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/>
      <c r="AP347" s="7" t="n"/>
      <c r="AQ347" s="7" t="n"/>
      <c r="AR347" s="7" t="n"/>
      <c r="AS347" s="7" t="n"/>
      <c r="AT347" s="7" t="n"/>
      <c r="AU347" s="7" t="n"/>
      <c r="AV347" s="7" t="n"/>
      <c r="AW347" s="7" t="n"/>
      <c r="AX347" s="7" t="n"/>
      <c r="AY347" s="7" t="n"/>
      <c r="BA347" s="42">
        <f>IF(COUNT(B347:AY347)=0,"",IF(TRIM(A347)&lt;&gt;"",TRIM(A347),IF(BA346="","(geen naam)",BA346)))</f>
        <v/>
      </c>
      <c r="BB347" s="42">
        <f>IF(BA347="","",IF(ISNA(MATCH(BA347,BA$120:BA346,0)),MAX(BB$120:BB346)+1,""))</f>
        <v/>
      </c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  <c r="AR348" s="7" t="n"/>
      <c r="AS348" s="7" t="n"/>
      <c r="AT348" s="7" t="n"/>
      <c r="AU348" s="7" t="n"/>
      <c r="AV348" s="7" t="n"/>
      <c r="AW348" s="7" t="n"/>
      <c r="AX348" s="7" t="n"/>
      <c r="AY348" s="7" t="n"/>
      <c r="BA348" s="42">
        <f>IF(COUNT(B348:AY348)=0,"",IF(TRIM(A348)&lt;&gt;"",TRIM(A348),IF(BA347="","(geen naam)",BA347)))</f>
        <v/>
      </c>
      <c r="BB348" s="42">
        <f>IF(BA348="","",IF(ISNA(MATCH(BA348,BA$120:BA347,0)),MAX(BB$120:BB347)+1,""))</f>
        <v/>
      </c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/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7" t="n"/>
      <c r="AS349" s="7" t="n"/>
      <c r="AT349" s="7" t="n"/>
      <c r="AU349" s="7" t="n"/>
      <c r="AV349" s="7" t="n"/>
      <c r="AW349" s="7" t="n"/>
      <c r="AX349" s="7" t="n"/>
      <c r="AY349" s="7" t="n"/>
      <c r="BA349" s="42">
        <f>IF(COUNT(B349:AY349)=0,"",IF(TRIM(A349)&lt;&gt;"",TRIM(A349),IF(BA348="","(geen naam)",BA348)))</f>
        <v/>
      </c>
      <c r="BB349" s="42">
        <f>IF(BA349="","",IF(ISNA(MATCH(BA349,BA$120:BA348,0)),MAX(BB$120:BB348)+1,""))</f>
        <v/>
      </c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/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  <c r="AQ350" s="7" t="n"/>
      <c r="AR350" s="7" t="n"/>
      <c r="AS350" s="7" t="n"/>
      <c r="AT350" s="7" t="n"/>
      <c r="AU350" s="7" t="n"/>
      <c r="AV350" s="7" t="n"/>
      <c r="AW350" s="7" t="n"/>
      <c r="AX350" s="7" t="n"/>
      <c r="AY350" s="7" t="n"/>
      <c r="BA350" s="42">
        <f>IF(COUNT(B350:AY350)=0,"",IF(TRIM(A350)&lt;&gt;"",TRIM(A350),IF(BA349="","(geen naam)",BA349)))</f>
        <v/>
      </c>
      <c r="BB350" s="42">
        <f>IF(BA350="","",IF(ISNA(MATCH(BA350,BA$120:BA349,0)),MAX(BB$120:BB349)+1,""))</f>
        <v/>
      </c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/>
      <c r="AM351" s="7" t="n"/>
      <c r="AN351" s="7" t="n"/>
      <c r="AO351" s="7" t="n"/>
      <c r="AP351" s="7" t="n"/>
      <c r="AQ351" s="7" t="n"/>
      <c r="AR351" s="7" t="n"/>
      <c r="AS351" s="7" t="n"/>
      <c r="AT351" s="7" t="n"/>
      <c r="AU351" s="7" t="n"/>
      <c r="AV351" s="7" t="n"/>
      <c r="AW351" s="7" t="n"/>
      <c r="AX351" s="7" t="n"/>
      <c r="AY351" s="7" t="n"/>
      <c r="BA351" s="42">
        <f>IF(COUNT(B351:AY351)=0,"",IF(TRIM(A351)&lt;&gt;"",TRIM(A351),IF(BA350="","(geen naam)",BA350)))</f>
        <v/>
      </c>
      <c r="BB351" s="42">
        <f>IF(BA351="","",IF(ISNA(MATCH(BA351,BA$120:BA350,0)),MAX(BB$120:BB350)+1,""))</f>
        <v/>
      </c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/>
      <c r="AN352" s="7" t="n"/>
      <c r="AO352" s="7" t="n"/>
      <c r="AP352" s="7" t="n"/>
      <c r="AQ352" s="7" t="n"/>
      <c r="AR352" s="7" t="n"/>
      <c r="AS352" s="7" t="n"/>
      <c r="AT352" s="7" t="n"/>
      <c r="AU352" s="7" t="n"/>
      <c r="AV352" s="7" t="n"/>
      <c r="AW352" s="7" t="n"/>
      <c r="AX352" s="7" t="n"/>
      <c r="AY352" s="7" t="n"/>
      <c r="BA352" s="42">
        <f>IF(COUNT(B352:AY352)=0,"",IF(TRIM(A352)&lt;&gt;"",TRIM(A352),IF(BA351="","(geen naam)",BA351)))</f>
        <v/>
      </c>
      <c r="BB352" s="42">
        <f>IF(BA352="","",IF(ISNA(MATCH(BA352,BA$120:BA351,0)),MAX(BB$120:BB351)+1,""))</f>
        <v/>
      </c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/>
      <c r="AN353" s="7" t="n"/>
      <c r="AO353" s="7" t="n"/>
      <c r="AP353" s="7" t="n"/>
      <c r="AQ353" s="7" t="n"/>
      <c r="AR353" s="7" t="n"/>
      <c r="AS353" s="7" t="n"/>
      <c r="AT353" s="7" t="n"/>
      <c r="AU353" s="7" t="n"/>
      <c r="AV353" s="7" t="n"/>
      <c r="AW353" s="7" t="n"/>
      <c r="AX353" s="7" t="n"/>
      <c r="AY353" s="7" t="n"/>
      <c r="BA353" s="42">
        <f>IF(COUNT(B353:AY353)=0,"",IF(TRIM(A353)&lt;&gt;"",TRIM(A353),IF(BA352="","(geen naam)",BA352)))</f>
        <v/>
      </c>
      <c r="BB353" s="42">
        <f>IF(BA353="","",IF(ISNA(MATCH(BA353,BA$120:BA352,0)),MAX(BB$120:BB352)+1,""))</f>
        <v/>
      </c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7" t="n"/>
      <c r="AS354" s="7" t="n"/>
      <c r="AT354" s="7" t="n"/>
      <c r="AU354" s="7" t="n"/>
      <c r="AV354" s="7" t="n"/>
      <c r="AW354" s="7" t="n"/>
      <c r="AX354" s="7" t="n"/>
      <c r="AY354" s="7" t="n"/>
      <c r="BA354" s="42">
        <f>IF(COUNT(B354:AY354)=0,"",IF(TRIM(A354)&lt;&gt;"",TRIM(A354),IF(BA353="","(geen naam)",BA353)))</f>
        <v/>
      </c>
      <c r="BB354" s="42">
        <f>IF(BA354="","",IF(ISNA(MATCH(BA354,BA$120:BA353,0)),MAX(BB$120:BB353)+1,""))</f>
        <v/>
      </c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7" t="n"/>
      <c r="AS355" s="7" t="n"/>
      <c r="AT355" s="7" t="n"/>
      <c r="AU355" s="7" t="n"/>
      <c r="AV355" s="7" t="n"/>
      <c r="AW355" s="7" t="n"/>
      <c r="AX355" s="7" t="n"/>
      <c r="AY355" s="7" t="n"/>
      <c r="BA355" s="42">
        <f>IF(COUNT(B355:AY355)=0,"",IF(TRIM(A355)&lt;&gt;"",TRIM(A355),IF(BA354="","(geen naam)",BA354)))</f>
        <v/>
      </c>
      <c r="BB355" s="42">
        <f>IF(BA355="","",IF(ISNA(MATCH(BA355,BA$120:BA354,0)),MAX(BB$120:BB354)+1,""))</f>
        <v/>
      </c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/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7" t="n"/>
      <c r="AS356" s="7" t="n"/>
      <c r="AT356" s="7" t="n"/>
      <c r="AU356" s="7" t="n"/>
      <c r="AV356" s="7" t="n"/>
      <c r="AW356" s="7" t="n"/>
      <c r="AX356" s="7" t="n"/>
      <c r="AY356" s="7" t="n"/>
      <c r="BA356" s="42">
        <f>IF(COUNT(B356:AY356)=0,"",IF(TRIM(A356)&lt;&gt;"",TRIM(A356),IF(BA355="","(geen naam)",BA355)))</f>
        <v/>
      </c>
      <c r="BB356" s="42">
        <f>IF(BA356="","",IF(ISNA(MATCH(BA356,BA$120:BA355,0)),MAX(BB$120:BB355)+1,""))</f>
        <v/>
      </c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/>
      <c r="AM357" s="7" t="n"/>
      <c r="AN357" s="7" t="n"/>
      <c r="AO357" s="7" t="n"/>
      <c r="AP357" s="7" t="n"/>
      <c r="AQ357" s="7" t="n"/>
      <c r="AR357" s="7" t="n"/>
      <c r="AS357" s="7" t="n"/>
      <c r="AT357" s="7" t="n"/>
      <c r="AU357" s="7" t="n"/>
      <c r="AV357" s="7" t="n"/>
      <c r="AW357" s="7" t="n"/>
      <c r="AX357" s="7" t="n"/>
      <c r="AY357" s="7" t="n"/>
      <c r="BA357" s="42">
        <f>IF(COUNT(B357:AY357)=0,"",IF(TRIM(A357)&lt;&gt;"",TRIM(A357),IF(BA356="","(geen naam)",BA356)))</f>
        <v/>
      </c>
      <c r="BB357" s="42">
        <f>IF(BA357="","",IF(ISNA(MATCH(BA357,BA$120:BA356,0)),MAX(BB$120:BB356)+1,""))</f>
        <v/>
      </c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/>
      <c r="AM358" s="7" t="n"/>
      <c r="AN358" s="7" t="n"/>
      <c r="AO358" s="7" t="n"/>
      <c r="AP358" s="7" t="n"/>
      <c r="AQ358" s="7" t="n"/>
      <c r="AR358" s="7" t="n"/>
      <c r="AS358" s="7" t="n"/>
      <c r="AT358" s="7" t="n"/>
      <c r="AU358" s="7" t="n"/>
      <c r="AV358" s="7" t="n"/>
      <c r="AW358" s="7" t="n"/>
      <c r="AX358" s="7" t="n"/>
      <c r="AY358" s="7" t="n"/>
      <c r="BA358" s="42">
        <f>IF(COUNT(B358:AY358)=0,"",IF(TRIM(A358)&lt;&gt;"",TRIM(A358),IF(BA357="","(geen naam)",BA357)))</f>
        <v/>
      </c>
      <c r="BB358" s="42">
        <f>IF(BA358="","",IF(ISNA(MATCH(BA358,BA$120:BA357,0)),MAX(BB$120:BB357)+1,""))</f>
        <v/>
      </c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/>
      <c r="AM359" s="7" t="n"/>
      <c r="AN359" s="7" t="n"/>
      <c r="AO359" s="7" t="n"/>
      <c r="AP359" s="7" t="n"/>
      <c r="AQ359" s="7" t="n"/>
      <c r="AR359" s="7" t="n"/>
      <c r="AS359" s="7" t="n"/>
      <c r="AT359" s="7" t="n"/>
      <c r="AU359" s="7" t="n"/>
      <c r="AV359" s="7" t="n"/>
      <c r="AW359" s="7" t="n"/>
      <c r="AX359" s="7" t="n"/>
      <c r="AY359" s="7" t="n"/>
      <c r="BA359" s="42">
        <f>IF(COUNT(B359:AY359)=0,"",IF(TRIM(A359)&lt;&gt;"",TRIM(A359),IF(BA358="","(geen naam)",BA358)))</f>
        <v/>
      </c>
      <c r="BB359" s="42">
        <f>IF(BA359="","",IF(ISNA(MATCH(BA359,BA$120:BA358,0)),MAX(BB$120:BB358)+1,""))</f>
        <v/>
      </c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/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7" t="n"/>
      <c r="AS360" s="7" t="n"/>
      <c r="AT360" s="7" t="n"/>
      <c r="AU360" s="7" t="n"/>
      <c r="AV360" s="7" t="n"/>
      <c r="AW360" s="7" t="n"/>
      <c r="AX360" s="7" t="n"/>
      <c r="AY360" s="7" t="n"/>
      <c r="BA360" s="42">
        <f>IF(COUNT(B360:AY360)=0,"",IF(TRIM(A360)&lt;&gt;"",TRIM(A360),IF(BA359="","(geen naam)",BA359)))</f>
        <v/>
      </c>
      <c r="BB360" s="42">
        <f>IF(BA360="","",IF(ISNA(MATCH(BA360,BA$120:BA359,0)),MAX(BB$120:BB359)+1,""))</f>
        <v/>
      </c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7" t="n"/>
      <c r="AS361" s="7" t="n"/>
      <c r="AT361" s="7" t="n"/>
      <c r="AU361" s="7" t="n"/>
      <c r="AV361" s="7" t="n"/>
      <c r="AW361" s="7" t="n"/>
      <c r="AX361" s="7" t="n"/>
      <c r="AY361" s="7" t="n"/>
      <c r="BA361" s="42">
        <f>IF(COUNT(B361:AY361)=0,"",IF(TRIM(A361)&lt;&gt;"",TRIM(A361),IF(BA360="","(geen naam)",BA360)))</f>
        <v/>
      </c>
      <c r="BB361" s="42">
        <f>IF(BA361="","",IF(ISNA(MATCH(BA361,BA$120:BA360,0)),MAX(BB$120:BB360)+1,""))</f>
        <v/>
      </c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/>
      <c r="AP362" s="7" t="n"/>
      <c r="AQ362" s="7" t="n"/>
      <c r="AR362" s="7" t="n"/>
      <c r="AS362" s="7" t="n"/>
      <c r="AT362" s="7" t="n"/>
      <c r="AU362" s="7" t="n"/>
      <c r="AV362" s="7" t="n"/>
      <c r="AW362" s="7" t="n"/>
      <c r="AX362" s="7" t="n"/>
      <c r="AY362" s="7" t="n"/>
      <c r="BA362" s="42">
        <f>IF(COUNT(B362:AY362)=0,"",IF(TRIM(A362)&lt;&gt;"",TRIM(A362),IF(BA361="","(geen naam)",BA361)))</f>
        <v/>
      </c>
      <c r="BB362" s="42">
        <f>IF(BA362="","",IF(ISNA(MATCH(BA362,BA$120:BA361,0)),MAX(BB$120:BB361)+1,""))</f>
        <v/>
      </c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/>
      <c r="AP363" s="7" t="n"/>
      <c r="AQ363" s="7" t="n"/>
      <c r="AR363" s="7" t="n"/>
      <c r="AS363" s="7" t="n"/>
      <c r="AT363" s="7" t="n"/>
      <c r="AU363" s="7" t="n"/>
      <c r="AV363" s="7" t="n"/>
      <c r="AW363" s="7" t="n"/>
      <c r="AX363" s="7" t="n"/>
      <c r="AY363" s="7" t="n"/>
      <c r="BA363" s="42">
        <f>IF(COUNT(B363:AY363)=0,"",IF(TRIM(A363)&lt;&gt;"",TRIM(A363),IF(BA362="","(geen naam)",BA362)))</f>
        <v/>
      </c>
      <c r="BB363" s="42">
        <f>IF(BA363="","",IF(ISNA(MATCH(BA363,BA$120:BA362,0)),MAX(BB$120:BB362)+1,""))</f>
        <v/>
      </c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/>
      <c r="AP364" s="7" t="n"/>
      <c r="AQ364" s="7" t="n"/>
      <c r="AR364" s="7" t="n"/>
      <c r="AS364" s="7" t="n"/>
      <c r="AT364" s="7" t="n"/>
      <c r="AU364" s="7" t="n"/>
      <c r="AV364" s="7" t="n"/>
      <c r="AW364" s="7" t="n"/>
      <c r="AX364" s="7" t="n"/>
      <c r="AY364" s="7" t="n"/>
      <c r="BA364" s="42">
        <f>IF(COUNT(B364:AY364)=0,"",IF(TRIM(A364)&lt;&gt;"",TRIM(A364),IF(BA363="","(geen naam)",BA363)))</f>
        <v/>
      </c>
      <c r="BB364" s="42">
        <f>IF(BA364="","",IF(ISNA(MATCH(BA364,BA$120:BA363,0)),MAX(BB$120:BB363)+1,""))</f>
        <v/>
      </c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7" t="n"/>
      <c r="AS365" s="7" t="n"/>
      <c r="AT365" s="7" t="n"/>
      <c r="AU365" s="7" t="n"/>
      <c r="AV365" s="7" t="n"/>
      <c r="AW365" s="7" t="n"/>
      <c r="AX365" s="7" t="n"/>
      <c r="AY365" s="7" t="n"/>
      <c r="BA365" s="42">
        <f>IF(COUNT(B365:AY365)=0,"",IF(TRIM(A365)&lt;&gt;"",TRIM(A365),IF(BA364="","(geen naam)",BA364)))</f>
        <v/>
      </c>
      <c r="BB365" s="42">
        <f>IF(BA365="","",IF(ISNA(MATCH(BA365,BA$120:BA364,0)),MAX(BB$120:BB364)+1,""))</f>
        <v/>
      </c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/>
      <c r="AN366" s="7" t="n"/>
      <c r="AO366" s="7" t="n"/>
      <c r="AP366" s="7" t="n"/>
      <c r="AQ366" s="7" t="n"/>
      <c r="AR366" s="7" t="n"/>
      <c r="AS366" s="7" t="n"/>
      <c r="AT366" s="7" t="n"/>
      <c r="AU366" s="7" t="n"/>
      <c r="AV366" s="7" t="n"/>
      <c r="AW366" s="7" t="n"/>
      <c r="AX366" s="7" t="n"/>
      <c r="AY366" s="7" t="n"/>
      <c r="BA366" s="42">
        <f>IF(COUNT(B366:AY366)=0,"",IF(TRIM(A366)&lt;&gt;"",TRIM(A366),IF(BA365="","(geen naam)",BA365)))</f>
        <v/>
      </c>
      <c r="BB366" s="42">
        <f>IF(BA366="","",IF(ISNA(MATCH(BA366,BA$120:BA365,0)),MAX(BB$120:BB365)+1,""))</f>
        <v/>
      </c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/>
      <c r="AK367" s="7" t="n"/>
      <c r="AL367" s="7" t="n"/>
      <c r="AM367" s="7" t="n"/>
      <c r="AN367" s="7" t="n"/>
      <c r="AO367" s="7" t="n"/>
      <c r="AP367" s="7" t="n"/>
      <c r="AQ367" s="7" t="n"/>
      <c r="AR367" s="7" t="n"/>
      <c r="AS367" s="7" t="n"/>
      <c r="AT367" s="7" t="n"/>
      <c r="AU367" s="7" t="n"/>
      <c r="AV367" s="7" t="n"/>
      <c r="AW367" s="7" t="n"/>
      <c r="AX367" s="7" t="n"/>
      <c r="AY367" s="7" t="n"/>
      <c r="BA367" s="42">
        <f>IF(COUNT(B367:AY367)=0,"",IF(TRIM(A367)&lt;&gt;"",TRIM(A367),IF(BA366="","(geen naam)",BA366)))</f>
        <v/>
      </c>
      <c r="BB367" s="42">
        <f>IF(BA367="","",IF(ISNA(MATCH(BA367,BA$120:BA366,0)),MAX(BB$120:BB366)+1,""))</f>
        <v/>
      </c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  <c r="AR368" s="7" t="n"/>
      <c r="AS368" s="7" t="n"/>
      <c r="AT368" s="7" t="n"/>
      <c r="AU368" s="7" t="n"/>
      <c r="AV368" s="7" t="n"/>
      <c r="AW368" s="7" t="n"/>
      <c r="AX368" s="7" t="n"/>
      <c r="AY368" s="7" t="n"/>
      <c r="BA368" s="42">
        <f>IF(COUNT(B368:AY368)=0,"",IF(TRIM(A368)&lt;&gt;"",TRIM(A368),IF(BA367="","(geen naam)",BA367)))</f>
        <v/>
      </c>
      <c r="BB368" s="42">
        <f>IF(BA368="","",IF(ISNA(MATCH(BA368,BA$120:BA367,0)),MAX(BB$120:BB367)+1,""))</f>
        <v/>
      </c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7" t="n"/>
      <c r="AS369" s="7" t="n"/>
      <c r="AT369" s="7" t="n"/>
      <c r="AU369" s="7" t="n"/>
      <c r="AV369" s="7" t="n"/>
      <c r="AW369" s="7" t="n"/>
      <c r="AX369" s="7" t="n"/>
      <c r="AY369" s="7" t="n"/>
      <c r="BA369" s="42">
        <f>IF(COUNT(B369:AY369)=0,"",IF(TRIM(A369)&lt;&gt;"",TRIM(A369),IF(BA368="","(geen naam)",BA368)))</f>
        <v/>
      </c>
      <c r="BB369" s="42">
        <f>IF(BA369="","",IF(ISNA(MATCH(BA369,BA$120:BA368,0)),MAX(BB$120:BB368)+1,""))</f>
        <v/>
      </c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/>
      <c r="AK370" s="7" t="n"/>
      <c r="AL370" s="7" t="n"/>
      <c r="AM370" s="7" t="n"/>
      <c r="AN370" s="7" t="n"/>
      <c r="AO370" s="7" t="n"/>
      <c r="AP370" s="7" t="n"/>
      <c r="AQ370" s="7" t="n"/>
      <c r="AR370" s="7" t="n"/>
      <c r="AS370" s="7" t="n"/>
      <c r="AT370" s="7" t="n"/>
      <c r="AU370" s="7" t="n"/>
      <c r="AV370" s="7" t="n"/>
      <c r="AW370" s="7" t="n"/>
      <c r="AX370" s="7" t="n"/>
      <c r="AY370" s="7" t="n"/>
      <c r="BA370" s="42">
        <f>IF(COUNT(B370:AY370)=0,"",IF(TRIM(A370)&lt;&gt;"",TRIM(A370),IF(BA369="","(geen naam)",BA369)))</f>
        <v/>
      </c>
      <c r="BB370" s="42">
        <f>IF(BA370="","",IF(ISNA(MATCH(BA370,BA$120:BA369,0)),MAX(BB$120:BB369)+1,""))</f>
        <v/>
      </c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/>
      <c r="AK371" s="7" t="n"/>
      <c r="AL371" s="7" t="n"/>
      <c r="AM371" s="7" t="n"/>
      <c r="AN371" s="7" t="n"/>
      <c r="AO371" s="7" t="n"/>
      <c r="AP371" s="7" t="n"/>
      <c r="AQ371" s="7" t="n"/>
      <c r="AR371" s="7" t="n"/>
      <c r="AS371" s="7" t="n"/>
      <c r="AT371" s="7" t="n"/>
      <c r="AU371" s="7" t="n"/>
      <c r="AV371" s="7" t="n"/>
      <c r="AW371" s="7" t="n"/>
      <c r="AX371" s="7" t="n"/>
      <c r="AY371" s="7" t="n"/>
      <c r="BA371" s="42">
        <f>IF(COUNT(B371:AY371)=0,"",IF(TRIM(A371)&lt;&gt;"",TRIM(A371),IF(BA370="","(geen naam)",BA370)))</f>
        <v/>
      </c>
      <c r="BB371" s="42">
        <f>IF(BA371="","",IF(ISNA(MATCH(BA371,BA$120:BA370,0)),MAX(BB$120:BB370)+1,""))</f>
        <v/>
      </c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/>
      <c r="AM372" s="7" t="n"/>
      <c r="AN372" s="7" t="n"/>
      <c r="AO372" s="7" t="n"/>
      <c r="AP372" s="7" t="n"/>
      <c r="AQ372" s="7" t="n"/>
      <c r="AR372" s="7" t="n"/>
      <c r="AS372" s="7" t="n"/>
      <c r="AT372" s="7" t="n"/>
      <c r="AU372" s="7" t="n"/>
      <c r="AV372" s="7" t="n"/>
      <c r="AW372" s="7" t="n"/>
      <c r="AX372" s="7" t="n"/>
      <c r="AY372" s="7" t="n"/>
      <c r="BA372" s="42">
        <f>IF(COUNT(B372:AY372)=0,"",IF(TRIM(A372)&lt;&gt;"",TRIM(A372),IF(BA371="","(geen naam)",BA371)))</f>
        <v/>
      </c>
      <c r="BB372" s="42">
        <f>IF(BA372="","",IF(ISNA(MATCH(BA372,BA$120:BA371,0)),MAX(BB$120:BB371)+1,""))</f>
        <v/>
      </c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/>
      <c r="AN373" s="7" t="n"/>
      <c r="AO373" s="7" t="n"/>
      <c r="AP373" s="7" t="n"/>
      <c r="AQ373" s="7" t="n"/>
      <c r="AR373" s="7" t="n"/>
      <c r="AS373" s="7" t="n"/>
      <c r="AT373" s="7" t="n"/>
      <c r="AU373" s="7" t="n"/>
      <c r="AV373" s="7" t="n"/>
      <c r="AW373" s="7" t="n"/>
      <c r="AX373" s="7" t="n"/>
      <c r="AY373" s="7" t="n"/>
      <c r="BA373" s="42">
        <f>IF(COUNT(B373:AY373)=0,"",IF(TRIM(A373)&lt;&gt;"",TRIM(A373),IF(BA372="","(geen naam)",BA372)))</f>
        <v/>
      </c>
      <c r="BB373" s="42">
        <f>IF(BA373="","",IF(ISNA(MATCH(BA373,BA$120:BA372,0)),MAX(BB$120:BB372)+1,""))</f>
        <v/>
      </c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  <c r="AO374" s="7" t="n"/>
      <c r="AP374" s="7" t="n"/>
      <c r="AQ374" s="7" t="n"/>
      <c r="AR374" s="7" t="n"/>
      <c r="AS374" s="7" t="n"/>
      <c r="AT374" s="7" t="n"/>
      <c r="AU374" s="7" t="n"/>
      <c r="AV374" s="7" t="n"/>
      <c r="AW374" s="7" t="n"/>
      <c r="AX374" s="7" t="n"/>
      <c r="AY374" s="7" t="n"/>
      <c r="BA374" s="42">
        <f>IF(COUNT(B374:AY374)=0,"",IF(TRIM(A374)&lt;&gt;"",TRIM(A374),IF(BA373="","(geen naam)",BA373)))</f>
        <v/>
      </c>
      <c r="BB374" s="42">
        <f>IF(BA374="","",IF(ISNA(MATCH(BA374,BA$120:BA373,0)),MAX(BB$120:BB373)+1,""))</f>
        <v/>
      </c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/>
      <c r="AL375" s="7" t="n"/>
      <c r="AM375" s="7" t="n"/>
      <c r="AN375" s="7" t="n"/>
      <c r="AO375" s="7" t="n"/>
      <c r="AP375" s="7" t="n"/>
      <c r="AQ375" s="7" t="n"/>
      <c r="AR375" s="7" t="n"/>
      <c r="AS375" s="7" t="n"/>
      <c r="AT375" s="7" t="n"/>
      <c r="AU375" s="7" t="n"/>
      <c r="AV375" s="7" t="n"/>
      <c r="AW375" s="7" t="n"/>
      <c r="AX375" s="7" t="n"/>
      <c r="AY375" s="7" t="n"/>
      <c r="BA375" s="42">
        <f>IF(COUNT(B375:AY375)=0,"",IF(TRIM(A375)&lt;&gt;"",TRIM(A375),IF(BA374="","(geen naam)",BA374)))</f>
        <v/>
      </c>
      <c r="BB375" s="42">
        <f>IF(BA375="","",IF(ISNA(MATCH(BA375,BA$120:BA374,0)),MAX(BB$120:BB374)+1,""))</f>
        <v/>
      </c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/>
      <c r="AM376" s="7" t="n"/>
      <c r="AN376" s="7" t="n"/>
      <c r="AO376" s="7" t="n"/>
      <c r="AP376" s="7" t="n"/>
      <c r="AQ376" s="7" t="n"/>
      <c r="AR376" s="7" t="n"/>
      <c r="AS376" s="7" t="n"/>
      <c r="AT376" s="7" t="n"/>
      <c r="AU376" s="7" t="n"/>
      <c r="AV376" s="7" t="n"/>
      <c r="AW376" s="7" t="n"/>
      <c r="AX376" s="7" t="n"/>
      <c r="AY376" s="7" t="n"/>
      <c r="BA376" s="42">
        <f>IF(COUNT(B376:AY376)=0,"",IF(TRIM(A376)&lt;&gt;"",TRIM(A376),IF(BA375="","(geen naam)",BA375)))</f>
        <v/>
      </c>
      <c r="BB376" s="42">
        <f>IF(BA376="","",IF(ISNA(MATCH(BA376,BA$120:BA375,0)),MAX(BB$120:BB375)+1,""))</f>
        <v/>
      </c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/>
      <c r="AM377" s="7" t="n"/>
      <c r="AN377" s="7" t="n"/>
      <c r="AO377" s="7" t="n"/>
      <c r="AP377" s="7" t="n"/>
      <c r="AQ377" s="7" t="n"/>
      <c r="AR377" s="7" t="n"/>
      <c r="AS377" s="7" t="n"/>
      <c r="AT377" s="7" t="n"/>
      <c r="AU377" s="7" t="n"/>
      <c r="AV377" s="7" t="n"/>
      <c r="AW377" s="7" t="n"/>
      <c r="AX377" s="7" t="n"/>
      <c r="AY377" s="7" t="n"/>
      <c r="BA377" s="42">
        <f>IF(COUNT(B377:AY377)=0,"",IF(TRIM(A377)&lt;&gt;"",TRIM(A377),IF(BA376="","(geen naam)",BA376)))</f>
        <v/>
      </c>
      <c r="BB377" s="42">
        <f>IF(BA377="","",IF(ISNA(MATCH(BA377,BA$120:BA376,0)),MAX(BB$120:BB376)+1,""))</f>
        <v/>
      </c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/>
      <c r="AN378" s="7" t="n"/>
      <c r="AO378" s="7" t="n"/>
      <c r="AP378" s="7" t="n"/>
      <c r="AQ378" s="7" t="n"/>
      <c r="AR378" s="7" t="n"/>
      <c r="AS378" s="7" t="n"/>
      <c r="AT378" s="7" t="n"/>
      <c r="AU378" s="7" t="n"/>
      <c r="AV378" s="7" t="n"/>
      <c r="AW378" s="7" t="n"/>
      <c r="AX378" s="7" t="n"/>
      <c r="AY378" s="7" t="n"/>
      <c r="BA378" s="42">
        <f>IF(COUNT(B378:AY378)=0,"",IF(TRIM(A378)&lt;&gt;"",TRIM(A378),IF(BA377="","(geen naam)",BA377)))</f>
        <v/>
      </c>
      <c r="BB378" s="42">
        <f>IF(BA378="","",IF(ISNA(MATCH(BA378,BA$120:BA377,0)),MAX(BB$120:BB377)+1,""))</f>
        <v/>
      </c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7" t="n"/>
      <c r="AS379" s="7" t="n"/>
      <c r="AT379" s="7" t="n"/>
      <c r="AU379" s="7" t="n"/>
      <c r="AV379" s="7" t="n"/>
      <c r="AW379" s="7" t="n"/>
      <c r="AX379" s="7" t="n"/>
      <c r="AY379" s="7" t="n"/>
      <c r="BA379" s="42">
        <f>IF(COUNT(B379:AY379)=0,"",IF(TRIM(A379)&lt;&gt;"",TRIM(A379),IF(BA378="","(geen naam)",BA378)))</f>
        <v/>
      </c>
      <c r="BB379" s="42">
        <f>IF(BA379="","",IF(ISNA(MATCH(BA379,BA$120:BA378,0)),MAX(BB$120:BB378)+1,""))</f>
        <v/>
      </c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s="7" t="n"/>
      <c r="AS380" s="7" t="n"/>
      <c r="AT380" s="7" t="n"/>
      <c r="AU380" s="7" t="n"/>
      <c r="AV380" s="7" t="n"/>
      <c r="AW380" s="7" t="n"/>
      <c r="AX380" s="7" t="n"/>
      <c r="AY380" s="7" t="n"/>
      <c r="BA380" s="42">
        <f>IF(COUNT(B380:AY380)=0,"",IF(TRIM(A380)&lt;&gt;"",TRIM(A380),IF(BA379="","(geen naam)",BA379)))</f>
        <v/>
      </c>
      <c r="BB380" s="42">
        <f>IF(BA380="","",IF(ISNA(MATCH(BA380,BA$120:BA379,0)),MAX(BB$120:BB379)+1,""))</f>
        <v/>
      </c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/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7" t="n"/>
      <c r="AS381" s="7" t="n"/>
      <c r="AT381" s="7" t="n"/>
      <c r="AU381" s="7" t="n"/>
      <c r="AV381" s="7" t="n"/>
      <c r="AW381" s="7" t="n"/>
      <c r="AX381" s="7" t="n"/>
      <c r="AY381" s="7" t="n"/>
      <c r="BA381" s="42">
        <f>IF(COUNT(B381:AY381)=0,"",IF(TRIM(A381)&lt;&gt;"",TRIM(A381),IF(BA380="","(geen naam)",BA380)))</f>
        <v/>
      </c>
      <c r="BB381" s="42">
        <f>IF(BA381="","",IF(ISNA(MATCH(BA381,BA$120:BA380,0)),MAX(BB$120:BB380)+1,""))</f>
        <v/>
      </c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/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s="7" t="n"/>
      <c r="AS382" s="7" t="n"/>
      <c r="AT382" s="7" t="n"/>
      <c r="AU382" s="7" t="n"/>
      <c r="AV382" s="7" t="n"/>
      <c r="AW382" s="7" t="n"/>
      <c r="AX382" s="7" t="n"/>
      <c r="AY382" s="7" t="n"/>
      <c r="BA382" s="42">
        <f>IF(COUNT(B382:AY382)=0,"",IF(TRIM(A382)&lt;&gt;"",TRIM(A382),IF(BA381="","(geen naam)",BA381)))</f>
        <v/>
      </c>
      <c r="BB382" s="42">
        <f>IF(BA382="","",IF(ISNA(MATCH(BA382,BA$120:BA381,0)),MAX(BB$120:BB381)+1,""))</f>
        <v/>
      </c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/>
      <c r="AK383" s="7" t="n"/>
      <c r="AL383" s="7" t="n"/>
      <c r="AM383" s="7" t="n"/>
      <c r="AN383" s="7" t="n"/>
      <c r="AO383" s="7" t="n"/>
      <c r="AP383" s="7" t="n"/>
      <c r="AQ383" s="7" t="n"/>
      <c r="AR383" s="7" t="n"/>
      <c r="AS383" s="7" t="n"/>
      <c r="AT383" s="7" t="n"/>
      <c r="AU383" s="7" t="n"/>
      <c r="AV383" s="7" t="n"/>
      <c r="AW383" s="7" t="n"/>
      <c r="AX383" s="7" t="n"/>
      <c r="AY383" s="7" t="n"/>
      <c r="BA383" s="42">
        <f>IF(COUNT(B383:AY383)=0,"",IF(TRIM(A383)&lt;&gt;"",TRIM(A383),IF(BA382="","(geen naam)",BA382)))</f>
        <v/>
      </c>
      <c r="BB383" s="42">
        <f>IF(BA383="","",IF(ISNA(MATCH(BA383,BA$120:BA382,0)),MAX(BB$120:BB382)+1,""))</f>
        <v/>
      </c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/>
      <c r="AL384" s="7" t="n"/>
      <c r="AM384" s="7" t="n"/>
      <c r="AN384" s="7" t="n"/>
      <c r="AO384" s="7" t="n"/>
      <c r="AP384" s="7" t="n"/>
      <c r="AQ384" s="7" t="n"/>
      <c r="AR384" s="7" t="n"/>
      <c r="AS384" s="7" t="n"/>
      <c r="AT384" s="7" t="n"/>
      <c r="AU384" s="7" t="n"/>
      <c r="AV384" s="7" t="n"/>
      <c r="AW384" s="7" t="n"/>
      <c r="AX384" s="7" t="n"/>
      <c r="AY384" s="7" t="n"/>
      <c r="BA384" s="42">
        <f>IF(COUNT(B384:AY384)=0,"",IF(TRIM(A384)&lt;&gt;"",TRIM(A384),IF(BA383="","(geen naam)",BA383)))</f>
        <v/>
      </c>
      <c r="BB384" s="42">
        <f>IF(BA384="","",IF(ISNA(MATCH(BA384,BA$120:BA383,0)),MAX(BB$120:BB383)+1,""))</f>
        <v/>
      </c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/>
      <c r="AM385" s="7" t="n"/>
      <c r="AN385" s="7" t="n"/>
      <c r="AO385" s="7" t="n"/>
      <c r="AP385" s="7" t="n"/>
      <c r="AQ385" s="7" t="n"/>
      <c r="AR385" s="7" t="n"/>
      <c r="AS385" s="7" t="n"/>
      <c r="AT385" s="7" t="n"/>
      <c r="AU385" s="7" t="n"/>
      <c r="AV385" s="7" t="n"/>
      <c r="AW385" s="7" t="n"/>
      <c r="AX385" s="7" t="n"/>
      <c r="AY385" s="7" t="n"/>
      <c r="BA385" s="42">
        <f>IF(COUNT(B385:AY385)=0,"",IF(TRIM(A385)&lt;&gt;"",TRIM(A385),IF(BA384="","(geen naam)",BA384)))</f>
        <v/>
      </c>
      <c r="BB385" s="42">
        <f>IF(BA385="","",IF(ISNA(MATCH(BA385,BA$120:BA384,0)),MAX(BB$120:BB384)+1,""))</f>
        <v/>
      </c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/>
      <c r="AM386" s="7" t="n"/>
      <c r="AN386" s="7" t="n"/>
      <c r="AO386" s="7" t="n"/>
      <c r="AP386" s="7" t="n"/>
      <c r="AQ386" s="7" t="n"/>
      <c r="AR386" s="7" t="n"/>
      <c r="AS386" s="7" t="n"/>
      <c r="AT386" s="7" t="n"/>
      <c r="AU386" s="7" t="n"/>
      <c r="AV386" s="7" t="n"/>
      <c r="AW386" s="7" t="n"/>
      <c r="AX386" s="7" t="n"/>
      <c r="AY386" s="7" t="n"/>
      <c r="BA386" s="42">
        <f>IF(COUNT(B386:AY386)=0,"",IF(TRIM(A386)&lt;&gt;"",TRIM(A386),IF(BA385="","(geen naam)",BA385)))</f>
        <v/>
      </c>
      <c r="BB386" s="42">
        <f>IF(BA386="","",IF(ISNA(MATCH(BA386,BA$120:BA385,0)),MAX(BB$120:BB385)+1,""))</f>
        <v/>
      </c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/>
      <c r="AM387" s="7" t="n"/>
      <c r="AN387" s="7" t="n"/>
      <c r="AO387" s="7" t="n"/>
      <c r="AP387" s="7" t="n"/>
      <c r="AQ387" s="7" t="n"/>
      <c r="AR387" s="7" t="n"/>
      <c r="AS387" s="7" t="n"/>
      <c r="AT387" s="7" t="n"/>
      <c r="AU387" s="7" t="n"/>
      <c r="AV387" s="7" t="n"/>
      <c r="AW387" s="7" t="n"/>
      <c r="AX387" s="7" t="n"/>
      <c r="AY387" s="7" t="n"/>
      <c r="BA387" s="42">
        <f>IF(COUNT(B387:AY387)=0,"",IF(TRIM(A387)&lt;&gt;"",TRIM(A387),IF(BA386="","(geen naam)",BA386)))</f>
        <v/>
      </c>
      <c r="BB387" s="42">
        <f>IF(BA387="","",IF(ISNA(MATCH(BA387,BA$120:BA386,0)),MAX(BB$120:BB386)+1,""))</f>
        <v/>
      </c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/>
      <c r="AO388" s="7" t="n"/>
      <c r="AP388" s="7" t="n"/>
      <c r="AQ388" s="7" t="n"/>
      <c r="AR388" s="7" t="n"/>
      <c r="AS388" s="7" t="n"/>
      <c r="AT388" s="7" t="n"/>
      <c r="AU388" s="7" t="n"/>
      <c r="AV388" s="7" t="n"/>
      <c r="AW388" s="7" t="n"/>
      <c r="AX388" s="7" t="n"/>
      <c r="AY388" s="7" t="n"/>
      <c r="BA388" s="42">
        <f>IF(COUNT(B388:AY388)=0,"",IF(TRIM(A388)&lt;&gt;"",TRIM(A388),IF(BA387="","(geen naam)",BA387)))</f>
        <v/>
      </c>
      <c r="BB388" s="42">
        <f>IF(BA388="","",IF(ISNA(MATCH(BA388,BA$120:BA387,0)),MAX(BB$120:BB387)+1,""))</f>
        <v/>
      </c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/>
      <c r="AO389" s="7" t="n"/>
      <c r="AP389" s="7" t="n"/>
      <c r="AQ389" s="7" t="n"/>
      <c r="AR389" s="7" t="n"/>
      <c r="AS389" s="7" t="n"/>
      <c r="AT389" s="7" t="n"/>
      <c r="AU389" s="7" t="n"/>
      <c r="AV389" s="7" t="n"/>
      <c r="AW389" s="7" t="n"/>
      <c r="AX389" s="7" t="n"/>
      <c r="AY389" s="7" t="n"/>
      <c r="BA389" s="42">
        <f>IF(COUNT(B389:AY389)=0,"",IF(TRIM(A389)&lt;&gt;"",TRIM(A389),IF(BA388="","(geen naam)",BA388)))</f>
        <v/>
      </c>
      <c r="BB389" s="42">
        <f>IF(BA389="","",IF(ISNA(MATCH(BA389,BA$120:BA388,0)),MAX(BB$120:BB388)+1,""))</f>
        <v/>
      </c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/>
      <c r="AO390" s="7" t="n"/>
      <c r="AP390" s="7" t="n"/>
      <c r="AQ390" s="7" t="n"/>
      <c r="AR390" s="7" t="n"/>
      <c r="AS390" s="7" t="n"/>
      <c r="AT390" s="7" t="n"/>
      <c r="AU390" s="7" t="n"/>
      <c r="AV390" s="7" t="n"/>
      <c r="AW390" s="7" t="n"/>
      <c r="AX390" s="7" t="n"/>
      <c r="AY390" s="7" t="n"/>
      <c r="BA390" s="42">
        <f>IF(COUNT(B390:AY390)=0,"",IF(TRIM(A390)&lt;&gt;"",TRIM(A390),IF(BA389="","(geen naam)",BA389)))</f>
        <v/>
      </c>
      <c r="BB390" s="42">
        <f>IF(BA390="","",IF(ISNA(MATCH(BA390,BA$120:BA389,0)),MAX(BB$120:BB389)+1,""))</f>
        <v/>
      </c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/>
      <c r="AO391" s="7" t="n"/>
      <c r="AP391" s="7" t="n"/>
      <c r="AQ391" s="7" t="n"/>
      <c r="AR391" s="7" t="n"/>
      <c r="AS391" s="7" t="n"/>
      <c r="AT391" s="7" t="n"/>
      <c r="AU391" s="7" t="n"/>
      <c r="AV391" s="7" t="n"/>
      <c r="AW391" s="7" t="n"/>
      <c r="AX391" s="7" t="n"/>
      <c r="AY391" s="7" t="n"/>
      <c r="BA391" s="42">
        <f>IF(COUNT(B391:AY391)=0,"",IF(TRIM(A391)&lt;&gt;"",TRIM(A391),IF(BA390="","(geen naam)",BA390)))</f>
        <v/>
      </c>
      <c r="BB391" s="42">
        <f>IF(BA391="","",IF(ISNA(MATCH(BA391,BA$120:BA390,0)),MAX(BB$120:BB390)+1,""))</f>
        <v/>
      </c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/>
      <c r="AO392" s="7" t="n"/>
      <c r="AP392" s="7" t="n"/>
      <c r="AQ392" s="7" t="n"/>
      <c r="AR392" s="7" t="n"/>
      <c r="AS392" s="7" t="n"/>
      <c r="AT392" s="7" t="n"/>
      <c r="AU392" s="7" t="n"/>
      <c r="AV392" s="7" t="n"/>
      <c r="AW392" s="7" t="n"/>
      <c r="AX392" s="7" t="n"/>
      <c r="AY392" s="7" t="n"/>
      <c r="BA392" s="42">
        <f>IF(COUNT(B392:AY392)=0,"",IF(TRIM(A392)&lt;&gt;"",TRIM(A392),IF(BA391="","(geen naam)",BA391)))</f>
        <v/>
      </c>
      <c r="BB392" s="42">
        <f>IF(BA392="","",IF(ISNA(MATCH(BA392,BA$120:BA391,0)),MAX(BB$120:BB391)+1,""))</f>
        <v/>
      </c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/>
      <c r="AO393" s="7" t="n"/>
      <c r="AP393" s="7" t="n"/>
      <c r="AQ393" s="7" t="n"/>
      <c r="AR393" s="7" t="n"/>
      <c r="AS393" s="7" t="n"/>
      <c r="AT393" s="7" t="n"/>
      <c r="AU393" s="7" t="n"/>
      <c r="AV393" s="7" t="n"/>
      <c r="AW393" s="7" t="n"/>
      <c r="AX393" s="7" t="n"/>
      <c r="AY393" s="7" t="n"/>
      <c r="BA393" s="42">
        <f>IF(COUNT(B393:AY393)=0,"",IF(TRIM(A393)&lt;&gt;"",TRIM(A393),IF(BA392="","(geen naam)",BA392)))</f>
        <v/>
      </c>
      <c r="BB393" s="42">
        <f>IF(BA393="","",IF(ISNA(MATCH(BA393,BA$120:BA392,0)),MAX(BB$120:BB392)+1,""))</f>
        <v/>
      </c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/>
      <c r="AO394" s="7" t="n"/>
      <c r="AP394" s="7" t="n"/>
      <c r="AQ394" s="7" t="n"/>
      <c r="AR394" s="7" t="n"/>
      <c r="AS394" s="7" t="n"/>
      <c r="AT394" s="7" t="n"/>
      <c r="AU394" s="7" t="n"/>
      <c r="AV394" s="7" t="n"/>
      <c r="AW394" s="7" t="n"/>
      <c r="AX394" s="7" t="n"/>
      <c r="AY394" s="7" t="n"/>
      <c r="BA394" s="42">
        <f>IF(COUNT(B394:AY394)=0,"",IF(TRIM(A394)&lt;&gt;"",TRIM(A394),IF(BA393="","(geen naam)",BA393)))</f>
        <v/>
      </c>
      <c r="BB394" s="42">
        <f>IF(BA394="","",IF(ISNA(MATCH(BA394,BA$120:BA393,0)),MAX(BB$120:BB393)+1,""))</f>
        <v/>
      </c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/>
      <c r="AO395" s="7" t="n"/>
      <c r="AP395" s="7" t="n"/>
      <c r="AQ395" s="7" t="n"/>
      <c r="AR395" s="7" t="n"/>
      <c r="AS395" s="7" t="n"/>
      <c r="AT395" s="7" t="n"/>
      <c r="AU395" s="7" t="n"/>
      <c r="AV395" s="7" t="n"/>
      <c r="AW395" s="7" t="n"/>
      <c r="AX395" s="7" t="n"/>
      <c r="AY395" s="7" t="n"/>
      <c r="BA395" s="42">
        <f>IF(COUNT(B395:AY395)=0,"",IF(TRIM(A395)&lt;&gt;"",TRIM(A395),IF(BA394="","(geen naam)",BA394)))</f>
        <v/>
      </c>
      <c r="BB395" s="42">
        <f>IF(BA395="","",IF(ISNA(MATCH(BA395,BA$120:BA394,0)),MAX(BB$120:BB394)+1,""))</f>
        <v/>
      </c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/>
      <c r="AO396" s="7" t="n"/>
      <c r="AP396" s="7" t="n"/>
      <c r="AQ396" s="7" t="n"/>
      <c r="AR396" s="7" t="n"/>
      <c r="AS396" s="7" t="n"/>
      <c r="AT396" s="7" t="n"/>
      <c r="AU396" s="7" t="n"/>
      <c r="AV396" s="7" t="n"/>
      <c r="AW396" s="7" t="n"/>
      <c r="AX396" s="7" t="n"/>
      <c r="AY396" s="7" t="n"/>
      <c r="BA396" s="42">
        <f>IF(COUNT(B396:AY396)=0,"",IF(TRIM(A396)&lt;&gt;"",TRIM(A396),IF(BA395="","(geen naam)",BA395)))</f>
        <v/>
      </c>
      <c r="BB396" s="42">
        <f>IF(BA396="","",IF(ISNA(MATCH(BA396,BA$120:BA395,0)),MAX(BB$120:BB395)+1,""))</f>
        <v/>
      </c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/>
      <c r="AO397" s="7" t="n"/>
      <c r="AP397" s="7" t="n"/>
      <c r="AQ397" s="7" t="n"/>
      <c r="AR397" s="7" t="n"/>
      <c r="AS397" s="7" t="n"/>
      <c r="AT397" s="7" t="n"/>
      <c r="AU397" s="7" t="n"/>
      <c r="AV397" s="7" t="n"/>
      <c r="AW397" s="7" t="n"/>
      <c r="AX397" s="7" t="n"/>
      <c r="AY397" s="7" t="n"/>
      <c r="BA397" s="42">
        <f>IF(COUNT(B397:AY397)=0,"",IF(TRIM(A397)&lt;&gt;"",TRIM(A397),IF(BA396="","(geen naam)",BA396)))</f>
        <v/>
      </c>
      <c r="BB397" s="42">
        <f>IF(BA397="","",IF(ISNA(MATCH(BA397,BA$120:BA396,0)),MAX(BB$120:BB396)+1,""))</f>
        <v/>
      </c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/>
      <c r="AO398" s="7" t="n"/>
      <c r="AP398" s="7" t="n"/>
      <c r="AQ398" s="7" t="n"/>
      <c r="AR398" s="7" t="n"/>
      <c r="AS398" s="7" t="n"/>
      <c r="AT398" s="7" t="n"/>
      <c r="AU398" s="7" t="n"/>
      <c r="AV398" s="7" t="n"/>
      <c r="AW398" s="7" t="n"/>
      <c r="AX398" s="7" t="n"/>
      <c r="AY398" s="7" t="n"/>
      <c r="BA398" s="42">
        <f>IF(COUNT(B398:AY398)=0,"",IF(TRIM(A398)&lt;&gt;"",TRIM(A398),IF(BA397="","(geen naam)",BA397)))</f>
        <v/>
      </c>
      <c r="BB398" s="42">
        <f>IF(BA398="","",IF(ISNA(MATCH(BA398,BA$120:BA397,0)),MAX(BB$120:BB397)+1,""))</f>
        <v/>
      </c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/>
      <c r="AO399" s="7" t="n"/>
      <c r="AP399" s="7" t="n"/>
      <c r="AQ399" s="7" t="n"/>
      <c r="AR399" s="7" t="n"/>
      <c r="AS399" s="7" t="n"/>
      <c r="AT399" s="7" t="n"/>
      <c r="AU399" s="7" t="n"/>
      <c r="AV399" s="7" t="n"/>
      <c r="AW399" s="7" t="n"/>
      <c r="AX399" s="7" t="n"/>
      <c r="AY399" s="7" t="n"/>
      <c r="BA399" s="42">
        <f>IF(COUNT(B399:AY399)=0,"",IF(TRIM(A399)&lt;&gt;"",TRIM(A399),IF(BA398="","(geen naam)",BA398)))</f>
        <v/>
      </c>
      <c r="BB399" s="42">
        <f>IF(BA399="","",IF(ISNA(MATCH(BA399,BA$120:BA398,0)),MAX(BB$120:BB398)+1,""))</f>
        <v/>
      </c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/>
      <c r="AO400" s="7" t="n"/>
      <c r="AP400" s="7" t="n"/>
      <c r="AQ400" s="7" t="n"/>
      <c r="AR400" s="7" t="n"/>
      <c r="AS400" s="7" t="n"/>
      <c r="AT400" s="7" t="n"/>
      <c r="AU400" s="7" t="n"/>
      <c r="AV400" s="7" t="n"/>
      <c r="AW400" s="7" t="n"/>
      <c r="AX400" s="7" t="n"/>
      <c r="AY400" s="7" t="n"/>
      <c r="BA400" s="42">
        <f>IF(COUNT(B400:AY400)=0,"",IF(TRIM(A400)&lt;&gt;"",TRIM(A400),IF(BA399="","(geen naam)",BA399)))</f>
        <v/>
      </c>
      <c r="BB400" s="42">
        <f>IF(BA400="","",IF(ISNA(MATCH(BA400,BA$120:BA399,0)),MAX(BB$120:BB399)+1,""))</f>
        <v/>
      </c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/>
      <c r="AP401" s="7" t="n"/>
      <c r="AQ401" s="7" t="n"/>
      <c r="AR401" s="7" t="n"/>
      <c r="AS401" s="7" t="n"/>
      <c r="AT401" s="7" t="n"/>
      <c r="AU401" s="7" t="n"/>
      <c r="AV401" s="7" t="n"/>
      <c r="AW401" s="7" t="n"/>
      <c r="AX401" s="7" t="n"/>
      <c r="AY401" s="7" t="n"/>
      <c r="BA401" s="42">
        <f>IF(COUNT(B401:AY401)=0,"",IF(TRIM(A401)&lt;&gt;"",TRIM(A401),IF(BA400="","(geen naam)",BA400)))</f>
        <v/>
      </c>
      <c r="BB401" s="42">
        <f>IF(BA401="","",IF(ISNA(MATCH(BA401,BA$120:BA400,0)),MAX(BB$120:BB400)+1,""))</f>
        <v/>
      </c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/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7" t="n"/>
      <c r="AS402" s="7" t="n"/>
      <c r="AT402" s="7" t="n"/>
      <c r="AU402" s="7" t="n"/>
      <c r="AV402" s="7" t="n"/>
      <c r="AW402" s="7" t="n"/>
      <c r="AX402" s="7" t="n"/>
      <c r="AY402" s="7" t="n"/>
      <c r="BA402" s="42">
        <f>IF(COUNT(B402:AY402)=0,"",IF(TRIM(A402)&lt;&gt;"",TRIM(A402),IF(BA401="","(geen naam)",BA401)))</f>
        <v/>
      </c>
      <c r="BB402" s="42">
        <f>IF(BA402="","",IF(ISNA(MATCH(BA402,BA$120:BA401,0)),MAX(BB$120:BB401)+1,""))</f>
        <v/>
      </c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/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7" t="n"/>
      <c r="AS403" s="7" t="n"/>
      <c r="AT403" s="7" t="n"/>
      <c r="AU403" s="7" t="n"/>
      <c r="AV403" s="7" t="n"/>
      <c r="AW403" s="7" t="n"/>
      <c r="AX403" s="7" t="n"/>
      <c r="AY403" s="7" t="n"/>
      <c r="BA403" s="42">
        <f>IF(COUNT(B403:AY403)=0,"",IF(TRIM(A403)&lt;&gt;"",TRIM(A403),IF(BA402="","(geen naam)",BA402)))</f>
        <v/>
      </c>
      <c r="BB403" s="42">
        <f>IF(BA403="","",IF(ISNA(MATCH(BA403,BA$120:BA402,0)),MAX(BB$120:BB402)+1,""))</f>
        <v/>
      </c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/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s="7" t="n"/>
      <c r="AS404" s="7" t="n"/>
      <c r="AT404" s="7" t="n"/>
      <c r="AU404" s="7" t="n"/>
      <c r="AV404" s="7" t="n"/>
      <c r="AW404" s="7" t="n"/>
      <c r="AX404" s="7" t="n"/>
      <c r="AY404" s="7" t="n"/>
      <c r="BA404" s="42">
        <f>IF(COUNT(B404:AY404)=0,"",IF(TRIM(A404)&lt;&gt;"",TRIM(A404),IF(BA403="","(geen naam)",BA403)))</f>
        <v/>
      </c>
      <c r="BB404" s="42">
        <f>IF(BA404="","",IF(ISNA(MATCH(BA404,BA$120:BA403,0)),MAX(BB$120:BB403)+1,""))</f>
        <v/>
      </c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/>
      <c r="AK405" s="7" t="n"/>
      <c r="AL405" s="7" t="n"/>
      <c r="AM405" s="7" t="n"/>
      <c r="AN405" s="7" t="n"/>
      <c r="AO405" s="7" t="n"/>
      <c r="AP405" s="7" t="n"/>
      <c r="AQ405" s="7" t="n"/>
      <c r="AR405" s="7" t="n"/>
      <c r="AS405" s="7" t="n"/>
      <c r="AT405" s="7" t="n"/>
      <c r="AU405" s="7" t="n"/>
      <c r="AV405" s="7" t="n"/>
      <c r="AW405" s="7" t="n"/>
      <c r="AX405" s="7" t="n"/>
      <c r="AY405" s="7" t="n"/>
      <c r="BA405" s="42">
        <f>IF(COUNT(B405:AY405)=0,"",IF(TRIM(A405)&lt;&gt;"",TRIM(A405),IF(BA404="","(geen naam)",BA404)))</f>
        <v/>
      </c>
      <c r="BB405" s="42">
        <f>IF(BA405="","",IF(ISNA(MATCH(BA405,BA$120:BA404,0)),MAX(BB$120:BB404)+1,""))</f>
        <v/>
      </c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/>
      <c r="AL406" s="7" t="n"/>
      <c r="AM406" s="7" t="n"/>
      <c r="AN406" s="7" t="n"/>
      <c r="AO406" s="7" t="n"/>
      <c r="AP406" s="7" t="n"/>
      <c r="AQ406" s="7" t="n"/>
      <c r="AR406" s="7" t="n"/>
      <c r="AS406" s="7" t="n"/>
      <c r="AT406" s="7" t="n"/>
      <c r="AU406" s="7" t="n"/>
      <c r="AV406" s="7" t="n"/>
      <c r="AW406" s="7" t="n"/>
      <c r="AX406" s="7" t="n"/>
      <c r="AY406" s="7" t="n"/>
      <c r="BA406" s="42">
        <f>IF(COUNT(B406:AY406)=0,"",IF(TRIM(A406)&lt;&gt;"",TRIM(A406),IF(BA405="","(geen naam)",BA405)))</f>
        <v/>
      </c>
      <c r="BB406" s="42">
        <f>IF(BA406="","",IF(ISNA(MATCH(BA406,BA$120:BA405,0)),MAX(BB$120:BB405)+1,""))</f>
        <v/>
      </c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/>
      <c r="AM407" s="7" t="n"/>
      <c r="AN407" s="7" t="n"/>
      <c r="AO407" s="7" t="n"/>
      <c r="AP407" s="7" t="n"/>
      <c r="AQ407" s="7" t="n"/>
      <c r="AR407" s="7" t="n"/>
      <c r="AS407" s="7" t="n"/>
      <c r="AT407" s="7" t="n"/>
      <c r="AU407" s="7" t="n"/>
      <c r="AV407" s="7" t="n"/>
      <c r="AW407" s="7" t="n"/>
      <c r="AX407" s="7" t="n"/>
      <c r="AY407" s="7" t="n"/>
      <c r="BA407" s="42">
        <f>IF(COUNT(B407:AY407)=0,"",IF(TRIM(A407)&lt;&gt;"",TRIM(A407),IF(BA406="","(geen naam)",BA406)))</f>
        <v/>
      </c>
      <c r="BB407" s="42">
        <f>IF(BA407="","",IF(ISNA(MATCH(BA407,BA$120:BA406,0)),MAX(BB$120:BB406)+1,""))</f>
        <v/>
      </c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/>
      <c r="AM408" s="7" t="n"/>
      <c r="AN408" s="7" t="n"/>
      <c r="AO408" s="7" t="n"/>
      <c r="AP408" s="7" t="n"/>
      <c r="AQ408" s="7" t="n"/>
      <c r="AR408" s="7" t="n"/>
      <c r="AS408" s="7" t="n"/>
      <c r="AT408" s="7" t="n"/>
      <c r="AU408" s="7" t="n"/>
      <c r="AV408" s="7" t="n"/>
      <c r="AW408" s="7" t="n"/>
      <c r="AX408" s="7" t="n"/>
      <c r="AY408" s="7" t="n"/>
      <c r="BA408" s="42">
        <f>IF(COUNT(B408:AY408)=0,"",IF(TRIM(A408)&lt;&gt;"",TRIM(A408),IF(BA407="","(geen naam)",BA407)))</f>
        <v/>
      </c>
      <c r="BB408" s="42">
        <f>IF(BA408="","",IF(ISNA(MATCH(BA408,BA$120:BA407,0)),MAX(BB$120:BB407)+1,""))</f>
        <v/>
      </c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/>
      <c r="AM409" s="7" t="n"/>
      <c r="AN409" s="7" t="n"/>
      <c r="AO409" s="7" t="n"/>
      <c r="AP409" s="7" t="n"/>
      <c r="AQ409" s="7" t="n"/>
      <c r="AR409" s="7" t="n"/>
      <c r="AS409" s="7" t="n"/>
      <c r="AT409" s="7" t="n"/>
      <c r="AU409" s="7" t="n"/>
      <c r="AV409" s="7" t="n"/>
      <c r="AW409" s="7" t="n"/>
      <c r="AX409" s="7" t="n"/>
      <c r="AY409" s="7" t="n"/>
      <c r="BA409" s="42">
        <f>IF(COUNT(B409:AY409)=0,"",IF(TRIM(A409)&lt;&gt;"",TRIM(A409),IF(BA408="","(geen naam)",BA408)))</f>
        <v/>
      </c>
      <c r="BB409" s="42">
        <f>IF(BA409="","",IF(ISNA(MATCH(BA409,BA$120:BA408,0)),MAX(BB$120:BB408)+1,""))</f>
        <v/>
      </c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/>
      <c r="AM410" s="7" t="n"/>
      <c r="AN410" s="7" t="n"/>
      <c r="AO410" s="7" t="n"/>
      <c r="AP410" s="7" t="n"/>
      <c r="AQ410" s="7" t="n"/>
      <c r="AR410" s="7" t="n"/>
      <c r="AS410" s="7" t="n"/>
      <c r="AT410" s="7" t="n"/>
      <c r="AU410" s="7" t="n"/>
      <c r="AV410" s="7" t="n"/>
      <c r="AW410" s="7" t="n"/>
      <c r="AX410" s="7" t="n"/>
      <c r="AY410" s="7" t="n"/>
      <c r="BA410" s="42">
        <f>IF(COUNT(B410:AY410)=0,"",IF(TRIM(A410)&lt;&gt;"",TRIM(A410),IF(BA409="","(geen naam)",BA409)))</f>
        <v/>
      </c>
      <c r="BB410" s="42">
        <f>IF(BA410="","",IF(ISNA(MATCH(BA410,BA$120:BA409,0)),MAX(BB$120:BB409)+1,""))</f>
        <v/>
      </c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/>
      <c r="AM411" s="7" t="n"/>
      <c r="AN411" s="7" t="n"/>
      <c r="AO411" s="7" t="n"/>
      <c r="AP411" s="7" t="n"/>
      <c r="AQ411" s="7" t="n"/>
      <c r="AR411" s="7" t="n"/>
      <c r="AS411" s="7" t="n"/>
      <c r="AT411" s="7" t="n"/>
      <c r="AU411" s="7" t="n"/>
      <c r="AV411" s="7" t="n"/>
      <c r="AW411" s="7" t="n"/>
      <c r="AX411" s="7" t="n"/>
      <c r="AY411" s="7" t="n"/>
      <c r="BA411" s="42">
        <f>IF(COUNT(B411:AY411)=0,"",IF(TRIM(A411)&lt;&gt;"",TRIM(A411),IF(BA410="","(geen naam)",BA410)))</f>
        <v/>
      </c>
      <c r="BB411" s="42">
        <f>IF(BA411="","",IF(ISNA(MATCH(BA411,BA$120:BA410,0)),MAX(BB$120:BB410)+1,""))</f>
        <v/>
      </c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/>
      <c r="AM412" s="7" t="n"/>
      <c r="AN412" s="7" t="n"/>
      <c r="AO412" s="7" t="n"/>
      <c r="AP412" s="7" t="n"/>
      <c r="AQ412" s="7" t="n"/>
      <c r="AR412" s="7" t="n"/>
      <c r="AS412" s="7" t="n"/>
      <c r="AT412" s="7" t="n"/>
      <c r="AU412" s="7" t="n"/>
      <c r="AV412" s="7" t="n"/>
      <c r="AW412" s="7" t="n"/>
      <c r="AX412" s="7" t="n"/>
      <c r="AY412" s="7" t="n"/>
      <c r="BA412" s="42">
        <f>IF(COUNT(B412:AY412)=0,"",IF(TRIM(A412)&lt;&gt;"",TRIM(A412),IF(BA411="","(geen naam)",BA411)))</f>
        <v/>
      </c>
      <c r="BB412" s="42">
        <f>IF(BA412="","",IF(ISNA(MATCH(BA412,BA$120:BA411,0)),MAX(BB$120:BB411)+1,""))</f>
        <v/>
      </c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/>
      <c r="AN413" s="7" t="n"/>
      <c r="AO413" s="7" t="n"/>
      <c r="AP413" s="7" t="n"/>
      <c r="AQ413" s="7" t="n"/>
      <c r="AR413" s="7" t="n"/>
      <c r="AS413" s="7" t="n"/>
      <c r="AT413" s="7" t="n"/>
      <c r="AU413" s="7" t="n"/>
      <c r="AV413" s="7" t="n"/>
      <c r="AW413" s="7" t="n"/>
      <c r="AX413" s="7" t="n"/>
      <c r="AY413" s="7" t="n"/>
      <c r="BA413" s="42">
        <f>IF(COUNT(B413:AY413)=0,"",IF(TRIM(A413)&lt;&gt;"",TRIM(A413),IF(BA412="","(geen naam)",BA412)))</f>
        <v/>
      </c>
      <c r="BB413" s="42">
        <f>IF(BA413="","",IF(ISNA(MATCH(BA413,BA$120:BA412,0)),MAX(BB$120:BB412)+1,""))</f>
        <v/>
      </c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/>
      <c r="AN414" s="7" t="n"/>
      <c r="AO414" s="7" t="n"/>
      <c r="AP414" s="7" t="n"/>
      <c r="AQ414" s="7" t="n"/>
      <c r="AR414" s="7" t="n"/>
      <c r="AS414" s="7" t="n"/>
      <c r="AT414" s="7" t="n"/>
      <c r="AU414" s="7" t="n"/>
      <c r="AV414" s="7" t="n"/>
      <c r="AW414" s="7" t="n"/>
      <c r="AX414" s="7" t="n"/>
      <c r="AY414" s="7" t="n"/>
      <c r="BA414" s="42">
        <f>IF(COUNT(B414:AY414)=0,"",IF(TRIM(A414)&lt;&gt;"",TRIM(A414),IF(BA413="","(geen naam)",BA413)))</f>
        <v/>
      </c>
      <c r="BB414" s="42">
        <f>IF(BA414="","",IF(ISNA(MATCH(BA414,BA$120:BA413,0)),MAX(BB$120:BB413)+1,""))</f>
        <v/>
      </c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/>
      <c r="AN415" s="7" t="n"/>
      <c r="AO415" s="7" t="n"/>
      <c r="AP415" s="7" t="n"/>
      <c r="AQ415" s="7" t="n"/>
      <c r="AR415" s="7" t="n"/>
      <c r="AS415" s="7" t="n"/>
      <c r="AT415" s="7" t="n"/>
      <c r="AU415" s="7" t="n"/>
      <c r="AV415" s="7" t="n"/>
      <c r="AW415" s="7" t="n"/>
      <c r="AX415" s="7" t="n"/>
      <c r="AY415" s="7" t="n"/>
      <c r="BA415" s="42">
        <f>IF(COUNT(B415:AY415)=0,"",IF(TRIM(A415)&lt;&gt;"",TRIM(A415),IF(BA414="","(geen naam)",BA414)))</f>
        <v/>
      </c>
      <c r="BB415" s="42">
        <f>IF(BA415="","",IF(ISNA(MATCH(BA415,BA$120:BA414,0)),MAX(BB$120:BB414)+1,""))</f>
        <v/>
      </c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/>
      <c r="AN416" s="7" t="n"/>
      <c r="AO416" s="7" t="n"/>
      <c r="AP416" s="7" t="n"/>
      <c r="AQ416" s="7" t="n"/>
      <c r="AR416" s="7" t="n"/>
      <c r="AS416" s="7" t="n"/>
      <c r="AT416" s="7" t="n"/>
      <c r="AU416" s="7" t="n"/>
      <c r="AV416" s="7" t="n"/>
      <c r="AW416" s="7" t="n"/>
      <c r="AX416" s="7" t="n"/>
      <c r="AY416" s="7" t="n"/>
      <c r="BA416" s="42">
        <f>IF(COUNT(B416:AY416)=0,"",IF(TRIM(A416)&lt;&gt;"",TRIM(A416),IF(BA415="","(geen naam)",BA415)))</f>
        <v/>
      </c>
      <c r="BB416" s="42">
        <f>IF(BA416="","",IF(ISNA(MATCH(BA416,BA$120:BA415,0)),MAX(BB$120:BB415)+1,""))</f>
        <v/>
      </c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/>
      <c r="AO417" s="7" t="n"/>
      <c r="AP417" s="7" t="n"/>
      <c r="AQ417" s="7" t="n"/>
      <c r="AR417" s="7" t="n"/>
      <c r="AS417" s="7" t="n"/>
      <c r="AT417" s="7" t="n"/>
      <c r="AU417" s="7" t="n"/>
      <c r="AV417" s="7" t="n"/>
      <c r="AW417" s="7" t="n"/>
      <c r="AX417" s="7" t="n"/>
      <c r="AY417" s="7" t="n"/>
      <c r="BA417" s="42">
        <f>IF(COUNT(B417:AY417)=0,"",IF(TRIM(A417)&lt;&gt;"",TRIM(A417),IF(BA416="","(geen naam)",BA416)))</f>
        <v/>
      </c>
      <c r="BB417" s="42">
        <f>IF(BA417="","",IF(ISNA(MATCH(BA417,BA$120:BA416,0)),MAX(BB$120:BB416)+1,""))</f>
        <v/>
      </c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/>
      <c r="AO418" s="7" t="n"/>
      <c r="AP418" s="7" t="n"/>
      <c r="AQ418" s="7" t="n"/>
      <c r="AR418" s="7" t="n"/>
      <c r="AS418" s="7" t="n"/>
      <c r="AT418" s="7" t="n"/>
      <c r="AU418" s="7" t="n"/>
      <c r="AV418" s="7" t="n"/>
      <c r="AW418" s="7" t="n"/>
      <c r="AX418" s="7" t="n"/>
      <c r="AY418" s="7" t="n"/>
      <c r="BA418" s="42">
        <f>IF(COUNT(B418:AY418)=0,"",IF(TRIM(A418)&lt;&gt;"",TRIM(A418),IF(BA417="","(geen naam)",BA417)))</f>
        <v/>
      </c>
      <c r="BB418" s="42">
        <f>IF(BA418="","",IF(ISNA(MATCH(BA418,BA$120:BA417,0)),MAX(BB$120:BB417)+1,""))</f>
        <v/>
      </c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/>
      <c r="AO419" s="7" t="n"/>
      <c r="AP419" s="7" t="n"/>
      <c r="AQ419" s="7" t="n"/>
      <c r="AR419" s="7" t="n"/>
      <c r="AS419" s="7" t="n"/>
      <c r="AT419" s="7" t="n"/>
      <c r="AU419" s="7" t="n"/>
      <c r="AV419" s="7" t="n"/>
      <c r="AW419" s="7" t="n"/>
      <c r="AX419" s="7" t="n"/>
      <c r="AY419" s="7" t="n"/>
      <c r="BA419" s="42">
        <f>IF(COUNT(B419:AY419)=0,"",IF(TRIM(A419)&lt;&gt;"",TRIM(A419),IF(BA418="","(geen naam)",BA418)))</f>
        <v/>
      </c>
      <c r="BB419" s="42">
        <f>IF(BA419="","",IF(ISNA(MATCH(BA419,BA$120:BA418,0)),MAX(BB$120:BB418)+1,""))</f>
        <v/>
      </c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/>
      <c r="AO420" s="7" t="n"/>
      <c r="AP420" s="7" t="n"/>
      <c r="AQ420" s="7" t="n"/>
      <c r="AR420" s="7" t="n"/>
      <c r="AS420" s="7" t="n"/>
      <c r="AT420" s="7" t="n"/>
      <c r="AU420" s="7" t="n"/>
      <c r="AV420" s="7" t="n"/>
      <c r="AW420" s="7" t="n"/>
      <c r="AX420" s="7" t="n"/>
      <c r="AY420" s="7" t="n"/>
      <c r="BA420" s="42">
        <f>IF(COUNT(B420:AY420)=0,"",IF(TRIM(A420)&lt;&gt;"",TRIM(A420),IF(BA419="","(geen naam)",BA419)))</f>
        <v/>
      </c>
      <c r="BB420" s="42">
        <f>IF(BA420="","",IF(ISNA(MATCH(BA420,BA$120:BA419,0)),MAX(BB$120:BB419)+1,""))</f>
        <v/>
      </c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/>
      <c r="AO421" s="7" t="n"/>
      <c r="AP421" s="7" t="n"/>
      <c r="AQ421" s="7" t="n"/>
      <c r="AR421" s="7" t="n"/>
      <c r="AS421" s="7" t="n"/>
      <c r="AT421" s="7" t="n"/>
      <c r="AU421" s="7" t="n"/>
      <c r="AV421" s="7" t="n"/>
      <c r="AW421" s="7" t="n"/>
      <c r="AX421" s="7" t="n"/>
      <c r="AY421" s="7" t="n"/>
      <c r="BA421" s="42">
        <f>IF(COUNT(B421:AY421)=0,"",IF(TRIM(A421)&lt;&gt;"",TRIM(A421),IF(BA420="","(geen naam)",BA420)))</f>
        <v/>
      </c>
      <c r="BB421" s="42">
        <f>IF(BA421="","",IF(ISNA(MATCH(BA421,BA$120:BA420,0)),MAX(BB$120:BB420)+1,""))</f>
        <v/>
      </c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/>
      <c r="AO422" s="7" t="n"/>
      <c r="AP422" s="7" t="n"/>
      <c r="AQ422" s="7" t="n"/>
      <c r="AR422" s="7" t="n"/>
      <c r="AS422" s="7" t="n"/>
      <c r="AT422" s="7" t="n"/>
      <c r="AU422" s="7" t="n"/>
      <c r="AV422" s="7" t="n"/>
      <c r="AW422" s="7" t="n"/>
      <c r="AX422" s="7" t="n"/>
      <c r="AY422" s="7" t="n"/>
      <c r="BA422" s="42">
        <f>IF(COUNT(B422:AY422)=0,"",IF(TRIM(A422)&lt;&gt;"",TRIM(A422),IF(BA421="","(geen naam)",BA421)))</f>
        <v/>
      </c>
      <c r="BB422" s="42">
        <f>IF(BA422="","",IF(ISNA(MATCH(BA422,BA$120:BA421,0)),MAX(BB$120:BB421)+1,""))</f>
        <v/>
      </c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/>
      <c r="AO423" s="7" t="n"/>
      <c r="AP423" s="7" t="n"/>
      <c r="AQ423" s="7" t="n"/>
      <c r="AR423" s="7" t="n"/>
      <c r="AS423" s="7" t="n"/>
      <c r="AT423" s="7" t="n"/>
      <c r="AU423" s="7" t="n"/>
      <c r="AV423" s="7" t="n"/>
      <c r="AW423" s="7" t="n"/>
      <c r="AX423" s="7" t="n"/>
      <c r="AY423" s="7" t="n"/>
      <c r="BA423" s="42">
        <f>IF(COUNT(B423:AY423)=0,"",IF(TRIM(A423)&lt;&gt;"",TRIM(A423),IF(BA422="","(geen naam)",BA422)))</f>
        <v/>
      </c>
      <c r="BB423" s="42">
        <f>IF(BA423="","",IF(ISNA(MATCH(BA423,BA$120:BA422,0)),MAX(BB$120:BB422)+1,""))</f>
        <v/>
      </c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/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  <c r="AQ424" s="7" t="n"/>
      <c r="AR424" s="7" t="n"/>
      <c r="AS424" s="7" t="n"/>
      <c r="AT424" s="7" t="n"/>
      <c r="AU424" s="7" t="n"/>
      <c r="AV424" s="7" t="n"/>
      <c r="AW424" s="7" t="n"/>
      <c r="AX424" s="7" t="n"/>
      <c r="AY424" s="7" t="n"/>
      <c r="BA424" s="42">
        <f>IF(COUNT(B424:AY424)=0,"",IF(TRIM(A424)&lt;&gt;"",TRIM(A424),IF(BA423="","(geen naam)",BA423)))</f>
        <v/>
      </c>
      <c r="BB424" s="42">
        <f>IF(BA424="","",IF(ISNA(MATCH(BA424,BA$120:BA423,0)),MAX(BB$120:BB423)+1,""))</f>
        <v/>
      </c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/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7" t="n"/>
      <c r="AS425" s="7" t="n"/>
      <c r="AT425" s="7" t="n"/>
      <c r="AU425" s="7" t="n"/>
      <c r="AV425" s="7" t="n"/>
      <c r="AW425" s="7" t="n"/>
      <c r="AX425" s="7" t="n"/>
      <c r="AY425" s="7" t="n"/>
      <c r="BA425" s="42">
        <f>IF(COUNT(B425:AY425)=0,"",IF(TRIM(A425)&lt;&gt;"",TRIM(A425),IF(BA424="","(geen naam)",BA424)))</f>
        <v/>
      </c>
      <c r="BB425" s="42">
        <f>IF(BA425="","",IF(ISNA(MATCH(BA425,BA$120:BA424,0)),MAX(BB$120:BB424)+1,""))</f>
        <v/>
      </c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/>
      <c r="AN426" s="7" t="n"/>
      <c r="AO426" s="7" t="n"/>
      <c r="AP426" s="7" t="n"/>
      <c r="AQ426" s="7" t="n"/>
      <c r="AR426" s="7" t="n"/>
      <c r="AS426" s="7" t="n"/>
      <c r="AT426" s="7" t="n"/>
      <c r="AU426" s="7" t="n"/>
      <c r="AV426" s="7" t="n"/>
      <c r="AW426" s="7" t="n"/>
      <c r="AX426" s="7" t="n"/>
      <c r="AY426" s="7" t="n"/>
      <c r="BA426" s="42">
        <f>IF(COUNT(B426:AY426)=0,"",IF(TRIM(A426)&lt;&gt;"",TRIM(A426),IF(BA425="","(geen naam)",BA425)))</f>
        <v/>
      </c>
      <c r="BB426" s="42">
        <f>IF(BA426="","",IF(ISNA(MATCH(BA426,BA$120:BA425,0)),MAX(BB$120:BB425)+1,""))</f>
        <v/>
      </c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/>
      <c r="AP427" s="7" t="n"/>
      <c r="AQ427" s="7" t="n"/>
      <c r="AR427" s="7" t="n"/>
      <c r="AS427" s="7" t="n"/>
      <c r="AT427" s="7" t="n"/>
      <c r="AU427" s="7" t="n"/>
      <c r="AV427" s="7" t="n"/>
      <c r="AW427" s="7" t="n"/>
      <c r="AX427" s="7" t="n"/>
      <c r="AY427" s="7" t="n"/>
      <c r="BA427" s="42">
        <f>IF(COUNT(B427:AY427)=0,"",IF(TRIM(A427)&lt;&gt;"",TRIM(A427),IF(BA426="","(geen naam)",BA426)))</f>
        <v/>
      </c>
      <c r="BB427" s="42">
        <f>IF(BA427="","",IF(ISNA(MATCH(BA427,BA$120:BA426,0)),MAX(BB$120:BB426)+1,""))</f>
        <v/>
      </c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/>
      <c r="AM428" s="7" t="n"/>
      <c r="AN428" s="7" t="n"/>
      <c r="AO428" s="7" t="n"/>
      <c r="AP428" s="7" t="n"/>
      <c r="AQ428" s="7" t="n"/>
      <c r="AR428" s="7" t="n"/>
      <c r="AS428" s="7" t="n"/>
      <c r="AT428" s="7" t="n"/>
      <c r="AU428" s="7" t="n"/>
      <c r="AV428" s="7" t="n"/>
      <c r="AW428" s="7" t="n"/>
      <c r="AX428" s="7" t="n"/>
      <c r="AY428" s="7" t="n"/>
      <c r="BA428" s="42">
        <f>IF(COUNT(B428:AY428)=0,"",IF(TRIM(A428)&lt;&gt;"",TRIM(A428),IF(BA427="","(geen naam)",BA427)))</f>
        <v/>
      </c>
      <c r="BB428" s="42">
        <f>IF(BA428="","",IF(ISNA(MATCH(BA428,BA$120:BA427,0)),MAX(BB$120:BB427)+1,""))</f>
        <v/>
      </c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/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7" t="n"/>
      <c r="AS429" s="7" t="n"/>
      <c r="AT429" s="7" t="n"/>
      <c r="AU429" s="7" t="n"/>
      <c r="AV429" s="7" t="n"/>
      <c r="AW429" s="7" t="n"/>
      <c r="AX429" s="7" t="n"/>
      <c r="AY429" s="7" t="n"/>
      <c r="BA429" s="42">
        <f>IF(COUNT(B429:AY429)=0,"",IF(TRIM(A429)&lt;&gt;"",TRIM(A429),IF(BA428="","(geen naam)",BA428)))</f>
        <v/>
      </c>
      <c r="BB429" s="42">
        <f>IF(BA429="","",IF(ISNA(MATCH(BA429,BA$120:BA428,0)),MAX(BB$120:BB428)+1,""))</f>
        <v/>
      </c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/>
      <c r="AM430" s="7" t="n"/>
      <c r="AN430" s="7" t="n"/>
      <c r="AO430" s="7" t="n"/>
      <c r="AP430" s="7" t="n"/>
      <c r="AQ430" s="7" t="n"/>
      <c r="AR430" s="7" t="n"/>
      <c r="AS430" s="7" t="n"/>
      <c r="AT430" s="7" t="n"/>
      <c r="AU430" s="7" t="n"/>
      <c r="AV430" s="7" t="n"/>
      <c r="AW430" s="7" t="n"/>
      <c r="AX430" s="7" t="n"/>
      <c r="AY430" s="7" t="n"/>
      <c r="BA430" s="42">
        <f>IF(COUNT(B430:AY430)=0,"",IF(TRIM(A430)&lt;&gt;"",TRIM(A430),IF(BA429="","(geen naam)",BA429)))</f>
        <v/>
      </c>
      <c r="BB430" s="42">
        <f>IF(BA430="","",IF(ISNA(MATCH(BA430,BA$120:BA429,0)),MAX(BB$120:BB429)+1,""))</f>
        <v/>
      </c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/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7" t="n"/>
      <c r="AS431" s="7" t="n"/>
      <c r="AT431" s="7" t="n"/>
      <c r="AU431" s="7" t="n"/>
      <c r="AV431" s="7" t="n"/>
      <c r="AW431" s="7" t="n"/>
      <c r="AX431" s="7" t="n"/>
      <c r="AY431" s="7" t="n"/>
      <c r="BA431" s="42">
        <f>IF(COUNT(B431:AY431)=0,"",IF(TRIM(A431)&lt;&gt;"",TRIM(A431),IF(BA430="","(geen naam)",BA430)))</f>
        <v/>
      </c>
      <c r="BB431" s="42">
        <f>IF(BA431="","",IF(ISNA(MATCH(BA431,BA$120:BA430,0)),MAX(BB$120:BB430)+1,""))</f>
        <v/>
      </c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/>
      <c r="AN432" s="7" t="n"/>
      <c r="AO432" s="7" t="n"/>
      <c r="AP432" s="7" t="n"/>
      <c r="AQ432" s="7" t="n"/>
      <c r="AR432" s="7" t="n"/>
      <c r="AS432" s="7" t="n"/>
      <c r="AT432" s="7" t="n"/>
      <c r="AU432" s="7" t="n"/>
      <c r="AV432" s="7" t="n"/>
      <c r="AW432" s="7" t="n"/>
      <c r="AX432" s="7" t="n"/>
      <c r="AY432" s="7" t="n"/>
      <c r="BA432" s="42">
        <f>IF(COUNT(B432:AY432)=0,"",IF(TRIM(A432)&lt;&gt;"",TRIM(A432),IF(BA431="","(geen naam)",BA431)))</f>
        <v/>
      </c>
      <c r="BB432" s="42">
        <f>IF(BA432="","",IF(ISNA(MATCH(BA432,BA$120:BA431,0)),MAX(BB$120:BB431)+1,""))</f>
        <v/>
      </c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7" t="n"/>
      <c r="AS433" s="7" t="n"/>
      <c r="AT433" s="7" t="n"/>
      <c r="AU433" s="7" t="n"/>
      <c r="AV433" s="7" t="n"/>
      <c r="AW433" s="7" t="n"/>
      <c r="AX433" s="7" t="n"/>
      <c r="AY433" s="7" t="n"/>
      <c r="BA433" s="42">
        <f>IF(COUNT(B433:AY433)=0,"",IF(TRIM(A433)&lt;&gt;"",TRIM(A433),IF(BA432="","(geen naam)",BA432)))</f>
        <v/>
      </c>
      <c r="BB433" s="42">
        <f>IF(BA433="","",IF(ISNA(MATCH(BA433,BA$120:BA432,0)),MAX(BB$120:BB432)+1,""))</f>
        <v/>
      </c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7" t="n"/>
      <c r="AL434" s="7" t="n"/>
      <c r="AM434" s="7" t="n"/>
      <c r="AN434" s="7" t="n"/>
      <c r="AO434" s="7" t="n"/>
      <c r="AP434" s="7" t="n"/>
      <c r="AQ434" s="7" t="n"/>
      <c r="AR434" s="7" t="n"/>
      <c r="AS434" s="7" t="n"/>
      <c r="AT434" s="7" t="n"/>
      <c r="AU434" s="7" t="n"/>
      <c r="AV434" s="7" t="n"/>
      <c r="AW434" s="7" t="n"/>
      <c r="AX434" s="7" t="n"/>
      <c r="AY434" s="7" t="n"/>
      <c r="BA434" s="42">
        <f>IF(COUNT(B434:AY434)=0,"",IF(TRIM(A434)&lt;&gt;"",TRIM(A434),IF(BA433="","(geen naam)",BA433)))</f>
        <v/>
      </c>
      <c r="BB434" s="42">
        <f>IF(BA434="","",IF(ISNA(MATCH(BA434,BA$120:BA433,0)),MAX(BB$120:BB433)+1,""))</f>
        <v/>
      </c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/>
      <c r="AM435" s="7" t="n"/>
      <c r="AN435" s="7" t="n"/>
      <c r="AO435" s="7" t="n"/>
      <c r="AP435" s="7" t="n"/>
      <c r="AQ435" s="7" t="n"/>
      <c r="AR435" s="7" t="n"/>
      <c r="AS435" s="7" t="n"/>
      <c r="AT435" s="7" t="n"/>
      <c r="AU435" s="7" t="n"/>
      <c r="AV435" s="7" t="n"/>
      <c r="AW435" s="7" t="n"/>
      <c r="AX435" s="7" t="n"/>
      <c r="AY435" s="7" t="n"/>
      <c r="BA435" s="42">
        <f>IF(COUNT(B435:AY435)=0,"",IF(TRIM(A435)&lt;&gt;"",TRIM(A435),IF(BA434="","(geen naam)",BA434)))</f>
        <v/>
      </c>
      <c r="BB435" s="42">
        <f>IF(BA435="","",IF(ISNA(MATCH(BA435,BA$120:BA434,0)),MAX(BB$120:BB434)+1,""))</f>
        <v/>
      </c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/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s="7" t="n"/>
      <c r="AS436" s="7" t="n"/>
      <c r="AT436" s="7" t="n"/>
      <c r="AU436" s="7" t="n"/>
      <c r="AV436" s="7" t="n"/>
      <c r="AW436" s="7" t="n"/>
      <c r="AX436" s="7" t="n"/>
      <c r="AY436" s="7" t="n"/>
      <c r="BA436" s="42">
        <f>IF(COUNT(B436:AY436)=0,"",IF(TRIM(A436)&lt;&gt;"",TRIM(A436),IF(BA435="","(geen naam)",BA435)))</f>
        <v/>
      </c>
      <c r="BB436" s="42">
        <f>IF(BA436="","",IF(ISNA(MATCH(BA436,BA$120:BA435,0)),MAX(BB$120:BB435)+1,""))</f>
        <v/>
      </c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/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7" t="n"/>
      <c r="AS437" s="7" t="n"/>
      <c r="AT437" s="7" t="n"/>
      <c r="AU437" s="7" t="n"/>
      <c r="AV437" s="7" t="n"/>
      <c r="AW437" s="7" t="n"/>
      <c r="AX437" s="7" t="n"/>
      <c r="AY437" s="7" t="n"/>
      <c r="BA437" s="42">
        <f>IF(COUNT(B437:AY437)=0,"",IF(TRIM(A437)&lt;&gt;"",TRIM(A437),IF(BA436="","(geen naam)",BA436)))</f>
        <v/>
      </c>
      <c r="BB437" s="42">
        <f>IF(BA437="","",IF(ISNA(MATCH(BA437,BA$120:BA436,0)),MAX(BB$120:BB436)+1,""))</f>
        <v/>
      </c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/>
      <c r="AH438" s="7" t="n"/>
      <c r="AI438" s="7" t="n"/>
      <c r="AJ438" s="7" t="n"/>
      <c r="AK438" s="7" t="n"/>
      <c r="AL438" s="7" t="n"/>
      <c r="AM438" s="7" t="n"/>
      <c r="AN438" s="7" t="n"/>
      <c r="AO438" s="7" t="n"/>
      <c r="AP438" s="7" t="n"/>
      <c r="AQ438" s="7" t="n"/>
      <c r="AR438" s="7" t="n"/>
      <c r="AS438" s="7" t="n"/>
      <c r="AT438" s="7" t="n"/>
      <c r="AU438" s="7" t="n"/>
      <c r="AV438" s="7" t="n"/>
      <c r="AW438" s="7" t="n"/>
      <c r="AX438" s="7" t="n"/>
      <c r="AY438" s="7" t="n"/>
      <c r="BA438" s="42">
        <f>IF(COUNT(B438:AY438)=0,"",IF(TRIM(A438)&lt;&gt;"",TRIM(A438),IF(BA437="","(geen naam)",BA437)))</f>
        <v/>
      </c>
      <c r="BB438" s="42">
        <f>IF(BA438="","",IF(ISNA(MATCH(BA438,BA$120:BA437,0)),MAX(BB$120:BB437)+1,""))</f>
        <v/>
      </c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/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7" t="n"/>
      <c r="AS439" s="7" t="n"/>
      <c r="AT439" s="7" t="n"/>
      <c r="AU439" s="7" t="n"/>
      <c r="AV439" s="7" t="n"/>
      <c r="AW439" s="7" t="n"/>
      <c r="AX439" s="7" t="n"/>
      <c r="AY439" s="7" t="n"/>
      <c r="BA439" s="42">
        <f>IF(COUNT(B439:AY439)=0,"",IF(TRIM(A439)&lt;&gt;"",TRIM(A439),IF(BA438="","(geen naam)",BA438)))</f>
        <v/>
      </c>
      <c r="BB439" s="42">
        <f>IF(BA439="","",IF(ISNA(MATCH(BA439,BA$120:BA438,0)),MAX(BB$120:BB438)+1,""))</f>
        <v/>
      </c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/>
      <c r="AI440" s="7" t="n"/>
      <c r="AJ440" s="7" t="n"/>
      <c r="AK440" s="7" t="n"/>
      <c r="AL440" s="7" t="n"/>
      <c r="AM440" s="7" t="n"/>
      <c r="AN440" s="7" t="n"/>
      <c r="AO440" s="7" t="n"/>
      <c r="AP440" s="7" t="n"/>
      <c r="AQ440" s="7" t="n"/>
      <c r="AR440" s="7" t="n"/>
      <c r="AS440" s="7" t="n"/>
      <c r="AT440" s="7" t="n"/>
      <c r="AU440" s="7" t="n"/>
      <c r="AV440" s="7" t="n"/>
      <c r="AW440" s="7" t="n"/>
      <c r="AX440" s="7" t="n"/>
      <c r="AY440" s="7" t="n"/>
      <c r="BA440" s="42">
        <f>IF(COUNT(B440:AY440)=0,"",IF(TRIM(A440)&lt;&gt;"",TRIM(A440),IF(BA439="","(geen naam)",BA439)))</f>
        <v/>
      </c>
      <c r="BB440" s="42">
        <f>IF(BA440="","",IF(ISNA(MATCH(BA440,BA$120:BA439,0)),MAX(BB$120:BB439)+1,""))</f>
        <v/>
      </c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/>
      <c r="AK441" s="7" t="n"/>
      <c r="AL441" s="7" t="n"/>
      <c r="AM441" s="7" t="n"/>
      <c r="AN441" s="7" t="n"/>
      <c r="AO441" s="7" t="n"/>
      <c r="AP441" s="7" t="n"/>
      <c r="AQ441" s="7" t="n"/>
      <c r="AR441" s="7" t="n"/>
      <c r="AS441" s="7" t="n"/>
      <c r="AT441" s="7" t="n"/>
      <c r="AU441" s="7" t="n"/>
      <c r="AV441" s="7" t="n"/>
      <c r="AW441" s="7" t="n"/>
      <c r="AX441" s="7" t="n"/>
      <c r="AY441" s="7" t="n"/>
      <c r="BA441" s="42">
        <f>IF(COUNT(B441:AY441)=0,"",IF(TRIM(A441)&lt;&gt;"",TRIM(A441),IF(BA440="","(geen naam)",BA440)))</f>
        <v/>
      </c>
      <c r="BB441" s="42">
        <f>IF(BA441="","",IF(ISNA(MATCH(BA441,BA$120:BA440,0)),MAX(BB$120:BB440)+1,""))</f>
        <v/>
      </c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7" t="n"/>
      <c r="AL442" s="7" t="n"/>
      <c r="AM442" s="7" t="n"/>
      <c r="AN442" s="7" t="n"/>
      <c r="AO442" s="7" t="n"/>
      <c r="AP442" s="7" t="n"/>
      <c r="AQ442" s="7" t="n"/>
      <c r="AR442" s="7" t="n"/>
      <c r="AS442" s="7" t="n"/>
      <c r="AT442" s="7" t="n"/>
      <c r="AU442" s="7" t="n"/>
      <c r="AV442" s="7" t="n"/>
      <c r="AW442" s="7" t="n"/>
      <c r="AX442" s="7" t="n"/>
      <c r="AY442" s="7" t="n"/>
      <c r="BA442" s="42">
        <f>IF(COUNT(B442:AY442)=0,"",IF(TRIM(A442)&lt;&gt;"",TRIM(A442),IF(BA441="","(geen naam)",BA441)))</f>
        <v/>
      </c>
      <c r="BB442" s="42">
        <f>IF(BA442="","",IF(ISNA(MATCH(BA442,BA$120:BA441,0)),MAX(BB$120:BB441)+1,""))</f>
        <v/>
      </c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/>
      <c r="AL443" s="7" t="n"/>
      <c r="AM443" s="7" t="n"/>
      <c r="AN443" s="7" t="n"/>
      <c r="AO443" s="7" t="n"/>
      <c r="AP443" s="7" t="n"/>
      <c r="AQ443" s="7" t="n"/>
      <c r="AR443" s="7" t="n"/>
      <c r="AS443" s="7" t="n"/>
      <c r="AT443" s="7" t="n"/>
      <c r="AU443" s="7" t="n"/>
      <c r="AV443" s="7" t="n"/>
      <c r="AW443" s="7" t="n"/>
      <c r="AX443" s="7" t="n"/>
      <c r="AY443" s="7" t="n"/>
      <c r="BA443" s="42">
        <f>IF(COUNT(B443:AY443)=0,"",IF(TRIM(A443)&lt;&gt;"",TRIM(A443),IF(BA442="","(geen naam)",BA442)))</f>
        <v/>
      </c>
      <c r="BB443" s="42">
        <f>IF(BA443="","",IF(ISNA(MATCH(BA443,BA$120:BA442,0)),MAX(BB$120:BB442)+1,""))</f>
        <v/>
      </c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/>
      <c r="AM444" s="7" t="n"/>
      <c r="AN444" s="7" t="n"/>
      <c r="AO444" s="7" t="n"/>
      <c r="AP444" s="7" t="n"/>
      <c r="AQ444" s="7" t="n"/>
      <c r="AR444" s="7" t="n"/>
      <c r="AS444" s="7" t="n"/>
      <c r="AT444" s="7" t="n"/>
      <c r="AU444" s="7" t="n"/>
      <c r="AV444" s="7" t="n"/>
      <c r="AW444" s="7" t="n"/>
      <c r="AX444" s="7" t="n"/>
      <c r="AY444" s="7" t="n"/>
      <c r="BA444" s="42">
        <f>IF(COUNT(B444:AY444)=0,"",IF(TRIM(A444)&lt;&gt;"",TRIM(A444),IF(BA443="","(geen naam)",BA443)))</f>
        <v/>
      </c>
      <c r="BB444" s="42">
        <f>IF(BA444="","",IF(ISNA(MATCH(BA444,BA$120:BA443,0)),MAX(BB$120:BB443)+1,""))</f>
        <v/>
      </c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/>
      <c r="AN445" s="7" t="n"/>
      <c r="AO445" s="7" t="n"/>
      <c r="AP445" s="7" t="n"/>
      <c r="AQ445" s="7" t="n"/>
      <c r="AR445" s="7" t="n"/>
      <c r="AS445" s="7" t="n"/>
      <c r="AT445" s="7" t="n"/>
      <c r="AU445" s="7" t="n"/>
      <c r="AV445" s="7" t="n"/>
      <c r="AW445" s="7" t="n"/>
      <c r="AX445" s="7" t="n"/>
      <c r="AY445" s="7" t="n"/>
      <c r="BA445" s="42">
        <f>IF(COUNT(B445:AY445)=0,"",IF(TRIM(A445)&lt;&gt;"",TRIM(A445),IF(BA444="","(geen naam)",BA444)))</f>
        <v/>
      </c>
      <c r="BB445" s="42">
        <f>IF(BA445="","",IF(ISNA(MATCH(BA445,BA$120:BA444,0)),MAX(BB$120:BB444)+1,""))</f>
        <v/>
      </c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/>
      <c r="AO446" s="7" t="n"/>
      <c r="AP446" s="7" t="n"/>
      <c r="AQ446" s="7" t="n"/>
      <c r="AR446" s="7" t="n"/>
      <c r="AS446" s="7" t="n"/>
      <c r="AT446" s="7" t="n"/>
      <c r="AU446" s="7" t="n"/>
      <c r="AV446" s="7" t="n"/>
      <c r="AW446" s="7" t="n"/>
      <c r="AX446" s="7" t="n"/>
      <c r="AY446" s="7" t="n"/>
      <c r="BA446" s="42">
        <f>IF(COUNT(B446:AY446)=0,"",IF(TRIM(A446)&lt;&gt;"",TRIM(A446),IF(BA445="","(geen naam)",BA445)))</f>
        <v/>
      </c>
      <c r="BB446" s="42">
        <f>IF(BA446="","",IF(ISNA(MATCH(BA446,BA$120:BA445,0)),MAX(BB$120:BB445)+1,""))</f>
        <v/>
      </c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7" t="n"/>
      <c r="AS447" s="7" t="n"/>
      <c r="AT447" s="7" t="n"/>
      <c r="AU447" s="7" t="n"/>
      <c r="AV447" s="7" t="n"/>
      <c r="AW447" s="7" t="n"/>
      <c r="AX447" s="7" t="n"/>
      <c r="AY447" s="7" t="n"/>
      <c r="BA447" s="42">
        <f>IF(COUNT(B447:AY447)=0,"",IF(TRIM(A447)&lt;&gt;"",TRIM(A447),IF(BA446="","(geen naam)",BA446)))</f>
        <v/>
      </c>
      <c r="BB447" s="42">
        <f>IF(BA447="","",IF(ISNA(MATCH(BA447,BA$120:BA446,0)),MAX(BB$120:BB446)+1,""))</f>
        <v/>
      </c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  <c r="AO448" s="7" t="n"/>
      <c r="AP448" s="7" t="n"/>
      <c r="AQ448" s="7" t="n"/>
      <c r="AR448" s="7" t="n"/>
      <c r="AS448" s="7" t="n"/>
      <c r="AT448" s="7" t="n"/>
      <c r="AU448" s="7" t="n"/>
      <c r="AV448" s="7" t="n"/>
      <c r="AW448" s="7" t="n"/>
      <c r="AX448" s="7" t="n"/>
      <c r="AY448" s="7" t="n"/>
      <c r="BA448" s="42">
        <f>IF(COUNT(B448:AY448)=0,"",IF(TRIM(A448)&lt;&gt;"",TRIM(A448),IF(BA447="","(geen naam)",BA447)))</f>
        <v/>
      </c>
      <c r="BB448" s="42">
        <f>IF(BA448="","",IF(ISNA(MATCH(BA448,BA$120:BA447,0)),MAX(BB$120:BB447)+1,""))</f>
        <v/>
      </c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/>
      <c r="AM449" s="7" t="n"/>
      <c r="AN449" s="7" t="n"/>
      <c r="AO449" s="7" t="n"/>
      <c r="AP449" s="7" t="n"/>
      <c r="AQ449" s="7" t="n"/>
      <c r="AR449" s="7" t="n"/>
      <c r="AS449" s="7" t="n"/>
      <c r="AT449" s="7" t="n"/>
      <c r="AU449" s="7" t="n"/>
      <c r="AV449" s="7" t="n"/>
      <c r="AW449" s="7" t="n"/>
      <c r="AX449" s="7" t="n"/>
      <c r="AY449" s="7" t="n"/>
      <c r="BA449" s="42">
        <f>IF(COUNT(B449:AY449)=0,"",IF(TRIM(A449)&lt;&gt;"",TRIM(A449),IF(BA448="","(geen naam)",BA448)))</f>
        <v/>
      </c>
      <c r="BB449" s="42">
        <f>IF(BA449="","",IF(ISNA(MATCH(BA449,BA$120:BA448,0)),MAX(BB$120:BB448)+1,""))</f>
        <v/>
      </c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  <c r="AQ450" s="7" t="n"/>
      <c r="AR450" s="7" t="n"/>
      <c r="AS450" s="7" t="n"/>
      <c r="AT450" s="7" t="n"/>
      <c r="AU450" s="7" t="n"/>
      <c r="AV450" s="7" t="n"/>
      <c r="AW450" s="7" t="n"/>
      <c r="AX450" s="7" t="n"/>
      <c r="AY450" s="7" t="n"/>
      <c r="BA450" s="42">
        <f>IF(COUNT(B450:AY450)=0,"",IF(TRIM(A450)&lt;&gt;"",TRIM(A450),IF(BA449="","(geen naam)",BA449)))</f>
        <v/>
      </c>
      <c r="BB450" s="42">
        <f>IF(BA450="","",IF(ISNA(MATCH(BA450,BA$120:BA449,0)),MAX(BB$120:BB449)+1,""))</f>
        <v/>
      </c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7" t="n"/>
      <c r="AS451" s="7" t="n"/>
      <c r="AT451" s="7" t="n"/>
      <c r="AU451" s="7" t="n"/>
      <c r="AV451" s="7" t="n"/>
      <c r="AW451" s="7" t="n"/>
      <c r="AX451" s="7" t="n"/>
      <c r="AY451" s="7" t="n"/>
      <c r="BA451" s="42">
        <f>IF(COUNT(B451:AY451)=0,"",IF(TRIM(A451)&lt;&gt;"",TRIM(A451),IF(BA450="","(geen naam)",BA450)))</f>
        <v/>
      </c>
      <c r="BB451" s="42">
        <f>IF(BA451="","",IF(ISNA(MATCH(BA451,BA$120:BA450,0)),MAX(BB$120:BB450)+1,""))</f>
        <v/>
      </c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/>
      <c r="AJ452" s="7" t="n"/>
      <c r="AK452" s="7" t="n"/>
      <c r="AL452" s="7" t="n"/>
      <c r="AM452" s="7" t="n"/>
      <c r="AN452" s="7" t="n"/>
      <c r="AO452" s="7" t="n"/>
      <c r="AP452" s="7" t="n"/>
      <c r="AQ452" s="7" t="n"/>
      <c r="AR452" s="7" t="n"/>
      <c r="AS452" s="7" t="n"/>
      <c r="AT452" s="7" t="n"/>
      <c r="AU452" s="7" t="n"/>
      <c r="AV452" s="7" t="n"/>
      <c r="AW452" s="7" t="n"/>
      <c r="AX452" s="7" t="n"/>
      <c r="AY452" s="7" t="n"/>
      <c r="BA452" s="42">
        <f>IF(COUNT(B452:AY452)=0,"",IF(TRIM(A452)&lt;&gt;"",TRIM(A452),IF(BA451="","(geen naam)",BA451)))</f>
        <v/>
      </c>
      <c r="BB452" s="42">
        <f>IF(BA452="","",IF(ISNA(MATCH(BA452,BA$120:BA451,0)),MAX(BB$120:BB451)+1,""))</f>
        <v/>
      </c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/>
      <c r="AN453" s="7" t="n"/>
      <c r="AO453" s="7" t="n"/>
      <c r="AP453" s="7" t="n"/>
      <c r="AQ453" s="7" t="n"/>
      <c r="AR453" s="7" t="n"/>
      <c r="AS453" s="7" t="n"/>
      <c r="AT453" s="7" t="n"/>
      <c r="AU453" s="7" t="n"/>
      <c r="AV453" s="7" t="n"/>
      <c r="AW453" s="7" t="n"/>
      <c r="AX453" s="7" t="n"/>
      <c r="AY453" s="7" t="n"/>
      <c r="BA453" s="42">
        <f>IF(COUNT(B453:AY453)=0,"",IF(TRIM(A453)&lt;&gt;"",TRIM(A453),IF(BA452="","(geen naam)",BA452)))</f>
        <v/>
      </c>
      <c r="BB453" s="42">
        <f>IF(BA453="","",IF(ISNA(MATCH(BA453,BA$120:BA452,0)),MAX(BB$120:BB452)+1,""))</f>
        <v/>
      </c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/>
      <c r="AM454" s="7" t="n"/>
      <c r="AN454" s="7" t="n"/>
      <c r="AO454" s="7" t="n"/>
      <c r="AP454" s="7" t="n"/>
      <c r="AQ454" s="7" t="n"/>
      <c r="AR454" s="7" t="n"/>
      <c r="AS454" s="7" t="n"/>
      <c r="AT454" s="7" t="n"/>
      <c r="AU454" s="7" t="n"/>
      <c r="AV454" s="7" t="n"/>
      <c r="AW454" s="7" t="n"/>
      <c r="AX454" s="7" t="n"/>
      <c r="AY454" s="7" t="n"/>
      <c r="BA454" s="42">
        <f>IF(COUNT(B454:AY454)=0,"",IF(TRIM(A454)&lt;&gt;"",TRIM(A454),IF(BA453="","(geen naam)",BA453)))</f>
        <v/>
      </c>
      <c r="BB454" s="42">
        <f>IF(BA454="","",IF(ISNA(MATCH(BA454,BA$120:BA453,0)),MAX(BB$120:BB453)+1,""))</f>
        <v/>
      </c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7" t="n"/>
      <c r="AS455" s="7" t="n"/>
      <c r="AT455" s="7" t="n"/>
      <c r="AU455" s="7" t="n"/>
      <c r="AV455" s="7" t="n"/>
      <c r="AW455" s="7" t="n"/>
      <c r="AX455" s="7" t="n"/>
      <c r="AY455" s="7" t="n"/>
      <c r="BA455" s="42">
        <f>IF(COUNT(B455:AY455)=0,"",IF(TRIM(A455)&lt;&gt;"",TRIM(A455),IF(BA454="","(geen naam)",BA454)))</f>
        <v/>
      </c>
      <c r="BB455" s="42">
        <f>IF(BA455="","",IF(ISNA(MATCH(BA455,BA$120:BA454,0)),MAX(BB$120:BB454)+1,""))</f>
        <v/>
      </c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/>
      <c r="AJ456" s="7" t="n"/>
      <c r="AK456" s="7" t="n"/>
      <c r="AL456" s="7" t="n"/>
      <c r="AM456" s="7" t="n"/>
      <c r="AN456" s="7" t="n"/>
      <c r="AO456" s="7" t="n"/>
      <c r="AP456" s="7" t="n"/>
      <c r="AQ456" s="7" t="n"/>
      <c r="AR456" s="7" t="n"/>
      <c r="AS456" s="7" t="n"/>
      <c r="AT456" s="7" t="n"/>
      <c r="AU456" s="7" t="n"/>
      <c r="AV456" s="7" t="n"/>
      <c r="AW456" s="7" t="n"/>
      <c r="AX456" s="7" t="n"/>
      <c r="AY456" s="7" t="n"/>
      <c r="BA456" s="42">
        <f>IF(COUNT(B456:AY456)=0,"",IF(TRIM(A456)&lt;&gt;"",TRIM(A456),IF(BA455="","(geen naam)",BA455)))</f>
        <v/>
      </c>
      <c r="BB456" s="42">
        <f>IF(BA456="","",IF(ISNA(MATCH(BA456,BA$120:BA455,0)),MAX(BB$120:BB455)+1,""))</f>
        <v/>
      </c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/>
      <c r="AN457" s="7" t="n"/>
      <c r="AO457" s="7" t="n"/>
      <c r="AP457" s="7" t="n"/>
      <c r="AQ457" s="7" t="n"/>
      <c r="AR457" s="7" t="n"/>
      <c r="AS457" s="7" t="n"/>
      <c r="AT457" s="7" t="n"/>
      <c r="AU457" s="7" t="n"/>
      <c r="AV457" s="7" t="n"/>
      <c r="AW457" s="7" t="n"/>
      <c r="AX457" s="7" t="n"/>
      <c r="AY457" s="7" t="n"/>
      <c r="BA457" s="42">
        <f>IF(COUNT(B457:AY457)=0,"",IF(TRIM(A457)&lt;&gt;"",TRIM(A457),IF(BA456="","(geen naam)",BA456)))</f>
        <v/>
      </c>
      <c r="BB457" s="42">
        <f>IF(BA457="","",IF(ISNA(MATCH(BA457,BA$120:BA456,0)),MAX(BB$120:BB456)+1,""))</f>
        <v/>
      </c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/>
      <c r="AN458" s="7" t="n"/>
      <c r="AO458" s="7" t="n"/>
      <c r="AP458" s="7" t="n"/>
      <c r="AQ458" s="7" t="n"/>
      <c r="AR458" s="7" t="n"/>
      <c r="AS458" s="7" t="n"/>
      <c r="AT458" s="7" t="n"/>
      <c r="AU458" s="7" t="n"/>
      <c r="AV458" s="7" t="n"/>
      <c r="AW458" s="7" t="n"/>
      <c r="AX458" s="7" t="n"/>
      <c r="AY458" s="7" t="n"/>
      <c r="BA458" s="42">
        <f>IF(COUNT(B458:AY458)=0,"",IF(TRIM(A458)&lt;&gt;"",TRIM(A458),IF(BA457="","(geen naam)",BA457)))</f>
        <v/>
      </c>
      <c r="BB458" s="42">
        <f>IF(BA458="","",IF(ISNA(MATCH(BA458,BA$120:BA457,0)),MAX(BB$120:BB457)+1,""))</f>
        <v/>
      </c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/>
      <c r="AL459" s="7" t="n"/>
      <c r="AM459" s="7" t="n"/>
      <c r="AN459" s="7" t="n"/>
      <c r="AO459" s="7" t="n"/>
      <c r="AP459" s="7" t="n"/>
      <c r="AQ459" s="7" t="n"/>
      <c r="AR459" s="7" t="n"/>
      <c r="AS459" s="7" t="n"/>
      <c r="AT459" s="7" t="n"/>
      <c r="AU459" s="7" t="n"/>
      <c r="AV459" s="7" t="n"/>
      <c r="AW459" s="7" t="n"/>
      <c r="AX459" s="7" t="n"/>
      <c r="AY459" s="7" t="n"/>
      <c r="BA459" s="42">
        <f>IF(COUNT(B459:AY459)=0,"",IF(TRIM(A459)&lt;&gt;"",TRIM(A459),IF(BA458="","(geen naam)",BA458)))</f>
        <v/>
      </c>
      <c r="BB459" s="42">
        <f>IF(BA459="","",IF(ISNA(MATCH(BA459,BA$120:BA458,0)),MAX(BB$120:BB458)+1,""))</f>
        <v/>
      </c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  <c r="AQ460" s="7" t="n"/>
      <c r="AR460" s="7" t="n"/>
      <c r="AS460" s="7" t="n"/>
      <c r="AT460" s="7" t="n"/>
      <c r="AU460" s="7" t="n"/>
      <c r="AV460" s="7" t="n"/>
      <c r="AW460" s="7" t="n"/>
      <c r="AX460" s="7" t="n"/>
      <c r="AY460" s="7" t="n"/>
      <c r="BA460" s="42">
        <f>IF(COUNT(B460:AY460)=0,"",IF(TRIM(A460)&lt;&gt;"",TRIM(A460),IF(BA459="","(geen naam)",BA459)))</f>
        <v/>
      </c>
      <c r="BB460" s="42">
        <f>IF(BA460="","",IF(ISNA(MATCH(BA460,BA$120:BA459,0)),MAX(BB$120:BB459)+1,""))</f>
        <v/>
      </c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7" t="n"/>
      <c r="AS461" s="7" t="n"/>
      <c r="AT461" s="7" t="n"/>
      <c r="AU461" s="7" t="n"/>
      <c r="AV461" s="7" t="n"/>
      <c r="AW461" s="7" t="n"/>
      <c r="AX461" s="7" t="n"/>
      <c r="AY461" s="7" t="n"/>
      <c r="BA461" s="42">
        <f>IF(COUNT(B461:AY461)=0,"",IF(TRIM(A461)&lt;&gt;"",TRIM(A461),IF(BA460="","(geen naam)",BA460)))</f>
        <v/>
      </c>
      <c r="BB461" s="42">
        <f>IF(BA461="","",IF(ISNA(MATCH(BA461,BA$120:BA460,0)),MAX(BB$120:BB460)+1,""))</f>
        <v/>
      </c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  <c r="AQ462" s="7" t="n"/>
      <c r="AR462" s="7" t="n"/>
      <c r="AS462" s="7" t="n"/>
      <c r="AT462" s="7" t="n"/>
      <c r="AU462" s="7" t="n"/>
      <c r="AV462" s="7" t="n"/>
      <c r="AW462" s="7" t="n"/>
      <c r="AX462" s="7" t="n"/>
      <c r="AY462" s="7" t="n"/>
      <c r="BA462" s="42">
        <f>IF(COUNT(B462:AY462)=0,"",IF(TRIM(A462)&lt;&gt;"",TRIM(A462),IF(BA461="","(geen naam)",BA461)))</f>
        <v/>
      </c>
      <c r="BB462" s="42">
        <f>IF(BA462="","",IF(ISNA(MATCH(BA462,BA$120:BA461,0)),MAX(BB$120:BB461)+1,""))</f>
        <v/>
      </c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/>
      <c r="AL463" s="7" t="n"/>
      <c r="AM463" s="7" t="n"/>
      <c r="AN463" s="7" t="n"/>
      <c r="AO463" s="7" t="n"/>
      <c r="AP463" s="7" t="n"/>
      <c r="AQ463" s="7" t="n"/>
      <c r="AR463" s="7" t="n"/>
      <c r="AS463" s="7" t="n"/>
      <c r="AT463" s="7" t="n"/>
      <c r="AU463" s="7" t="n"/>
      <c r="AV463" s="7" t="n"/>
      <c r="AW463" s="7" t="n"/>
      <c r="AX463" s="7" t="n"/>
      <c r="AY463" s="7" t="n"/>
      <c r="BA463" s="42">
        <f>IF(COUNT(B463:AY463)=0,"",IF(TRIM(A463)&lt;&gt;"",TRIM(A463),IF(BA462="","(geen naam)",BA462)))</f>
        <v/>
      </c>
      <c r="BB463" s="42">
        <f>IF(BA463="","",IF(ISNA(MATCH(BA463,BA$120:BA462,0)),MAX(BB$120:BB462)+1,""))</f>
        <v/>
      </c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/>
      <c r="AN464" s="7" t="n"/>
      <c r="AO464" s="7" t="n"/>
      <c r="AP464" s="7" t="n"/>
      <c r="AQ464" s="7" t="n"/>
      <c r="AR464" s="7" t="n"/>
      <c r="AS464" s="7" t="n"/>
      <c r="AT464" s="7" t="n"/>
      <c r="AU464" s="7" t="n"/>
      <c r="AV464" s="7" t="n"/>
      <c r="AW464" s="7" t="n"/>
      <c r="AX464" s="7" t="n"/>
      <c r="AY464" s="7" t="n"/>
      <c r="BA464" s="42">
        <f>IF(COUNT(B464:AY464)=0,"",IF(TRIM(A464)&lt;&gt;"",TRIM(A464),IF(BA463="","(geen naam)",BA463)))</f>
        <v/>
      </c>
      <c r="BB464" s="42">
        <f>IF(BA464="","",IF(ISNA(MATCH(BA464,BA$120:BA463,0)),MAX(BB$120:BB463)+1,""))</f>
        <v/>
      </c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/>
      <c r="AO465" s="7" t="n"/>
      <c r="AP465" s="7" t="n"/>
      <c r="AQ465" s="7" t="n"/>
      <c r="AR465" s="7" t="n"/>
      <c r="AS465" s="7" t="n"/>
      <c r="AT465" s="7" t="n"/>
      <c r="AU465" s="7" t="n"/>
      <c r="AV465" s="7" t="n"/>
      <c r="AW465" s="7" t="n"/>
      <c r="AX465" s="7" t="n"/>
      <c r="AY465" s="7" t="n"/>
      <c r="BA465" s="42">
        <f>IF(COUNT(B465:AY465)=0,"",IF(TRIM(A465)&lt;&gt;"",TRIM(A465),IF(BA464="","(geen naam)",BA464)))</f>
        <v/>
      </c>
      <c r="BB465" s="42">
        <f>IF(BA465="","",IF(ISNA(MATCH(BA465,BA$120:BA464,0)),MAX(BB$120:BB464)+1,""))</f>
        <v/>
      </c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/>
      <c r="AP466" s="7" t="n"/>
      <c r="AQ466" s="7" t="n"/>
      <c r="AR466" s="7" t="n"/>
      <c r="AS466" s="7" t="n"/>
      <c r="AT466" s="7" t="n"/>
      <c r="AU466" s="7" t="n"/>
      <c r="AV466" s="7" t="n"/>
      <c r="AW466" s="7" t="n"/>
      <c r="AX466" s="7" t="n"/>
      <c r="AY466" s="7" t="n"/>
      <c r="BA466" s="42">
        <f>IF(COUNT(B466:AY466)=0,"",IF(TRIM(A466)&lt;&gt;"",TRIM(A466),IF(BA465="","(geen naam)",BA465)))</f>
        <v/>
      </c>
      <c r="BB466" s="42">
        <f>IF(BA466="","",IF(ISNA(MATCH(BA466,BA$120:BA465,0)),MAX(BB$120:BB465)+1,""))</f>
        <v/>
      </c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/>
      <c r="AP467" s="7" t="n"/>
      <c r="AQ467" s="7" t="n"/>
      <c r="AR467" s="7" t="n"/>
      <c r="AS467" s="7" t="n"/>
      <c r="AT467" s="7" t="n"/>
      <c r="AU467" s="7" t="n"/>
      <c r="AV467" s="7" t="n"/>
      <c r="AW467" s="7" t="n"/>
      <c r="AX467" s="7" t="n"/>
      <c r="AY467" s="7" t="n"/>
      <c r="BA467" s="42">
        <f>IF(COUNT(B467:AY467)=0,"",IF(TRIM(A467)&lt;&gt;"",TRIM(A467),IF(BA466="","(geen naam)",BA466)))</f>
        <v/>
      </c>
      <c r="BB467" s="42">
        <f>IF(BA467="","",IF(ISNA(MATCH(BA467,BA$120:BA466,0)),MAX(BB$120:BB466)+1,""))</f>
        <v/>
      </c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/>
      <c r="AP468" s="7" t="n"/>
      <c r="AQ468" s="7" t="n"/>
      <c r="AR468" s="7" t="n"/>
      <c r="AS468" s="7" t="n"/>
      <c r="AT468" s="7" t="n"/>
      <c r="AU468" s="7" t="n"/>
      <c r="AV468" s="7" t="n"/>
      <c r="AW468" s="7" t="n"/>
      <c r="AX468" s="7" t="n"/>
      <c r="AY468" s="7" t="n"/>
      <c r="BA468" s="42">
        <f>IF(COUNT(B468:AY468)=0,"",IF(TRIM(A468)&lt;&gt;"",TRIM(A468),IF(BA467="","(geen naam)",BA467)))</f>
        <v/>
      </c>
      <c r="BB468" s="42">
        <f>IF(BA468="","",IF(ISNA(MATCH(BA468,BA$120:BA467,0)),MAX(BB$120:BB467)+1,""))</f>
        <v/>
      </c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/>
      <c r="AP469" s="7" t="n"/>
      <c r="AQ469" s="7" t="n"/>
      <c r="AR469" s="7" t="n"/>
      <c r="AS469" s="7" t="n"/>
      <c r="AT469" s="7" t="n"/>
      <c r="AU469" s="7" t="n"/>
      <c r="AV469" s="7" t="n"/>
      <c r="AW469" s="7" t="n"/>
      <c r="AX469" s="7" t="n"/>
      <c r="AY469" s="7" t="n"/>
      <c r="BA469" s="42">
        <f>IF(COUNT(B469:AY469)=0,"",IF(TRIM(A469)&lt;&gt;"",TRIM(A469),IF(BA468="","(geen naam)",BA468)))</f>
        <v/>
      </c>
      <c r="BB469" s="42">
        <f>IF(BA469="","",IF(ISNA(MATCH(BA469,BA$120:BA468,0)),MAX(BB$120:BB468)+1,""))</f>
        <v/>
      </c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/>
      <c r="AP470" s="7" t="n"/>
      <c r="AQ470" s="7" t="n"/>
      <c r="AR470" s="7" t="n"/>
      <c r="AS470" s="7" t="n"/>
      <c r="AT470" s="7" t="n"/>
      <c r="AU470" s="7" t="n"/>
      <c r="AV470" s="7" t="n"/>
      <c r="AW470" s="7" t="n"/>
      <c r="AX470" s="7" t="n"/>
      <c r="AY470" s="7" t="n"/>
      <c r="BA470" s="42">
        <f>IF(COUNT(B470:AY470)=0,"",IF(TRIM(A470)&lt;&gt;"",TRIM(A470),IF(BA469="","(geen naam)",BA469)))</f>
        <v/>
      </c>
      <c r="BB470" s="42">
        <f>IF(BA470="","",IF(ISNA(MATCH(BA470,BA$120:BA469,0)),MAX(BB$120:BB469)+1,""))</f>
        <v/>
      </c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/>
      <c r="AQ471" s="7" t="n"/>
      <c r="AR471" s="7" t="n"/>
      <c r="AS471" s="7" t="n"/>
      <c r="AT471" s="7" t="n"/>
      <c r="AU471" s="7" t="n"/>
      <c r="AV471" s="7" t="n"/>
      <c r="AW471" s="7" t="n"/>
      <c r="AX471" s="7" t="n"/>
      <c r="AY471" s="7" t="n"/>
      <c r="BA471" s="42">
        <f>IF(COUNT(B471:AY471)=0,"",IF(TRIM(A471)&lt;&gt;"",TRIM(A471),IF(BA470="","(geen naam)",BA470)))</f>
        <v/>
      </c>
      <c r="BB471" s="42">
        <f>IF(BA471="","",IF(ISNA(MATCH(BA471,BA$120:BA470,0)),MAX(BB$120:BB470)+1,""))</f>
        <v/>
      </c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/>
      <c r="AP472" s="7" t="n"/>
      <c r="AQ472" s="7" t="n"/>
      <c r="AR472" s="7" t="n"/>
      <c r="AS472" s="7" t="n"/>
      <c r="AT472" s="7" t="n"/>
      <c r="AU472" s="7" t="n"/>
      <c r="AV472" s="7" t="n"/>
      <c r="AW472" s="7" t="n"/>
      <c r="AX472" s="7" t="n"/>
      <c r="AY472" s="7" t="n"/>
      <c r="BA472" s="42">
        <f>IF(COUNT(B472:AY472)=0,"",IF(TRIM(A472)&lt;&gt;"",TRIM(A472),IF(BA471="","(geen naam)",BA471)))</f>
        <v/>
      </c>
      <c r="BB472" s="42">
        <f>IF(BA472="","",IF(ISNA(MATCH(BA472,BA$120:BA471,0)),MAX(BB$120:BB471)+1,""))</f>
        <v/>
      </c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7" t="n"/>
      <c r="AS473" s="7" t="n"/>
      <c r="AT473" s="7" t="n"/>
      <c r="AU473" s="7" t="n"/>
      <c r="AV473" s="7" t="n"/>
      <c r="AW473" s="7" t="n"/>
      <c r="AX473" s="7" t="n"/>
      <c r="AY473" s="7" t="n"/>
      <c r="BA473" s="42">
        <f>IF(COUNT(B473:AY473)=0,"",IF(TRIM(A473)&lt;&gt;"",TRIM(A473),IF(BA472="","(geen naam)",BA472)))</f>
        <v/>
      </c>
      <c r="BB473" s="42">
        <f>IF(BA473="","",IF(ISNA(MATCH(BA473,BA$120:BA472,0)),MAX(BB$120:BB472)+1,""))</f>
        <v/>
      </c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/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/>
      <c r="AP474" s="7" t="n"/>
      <c r="AQ474" s="7" t="n"/>
      <c r="AR474" s="7" t="n"/>
      <c r="AS474" s="7" t="n"/>
      <c r="AT474" s="7" t="n"/>
      <c r="AU474" s="7" t="n"/>
      <c r="AV474" s="7" t="n"/>
      <c r="AW474" s="7" t="n"/>
      <c r="AX474" s="7" t="n"/>
      <c r="AY474" s="7" t="n"/>
      <c r="BA474" s="42">
        <f>IF(COUNT(B474:AY474)=0,"",IF(TRIM(A474)&lt;&gt;"",TRIM(A474),IF(BA473="","(geen naam)",BA473)))</f>
        <v/>
      </c>
      <c r="BB474" s="42">
        <f>IF(BA474="","",IF(ISNA(MATCH(BA474,BA$120:BA473,0)),MAX(BB$120:BB473)+1,""))</f>
        <v/>
      </c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/>
      <c r="AL475" s="7" t="n"/>
      <c r="AM475" s="7" t="n"/>
      <c r="AN475" s="7" t="n"/>
      <c r="AO475" s="7" t="n"/>
      <c r="AP475" s="7" t="n"/>
      <c r="AQ475" s="7" t="n"/>
      <c r="AR475" s="7" t="n"/>
      <c r="AS475" s="7" t="n"/>
      <c r="AT475" s="7" t="n"/>
      <c r="AU475" s="7" t="n"/>
      <c r="AV475" s="7" t="n"/>
      <c r="AW475" s="7" t="n"/>
      <c r="AX475" s="7" t="n"/>
      <c r="AY475" s="7" t="n"/>
      <c r="BA475" s="42">
        <f>IF(COUNT(B475:AY475)=0,"",IF(TRIM(A475)&lt;&gt;"",TRIM(A475),IF(BA474="","(geen naam)",BA474)))</f>
        <v/>
      </c>
      <c r="BB475" s="42">
        <f>IF(BA475="","",IF(ISNA(MATCH(BA475,BA$120:BA474,0)),MAX(BB$120:BB474)+1,""))</f>
        <v/>
      </c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/>
      <c r="AL476" s="7" t="n"/>
      <c r="AM476" s="7" t="n"/>
      <c r="AN476" s="7" t="n"/>
      <c r="AO476" s="7" t="n"/>
      <c r="AP476" s="7" t="n"/>
      <c r="AQ476" s="7" t="n"/>
      <c r="AR476" s="7" t="n"/>
      <c r="AS476" s="7" t="n"/>
      <c r="AT476" s="7" t="n"/>
      <c r="AU476" s="7" t="n"/>
      <c r="AV476" s="7" t="n"/>
      <c r="AW476" s="7" t="n"/>
      <c r="AX476" s="7" t="n"/>
      <c r="AY476" s="7" t="n"/>
      <c r="BA476" s="42">
        <f>IF(COUNT(B476:AY476)=0,"",IF(TRIM(A476)&lt;&gt;"",TRIM(A476),IF(BA475="","(geen naam)",BA475)))</f>
        <v/>
      </c>
      <c r="BB476" s="42">
        <f>IF(BA476="","",IF(ISNA(MATCH(BA476,BA$120:BA475,0)),MAX(BB$120:BB475)+1,""))</f>
        <v/>
      </c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/>
      <c r="AO477" s="7" t="n"/>
      <c r="AP477" s="7" t="n"/>
      <c r="AQ477" s="7" t="n"/>
      <c r="AR477" s="7" t="n"/>
      <c r="AS477" s="7" t="n"/>
      <c r="AT477" s="7" t="n"/>
      <c r="AU477" s="7" t="n"/>
      <c r="AV477" s="7" t="n"/>
      <c r="AW477" s="7" t="n"/>
      <c r="AX477" s="7" t="n"/>
      <c r="AY477" s="7" t="n"/>
      <c r="BA477" s="42">
        <f>IF(COUNT(B477:AY477)=0,"",IF(TRIM(A477)&lt;&gt;"",TRIM(A477),IF(BA476="","(geen naam)",BA476)))</f>
        <v/>
      </c>
      <c r="BB477" s="42">
        <f>IF(BA477="","",IF(ISNA(MATCH(BA477,BA$120:BA476,0)),MAX(BB$120:BB476)+1,""))</f>
        <v/>
      </c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s="7" t="n"/>
      <c r="AS478" s="7" t="n"/>
      <c r="AT478" s="7" t="n"/>
      <c r="AU478" s="7" t="n"/>
      <c r="AV478" s="7" t="n"/>
      <c r="AW478" s="7" t="n"/>
      <c r="AX478" s="7" t="n"/>
      <c r="AY478" s="7" t="n"/>
      <c r="BA478" s="42">
        <f>IF(COUNT(B478:AY478)=0,"",IF(TRIM(A478)&lt;&gt;"",TRIM(A478),IF(BA477="","(geen naam)",BA477)))</f>
        <v/>
      </c>
      <c r="BB478" s="42">
        <f>IF(BA478="","",IF(ISNA(MATCH(BA478,BA$120:BA477,0)),MAX(BB$120:BB477)+1,""))</f>
        <v/>
      </c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7" t="n"/>
      <c r="AS479" s="7" t="n"/>
      <c r="AT479" s="7" t="n"/>
      <c r="AU479" s="7" t="n"/>
      <c r="AV479" s="7" t="n"/>
      <c r="AW479" s="7" t="n"/>
      <c r="AX479" s="7" t="n"/>
      <c r="AY479" s="7" t="n"/>
      <c r="BA479" s="42">
        <f>IF(COUNT(B479:AY479)=0,"",IF(TRIM(A479)&lt;&gt;"",TRIM(A479),IF(BA478="","(geen naam)",BA478)))</f>
        <v/>
      </c>
      <c r="BB479" s="42">
        <f>IF(BA479="","",IF(ISNA(MATCH(BA479,BA$120:BA478,0)),MAX(BB$120:BB478)+1,""))</f>
        <v/>
      </c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/>
      <c r="AI480" s="7" t="n"/>
      <c r="AJ480" s="7" t="n"/>
      <c r="AK480" s="7" t="n"/>
      <c r="AL480" s="7" t="n"/>
      <c r="AM480" s="7" t="n"/>
      <c r="AN480" s="7" t="n"/>
      <c r="AO480" s="7" t="n"/>
      <c r="AP480" s="7" t="n"/>
      <c r="AQ480" s="7" t="n"/>
      <c r="AR480" s="7" t="n"/>
      <c r="AS480" s="7" t="n"/>
      <c r="AT480" s="7" t="n"/>
      <c r="AU480" s="7" t="n"/>
      <c r="AV480" s="7" t="n"/>
      <c r="AW480" s="7" t="n"/>
      <c r="AX480" s="7" t="n"/>
      <c r="AY480" s="7" t="n"/>
      <c r="BA480" s="42">
        <f>IF(COUNT(B480:AY480)=0,"",IF(TRIM(A480)&lt;&gt;"",TRIM(A480),IF(BA479="","(geen naam)",BA479)))</f>
        <v/>
      </c>
      <c r="BB480" s="42">
        <f>IF(BA480="","",IF(ISNA(MATCH(BA480,BA$120:BA479,0)),MAX(BB$120:BB479)+1,""))</f>
        <v/>
      </c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/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7" t="n"/>
      <c r="AS481" s="7" t="n"/>
      <c r="AT481" s="7" t="n"/>
      <c r="AU481" s="7" t="n"/>
      <c r="AV481" s="7" t="n"/>
      <c r="AW481" s="7" t="n"/>
      <c r="AX481" s="7" t="n"/>
      <c r="AY481" s="7" t="n"/>
      <c r="BA481" s="42">
        <f>IF(COUNT(B481:AY481)=0,"",IF(TRIM(A481)&lt;&gt;"",TRIM(A481),IF(BA480="","(geen naam)",BA480)))</f>
        <v/>
      </c>
      <c r="BB481" s="42">
        <f>IF(BA481="","",IF(ISNA(MATCH(BA481,BA$120:BA480,0)),MAX(BB$120:BB480)+1,""))</f>
        <v/>
      </c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/>
      <c r="AI482" s="7" t="n"/>
      <c r="AJ482" s="7" t="n"/>
      <c r="AK482" s="7" t="n"/>
      <c r="AL482" s="7" t="n"/>
      <c r="AM482" s="7" t="n"/>
      <c r="AN482" s="7" t="n"/>
      <c r="AO482" s="7" t="n"/>
      <c r="AP482" s="7" t="n"/>
      <c r="AQ482" s="7" t="n"/>
      <c r="AR482" s="7" t="n"/>
      <c r="AS482" s="7" t="n"/>
      <c r="AT482" s="7" t="n"/>
      <c r="AU482" s="7" t="n"/>
      <c r="AV482" s="7" t="n"/>
      <c r="AW482" s="7" t="n"/>
      <c r="AX482" s="7" t="n"/>
      <c r="AY482" s="7" t="n"/>
      <c r="BA482" s="42">
        <f>IF(COUNT(B482:AY482)=0,"",IF(TRIM(A482)&lt;&gt;"",TRIM(A482),IF(BA481="","(geen naam)",BA481)))</f>
        <v/>
      </c>
      <c r="BB482" s="42">
        <f>IF(BA482="","",IF(ISNA(MATCH(BA482,BA$120:BA481,0)),MAX(BB$120:BB481)+1,""))</f>
        <v/>
      </c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/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7" t="n"/>
      <c r="AS483" s="7" t="n"/>
      <c r="AT483" s="7" t="n"/>
      <c r="AU483" s="7" t="n"/>
      <c r="AV483" s="7" t="n"/>
      <c r="AW483" s="7" t="n"/>
      <c r="AX483" s="7" t="n"/>
      <c r="AY483" s="7" t="n"/>
      <c r="BA483" s="42">
        <f>IF(COUNT(B483:AY483)=0,"",IF(TRIM(A483)&lt;&gt;"",TRIM(A483),IF(BA482="","(geen naam)",BA482)))</f>
        <v/>
      </c>
      <c r="BB483" s="42">
        <f>IF(BA483="","",IF(ISNA(MATCH(BA483,BA$120:BA482,0)),MAX(BB$120:BB482)+1,""))</f>
        <v/>
      </c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/>
      <c r="AM484" s="7" t="n"/>
      <c r="AN484" s="7" t="n"/>
      <c r="AO484" s="7" t="n"/>
      <c r="AP484" s="7" t="n"/>
      <c r="AQ484" s="7" t="n"/>
      <c r="AR484" s="7" t="n"/>
      <c r="AS484" s="7" t="n"/>
      <c r="AT484" s="7" t="n"/>
      <c r="AU484" s="7" t="n"/>
      <c r="AV484" s="7" t="n"/>
      <c r="AW484" s="7" t="n"/>
      <c r="AX484" s="7" t="n"/>
      <c r="AY484" s="7" t="n"/>
      <c r="BA484" s="42">
        <f>IF(COUNT(B484:AY484)=0,"",IF(TRIM(A484)&lt;&gt;"",TRIM(A484),IF(BA483="","(geen naam)",BA483)))</f>
        <v/>
      </c>
      <c r="BB484" s="42">
        <f>IF(BA484="","",IF(ISNA(MATCH(BA484,BA$120:BA483,0)),MAX(BB$120:BB483)+1,""))</f>
        <v/>
      </c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/>
      <c r="AN485" s="7" t="n"/>
      <c r="AO485" s="7" t="n"/>
      <c r="AP485" s="7" t="n"/>
      <c r="AQ485" s="7" t="n"/>
      <c r="AR485" s="7" t="n"/>
      <c r="AS485" s="7" t="n"/>
      <c r="AT485" s="7" t="n"/>
      <c r="AU485" s="7" t="n"/>
      <c r="AV485" s="7" t="n"/>
      <c r="AW485" s="7" t="n"/>
      <c r="AX485" s="7" t="n"/>
      <c r="AY485" s="7" t="n"/>
      <c r="BA485" s="42">
        <f>IF(COUNT(B485:AY485)=0,"",IF(TRIM(A485)&lt;&gt;"",TRIM(A485),IF(BA484="","(geen naam)",BA484)))</f>
        <v/>
      </c>
      <c r="BB485" s="42">
        <f>IF(BA485="","",IF(ISNA(MATCH(BA485,BA$120:BA484,0)),MAX(BB$120:BB484)+1,""))</f>
        <v/>
      </c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/>
      <c r="AO486" s="7" t="n"/>
      <c r="AP486" s="7" t="n"/>
      <c r="AQ486" s="7" t="n"/>
      <c r="AR486" s="7" t="n"/>
      <c r="AS486" s="7" t="n"/>
      <c r="AT486" s="7" t="n"/>
      <c r="AU486" s="7" t="n"/>
      <c r="AV486" s="7" t="n"/>
      <c r="AW486" s="7" t="n"/>
      <c r="AX486" s="7" t="n"/>
      <c r="AY486" s="7" t="n"/>
      <c r="BA486" s="42">
        <f>IF(COUNT(B486:AY486)=0,"",IF(TRIM(A486)&lt;&gt;"",TRIM(A486),IF(BA485="","(geen naam)",BA485)))</f>
        <v/>
      </c>
      <c r="BB486" s="42">
        <f>IF(BA486="","",IF(ISNA(MATCH(BA486,BA$120:BA485,0)),MAX(BB$120:BB485)+1,""))</f>
        <v/>
      </c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/>
      <c r="AO487" s="7" t="n"/>
      <c r="AP487" s="7" t="n"/>
      <c r="AQ487" s="7" t="n"/>
      <c r="AR487" s="7" t="n"/>
      <c r="AS487" s="7" t="n"/>
      <c r="AT487" s="7" t="n"/>
      <c r="AU487" s="7" t="n"/>
      <c r="AV487" s="7" t="n"/>
      <c r="AW487" s="7" t="n"/>
      <c r="AX487" s="7" t="n"/>
      <c r="AY487" s="7" t="n"/>
      <c r="BA487" s="42">
        <f>IF(COUNT(B487:AY487)=0,"",IF(TRIM(A487)&lt;&gt;"",TRIM(A487),IF(BA486="","(geen naam)",BA486)))</f>
        <v/>
      </c>
      <c r="BB487" s="42">
        <f>IF(BA487="","",IF(ISNA(MATCH(BA487,BA$120:BA486,0)),MAX(BB$120:BB486)+1,""))</f>
        <v/>
      </c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/>
      <c r="AO488" s="7" t="n"/>
      <c r="AP488" s="7" t="n"/>
      <c r="AQ488" s="7" t="n"/>
      <c r="AR488" s="7" t="n"/>
      <c r="AS488" s="7" t="n"/>
      <c r="AT488" s="7" t="n"/>
      <c r="AU488" s="7" t="n"/>
      <c r="AV488" s="7" t="n"/>
      <c r="AW488" s="7" t="n"/>
      <c r="AX488" s="7" t="n"/>
      <c r="AY488" s="7" t="n"/>
      <c r="BA488" s="42">
        <f>IF(COUNT(B488:AY488)=0,"",IF(TRIM(A488)&lt;&gt;"",TRIM(A488),IF(BA487="","(geen naam)",BA487)))</f>
        <v/>
      </c>
      <c r="BB488" s="42">
        <f>IF(BA488="","",IF(ISNA(MATCH(BA488,BA$120:BA487,0)),MAX(BB$120:BB487)+1,""))</f>
        <v/>
      </c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/>
      <c r="AP489" s="7" t="n"/>
      <c r="AQ489" s="7" t="n"/>
      <c r="AR489" s="7" t="n"/>
      <c r="AS489" s="7" t="n"/>
      <c r="AT489" s="7" t="n"/>
      <c r="AU489" s="7" t="n"/>
      <c r="AV489" s="7" t="n"/>
      <c r="AW489" s="7" t="n"/>
      <c r="AX489" s="7" t="n"/>
      <c r="AY489" s="7" t="n"/>
      <c r="BA489" s="42">
        <f>IF(COUNT(B489:AY489)=0,"",IF(TRIM(A489)&lt;&gt;"",TRIM(A489),IF(BA488="","(geen naam)",BA488)))</f>
        <v/>
      </c>
      <c r="BB489" s="42">
        <f>IF(BA489="","",IF(ISNA(MATCH(BA489,BA$120:BA488,0)),MAX(BB$120:BB488)+1,""))</f>
        <v/>
      </c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/>
      <c r="AP490" s="7" t="n"/>
      <c r="AQ490" s="7" t="n"/>
      <c r="AR490" s="7" t="n"/>
      <c r="AS490" s="7" t="n"/>
      <c r="AT490" s="7" t="n"/>
      <c r="AU490" s="7" t="n"/>
      <c r="AV490" s="7" t="n"/>
      <c r="AW490" s="7" t="n"/>
      <c r="AX490" s="7" t="n"/>
      <c r="AY490" s="7" t="n"/>
      <c r="BA490" s="42">
        <f>IF(COUNT(B490:AY490)=0,"",IF(TRIM(A490)&lt;&gt;"",TRIM(A490),IF(BA489="","(geen naam)",BA489)))</f>
        <v/>
      </c>
      <c r="BB490" s="42">
        <f>IF(BA490="","",IF(ISNA(MATCH(BA490,BA$120:BA489,0)),MAX(BB$120:BB489)+1,""))</f>
        <v/>
      </c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/>
      <c r="AK491" s="7" t="n"/>
      <c r="AL491" s="7" t="n"/>
      <c r="AM491" s="7" t="n"/>
      <c r="AN491" s="7" t="n"/>
      <c r="AO491" s="7" t="n"/>
      <c r="AP491" s="7" t="n"/>
      <c r="AQ491" s="7" t="n"/>
      <c r="AR491" s="7" t="n"/>
      <c r="AS491" s="7" t="n"/>
      <c r="AT491" s="7" t="n"/>
      <c r="AU491" s="7" t="n"/>
      <c r="AV491" s="7" t="n"/>
      <c r="AW491" s="7" t="n"/>
      <c r="AX491" s="7" t="n"/>
      <c r="AY491" s="7" t="n"/>
      <c r="BA491" s="42">
        <f>IF(COUNT(B491:AY491)=0,"",IF(TRIM(A491)&lt;&gt;"",TRIM(A491),IF(BA490="","(geen naam)",BA490)))</f>
        <v/>
      </c>
      <c r="BB491" s="42">
        <f>IF(BA491="","",IF(ISNA(MATCH(BA491,BA$120:BA490,0)),MAX(BB$120:BB490)+1,""))</f>
        <v/>
      </c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/>
      <c r="AN492" s="7" t="n"/>
      <c r="AO492" s="7" t="n"/>
      <c r="AP492" s="7" t="n"/>
      <c r="AQ492" s="7" t="n"/>
      <c r="AR492" s="7" t="n"/>
      <c r="AS492" s="7" t="n"/>
      <c r="AT492" s="7" t="n"/>
      <c r="AU492" s="7" t="n"/>
      <c r="AV492" s="7" t="n"/>
      <c r="AW492" s="7" t="n"/>
      <c r="AX492" s="7" t="n"/>
      <c r="AY492" s="7" t="n"/>
      <c r="BA492" s="42">
        <f>IF(COUNT(B492:AY492)=0,"",IF(TRIM(A492)&lt;&gt;"",TRIM(A492),IF(BA491="","(geen naam)",BA491)))</f>
        <v/>
      </c>
      <c r="BB492" s="42">
        <f>IF(BA492="","",IF(ISNA(MATCH(BA492,BA$120:BA491,0)),MAX(BB$120:BB491)+1,""))</f>
        <v/>
      </c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7" t="n"/>
      <c r="AS493" s="7" t="n"/>
      <c r="AT493" s="7" t="n"/>
      <c r="AU493" s="7" t="n"/>
      <c r="AV493" s="7" t="n"/>
      <c r="AW493" s="7" t="n"/>
      <c r="AX493" s="7" t="n"/>
      <c r="AY493" s="7" t="n"/>
      <c r="BA493" s="42">
        <f>IF(COUNT(B493:AY493)=0,"",IF(TRIM(A493)&lt;&gt;"",TRIM(A493),IF(BA492="","(geen naam)",BA492)))</f>
        <v/>
      </c>
      <c r="BB493" s="42">
        <f>IF(BA493="","",IF(ISNA(MATCH(BA493,BA$120:BA492,0)),MAX(BB$120:BB492)+1,""))</f>
        <v/>
      </c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  <c r="AQ494" s="7" t="n"/>
      <c r="AR494" s="7" t="n"/>
      <c r="AS494" s="7" t="n"/>
      <c r="AT494" s="7" t="n"/>
      <c r="AU494" s="7" t="n"/>
      <c r="AV494" s="7" t="n"/>
      <c r="AW494" s="7" t="n"/>
      <c r="AX494" s="7" t="n"/>
      <c r="AY494" s="7" t="n"/>
      <c r="BA494" s="42">
        <f>IF(COUNT(B494:AY494)=0,"",IF(TRIM(A494)&lt;&gt;"",TRIM(A494),IF(BA493="","(geen naam)",BA493)))</f>
        <v/>
      </c>
      <c r="BB494" s="42">
        <f>IF(BA494="","",IF(ISNA(MATCH(BA494,BA$120:BA493,0)),MAX(BB$120:BB493)+1,""))</f>
        <v/>
      </c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/>
      <c r="AM495" s="7" t="n"/>
      <c r="AN495" s="7" t="n"/>
      <c r="AO495" s="7" t="n"/>
      <c r="AP495" s="7" t="n"/>
      <c r="AQ495" s="7" t="n"/>
      <c r="AR495" s="7" t="n"/>
      <c r="AS495" s="7" t="n"/>
      <c r="AT495" s="7" t="n"/>
      <c r="AU495" s="7" t="n"/>
      <c r="AV495" s="7" t="n"/>
      <c r="AW495" s="7" t="n"/>
      <c r="AX495" s="7" t="n"/>
      <c r="AY495" s="7" t="n"/>
      <c r="BA495" s="42">
        <f>IF(COUNT(B495:AY495)=0,"",IF(TRIM(A495)&lt;&gt;"",TRIM(A495),IF(BA494="","(geen naam)",BA494)))</f>
        <v/>
      </c>
      <c r="BB495" s="42">
        <f>IF(BA495="","",IF(ISNA(MATCH(BA495,BA$120:BA494,0)),MAX(BB$120:BB494)+1,""))</f>
        <v/>
      </c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/>
      <c r="AJ496" s="7" t="n"/>
      <c r="AK496" s="7" t="n"/>
      <c r="AL496" s="7" t="n"/>
      <c r="AM496" s="7" t="n"/>
      <c r="AN496" s="7" t="n"/>
      <c r="AO496" s="7" t="n"/>
      <c r="AP496" s="7" t="n"/>
      <c r="AQ496" s="7" t="n"/>
      <c r="AR496" s="7" t="n"/>
      <c r="AS496" s="7" t="n"/>
      <c r="AT496" s="7" t="n"/>
      <c r="AU496" s="7" t="n"/>
      <c r="AV496" s="7" t="n"/>
      <c r="AW496" s="7" t="n"/>
      <c r="AX496" s="7" t="n"/>
      <c r="AY496" s="7" t="n"/>
      <c r="BA496" s="42">
        <f>IF(COUNT(B496:AY496)=0,"",IF(TRIM(A496)&lt;&gt;"",TRIM(A496),IF(BA495="","(geen naam)",BA495)))</f>
        <v/>
      </c>
      <c r="BB496" s="42">
        <f>IF(BA496="","",IF(ISNA(MATCH(BA496,BA$120:BA495,0)),MAX(BB$120:BB495)+1,""))</f>
        <v/>
      </c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  <c r="AC497" s="7" t="n"/>
      <c r="AD497" s="7" t="n"/>
      <c r="AE497" s="7" t="n"/>
      <c r="AF497" s="7" t="n"/>
      <c r="AG497" s="7" t="n"/>
      <c r="AH497" s="7" t="n"/>
      <c r="AI497" s="7" t="n"/>
      <c r="AJ497" s="7" t="n"/>
      <c r="AK497" s="7" t="n"/>
      <c r="AL497" s="7" t="n"/>
      <c r="AM497" s="7" t="n"/>
      <c r="AN497" s="7" t="n"/>
      <c r="AO497" s="7" t="n"/>
      <c r="AP497" s="7" t="n"/>
      <c r="AQ497" s="7" t="n"/>
      <c r="AR497" s="7" t="n"/>
      <c r="AS497" s="7" t="n"/>
      <c r="AT497" s="7" t="n"/>
      <c r="AU497" s="7" t="n"/>
      <c r="AV497" s="7" t="n"/>
      <c r="AW497" s="7" t="n"/>
      <c r="AX497" s="7" t="n"/>
      <c r="AY497" s="7" t="n"/>
      <c r="BA497" s="42">
        <f>IF(COUNT(B497:AY497)=0,"",IF(TRIM(A497)&lt;&gt;"",TRIM(A497),IF(BA496="","(geen naam)",BA496)))</f>
        <v/>
      </c>
      <c r="BB497" s="42">
        <f>IF(BA497="","",IF(ISNA(MATCH(BA497,BA$120:BA496,0)),MAX(BB$120:BB496)+1,""))</f>
        <v/>
      </c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  <c r="AC498" s="7" t="n"/>
      <c r="AD498" s="7" t="n"/>
      <c r="AE498" s="7" t="n"/>
      <c r="AF498" s="7" t="n"/>
      <c r="AG498" s="7" t="n"/>
      <c r="AH498" s="7" t="n"/>
      <c r="AI498" s="7" t="n"/>
      <c r="AJ498" s="7" t="n"/>
      <c r="AK498" s="7" t="n"/>
      <c r="AL498" s="7" t="n"/>
      <c r="AM498" s="7" t="n"/>
      <c r="AN498" s="7" t="n"/>
      <c r="AO498" s="7" t="n"/>
      <c r="AP498" s="7" t="n"/>
      <c r="AQ498" s="7" t="n"/>
      <c r="AR498" s="7" t="n"/>
      <c r="AS498" s="7" t="n"/>
      <c r="AT498" s="7" t="n"/>
      <c r="AU498" s="7" t="n"/>
      <c r="AV498" s="7" t="n"/>
      <c r="AW498" s="7" t="n"/>
      <c r="AX498" s="7" t="n"/>
      <c r="AY498" s="7" t="n"/>
      <c r="BA498" s="42">
        <f>IF(COUNT(B498:AY498)=0,"",IF(TRIM(A498)&lt;&gt;"",TRIM(A498),IF(BA497="","(geen naam)",BA497)))</f>
        <v/>
      </c>
      <c r="BB498" s="42">
        <f>IF(BA498="","",IF(ISNA(MATCH(BA498,BA$120:BA497,0)),MAX(BB$120:BB497)+1,""))</f>
        <v/>
      </c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  <c r="AC499" s="7" t="n"/>
      <c r="AD499" s="7" t="n"/>
      <c r="AE499" s="7" t="n"/>
      <c r="AF499" s="7" t="n"/>
      <c r="AG499" s="7" t="n"/>
      <c r="AH499" s="7" t="n"/>
      <c r="AI499" s="7" t="n"/>
      <c r="AJ499" s="7" t="n"/>
      <c r="AK499" s="7" t="n"/>
      <c r="AL499" s="7" t="n"/>
      <c r="AM499" s="7" t="n"/>
      <c r="AN499" s="7" t="n"/>
      <c r="AO499" s="7" t="n"/>
      <c r="AP499" s="7" t="n"/>
      <c r="AQ499" s="7" t="n"/>
      <c r="AR499" s="7" t="n"/>
      <c r="AS499" s="7" t="n"/>
      <c r="AT499" s="7" t="n"/>
      <c r="AU499" s="7" t="n"/>
      <c r="AV499" s="7" t="n"/>
      <c r="AW499" s="7" t="n"/>
      <c r="AX499" s="7" t="n"/>
      <c r="AY499" s="7" t="n"/>
      <c r="BA499" s="42">
        <f>IF(COUNT(B499:AY499)=0,"",IF(TRIM(A499)&lt;&gt;"",TRIM(A499),IF(BA498="","(geen naam)",BA498)))</f>
        <v/>
      </c>
      <c r="BB499" s="42">
        <f>IF(BA499="","",IF(ISNA(MATCH(BA499,BA$120:BA498,0)),MAX(BB$120:BB498)+1,""))</f>
        <v/>
      </c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  <c r="AC500" s="7" t="n"/>
      <c r="AD500" s="7" t="n"/>
      <c r="AE500" s="7" t="n"/>
      <c r="AF500" s="7" t="n"/>
      <c r="AG500" s="7" t="n"/>
      <c r="AH500" s="7" t="n"/>
      <c r="AI500" s="7" t="n"/>
      <c r="AJ500" s="7" t="n"/>
      <c r="AK500" s="7" t="n"/>
      <c r="AL500" s="7" t="n"/>
      <c r="AM500" s="7" t="n"/>
      <c r="AN500" s="7" t="n"/>
      <c r="AO500" s="7" t="n"/>
      <c r="AP500" s="7" t="n"/>
      <c r="AQ500" s="7" t="n"/>
      <c r="AR500" s="7" t="n"/>
      <c r="AS500" s="7" t="n"/>
      <c r="AT500" s="7" t="n"/>
      <c r="AU500" s="7" t="n"/>
      <c r="AV500" s="7" t="n"/>
      <c r="AW500" s="7" t="n"/>
      <c r="AX500" s="7" t="n"/>
      <c r="AY500" s="7" t="n"/>
      <c r="BA500" s="42">
        <f>IF(COUNT(B500:AY500)=0,"",IF(TRIM(A500)&lt;&gt;"",TRIM(A500),IF(BA499="","(geen naam)",BA499)))</f>
        <v/>
      </c>
      <c r="BB500" s="42">
        <f>IF(BA500="","",IF(ISNA(MATCH(BA500,BA$120:BA499,0)),MAX(BB$120:BB499)+1,""))</f>
        <v/>
      </c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  <c r="AC501" s="7" t="n"/>
      <c r="AD501" s="7" t="n"/>
      <c r="AE501" s="7" t="n"/>
      <c r="AF501" s="7" t="n"/>
      <c r="AG501" s="7" t="n"/>
      <c r="AH501" s="7" t="n"/>
      <c r="AI501" s="7" t="n"/>
      <c r="AJ501" s="7" t="n"/>
      <c r="AK501" s="7" t="n"/>
      <c r="AL501" s="7" t="n"/>
      <c r="AM501" s="7" t="n"/>
      <c r="AN501" s="7" t="n"/>
      <c r="AO501" s="7" t="n"/>
      <c r="AP501" s="7" t="n"/>
      <c r="AQ501" s="7" t="n"/>
      <c r="AR501" s="7" t="n"/>
      <c r="AS501" s="7" t="n"/>
      <c r="AT501" s="7" t="n"/>
      <c r="AU501" s="7" t="n"/>
      <c r="AV501" s="7" t="n"/>
      <c r="AW501" s="7" t="n"/>
      <c r="AX501" s="7" t="n"/>
      <c r="AY501" s="7" t="n"/>
      <c r="BA501" s="42">
        <f>IF(COUNT(B501:AY501)=0,"",IF(TRIM(A501)&lt;&gt;"",TRIM(A501),IF(BA500="","(geen naam)",BA500)))</f>
        <v/>
      </c>
      <c r="BB501" s="42">
        <f>IF(BA501="","",IF(ISNA(MATCH(BA501,BA$120:BA500,0)),MAX(BB$120:BB500)+1,""))</f>
        <v/>
      </c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  <c r="AC502" s="7" t="n"/>
      <c r="AD502" s="7" t="n"/>
      <c r="AE502" s="7" t="n"/>
      <c r="AF502" s="7" t="n"/>
      <c r="AG502" s="7" t="n"/>
      <c r="AH502" s="7" t="n"/>
      <c r="AI502" s="7" t="n"/>
      <c r="AJ502" s="7" t="n"/>
      <c r="AK502" s="7" t="n"/>
      <c r="AL502" s="7" t="n"/>
      <c r="AM502" s="7" t="n"/>
      <c r="AN502" s="7" t="n"/>
      <c r="AO502" s="7" t="n"/>
      <c r="AP502" s="7" t="n"/>
      <c r="AQ502" s="7" t="n"/>
      <c r="AR502" s="7" t="n"/>
      <c r="AS502" s="7" t="n"/>
      <c r="AT502" s="7" t="n"/>
      <c r="AU502" s="7" t="n"/>
      <c r="AV502" s="7" t="n"/>
      <c r="AW502" s="7" t="n"/>
      <c r="AX502" s="7" t="n"/>
      <c r="AY502" s="7" t="n"/>
      <c r="BA502" s="42">
        <f>IF(COUNT(B502:AY502)=0,"",IF(TRIM(A502)&lt;&gt;"",TRIM(A502),IF(BA501="","(geen naam)",BA501)))</f>
        <v/>
      </c>
      <c r="BB502" s="42">
        <f>IF(BA502="","",IF(ISNA(MATCH(BA502,BA$120:BA501,0)),MAX(BB$120:BB501)+1,""))</f>
        <v/>
      </c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BA503" s="42">
        <f>IF(COUNT(B503:AY503)=0,"",IF(TRIM(A503)&lt;&gt;"",TRIM(A503),IF(BA502="","(geen naam)",BA502)))</f>
        <v/>
      </c>
      <c r="BB503" s="42">
        <f>IF(BA503="","",IF(ISNA(MATCH(BA503,BA$120:BA502,0)),MAX(BB$120:BB502)+1,""))</f>
        <v/>
      </c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BA504" s="42">
        <f>IF(COUNT(B504:AY504)=0,"",IF(TRIM(A504)&lt;&gt;"",TRIM(A504),IF(BA503="","(geen naam)",BA503)))</f>
        <v/>
      </c>
      <c r="BB504" s="42">
        <f>IF(BA504="","",IF(ISNA(MATCH(BA504,BA$120:BA503,0)),MAX(BB$120:BB503)+1,""))</f>
        <v/>
      </c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BA505" s="42">
        <f>IF(COUNT(B505:AY505)=0,"",IF(TRIM(A505)&lt;&gt;"",TRIM(A505),IF(BA504="","(geen naam)",BA504)))</f>
        <v/>
      </c>
      <c r="BB505" s="42">
        <f>IF(BA505="","",IF(ISNA(MATCH(BA505,BA$120:BA504,0)),MAX(BB$120:BB504)+1,""))</f>
        <v/>
      </c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BA506" s="42">
        <f>IF(COUNT(B506:AY506)=0,"",IF(TRIM(A506)&lt;&gt;"",TRIM(A506),IF(BA505="","(geen naam)",BA505)))</f>
        <v/>
      </c>
      <c r="BB506" s="42">
        <f>IF(BA506="","",IF(ISNA(MATCH(BA506,BA$120:BA505,0)),MAX(BB$120:BB505)+1,""))</f>
        <v/>
      </c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/>
      <c r="AW507" s="7" t="n"/>
      <c r="AX507" s="7" t="n"/>
      <c r="AY507" s="7" t="n"/>
      <c r="BA507" s="42">
        <f>IF(COUNT(B507:AY507)=0,"",IF(TRIM(A507)&lt;&gt;"",TRIM(A507),IF(BA506="","(geen naam)",BA506)))</f>
        <v/>
      </c>
      <c r="BB507" s="42">
        <f>IF(BA507="","",IF(ISNA(MATCH(BA507,BA$120:BA506,0)),MAX(BB$120:BB506)+1,""))</f>
        <v/>
      </c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/>
      <c r="AW508" s="7" t="n"/>
      <c r="AX508" s="7" t="n"/>
      <c r="AY508" s="7" t="n"/>
      <c r="BA508" s="42">
        <f>IF(COUNT(B508:AY508)=0,"",IF(TRIM(A508)&lt;&gt;"",TRIM(A508),IF(BA507="","(geen naam)",BA507)))</f>
        <v/>
      </c>
      <c r="BB508" s="42">
        <f>IF(BA508="","",IF(ISNA(MATCH(BA508,BA$120:BA507,0)),MAX(BB$120:BB507)+1,""))</f>
        <v/>
      </c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/>
      <c r="AW509" s="7" t="n"/>
      <c r="AX509" s="7" t="n"/>
      <c r="AY509" s="7" t="n"/>
      <c r="BA509" s="42">
        <f>IF(COUNT(B509:AY509)=0,"",IF(TRIM(A509)&lt;&gt;"",TRIM(A509),IF(BA508="","(geen naam)",BA508)))</f>
        <v/>
      </c>
      <c r="BB509" s="42">
        <f>IF(BA509="","",IF(ISNA(MATCH(BA509,BA$120:BA508,0)),MAX(BB$120:BB508)+1,""))</f>
        <v/>
      </c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/>
      <c r="AX510" s="7" t="n"/>
      <c r="AY510" s="7" t="n"/>
      <c r="BA510" s="42">
        <f>IF(COUNT(B510:AY510)=0,"",IF(TRIM(A510)&lt;&gt;"",TRIM(A510),IF(BA509="","(geen naam)",BA509)))</f>
        <v/>
      </c>
      <c r="BB510" s="42">
        <f>IF(BA510="","",IF(ISNA(MATCH(BA510,BA$120:BA509,0)),MAX(BB$120:BB509)+1,""))</f>
        <v/>
      </c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/>
      <c r="AX511" s="7" t="n"/>
      <c r="AY511" s="7" t="n"/>
      <c r="BA511" s="42">
        <f>IF(COUNT(B511:AY511)=0,"",IF(TRIM(A511)&lt;&gt;"",TRIM(A511),IF(BA510="","(geen naam)",BA510)))</f>
        <v/>
      </c>
      <c r="BB511" s="42">
        <f>IF(BA511="","",IF(ISNA(MATCH(BA511,BA$120:BA510,0)),MAX(BB$120:BB510)+1,""))</f>
        <v/>
      </c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/>
      <c r="AX512" s="7" t="n"/>
      <c r="AY512" s="7" t="n"/>
      <c r="BA512" s="42">
        <f>IF(COUNT(B512:AY512)=0,"",IF(TRIM(A512)&lt;&gt;"",TRIM(A512),IF(BA511="","(geen naam)",BA511)))</f>
        <v/>
      </c>
      <c r="BB512" s="42">
        <f>IF(BA512="","",IF(ISNA(MATCH(BA512,BA$120:BA511,0)),MAX(BB$120:BB511)+1,""))</f>
        <v/>
      </c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/>
      <c r="AX513" s="7" t="n"/>
      <c r="AY513" s="7" t="n"/>
      <c r="BA513" s="42">
        <f>IF(COUNT(B513:AY513)=0,"",IF(TRIM(A513)&lt;&gt;"",TRIM(A513),IF(BA512="","(geen naam)",BA512)))</f>
        <v/>
      </c>
      <c r="BB513" s="42">
        <f>IF(BA513="","",IF(ISNA(MATCH(BA513,BA$120:BA512,0)),MAX(BB$120:BB512)+1,""))</f>
        <v/>
      </c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/>
      <c r="AX514" s="7" t="n"/>
      <c r="AY514" s="7" t="n"/>
      <c r="BA514" s="42">
        <f>IF(COUNT(B514:AY514)=0,"",IF(TRIM(A514)&lt;&gt;"",TRIM(A514),IF(BA513="","(geen naam)",BA513)))</f>
        <v/>
      </c>
      <c r="BB514" s="42">
        <f>IF(BA514="","",IF(ISNA(MATCH(BA514,BA$120:BA513,0)),MAX(BB$120:BB513)+1,""))</f>
        <v/>
      </c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/>
      <c r="AX515" s="7" t="n"/>
      <c r="AY515" s="7" t="n"/>
      <c r="BA515" s="42">
        <f>IF(COUNT(B515:AY515)=0,"",IF(TRIM(A515)&lt;&gt;"",TRIM(A515),IF(BA514="","(geen naam)",BA514)))</f>
        <v/>
      </c>
      <c r="BB515" s="42">
        <f>IF(BA515="","",IF(ISNA(MATCH(BA515,BA$120:BA514,0)),MAX(BB$120:BB514)+1,""))</f>
        <v/>
      </c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/>
      <c r="AW516" s="7" t="n"/>
      <c r="AX516" s="7" t="n"/>
      <c r="AY516" s="7" t="n"/>
      <c r="BA516" s="42">
        <f>IF(COUNT(B516:AY516)=0,"",IF(TRIM(A516)&lt;&gt;"",TRIM(A516),IF(BA515="","(geen naam)",BA515)))</f>
        <v/>
      </c>
      <c r="BB516" s="42">
        <f>IF(BA516="","",IF(ISNA(MATCH(BA516,BA$120:BA515,0)),MAX(BB$120:BB515)+1,""))</f>
        <v/>
      </c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/>
      <c r="AX517" s="7" t="n"/>
      <c r="AY517" s="7" t="n"/>
      <c r="BA517" s="42">
        <f>IF(COUNT(B517:AY517)=0,"",IF(TRIM(A517)&lt;&gt;"",TRIM(A517),IF(BA516="","(geen naam)",BA516)))</f>
        <v/>
      </c>
      <c r="BB517" s="42">
        <f>IF(BA517="","",IF(ISNA(MATCH(BA517,BA$120:BA516,0)),MAX(BB$120:BB516)+1,""))</f>
        <v/>
      </c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/>
      <c r="AX518" s="7" t="n"/>
      <c r="AY518" s="7" t="n"/>
      <c r="BA518" s="42">
        <f>IF(COUNT(B518:AY518)=0,"",IF(TRIM(A518)&lt;&gt;"",TRIM(A518),IF(BA517="","(geen naam)",BA517)))</f>
        <v/>
      </c>
      <c r="BB518" s="42">
        <f>IF(BA518="","",IF(ISNA(MATCH(BA518,BA$120:BA517,0)),MAX(BB$120:BB517)+1,""))</f>
        <v/>
      </c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/>
      <c r="AY519" s="7" t="n"/>
      <c r="BA519" s="42">
        <f>IF(COUNT(B519:AY519)=0,"",IF(TRIM(A519)&lt;&gt;"",TRIM(A519),IF(BA518="","(geen naam)",BA518)))</f>
        <v/>
      </c>
      <c r="BB519" s="42">
        <f>IF(BA519="","",IF(ISNA(MATCH(BA519,BA$120:BA518,0)),MAX(BB$120:BB518)+1,""))</f>
        <v/>
      </c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/>
      <c r="AY520" s="7" t="n"/>
      <c r="BA520" s="42">
        <f>IF(COUNT(B520:AY520)=0,"",IF(TRIM(A520)&lt;&gt;"",TRIM(A520),IF(BA519="","(geen naam)",BA519)))</f>
        <v/>
      </c>
      <c r="BB520" s="42">
        <f>IF(BA520="","",IF(ISNA(MATCH(BA520,BA$120:BA519,0)),MAX(BB$120:BB519)+1,""))</f>
        <v/>
      </c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/>
      <c r="AY521" s="7" t="n"/>
      <c r="BA521" s="42">
        <f>IF(COUNT(B521:AY521)=0,"",IF(TRIM(A521)&lt;&gt;"",TRIM(A521),IF(BA520="","(geen naam)",BA520)))</f>
        <v/>
      </c>
      <c r="BB521" s="42">
        <f>IF(BA521="","",IF(ISNA(MATCH(BA521,BA$120:BA520,0)),MAX(BB$120:BB520)+1,""))</f>
        <v/>
      </c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/>
      <c r="AY522" s="7" t="n"/>
      <c r="BA522" s="42">
        <f>IF(COUNT(B522:AY522)=0,"",IF(TRIM(A522)&lt;&gt;"",TRIM(A522),IF(BA521="","(geen naam)",BA521)))</f>
        <v/>
      </c>
      <c r="BB522" s="42">
        <f>IF(BA522="","",IF(ISNA(MATCH(BA522,BA$120:BA521,0)),MAX(BB$120:BB521)+1,""))</f>
        <v/>
      </c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/>
      <c r="AY523" s="7" t="n"/>
      <c r="BA523" s="42">
        <f>IF(COUNT(B523:AY523)=0,"",IF(TRIM(A523)&lt;&gt;"",TRIM(A523),IF(BA522="","(geen naam)",BA522)))</f>
        <v/>
      </c>
      <c r="BB523" s="42">
        <f>IF(BA523="","",IF(ISNA(MATCH(BA523,BA$120:BA522,0)),MAX(BB$120:BB522)+1,""))</f>
        <v/>
      </c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/>
      <c r="AY524" s="7" t="n"/>
      <c r="BA524" s="42">
        <f>IF(COUNT(B524:AY524)=0,"",IF(TRIM(A524)&lt;&gt;"",TRIM(A524),IF(BA523="","(geen naam)",BA523)))</f>
        <v/>
      </c>
      <c r="BB524" s="42">
        <f>IF(BA524="","",IF(ISNA(MATCH(BA524,BA$120:BA523,0)),MAX(BB$120:BB523)+1,""))</f>
        <v/>
      </c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/>
      <c r="AY525" s="7" t="n"/>
      <c r="BA525" s="42">
        <f>IF(COUNT(B525:AY525)=0,"",IF(TRIM(A525)&lt;&gt;"",TRIM(A525),IF(BA524="","(geen naam)",BA524)))</f>
        <v/>
      </c>
      <c r="BB525" s="42">
        <f>IF(BA525="","",IF(ISNA(MATCH(BA525,BA$120:BA524,0)),MAX(BB$120:BB524)+1,""))</f>
        <v/>
      </c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/>
      <c r="AY526" s="7" t="n"/>
      <c r="BA526" s="42">
        <f>IF(COUNT(B526:AY526)=0,"",IF(TRIM(A526)&lt;&gt;"",TRIM(A526),IF(BA525="","(geen naam)",BA525)))</f>
        <v/>
      </c>
      <c r="BB526" s="42">
        <f>IF(BA526="","",IF(ISNA(MATCH(BA526,BA$120:BA525,0)),MAX(BB$120:BB525)+1,""))</f>
        <v/>
      </c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/>
      <c r="AY527" s="7" t="n"/>
      <c r="BA527" s="42">
        <f>IF(COUNT(B527:AY527)=0,"",IF(TRIM(A527)&lt;&gt;"",TRIM(A527),IF(BA526="","(geen naam)",BA526)))</f>
        <v/>
      </c>
      <c r="BB527" s="42">
        <f>IF(BA527="","",IF(ISNA(MATCH(BA527,BA$120:BA526,0)),MAX(BB$120:BB526)+1,""))</f>
        <v/>
      </c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/>
      <c r="AY528" s="7" t="n"/>
      <c r="BA528" s="42">
        <f>IF(COUNT(B528:AY528)=0,"",IF(TRIM(A528)&lt;&gt;"",TRIM(A528),IF(BA527="","(geen naam)",BA527)))</f>
        <v/>
      </c>
      <c r="BB528" s="42">
        <f>IF(BA528="","",IF(ISNA(MATCH(BA528,BA$120:BA527,0)),MAX(BB$120:BB527)+1,""))</f>
        <v/>
      </c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/>
      <c r="AY529" s="7" t="n"/>
      <c r="BA529" s="42">
        <f>IF(COUNT(B529:AY529)=0,"",IF(TRIM(A529)&lt;&gt;"",TRIM(A529),IF(BA528="","(geen naam)",BA528)))</f>
        <v/>
      </c>
      <c r="BB529" s="42">
        <f>IF(BA529="","",IF(ISNA(MATCH(BA529,BA$120:BA528,0)),MAX(BB$120:BB528)+1,""))</f>
        <v/>
      </c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/>
      <c r="AY530" s="7" t="n"/>
      <c r="BA530" s="42">
        <f>IF(COUNT(B530:AY530)=0,"",IF(TRIM(A530)&lt;&gt;"",TRIM(A530),IF(BA529="","(geen naam)",BA529)))</f>
        <v/>
      </c>
      <c r="BB530" s="42">
        <f>IF(BA530="","",IF(ISNA(MATCH(BA530,BA$120:BA529,0)),MAX(BB$120:BB529)+1,""))</f>
        <v/>
      </c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/>
      <c r="AY531" s="7" t="n"/>
      <c r="BA531" s="42">
        <f>IF(COUNT(B531:AY531)=0,"",IF(TRIM(A531)&lt;&gt;"",TRIM(A531),IF(BA530="","(geen naam)",BA530)))</f>
        <v/>
      </c>
      <c r="BB531" s="42">
        <f>IF(BA531="","",IF(ISNA(MATCH(BA531,BA$120:BA530,0)),MAX(BB$120:BB530)+1,""))</f>
        <v/>
      </c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/>
      <c r="AY532" s="7" t="n"/>
      <c r="BA532" s="42">
        <f>IF(COUNT(B532:AY532)=0,"",IF(TRIM(A532)&lt;&gt;"",TRIM(A532),IF(BA531="","(geen naam)",BA531)))</f>
        <v/>
      </c>
      <c r="BB532" s="42">
        <f>IF(BA532="","",IF(ISNA(MATCH(BA532,BA$120:BA531,0)),MAX(BB$120:BB531)+1,""))</f>
        <v/>
      </c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/>
      <c r="AY533" s="7" t="n"/>
      <c r="BA533" s="42">
        <f>IF(COUNT(B533:AY533)=0,"",IF(TRIM(A533)&lt;&gt;"",TRIM(A533),IF(BA532="","(geen naam)",BA532)))</f>
        <v/>
      </c>
      <c r="BB533" s="42">
        <f>IF(BA533="","",IF(ISNA(MATCH(BA533,BA$120:BA532,0)),MAX(BB$120:BB532)+1,""))</f>
        <v/>
      </c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/>
      <c r="AY534" s="7" t="n"/>
      <c r="BA534" s="42">
        <f>IF(COUNT(B534:AY534)=0,"",IF(TRIM(A534)&lt;&gt;"",TRIM(A534),IF(BA533="","(geen naam)",BA533)))</f>
        <v/>
      </c>
      <c r="BB534" s="42">
        <f>IF(BA534="","",IF(ISNA(MATCH(BA534,BA$120:BA533,0)),MAX(BB$120:BB533)+1,""))</f>
        <v/>
      </c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/>
      <c r="AY535" s="7" t="n"/>
      <c r="BA535" s="42">
        <f>IF(COUNT(B535:AY535)=0,"",IF(TRIM(A535)&lt;&gt;"",TRIM(A535),IF(BA534="","(geen naam)",BA534)))</f>
        <v/>
      </c>
      <c r="BB535" s="42">
        <f>IF(BA535="","",IF(ISNA(MATCH(BA535,BA$120:BA534,0)),MAX(BB$120:BB534)+1,""))</f>
        <v/>
      </c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7" t="n"/>
      <c r="AI536" s="7" t="n"/>
      <c r="AJ536" s="7" t="n"/>
      <c r="AK536" s="7" t="n"/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BA536" s="42">
        <f>IF(COUNT(B536:AY536)=0,"",IF(TRIM(A536)&lt;&gt;"",TRIM(A536),IF(BA535="","(geen naam)",BA535)))</f>
        <v/>
      </c>
      <c r="BB536" s="42">
        <f>IF(BA536="","",IF(ISNA(MATCH(BA536,BA$120:BA535,0)),MAX(BB$120:BB535)+1,""))</f>
        <v/>
      </c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BA537" s="42">
        <f>IF(COUNT(B537:AY537)=0,"",IF(TRIM(A537)&lt;&gt;"",TRIM(A537),IF(BA536="","(geen naam)",BA536)))</f>
        <v/>
      </c>
      <c r="BB537" s="42">
        <f>IF(BA537="","",IF(ISNA(MATCH(BA537,BA$120:BA536,0)),MAX(BB$120:BB536)+1,""))</f>
        <v/>
      </c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  <c r="AF538" s="7" t="n"/>
      <c r="AG538" s="7" t="n"/>
      <c r="AH538" s="7" t="n"/>
      <c r="AI538" s="7" t="n"/>
      <c r="AJ538" s="7" t="n"/>
      <c r="AK538" s="7" t="n"/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BA538" s="42">
        <f>IF(COUNT(B538:AY538)=0,"",IF(TRIM(A538)&lt;&gt;"",TRIM(A538),IF(BA537="","(geen naam)",BA537)))</f>
        <v/>
      </c>
      <c r="BB538" s="42">
        <f>IF(BA538="","",IF(ISNA(MATCH(BA538,BA$120:BA537,0)),MAX(BB$120:BB537)+1,""))</f>
        <v/>
      </c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BA539" s="42">
        <f>IF(COUNT(B539:AY539)=0,"",IF(TRIM(A539)&lt;&gt;"",TRIM(A539),IF(BA538="","(geen naam)",BA538)))</f>
        <v/>
      </c>
      <c r="BB539" s="42">
        <f>IF(BA539="","",IF(ISNA(MATCH(BA539,BA$120:BA538,0)),MAX(BB$120:BB538)+1,""))</f>
        <v/>
      </c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BA540" s="42">
        <f>IF(COUNT(B540:AY540)=0,"",IF(TRIM(A540)&lt;&gt;"",TRIM(A540),IF(BA539="","(geen naam)",BA539)))</f>
        <v/>
      </c>
      <c r="BB540" s="42">
        <f>IF(BA540="","",IF(ISNA(MATCH(BA540,BA$120:BA539,0)),MAX(BB$120:BB539)+1,""))</f>
        <v/>
      </c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BA541" s="42">
        <f>IF(COUNT(B541:AY541)=0,"",IF(TRIM(A541)&lt;&gt;"",TRIM(A541),IF(BA540="","(geen naam)",BA540)))</f>
        <v/>
      </c>
      <c r="BB541" s="42">
        <f>IF(BA541="","",IF(ISNA(MATCH(BA541,BA$120:BA540,0)),MAX(BB$120:BB540)+1,""))</f>
        <v/>
      </c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BA542" s="42">
        <f>IF(COUNT(B542:AY542)=0,"",IF(TRIM(A542)&lt;&gt;"",TRIM(A542),IF(BA541="","(geen naam)",BA541)))</f>
        <v/>
      </c>
      <c r="BB542" s="42">
        <f>IF(BA542="","",IF(ISNA(MATCH(BA542,BA$120:BA541,0)),MAX(BB$120:BB541)+1,""))</f>
        <v/>
      </c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BA543" s="42">
        <f>IF(COUNT(B543:AY543)=0,"",IF(TRIM(A543)&lt;&gt;"",TRIM(A543),IF(BA542="","(geen naam)",BA542)))</f>
        <v/>
      </c>
      <c r="BB543" s="42">
        <f>IF(BA543="","",IF(ISNA(MATCH(BA543,BA$120:BA542,0)),MAX(BB$120:BB542)+1,""))</f>
        <v/>
      </c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BA544" s="42">
        <f>IF(COUNT(B544:AY544)=0,"",IF(TRIM(A544)&lt;&gt;"",TRIM(A544),IF(BA543="","(geen naam)",BA543)))</f>
        <v/>
      </c>
      <c r="BB544" s="42">
        <f>IF(BA544="","",IF(ISNA(MATCH(BA544,BA$120:BA543,0)),MAX(BB$120:BB543)+1,""))</f>
        <v/>
      </c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BA545" s="42">
        <f>IF(COUNT(B545:AY545)=0,"",IF(TRIM(A545)&lt;&gt;"",TRIM(A545),IF(BA544="","(geen naam)",BA544)))</f>
        <v/>
      </c>
      <c r="BB545" s="42">
        <f>IF(BA545="","",IF(ISNA(MATCH(BA545,BA$120:BA544,0)),MAX(BB$120:BB544)+1,""))</f>
        <v/>
      </c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  <c r="AC546" s="7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BA546" s="42">
        <f>IF(COUNT(B546:AY546)=0,"",IF(TRIM(A546)&lt;&gt;"",TRIM(A546),IF(BA545="","(geen naam)",BA545)))</f>
        <v/>
      </c>
      <c r="BB546" s="42">
        <f>IF(BA546="","",IF(ISNA(MATCH(BA546,BA$120:BA545,0)),MAX(BB$120:BB545)+1,""))</f>
        <v/>
      </c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BA547" s="42">
        <f>IF(COUNT(B547:AY547)=0,"",IF(TRIM(A547)&lt;&gt;"",TRIM(A547),IF(BA546="","(geen naam)",BA546)))</f>
        <v/>
      </c>
      <c r="BB547" s="42">
        <f>IF(BA547="","",IF(ISNA(MATCH(BA547,BA$120:BA546,0)),MAX(BB$120:BB546)+1,""))</f>
        <v/>
      </c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BA548" s="42">
        <f>IF(COUNT(B548:AY548)=0,"",IF(TRIM(A548)&lt;&gt;"",TRIM(A548),IF(BA547="","(geen naam)",BA547)))</f>
        <v/>
      </c>
      <c r="BB548" s="42">
        <f>IF(BA548="","",IF(ISNA(MATCH(BA548,BA$120:BA547,0)),MAX(BB$120:BB547)+1,""))</f>
        <v/>
      </c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BA549" s="42">
        <f>IF(COUNT(B549:AY549)=0,"",IF(TRIM(A549)&lt;&gt;"",TRIM(A549),IF(BA548="","(geen naam)",BA548)))</f>
        <v/>
      </c>
      <c r="BB549" s="42">
        <f>IF(BA549="","",IF(ISNA(MATCH(BA549,BA$120:BA548,0)),MAX(BB$120:BB548)+1,""))</f>
        <v/>
      </c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BA550" s="42">
        <f>IF(COUNT(B550:AY550)=0,"",IF(TRIM(A550)&lt;&gt;"",TRIM(A550),IF(BA549="","(geen naam)",BA549)))</f>
        <v/>
      </c>
      <c r="BB550" s="42">
        <f>IF(BA550="","",IF(ISNA(MATCH(BA550,BA$120:BA549,0)),MAX(BB$120:BB549)+1,""))</f>
        <v/>
      </c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BA551" s="42">
        <f>IF(COUNT(B551:AY551)=0,"",IF(TRIM(A551)&lt;&gt;"",TRIM(A551),IF(BA550="","(geen naam)",BA550)))</f>
        <v/>
      </c>
      <c r="BB551" s="42">
        <f>IF(BA551="","",IF(ISNA(MATCH(BA551,BA$120:BA550,0)),MAX(BB$120:BB550)+1,""))</f>
        <v/>
      </c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BA552" s="42">
        <f>IF(COUNT(B552:AY552)=0,"",IF(TRIM(A552)&lt;&gt;"",TRIM(A552),IF(BA551="","(geen naam)",BA551)))</f>
        <v/>
      </c>
      <c r="BB552" s="42">
        <f>IF(BA552="","",IF(ISNA(MATCH(BA552,BA$120:BA551,0)),MAX(BB$120:BB551)+1,""))</f>
        <v/>
      </c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/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BA553" s="42">
        <f>IF(COUNT(B553:AY553)=0,"",IF(TRIM(A553)&lt;&gt;"",TRIM(A553),IF(BA552="","(geen naam)",BA552)))</f>
        <v/>
      </c>
      <c r="BB553" s="42">
        <f>IF(BA553="","",IF(ISNA(MATCH(BA553,BA$120:BA552,0)),MAX(BB$120:BB552)+1,""))</f>
        <v/>
      </c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/>
      <c r="AK554" s="7" t="n"/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BA554" s="42">
        <f>IF(COUNT(B554:AY554)=0,"",IF(TRIM(A554)&lt;&gt;"",TRIM(A554),IF(BA553="","(geen naam)",BA553)))</f>
        <v/>
      </c>
      <c r="BB554" s="42">
        <f>IF(BA554="","",IF(ISNA(MATCH(BA554,BA$120:BA553,0)),MAX(BB$120:BB553)+1,""))</f>
        <v/>
      </c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/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BA555" s="42">
        <f>IF(COUNT(B555:AY555)=0,"",IF(TRIM(A555)&lt;&gt;"",TRIM(A555),IF(BA554="","(geen naam)",BA554)))</f>
        <v/>
      </c>
      <c r="BB555" s="42">
        <f>IF(BA555="","",IF(ISNA(MATCH(BA555,BA$120:BA554,0)),MAX(BB$120:BB554)+1,""))</f>
        <v/>
      </c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/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BA556" s="42">
        <f>IF(COUNT(B556:AY556)=0,"",IF(TRIM(A556)&lt;&gt;"",TRIM(A556),IF(BA555="","(geen naam)",BA555)))</f>
        <v/>
      </c>
      <c r="BB556" s="42">
        <f>IF(BA556="","",IF(ISNA(MATCH(BA556,BA$120:BA555,0)),MAX(BB$120:BB555)+1,""))</f>
        <v/>
      </c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/>
      <c r="AU557" s="7" t="n"/>
      <c r="AV557" s="7" t="n"/>
      <c r="AW557" s="7" t="n"/>
      <c r="AX557" s="7" t="n"/>
      <c r="AY557" s="7" t="n"/>
      <c r="BA557" s="42">
        <f>IF(COUNT(B557:AY557)=0,"",IF(TRIM(A557)&lt;&gt;"",TRIM(A557),IF(BA556="","(geen naam)",BA556)))</f>
        <v/>
      </c>
      <c r="BB557" s="42">
        <f>IF(BA557="","",IF(ISNA(MATCH(BA557,BA$120:BA556,0)),MAX(BB$120:BB556)+1,""))</f>
        <v/>
      </c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/>
      <c r="BA558" s="42">
        <f>IF(COUNT(B558:AY558)=0,"",IF(TRIM(A558)&lt;&gt;"",TRIM(A558),IF(BA557="","(geen naam)",BA557)))</f>
        <v/>
      </c>
      <c r="BB558" s="42">
        <f>IF(BA558="","",IF(ISNA(MATCH(BA558,BA$120:BA557,0)),MAX(BB$120:BB557)+1,""))</f>
        <v/>
      </c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BA559" s="42">
        <f>IF(COUNT(B559:AY559)=0,"",IF(TRIM(A559)&lt;&gt;"",TRIM(A559),IF(BA558="","(geen naam)",BA558)))</f>
        <v/>
      </c>
      <c r="BB559" s="42">
        <f>IF(BA559="","",IF(ISNA(MATCH(BA559,BA$120:BA558,0)),MAX(BB$120:BB558)+1,""))</f>
        <v/>
      </c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BA560" s="42">
        <f>IF(COUNT(B560:AY560)=0,"",IF(TRIM(A560)&lt;&gt;"",TRIM(A560),IF(BA559="","(geen naam)",BA559)))</f>
        <v/>
      </c>
      <c r="BB560" s="42">
        <f>IF(BA560="","",IF(ISNA(MATCH(BA560,BA$120:BA559,0)),MAX(BB$120:BB559)+1,""))</f>
        <v/>
      </c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BA561" s="42">
        <f>IF(COUNT(B561:AY561)=0,"",IF(TRIM(A561)&lt;&gt;"",TRIM(A561),IF(BA560="","(geen naam)",BA560)))</f>
        <v/>
      </c>
      <c r="BB561" s="42">
        <f>IF(BA561="","",IF(ISNA(MATCH(BA561,BA$120:BA560,0)),MAX(BB$120:BB560)+1,""))</f>
        <v/>
      </c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BA562" s="42">
        <f>IF(COUNT(B562:AY562)=0,"",IF(TRIM(A562)&lt;&gt;"",TRIM(A562),IF(BA561="","(geen naam)",BA561)))</f>
        <v/>
      </c>
      <c r="BB562" s="42">
        <f>IF(BA562="","",IF(ISNA(MATCH(BA562,BA$120:BA561,0)),MAX(BB$120:BB561)+1,""))</f>
        <v/>
      </c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BA563" s="42">
        <f>IF(COUNT(B563:AY563)=0,"",IF(TRIM(A563)&lt;&gt;"",TRIM(A563),IF(BA562="","(geen naam)",BA562)))</f>
        <v/>
      </c>
      <c r="BB563" s="42">
        <f>IF(BA563="","",IF(ISNA(MATCH(BA563,BA$120:BA562,0)),MAX(BB$120:BB562)+1,""))</f>
        <v/>
      </c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BA564" s="42">
        <f>IF(COUNT(B564:AY564)=0,"",IF(TRIM(A564)&lt;&gt;"",TRIM(A564),IF(BA563="","(geen naam)",BA563)))</f>
        <v/>
      </c>
      <c r="BB564" s="42">
        <f>IF(BA564="","",IF(ISNA(MATCH(BA564,BA$120:BA563,0)),MAX(BB$120:BB563)+1,""))</f>
        <v/>
      </c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BA565" s="42">
        <f>IF(COUNT(B565:AY565)=0,"",IF(TRIM(A565)&lt;&gt;"",TRIM(A565),IF(BA564="","(geen naam)",BA564)))</f>
        <v/>
      </c>
      <c r="BB565" s="42">
        <f>IF(BA565="","",IF(ISNA(MATCH(BA565,BA$120:BA564,0)),MAX(BB$120:BB564)+1,""))</f>
        <v/>
      </c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BA566" s="42">
        <f>IF(COUNT(B566:AY566)=0,"",IF(TRIM(A566)&lt;&gt;"",TRIM(A566),IF(BA565="","(geen naam)",BA565)))</f>
        <v/>
      </c>
      <c r="BB566" s="42">
        <f>IF(BA566="","",IF(ISNA(MATCH(BA566,BA$120:BA565,0)),MAX(BB$120:BB565)+1,""))</f>
        <v/>
      </c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/>
      <c r="AW567" s="7" t="n"/>
      <c r="AX567" s="7" t="n"/>
      <c r="AY567" s="7" t="n"/>
      <c r="BA567" s="42">
        <f>IF(COUNT(B567:AY567)=0,"",IF(TRIM(A567)&lt;&gt;"",TRIM(A567),IF(BA566="","(geen naam)",BA566)))</f>
        <v/>
      </c>
      <c r="BB567" s="42">
        <f>IF(BA567="","",IF(ISNA(MATCH(BA567,BA$120:BA566,0)),MAX(BB$120:BB566)+1,""))</f>
        <v/>
      </c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BA568" s="42">
        <f>IF(COUNT(B568:AY568)=0,"",IF(TRIM(A568)&lt;&gt;"",TRIM(A568),IF(BA567="","(geen naam)",BA567)))</f>
        <v/>
      </c>
      <c r="BB568" s="42">
        <f>IF(BA568="","",IF(ISNA(MATCH(BA568,BA$120:BA567,0)),MAX(BB$120:BB567)+1,""))</f>
        <v/>
      </c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BA569" s="42">
        <f>IF(COUNT(B569:AY569)=0,"",IF(TRIM(A569)&lt;&gt;"",TRIM(A569),IF(BA568="","(geen naam)",BA568)))</f>
        <v/>
      </c>
      <c r="BB569" s="42">
        <f>IF(BA569="","",IF(ISNA(MATCH(BA569,BA$120:BA568,0)),MAX(BB$120:BB568)+1,""))</f>
        <v/>
      </c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BA570" s="42">
        <f>IF(COUNT(B570:AY570)=0,"",IF(TRIM(A570)&lt;&gt;"",TRIM(A570),IF(BA569="","(geen naam)",BA569)))</f>
        <v/>
      </c>
      <c r="BB570" s="42">
        <f>IF(BA570="","",IF(ISNA(MATCH(BA570,BA$120:BA569,0)),MAX(BB$120:BB569)+1,""))</f>
        <v/>
      </c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BA571" s="42">
        <f>IF(COUNT(B571:AY571)=0,"",IF(TRIM(A571)&lt;&gt;"",TRIM(A571),IF(BA570="","(geen naam)",BA570)))</f>
        <v/>
      </c>
      <c r="BB571" s="42">
        <f>IF(BA571="","",IF(ISNA(MATCH(BA571,BA$120:BA570,0)),MAX(BB$120:BB570)+1,""))</f>
        <v/>
      </c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/>
      <c r="AX572" s="7" t="n"/>
      <c r="AY572" s="7" t="n"/>
      <c r="BA572" s="42">
        <f>IF(COUNT(B572:AY572)=0,"",IF(TRIM(A572)&lt;&gt;"",TRIM(A572),IF(BA571="","(geen naam)",BA571)))</f>
        <v/>
      </c>
      <c r="BB572" s="42">
        <f>IF(BA572="","",IF(ISNA(MATCH(BA572,BA$120:BA571,0)),MAX(BB$120:BB571)+1,""))</f>
        <v/>
      </c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/>
      <c r="AY573" s="7" t="n"/>
      <c r="BA573" s="42">
        <f>IF(COUNT(B573:AY573)=0,"",IF(TRIM(A573)&lt;&gt;"",TRIM(A573),IF(BA572="","(geen naam)",BA572)))</f>
        <v/>
      </c>
      <c r="BB573" s="42">
        <f>IF(BA573="","",IF(ISNA(MATCH(BA573,BA$120:BA572,0)),MAX(BB$120:BB572)+1,""))</f>
        <v/>
      </c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/>
      <c r="BA574" s="42">
        <f>IF(COUNT(B574:AY574)=0,"",IF(TRIM(A574)&lt;&gt;"",TRIM(A574),IF(BA573="","(geen naam)",BA573)))</f>
        <v/>
      </c>
      <c r="BB574" s="42">
        <f>IF(BA574="","",IF(ISNA(MATCH(BA574,BA$120:BA573,0)),MAX(BB$120:BB573)+1,""))</f>
        <v/>
      </c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  <c r="AV575" s="7" t="n"/>
      <c r="AW575" s="7" t="n"/>
      <c r="AX575" s="7" t="n"/>
      <c r="AY575" s="7" t="n"/>
      <c r="BA575" s="42">
        <f>IF(COUNT(B575:AY575)=0,"",IF(TRIM(A575)&lt;&gt;"",TRIM(A575),IF(BA574="","(geen naam)",BA574)))</f>
        <v/>
      </c>
      <c r="BB575" s="42">
        <f>IF(BA575="","",IF(ISNA(MATCH(BA575,BA$120:BA574,0)),MAX(BB$120:BB574)+1,""))</f>
        <v/>
      </c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BA576" s="42">
        <f>IF(COUNT(B576:AY576)=0,"",IF(TRIM(A576)&lt;&gt;"",TRIM(A576),IF(BA575="","(geen naam)",BA575)))</f>
        <v/>
      </c>
      <c r="BB576" s="42">
        <f>IF(BA576="","",IF(ISNA(MATCH(BA576,BA$120:BA575,0)),MAX(BB$120:BB575)+1,""))</f>
        <v/>
      </c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BA577" s="42">
        <f>IF(COUNT(B577:AY577)=0,"",IF(TRIM(A577)&lt;&gt;"",TRIM(A577),IF(BA576="","(geen naam)",BA576)))</f>
        <v/>
      </c>
      <c r="BB577" s="42">
        <f>IF(BA577="","",IF(ISNA(MATCH(BA577,BA$120:BA576,0)),MAX(BB$120:BB576)+1,""))</f>
        <v/>
      </c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BA578" s="42">
        <f>IF(COUNT(B578:AY578)=0,"",IF(TRIM(A578)&lt;&gt;"",TRIM(A578),IF(BA577="","(geen naam)",BA577)))</f>
        <v/>
      </c>
      <c r="BB578" s="42">
        <f>IF(BA578="","",IF(ISNA(MATCH(BA578,BA$120:BA577,0)),MAX(BB$120:BB577)+1,""))</f>
        <v/>
      </c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BA579" s="42">
        <f>IF(COUNT(B579:AY579)=0,"",IF(TRIM(A579)&lt;&gt;"",TRIM(A579),IF(BA578="","(geen naam)",BA578)))</f>
        <v/>
      </c>
      <c r="BB579" s="42">
        <f>IF(BA579="","",IF(ISNA(MATCH(BA579,BA$120:BA578,0)),MAX(BB$120:BB578)+1,""))</f>
        <v/>
      </c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  <c r="AV580" s="7" t="n"/>
      <c r="AW580" s="7" t="n"/>
      <c r="AX580" s="7" t="n"/>
      <c r="AY580" s="7" t="n"/>
      <c r="BA580" s="42">
        <f>IF(COUNT(B580:AY580)=0,"",IF(TRIM(A580)&lt;&gt;"",TRIM(A580),IF(BA579="","(geen naam)",BA579)))</f>
        <v/>
      </c>
      <c r="BB580" s="42">
        <f>IF(BA580="","",IF(ISNA(MATCH(BA580,BA$120:BA579,0)),MAX(BB$120:BB579)+1,""))</f>
        <v/>
      </c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  <c r="AV581" s="7" t="n"/>
      <c r="AW581" s="7" t="n"/>
      <c r="AX581" s="7" t="n"/>
      <c r="AY581" s="7" t="n"/>
      <c r="BA581" s="42">
        <f>IF(COUNT(B581:AY581)=0,"",IF(TRIM(A581)&lt;&gt;"",TRIM(A581),IF(BA580="","(geen naam)",BA580)))</f>
        <v/>
      </c>
      <c r="BB581" s="42">
        <f>IF(BA581="","",IF(ISNA(MATCH(BA581,BA$120:BA580,0)),MAX(BB$120:BB580)+1,""))</f>
        <v/>
      </c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  <c r="AV582" s="7" t="n"/>
      <c r="AW582" s="7" t="n"/>
      <c r="AX582" s="7" t="n"/>
      <c r="AY582" s="7" t="n"/>
      <c r="BA582" s="42">
        <f>IF(COUNT(B582:AY582)=0,"",IF(TRIM(A582)&lt;&gt;"",TRIM(A582),IF(BA581="","(geen naam)",BA581)))</f>
        <v/>
      </c>
      <c r="BB582" s="42">
        <f>IF(BA582="","",IF(ISNA(MATCH(BA582,BA$120:BA581,0)),MAX(BB$120:BB581)+1,""))</f>
        <v/>
      </c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  <c r="AV583" s="7" t="n"/>
      <c r="AW583" s="7" t="n"/>
      <c r="AX583" s="7" t="n"/>
      <c r="AY583" s="7" t="n"/>
      <c r="BA583" s="42">
        <f>IF(COUNT(B583:AY583)=0,"",IF(TRIM(A583)&lt;&gt;"",TRIM(A583),IF(BA582="","(geen naam)",BA582)))</f>
        <v/>
      </c>
      <c r="BB583" s="42">
        <f>IF(BA583="","",IF(ISNA(MATCH(BA583,BA$120:BA582,0)),MAX(BB$120:BB582)+1,""))</f>
        <v/>
      </c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  <c r="AV584" s="7" t="n"/>
      <c r="AW584" s="7" t="n"/>
      <c r="AX584" s="7" t="n"/>
      <c r="AY584" s="7" t="n"/>
      <c r="BA584" s="42">
        <f>IF(COUNT(B584:AY584)=0,"",IF(TRIM(A584)&lt;&gt;"",TRIM(A584),IF(BA583="","(geen naam)",BA583)))</f>
        <v/>
      </c>
      <c r="BB584" s="42">
        <f>IF(BA584="","",IF(ISNA(MATCH(BA584,BA$120:BA583,0)),MAX(BB$120:BB583)+1,""))</f>
        <v/>
      </c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  <c r="AV585" s="7" t="n"/>
      <c r="AW585" s="7" t="n"/>
      <c r="AX585" s="7" t="n"/>
      <c r="AY585" s="7" t="n"/>
      <c r="BA585" s="42">
        <f>IF(COUNT(B585:AY585)=0,"",IF(TRIM(A585)&lt;&gt;"",TRIM(A585),IF(BA584="","(geen naam)",BA584)))</f>
        <v/>
      </c>
      <c r="BB585" s="42">
        <f>IF(BA585="","",IF(ISNA(MATCH(BA585,BA$120:BA584,0)),MAX(BB$120:BB584)+1,""))</f>
        <v/>
      </c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  <c r="AV586" s="7" t="n"/>
      <c r="AW586" s="7" t="n"/>
      <c r="AX586" s="7" t="n"/>
      <c r="AY586" s="7" t="n"/>
      <c r="BA586" s="42">
        <f>IF(COUNT(B586:AY586)=0,"",IF(TRIM(A586)&lt;&gt;"",TRIM(A586),IF(BA585="","(geen naam)",BA585)))</f>
        <v/>
      </c>
      <c r="BB586" s="42">
        <f>IF(BA586="","",IF(ISNA(MATCH(BA586,BA$120:BA585,0)),MAX(BB$120:BB585)+1,""))</f>
        <v/>
      </c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/>
      <c r="AW587" s="7" t="n"/>
      <c r="AX587" s="7" t="n"/>
      <c r="AY587" s="7" t="n"/>
      <c r="BA587" s="42">
        <f>IF(COUNT(B587:AY587)=0,"",IF(TRIM(A587)&lt;&gt;"",TRIM(A587),IF(BA586="","(geen naam)",BA586)))</f>
        <v/>
      </c>
      <c r="BB587" s="42">
        <f>IF(BA587="","",IF(ISNA(MATCH(BA587,BA$120:BA586,0)),MAX(BB$120:BB586)+1,""))</f>
        <v/>
      </c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/>
      <c r="AW588" s="7" t="n"/>
      <c r="AX588" s="7" t="n"/>
      <c r="AY588" s="7" t="n"/>
      <c r="BA588" s="42">
        <f>IF(COUNT(B588:AY588)=0,"",IF(TRIM(A588)&lt;&gt;"",TRIM(A588),IF(BA587="","(geen naam)",BA587)))</f>
        <v/>
      </c>
      <c r="BB588" s="42">
        <f>IF(BA588="","",IF(ISNA(MATCH(BA588,BA$120:BA587,0)),MAX(BB$120:BB587)+1,""))</f>
        <v/>
      </c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/>
      <c r="AW589" s="7" t="n"/>
      <c r="AX589" s="7" t="n"/>
      <c r="AY589" s="7" t="n"/>
      <c r="BA589" s="42">
        <f>IF(COUNT(B589:AY589)=0,"",IF(TRIM(A589)&lt;&gt;"",TRIM(A589),IF(BA588="","(geen naam)",BA588)))</f>
        <v/>
      </c>
      <c r="BB589" s="42">
        <f>IF(BA589="","",IF(ISNA(MATCH(BA589,BA$120:BA588,0)),MAX(BB$120:BB588)+1,""))</f>
        <v/>
      </c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/>
      <c r="AW590" s="7" t="n"/>
      <c r="AX590" s="7" t="n"/>
      <c r="AY590" s="7" t="n"/>
      <c r="BA590" s="42">
        <f>IF(COUNT(B590:AY590)=0,"",IF(TRIM(A590)&lt;&gt;"",TRIM(A590),IF(BA589="","(geen naam)",BA589)))</f>
        <v/>
      </c>
      <c r="BB590" s="42">
        <f>IF(BA590="","",IF(ISNA(MATCH(BA590,BA$120:BA589,0)),MAX(BB$120:BB589)+1,""))</f>
        <v/>
      </c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BA591" s="42">
        <f>IF(COUNT(B591:AY591)=0,"",IF(TRIM(A591)&lt;&gt;"",TRIM(A591),IF(BA590="","(geen naam)",BA590)))</f>
        <v/>
      </c>
      <c r="BB591" s="42">
        <f>IF(BA591="","",IF(ISNA(MATCH(BA591,BA$120:BA590,0)),MAX(BB$120:BB590)+1,""))</f>
        <v/>
      </c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/>
      <c r="AW592" s="7" t="n"/>
      <c r="AX592" s="7" t="n"/>
      <c r="AY592" s="7" t="n"/>
      <c r="BA592" s="42">
        <f>IF(COUNT(B592:AY592)=0,"",IF(TRIM(A592)&lt;&gt;"",TRIM(A592),IF(BA591="","(geen naam)",BA591)))</f>
        <v/>
      </c>
      <c r="BB592" s="42">
        <f>IF(BA592="","",IF(ISNA(MATCH(BA592,BA$120:BA591,0)),MAX(BB$120:BB591)+1,""))</f>
        <v/>
      </c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/>
      <c r="AX593" s="7" t="n"/>
      <c r="AY593" s="7" t="n"/>
      <c r="BA593" s="42">
        <f>IF(COUNT(B593:AY593)=0,"",IF(TRIM(A593)&lt;&gt;"",TRIM(A593),IF(BA592="","(geen naam)",BA592)))</f>
        <v/>
      </c>
      <c r="BB593" s="42">
        <f>IF(BA593="","",IF(ISNA(MATCH(BA593,BA$120:BA592,0)),MAX(BB$120:BB592)+1,""))</f>
        <v/>
      </c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/>
      <c r="AX594" s="7" t="n"/>
      <c r="AY594" s="7" t="n"/>
      <c r="BA594" s="42">
        <f>IF(COUNT(B594:AY594)=0,"",IF(TRIM(A594)&lt;&gt;"",TRIM(A594),IF(BA593="","(geen naam)",BA593)))</f>
        <v/>
      </c>
      <c r="BB594" s="42">
        <f>IF(BA594="","",IF(ISNA(MATCH(BA594,BA$120:BA593,0)),MAX(BB$120:BB593)+1,""))</f>
        <v/>
      </c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/>
      <c r="AY595" s="7" t="n"/>
      <c r="BA595" s="42">
        <f>IF(COUNT(B595:AY595)=0,"",IF(TRIM(A595)&lt;&gt;"",TRIM(A595),IF(BA594="","(geen naam)",BA594)))</f>
        <v/>
      </c>
      <c r="BB595" s="42">
        <f>IF(BA595="","",IF(ISNA(MATCH(BA595,BA$120:BA594,0)),MAX(BB$120:BB594)+1,""))</f>
        <v/>
      </c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/>
      <c r="BA596" s="42">
        <f>IF(COUNT(B596:AY596)=0,"",IF(TRIM(A596)&lt;&gt;"",TRIM(A596),IF(BA595="","(geen naam)",BA595)))</f>
        <v/>
      </c>
      <c r="BB596" s="42">
        <f>IF(BA596="","",IF(ISNA(MATCH(BA596,BA$120:BA595,0)),MAX(BB$120:BB595)+1,""))</f>
        <v/>
      </c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/>
      <c r="BA597" s="42">
        <f>IF(COUNT(B597:AY597)=0,"",IF(TRIM(A597)&lt;&gt;"",TRIM(A597),IF(BA596="","(geen naam)",BA596)))</f>
        <v/>
      </c>
      <c r="BB597" s="42">
        <f>IF(BA597="","",IF(ISNA(MATCH(BA597,BA$120:BA596,0)),MAX(BB$120:BB596)+1,""))</f>
        <v/>
      </c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BA598" s="42">
        <f>IF(COUNT(B598:AY598)=0,"",IF(TRIM(A598)&lt;&gt;"",TRIM(A598),IF(BA597="","(geen naam)",BA597)))</f>
        <v/>
      </c>
      <c r="BB598" s="42">
        <f>IF(BA598="","",IF(ISNA(MATCH(BA598,BA$120:BA597,0)),MAX(BB$120:BB597)+1,""))</f>
        <v/>
      </c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BA599" s="42">
        <f>IF(COUNT(B599:AY599)=0,"",IF(TRIM(A599)&lt;&gt;"",TRIM(A599),IF(BA598="","(geen naam)",BA598)))</f>
        <v/>
      </c>
      <c r="BB599" s="42">
        <f>IF(BA599="","",IF(ISNA(MATCH(BA599,BA$120:BA598,0)),MAX(BB$120:BB598)+1,""))</f>
        <v/>
      </c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7" t="n"/>
      <c r="AI600" s="7" t="n"/>
      <c r="AJ600" s="7" t="n"/>
      <c r="AK600" s="7" t="n"/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BA600" s="42">
        <f>IF(COUNT(B600:AY600)=0,"",IF(TRIM(A600)&lt;&gt;"",TRIM(A600),IF(BA599="","(geen naam)",BA599)))</f>
        <v/>
      </c>
      <c r="BB600" s="42">
        <f>IF(BA600="","",IF(ISNA(MATCH(BA600,BA$120:BA599,0)),MAX(BB$120:BB599)+1,""))</f>
        <v/>
      </c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BA601" s="42">
        <f>IF(COUNT(B601:AY601)=0,"",IF(TRIM(A601)&lt;&gt;"",TRIM(A601),IF(BA600="","(geen naam)",BA600)))</f>
        <v/>
      </c>
      <c r="BB601" s="42">
        <f>IF(BA601="","",IF(ISNA(MATCH(BA601,BA$120:BA600,0)),MAX(BB$120:BB600)+1,""))</f>
        <v/>
      </c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BA602" s="42">
        <f>IF(COUNT(B602:AY602)=0,"",IF(TRIM(A602)&lt;&gt;"",TRIM(A602),IF(BA601="","(geen naam)",BA601)))</f>
        <v/>
      </c>
      <c r="BB602" s="42">
        <f>IF(BA602="","",IF(ISNA(MATCH(BA602,BA$120:BA601,0)),MAX(BB$120:BB601)+1,""))</f>
        <v/>
      </c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BA603" s="42">
        <f>IF(COUNT(B603:AY603)=0,"",IF(TRIM(A603)&lt;&gt;"",TRIM(A603),IF(BA602="","(geen naam)",BA602)))</f>
        <v/>
      </c>
      <c r="BB603" s="42">
        <f>IF(BA603="","",IF(ISNA(MATCH(BA603,BA$120:BA602,0)),MAX(BB$120:BB602)+1,""))</f>
        <v/>
      </c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  <c r="AF604" s="7" t="n"/>
      <c r="AG604" s="7" t="n"/>
      <c r="AH604" s="7" t="n"/>
      <c r="AI604" s="7" t="n"/>
      <c r="AJ604" s="7" t="n"/>
      <c r="AK604" s="7" t="n"/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BA604" s="42">
        <f>IF(COUNT(B604:AY604)=0,"",IF(TRIM(A604)&lt;&gt;"",TRIM(A604),IF(BA603="","(geen naam)",BA603)))</f>
        <v/>
      </c>
      <c r="BB604" s="42">
        <f>IF(BA604="","",IF(ISNA(MATCH(BA604,BA$120:BA603,0)),MAX(BB$120:BB603)+1,""))</f>
        <v/>
      </c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BA605" s="42">
        <f>IF(COUNT(B605:AY605)=0,"",IF(TRIM(A605)&lt;&gt;"",TRIM(A605),IF(BA604="","(geen naam)",BA604)))</f>
        <v/>
      </c>
      <c r="BB605" s="42">
        <f>IF(BA605="","",IF(ISNA(MATCH(BA605,BA$120:BA604,0)),MAX(BB$120:BB604)+1,""))</f>
        <v/>
      </c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BA606" s="42">
        <f>IF(COUNT(B606:AY606)=0,"",IF(TRIM(A606)&lt;&gt;"",TRIM(A606),IF(BA605="","(geen naam)",BA605)))</f>
        <v/>
      </c>
      <c r="BB606" s="42">
        <f>IF(BA606="","",IF(ISNA(MATCH(BA606,BA$120:BA605,0)),MAX(BB$120:BB605)+1,""))</f>
        <v/>
      </c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BA607" s="42">
        <f>IF(COUNT(B607:AY607)=0,"",IF(TRIM(A607)&lt;&gt;"",TRIM(A607),IF(BA606="","(geen naam)",BA606)))</f>
        <v/>
      </c>
      <c r="BB607" s="42">
        <f>IF(BA607="","",IF(ISNA(MATCH(BA607,BA$120:BA606,0)),MAX(BB$120:BB606)+1,""))</f>
        <v/>
      </c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BA608" s="42">
        <f>IF(COUNT(B608:AY608)=0,"",IF(TRIM(A608)&lt;&gt;"",TRIM(A608),IF(BA607="","(geen naam)",BA607)))</f>
        <v/>
      </c>
      <c r="BB608" s="42">
        <f>IF(BA608="","",IF(ISNA(MATCH(BA608,BA$120:BA607,0)),MAX(BB$120:BB607)+1,""))</f>
        <v/>
      </c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BA609" s="42">
        <f>IF(COUNT(B609:AY609)=0,"",IF(TRIM(A609)&lt;&gt;"",TRIM(A609),IF(BA608="","(geen naam)",BA608)))</f>
        <v/>
      </c>
      <c r="BB609" s="42">
        <f>IF(BA609="","",IF(ISNA(MATCH(BA609,BA$120:BA608,0)),MAX(BB$120:BB608)+1,""))</f>
        <v/>
      </c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BA610" s="42">
        <f>IF(COUNT(B610:AY610)=0,"",IF(TRIM(A610)&lt;&gt;"",TRIM(A610),IF(BA609="","(geen naam)",BA609)))</f>
        <v/>
      </c>
      <c r="BB610" s="42">
        <f>IF(BA610="","",IF(ISNA(MATCH(BA610,BA$120:BA609,0)),MAX(BB$120:BB609)+1,""))</f>
        <v/>
      </c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BA611" s="42">
        <f>IF(COUNT(B611:AY611)=0,"",IF(TRIM(A611)&lt;&gt;"",TRIM(A611),IF(BA610="","(geen naam)",BA610)))</f>
        <v/>
      </c>
      <c r="BB611" s="42">
        <f>IF(BA611="","",IF(ISNA(MATCH(BA611,BA$120:BA610,0)),MAX(BB$120:BB610)+1,""))</f>
        <v/>
      </c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BA612" s="42">
        <f>IF(COUNT(B612:AY612)=0,"",IF(TRIM(A612)&lt;&gt;"",TRIM(A612),IF(BA611="","(geen naam)",BA611)))</f>
        <v/>
      </c>
      <c r="BB612" s="42">
        <f>IF(BA612="","",IF(ISNA(MATCH(BA612,BA$120:BA611,0)),MAX(BB$120:BB611)+1,""))</f>
        <v/>
      </c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BA613" s="42">
        <f>IF(COUNT(B613:AY613)=0,"",IF(TRIM(A613)&lt;&gt;"",TRIM(A613),IF(BA612="","(geen naam)",BA612)))</f>
        <v/>
      </c>
      <c r="BB613" s="42">
        <f>IF(BA613="","",IF(ISNA(MATCH(BA613,BA$120:BA612,0)),MAX(BB$120:BB612)+1,""))</f>
        <v/>
      </c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BA614" s="42">
        <f>IF(COUNT(B614:AY614)=0,"",IF(TRIM(A614)&lt;&gt;"",TRIM(A614),IF(BA613="","(geen naam)",BA613)))</f>
        <v/>
      </c>
      <c r="BB614" s="42">
        <f>IF(BA614="","",IF(ISNA(MATCH(BA614,BA$120:BA613,0)),MAX(BB$120:BB613)+1,""))</f>
        <v/>
      </c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/>
      <c r="BA615" s="42">
        <f>IF(COUNT(B615:AY615)=0,"",IF(TRIM(A615)&lt;&gt;"",TRIM(A615),IF(BA614="","(geen naam)",BA614)))</f>
        <v/>
      </c>
      <c r="BB615" s="42">
        <f>IF(BA615="","",IF(ISNA(MATCH(BA615,BA$120:BA614,0)),MAX(BB$120:BB614)+1,""))</f>
        <v/>
      </c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/>
      <c r="BA616" s="42">
        <f>IF(COUNT(B616:AY616)=0,"",IF(TRIM(A616)&lt;&gt;"",TRIM(A616),IF(BA615="","(geen naam)",BA615)))</f>
        <v/>
      </c>
      <c r="BB616" s="42">
        <f>IF(BA616="","",IF(ISNA(MATCH(BA616,BA$120:BA615,0)),MAX(BB$120:BB615)+1,""))</f>
        <v/>
      </c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/>
      <c r="AY617" s="7" t="n"/>
      <c r="BA617" s="42">
        <f>IF(COUNT(B617:AY617)=0,"",IF(TRIM(A617)&lt;&gt;"",TRIM(A617),IF(BA616="","(geen naam)",BA616)))</f>
        <v/>
      </c>
      <c r="BB617" s="42">
        <f>IF(BA617="","",IF(ISNA(MATCH(BA617,BA$120:BA616,0)),MAX(BB$120:BB616)+1,""))</f>
        <v/>
      </c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  <c r="AV618" s="7" t="n"/>
      <c r="AW618" s="7" t="n"/>
      <c r="AX618" s="7" t="n"/>
      <c r="AY618" s="7" t="n"/>
      <c r="BA618" s="42">
        <f>IF(COUNT(B618:AY618)=0,"",IF(TRIM(A618)&lt;&gt;"",TRIM(A618),IF(BA617="","(geen naam)",BA617)))</f>
        <v/>
      </c>
      <c r="BB618" s="42">
        <f>IF(BA618="","",IF(ISNA(MATCH(BA618,BA$120:BA617,0)),MAX(BB$120:BB617)+1,""))</f>
        <v/>
      </c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BA619" s="42">
        <f>IF(COUNT(B619:AY619)=0,"",IF(TRIM(A619)&lt;&gt;"",TRIM(A619),IF(BA618="","(geen naam)",BA618)))</f>
        <v/>
      </c>
      <c r="BB619" s="42">
        <f>IF(BA619="","",IF(ISNA(MATCH(BA619,BA$120:BA618,0)),MAX(BB$120:BB618)+1,""))</f>
        <v/>
      </c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BA620" s="42">
        <f>IF(COUNT(B620:AY620)=0,"",IF(TRIM(A620)&lt;&gt;"",TRIM(A620),IF(BA619="","(geen naam)",BA619)))</f>
        <v/>
      </c>
      <c r="BB620" s="42">
        <f>IF(BA620="","",IF(ISNA(MATCH(BA620,BA$120:BA619,0)),MAX(BB$120:BB619)+1,""))</f>
        <v/>
      </c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BA621" s="42">
        <f>IF(COUNT(B621:AY621)=0,"",IF(TRIM(A621)&lt;&gt;"",TRIM(A621),IF(BA620="","(geen naam)",BA620)))</f>
        <v/>
      </c>
      <c r="BB621" s="42">
        <f>IF(BA621="","",IF(ISNA(MATCH(BA621,BA$120:BA620,0)),MAX(BB$120:BB620)+1,""))</f>
        <v/>
      </c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BA622" s="42">
        <f>IF(COUNT(B622:AY622)=0,"",IF(TRIM(A622)&lt;&gt;"",TRIM(A622),IF(BA621="","(geen naam)",BA621)))</f>
        <v/>
      </c>
      <c r="BB622" s="42">
        <f>IF(BA622="","",IF(ISNA(MATCH(BA622,BA$120:BA621,0)),MAX(BB$120:BB621)+1,""))</f>
        <v/>
      </c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BA623" s="42">
        <f>IF(COUNT(B623:AY623)=0,"",IF(TRIM(A623)&lt;&gt;"",TRIM(A623),IF(BA622="","(geen naam)",BA622)))</f>
        <v/>
      </c>
      <c r="BB623" s="42">
        <f>IF(BA623="","",IF(ISNA(MATCH(BA623,BA$120:BA622,0)),MAX(BB$120:BB622)+1,""))</f>
        <v/>
      </c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BA624" s="42">
        <f>IF(COUNT(B624:AY624)=0,"",IF(TRIM(A624)&lt;&gt;"",TRIM(A624),IF(BA623="","(geen naam)",BA623)))</f>
        <v/>
      </c>
      <c r="BB624" s="42">
        <f>IF(BA624="","",IF(ISNA(MATCH(BA624,BA$120:BA623,0)),MAX(BB$120:BB623)+1,""))</f>
        <v/>
      </c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BA625" s="42">
        <f>IF(COUNT(B625:AY625)=0,"",IF(TRIM(A625)&lt;&gt;"",TRIM(A625),IF(BA624="","(geen naam)",BA624)))</f>
        <v/>
      </c>
      <c r="BB625" s="42">
        <f>IF(BA625="","",IF(ISNA(MATCH(BA625,BA$120:BA624,0)),MAX(BB$120:BB624)+1,""))</f>
        <v/>
      </c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  <c r="AF626" s="7" t="n"/>
      <c r="AG626" s="7" t="n"/>
      <c r="AH626" s="7" t="n"/>
      <c r="AI626" s="7" t="n"/>
      <c r="AJ626" s="7" t="n"/>
      <c r="AK626" s="7" t="n"/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BA626" s="42">
        <f>IF(COUNT(B626:AY626)=0,"",IF(TRIM(A626)&lt;&gt;"",TRIM(A626),IF(BA625="","(geen naam)",BA625)))</f>
        <v/>
      </c>
      <c r="BB626" s="42">
        <f>IF(BA626="","",IF(ISNA(MATCH(BA626,BA$120:BA625,0)),MAX(BB$120:BB625)+1,""))</f>
        <v/>
      </c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/>
      <c r="BA627" s="42">
        <f>IF(COUNT(B627:AY627)=0,"",IF(TRIM(A627)&lt;&gt;"",TRIM(A627),IF(BA626="","(geen naam)",BA626)))</f>
        <v/>
      </c>
      <c r="BB627" s="42">
        <f>IF(BA627="","",IF(ISNA(MATCH(BA627,BA$120:BA626,0)),MAX(BB$120:BB626)+1,""))</f>
        <v/>
      </c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BA628" s="42">
        <f>IF(COUNT(B628:AY628)=0,"",IF(TRIM(A628)&lt;&gt;"",TRIM(A628),IF(BA627="","(geen naam)",BA627)))</f>
        <v/>
      </c>
      <c r="BB628" s="42">
        <f>IF(BA628="","",IF(ISNA(MATCH(BA628,BA$120:BA627,0)),MAX(BB$120:BB627)+1,""))</f>
        <v/>
      </c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BA629" s="42">
        <f>IF(COUNT(B629:AY629)=0,"",IF(TRIM(A629)&lt;&gt;"",TRIM(A629),IF(BA628="","(geen naam)",BA628)))</f>
        <v/>
      </c>
      <c r="BB629" s="42">
        <f>IF(BA629="","",IF(ISNA(MATCH(BA629,BA$120:BA628,0)),MAX(BB$120:BB628)+1,""))</f>
        <v/>
      </c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BA630" s="42">
        <f>IF(COUNT(B630:AY630)=0,"",IF(TRIM(A630)&lt;&gt;"",TRIM(A630),IF(BA629="","(geen naam)",BA629)))</f>
        <v/>
      </c>
      <c r="BB630" s="42">
        <f>IF(BA630="","",IF(ISNA(MATCH(BA630,BA$120:BA629,0)),MAX(BB$120:BB629)+1,""))</f>
        <v/>
      </c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BA631" s="42">
        <f>IF(COUNT(B631:AY631)=0,"",IF(TRIM(A631)&lt;&gt;"",TRIM(A631),IF(BA630="","(geen naam)",BA630)))</f>
        <v/>
      </c>
      <c r="BB631" s="42">
        <f>IF(BA631="","",IF(ISNA(MATCH(BA631,BA$120:BA630,0)),MAX(BB$120:BB630)+1,""))</f>
        <v/>
      </c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BA632" s="42">
        <f>IF(COUNT(B632:AY632)=0,"",IF(TRIM(A632)&lt;&gt;"",TRIM(A632),IF(BA631="","(geen naam)",BA631)))</f>
        <v/>
      </c>
      <c r="BB632" s="42">
        <f>IF(BA632="","",IF(ISNA(MATCH(BA632,BA$120:BA631,0)),MAX(BB$120:BB631)+1,""))</f>
        <v/>
      </c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BA633" s="42">
        <f>IF(COUNT(B633:AY633)=0,"",IF(TRIM(A633)&lt;&gt;"",TRIM(A633),IF(BA632="","(geen naam)",BA632)))</f>
        <v/>
      </c>
      <c r="BB633" s="42">
        <f>IF(BA633="","",IF(ISNA(MATCH(BA633,BA$120:BA632,0)),MAX(BB$120:BB632)+1,""))</f>
        <v/>
      </c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BA634" s="42">
        <f>IF(COUNT(B634:AY634)=0,"",IF(TRIM(A634)&lt;&gt;"",TRIM(A634),IF(BA633="","(geen naam)",BA633)))</f>
        <v/>
      </c>
      <c r="BB634" s="42">
        <f>IF(BA634="","",IF(ISNA(MATCH(BA634,BA$120:BA633,0)),MAX(BB$120:BB633)+1,""))</f>
        <v/>
      </c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BA635" s="42">
        <f>IF(COUNT(B635:AY635)=0,"",IF(TRIM(A635)&lt;&gt;"",TRIM(A635),IF(BA634="","(geen naam)",BA634)))</f>
        <v/>
      </c>
      <c r="BB635" s="42">
        <f>IF(BA635="","",IF(ISNA(MATCH(BA635,BA$120:BA634,0)),MAX(BB$120:BB634)+1,""))</f>
        <v/>
      </c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7" t="n"/>
      <c r="AI636" s="7" t="n"/>
      <c r="AJ636" s="7" t="n"/>
      <c r="AK636" s="7" t="n"/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BA636" s="42">
        <f>IF(COUNT(B636:AY636)=0,"",IF(TRIM(A636)&lt;&gt;"",TRIM(A636),IF(BA635="","(geen naam)",BA635)))</f>
        <v/>
      </c>
      <c r="BB636" s="42">
        <f>IF(BA636="","",IF(ISNA(MATCH(BA636,BA$120:BA635,0)),MAX(BB$120:BB635)+1,""))</f>
        <v/>
      </c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/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BA637" s="42">
        <f>IF(COUNT(B637:AY637)=0,"",IF(TRIM(A637)&lt;&gt;"",TRIM(A637),IF(BA636="","(geen naam)",BA636)))</f>
        <v/>
      </c>
      <c r="BB637" s="42">
        <f>IF(BA637="","",IF(ISNA(MATCH(BA637,BA$120:BA636,0)),MAX(BB$120:BB636)+1,""))</f>
        <v/>
      </c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  <c r="AQ638" s="7" t="n"/>
      <c r="AR638" s="7" t="n"/>
      <c r="AS638" s="7" t="n"/>
      <c r="AT638" s="7" t="n"/>
      <c r="AU638" s="7" t="n"/>
      <c r="AV638" s="7" t="n"/>
      <c r="AW638" s="7" t="n"/>
      <c r="AX638" s="7" t="n"/>
      <c r="AY638" s="7" t="n"/>
      <c r="BA638" s="42">
        <f>IF(COUNT(B638:AY638)=0,"",IF(TRIM(A638)&lt;&gt;"",TRIM(A638),IF(BA637="","(geen naam)",BA637)))</f>
        <v/>
      </c>
      <c r="BB638" s="42">
        <f>IF(BA638="","",IF(ISNA(MATCH(BA638,BA$120:BA637,0)),MAX(BB$120:BB637)+1,""))</f>
        <v/>
      </c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/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BA639" s="42">
        <f>IF(COUNT(B639:AY639)=0,"",IF(TRIM(A639)&lt;&gt;"",TRIM(A639),IF(BA638="","(geen naam)",BA638)))</f>
        <v/>
      </c>
      <c r="BB639" s="42">
        <f>IF(BA639="","",IF(ISNA(MATCH(BA639,BA$120:BA638,0)),MAX(BB$120:BB638)+1,""))</f>
        <v/>
      </c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BA640" s="42">
        <f>IF(COUNT(B640:AY640)=0,"",IF(TRIM(A640)&lt;&gt;"",TRIM(A640),IF(BA639="","(geen naam)",BA639)))</f>
        <v/>
      </c>
      <c r="BB640" s="42">
        <f>IF(BA640="","",IF(ISNA(MATCH(BA640,BA$120:BA639,0)),MAX(BB$120:BB639)+1,""))</f>
        <v/>
      </c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BA641" s="42">
        <f>IF(COUNT(B641:AY641)=0,"",IF(TRIM(A641)&lt;&gt;"",TRIM(A641),IF(BA640="","(geen naam)",BA640)))</f>
        <v/>
      </c>
      <c r="BB641" s="42">
        <f>IF(BA641="","",IF(ISNA(MATCH(BA641,BA$120:BA640,0)),MAX(BB$120:BB640)+1,""))</f>
        <v/>
      </c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BA642" s="42">
        <f>IF(COUNT(B642:AY642)=0,"",IF(TRIM(A642)&lt;&gt;"",TRIM(A642),IF(BA641="","(geen naam)",BA641)))</f>
        <v/>
      </c>
      <c r="BB642" s="42">
        <f>IF(BA642="","",IF(ISNA(MATCH(BA642,BA$120:BA641,0)),MAX(BB$120:BB641)+1,""))</f>
        <v/>
      </c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BA643" s="42">
        <f>IF(COUNT(B643:AY643)=0,"",IF(TRIM(A643)&lt;&gt;"",TRIM(A643),IF(BA642="","(geen naam)",BA642)))</f>
        <v/>
      </c>
      <c r="BB643" s="42">
        <f>IF(BA643="","",IF(ISNA(MATCH(BA643,BA$120:BA642,0)),MAX(BB$120:BB642)+1,""))</f>
        <v/>
      </c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BA644" s="42">
        <f>IF(COUNT(B644:AY644)=0,"",IF(TRIM(A644)&lt;&gt;"",TRIM(A644),IF(BA643="","(geen naam)",BA643)))</f>
        <v/>
      </c>
      <c r="BB644" s="42">
        <f>IF(BA644="","",IF(ISNA(MATCH(BA644,BA$120:BA643,0)),MAX(BB$120:BB643)+1,""))</f>
        <v/>
      </c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BA645" s="42">
        <f>IF(COUNT(B645:AY645)=0,"",IF(TRIM(A645)&lt;&gt;"",TRIM(A645),IF(BA644="","(geen naam)",BA644)))</f>
        <v/>
      </c>
      <c r="BB645" s="42">
        <f>IF(BA645="","",IF(ISNA(MATCH(BA645,BA$120:BA644,0)),MAX(BB$120:BB644)+1,""))</f>
        <v/>
      </c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/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/>
      <c r="AX646" s="7" t="n"/>
      <c r="AY646" s="7" t="n"/>
      <c r="BA646" s="42">
        <f>IF(COUNT(B646:AY646)=0,"",IF(TRIM(A646)&lt;&gt;"",TRIM(A646),IF(BA645="","(geen naam)",BA645)))</f>
        <v/>
      </c>
      <c r="BB646" s="42">
        <f>IF(BA646="","",IF(ISNA(MATCH(BA646,BA$120:BA645,0)),MAX(BB$120:BB645)+1,""))</f>
        <v/>
      </c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/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BA647" s="42">
        <f>IF(COUNT(B647:AY647)=0,"",IF(TRIM(A647)&lt;&gt;"",TRIM(A647),IF(BA646="","(geen naam)",BA646)))</f>
        <v/>
      </c>
      <c r="BB647" s="42">
        <f>IF(BA647="","",IF(ISNA(MATCH(BA647,BA$120:BA646,0)),MAX(BB$120:BB646)+1,""))</f>
        <v/>
      </c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/>
      <c r="AY648" s="7" t="n"/>
      <c r="BA648" s="42">
        <f>IF(COUNT(B648:AY648)=0,"",IF(TRIM(A648)&lt;&gt;"",TRIM(A648),IF(BA647="","(geen naam)",BA647)))</f>
        <v/>
      </c>
      <c r="BB648" s="42">
        <f>IF(BA648="","",IF(ISNA(MATCH(BA648,BA$120:BA647,0)),MAX(BB$120:BB647)+1,""))</f>
        <v/>
      </c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BA649" s="42">
        <f>IF(COUNT(B649:AY649)=0,"",IF(TRIM(A649)&lt;&gt;"",TRIM(A649),IF(BA648="","(geen naam)",BA648)))</f>
        <v/>
      </c>
      <c r="BB649" s="42">
        <f>IF(BA649="","",IF(ISNA(MATCH(BA649,BA$120:BA648,0)),MAX(BB$120:BB648)+1,""))</f>
        <v/>
      </c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BA650" s="42">
        <f>IF(COUNT(B650:AY650)=0,"",IF(TRIM(A650)&lt;&gt;"",TRIM(A650),IF(BA649="","(geen naam)",BA649)))</f>
        <v/>
      </c>
      <c r="BB650" s="42">
        <f>IF(BA650="","",IF(ISNA(MATCH(BA650,BA$120:BA649,0)),MAX(BB$120:BB649)+1,""))</f>
        <v/>
      </c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BA651" s="42">
        <f>IF(COUNT(B651:AY651)=0,"",IF(TRIM(A651)&lt;&gt;"",TRIM(A651),IF(BA650="","(geen naam)",BA650)))</f>
        <v/>
      </c>
      <c r="BB651" s="42">
        <f>IF(BA651="","",IF(ISNA(MATCH(BA651,BA$120:BA650,0)),MAX(BB$120:BB650)+1,""))</f>
        <v/>
      </c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BA652" s="42">
        <f>IF(COUNT(B652:AY652)=0,"",IF(TRIM(A652)&lt;&gt;"",TRIM(A652),IF(BA651="","(geen naam)",BA651)))</f>
        <v/>
      </c>
      <c r="BB652" s="42">
        <f>IF(BA652="","",IF(ISNA(MATCH(BA652,BA$120:BA651,0)),MAX(BB$120:BB651)+1,""))</f>
        <v/>
      </c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BA653" s="42">
        <f>IF(COUNT(B653:AY653)=0,"",IF(TRIM(A653)&lt;&gt;"",TRIM(A653),IF(BA652="","(geen naam)",BA652)))</f>
        <v/>
      </c>
      <c r="BB653" s="42">
        <f>IF(BA653="","",IF(ISNA(MATCH(BA653,BA$120:BA652,0)),MAX(BB$120:BB652)+1,""))</f>
        <v/>
      </c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BA654" s="42">
        <f>IF(COUNT(B654:AY654)=0,"",IF(TRIM(A654)&lt;&gt;"",TRIM(A654),IF(BA653="","(geen naam)",BA653)))</f>
        <v/>
      </c>
      <c r="BB654" s="42">
        <f>IF(BA654="","",IF(ISNA(MATCH(BA654,BA$120:BA653,0)),MAX(BB$120:BB653)+1,""))</f>
        <v/>
      </c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BA655" s="42">
        <f>IF(COUNT(B655:AY655)=0,"",IF(TRIM(A655)&lt;&gt;"",TRIM(A655),IF(BA654="","(geen naam)",BA654)))</f>
        <v/>
      </c>
      <c r="BB655" s="42">
        <f>IF(BA655="","",IF(ISNA(MATCH(BA655,BA$120:BA654,0)),MAX(BB$120:BB654)+1,""))</f>
        <v/>
      </c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BA656" s="42">
        <f>IF(COUNT(B656:AY656)=0,"",IF(TRIM(A656)&lt;&gt;"",TRIM(A656),IF(BA655="","(geen naam)",BA655)))</f>
        <v/>
      </c>
      <c r="BB656" s="42">
        <f>IF(BA656="","",IF(ISNA(MATCH(BA656,BA$120:BA655,0)),MAX(BB$120:BB655)+1,""))</f>
        <v/>
      </c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BA657" s="42">
        <f>IF(COUNT(B657:AY657)=0,"",IF(TRIM(A657)&lt;&gt;"",TRIM(A657),IF(BA656="","(geen naam)",BA656)))</f>
        <v/>
      </c>
      <c r="BB657" s="42">
        <f>IF(BA657="","",IF(ISNA(MATCH(BA657,BA$120:BA656,0)),MAX(BB$120:BB656)+1,""))</f>
        <v/>
      </c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/>
      <c r="AY658" s="7" t="n"/>
      <c r="BA658" s="42">
        <f>IF(COUNT(B658:AY658)=0,"",IF(TRIM(A658)&lt;&gt;"",TRIM(A658),IF(BA657="","(geen naam)",BA657)))</f>
        <v/>
      </c>
      <c r="BB658" s="42">
        <f>IF(BA658="","",IF(ISNA(MATCH(BA658,BA$120:BA657,0)),MAX(BB$120:BB657)+1,""))</f>
        <v/>
      </c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/>
      <c r="AY659" s="7" t="n"/>
      <c r="BA659" s="42">
        <f>IF(COUNT(B659:AY659)=0,"",IF(TRIM(A659)&lt;&gt;"",TRIM(A659),IF(BA658="","(geen naam)",BA658)))</f>
        <v/>
      </c>
      <c r="BB659" s="42">
        <f>IF(BA659="","",IF(ISNA(MATCH(BA659,BA$120:BA658,0)),MAX(BB$120:BB658)+1,""))</f>
        <v/>
      </c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/>
      <c r="AY660" s="7" t="n"/>
      <c r="BA660" s="42">
        <f>IF(COUNT(B660:AY660)=0,"",IF(TRIM(A660)&lt;&gt;"",TRIM(A660),IF(BA659="","(geen naam)",BA659)))</f>
        <v/>
      </c>
      <c r="BB660" s="42">
        <f>IF(BA660="","",IF(ISNA(MATCH(BA660,BA$120:BA659,0)),MAX(BB$120:BB659)+1,""))</f>
        <v/>
      </c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/>
      <c r="BA661" s="42">
        <f>IF(COUNT(B661:AY661)=0,"",IF(TRIM(A661)&lt;&gt;"",TRIM(A661),IF(BA660="","(geen naam)",BA660)))</f>
        <v/>
      </c>
      <c r="BB661" s="42">
        <f>IF(BA661="","",IF(ISNA(MATCH(BA661,BA$120:BA660,0)),MAX(BB$120:BB660)+1,""))</f>
        <v/>
      </c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BA662" s="42">
        <f>IF(COUNT(B662:AY662)=0,"",IF(TRIM(A662)&lt;&gt;"",TRIM(A662),IF(BA661="","(geen naam)",BA661)))</f>
        <v/>
      </c>
      <c r="BB662" s="42">
        <f>IF(BA662="","",IF(ISNA(MATCH(BA662,BA$120:BA661,0)),MAX(BB$120:BB661)+1,""))</f>
        <v/>
      </c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BA663" s="42">
        <f>IF(COUNT(B663:AY663)=0,"",IF(TRIM(A663)&lt;&gt;"",TRIM(A663),IF(BA662="","(geen naam)",BA662)))</f>
        <v/>
      </c>
      <c r="BB663" s="42">
        <f>IF(BA663="","",IF(ISNA(MATCH(BA663,BA$120:BA662,0)),MAX(BB$120:BB662)+1,""))</f>
        <v/>
      </c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BA664" s="42">
        <f>IF(COUNT(B664:AY664)=0,"",IF(TRIM(A664)&lt;&gt;"",TRIM(A664),IF(BA663="","(geen naam)",BA663)))</f>
        <v/>
      </c>
      <c r="BB664" s="42">
        <f>IF(BA664="","",IF(ISNA(MATCH(BA664,BA$120:BA663,0)),MAX(BB$120:BB663)+1,""))</f>
        <v/>
      </c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BA665" s="42">
        <f>IF(COUNT(B665:AY665)=0,"",IF(TRIM(A665)&lt;&gt;"",TRIM(A665),IF(BA664="","(geen naam)",BA664)))</f>
        <v/>
      </c>
      <c r="BB665" s="42">
        <f>IF(BA665="","",IF(ISNA(MATCH(BA665,BA$120:BA664,0)),MAX(BB$120:BB664)+1,""))</f>
        <v/>
      </c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  <c r="AF666" s="7" t="n"/>
      <c r="AG666" s="7" t="n"/>
      <c r="AH666" s="7" t="n"/>
      <c r="AI666" s="7" t="n"/>
      <c r="AJ666" s="7" t="n"/>
      <c r="AK666" s="7" t="n"/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BA666" s="42">
        <f>IF(COUNT(B666:AY666)=0,"",IF(TRIM(A666)&lt;&gt;"",TRIM(A666),IF(BA665="","(geen naam)",BA665)))</f>
        <v/>
      </c>
      <c r="BB666" s="42">
        <f>IF(BA666="","",IF(ISNA(MATCH(BA666,BA$120:BA665,0)),MAX(BB$120:BB665)+1,""))</f>
        <v/>
      </c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BA667" s="42">
        <f>IF(COUNT(B667:AY667)=0,"",IF(TRIM(A667)&lt;&gt;"",TRIM(A667),IF(BA666="","(geen naam)",BA666)))</f>
        <v/>
      </c>
      <c r="BB667" s="42">
        <f>IF(BA667="","",IF(ISNA(MATCH(BA667,BA$120:BA666,0)),MAX(BB$120:BB666)+1,""))</f>
        <v/>
      </c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  <c r="AC668" s="7" t="n"/>
      <c r="AD668" s="7" t="n"/>
      <c r="AE668" s="7" t="n"/>
      <c r="AF668" s="7" t="n"/>
      <c r="AG668" s="7" t="n"/>
      <c r="AH668" s="7" t="n"/>
      <c r="AI668" s="7" t="n"/>
      <c r="AJ668" s="7" t="n"/>
      <c r="AK668" s="7" t="n"/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BA668" s="42">
        <f>IF(COUNT(B668:AY668)=0,"",IF(TRIM(A668)&lt;&gt;"",TRIM(A668),IF(BA667="","(geen naam)",BA667)))</f>
        <v/>
      </c>
      <c r="BB668" s="42">
        <f>IF(BA668="","",IF(ISNA(MATCH(BA668,BA$120:BA667,0)),MAX(BB$120:BB667)+1,""))</f>
        <v/>
      </c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BA669" s="42">
        <f>IF(COUNT(B669:AY669)=0,"",IF(TRIM(A669)&lt;&gt;"",TRIM(A669),IF(BA668="","(geen naam)",BA668)))</f>
        <v/>
      </c>
      <c r="BB669" s="42">
        <f>IF(BA669="","",IF(ISNA(MATCH(BA669,BA$120:BA668,0)),MAX(BB$120:BB668)+1,""))</f>
        <v/>
      </c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BA670" s="42">
        <f>IF(COUNT(B670:AY670)=0,"",IF(TRIM(A670)&lt;&gt;"",TRIM(A670),IF(BA669="","(geen naam)",BA669)))</f>
        <v/>
      </c>
      <c r="BB670" s="42">
        <f>IF(BA670="","",IF(ISNA(MATCH(BA670,BA$120:BA669,0)),MAX(BB$120:BB669)+1,""))</f>
        <v/>
      </c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BA671" s="42">
        <f>IF(COUNT(B671:AY671)=0,"",IF(TRIM(A671)&lt;&gt;"",TRIM(A671),IF(BA670="","(geen naam)",BA670)))</f>
        <v/>
      </c>
      <c r="BB671" s="42">
        <f>IF(BA671="","",IF(ISNA(MATCH(BA671,BA$120:BA670,0)),MAX(BB$120:BB670)+1,""))</f>
        <v/>
      </c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BA672" s="42">
        <f>IF(COUNT(B672:AY672)=0,"",IF(TRIM(A672)&lt;&gt;"",TRIM(A672),IF(BA671="","(geen naam)",BA671)))</f>
        <v/>
      </c>
      <c r="BB672" s="42">
        <f>IF(BA672="","",IF(ISNA(MATCH(BA672,BA$120:BA671,0)),MAX(BB$120:BB671)+1,""))</f>
        <v/>
      </c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BA673" s="42">
        <f>IF(COUNT(B673:AY673)=0,"",IF(TRIM(A673)&lt;&gt;"",TRIM(A673),IF(BA672="","(geen naam)",BA672)))</f>
        <v/>
      </c>
      <c r="BB673" s="42">
        <f>IF(BA673="","",IF(ISNA(MATCH(BA673,BA$120:BA672,0)),MAX(BB$120:BB672)+1,""))</f>
        <v/>
      </c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BA674" s="42">
        <f>IF(COUNT(B674:AY674)=0,"",IF(TRIM(A674)&lt;&gt;"",TRIM(A674),IF(BA673="","(geen naam)",BA673)))</f>
        <v/>
      </c>
      <c r="BB674" s="42">
        <f>IF(BA674="","",IF(ISNA(MATCH(BA674,BA$120:BA673,0)),MAX(BB$120:BB673)+1,""))</f>
        <v/>
      </c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BA675" s="42">
        <f>IF(COUNT(B675:AY675)=0,"",IF(TRIM(A675)&lt;&gt;"",TRIM(A675),IF(BA674="","(geen naam)",BA674)))</f>
        <v/>
      </c>
      <c r="BB675" s="42">
        <f>IF(BA675="","",IF(ISNA(MATCH(BA675,BA$120:BA674,0)),MAX(BB$120:BB674)+1,""))</f>
        <v/>
      </c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BA676" s="42">
        <f>IF(COUNT(B676:AY676)=0,"",IF(TRIM(A676)&lt;&gt;"",TRIM(A676),IF(BA675="","(geen naam)",BA675)))</f>
        <v/>
      </c>
      <c r="BB676" s="42">
        <f>IF(BA676="","",IF(ISNA(MATCH(BA676,BA$120:BA675,0)),MAX(BB$120:BB675)+1,""))</f>
        <v/>
      </c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BA677" s="42">
        <f>IF(COUNT(B677:AY677)=0,"",IF(TRIM(A677)&lt;&gt;"",TRIM(A677),IF(BA676="","(geen naam)",BA676)))</f>
        <v/>
      </c>
      <c r="BB677" s="42">
        <f>IF(BA677="","",IF(ISNA(MATCH(BA677,BA$120:BA676,0)),MAX(BB$120:BB676)+1,""))</f>
        <v/>
      </c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BA678" s="42">
        <f>IF(COUNT(B678:AY678)=0,"",IF(TRIM(A678)&lt;&gt;"",TRIM(A678),IF(BA677="","(geen naam)",BA677)))</f>
        <v/>
      </c>
      <c r="BB678" s="42">
        <f>IF(BA678="","",IF(ISNA(MATCH(BA678,BA$120:BA677,0)),MAX(BB$120:BB677)+1,""))</f>
        <v/>
      </c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BA679" s="42">
        <f>IF(COUNT(B679:AY679)=0,"",IF(TRIM(A679)&lt;&gt;"",TRIM(A679),IF(BA678="","(geen naam)",BA678)))</f>
        <v/>
      </c>
      <c r="BB679" s="42">
        <f>IF(BA679="","",IF(ISNA(MATCH(BA679,BA$120:BA678,0)),MAX(BB$120:BB678)+1,""))</f>
        <v/>
      </c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BA680" s="42">
        <f>IF(COUNT(B680:AY680)=0,"",IF(TRIM(A680)&lt;&gt;"",TRIM(A680),IF(BA679="","(geen naam)",BA679)))</f>
        <v/>
      </c>
      <c r="BB680" s="42">
        <f>IF(BA680="","",IF(ISNA(MATCH(BA680,BA$120:BA679,0)),MAX(BB$120:BB679)+1,""))</f>
        <v/>
      </c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/>
      <c r="AY681" s="7" t="n"/>
      <c r="BA681" s="42">
        <f>IF(COUNT(B681:AY681)=0,"",IF(TRIM(A681)&lt;&gt;"",TRIM(A681),IF(BA680="","(geen naam)",BA680)))</f>
        <v/>
      </c>
      <c r="BB681" s="42">
        <f>IF(BA681="","",IF(ISNA(MATCH(BA681,BA$120:BA680,0)),MAX(BB$120:BB680)+1,""))</f>
        <v/>
      </c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/>
      <c r="BA682" s="42">
        <f>IF(COUNT(B682:AY682)=0,"",IF(TRIM(A682)&lt;&gt;"",TRIM(A682),IF(BA681="","(geen naam)",BA681)))</f>
        <v/>
      </c>
      <c r="BB682" s="42">
        <f>IF(BA682="","",IF(ISNA(MATCH(BA682,BA$120:BA681,0)),MAX(BB$120:BB681)+1,""))</f>
        <v/>
      </c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BA683" s="42">
        <f>IF(COUNT(B683:AY683)=0,"",IF(TRIM(A683)&lt;&gt;"",TRIM(A683),IF(BA682="","(geen naam)",BA682)))</f>
        <v/>
      </c>
      <c r="BB683" s="42">
        <f>IF(BA683="","",IF(ISNA(MATCH(BA683,BA$120:BA682,0)),MAX(BB$120:BB682)+1,""))</f>
        <v/>
      </c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BA684" s="42">
        <f>IF(COUNT(B684:AY684)=0,"",IF(TRIM(A684)&lt;&gt;"",TRIM(A684),IF(BA683="","(geen naam)",BA683)))</f>
        <v/>
      </c>
      <c r="BB684" s="42">
        <f>IF(BA684="","",IF(ISNA(MATCH(BA684,BA$120:BA683,0)),MAX(BB$120:BB683)+1,""))</f>
        <v/>
      </c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BA685" s="42">
        <f>IF(COUNT(B685:AY685)=0,"",IF(TRIM(A685)&lt;&gt;"",TRIM(A685),IF(BA684="","(geen naam)",BA684)))</f>
        <v/>
      </c>
      <c r="BB685" s="42">
        <f>IF(BA685="","",IF(ISNA(MATCH(BA685,BA$120:BA684,0)),MAX(BB$120:BB684)+1,""))</f>
        <v/>
      </c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BA686" s="42">
        <f>IF(COUNT(B686:AY686)=0,"",IF(TRIM(A686)&lt;&gt;"",TRIM(A686),IF(BA685="","(geen naam)",BA685)))</f>
        <v/>
      </c>
      <c r="BB686" s="42">
        <f>IF(BA686="","",IF(ISNA(MATCH(BA686,BA$120:BA685,0)),MAX(BB$120:BB685)+1,""))</f>
        <v/>
      </c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BA687" s="42">
        <f>IF(COUNT(B687:AY687)=0,"",IF(TRIM(A687)&lt;&gt;"",TRIM(A687),IF(BA686="","(geen naam)",BA686)))</f>
        <v/>
      </c>
      <c r="BB687" s="42">
        <f>IF(BA687="","",IF(ISNA(MATCH(BA687,BA$120:BA686,0)),MAX(BB$120:BB686)+1,""))</f>
        <v/>
      </c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BA688" s="42">
        <f>IF(COUNT(B688:AY688)=0,"",IF(TRIM(A688)&lt;&gt;"",TRIM(A688),IF(BA687="","(geen naam)",BA687)))</f>
        <v/>
      </c>
      <c r="BB688" s="42">
        <f>IF(BA688="","",IF(ISNA(MATCH(BA688,BA$120:BA687,0)),MAX(BB$120:BB687)+1,""))</f>
        <v/>
      </c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/>
      <c r="AY689" s="7" t="n"/>
      <c r="BA689" s="42">
        <f>IF(COUNT(B689:AY689)=0,"",IF(TRIM(A689)&lt;&gt;"",TRIM(A689),IF(BA688="","(geen naam)",BA688)))</f>
        <v/>
      </c>
      <c r="BB689" s="42">
        <f>IF(BA689="","",IF(ISNA(MATCH(BA689,BA$120:BA688,0)),MAX(BB$120:BB688)+1,""))</f>
        <v/>
      </c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BA690" s="42">
        <f>IF(COUNT(B690:AY690)=0,"",IF(TRIM(A690)&lt;&gt;"",TRIM(A690),IF(BA689="","(geen naam)",BA689)))</f>
        <v/>
      </c>
      <c r="BB690" s="42">
        <f>IF(BA690="","",IF(ISNA(MATCH(BA690,BA$120:BA689,0)),MAX(BB$120:BB689)+1,""))</f>
        <v/>
      </c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BA691" s="42">
        <f>IF(COUNT(B691:AY691)=0,"",IF(TRIM(A691)&lt;&gt;"",TRIM(A691),IF(BA690="","(geen naam)",BA690)))</f>
        <v/>
      </c>
      <c r="BB691" s="42">
        <f>IF(BA691="","",IF(ISNA(MATCH(BA691,BA$120:BA690,0)),MAX(BB$120:BB690)+1,""))</f>
        <v/>
      </c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BA692" s="42">
        <f>IF(COUNT(B692:AY692)=0,"",IF(TRIM(A692)&lt;&gt;"",TRIM(A692),IF(BA691="","(geen naam)",BA691)))</f>
        <v/>
      </c>
      <c r="BB692" s="42">
        <f>IF(BA692="","",IF(ISNA(MATCH(BA692,BA$120:BA691,0)),MAX(BB$120:BB691)+1,""))</f>
        <v/>
      </c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BA693" s="42">
        <f>IF(COUNT(B693:AY693)=0,"",IF(TRIM(A693)&lt;&gt;"",TRIM(A693),IF(BA692="","(geen naam)",BA692)))</f>
        <v/>
      </c>
      <c r="BB693" s="42">
        <f>IF(BA693="","",IF(ISNA(MATCH(BA693,BA$120:BA692,0)),MAX(BB$120:BB692)+1,""))</f>
        <v/>
      </c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BA694" s="42">
        <f>IF(COUNT(B694:AY694)=0,"",IF(TRIM(A694)&lt;&gt;"",TRIM(A694),IF(BA693="","(geen naam)",BA693)))</f>
        <v/>
      </c>
      <c r="BB694" s="42">
        <f>IF(BA694="","",IF(ISNA(MATCH(BA694,BA$120:BA693,0)),MAX(BB$120:BB693)+1,""))</f>
        <v/>
      </c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BA695" s="42">
        <f>IF(COUNT(B695:AY695)=0,"",IF(TRIM(A695)&lt;&gt;"",TRIM(A695),IF(BA694="","(geen naam)",BA694)))</f>
        <v/>
      </c>
      <c r="BB695" s="42">
        <f>IF(BA695="","",IF(ISNA(MATCH(BA695,BA$120:BA694,0)),MAX(BB$120:BB694)+1,""))</f>
        <v/>
      </c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BA696" s="42">
        <f>IF(COUNT(B696:AY696)=0,"",IF(TRIM(A696)&lt;&gt;"",TRIM(A696),IF(BA695="","(geen naam)",BA695)))</f>
        <v/>
      </c>
      <c r="BB696" s="42">
        <f>IF(BA696="","",IF(ISNA(MATCH(BA696,BA$120:BA695,0)),MAX(BB$120:BB695)+1,""))</f>
        <v/>
      </c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BA697" s="42">
        <f>IF(COUNT(B697:AY697)=0,"",IF(TRIM(A697)&lt;&gt;"",TRIM(A697),IF(BA696="","(geen naam)",BA696)))</f>
        <v/>
      </c>
      <c r="BB697" s="42">
        <f>IF(BA697="","",IF(ISNA(MATCH(BA697,BA$120:BA696,0)),MAX(BB$120:BB696)+1,""))</f>
        <v/>
      </c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BA698" s="42">
        <f>IF(COUNT(B698:AY698)=0,"",IF(TRIM(A698)&lt;&gt;"",TRIM(A698),IF(BA697="","(geen naam)",BA697)))</f>
        <v/>
      </c>
      <c r="BB698" s="42">
        <f>IF(BA698="","",IF(ISNA(MATCH(BA698,BA$120:BA697,0)),MAX(BB$120:BB697)+1,""))</f>
        <v/>
      </c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BA699" s="42">
        <f>IF(COUNT(B699:AY699)=0,"",IF(TRIM(A699)&lt;&gt;"",TRIM(A699),IF(BA698="","(geen naam)",BA698)))</f>
        <v/>
      </c>
      <c r="BB699" s="42">
        <f>IF(BA699="","",IF(ISNA(MATCH(BA699,BA$120:BA698,0)),MAX(BB$120:BB698)+1,""))</f>
        <v/>
      </c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/>
      <c r="AW700" s="7" t="n"/>
      <c r="AX700" s="7" t="n"/>
      <c r="AY700" s="7" t="n"/>
      <c r="BA700" s="42">
        <f>IF(COUNT(B700:AY700)=0,"",IF(TRIM(A700)&lt;&gt;"",TRIM(A700),IF(BA699="","(geen naam)",BA699)))</f>
        <v/>
      </c>
      <c r="BB700" s="42">
        <f>IF(BA700="","",IF(ISNA(MATCH(BA700,BA$120:BA699,0)),MAX(BB$120:BB699)+1,""))</f>
        <v/>
      </c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/>
      <c r="BA701" s="42">
        <f>IF(COUNT(B701:AY701)=0,"",IF(TRIM(A701)&lt;&gt;"",TRIM(A701),IF(BA700="","(geen naam)",BA700)))</f>
        <v/>
      </c>
      <c r="BB701" s="42">
        <f>IF(BA701="","",IF(ISNA(MATCH(BA701,BA$120:BA700,0)),MAX(BB$120:BB700)+1,""))</f>
        <v/>
      </c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/>
      <c r="BA702" s="42">
        <f>IF(COUNT(B702:AY702)=0,"",IF(TRIM(A702)&lt;&gt;"",TRIM(A702),IF(BA701="","(geen naam)",BA701)))</f>
        <v/>
      </c>
      <c r="BB702" s="42">
        <f>IF(BA702="","",IF(ISNA(MATCH(BA702,BA$120:BA701,0)),MAX(BB$120:BB701)+1,""))</f>
        <v/>
      </c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/>
      <c r="BA703" s="42">
        <f>IF(COUNT(B703:AY703)=0,"",IF(TRIM(A703)&lt;&gt;"",TRIM(A703),IF(BA702="","(geen naam)",BA702)))</f>
        <v/>
      </c>
      <c r="BB703" s="42">
        <f>IF(BA703="","",IF(ISNA(MATCH(BA703,BA$120:BA702,0)),MAX(BB$120:BB702)+1,""))</f>
        <v/>
      </c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BA704" s="42">
        <f>IF(COUNT(B704:AY704)=0,"",IF(TRIM(A704)&lt;&gt;"",TRIM(A704),IF(BA703="","(geen naam)",BA703)))</f>
        <v/>
      </c>
      <c r="BB704" s="42">
        <f>IF(BA704="","",IF(ISNA(MATCH(BA704,BA$120:BA703,0)),MAX(BB$120:BB703)+1,""))</f>
        <v/>
      </c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BA705" s="42">
        <f>IF(COUNT(B705:AY705)=0,"",IF(TRIM(A705)&lt;&gt;"",TRIM(A705),IF(BA704="","(geen naam)",BA704)))</f>
        <v/>
      </c>
      <c r="BB705" s="42">
        <f>IF(BA705="","",IF(ISNA(MATCH(BA705,BA$120:BA704,0)),MAX(BB$120:BB704)+1,""))</f>
        <v/>
      </c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BA706" s="42">
        <f>IF(COUNT(B706:AY706)=0,"",IF(TRIM(A706)&lt;&gt;"",TRIM(A706),IF(BA705="","(geen naam)",BA705)))</f>
        <v/>
      </c>
      <c r="BB706" s="42">
        <f>IF(BA706="","",IF(ISNA(MATCH(BA706,BA$120:BA705,0)),MAX(BB$120:BB705)+1,""))</f>
        <v/>
      </c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BA707" s="42">
        <f>IF(COUNT(B707:AY707)=0,"",IF(TRIM(A707)&lt;&gt;"",TRIM(A707),IF(BA706="","(geen naam)",BA706)))</f>
        <v/>
      </c>
      <c r="BB707" s="42">
        <f>IF(BA707="","",IF(ISNA(MATCH(BA707,BA$120:BA706,0)),MAX(BB$120:BB706)+1,""))</f>
        <v/>
      </c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BA708" s="42">
        <f>IF(COUNT(B708:AY708)=0,"",IF(TRIM(A708)&lt;&gt;"",TRIM(A708),IF(BA707="","(geen naam)",BA707)))</f>
        <v/>
      </c>
      <c r="BB708" s="42">
        <f>IF(BA708="","",IF(ISNA(MATCH(BA708,BA$120:BA707,0)),MAX(BB$120:BB707)+1,""))</f>
        <v/>
      </c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BA709" s="42">
        <f>IF(COUNT(B709:AY709)=0,"",IF(TRIM(A709)&lt;&gt;"",TRIM(A709),IF(BA708="","(geen naam)",BA708)))</f>
        <v/>
      </c>
      <c r="BB709" s="42">
        <f>IF(BA709="","",IF(ISNA(MATCH(BA709,BA$120:BA708,0)),MAX(BB$120:BB708)+1,""))</f>
        <v/>
      </c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BA710" s="42">
        <f>IF(COUNT(B710:AY710)=0,"",IF(TRIM(A710)&lt;&gt;"",TRIM(A710),IF(BA709="","(geen naam)",BA709)))</f>
        <v/>
      </c>
      <c r="BB710" s="42">
        <f>IF(BA710="","",IF(ISNA(MATCH(BA710,BA$120:BA709,0)),MAX(BB$120:BB709)+1,""))</f>
        <v/>
      </c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BA711" s="42">
        <f>IF(COUNT(B711:AY711)=0,"",IF(TRIM(A711)&lt;&gt;"",TRIM(A711),IF(BA710="","(geen naam)",BA710)))</f>
        <v/>
      </c>
      <c r="BB711" s="42">
        <f>IF(BA711="","",IF(ISNA(MATCH(BA711,BA$120:BA710,0)),MAX(BB$120:BB710)+1,""))</f>
        <v/>
      </c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BA712" s="42">
        <f>IF(COUNT(B712:AY712)=0,"",IF(TRIM(A712)&lt;&gt;"",TRIM(A712),IF(BA711="","(geen naam)",BA711)))</f>
        <v/>
      </c>
      <c r="BB712" s="42">
        <f>IF(BA712="","",IF(ISNA(MATCH(BA712,BA$120:BA711,0)),MAX(BB$120:BB711)+1,""))</f>
        <v/>
      </c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/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BA713" s="42">
        <f>IF(COUNT(B713:AY713)=0,"",IF(TRIM(A713)&lt;&gt;"",TRIM(A713),IF(BA712="","(geen naam)",BA712)))</f>
        <v/>
      </c>
      <c r="BB713" s="42">
        <f>IF(BA713="","",IF(ISNA(MATCH(BA713,BA$120:BA712,0)),MAX(BB$120:BB712)+1,""))</f>
        <v/>
      </c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/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BA714" s="42">
        <f>IF(COUNT(B714:AY714)=0,"",IF(TRIM(A714)&lt;&gt;"",TRIM(A714),IF(BA713="","(geen naam)",BA713)))</f>
        <v/>
      </c>
      <c r="BB714" s="42">
        <f>IF(BA714="","",IF(ISNA(MATCH(BA714,BA$120:BA713,0)),MAX(BB$120:BB713)+1,""))</f>
        <v/>
      </c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/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BA715" s="42">
        <f>IF(COUNT(B715:AY715)=0,"",IF(TRIM(A715)&lt;&gt;"",TRIM(A715),IF(BA714="","(geen naam)",BA714)))</f>
        <v/>
      </c>
      <c r="BB715" s="42">
        <f>IF(BA715="","",IF(ISNA(MATCH(BA715,BA$120:BA714,0)),MAX(BB$120:BB714)+1,""))</f>
        <v/>
      </c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/>
      <c r="AY716" s="7" t="n"/>
      <c r="BA716" s="42">
        <f>IF(COUNT(B716:AY716)=0,"",IF(TRIM(A716)&lt;&gt;"",TRIM(A716),IF(BA715="","(geen naam)",BA715)))</f>
        <v/>
      </c>
      <c r="BB716" s="42">
        <f>IF(BA716="","",IF(ISNA(MATCH(BA716,BA$120:BA715,0)),MAX(BB$120:BB715)+1,""))</f>
        <v/>
      </c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/>
      <c r="AY717" s="7" t="n"/>
      <c r="BA717" s="42">
        <f>IF(COUNT(B717:AY717)=0,"",IF(TRIM(A717)&lt;&gt;"",TRIM(A717),IF(BA716="","(geen naam)",BA716)))</f>
        <v/>
      </c>
      <c r="BB717" s="42">
        <f>IF(BA717="","",IF(ISNA(MATCH(BA717,BA$120:BA716,0)),MAX(BB$120:BB716)+1,""))</f>
        <v/>
      </c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BA718" s="42">
        <f>IF(COUNT(B718:AY718)=0,"",IF(TRIM(A718)&lt;&gt;"",TRIM(A718),IF(BA717="","(geen naam)",BA717)))</f>
        <v/>
      </c>
      <c r="BB718" s="42">
        <f>IF(BA718="","",IF(ISNA(MATCH(BA718,BA$120:BA717,0)),MAX(BB$120:BB717)+1,""))</f>
        <v/>
      </c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BA719" s="42">
        <f>IF(COUNT(B719:AY719)=0,"",IF(TRIM(A719)&lt;&gt;"",TRIM(A719),IF(BA718="","(geen naam)",BA718)))</f>
        <v/>
      </c>
      <c r="BB719" s="42">
        <f>IF(BA719="","",IF(ISNA(MATCH(BA719,BA$120:BA718,0)),MAX(BB$120:BB718)+1,""))</f>
        <v/>
      </c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BA720" s="42">
        <f>IF(COUNT(B720:AY720)=0,"",IF(TRIM(A720)&lt;&gt;"",TRIM(A720),IF(BA719="","(geen naam)",BA719)))</f>
        <v/>
      </c>
      <c r="BB720" s="42">
        <f>IF(BA720="","",IF(ISNA(MATCH(BA720,BA$120:BA719,0)),MAX(BB$120:BB719)+1,""))</f>
        <v/>
      </c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  <c r="AV721" s="7" t="n"/>
      <c r="AW721" s="7" t="n"/>
      <c r="AX721" s="7" t="n"/>
      <c r="AY721" s="7" t="n"/>
      <c r="BA721" s="42">
        <f>IF(COUNT(B721:AY721)=0,"",IF(TRIM(A721)&lt;&gt;"",TRIM(A721),IF(BA720="","(geen naam)",BA720)))</f>
        <v/>
      </c>
      <c r="BB721" s="42">
        <f>IF(BA721="","",IF(ISNA(MATCH(BA721,BA$120:BA720,0)),MAX(BB$120:BB720)+1,""))</f>
        <v/>
      </c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  <c r="AF722" s="7" t="n"/>
      <c r="AG722" s="7" t="n"/>
      <c r="AH722" s="7" t="n"/>
      <c r="AI722" s="7" t="n"/>
      <c r="AJ722" s="7" t="n"/>
      <c r="AK722" s="7" t="n"/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  <c r="AV722" s="7" t="n"/>
      <c r="AW722" s="7" t="n"/>
      <c r="AX722" s="7" t="n"/>
      <c r="AY722" s="7" t="n"/>
      <c r="BA722" s="42">
        <f>IF(COUNT(B722:AY722)=0,"",IF(TRIM(A722)&lt;&gt;"",TRIM(A722),IF(BA721="","(geen naam)",BA721)))</f>
        <v/>
      </c>
      <c r="BB722" s="42">
        <f>IF(BA722="","",IF(ISNA(MATCH(BA722,BA$120:BA721,0)),MAX(BB$120:BB721)+1,""))</f>
        <v/>
      </c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  <c r="AV723" s="7" t="n"/>
      <c r="AW723" s="7" t="n"/>
      <c r="AX723" s="7" t="n"/>
      <c r="AY723" s="7" t="n"/>
      <c r="BA723" s="42">
        <f>IF(COUNT(B723:AY723)=0,"",IF(TRIM(A723)&lt;&gt;"",TRIM(A723),IF(BA722="","(geen naam)",BA722)))</f>
        <v/>
      </c>
      <c r="BB723" s="42">
        <f>IF(BA723="","",IF(ISNA(MATCH(BA723,BA$120:BA722,0)),MAX(BB$120:BB722)+1,""))</f>
        <v/>
      </c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  <c r="AF724" s="7" t="n"/>
      <c r="AG724" s="7" t="n"/>
      <c r="AH724" s="7" t="n"/>
      <c r="AI724" s="7" t="n"/>
      <c r="AJ724" s="7" t="n"/>
      <c r="AK724" s="7" t="n"/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  <c r="AV724" s="7" t="n"/>
      <c r="AW724" s="7" t="n"/>
      <c r="AX724" s="7" t="n"/>
      <c r="AY724" s="7" t="n"/>
      <c r="BA724" s="42">
        <f>IF(COUNT(B724:AY724)=0,"",IF(TRIM(A724)&lt;&gt;"",TRIM(A724),IF(BA723="","(geen naam)",BA723)))</f>
        <v/>
      </c>
      <c r="BB724" s="42">
        <f>IF(BA724="","",IF(ISNA(MATCH(BA724,BA$120:BA723,0)),MAX(BB$120:BB723)+1,""))</f>
        <v/>
      </c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  <c r="AV725" s="7" t="n"/>
      <c r="AW725" s="7" t="n"/>
      <c r="AX725" s="7" t="n"/>
      <c r="AY725" s="7" t="n"/>
      <c r="BA725" s="42">
        <f>IF(COUNT(B725:AY725)=0,"",IF(TRIM(A725)&lt;&gt;"",TRIM(A725),IF(BA724="","(geen naam)",BA724)))</f>
        <v/>
      </c>
      <c r="BB725" s="42">
        <f>IF(BA725="","",IF(ISNA(MATCH(BA725,BA$120:BA724,0)),MAX(BB$120:BB724)+1,""))</f>
        <v/>
      </c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  <c r="AF726" s="7" t="n"/>
      <c r="AG726" s="7" t="n"/>
      <c r="AH726" s="7" t="n"/>
      <c r="AI726" s="7" t="n"/>
      <c r="AJ726" s="7" t="n"/>
      <c r="AK726" s="7" t="n"/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n"/>
      <c r="AW726" s="7" t="n"/>
      <c r="AX726" s="7" t="n"/>
      <c r="AY726" s="7" t="n"/>
      <c r="BA726" s="42">
        <f>IF(COUNT(B726:AY726)=0,"",IF(TRIM(A726)&lt;&gt;"",TRIM(A726),IF(BA725="","(geen naam)",BA725)))</f>
        <v/>
      </c>
      <c r="BB726" s="42">
        <f>IF(BA726="","",IF(ISNA(MATCH(BA726,BA$120:BA725,0)),MAX(BB$120:BB725)+1,""))</f>
        <v/>
      </c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  <c r="AV727" s="7" t="n"/>
      <c r="AW727" s="7" t="n"/>
      <c r="AX727" s="7" t="n"/>
      <c r="AY727" s="7" t="n"/>
      <c r="BA727" s="42">
        <f>IF(COUNT(B727:AY727)=0,"",IF(TRIM(A727)&lt;&gt;"",TRIM(A727),IF(BA726="","(geen naam)",BA726)))</f>
        <v/>
      </c>
      <c r="BB727" s="42">
        <f>IF(BA727="","",IF(ISNA(MATCH(BA727,BA$120:BA726,0)),MAX(BB$120:BB726)+1,""))</f>
        <v/>
      </c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  <c r="AF728" s="7" t="n"/>
      <c r="AG728" s="7" t="n"/>
      <c r="AH728" s="7" t="n"/>
      <c r="AI728" s="7" t="n"/>
      <c r="AJ728" s="7" t="n"/>
      <c r="AK728" s="7" t="n"/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  <c r="AV728" s="7" t="n"/>
      <c r="AW728" s="7" t="n"/>
      <c r="AX728" s="7" t="n"/>
      <c r="AY728" s="7" t="n"/>
      <c r="BA728" s="42">
        <f>IF(COUNT(B728:AY728)=0,"",IF(TRIM(A728)&lt;&gt;"",TRIM(A728),IF(BA727="","(geen naam)",BA727)))</f>
        <v/>
      </c>
      <c r="BB728" s="42">
        <f>IF(BA728="","",IF(ISNA(MATCH(BA728,BA$120:BA727,0)),MAX(BB$120:BB727)+1,""))</f>
        <v/>
      </c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  <c r="AV729" s="7" t="n"/>
      <c r="AW729" s="7" t="n"/>
      <c r="AX729" s="7" t="n"/>
      <c r="AY729" s="7" t="n"/>
      <c r="BA729" s="42">
        <f>IF(COUNT(B729:AY729)=0,"",IF(TRIM(A729)&lt;&gt;"",TRIM(A729),IF(BA728="","(geen naam)",BA728)))</f>
        <v/>
      </c>
      <c r="BB729" s="42">
        <f>IF(BA729="","",IF(ISNA(MATCH(BA729,BA$120:BA728,0)),MAX(BB$120:BB728)+1,""))</f>
        <v/>
      </c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  <c r="AF730" s="7" t="n"/>
      <c r="AG730" s="7" t="n"/>
      <c r="AH730" s="7" t="n"/>
      <c r="AI730" s="7" t="n"/>
      <c r="AJ730" s="7" t="n"/>
      <c r="AK730" s="7" t="n"/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  <c r="AV730" s="7" t="n"/>
      <c r="AW730" s="7" t="n"/>
      <c r="AX730" s="7" t="n"/>
      <c r="AY730" s="7" t="n"/>
      <c r="BA730" s="42">
        <f>IF(COUNT(B730:AY730)=0,"",IF(TRIM(A730)&lt;&gt;"",TRIM(A730),IF(BA729="","(geen naam)",BA729)))</f>
        <v/>
      </c>
      <c r="BB730" s="42">
        <f>IF(BA730="","",IF(ISNA(MATCH(BA730,BA$120:BA729,0)),MAX(BB$120:BB729)+1,""))</f>
        <v/>
      </c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  <c r="AV731" s="7" t="n"/>
      <c r="AW731" s="7" t="n"/>
      <c r="AX731" s="7" t="n"/>
      <c r="AY731" s="7" t="n"/>
      <c r="BA731" s="42">
        <f>IF(COUNT(B731:AY731)=0,"",IF(TRIM(A731)&lt;&gt;"",TRIM(A731),IF(BA730="","(geen naam)",BA730)))</f>
        <v/>
      </c>
      <c r="BB731" s="42">
        <f>IF(BA731="","",IF(ISNA(MATCH(BA731,BA$120:BA730,0)),MAX(BB$120:BB730)+1,""))</f>
        <v/>
      </c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  <c r="AF732" s="7" t="n"/>
      <c r="AG732" s="7" t="n"/>
      <c r="AH732" s="7" t="n"/>
      <c r="AI732" s="7" t="n"/>
      <c r="AJ732" s="7" t="n"/>
      <c r="AK732" s="7" t="n"/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  <c r="AV732" s="7" t="n"/>
      <c r="AW732" s="7" t="n"/>
      <c r="AX732" s="7" t="n"/>
      <c r="AY732" s="7" t="n"/>
      <c r="BA732" s="42">
        <f>IF(COUNT(B732:AY732)=0,"",IF(TRIM(A732)&lt;&gt;"",TRIM(A732),IF(BA731="","(geen naam)",BA731)))</f>
        <v/>
      </c>
      <c r="BB732" s="42">
        <f>IF(BA732="","",IF(ISNA(MATCH(BA732,BA$120:BA731,0)),MAX(BB$120:BB731)+1,""))</f>
        <v/>
      </c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  <c r="AV733" s="7" t="n"/>
      <c r="AW733" s="7" t="n"/>
      <c r="AX733" s="7" t="n"/>
      <c r="AY733" s="7" t="n"/>
      <c r="BA733" s="42">
        <f>IF(COUNT(B733:AY733)=0,"",IF(TRIM(A733)&lt;&gt;"",TRIM(A733),IF(BA732="","(geen naam)",BA732)))</f>
        <v/>
      </c>
      <c r="BB733" s="42">
        <f>IF(BA733="","",IF(ISNA(MATCH(BA733,BA$120:BA732,0)),MAX(BB$120:BB732)+1,""))</f>
        <v/>
      </c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  <c r="AF734" s="7" t="n"/>
      <c r="AG734" s="7" t="n"/>
      <c r="AH734" s="7" t="n"/>
      <c r="AI734" s="7" t="n"/>
      <c r="AJ734" s="7" t="n"/>
      <c r="AK734" s="7" t="n"/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  <c r="AV734" s="7" t="n"/>
      <c r="AW734" s="7" t="n"/>
      <c r="AX734" s="7" t="n"/>
      <c r="AY734" s="7" t="n"/>
      <c r="BA734" s="42">
        <f>IF(COUNT(B734:AY734)=0,"",IF(TRIM(A734)&lt;&gt;"",TRIM(A734),IF(BA733="","(geen naam)",BA733)))</f>
        <v/>
      </c>
      <c r="BB734" s="42">
        <f>IF(BA734="","",IF(ISNA(MATCH(BA734,BA$120:BA733,0)),MAX(BB$120:BB733)+1,""))</f>
        <v/>
      </c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  <c r="AV735" s="7" t="n"/>
      <c r="AW735" s="7" t="n"/>
      <c r="AX735" s="7" t="n"/>
      <c r="AY735" s="7" t="n"/>
      <c r="BA735" s="42">
        <f>IF(COUNT(B735:AY735)=0,"",IF(TRIM(A735)&lt;&gt;"",TRIM(A735),IF(BA734="","(geen naam)",BA734)))</f>
        <v/>
      </c>
      <c r="BB735" s="42">
        <f>IF(BA735="","",IF(ISNA(MATCH(BA735,BA$120:BA734,0)),MAX(BB$120:BB734)+1,""))</f>
        <v/>
      </c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  <c r="AF736" s="7" t="n"/>
      <c r="AG736" s="7" t="n"/>
      <c r="AH736" s="7" t="n"/>
      <c r="AI736" s="7" t="n"/>
      <c r="AJ736" s="7" t="n"/>
      <c r="AK736" s="7" t="n"/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  <c r="AV736" s="7" t="n"/>
      <c r="AW736" s="7" t="n"/>
      <c r="AX736" s="7" t="n"/>
      <c r="AY736" s="7" t="n"/>
      <c r="BA736" s="42">
        <f>IF(COUNT(B736:AY736)=0,"",IF(TRIM(A736)&lt;&gt;"",TRIM(A736),IF(BA735="","(geen naam)",BA735)))</f>
        <v/>
      </c>
      <c r="BB736" s="42">
        <f>IF(BA736="","",IF(ISNA(MATCH(BA736,BA$120:BA735,0)),MAX(BB$120:BB735)+1,""))</f>
        <v/>
      </c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  <c r="AV737" s="7" t="n"/>
      <c r="AW737" s="7" t="n"/>
      <c r="AX737" s="7" t="n"/>
      <c r="AY737" s="7" t="n"/>
      <c r="BA737" s="42">
        <f>IF(COUNT(B737:AY737)=0,"",IF(TRIM(A737)&lt;&gt;"",TRIM(A737),IF(BA736="","(geen naam)",BA736)))</f>
        <v/>
      </c>
      <c r="BB737" s="42">
        <f>IF(BA737="","",IF(ISNA(MATCH(BA737,BA$120:BA736,0)),MAX(BB$120:BB736)+1,""))</f>
        <v/>
      </c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  <c r="AF738" s="7" t="n"/>
      <c r="AG738" s="7" t="n"/>
      <c r="AH738" s="7" t="n"/>
      <c r="AI738" s="7" t="n"/>
      <c r="AJ738" s="7" t="n"/>
      <c r="AK738" s="7" t="n"/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  <c r="AV738" s="7" t="n"/>
      <c r="AW738" s="7" t="n"/>
      <c r="AX738" s="7" t="n"/>
      <c r="AY738" s="7" t="n"/>
      <c r="BA738" s="42">
        <f>IF(COUNT(B738:AY738)=0,"",IF(TRIM(A738)&lt;&gt;"",TRIM(A738),IF(BA737="","(geen naam)",BA737)))</f>
        <v/>
      </c>
      <c r="BB738" s="42">
        <f>IF(BA738="","",IF(ISNA(MATCH(BA738,BA$120:BA737,0)),MAX(BB$120:BB737)+1,""))</f>
        <v/>
      </c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  <c r="AV739" s="7" t="n"/>
      <c r="AW739" s="7" t="n"/>
      <c r="AX739" s="7" t="n"/>
      <c r="AY739" s="7" t="n"/>
      <c r="BA739" s="42">
        <f>IF(COUNT(B739:AY739)=0,"",IF(TRIM(A739)&lt;&gt;"",TRIM(A739),IF(BA738="","(geen naam)",BA738)))</f>
        <v/>
      </c>
      <c r="BB739" s="42">
        <f>IF(BA739="","",IF(ISNA(MATCH(BA739,BA$120:BA738,0)),MAX(BB$120:BB738)+1,""))</f>
        <v/>
      </c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  <c r="AF740" s="7" t="n"/>
      <c r="AG740" s="7" t="n"/>
      <c r="AH740" s="7" t="n"/>
      <c r="AI740" s="7" t="n"/>
      <c r="AJ740" s="7" t="n"/>
      <c r="AK740" s="7" t="n"/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  <c r="AV740" s="7" t="n"/>
      <c r="AW740" s="7" t="n"/>
      <c r="AX740" s="7" t="n"/>
      <c r="AY740" s="7" t="n"/>
      <c r="BA740" s="42">
        <f>IF(COUNT(B740:AY740)=0,"",IF(TRIM(A740)&lt;&gt;"",TRIM(A740),IF(BA739="","(geen naam)",BA739)))</f>
        <v/>
      </c>
      <c r="BB740" s="42">
        <f>IF(BA740="","",IF(ISNA(MATCH(BA740,BA$120:BA739,0)),MAX(BB$120:BB739)+1,""))</f>
        <v/>
      </c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  <c r="AV741" s="7" t="n"/>
      <c r="AW741" s="7" t="n"/>
      <c r="AX741" s="7" t="n"/>
      <c r="AY741" s="7" t="n"/>
      <c r="BA741" s="42">
        <f>IF(COUNT(B741:AY741)=0,"",IF(TRIM(A741)&lt;&gt;"",TRIM(A741),IF(BA740="","(geen naam)",BA740)))</f>
        <v/>
      </c>
      <c r="BB741" s="42">
        <f>IF(BA741="","",IF(ISNA(MATCH(BA741,BA$120:BA740,0)),MAX(BB$120:BB740)+1,""))</f>
        <v/>
      </c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  <c r="AF742" s="7" t="n"/>
      <c r="AG742" s="7" t="n"/>
      <c r="AH742" s="7" t="n"/>
      <c r="AI742" s="7" t="n"/>
      <c r="AJ742" s="7" t="n"/>
      <c r="AK742" s="7" t="n"/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  <c r="AV742" s="7" t="n"/>
      <c r="AW742" s="7" t="n"/>
      <c r="AX742" s="7" t="n"/>
      <c r="AY742" s="7" t="n"/>
      <c r="BA742" s="42">
        <f>IF(COUNT(B742:AY742)=0,"",IF(TRIM(A742)&lt;&gt;"",TRIM(A742),IF(BA741="","(geen naam)",BA741)))</f>
        <v/>
      </c>
      <c r="BB742" s="42">
        <f>IF(BA742="","",IF(ISNA(MATCH(BA742,BA$120:BA741,0)),MAX(BB$120:BB741)+1,""))</f>
        <v/>
      </c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  <c r="AV743" s="7" t="n"/>
      <c r="AW743" s="7" t="n"/>
      <c r="AX743" s="7" t="n"/>
      <c r="AY743" s="7" t="n"/>
      <c r="BA743" s="42">
        <f>IF(COUNT(B743:AY743)=0,"",IF(TRIM(A743)&lt;&gt;"",TRIM(A743),IF(BA742="","(geen naam)",BA742)))</f>
        <v/>
      </c>
      <c r="BB743" s="42">
        <f>IF(BA743="","",IF(ISNA(MATCH(BA743,BA$120:BA742,0)),MAX(BB$120:BB742)+1,""))</f>
        <v/>
      </c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  <c r="AF744" s="7" t="n"/>
      <c r="AG744" s="7" t="n"/>
      <c r="AH744" s="7" t="n"/>
      <c r="AI744" s="7" t="n"/>
      <c r="AJ744" s="7" t="n"/>
      <c r="AK744" s="7" t="n"/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  <c r="AV744" s="7" t="n"/>
      <c r="AW744" s="7" t="n"/>
      <c r="AX744" s="7" t="n"/>
      <c r="AY744" s="7" t="n"/>
      <c r="BA744" s="42">
        <f>IF(COUNT(B744:AY744)=0,"",IF(TRIM(A744)&lt;&gt;"",TRIM(A744),IF(BA743="","(geen naam)",BA743)))</f>
        <v/>
      </c>
      <c r="BB744" s="42">
        <f>IF(BA744="","",IF(ISNA(MATCH(BA744,BA$120:BA743,0)),MAX(BB$120:BB743)+1,""))</f>
        <v/>
      </c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  <c r="AV745" s="7" t="n"/>
      <c r="AW745" s="7" t="n"/>
      <c r="AX745" s="7" t="n"/>
      <c r="AY745" s="7" t="n"/>
      <c r="BA745" s="42">
        <f>IF(COUNT(B745:AY745)=0,"",IF(TRIM(A745)&lt;&gt;"",TRIM(A745),IF(BA744="","(geen naam)",BA744)))</f>
        <v/>
      </c>
      <c r="BB745" s="42">
        <f>IF(BA745="","",IF(ISNA(MATCH(BA745,BA$120:BA744,0)),MAX(BB$120:BB744)+1,""))</f>
        <v/>
      </c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  <c r="AF746" s="7" t="n"/>
      <c r="AG746" s="7" t="n"/>
      <c r="AH746" s="7" t="n"/>
      <c r="AI746" s="7" t="n"/>
      <c r="AJ746" s="7" t="n"/>
      <c r="AK746" s="7" t="n"/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  <c r="AV746" s="7" t="n"/>
      <c r="AW746" s="7" t="n"/>
      <c r="AX746" s="7" t="n"/>
      <c r="AY746" s="7" t="n"/>
      <c r="BA746" s="42">
        <f>IF(COUNT(B746:AY746)=0,"",IF(TRIM(A746)&lt;&gt;"",TRIM(A746),IF(BA745="","(geen naam)",BA745)))</f>
        <v/>
      </c>
      <c r="BB746" s="42">
        <f>IF(BA746="","",IF(ISNA(MATCH(BA746,BA$120:BA745,0)),MAX(BB$120:BB745)+1,""))</f>
        <v/>
      </c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  <c r="AV747" s="7" t="n"/>
      <c r="AW747" s="7" t="n"/>
      <c r="AX747" s="7" t="n"/>
      <c r="AY747" s="7" t="n"/>
      <c r="BA747" s="42">
        <f>IF(COUNT(B747:AY747)=0,"",IF(TRIM(A747)&lt;&gt;"",TRIM(A747),IF(BA746="","(geen naam)",BA746)))</f>
        <v/>
      </c>
      <c r="BB747" s="42">
        <f>IF(BA747="","",IF(ISNA(MATCH(BA747,BA$120:BA746,0)),MAX(BB$120:BB746)+1,""))</f>
        <v/>
      </c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  <c r="AF748" s="7" t="n"/>
      <c r="AG748" s="7" t="n"/>
      <c r="AH748" s="7" t="n"/>
      <c r="AI748" s="7" t="n"/>
      <c r="AJ748" s="7" t="n"/>
      <c r="AK748" s="7" t="n"/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  <c r="AV748" s="7" t="n"/>
      <c r="AW748" s="7" t="n"/>
      <c r="AX748" s="7" t="n"/>
      <c r="AY748" s="7" t="n"/>
      <c r="BA748" s="42">
        <f>IF(COUNT(B748:AY748)=0,"",IF(TRIM(A748)&lt;&gt;"",TRIM(A748),IF(BA747="","(geen naam)",BA747)))</f>
        <v/>
      </c>
      <c r="BB748" s="42">
        <f>IF(BA748="","",IF(ISNA(MATCH(BA748,BA$120:BA747,0)),MAX(BB$120:BB747)+1,""))</f>
        <v/>
      </c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  <c r="AV749" s="7" t="n"/>
      <c r="AW749" s="7" t="n"/>
      <c r="AX749" s="7" t="n"/>
      <c r="AY749" s="7" t="n"/>
      <c r="BA749" s="42">
        <f>IF(COUNT(B749:AY749)=0,"",IF(TRIM(A749)&lt;&gt;"",TRIM(A749),IF(BA748="","(geen naam)",BA748)))</f>
        <v/>
      </c>
      <c r="BB749" s="42">
        <f>IF(BA749="","",IF(ISNA(MATCH(BA749,BA$120:BA748,0)),MAX(BB$120:BB748)+1,""))</f>
        <v/>
      </c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  <c r="AF750" s="7" t="n"/>
      <c r="AG750" s="7" t="n"/>
      <c r="AH750" s="7" t="n"/>
      <c r="AI750" s="7" t="n"/>
      <c r="AJ750" s="7" t="n"/>
      <c r="AK750" s="7" t="n"/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  <c r="AV750" s="7" t="n"/>
      <c r="AW750" s="7" t="n"/>
      <c r="AX750" s="7" t="n"/>
      <c r="AY750" s="7" t="n"/>
      <c r="BA750" s="42">
        <f>IF(COUNT(B750:AY750)=0,"",IF(TRIM(A750)&lt;&gt;"",TRIM(A750),IF(BA749="","(geen naam)",BA749)))</f>
        <v/>
      </c>
      <c r="BB750" s="42">
        <f>IF(BA750="","",IF(ISNA(MATCH(BA750,BA$120:BA749,0)),MAX(BB$120:BB749)+1,""))</f>
        <v/>
      </c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  <c r="AV751" s="7" t="n"/>
      <c r="AW751" s="7" t="n"/>
      <c r="AX751" s="7" t="n"/>
      <c r="AY751" s="7" t="n"/>
      <c r="BA751" s="42">
        <f>IF(COUNT(B751:AY751)=0,"",IF(TRIM(A751)&lt;&gt;"",TRIM(A751),IF(BA750="","(geen naam)",BA750)))</f>
        <v/>
      </c>
      <c r="BB751" s="42">
        <f>IF(BA751="","",IF(ISNA(MATCH(BA751,BA$120:BA750,0)),MAX(BB$120:BB750)+1,""))</f>
        <v/>
      </c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  <c r="AF752" s="7" t="n"/>
      <c r="AG752" s="7" t="n"/>
      <c r="AH752" s="7" t="n"/>
      <c r="AI752" s="7" t="n"/>
      <c r="AJ752" s="7" t="n"/>
      <c r="AK752" s="7" t="n"/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  <c r="AV752" s="7" t="n"/>
      <c r="AW752" s="7" t="n"/>
      <c r="AX752" s="7" t="n"/>
      <c r="AY752" s="7" t="n"/>
      <c r="BA752" s="42">
        <f>IF(COUNT(B752:AY752)=0,"",IF(TRIM(A752)&lt;&gt;"",TRIM(A752),IF(BA751="","(geen naam)",BA751)))</f>
        <v/>
      </c>
      <c r="BB752" s="42">
        <f>IF(BA752="","",IF(ISNA(MATCH(BA752,BA$120:BA751,0)),MAX(BB$120:BB751)+1,""))</f>
        <v/>
      </c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  <c r="AV753" s="7" t="n"/>
      <c r="AW753" s="7" t="n"/>
      <c r="AX753" s="7" t="n"/>
      <c r="AY753" s="7" t="n"/>
      <c r="BA753" s="42">
        <f>IF(COUNT(B753:AY753)=0,"",IF(TRIM(A753)&lt;&gt;"",TRIM(A753),IF(BA752="","(geen naam)",BA752)))</f>
        <v/>
      </c>
      <c r="BB753" s="42">
        <f>IF(BA753="","",IF(ISNA(MATCH(BA753,BA$120:BA752,0)),MAX(BB$120:BB752)+1,""))</f>
        <v/>
      </c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  <c r="AF754" s="7" t="n"/>
      <c r="AG754" s="7" t="n"/>
      <c r="AH754" s="7" t="n"/>
      <c r="AI754" s="7" t="n"/>
      <c r="AJ754" s="7" t="n"/>
      <c r="AK754" s="7" t="n"/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  <c r="AV754" s="7" t="n"/>
      <c r="AW754" s="7" t="n"/>
      <c r="AX754" s="7" t="n"/>
      <c r="AY754" s="7" t="n"/>
      <c r="BA754" s="42">
        <f>IF(COUNT(B754:AY754)=0,"",IF(TRIM(A754)&lt;&gt;"",TRIM(A754),IF(BA753="","(geen naam)",BA753)))</f>
        <v/>
      </c>
      <c r="BB754" s="42">
        <f>IF(BA754="","",IF(ISNA(MATCH(BA754,BA$120:BA753,0)),MAX(BB$120:BB753)+1,""))</f>
        <v/>
      </c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  <c r="AV755" s="7" t="n"/>
      <c r="AW755" s="7" t="n"/>
      <c r="AX755" s="7" t="n"/>
      <c r="AY755" s="7" t="n"/>
      <c r="BA755" s="42">
        <f>IF(COUNT(B755:AY755)=0,"",IF(TRIM(A755)&lt;&gt;"",TRIM(A755),IF(BA754="","(geen naam)",BA754)))</f>
        <v/>
      </c>
      <c r="BB755" s="42">
        <f>IF(BA755="","",IF(ISNA(MATCH(BA755,BA$120:BA754,0)),MAX(BB$120:BB754)+1,""))</f>
        <v/>
      </c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  <c r="AF756" s="7" t="n"/>
      <c r="AG756" s="7" t="n"/>
      <c r="AH756" s="7" t="n"/>
      <c r="AI756" s="7" t="n"/>
      <c r="AJ756" s="7" t="n"/>
      <c r="AK756" s="7" t="n"/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  <c r="AV756" s="7" t="n"/>
      <c r="AW756" s="7" t="n"/>
      <c r="AX756" s="7" t="n"/>
      <c r="AY756" s="7" t="n"/>
      <c r="BA756" s="42">
        <f>IF(COUNT(B756:AY756)=0,"",IF(TRIM(A756)&lt;&gt;"",TRIM(A756),IF(BA755="","(geen naam)",BA755)))</f>
        <v/>
      </c>
      <c r="BB756" s="42">
        <f>IF(BA756="","",IF(ISNA(MATCH(BA756,BA$120:BA755,0)),MAX(BB$120:BB755)+1,""))</f>
        <v/>
      </c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  <c r="AV757" s="7" t="n"/>
      <c r="AW757" s="7" t="n"/>
      <c r="AX757" s="7" t="n"/>
      <c r="AY757" s="7" t="n"/>
      <c r="BA757" s="42">
        <f>IF(COUNT(B757:AY757)=0,"",IF(TRIM(A757)&lt;&gt;"",TRIM(A757),IF(BA756="","(geen naam)",BA756)))</f>
        <v/>
      </c>
      <c r="BB757" s="42">
        <f>IF(BA757="","",IF(ISNA(MATCH(BA757,BA$120:BA756,0)),MAX(BB$120:BB756)+1,""))</f>
        <v/>
      </c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  <c r="AF758" s="7" t="n"/>
      <c r="AG758" s="7" t="n"/>
      <c r="AH758" s="7" t="n"/>
      <c r="AI758" s="7" t="n"/>
      <c r="AJ758" s="7" t="n"/>
      <c r="AK758" s="7" t="n"/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  <c r="AV758" s="7" t="n"/>
      <c r="AW758" s="7" t="n"/>
      <c r="AX758" s="7" t="n"/>
      <c r="AY758" s="7" t="n"/>
      <c r="BA758" s="42">
        <f>IF(COUNT(B758:AY758)=0,"",IF(TRIM(A758)&lt;&gt;"",TRIM(A758),IF(BA757="","(geen naam)",BA757)))</f>
        <v/>
      </c>
      <c r="BB758" s="42">
        <f>IF(BA758="","",IF(ISNA(MATCH(BA758,BA$120:BA757,0)),MAX(BB$120:BB757)+1,""))</f>
        <v/>
      </c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  <c r="AV759" s="7" t="n"/>
      <c r="AW759" s="7" t="n"/>
      <c r="AX759" s="7" t="n"/>
      <c r="AY759" s="7" t="n"/>
      <c r="BA759" s="42">
        <f>IF(COUNT(B759:AY759)=0,"",IF(TRIM(A759)&lt;&gt;"",TRIM(A759),IF(BA758="","(geen naam)",BA758)))</f>
        <v/>
      </c>
      <c r="BB759" s="42">
        <f>IF(BA759="","",IF(ISNA(MATCH(BA759,BA$120:BA758,0)),MAX(BB$120:BB758)+1,""))</f>
        <v/>
      </c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  <c r="AF760" s="7" t="n"/>
      <c r="AG760" s="7" t="n"/>
      <c r="AH760" s="7" t="n"/>
      <c r="AI760" s="7" t="n"/>
      <c r="AJ760" s="7" t="n"/>
      <c r="AK760" s="7" t="n"/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  <c r="AV760" s="7" t="n"/>
      <c r="AW760" s="7" t="n"/>
      <c r="AX760" s="7" t="n"/>
      <c r="AY760" s="7" t="n"/>
      <c r="BA760" s="42">
        <f>IF(COUNT(B760:AY760)=0,"",IF(TRIM(A760)&lt;&gt;"",TRIM(A760),IF(BA759="","(geen naam)",BA759)))</f>
        <v/>
      </c>
      <c r="BB760" s="42">
        <f>IF(BA760="","",IF(ISNA(MATCH(BA760,BA$120:BA759,0)),MAX(BB$120:BB759)+1,""))</f>
        <v/>
      </c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  <c r="AV761" s="7" t="n"/>
      <c r="AW761" s="7" t="n"/>
      <c r="AX761" s="7" t="n"/>
      <c r="AY761" s="7" t="n"/>
      <c r="BA761" s="42">
        <f>IF(COUNT(B761:AY761)=0,"",IF(TRIM(A761)&lt;&gt;"",TRIM(A761),IF(BA760="","(geen naam)",BA760)))</f>
        <v/>
      </c>
      <c r="BB761" s="42">
        <f>IF(BA761="","",IF(ISNA(MATCH(BA761,BA$120:BA760,0)),MAX(BB$120:BB760)+1,""))</f>
        <v/>
      </c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  <c r="AF762" s="7" t="n"/>
      <c r="AG762" s="7" t="n"/>
      <c r="AH762" s="7" t="n"/>
      <c r="AI762" s="7" t="n"/>
      <c r="AJ762" s="7" t="n"/>
      <c r="AK762" s="7" t="n"/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  <c r="AV762" s="7" t="n"/>
      <c r="AW762" s="7" t="n"/>
      <c r="AX762" s="7" t="n"/>
      <c r="AY762" s="7" t="n"/>
      <c r="BA762" s="42">
        <f>IF(COUNT(B762:AY762)=0,"",IF(TRIM(A762)&lt;&gt;"",TRIM(A762),IF(BA761="","(geen naam)",BA761)))</f>
        <v/>
      </c>
      <c r="BB762" s="42">
        <f>IF(BA762="","",IF(ISNA(MATCH(BA762,BA$120:BA761,0)),MAX(BB$120:BB761)+1,""))</f>
        <v/>
      </c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  <c r="AV763" s="7" t="n"/>
      <c r="AW763" s="7" t="n"/>
      <c r="AX763" s="7" t="n"/>
      <c r="AY763" s="7" t="n"/>
      <c r="BA763" s="42">
        <f>IF(COUNT(B763:AY763)=0,"",IF(TRIM(A763)&lt;&gt;"",TRIM(A763),IF(BA762="","(geen naam)",BA762)))</f>
        <v/>
      </c>
      <c r="BB763" s="42">
        <f>IF(BA763="","",IF(ISNA(MATCH(BA763,BA$120:BA762,0)),MAX(BB$120:BB762)+1,""))</f>
        <v/>
      </c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  <c r="AF764" s="7" t="n"/>
      <c r="AG764" s="7" t="n"/>
      <c r="AH764" s="7" t="n"/>
      <c r="AI764" s="7" t="n"/>
      <c r="AJ764" s="7" t="n"/>
      <c r="AK764" s="7" t="n"/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  <c r="AV764" s="7" t="n"/>
      <c r="AW764" s="7" t="n"/>
      <c r="AX764" s="7" t="n"/>
      <c r="AY764" s="7" t="n"/>
      <c r="BA764" s="42">
        <f>IF(COUNT(B764:AY764)=0,"",IF(TRIM(A764)&lt;&gt;"",TRIM(A764),IF(BA763="","(geen naam)",BA763)))</f>
        <v/>
      </c>
      <c r="BB764" s="42">
        <f>IF(BA764="","",IF(ISNA(MATCH(BA764,BA$120:BA763,0)),MAX(BB$120:BB763)+1,""))</f>
        <v/>
      </c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  <c r="AV765" s="7" t="n"/>
      <c r="AW765" s="7" t="n"/>
      <c r="AX765" s="7" t="n"/>
      <c r="AY765" s="7" t="n"/>
      <c r="BA765" s="42">
        <f>IF(COUNT(B765:AY765)=0,"",IF(TRIM(A765)&lt;&gt;"",TRIM(A765),IF(BA764="","(geen naam)",BA764)))</f>
        <v/>
      </c>
      <c r="BB765" s="42">
        <f>IF(BA765="","",IF(ISNA(MATCH(BA765,BA$120:BA764,0)),MAX(BB$120:BB764)+1,""))</f>
        <v/>
      </c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  <c r="AF766" s="7" t="n"/>
      <c r="AG766" s="7" t="n"/>
      <c r="AH766" s="7" t="n"/>
      <c r="AI766" s="7" t="n"/>
      <c r="AJ766" s="7" t="n"/>
      <c r="AK766" s="7" t="n"/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  <c r="AV766" s="7" t="n"/>
      <c r="AW766" s="7" t="n"/>
      <c r="AX766" s="7" t="n"/>
      <c r="AY766" s="7" t="n"/>
      <c r="BA766" s="42">
        <f>IF(COUNT(B766:AY766)=0,"",IF(TRIM(A766)&lt;&gt;"",TRIM(A766),IF(BA765="","(geen naam)",BA765)))</f>
        <v/>
      </c>
      <c r="BB766" s="42">
        <f>IF(BA766="","",IF(ISNA(MATCH(BA766,BA$120:BA765,0)),MAX(BB$120:BB765)+1,""))</f>
        <v/>
      </c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  <c r="AV767" s="7" t="n"/>
      <c r="AW767" s="7" t="n"/>
      <c r="AX767" s="7" t="n"/>
      <c r="AY767" s="7" t="n"/>
      <c r="BA767" s="42">
        <f>IF(COUNT(B767:AY767)=0,"",IF(TRIM(A767)&lt;&gt;"",TRIM(A767),IF(BA766="","(geen naam)",BA766)))</f>
        <v/>
      </c>
      <c r="BB767" s="42">
        <f>IF(BA767="","",IF(ISNA(MATCH(BA767,BA$120:BA766,0)),MAX(BB$120:BB766)+1,""))</f>
        <v/>
      </c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  <c r="AF768" s="7" t="n"/>
      <c r="AG768" s="7" t="n"/>
      <c r="AH768" s="7" t="n"/>
      <c r="AI768" s="7" t="n"/>
      <c r="AJ768" s="7" t="n"/>
      <c r="AK768" s="7" t="n"/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  <c r="AV768" s="7" t="n"/>
      <c r="AW768" s="7" t="n"/>
      <c r="AX768" s="7" t="n"/>
      <c r="AY768" s="7" t="n"/>
      <c r="BA768" s="42">
        <f>IF(COUNT(B768:AY768)=0,"",IF(TRIM(A768)&lt;&gt;"",TRIM(A768),IF(BA767="","(geen naam)",BA767)))</f>
        <v/>
      </c>
      <c r="BB768" s="42">
        <f>IF(BA768="","",IF(ISNA(MATCH(BA768,BA$120:BA767,0)),MAX(BB$120:BB767)+1,""))</f>
        <v/>
      </c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  <c r="AV769" s="7" t="n"/>
      <c r="AW769" s="7" t="n"/>
      <c r="AX769" s="7" t="n"/>
      <c r="AY769" s="7" t="n"/>
      <c r="BA769" s="42">
        <f>IF(COUNT(B769:AY769)=0,"",IF(TRIM(A769)&lt;&gt;"",TRIM(A769),IF(BA768="","(geen naam)",BA768)))</f>
        <v/>
      </c>
      <c r="BB769" s="42">
        <f>IF(BA769="","",IF(ISNA(MATCH(BA769,BA$120:BA768,0)),MAX(BB$120:BB768)+1,""))</f>
        <v/>
      </c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  <c r="AF770" s="7" t="n"/>
      <c r="AG770" s="7" t="n"/>
      <c r="AH770" s="7" t="n"/>
      <c r="AI770" s="7" t="n"/>
      <c r="AJ770" s="7" t="n"/>
      <c r="AK770" s="7" t="n"/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  <c r="AV770" s="7" t="n"/>
      <c r="AW770" s="7" t="n"/>
      <c r="AX770" s="7" t="n"/>
      <c r="AY770" s="7" t="n"/>
      <c r="BA770" s="42">
        <f>IF(COUNT(B770:AY770)=0,"",IF(TRIM(A770)&lt;&gt;"",TRIM(A770),IF(BA769="","(geen naam)",BA769)))</f>
        <v/>
      </c>
      <c r="BB770" s="42">
        <f>IF(BA770="","",IF(ISNA(MATCH(BA770,BA$120:BA769,0)),MAX(BB$120:BB769)+1,""))</f>
        <v/>
      </c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  <c r="AV771" s="7" t="n"/>
      <c r="AW771" s="7" t="n"/>
      <c r="AX771" s="7" t="n"/>
      <c r="AY771" s="7" t="n"/>
      <c r="BA771" s="42">
        <f>IF(COUNT(B771:AY771)=0,"",IF(TRIM(A771)&lt;&gt;"",TRIM(A771),IF(BA770="","(geen naam)",BA770)))</f>
        <v/>
      </c>
      <c r="BB771" s="42">
        <f>IF(BA771="","",IF(ISNA(MATCH(BA771,BA$120:BA770,0)),MAX(BB$120:BB770)+1,""))</f>
        <v/>
      </c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  <c r="AF772" s="7" t="n"/>
      <c r="AG772" s="7" t="n"/>
      <c r="AH772" s="7" t="n"/>
      <c r="AI772" s="7" t="n"/>
      <c r="AJ772" s="7" t="n"/>
      <c r="AK772" s="7" t="n"/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  <c r="AV772" s="7" t="n"/>
      <c r="AW772" s="7" t="n"/>
      <c r="AX772" s="7" t="n"/>
      <c r="AY772" s="7" t="n"/>
      <c r="BA772" s="42">
        <f>IF(COUNT(B772:AY772)=0,"",IF(TRIM(A772)&lt;&gt;"",TRIM(A772),IF(BA771="","(geen naam)",BA771)))</f>
        <v/>
      </c>
      <c r="BB772" s="42">
        <f>IF(BA772="","",IF(ISNA(MATCH(BA772,BA$120:BA771,0)),MAX(BB$120:BB771)+1,""))</f>
        <v/>
      </c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  <c r="AV773" s="7" t="n"/>
      <c r="AW773" s="7" t="n"/>
      <c r="AX773" s="7" t="n"/>
      <c r="AY773" s="7" t="n"/>
      <c r="BA773" s="42">
        <f>IF(COUNT(B773:AY773)=0,"",IF(TRIM(A773)&lt;&gt;"",TRIM(A773),IF(BA772="","(geen naam)",BA772)))</f>
        <v/>
      </c>
      <c r="BB773" s="42">
        <f>IF(BA773="","",IF(ISNA(MATCH(BA773,BA$120:BA772,0)),MAX(BB$120:BB772)+1,""))</f>
        <v/>
      </c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  <c r="AF774" s="7" t="n"/>
      <c r="AG774" s="7" t="n"/>
      <c r="AH774" s="7" t="n"/>
      <c r="AI774" s="7" t="n"/>
      <c r="AJ774" s="7" t="n"/>
      <c r="AK774" s="7" t="n"/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  <c r="AV774" s="7" t="n"/>
      <c r="AW774" s="7" t="n"/>
      <c r="AX774" s="7" t="n"/>
      <c r="AY774" s="7" t="n"/>
      <c r="BA774" s="42">
        <f>IF(COUNT(B774:AY774)=0,"",IF(TRIM(A774)&lt;&gt;"",TRIM(A774),IF(BA773="","(geen naam)",BA773)))</f>
        <v/>
      </c>
      <c r="BB774" s="42">
        <f>IF(BA774="","",IF(ISNA(MATCH(BA774,BA$120:BA773,0)),MAX(BB$120:BB773)+1,""))</f>
        <v/>
      </c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  <c r="AV775" s="7" t="n"/>
      <c r="AW775" s="7" t="n"/>
      <c r="AX775" s="7" t="n"/>
      <c r="AY775" s="7" t="n"/>
      <c r="BA775" s="42">
        <f>IF(COUNT(B775:AY775)=0,"",IF(TRIM(A775)&lt;&gt;"",TRIM(A775),IF(BA774="","(geen naam)",BA774)))</f>
        <v/>
      </c>
      <c r="BB775" s="42">
        <f>IF(BA775="","",IF(ISNA(MATCH(BA775,BA$120:BA774,0)),MAX(BB$120:BB774)+1,""))</f>
        <v/>
      </c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  <c r="AF776" s="7" t="n"/>
      <c r="AG776" s="7" t="n"/>
      <c r="AH776" s="7" t="n"/>
      <c r="AI776" s="7" t="n"/>
      <c r="AJ776" s="7" t="n"/>
      <c r="AK776" s="7" t="n"/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  <c r="AV776" s="7" t="n"/>
      <c r="AW776" s="7" t="n"/>
      <c r="AX776" s="7" t="n"/>
      <c r="AY776" s="7" t="n"/>
      <c r="BA776" s="42">
        <f>IF(COUNT(B776:AY776)=0,"",IF(TRIM(A776)&lt;&gt;"",TRIM(A776),IF(BA775="","(geen naam)",BA775)))</f>
        <v/>
      </c>
      <c r="BB776" s="42">
        <f>IF(BA776="","",IF(ISNA(MATCH(BA776,BA$120:BA775,0)),MAX(BB$120:BB775)+1,""))</f>
        <v/>
      </c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  <c r="AV777" s="7" t="n"/>
      <c r="AW777" s="7" t="n"/>
      <c r="AX777" s="7" t="n"/>
      <c r="AY777" s="7" t="n"/>
      <c r="BA777" s="42">
        <f>IF(COUNT(B777:AY777)=0,"",IF(TRIM(A777)&lt;&gt;"",TRIM(A777),IF(BA776="","(geen naam)",BA776)))</f>
        <v/>
      </c>
      <c r="BB777" s="42">
        <f>IF(BA777="","",IF(ISNA(MATCH(BA777,BA$120:BA776,0)),MAX(BB$120:BB776)+1,""))</f>
        <v/>
      </c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  <c r="AF778" s="7" t="n"/>
      <c r="AG778" s="7" t="n"/>
      <c r="AH778" s="7" t="n"/>
      <c r="AI778" s="7" t="n"/>
      <c r="AJ778" s="7" t="n"/>
      <c r="AK778" s="7" t="n"/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  <c r="AV778" s="7" t="n"/>
      <c r="AW778" s="7" t="n"/>
      <c r="AX778" s="7" t="n"/>
      <c r="AY778" s="7" t="n"/>
      <c r="BA778" s="42">
        <f>IF(COUNT(B778:AY778)=0,"",IF(TRIM(A778)&lt;&gt;"",TRIM(A778),IF(BA777="","(geen naam)",BA777)))</f>
        <v/>
      </c>
      <c r="BB778" s="42">
        <f>IF(BA778="","",IF(ISNA(MATCH(BA778,BA$120:BA777,0)),MAX(BB$120:BB777)+1,""))</f>
        <v/>
      </c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  <c r="AV779" s="7" t="n"/>
      <c r="AW779" s="7" t="n"/>
      <c r="AX779" s="7" t="n"/>
      <c r="AY779" s="7" t="n"/>
      <c r="BA779" s="42">
        <f>IF(COUNT(B779:AY779)=0,"",IF(TRIM(A779)&lt;&gt;"",TRIM(A779),IF(BA778="","(geen naam)",BA778)))</f>
        <v/>
      </c>
      <c r="BB779" s="42">
        <f>IF(BA779="","",IF(ISNA(MATCH(BA779,BA$120:BA778,0)),MAX(BB$120:BB778)+1,""))</f>
        <v/>
      </c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  <c r="AF780" s="7" t="n"/>
      <c r="AG780" s="7" t="n"/>
      <c r="AH780" s="7" t="n"/>
      <c r="AI780" s="7" t="n"/>
      <c r="AJ780" s="7" t="n"/>
      <c r="AK780" s="7" t="n"/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  <c r="AV780" s="7" t="n"/>
      <c r="AW780" s="7" t="n"/>
      <c r="AX780" s="7" t="n"/>
      <c r="AY780" s="7" t="n"/>
      <c r="BA780" s="42">
        <f>IF(COUNT(B780:AY780)=0,"",IF(TRIM(A780)&lt;&gt;"",TRIM(A780),IF(BA779="","(geen naam)",BA779)))</f>
        <v/>
      </c>
      <c r="BB780" s="42">
        <f>IF(BA780="","",IF(ISNA(MATCH(BA780,BA$120:BA779,0)),MAX(BB$120:BB779)+1,""))</f>
        <v/>
      </c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  <c r="AV781" s="7" t="n"/>
      <c r="AW781" s="7" t="n"/>
      <c r="AX781" s="7" t="n"/>
      <c r="AY781" s="7" t="n"/>
      <c r="BA781" s="42">
        <f>IF(COUNT(B781:AY781)=0,"",IF(TRIM(A781)&lt;&gt;"",TRIM(A781),IF(BA780="","(geen naam)",BA780)))</f>
        <v/>
      </c>
      <c r="BB781" s="42">
        <f>IF(BA781="","",IF(ISNA(MATCH(BA781,BA$120:BA780,0)),MAX(BB$120:BB780)+1,""))</f>
        <v/>
      </c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  <c r="AF782" s="7" t="n"/>
      <c r="AG782" s="7" t="n"/>
      <c r="AH782" s="7" t="n"/>
      <c r="AI782" s="7" t="n"/>
      <c r="AJ782" s="7" t="n"/>
      <c r="AK782" s="7" t="n"/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  <c r="AV782" s="7" t="n"/>
      <c r="AW782" s="7" t="n"/>
      <c r="AX782" s="7" t="n"/>
      <c r="AY782" s="7" t="n"/>
      <c r="BA782" s="42">
        <f>IF(COUNT(B782:AY782)=0,"",IF(TRIM(A782)&lt;&gt;"",TRIM(A782),IF(BA781="","(geen naam)",BA781)))</f>
        <v/>
      </c>
      <c r="BB782" s="42">
        <f>IF(BA782="","",IF(ISNA(MATCH(BA782,BA$120:BA781,0)),MAX(BB$120:BB781)+1,""))</f>
        <v/>
      </c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  <c r="AV783" s="7" t="n"/>
      <c r="AW783" s="7" t="n"/>
      <c r="AX783" s="7" t="n"/>
      <c r="AY783" s="7" t="n"/>
      <c r="BA783" s="42">
        <f>IF(COUNT(B783:AY783)=0,"",IF(TRIM(A783)&lt;&gt;"",TRIM(A783),IF(BA782="","(geen naam)",BA782)))</f>
        <v/>
      </c>
      <c r="BB783" s="42">
        <f>IF(BA783="","",IF(ISNA(MATCH(BA783,BA$120:BA782,0)),MAX(BB$120:BB782)+1,""))</f>
        <v/>
      </c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  <c r="AF784" s="7" t="n"/>
      <c r="AG784" s="7" t="n"/>
      <c r="AH784" s="7" t="n"/>
      <c r="AI784" s="7" t="n"/>
      <c r="AJ784" s="7" t="n"/>
      <c r="AK784" s="7" t="n"/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  <c r="AV784" s="7" t="n"/>
      <c r="AW784" s="7" t="n"/>
      <c r="AX784" s="7" t="n"/>
      <c r="AY784" s="7" t="n"/>
      <c r="BA784" s="42">
        <f>IF(COUNT(B784:AY784)=0,"",IF(TRIM(A784)&lt;&gt;"",TRIM(A784),IF(BA783="","(geen naam)",BA783)))</f>
        <v/>
      </c>
      <c r="BB784" s="42">
        <f>IF(BA784="","",IF(ISNA(MATCH(BA784,BA$120:BA783,0)),MAX(BB$120:BB783)+1,""))</f>
        <v/>
      </c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  <c r="AV785" s="7" t="n"/>
      <c r="AW785" s="7" t="n"/>
      <c r="AX785" s="7" t="n"/>
      <c r="AY785" s="7" t="n"/>
      <c r="BA785" s="42">
        <f>IF(COUNT(B785:AY785)=0,"",IF(TRIM(A785)&lt;&gt;"",TRIM(A785),IF(BA784="","(geen naam)",BA784)))</f>
        <v/>
      </c>
      <c r="BB785" s="42">
        <f>IF(BA785="","",IF(ISNA(MATCH(BA785,BA$120:BA784,0)),MAX(BB$120:BB784)+1,""))</f>
        <v/>
      </c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  <c r="AF786" s="7" t="n"/>
      <c r="AG786" s="7" t="n"/>
      <c r="AH786" s="7" t="n"/>
      <c r="AI786" s="7" t="n"/>
      <c r="AJ786" s="7" t="n"/>
      <c r="AK786" s="7" t="n"/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  <c r="AV786" s="7" t="n"/>
      <c r="AW786" s="7" t="n"/>
      <c r="AX786" s="7" t="n"/>
      <c r="AY786" s="7" t="n"/>
      <c r="BA786" s="42">
        <f>IF(COUNT(B786:AY786)=0,"",IF(TRIM(A786)&lt;&gt;"",TRIM(A786),IF(BA785="","(geen naam)",BA785)))</f>
        <v/>
      </c>
      <c r="BB786" s="42">
        <f>IF(BA786="","",IF(ISNA(MATCH(BA786,BA$120:BA785,0)),MAX(BB$120:BB785)+1,""))</f>
        <v/>
      </c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  <c r="AV787" s="7" t="n"/>
      <c r="AW787" s="7" t="n"/>
      <c r="AX787" s="7" t="n"/>
      <c r="AY787" s="7" t="n"/>
      <c r="BA787" s="42">
        <f>IF(COUNT(B787:AY787)=0,"",IF(TRIM(A787)&lt;&gt;"",TRIM(A787),IF(BA786="","(geen naam)",BA786)))</f>
        <v/>
      </c>
      <c r="BB787" s="42">
        <f>IF(BA787="","",IF(ISNA(MATCH(BA787,BA$120:BA786,0)),MAX(BB$120:BB786)+1,""))</f>
        <v/>
      </c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  <c r="AF788" s="7" t="n"/>
      <c r="AG788" s="7" t="n"/>
      <c r="AH788" s="7" t="n"/>
      <c r="AI788" s="7" t="n"/>
      <c r="AJ788" s="7" t="n"/>
      <c r="AK788" s="7" t="n"/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  <c r="AV788" s="7" t="n"/>
      <c r="AW788" s="7" t="n"/>
      <c r="AX788" s="7" t="n"/>
      <c r="AY788" s="7" t="n"/>
      <c r="BA788" s="42">
        <f>IF(COUNT(B788:AY788)=0,"",IF(TRIM(A788)&lt;&gt;"",TRIM(A788),IF(BA787="","(geen naam)",BA787)))</f>
        <v/>
      </c>
      <c r="BB788" s="42">
        <f>IF(BA788="","",IF(ISNA(MATCH(BA788,BA$120:BA787,0)),MAX(BB$120:BB787)+1,""))</f>
        <v/>
      </c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  <c r="AV789" s="7" t="n"/>
      <c r="AW789" s="7" t="n"/>
      <c r="AX789" s="7" t="n"/>
      <c r="AY789" s="7" t="n"/>
      <c r="BA789" s="42">
        <f>IF(COUNT(B789:AY789)=0,"",IF(TRIM(A789)&lt;&gt;"",TRIM(A789),IF(BA788="","(geen naam)",BA788)))</f>
        <v/>
      </c>
      <c r="BB789" s="42">
        <f>IF(BA789="","",IF(ISNA(MATCH(BA789,BA$120:BA788,0)),MAX(BB$120:BB788)+1,""))</f>
        <v/>
      </c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  <c r="AF790" s="7" t="n"/>
      <c r="AG790" s="7" t="n"/>
      <c r="AH790" s="7" t="n"/>
      <c r="AI790" s="7" t="n"/>
      <c r="AJ790" s="7" t="n"/>
      <c r="AK790" s="7" t="n"/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  <c r="AV790" s="7" t="n"/>
      <c r="AW790" s="7" t="n"/>
      <c r="AX790" s="7" t="n"/>
      <c r="AY790" s="7" t="n"/>
      <c r="BA790" s="42">
        <f>IF(COUNT(B790:AY790)=0,"",IF(TRIM(A790)&lt;&gt;"",TRIM(A790),IF(BA789="","(geen naam)",BA789)))</f>
        <v/>
      </c>
      <c r="BB790" s="42">
        <f>IF(BA790="","",IF(ISNA(MATCH(BA790,BA$120:BA789,0)),MAX(BB$120:BB789)+1,""))</f>
        <v/>
      </c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  <c r="AV791" s="7" t="n"/>
      <c r="AW791" s="7" t="n"/>
      <c r="AX791" s="7" t="n"/>
      <c r="AY791" s="7" t="n"/>
      <c r="BA791" s="42">
        <f>IF(COUNT(B791:AY791)=0,"",IF(TRIM(A791)&lt;&gt;"",TRIM(A791),IF(BA790="","(geen naam)",BA790)))</f>
        <v/>
      </c>
      <c r="BB791" s="42">
        <f>IF(BA791="","",IF(ISNA(MATCH(BA791,BA$120:BA790,0)),MAX(BB$120:BB790)+1,""))</f>
        <v/>
      </c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  <c r="AF792" s="7" t="n"/>
      <c r="AG792" s="7" t="n"/>
      <c r="AH792" s="7" t="n"/>
      <c r="AI792" s="7" t="n"/>
      <c r="AJ792" s="7" t="n"/>
      <c r="AK792" s="7" t="n"/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  <c r="AV792" s="7" t="n"/>
      <c r="AW792" s="7" t="n"/>
      <c r="AX792" s="7" t="n"/>
      <c r="AY792" s="7" t="n"/>
      <c r="BA792" s="42">
        <f>IF(COUNT(B792:AY792)=0,"",IF(TRIM(A792)&lt;&gt;"",TRIM(A792),IF(BA791="","(geen naam)",BA791)))</f>
        <v/>
      </c>
      <c r="BB792" s="42">
        <f>IF(BA792="","",IF(ISNA(MATCH(BA792,BA$120:BA791,0)),MAX(BB$120:BB791)+1,""))</f>
        <v/>
      </c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  <c r="AR793" s="7" t="n"/>
      <c r="AS793" s="7" t="n"/>
      <c r="AT793" s="7" t="n"/>
      <c r="AU793" s="7" t="n"/>
      <c r="AV793" s="7" t="n"/>
      <c r="AW793" s="7" t="n"/>
      <c r="AX793" s="7" t="n"/>
      <c r="AY793" s="7" t="n"/>
      <c r="BA793" s="42">
        <f>IF(COUNT(B793:AY793)=0,"",IF(TRIM(A793)&lt;&gt;"",TRIM(A793),IF(BA792="","(geen naam)",BA792)))</f>
        <v/>
      </c>
      <c r="BB793" s="42">
        <f>IF(BA793="","",IF(ISNA(MATCH(BA793,BA$120:BA792,0)),MAX(BB$120:BB792)+1,""))</f>
        <v/>
      </c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  <c r="AF794" s="7" t="n"/>
      <c r="AG794" s="7" t="n"/>
      <c r="AH794" s="7" t="n"/>
      <c r="AI794" s="7" t="n"/>
      <c r="AJ794" s="7" t="n"/>
      <c r="AK794" s="7" t="n"/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  <c r="AV794" s="7" t="n"/>
      <c r="AW794" s="7" t="n"/>
      <c r="AX794" s="7" t="n"/>
      <c r="AY794" s="7" t="n"/>
      <c r="BA794" s="42">
        <f>IF(COUNT(B794:AY794)=0,"",IF(TRIM(A794)&lt;&gt;"",TRIM(A794),IF(BA793="","(geen naam)",BA793)))</f>
        <v/>
      </c>
      <c r="BB794" s="42">
        <f>IF(BA794="","",IF(ISNA(MATCH(BA794,BA$120:BA793,0)),MAX(BB$120:BB793)+1,""))</f>
        <v/>
      </c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  <c r="AV795" s="7" t="n"/>
      <c r="AW795" s="7" t="n"/>
      <c r="AX795" s="7" t="n"/>
      <c r="AY795" s="7" t="n"/>
      <c r="BA795" s="42">
        <f>IF(COUNT(B795:AY795)=0,"",IF(TRIM(A795)&lt;&gt;"",TRIM(A795),IF(BA794="","(geen naam)",BA794)))</f>
        <v/>
      </c>
      <c r="BB795" s="42">
        <f>IF(BA795="","",IF(ISNA(MATCH(BA795,BA$120:BA794,0)),MAX(BB$120:BB794)+1,""))</f>
        <v/>
      </c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  <c r="AF796" s="7" t="n"/>
      <c r="AG796" s="7" t="n"/>
      <c r="AH796" s="7" t="n"/>
      <c r="AI796" s="7" t="n"/>
      <c r="AJ796" s="7" t="n"/>
      <c r="AK796" s="7" t="n"/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  <c r="AV796" s="7" t="n"/>
      <c r="AW796" s="7" t="n"/>
      <c r="AX796" s="7" t="n"/>
      <c r="AY796" s="7" t="n"/>
      <c r="BA796" s="42">
        <f>IF(COUNT(B796:AY796)=0,"",IF(TRIM(A796)&lt;&gt;"",TRIM(A796),IF(BA795="","(geen naam)",BA795)))</f>
        <v/>
      </c>
      <c r="BB796" s="42">
        <f>IF(BA796="","",IF(ISNA(MATCH(BA796,BA$120:BA795,0)),MAX(BB$120:BB795)+1,""))</f>
        <v/>
      </c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  <c r="AV797" s="7" t="n"/>
      <c r="AW797" s="7" t="n"/>
      <c r="AX797" s="7" t="n"/>
      <c r="AY797" s="7" t="n"/>
      <c r="BA797" s="42">
        <f>IF(COUNT(B797:AY797)=0,"",IF(TRIM(A797)&lt;&gt;"",TRIM(A797),IF(BA796="","(geen naam)",BA796)))</f>
        <v/>
      </c>
      <c r="BB797" s="42">
        <f>IF(BA797="","",IF(ISNA(MATCH(BA797,BA$120:BA796,0)),MAX(BB$120:BB796)+1,""))</f>
        <v/>
      </c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  <c r="AF798" s="7" t="n"/>
      <c r="AG798" s="7" t="n"/>
      <c r="AH798" s="7" t="n"/>
      <c r="AI798" s="7" t="n"/>
      <c r="AJ798" s="7" t="n"/>
      <c r="AK798" s="7" t="n"/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  <c r="AV798" s="7" t="n"/>
      <c r="AW798" s="7" t="n"/>
      <c r="AX798" s="7" t="n"/>
      <c r="AY798" s="7" t="n"/>
      <c r="BA798" s="42">
        <f>IF(COUNT(B798:AY798)=0,"",IF(TRIM(A798)&lt;&gt;"",TRIM(A798),IF(BA797="","(geen naam)",BA797)))</f>
        <v/>
      </c>
      <c r="BB798" s="42">
        <f>IF(BA798="","",IF(ISNA(MATCH(BA798,BA$120:BA797,0)),MAX(BB$120:BB797)+1,""))</f>
        <v/>
      </c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  <c r="AV799" s="7" t="n"/>
      <c r="AW799" s="7" t="n"/>
      <c r="AX799" s="7" t="n"/>
      <c r="AY799" s="7" t="n"/>
      <c r="BA799" s="42">
        <f>IF(COUNT(B799:AY799)=0,"",IF(TRIM(A799)&lt;&gt;"",TRIM(A799),IF(BA798="","(geen naam)",BA798)))</f>
        <v/>
      </c>
      <c r="BB799" s="42">
        <f>IF(BA799="","",IF(ISNA(MATCH(BA799,BA$120:BA798,0)),MAX(BB$120:BB798)+1,""))</f>
        <v/>
      </c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/>
      <c r="AF800" s="7" t="n"/>
      <c r="AG800" s="7" t="n"/>
      <c r="AH800" s="7" t="n"/>
      <c r="AI800" s="7" t="n"/>
      <c r="AJ800" s="7" t="n"/>
      <c r="AK800" s="7" t="n"/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  <c r="AV800" s="7" t="n"/>
      <c r="AW800" s="7" t="n"/>
      <c r="AX800" s="7" t="n"/>
      <c r="AY800" s="7" t="n"/>
      <c r="BA800" s="42">
        <f>IF(COUNT(B800:AY800)=0,"",IF(TRIM(A800)&lt;&gt;"",TRIM(A800),IF(BA799="","(geen naam)",BA799)))</f>
        <v/>
      </c>
      <c r="BB800" s="42">
        <f>IF(BA800="","",IF(ISNA(MATCH(BA800,BA$120:BA799,0)),MAX(BB$120:BB799)+1,""))</f>
        <v/>
      </c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/>
      <c r="AN801" s="7" t="n"/>
      <c r="AO801" s="7" t="n"/>
      <c r="AP801" s="7" t="n"/>
      <c r="AQ801" s="7" t="n"/>
      <c r="AR801" s="7" t="n"/>
      <c r="AS801" s="7" t="n"/>
      <c r="AT801" s="7" t="n"/>
      <c r="AU801" s="7" t="n"/>
      <c r="AV801" s="7" t="n"/>
      <c r="AW801" s="7" t="n"/>
      <c r="AX801" s="7" t="n"/>
      <c r="AY801" s="7" t="n"/>
      <c r="BA801" s="42">
        <f>IF(COUNT(B801:AY801)=0,"",IF(TRIM(A801)&lt;&gt;"",TRIM(A801),IF(BA800="","(geen naam)",BA800)))</f>
        <v/>
      </c>
      <c r="BB801" s="42">
        <f>IF(BA801="","",IF(ISNA(MATCH(BA801,BA$120:BA800,0)),MAX(BB$120:BB800)+1,""))</f>
        <v/>
      </c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  <c r="AF802" s="7" t="n"/>
      <c r="AG802" s="7" t="n"/>
      <c r="AH802" s="7" t="n"/>
      <c r="AI802" s="7" t="n"/>
      <c r="AJ802" s="7" t="n"/>
      <c r="AK802" s="7" t="n"/>
      <c r="AL802" s="7" t="n"/>
      <c r="AM802" s="7" t="n"/>
      <c r="AN802" s="7" t="n"/>
      <c r="AO802" s="7" t="n"/>
      <c r="AP802" s="7" t="n"/>
      <c r="AQ802" s="7" t="n"/>
      <c r="AR802" s="7" t="n"/>
      <c r="AS802" s="7" t="n"/>
      <c r="AT802" s="7" t="n"/>
      <c r="AU802" s="7" t="n"/>
      <c r="AV802" s="7" t="n"/>
      <c r="AW802" s="7" t="n"/>
      <c r="AX802" s="7" t="n"/>
      <c r="AY802" s="7" t="n"/>
      <c r="BA802" s="42">
        <f>IF(COUNT(B802:AY802)=0,"",IF(TRIM(A802)&lt;&gt;"",TRIM(A802),IF(BA801="","(geen naam)",BA801)))</f>
        <v/>
      </c>
      <c r="BB802" s="42">
        <f>IF(BA802="","",IF(ISNA(MATCH(BA802,BA$120:BA801,0)),MAX(BB$120:BB801)+1,""))</f>
        <v/>
      </c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/>
      <c r="AV803" s="7" t="n"/>
      <c r="AW803" s="7" t="n"/>
      <c r="AX803" s="7" t="n"/>
      <c r="AY803" s="7" t="n"/>
      <c r="BA803" s="42">
        <f>IF(COUNT(B803:AY803)=0,"",IF(TRIM(A803)&lt;&gt;"",TRIM(A803),IF(BA802="","(geen naam)",BA802)))</f>
        <v/>
      </c>
      <c r="BB803" s="42">
        <f>IF(BA803="","",IF(ISNA(MATCH(BA803,BA$120:BA802,0)),MAX(BB$120:BB802)+1,""))</f>
        <v/>
      </c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  <c r="AF804" s="7" t="n"/>
      <c r="AG804" s="7" t="n"/>
      <c r="AH804" s="7" t="n"/>
      <c r="AI804" s="7" t="n"/>
      <c r="AJ804" s="7" t="n"/>
      <c r="AK804" s="7" t="n"/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/>
      <c r="AV804" s="7" t="n"/>
      <c r="AW804" s="7" t="n"/>
      <c r="AX804" s="7" t="n"/>
      <c r="AY804" s="7" t="n"/>
      <c r="BA804" s="42">
        <f>IF(COUNT(B804:AY804)=0,"",IF(TRIM(A804)&lt;&gt;"",TRIM(A804),IF(BA803="","(geen naam)",BA803)))</f>
        <v/>
      </c>
      <c r="BB804" s="42">
        <f>IF(BA804="","",IF(ISNA(MATCH(BA804,BA$120:BA803,0)),MAX(BB$120:BB803)+1,""))</f>
        <v/>
      </c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/>
      <c r="AV805" s="7" t="n"/>
      <c r="AW805" s="7" t="n"/>
      <c r="AX805" s="7" t="n"/>
      <c r="AY805" s="7" t="n"/>
      <c r="BA805" s="42">
        <f>IF(COUNT(B805:AY805)=0,"",IF(TRIM(A805)&lt;&gt;"",TRIM(A805),IF(BA804="","(geen naam)",BA804)))</f>
        <v/>
      </c>
      <c r="BB805" s="42">
        <f>IF(BA805="","",IF(ISNA(MATCH(BA805,BA$120:BA804,0)),MAX(BB$120:BB804)+1,""))</f>
        <v/>
      </c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  <c r="AF806" s="7" t="n"/>
      <c r="AG806" s="7" t="n"/>
      <c r="AH806" s="7" t="n"/>
      <c r="AI806" s="7" t="n"/>
      <c r="AJ806" s="7" t="n"/>
      <c r="AK806" s="7" t="n"/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/>
      <c r="AV806" s="7" t="n"/>
      <c r="AW806" s="7" t="n"/>
      <c r="AX806" s="7" t="n"/>
      <c r="AY806" s="7" t="n"/>
      <c r="BA806" s="42">
        <f>IF(COUNT(B806:AY806)=0,"",IF(TRIM(A806)&lt;&gt;"",TRIM(A806),IF(BA805="","(geen naam)",BA805)))</f>
        <v/>
      </c>
      <c r="BB806" s="42">
        <f>IF(BA806="","",IF(ISNA(MATCH(BA806,BA$120:BA805,0)),MAX(BB$120:BB805)+1,""))</f>
        <v/>
      </c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/>
      <c r="AV807" s="7" t="n"/>
      <c r="AW807" s="7" t="n"/>
      <c r="AX807" s="7" t="n"/>
      <c r="AY807" s="7" t="n"/>
      <c r="BA807" s="42">
        <f>IF(COUNT(B807:AY807)=0,"",IF(TRIM(A807)&lt;&gt;"",TRIM(A807),IF(BA806="","(geen naam)",BA806)))</f>
        <v/>
      </c>
      <c r="BB807" s="42">
        <f>IF(BA807="","",IF(ISNA(MATCH(BA807,BA$120:BA806,0)),MAX(BB$120:BB806)+1,""))</f>
        <v/>
      </c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  <c r="AF808" s="7" t="n"/>
      <c r="AG808" s="7" t="n"/>
      <c r="AH808" s="7" t="n"/>
      <c r="AI808" s="7" t="n"/>
      <c r="AJ808" s="7" t="n"/>
      <c r="AK808" s="7" t="n"/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/>
      <c r="AV808" s="7" t="n"/>
      <c r="AW808" s="7" t="n"/>
      <c r="AX808" s="7" t="n"/>
      <c r="AY808" s="7" t="n"/>
      <c r="BA808" s="42">
        <f>IF(COUNT(B808:AY808)=0,"",IF(TRIM(A808)&lt;&gt;"",TRIM(A808),IF(BA807="","(geen naam)",BA807)))</f>
        <v/>
      </c>
      <c r="BB808" s="42">
        <f>IF(BA808="","",IF(ISNA(MATCH(BA808,BA$120:BA807,0)),MAX(BB$120:BB807)+1,""))</f>
        <v/>
      </c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/>
      <c r="AV809" s="7" t="n"/>
      <c r="AW809" s="7" t="n"/>
      <c r="AX809" s="7" t="n"/>
      <c r="AY809" s="7" t="n"/>
      <c r="BA809" s="42">
        <f>IF(COUNT(B809:AY809)=0,"",IF(TRIM(A809)&lt;&gt;"",TRIM(A809),IF(BA808="","(geen naam)",BA808)))</f>
        <v/>
      </c>
      <c r="BB809" s="42">
        <f>IF(BA809="","",IF(ISNA(MATCH(BA809,BA$120:BA808,0)),MAX(BB$120:BB808)+1,""))</f>
        <v/>
      </c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  <c r="AF810" s="7" t="n"/>
      <c r="AG810" s="7" t="n"/>
      <c r="AH810" s="7" t="n"/>
      <c r="AI810" s="7" t="n"/>
      <c r="AJ810" s="7" t="n"/>
      <c r="AK810" s="7" t="n"/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/>
      <c r="AV810" s="7" t="n"/>
      <c r="AW810" s="7" t="n"/>
      <c r="AX810" s="7" t="n"/>
      <c r="AY810" s="7" t="n"/>
      <c r="BA810" s="42">
        <f>IF(COUNT(B810:AY810)=0,"",IF(TRIM(A810)&lt;&gt;"",TRIM(A810),IF(BA809="","(geen naam)",BA809)))</f>
        <v/>
      </c>
      <c r="BB810" s="42">
        <f>IF(BA810="","",IF(ISNA(MATCH(BA810,BA$120:BA809,0)),MAX(BB$120:BB809)+1,""))</f>
        <v/>
      </c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/>
      <c r="AV811" s="7" t="n"/>
      <c r="AW811" s="7" t="n"/>
      <c r="AX811" s="7" t="n"/>
      <c r="AY811" s="7" t="n"/>
      <c r="BA811" s="42">
        <f>IF(COUNT(B811:AY811)=0,"",IF(TRIM(A811)&lt;&gt;"",TRIM(A811),IF(BA810="","(geen naam)",BA810)))</f>
        <v/>
      </c>
      <c r="BB811" s="42">
        <f>IF(BA811="","",IF(ISNA(MATCH(BA811,BA$120:BA810,0)),MAX(BB$120:BB810)+1,""))</f>
        <v/>
      </c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  <c r="AF812" s="7" t="n"/>
      <c r="AG812" s="7" t="n"/>
      <c r="AH812" s="7" t="n"/>
      <c r="AI812" s="7" t="n"/>
      <c r="AJ812" s="7" t="n"/>
      <c r="AK812" s="7" t="n"/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/>
      <c r="AV812" s="7" t="n"/>
      <c r="AW812" s="7" t="n"/>
      <c r="AX812" s="7" t="n"/>
      <c r="AY812" s="7" t="n"/>
      <c r="BA812" s="42">
        <f>IF(COUNT(B812:AY812)=0,"",IF(TRIM(A812)&lt;&gt;"",TRIM(A812),IF(BA811="","(geen naam)",BA811)))</f>
        <v/>
      </c>
      <c r="BB812" s="42">
        <f>IF(BA812="","",IF(ISNA(MATCH(BA812,BA$120:BA811,0)),MAX(BB$120:BB811)+1,""))</f>
        <v/>
      </c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/>
      <c r="AV813" s="7" t="n"/>
      <c r="AW813" s="7" t="n"/>
      <c r="AX813" s="7" t="n"/>
      <c r="AY813" s="7" t="n"/>
      <c r="BA813" s="42">
        <f>IF(COUNT(B813:AY813)=0,"",IF(TRIM(A813)&lt;&gt;"",TRIM(A813),IF(BA812="","(geen naam)",BA812)))</f>
        <v/>
      </c>
      <c r="BB813" s="42">
        <f>IF(BA813="","",IF(ISNA(MATCH(BA813,BA$120:BA812,0)),MAX(BB$120:BB812)+1,""))</f>
        <v/>
      </c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  <c r="AF814" s="7" t="n"/>
      <c r="AG814" s="7" t="n"/>
      <c r="AH814" s="7" t="n"/>
      <c r="AI814" s="7" t="n"/>
      <c r="AJ814" s="7" t="n"/>
      <c r="AK814" s="7" t="n"/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/>
      <c r="AV814" s="7" t="n"/>
      <c r="AW814" s="7" t="n"/>
      <c r="AX814" s="7" t="n"/>
      <c r="AY814" s="7" t="n"/>
      <c r="BA814" s="42">
        <f>IF(COUNT(B814:AY814)=0,"",IF(TRIM(A814)&lt;&gt;"",TRIM(A814),IF(BA813="","(geen naam)",BA813)))</f>
        <v/>
      </c>
      <c r="BB814" s="42">
        <f>IF(BA814="","",IF(ISNA(MATCH(BA814,BA$120:BA813,0)),MAX(BB$120:BB813)+1,""))</f>
        <v/>
      </c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/>
      <c r="AV815" s="7" t="n"/>
      <c r="AW815" s="7" t="n"/>
      <c r="AX815" s="7" t="n"/>
      <c r="AY815" s="7" t="n"/>
      <c r="BA815" s="42">
        <f>IF(COUNT(B815:AY815)=0,"",IF(TRIM(A815)&lt;&gt;"",TRIM(A815),IF(BA814="","(geen naam)",BA814)))</f>
        <v/>
      </c>
      <c r="BB815" s="42">
        <f>IF(BA815="","",IF(ISNA(MATCH(BA815,BA$120:BA814,0)),MAX(BB$120:BB814)+1,""))</f>
        <v/>
      </c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  <c r="AF816" s="7" t="n"/>
      <c r="AG816" s="7" t="n"/>
      <c r="AH816" s="7" t="n"/>
      <c r="AI816" s="7" t="n"/>
      <c r="AJ816" s="7" t="n"/>
      <c r="AK816" s="7" t="n"/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/>
      <c r="AV816" s="7" t="n"/>
      <c r="AW816" s="7" t="n"/>
      <c r="AX816" s="7" t="n"/>
      <c r="AY816" s="7" t="n"/>
      <c r="BA816" s="42">
        <f>IF(COUNT(B816:AY816)=0,"",IF(TRIM(A816)&lt;&gt;"",TRIM(A816),IF(BA815="","(geen naam)",BA815)))</f>
        <v/>
      </c>
      <c r="BB816" s="42">
        <f>IF(BA816="","",IF(ISNA(MATCH(BA816,BA$120:BA815,0)),MAX(BB$120:BB815)+1,""))</f>
        <v/>
      </c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/>
      <c r="AV817" s="7" t="n"/>
      <c r="AW817" s="7" t="n"/>
      <c r="AX817" s="7" t="n"/>
      <c r="AY817" s="7" t="n"/>
      <c r="BA817" s="42">
        <f>IF(COUNT(B817:AY817)=0,"",IF(TRIM(A817)&lt;&gt;"",TRIM(A817),IF(BA816="","(geen naam)",BA816)))</f>
        <v/>
      </c>
      <c r="BB817" s="42">
        <f>IF(BA817="","",IF(ISNA(MATCH(BA817,BA$120:BA816,0)),MAX(BB$120:BB816)+1,""))</f>
        <v/>
      </c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  <c r="AF818" s="7" t="n"/>
      <c r="AG818" s="7" t="n"/>
      <c r="AH818" s="7" t="n"/>
      <c r="AI818" s="7" t="n"/>
      <c r="AJ818" s="7" t="n"/>
      <c r="AK818" s="7" t="n"/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/>
      <c r="AV818" s="7" t="n"/>
      <c r="AW818" s="7" t="n"/>
      <c r="AX818" s="7" t="n"/>
      <c r="AY818" s="7" t="n"/>
      <c r="BA818" s="42">
        <f>IF(COUNT(B818:AY818)=0,"",IF(TRIM(A818)&lt;&gt;"",TRIM(A818),IF(BA817="","(geen naam)",BA817)))</f>
        <v/>
      </c>
      <c r="BB818" s="42">
        <f>IF(BA818="","",IF(ISNA(MATCH(BA818,BA$120:BA817,0)),MAX(BB$120:BB817)+1,""))</f>
        <v/>
      </c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  <c r="AV819" s="7" t="n"/>
      <c r="AW819" s="7" t="n"/>
      <c r="AX819" s="7" t="n"/>
      <c r="AY819" s="7" t="n"/>
      <c r="BA819" s="42">
        <f>IF(COUNT(B819:AY819)=0,"",IF(TRIM(A819)&lt;&gt;"",TRIM(A819),IF(BA818="","(geen naam)",BA818)))</f>
        <v/>
      </c>
      <c r="BB819" s="42">
        <f>IF(BA819="","",IF(ISNA(MATCH(BA819,BA$120:BA818,0)),MAX(BB$120:BB818)+1,""))</f>
        <v/>
      </c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  <c r="AF820" s="7" t="n"/>
      <c r="AG820" s="7" t="n"/>
      <c r="AH820" s="7" t="n"/>
      <c r="AI820" s="7" t="n"/>
      <c r="AJ820" s="7" t="n"/>
      <c r="AK820" s="7" t="n"/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  <c r="AV820" s="7" t="n"/>
      <c r="AW820" s="7" t="n"/>
      <c r="AX820" s="7" t="n"/>
      <c r="AY820" s="7" t="n"/>
      <c r="BA820" s="42">
        <f>IF(COUNT(B820:AY820)=0,"",IF(TRIM(A820)&lt;&gt;"",TRIM(A820),IF(BA819="","(geen naam)",BA819)))</f>
        <v/>
      </c>
      <c r="BB820" s="42">
        <f>IF(BA820="","",IF(ISNA(MATCH(BA820,BA$120:BA819,0)),MAX(BB$120:BB819)+1,""))</f>
        <v/>
      </c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  <c r="AV821" s="7" t="n"/>
      <c r="AW821" s="7" t="n"/>
      <c r="AX821" s="7" t="n"/>
      <c r="AY821" s="7" t="n"/>
      <c r="BA821" s="42">
        <f>IF(COUNT(B821:AY821)=0,"",IF(TRIM(A821)&lt;&gt;"",TRIM(A821),IF(BA820="","(geen naam)",BA820)))</f>
        <v/>
      </c>
      <c r="BB821" s="42">
        <f>IF(BA821="","",IF(ISNA(MATCH(BA821,BA$120:BA820,0)),MAX(BB$120:BB820)+1,""))</f>
        <v/>
      </c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  <c r="AF822" s="7" t="n"/>
      <c r="AG822" s="7" t="n"/>
      <c r="AH822" s="7" t="n"/>
      <c r="AI822" s="7" t="n"/>
      <c r="AJ822" s="7" t="n"/>
      <c r="AK822" s="7" t="n"/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  <c r="AV822" s="7" t="n"/>
      <c r="AW822" s="7" t="n"/>
      <c r="AX822" s="7" t="n"/>
      <c r="AY822" s="7" t="n"/>
      <c r="BA822" s="42">
        <f>IF(COUNT(B822:AY822)=0,"",IF(TRIM(A822)&lt;&gt;"",TRIM(A822),IF(BA821="","(geen naam)",BA821)))</f>
        <v/>
      </c>
      <c r="BB822" s="42">
        <f>IF(BA822="","",IF(ISNA(MATCH(BA822,BA$120:BA821,0)),MAX(BB$120:BB821)+1,""))</f>
        <v/>
      </c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  <c r="AV823" s="7" t="n"/>
      <c r="AW823" s="7" t="n"/>
      <c r="AX823" s="7" t="n"/>
      <c r="AY823" s="7" t="n"/>
      <c r="BA823" s="42">
        <f>IF(COUNT(B823:AY823)=0,"",IF(TRIM(A823)&lt;&gt;"",TRIM(A823),IF(BA822="","(geen naam)",BA822)))</f>
        <v/>
      </c>
      <c r="BB823" s="42">
        <f>IF(BA823="","",IF(ISNA(MATCH(BA823,BA$120:BA822,0)),MAX(BB$120:BB822)+1,""))</f>
        <v/>
      </c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  <c r="AF824" s="7" t="n"/>
      <c r="AG824" s="7" t="n"/>
      <c r="AH824" s="7" t="n"/>
      <c r="AI824" s="7" t="n"/>
      <c r="AJ824" s="7" t="n"/>
      <c r="AK824" s="7" t="n"/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  <c r="AV824" s="7" t="n"/>
      <c r="AW824" s="7" t="n"/>
      <c r="AX824" s="7" t="n"/>
      <c r="AY824" s="7" t="n"/>
      <c r="BA824" s="42">
        <f>IF(COUNT(B824:AY824)=0,"",IF(TRIM(A824)&lt;&gt;"",TRIM(A824),IF(BA823="","(geen naam)",BA823)))</f>
        <v/>
      </c>
      <c r="BB824" s="42">
        <f>IF(BA824="","",IF(ISNA(MATCH(BA824,BA$120:BA823,0)),MAX(BB$120:BB823)+1,""))</f>
        <v/>
      </c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  <c r="AV825" s="7" t="n"/>
      <c r="AW825" s="7" t="n"/>
      <c r="AX825" s="7" t="n"/>
      <c r="AY825" s="7" t="n"/>
      <c r="BA825" s="42">
        <f>IF(COUNT(B825:AY825)=0,"",IF(TRIM(A825)&lt;&gt;"",TRIM(A825),IF(BA824="","(geen naam)",BA824)))</f>
        <v/>
      </c>
      <c r="BB825" s="42">
        <f>IF(BA825="","",IF(ISNA(MATCH(BA825,BA$120:BA824,0)),MAX(BB$120:BB824)+1,""))</f>
        <v/>
      </c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  <c r="AF826" s="7" t="n"/>
      <c r="AG826" s="7" t="n"/>
      <c r="AH826" s="7" t="n"/>
      <c r="AI826" s="7" t="n"/>
      <c r="AJ826" s="7" t="n"/>
      <c r="AK826" s="7" t="n"/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  <c r="AV826" s="7" t="n"/>
      <c r="AW826" s="7" t="n"/>
      <c r="AX826" s="7" t="n"/>
      <c r="AY826" s="7" t="n"/>
      <c r="BA826" s="42">
        <f>IF(COUNT(B826:AY826)=0,"",IF(TRIM(A826)&lt;&gt;"",TRIM(A826),IF(BA825="","(geen naam)",BA825)))</f>
        <v/>
      </c>
      <c r="BB826" s="42">
        <f>IF(BA826="","",IF(ISNA(MATCH(BA826,BA$120:BA825,0)),MAX(BB$120:BB825)+1,""))</f>
        <v/>
      </c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  <c r="AV827" s="7" t="n"/>
      <c r="AW827" s="7" t="n"/>
      <c r="AX827" s="7" t="n"/>
      <c r="AY827" s="7" t="n"/>
      <c r="BA827" s="42">
        <f>IF(COUNT(B827:AY827)=0,"",IF(TRIM(A827)&lt;&gt;"",TRIM(A827),IF(BA826="","(geen naam)",BA826)))</f>
        <v/>
      </c>
      <c r="BB827" s="42">
        <f>IF(BA827="","",IF(ISNA(MATCH(BA827,BA$120:BA826,0)),MAX(BB$120:BB826)+1,""))</f>
        <v/>
      </c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  <c r="AF828" s="7" t="n"/>
      <c r="AG828" s="7" t="n"/>
      <c r="AH828" s="7" t="n"/>
      <c r="AI828" s="7" t="n"/>
      <c r="AJ828" s="7" t="n"/>
      <c r="AK828" s="7" t="n"/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  <c r="AV828" s="7" t="n"/>
      <c r="AW828" s="7" t="n"/>
      <c r="AX828" s="7" t="n"/>
      <c r="AY828" s="7" t="n"/>
      <c r="BA828" s="42">
        <f>IF(COUNT(B828:AY828)=0,"",IF(TRIM(A828)&lt;&gt;"",TRIM(A828),IF(BA827="","(geen naam)",BA827)))</f>
        <v/>
      </c>
      <c r="BB828" s="42">
        <f>IF(BA828="","",IF(ISNA(MATCH(BA828,BA$120:BA827,0)),MAX(BB$120:BB827)+1,""))</f>
        <v/>
      </c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  <c r="AV829" s="7" t="n"/>
      <c r="AW829" s="7" t="n"/>
      <c r="AX829" s="7" t="n"/>
      <c r="AY829" s="7" t="n"/>
      <c r="BA829" s="42">
        <f>IF(COUNT(B829:AY829)=0,"",IF(TRIM(A829)&lt;&gt;"",TRIM(A829),IF(BA828="","(geen naam)",BA828)))</f>
        <v/>
      </c>
      <c r="BB829" s="42">
        <f>IF(BA829="","",IF(ISNA(MATCH(BA829,BA$120:BA828,0)),MAX(BB$120:BB828)+1,""))</f>
        <v/>
      </c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  <c r="AF830" s="7" t="n"/>
      <c r="AG830" s="7" t="n"/>
      <c r="AH830" s="7" t="n"/>
      <c r="AI830" s="7" t="n"/>
      <c r="AJ830" s="7" t="n"/>
      <c r="AK830" s="7" t="n"/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  <c r="AV830" s="7" t="n"/>
      <c r="AW830" s="7" t="n"/>
      <c r="AX830" s="7" t="n"/>
      <c r="AY830" s="7" t="n"/>
      <c r="BA830" s="42">
        <f>IF(COUNT(B830:AY830)=0,"",IF(TRIM(A830)&lt;&gt;"",TRIM(A830),IF(BA829="","(geen naam)",BA829)))</f>
        <v/>
      </c>
      <c r="BB830" s="42">
        <f>IF(BA830="","",IF(ISNA(MATCH(BA830,BA$120:BA829,0)),MAX(BB$120:BB829)+1,""))</f>
        <v/>
      </c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  <c r="AV831" s="7" t="n"/>
      <c r="AW831" s="7" t="n"/>
      <c r="AX831" s="7" t="n"/>
      <c r="AY831" s="7" t="n"/>
      <c r="BA831" s="42">
        <f>IF(COUNT(B831:AY831)=0,"",IF(TRIM(A831)&lt;&gt;"",TRIM(A831),IF(BA830="","(geen naam)",BA830)))</f>
        <v/>
      </c>
      <c r="BB831" s="42">
        <f>IF(BA831="","",IF(ISNA(MATCH(BA831,BA$120:BA830,0)),MAX(BB$120:BB830)+1,""))</f>
        <v/>
      </c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  <c r="AF832" s="7" t="n"/>
      <c r="AG832" s="7" t="n"/>
      <c r="AH832" s="7" t="n"/>
      <c r="AI832" s="7" t="n"/>
      <c r="AJ832" s="7" t="n"/>
      <c r="AK832" s="7" t="n"/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  <c r="AV832" s="7" t="n"/>
      <c r="AW832" s="7" t="n"/>
      <c r="AX832" s="7" t="n"/>
      <c r="AY832" s="7" t="n"/>
      <c r="BA832" s="42">
        <f>IF(COUNT(B832:AY832)=0,"",IF(TRIM(A832)&lt;&gt;"",TRIM(A832),IF(BA831="","(geen naam)",BA831)))</f>
        <v/>
      </c>
      <c r="BB832" s="42">
        <f>IF(BA832="","",IF(ISNA(MATCH(BA832,BA$120:BA831,0)),MAX(BB$120:BB831)+1,""))</f>
        <v/>
      </c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  <c r="AV833" s="7" t="n"/>
      <c r="AW833" s="7" t="n"/>
      <c r="AX833" s="7" t="n"/>
      <c r="AY833" s="7" t="n"/>
      <c r="BA833" s="42">
        <f>IF(COUNT(B833:AY833)=0,"",IF(TRIM(A833)&lt;&gt;"",TRIM(A833),IF(BA832="","(geen naam)",BA832)))</f>
        <v/>
      </c>
      <c r="BB833" s="42">
        <f>IF(BA833="","",IF(ISNA(MATCH(BA833,BA$120:BA832,0)),MAX(BB$120:BB832)+1,""))</f>
        <v/>
      </c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  <c r="AF834" s="7" t="n"/>
      <c r="AG834" s="7" t="n"/>
      <c r="AH834" s="7" t="n"/>
      <c r="AI834" s="7" t="n"/>
      <c r="AJ834" s="7" t="n"/>
      <c r="AK834" s="7" t="n"/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  <c r="AV834" s="7" t="n"/>
      <c r="AW834" s="7" t="n"/>
      <c r="AX834" s="7" t="n"/>
      <c r="AY834" s="7" t="n"/>
      <c r="BA834" s="42">
        <f>IF(COUNT(B834:AY834)=0,"",IF(TRIM(A834)&lt;&gt;"",TRIM(A834),IF(BA833="","(geen naam)",BA833)))</f>
        <v/>
      </c>
      <c r="BB834" s="42">
        <f>IF(BA834="","",IF(ISNA(MATCH(BA834,BA$120:BA833,0)),MAX(BB$120:BB833)+1,""))</f>
        <v/>
      </c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  <c r="AV835" s="7" t="n"/>
      <c r="AW835" s="7" t="n"/>
      <c r="AX835" s="7" t="n"/>
      <c r="AY835" s="7" t="n"/>
      <c r="BA835" s="42">
        <f>IF(COUNT(B835:AY835)=0,"",IF(TRIM(A835)&lt;&gt;"",TRIM(A835),IF(BA834="","(geen naam)",BA834)))</f>
        <v/>
      </c>
      <c r="BB835" s="42">
        <f>IF(BA835="","",IF(ISNA(MATCH(BA835,BA$120:BA834,0)),MAX(BB$120:BB834)+1,""))</f>
        <v/>
      </c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  <c r="AF836" s="7" t="n"/>
      <c r="AG836" s="7" t="n"/>
      <c r="AH836" s="7" t="n"/>
      <c r="AI836" s="7" t="n"/>
      <c r="AJ836" s="7" t="n"/>
      <c r="AK836" s="7" t="n"/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  <c r="AV836" s="7" t="n"/>
      <c r="AW836" s="7" t="n"/>
      <c r="AX836" s="7" t="n"/>
      <c r="AY836" s="7" t="n"/>
      <c r="BA836" s="42">
        <f>IF(COUNT(B836:AY836)=0,"",IF(TRIM(A836)&lt;&gt;"",TRIM(A836),IF(BA835="","(geen naam)",BA835)))</f>
        <v/>
      </c>
      <c r="BB836" s="42">
        <f>IF(BA836="","",IF(ISNA(MATCH(BA836,BA$120:BA835,0)),MAX(BB$120:BB835)+1,""))</f>
        <v/>
      </c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  <c r="AV837" s="7" t="n"/>
      <c r="AW837" s="7" t="n"/>
      <c r="AX837" s="7" t="n"/>
      <c r="AY837" s="7" t="n"/>
      <c r="BA837" s="42">
        <f>IF(COUNT(B837:AY837)=0,"",IF(TRIM(A837)&lt;&gt;"",TRIM(A837),IF(BA836="","(geen naam)",BA836)))</f>
        <v/>
      </c>
      <c r="BB837" s="42">
        <f>IF(BA837="","",IF(ISNA(MATCH(BA837,BA$120:BA836,0)),MAX(BB$120:BB836)+1,""))</f>
        <v/>
      </c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  <c r="AF838" s="7" t="n"/>
      <c r="AG838" s="7" t="n"/>
      <c r="AH838" s="7" t="n"/>
      <c r="AI838" s="7" t="n"/>
      <c r="AJ838" s="7" t="n"/>
      <c r="AK838" s="7" t="n"/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  <c r="AV838" s="7" t="n"/>
      <c r="AW838" s="7" t="n"/>
      <c r="AX838" s="7" t="n"/>
      <c r="AY838" s="7" t="n"/>
      <c r="BA838" s="42">
        <f>IF(COUNT(B838:AY838)=0,"",IF(TRIM(A838)&lt;&gt;"",TRIM(A838),IF(BA837="","(geen naam)",BA837)))</f>
        <v/>
      </c>
      <c r="BB838" s="42">
        <f>IF(BA838="","",IF(ISNA(MATCH(BA838,BA$120:BA837,0)),MAX(BB$120:BB837)+1,""))</f>
        <v/>
      </c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  <c r="AV839" s="7" t="n"/>
      <c r="AW839" s="7" t="n"/>
      <c r="AX839" s="7" t="n"/>
      <c r="AY839" s="7" t="n"/>
      <c r="BA839" s="42">
        <f>IF(COUNT(B839:AY839)=0,"",IF(TRIM(A839)&lt;&gt;"",TRIM(A839),IF(BA838="","(geen naam)",BA838)))</f>
        <v/>
      </c>
      <c r="BB839" s="42">
        <f>IF(BA839="","",IF(ISNA(MATCH(BA839,BA$120:BA838,0)),MAX(BB$120:BB838)+1,""))</f>
        <v/>
      </c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  <c r="AF840" s="7" t="n"/>
      <c r="AG840" s="7" t="n"/>
      <c r="AH840" s="7" t="n"/>
      <c r="AI840" s="7" t="n"/>
      <c r="AJ840" s="7" t="n"/>
      <c r="AK840" s="7" t="n"/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  <c r="AV840" s="7" t="n"/>
      <c r="AW840" s="7" t="n"/>
      <c r="AX840" s="7" t="n"/>
      <c r="AY840" s="7" t="n"/>
      <c r="BA840" s="42">
        <f>IF(COUNT(B840:AY840)=0,"",IF(TRIM(A840)&lt;&gt;"",TRIM(A840),IF(BA839="","(geen naam)",BA839)))</f>
        <v/>
      </c>
      <c r="BB840" s="42">
        <f>IF(BA840="","",IF(ISNA(MATCH(BA840,BA$120:BA839,0)),MAX(BB$120:BB839)+1,""))</f>
        <v/>
      </c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  <c r="AV841" s="7" t="n"/>
      <c r="AW841" s="7" t="n"/>
      <c r="AX841" s="7" t="n"/>
      <c r="AY841" s="7" t="n"/>
      <c r="BA841" s="42">
        <f>IF(COUNT(B841:AY841)=0,"",IF(TRIM(A841)&lt;&gt;"",TRIM(A841),IF(BA840="","(geen naam)",BA840)))</f>
        <v/>
      </c>
      <c r="BB841" s="42">
        <f>IF(BA841="","",IF(ISNA(MATCH(BA841,BA$120:BA840,0)),MAX(BB$120:BB840)+1,""))</f>
        <v/>
      </c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  <c r="AF842" s="7" t="n"/>
      <c r="AG842" s="7" t="n"/>
      <c r="AH842" s="7" t="n"/>
      <c r="AI842" s="7" t="n"/>
      <c r="AJ842" s="7" t="n"/>
      <c r="AK842" s="7" t="n"/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  <c r="AV842" s="7" t="n"/>
      <c r="AW842" s="7" t="n"/>
      <c r="AX842" s="7" t="n"/>
      <c r="AY842" s="7" t="n"/>
      <c r="BA842" s="42">
        <f>IF(COUNT(B842:AY842)=0,"",IF(TRIM(A842)&lt;&gt;"",TRIM(A842),IF(BA841="","(geen naam)",BA841)))</f>
        <v/>
      </c>
      <c r="BB842" s="42">
        <f>IF(BA842="","",IF(ISNA(MATCH(BA842,BA$120:BA841,0)),MAX(BB$120:BB841)+1,""))</f>
        <v/>
      </c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  <c r="AV843" s="7" t="n"/>
      <c r="AW843" s="7" t="n"/>
      <c r="AX843" s="7" t="n"/>
      <c r="AY843" s="7" t="n"/>
      <c r="BA843" s="42">
        <f>IF(COUNT(B843:AY843)=0,"",IF(TRIM(A843)&lt;&gt;"",TRIM(A843),IF(BA842="","(geen naam)",BA842)))</f>
        <v/>
      </c>
      <c r="BB843" s="42">
        <f>IF(BA843="","",IF(ISNA(MATCH(BA843,BA$120:BA842,0)),MAX(BB$120:BB842)+1,""))</f>
        <v/>
      </c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  <c r="AF844" s="7" t="n"/>
      <c r="AG844" s="7" t="n"/>
      <c r="AH844" s="7" t="n"/>
      <c r="AI844" s="7" t="n"/>
      <c r="AJ844" s="7" t="n"/>
      <c r="AK844" s="7" t="n"/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  <c r="AV844" s="7" t="n"/>
      <c r="AW844" s="7" t="n"/>
      <c r="AX844" s="7" t="n"/>
      <c r="AY844" s="7" t="n"/>
      <c r="BA844" s="42">
        <f>IF(COUNT(B844:AY844)=0,"",IF(TRIM(A844)&lt;&gt;"",TRIM(A844),IF(BA843="","(geen naam)",BA843)))</f>
        <v/>
      </c>
      <c r="BB844" s="42">
        <f>IF(BA844="","",IF(ISNA(MATCH(BA844,BA$120:BA843,0)),MAX(BB$120:BB843)+1,""))</f>
        <v/>
      </c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  <c r="AV845" s="7" t="n"/>
      <c r="AW845" s="7" t="n"/>
      <c r="AX845" s="7" t="n"/>
      <c r="AY845" s="7" t="n"/>
      <c r="BA845" s="42">
        <f>IF(COUNT(B845:AY845)=0,"",IF(TRIM(A845)&lt;&gt;"",TRIM(A845),IF(BA844="","(geen naam)",BA844)))</f>
        <v/>
      </c>
      <c r="BB845" s="42">
        <f>IF(BA845="","",IF(ISNA(MATCH(BA845,BA$120:BA844,0)),MAX(BB$120:BB844)+1,""))</f>
        <v/>
      </c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  <c r="AF846" s="7" t="n"/>
      <c r="AG846" s="7" t="n"/>
      <c r="AH846" s="7" t="n"/>
      <c r="AI846" s="7" t="n"/>
      <c r="AJ846" s="7" t="n"/>
      <c r="AK846" s="7" t="n"/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  <c r="AV846" s="7" t="n"/>
      <c r="AW846" s="7" t="n"/>
      <c r="AX846" s="7" t="n"/>
      <c r="AY846" s="7" t="n"/>
      <c r="BA846" s="42">
        <f>IF(COUNT(B846:AY846)=0,"",IF(TRIM(A846)&lt;&gt;"",TRIM(A846),IF(BA845="","(geen naam)",BA845)))</f>
        <v/>
      </c>
      <c r="BB846" s="42">
        <f>IF(BA846="","",IF(ISNA(MATCH(BA846,BA$120:BA845,0)),MAX(BB$120:BB845)+1,""))</f>
        <v/>
      </c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  <c r="AV847" s="7" t="n"/>
      <c r="AW847" s="7" t="n"/>
      <c r="AX847" s="7" t="n"/>
      <c r="AY847" s="7" t="n"/>
      <c r="BA847" s="42">
        <f>IF(COUNT(B847:AY847)=0,"",IF(TRIM(A847)&lt;&gt;"",TRIM(A847),IF(BA846="","(geen naam)",BA846)))</f>
        <v/>
      </c>
      <c r="BB847" s="42">
        <f>IF(BA847="","",IF(ISNA(MATCH(BA847,BA$120:BA846,0)),MAX(BB$120:BB846)+1,""))</f>
        <v/>
      </c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  <c r="AC848" s="7" t="n"/>
      <c r="AD848" s="7" t="n"/>
      <c r="AE848" s="7" t="n"/>
      <c r="AF848" s="7" t="n"/>
      <c r="AG848" s="7" t="n"/>
      <c r="AH848" s="7" t="n"/>
      <c r="AI848" s="7" t="n"/>
      <c r="AJ848" s="7" t="n"/>
      <c r="AK848" s="7" t="n"/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  <c r="AV848" s="7" t="n"/>
      <c r="AW848" s="7" t="n"/>
      <c r="AX848" s="7" t="n"/>
      <c r="AY848" s="7" t="n"/>
      <c r="BA848" s="42">
        <f>IF(COUNT(B848:AY848)=0,"",IF(TRIM(A848)&lt;&gt;"",TRIM(A848),IF(BA847="","(geen naam)",BA847)))</f>
        <v/>
      </c>
      <c r="BB848" s="42">
        <f>IF(BA848="","",IF(ISNA(MATCH(BA848,BA$120:BA847,0)),MAX(BB$120:BB847)+1,""))</f>
        <v/>
      </c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  <c r="AV849" s="7" t="n"/>
      <c r="AW849" s="7" t="n"/>
      <c r="AX849" s="7" t="n"/>
      <c r="AY849" s="7" t="n"/>
      <c r="BA849" s="42">
        <f>IF(COUNT(B849:AY849)=0,"",IF(TRIM(A849)&lt;&gt;"",TRIM(A849),IF(BA848="","(geen naam)",BA848)))</f>
        <v/>
      </c>
      <c r="BB849" s="42">
        <f>IF(BA849="","",IF(ISNA(MATCH(BA849,BA$120:BA848,0)),MAX(BB$120:BB848)+1,""))</f>
        <v/>
      </c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  <c r="AF850" s="7" t="n"/>
      <c r="AG850" s="7" t="n"/>
      <c r="AH850" s="7" t="n"/>
      <c r="AI850" s="7" t="n"/>
      <c r="AJ850" s="7" t="n"/>
      <c r="AK850" s="7" t="n"/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  <c r="AV850" s="7" t="n"/>
      <c r="AW850" s="7" t="n"/>
      <c r="AX850" s="7" t="n"/>
      <c r="AY850" s="7" t="n"/>
      <c r="BA850" s="42">
        <f>IF(COUNT(B850:AY850)=0,"",IF(TRIM(A850)&lt;&gt;"",TRIM(A850),IF(BA849="","(geen naam)",BA849)))</f>
        <v/>
      </c>
      <c r="BB850" s="42">
        <f>IF(BA850="","",IF(ISNA(MATCH(BA850,BA$120:BA849,0)),MAX(BB$120:BB849)+1,""))</f>
        <v/>
      </c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  <c r="AV851" s="7" t="n"/>
      <c r="AW851" s="7" t="n"/>
      <c r="AX851" s="7" t="n"/>
      <c r="AY851" s="7" t="n"/>
      <c r="BA851" s="42">
        <f>IF(COUNT(B851:AY851)=0,"",IF(TRIM(A851)&lt;&gt;"",TRIM(A851),IF(BA850="","(geen naam)",BA850)))</f>
        <v/>
      </c>
      <c r="BB851" s="42">
        <f>IF(BA851="","",IF(ISNA(MATCH(BA851,BA$120:BA850,0)),MAX(BB$120:BB850)+1,""))</f>
        <v/>
      </c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  <c r="AF852" s="7" t="n"/>
      <c r="AG852" s="7" t="n"/>
      <c r="AH852" s="7" t="n"/>
      <c r="AI852" s="7" t="n"/>
      <c r="AJ852" s="7" t="n"/>
      <c r="AK852" s="7" t="n"/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  <c r="AV852" s="7" t="n"/>
      <c r="AW852" s="7" t="n"/>
      <c r="AX852" s="7" t="n"/>
      <c r="AY852" s="7" t="n"/>
      <c r="BA852" s="42">
        <f>IF(COUNT(B852:AY852)=0,"",IF(TRIM(A852)&lt;&gt;"",TRIM(A852),IF(BA851="","(geen naam)",BA851)))</f>
        <v/>
      </c>
      <c r="BB852" s="42">
        <f>IF(BA852="","",IF(ISNA(MATCH(BA852,BA$120:BA851,0)),MAX(BB$120:BB851)+1,""))</f>
        <v/>
      </c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  <c r="AV853" s="7" t="n"/>
      <c r="AW853" s="7" t="n"/>
      <c r="AX853" s="7" t="n"/>
      <c r="AY853" s="7" t="n"/>
      <c r="BA853" s="42">
        <f>IF(COUNT(B853:AY853)=0,"",IF(TRIM(A853)&lt;&gt;"",TRIM(A853),IF(BA852="","(geen naam)",BA852)))</f>
        <v/>
      </c>
      <c r="BB853" s="42">
        <f>IF(BA853="","",IF(ISNA(MATCH(BA853,BA$120:BA852,0)),MAX(BB$120:BB852)+1,""))</f>
        <v/>
      </c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  <c r="AF854" s="7" t="n"/>
      <c r="AG854" s="7" t="n"/>
      <c r="AH854" s="7" t="n"/>
      <c r="AI854" s="7" t="n"/>
      <c r="AJ854" s="7" t="n"/>
      <c r="AK854" s="7" t="n"/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  <c r="AV854" s="7" t="n"/>
      <c r="AW854" s="7" t="n"/>
      <c r="AX854" s="7" t="n"/>
      <c r="AY854" s="7" t="n"/>
      <c r="BA854" s="42">
        <f>IF(COUNT(B854:AY854)=0,"",IF(TRIM(A854)&lt;&gt;"",TRIM(A854),IF(BA853="","(geen naam)",BA853)))</f>
        <v/>
      </c>
      <c r="BB854" s="42">
        <f>IF(BA854="","",IF(ISNA(MATCH(BA854,BA$120:BA853,0)),MAX(BB$120:BB853)+1,""))</f>
        <v/>
      </c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  <c r="AV855" s="7" t="n"/>
      <c r="AW855" s="7" t="n"/>
      <c r="AX855" s="7" t="n"/>
      <c r="AY855" s="7" t="n"/>
      <c r="BA855" s="42">
        <f>IF(COUNT(B855:AY855)=0,"",IF(TRIM(A855)&lt;&gt;"",TRIM(A855),IF(BA854="","(geen naam)",BA854)))</f>
        <v/>
      </c>
      <c r="BB855" s="42">
        <f>IF(BA855="","",IF(ISNA(MATCH(BA855,BA$120:BA854,0)),MAX(BB$120:BB854)+1,""))</f>
        <v/>
      </c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  <c r="AF856" s="7" t="n"/>
      <c r="AG856" s="7" t="n"/>
      <c r="AH856" s="7" t="n"/>
      <c r="AI856" s="7" t="n"/>
      <c r="AJ856" s="7" t="n"/>
      <c r="AK856" s="7" t="n"/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  <c r="AV856" s="7" t="n"/>
      <c r="AW856" s="7" t="n"/>
      <c r="AX856" s="7" t="n"/>
      <c r="AY856" s="7" t="n"/>
      <c r="BA856" s="42">
        <f>IF(COUNT(B856:AY856)=0,"",IF(TRIM(A856)&lt;&gt;"",TRIM(A856),IF(BA855="","(geen naam)",BA855)))</f>
        <v/>
      </c>
      <c r="BB856" s="42">
        <f>IF(BA856="","",IF(ISNA(MATCH(BA856,BA$120:BA855,0)),MAX(BB$120:BB855)+1,""))</f>
        <v/>
      </c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  <c r="AV857" s="7" t="n"/>
      <c r="AW857" s="7" t="n"/>
      <c r="AX857" s="7" t="n"/>
      <c r="AY857" s="7" t="n"/>
      <c r="BA857" s="42">
        <f>IF(COUNT(B857:AY857)=0,"",IF(TRIM(A857)&lt;&gt;"",TRIM(A857),IF(BA856="","(geen naam)",BA856)))</f>
        <v/>
      </c>
      <c r="BB857" s="42">
        <f>IF(BA857="","",IF(ISNA(MATCH(BA857,BA$120:BA856,0)),MAX(BB$120:BB856)+1,""))</f>
        <v/>
      </c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  <c r="AF858" s="7" t="n"/>
      <c r="AG858" s="7" t="n"/>
      <c r="AH858" s="7" t="n"/>
      <c r="AI858" s="7" t="n"/>
      <c r="AJ858" s="7" t="n"/>
      <c r="AK858" s="7" t="n"/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  <c r="AV858" s="7" t="n"/>
      <c r="AW858" s="7" t="n"/>
      <c r="AX858" s="7" t="n"/>
      <c r="AY858" s="7" t="n"/>
      <c r="BA858" s="42">
        <f>IF(COUNT(B858:AY858)=0,"",IF(TRIM(A858)&lt;&gt;"",TRIM(A858),IF(BA857="","(geen naam)",BA857)))</f>
        <v/>
      </c>
      <c r="BB858" s="42">
        <f>IF(BA858="","",IF(ISNA(MATCH(BA858,BA$120:BA857,0)),MAX(BB$120:BB857)+1,""))</f>
        <v/>
      </c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  <c r="AV859" s="7" t="n"/>
      <c r="AW859" s="7" t="n"/>
      <c r="AX859" s="7" t="n"/>
      <c r="AY859" s="7" t="n"/>
      <c r="BA859" s="42">
        <f>IF(COUNT(B859:AY859)=0,"",IF(TRIM(A859)&lt;&gt;"",TRIM(A859),IF(BA858="","(geen naam)",BA858)))</f>
        <v/>
      </c>
      <c r="BB859" s="42">
        <f>IF(BA859="","",IF(ISNA(MATCH(BA859,BA$120:BA858,0)),MAX(BB$120:BB858)+1,""))</f>
        <v/>
      </c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  <c r="AF860" s="7" t="n"/>
      <c r="AG860" s="7" t="n"/>
      <c r="AH860" s="7" t="n"/>
      <c r="AI860" s="7" t="n"/>
      <c r="AJ860" s="7" t="n"/>
      <c r="AK860" s="7" t="n"/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  <c r="AV860" s="7" t="n"/>
      <c r="AW860" s="7" t="n"/>
      <c r="AX860" s="7" t="n"/>
      <c r="AY860" s="7" t="n"/>
      <c r="BA860" s="42">
        <f>IF(COUNT(B860:AY860)=0,"",IF(TRIM(A860)&lt;&gt;"",TRIM(A860),IF(BA859="","(geen naam)",BA859)))</f>
        <v/>
      </c>
      <c r="BB860" s="42">
        <f>IF(BA860="","",IF(ISNA(MATCH(BA860,BA$120:BA859,0)),MAX(BB$120:BB859)+1,""))</f>
        <v/>
      </c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  <c r="AV861" s="7" t="n"/>
      <c r="AW861" s="7" t="n"/>
      <c r="AX861" s="7" t="n"/>
      <c r="AY861" s="7" t="n"/>
      <c r="BA861" s="42">
        <f>IF(COUNT(B861:AY861)=0,"",IF(TRIM(A861)&lt;&gt;"",TRIM(A861),IF(BA860="","(geen naam)",BA860)))</f>
        <v/>
      </c>
      <c r="BB861" s="42">
        <f>IF(BA861="","",IF(ISNA(MATCH(BA861,BA$120:BA860,0)),MAX(BB$120:BB860)+1,""))</f>
        <v/>
      </c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  <c r="AF862" s="7" t="n"/>
      <c r="AG862" s="7" t="n"/>
      <c r="AH862" s="7" t="n"/>
      <c r="AI862" s="7" t="n"/>
      <c r="AJ862" s="7" t="n"/>
      <c r="AK862" s="7" t="n"/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  <c r="AV862" s="7" t="n"/>
      <c r="AW862" s="7" t="n"/>
      <c r="AX862" s="7" t="n"/>
      <c r="AY862" s="7" t="n"/>
      <c r="BA862" s="42">
        <f>IF(COUNT(B862:AY862)=0,"",IF(TRIM(A862)&lt;&gt;"",TRIM(A862),IF(BA861="","(geen naam)",BA861)))</f>
        <v/>
      </c>
      <c r="BB862" s="42">
        <f>IF(BA862="","",IF(ISNA(MATCH(BA862,BA$120:BA861,0)),MAX(BB$120:BB861)+1,""))</f>
        <v/>
      </c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  <c r="AV863" s="7" t="n"/>
      <c r="AW863" s="7" t="n"/>
      <c r="AX863" s="7" t="n"/>
      <c r="AY863" s="7" t="n"/>
      <c r="BA863" s="42">
        <f>IF(COUNT(B863:AY863)=0,"",IF(TRIM(A863)&lt;&gt;"",TRIM(A863),IF(BA862="","(geen naam)",BA862)))</f>
        <v/>
      </c>
      <c r="BB863" s="42">
        <f>IF(BA863="","",IF(ISNA(MATCH(BA863,BA$120:BA862,0)),MAX(BB$120:BB862)+1,""))</f>
        <v/>
      </c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  <c r="AF864" s="7" t="n"/>
      <c r="AG864" s="7" t="n"/>
      <c r="AH864" s="7" t="n"/>
      <c r="AI864" s="7" t="n"/>
      <c r="AJ864" s="7" t="n"/>
      <c r="AK864" s="7" t="n"/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  <c r="AV864" s="7" t="n"/>
      <c r="AW864" s="7" t="n"/>
      <c r="AX864" s="7" t="n"/>
      <c r="AY864" s="7" t="n"/>
      <c r="BA864" s="42">
        <f>IF(COUNT(B864:AY864)=0,"",IF(TRIM(A864)&lt;&gt;"",TRIM(A864),IF(BA863="","(geen naam)",BA863)))</f>
        <v/>
      </c>
      <c r="BB864" s="42">
        <f>IF(BA864="","",IF(ISNA(MATCH(BA864,BA$120:BA863,0)),MAX(BB$120:BB863)+1,""))</f>
        <v/>
      </c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  <c r="AV865" s="7" t="n"/>
      <c r="AW865" s="7" t="n"/>
      <c r="AX865" s="7" t="n"/>
      <c r="AY865" s="7" t="n"/>
      <c r="BA865" s="42">
        <f>IF(COUNT(B865:AY865)=0,"",IF(TRIM(A865)&lt;&gt;"",TRIM(A865),IF(BA864="","(geen naam)",BA864)))</f>
        <v/>
      </c>
      <c r="BB865" s="42">
        <f>IF(BA865="","",IF(ISNA(MATCH(BA865,BA$120:BA864,0)),MAX(BB$120:BB864)+1,""))</f>
        <v/>
      </c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  <c r="AF866" s="7" t="n"/>
      <c r="AG866" s="7" t="n"/>
      <c r="AH866" s="7" t="n"/>
      <c r="AI866" s="7" t="n"/>
      <c r="AJ866" s="7" t="n"/>
      <c r="AK866" s="7" t="n"/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  <c r="AV866" s="7" t="n"/>
      <c r="AW866" s="7" t="n"/>
      <c r="AX866" s="7" t="n"/>
      <c r="AY866" s="7" t="n"/>
      <c r="BA866" s="42">
        <f>IF(COUNT(B866:AY866)=0,"",IF(TRIM(A866)&lt;&gt;"",TRIM(A866),IF(BA865="","(geen naam)",BA865)))</f>
        <v/>
      </c>
      <c r="BB866" s="42">
        <f>IF(BA866="","",IF(ISNA(MATCH(BA866,BA$120:BA865,0)),MAX(BB$120:BB865)+1,""))</f>
        <v/>
      </c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  <c r="AV867" s="7" t="n"/>
      <c r="AW867" s="7" t="n"/>
      <c r="AX867" s="7" t="n"/>
      <c r="AY867" s="7" t="n"/>
      <c r="BA867" s="42">
        <f>IF(COUNT(B867:AY867)=0,"",IF(TRIM(A867)&lt;&gt;"",TRIM(A867),IF(BA866="","(geen naam)",BA866)))</f>
        <v/>
      </c>
      <c r="BB867" s="42">
        <f>IF(BA867="","",IF(ISNA(MATCH(BA867,BA$120:BA866,0)),MAX(BB$120:BB866)+1,""))</f>
        <v/>
      </c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  <c r="AF868" s="7" t="n"/>
      <c r="AG868" s="7" t="n"/>
      <c r="AH868" s="7" t="n"/>
      <c r="AI868" s="7" t="n"/>
      <c r="AJ868" s="7" t="n"/>
      <c r="AK868" s="7" t="n"/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  <c r="AV868" s="7" t="n"/>
      <c r="AW868" s="7" t="n"/>
      <c r="AX868" s="7" t="n"/>
      <c r="AY868" s="7" t="n"/>
      <c r="BA868" s="42">
        <f>IF(COUNT(B868:AY868)=0,"",IF(TRIM(A868)&lt;&gt;"",TRIM(A868),IF(BA867="","(geen naam)",BA867)))</f>
        <v/>
      </c>
      <c r="BB868" s="42">
        <f>IF(BA868="","",IF(ISNA(MATCH(BA868,BA$120:BA867,0)),MAX(BB$120:BB867)+1,""))</f>
        <v/>
      </c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  <c r="AV869" s="7" t="n"/>
      <c r="AW869" s="7" t="n"/>
      <c r="AX869" s="7" t="n"/>
      <c r="AY869" s="7" t="n"/>
      <c r="BA869" s="42">
        <f>IF(COUNT(B869:AY869)=0,"",IF(TRIM(A869)&lt;&gt;"",TRIM(A869),IF(BA868="","(geen naam)",BA868)))</f>
        <v/>
      </c>
      <c r="BB869" s="42">
        <f>IF(BA869="","",IF(ISNA(MATCH(BA869,BA$120:BA868,0)),MAX(BB$120:BB868)+1,""))</f>
        <v/>
      </c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  <c r="AF870" s="7" t="n"/>
      <c r="AG870" s="7" t="n"/>
      <c r="AH870" s="7" t="n"/>
      <c r="AI870" s="7" t="n"/>
      <c r="AJ870" s="7" t="n"/>
      <c r="AK870" s="7" t="n"/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  <c r="AV870" s="7" t="n"/>
      <c r="AW870" s="7" t="n"/>
      <c r="AX870" s="7" t="n"/>
      <c r="AY870" s="7" t="n"/>
      <c r="BA870" s="42">
        <f>IF(COUNT(B870:AY870)=0,"",IF(TRIM(A870)&lt;&gt;"",TRIM(A870),IF(BA869="","(geen naam)",BA869)))</f>
        <v/>
      </c>
      <c r="BB870" s="42">
        <f>IF(BA870="","",IF(ISNA(MATCH(BA870,BA$120:BA869,0)),MAX(BB$120:BB869)+1,""))</f>
        <v/>
      </c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  <c r="AV871" s="7" t="n"/>
      <c r="AW871" s="7" t="n"/>
      <c r="AX871" s="7" t="n"/>
      <c r="AY871" s="7" t="n"/>
      <c r="BA871" s="42">
        <f>IF(COUNT(B871:AY871)=0,"",IF(TRIM(A871)&lt;&gt;"",TRIM(A871),IF(BA870="","(geen naam)",BA870)))</f>
        <v/>
      </c>
      <c r="BB871" s="42">
        <f>IF(BA871="","",IF(ISNA(MATCH(BA871,BA$120:BA870,0)),MAX(BB$120:BB870)+1,""))</f>
        <v/>
      </c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  <c r="AF872" s="7" t="n"/>
      <c r="AG872" s="7" t="n"/>
      <c r="AH872" s="7" t="n"/>
      <c r="AI872" s="7" t="n"/>
      <c r="AJ872" s="7" t="n"/>
      <c r="AK872" s="7" t="n"/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  <c r="AV872" s="7" t="n"/>
      <c r="AW872" s="7" t="n"/>
      <c r="AX872" s="7" t="n"/>
      <c r="AY872" s="7" t="n"/>
      <c r="BA872" s="42">
        <f>IF(COUNT(B872:AY872)=0,"",IF(TRIM(A872)&lt;&gt;"",TRIM(A872),IF(BA871="","(geen naam)",BA871)))</f>
        <v/>
      </c>
      <c r="BB872" s="42">
        <f>IF(BA872="","",IF(ISNA(MATCH(BA872,BA$120:BA871,0)),MAX(BB$120:BB871)+1,""))</f>
        <v/>
      </c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  <c r="AV873" s="7" t="n"/>
      <c r="AW873" s="7" t="n"/>
      <c r="AX873" s="7" t="n"/>
      <c r="AY873" s="7" t="n"/>
      <c r="BA873" s="42">
        <f>IF(COUNT(B873:AY873)=0,"",IF(TRIM(A873)&lt;&gt;"",TRIM(A873),IF(BA872="","(geen naam)",BA872)))</f>
        <v/>
      </c>
      <c r="BB873" s="42">
        <f>IF(BA873="","",IF(ISNA(MATCH(BA873,BA$120:BA872,0)),MAX(BB$120:BB872)+1,""))</f>
        <v/>
      </c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  <c r="AF874" s="7" t="n"/>
      <c r="AG874" s="7" t="n"/>
      <c r="AH874" s="7" t="n"/>
      <c r="AI874" s="7" t="n"/>
      <c r="AJ874" s="7" t="n"/>
      <c r="AK874" s="7" t="n"/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  <c r="AV874" s="7" t="n"/>
      <c r="AW874" s="7" t="n"/>
      <c r="AX874" s="7" t="n"/>
      <c r="AY874" s="7" t="n"/>
      <c r="BA874" s="42">
        <f>IF(COUNT(B874:AY874)=0,"",IF(TRIM(A874)&lt;&gt;"",TRIM(A874),IF(BA873="","(geen naam)",BA873)))</f>
        <v/>
      </c>
      <c r="BB874" s="42">
        <f>IF(BA874="","",IF(ISNA(MATCH(BA874,BA$120:BA873,0)),MAX(BB$120:BB873)+1,""))</f>
        <v/>
      </c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  <c r="AV875" s="7" t="n"/>
      <c r="AW875" s="7" t="n"/>
      <c r="AX875" s="7" t="n"/>
      <c r="AY875" s="7" t="n"/>
      <c r="BA875" s="42">
        <f>IF(COUNT(B875:AY875)=0,"",IF(TRIM(A875)&lt;&gt;"",TRIM(A875),IF(BA874="","(geen naam)",BA874)))</f>
        <v/>
      </c>
      <c r="BB875" s="42">
        <f>IF(BA875="","",IF(ISNA(MATCH(BA875,BA$120:BA874,0)),MAX(BB$120:BB874)+1,""))</f>
        <v/>
      </c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  <c r="AF876" s="7" t="n"/>
      <c r="AG876" s="7" t="n"/>
      <c r="AH876" s="7" t="n"/>
      <c r="AI876" s="7" t="n"/>
      <c r="AJ876" s="7" t="n"/>
      <c r="AK876" s="7" t="n"/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  <c r="AV876" s="7" t="n"/>
      <c r="AW876" s="7" t="n"/>
      <c r="AX876" s="7" t="n"/>
      <c r="AY876" s="7" t="n"/>
      <c r="BA876" s="42">
        <f>IF(COUNT(B876:AY876)=0,"",IF(TRIM(A876)&lt;&gt;"",TRIM(A876),IF(BA875="","(geen naam)",BA875)))</f>
        <v/>
      </c>
      <c r="BB876" s="42">
        <f>IF(BA876="","",IF(ISNA(MATCH(BA876,BA$120:BA875,0)),MAX(BB$120:BB875)+1,""))</f>
        <v/>
      </c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  <c r="AV877" s="7" t="n"/>
      <c r="AW877" s="7" t="n"/>
      <c r="AX877" s="7" t="n"/>
      <c r="AY877" s="7" t="n"/>
      <c r="BA877" s="42">
        <f>IF(COUNT(B877:AY877)=0,"",IF(TRIM(A877)&lt;&gt;"",TRIM(A877),IF(BA876="","(geen naam)",BA876)))</f>
        <v/>
      </c>
      <c r="BB877" s="42">
        <f>IF(BA877="","",IF(ISNA(MATCH(BA877,BA$120:BA876,0)),MAX(BB$120:BB876)+1,""))</f>
        <v/>
      </c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  <c r="AF878" s="7" t="n"/>
      <c r="AG878" s="7" t="n"/>
      <c r="AH878" s="7" t="n"/>
      <c r="AI878" s="7" t="n"/>
      <c r="AJ878" s="7" t="n"/>
      <c r="AK878" s="7" t="n"/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  <c r="AV878" s="7" t="n"/>
      <c r="AW878" s="7" t="n"/>
      <c r="AX878" s="7" t="n"/>
      <c r="AY878" s="7" t="n"/>
      <c r="BA878" s="42">
        <f>IF(COUNT(B878:AY878)=0,"",IF(TRIM(A878)&lt;&gt;"",TRIM(A878),IF(BA877="","(geen naam)",BA877)))</f>
        <v/>
      </c>
      <c r="BB878" s="42">
        <f>IF(BA878="","",IF(ISNA(MATCH(BA878,BA$120:BA877,0)),MAX(BB$120:BB877)+1,""))</f>
        <v/>
      </c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  <c r="AV879" s="7" t="n"/>
      <c r="AW879" s="7" t="n"/>
      <c r="AX879" s="7" t="n"/>
      <c r="AY879" s="7" t="n"/>
      <c r="BA879" s="42">
        <f>IF(COUNT(B879:AY879)=0,"",IF(TRIM(A879)&lt;&gt;"",TRIM(A879),IF(BA878="","(geen naam)",BA878)))</f>
        <v/>
      </c>
      <c r="BB879" s="42">
        <f>IF(BA879="","",IF(ISNA(MATCH(BA879,BA$120:BA878,0)),MAX(BB$120:BB878)+1,""))</f>
        <v/>
      </c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  <c r="AF880" s="7" t="n"/>
      <c r="AG880" s="7" t="n"/>
      <c r="AH880" s="7" t="n"/>
      <c r="AI880" s="7" t="n"/>
      <c r="AJ880" s="7" t="n"/>
      <c r="AK880" s="7" t="n"/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  <c r="AV880" s="7" t="n"/>
      <c r="AW880" s="7" t="n"/>
      <c r="AX880" s="7" t="n"/>
      <c r="AY880" s="7" t="n"/>
      <c r="BA880" s="42">
        <f>IF(COUNT(B880:AY880)=0,"",IF(TRIM(A880)&lt;&gt;"",TRIM(A880),IF(BA879="","(geen naam)",BA879)))</f>
        <v/>
      </c>
      <c r="BB880" s="42">
        <f>IF(BA880="","",IF(ISNA(MATCH(BA880,BA$120:BA879,0)),MAX(BB$120:BB879)+1,""))</f>
        <v/>
      </c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  <c r="AV881" s="7" t="n"/>
      <c r="AW881" s="7" t="n"/>
      <c r="AX881" s="7" t="n"/>
      <c r="AY881" s="7" t="n"/>
      <c r="BA881" s="42">
        <f>IF(COUNT(B881:AY881)=0,"",IF(TRIM(A881)&lt;&gt;"",TRIM(A881),IF(BA880="","(geen naam)",BA880)))</f>
        <v/>
      </c>
      <c r="BB881" s="42">
        <f>IF(BA881="","",IF(ISNA(MATCH(BA881,BA$120:BA880,0)),MAX(BB$120:BB880)+1,""))</f>
        <v/>
      </c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  <c r="AF882" s="7" t="n"/>
      <c r="AG882" s="7" t="n"/>
      <c r="AH882" s="7" t="n"/>
      <c r="AI882" s="7" t="n"/>
      <c r="AJ882" s="7" t="n"/>
      <c r="AK882" s="7" t="n"/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  <c r="AV882" s="7" t="n"/>
      <c r="AW882" s="7" t="n"/>
      <c r="AX882" s="7" t="n"/>
      <c r="AY882" s="7" t="n"/>
      <c r="BA882" s="42">
        <f>IF(COUNT(B882:AY882)=0,"",IF(TRIM(A882)&lt;&gt;"",TRIM(A882),IF(BA881="","(geen naam)",BA881)))</f>
        <v/>
      </c>
      <c r="BB882" s="42">
        <f>IF(BA882="","",IF(ISNA(MATCH(BA882,BA$120:BA881,0)),MAX(BB$120:BB881)+1,""))</f>
        <v/>
      </c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  <c r="AV883" s="7" t="n"/>
      <c r="AW883" s="7" t="n"/>
      <c r="AX883" s="7" t="n"/>
      <c r="AY883" s="7" t="n"/>
      <c r="BA883" s="42">
        <f>IF(COUNT(B883:AY883)=0,"",IF(TRIM(A883)&lt;&gt;"",TRIM(A883),IF(BA882="","(geen naam)",BA882)))</f>
        <v/>
      </c>
      <c r="BB883" s="42">
        <f>IF(BA883="","",IF(ISNA(MATCH(BA883,BA$120:BA882,0)),MAX(BB$120:BB882)+1,""))</f>
        <v/>
      </c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  <c r="AF884" s="7" t="n"/>
      <c r="AG884" s="7" t="n"/>
      <c r="AH884" s="7" t="n"/>
      <c r="AI884" s="7" t="n"/>
      <c r="AJ884" s="7" t="n"/>
      <c r="AK884" s="7" t="n"/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  <c r="AV884" s="7" t="n"/>
      <c r="AW884" s="7" t="n"/>
      <c r="AX884" s="7" t="n"/>
      <c r="AY884" s="7" t="n"/>
      <c r="BA884" s="42">
        <f>IF(COUNT(B884:AY884)=0,"",IF(TRIM(A884)&lt;&gt;"",TRIM(A884),IF(BA883="","(geen naam)",BA883)))</f>
        <v/>
      </c>
      <c r="BB884" s="42">
        <f>IF(BA884="","",IF(ISNA(MATCH(BA884,BA$120:BA883,0)),MAX(BB$120:BB883)+1,""))</f>
        <v/>
      </c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  <c r="AV885" s="7" t="n"/>
      <c r="AW885" s="7" t="n"/>
      <c r="AX885" s="7" t="n"/>
      <c r="AY885" s="7" t="n"/>
      <c r="BA885" s="42">
        <f>IF(COUNT(B885:AY885)=0,"",IF(TRIM(A885)&lt;&gt;"",TRIM(A885),IF(BA884="","(geen naam)",BA884)))</f>
        <v/>
      </c>
      <c r="BB885" s="42">
        <f>IF(BA885="","",IF(ISNA(MATCH(BA885,BA$120:BA884,0)),MAX(BB$120:BB884)+1,""))</f>
        <v/>
      </c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  <c r="AF886" s="7" t="n"/>
      <c r="AG886" s="7" t="n"/>
      <c r="AH886" s="7" t="n"/>
      <c r="AI886" s="7" t="n"/>
      <c r="AJ886" s="7" t="n"/>
      <c r="AK886" s="7" t="n"/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  <c r="AV886" s="7" t="n"/>
      <c r="AW886" s="7" t="n"/>
      <c r="AX886" s="7" t="n"/>
      <c r="AY886" s="7" t="n"/>
      <c r="BA886" s="42">
        <f>IF(COUNT(B886:AY886)=0,"",IF(TRIM(A886)&lt;&gt;"",TRIM(A886),IF(BA885="","(geen naam)",BA885)))</f>
        <v/>
      </c>
      <c r="BB886" s="42">
        <f>IF(BA886="","",IF(ISNA(MATCH(BA886,BA$120:BA885,0)),MAX(BB$120:BB885)+1,""))</f>
        <v/>
      </c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  <c r="AV887" s="7" t="n"/>
      <c r="AW887" s="7" t="n"/>
      <c r="AX887" s="7" t="n"/>
      <c r="AY887" s="7" t="n"/>
      <c r="BA887" s="42">
        <f>IF(COUNT(B887:AY887)=0,"",IF(TRIM(A887)&lt;&gt;"",TRIM(A887),IF(BA886="","(geen naam)",BA886)))</f>
        <v/>
      </c>
      <c r="BB887" s="42">
        <f>IF(BA887="","",IF(ISNA(MATCH(BA887,BA$120:BA886,0)),MAX(BB$120:BB886)+1,""))</f>
        <v/>
      </c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  <c r="AF888" s="7" t="n"/>
      <c r="AG888" s="7" t="n"/>
      <c r="AH888" s="7" t="n"/>
      <c r="AI888" s="7" t="n"/>
      <c r="AJ888" s="7" t="n"/>
      <c r="AK888" s="7" t="n"/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  <c r="AV888" s="7" t="n"/>
      <c r="AW888" s="7" t="n"/>
      <c r="AX888" s="7" t="n"/>
      <c r="AY888" s="7" t="n"/>
      <c r="BA888" s="42">
        <f>IF(COUNT(B888:AY888)=0,"",IF(TRIM(A888)&lt;&gt;"",TRIM(A888),IF(BA887="","(geen naam)",BA887)))</f>
        <v/>
      </c>
      <c r="BB888" s="42">
        <f>IF(BA888="","",IF(ISNA(MATCH(BA888,BA$120:BA887,0)),MAX(BB$120:BB887)+1,""))</f>
        <v/>
      </c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  <c r="AV889" s="7" t="n"/>
      <c r="AW889" s="7" t="n"/>
      <c r="AX889" s="7" t="n"/>
      <c r="AY889" s="7" t="n"/>
      <c r="BA889" s="42">
        <f>IF(COUNT(B889:AY889)=0,"",IF(TRIM(A889)&lt;&gt;"",TRIM(A889),IF(BA888="","(geen naam)",BA888)))</f>
        <v/>
      </c>
      <c r="BB889" s="42">
        <f>IF(BA889="","",IF(ISNA(MATCH(BA889,BA$120:BA888,0)),MAX(BB$120:BB888)+1,""))</f>
        <v/>
      </c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  <c r="AF890" s="7" t="n"/>
      <c r="AG890" s="7" t="n"/>
      <c r="AH890" s="7" t="n"/>
      <c r="AI890" s="7" t="n"/>
      <c r="AJ890" s="7" t="n"/>
      <c r="AK890" s="7" t="n"/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  <c r="AV890" s="7" t="n"/>
      <c r="AW890" s="7" t="n"/>
      <c r="AX890" s="7" t="n"/>
      <c r="AY890" s="7" t="n"/>
      <c r="BA890" s="42">
        <f>IF(COUNT(B890:AY890)=0,"",IF(TRIM(A890)&lt;&gt;"",TRIM(A890),IF(BA889="","(geen naam)",BA889)))</f>
        <v/>
      </c>
      <c r="BB890" s="42">
        <f>IF(BA890="","",IF(ISNA(MATCH(BA890,BA$120:BA889,0)),MAX(BB$120:BB889)+1,""))</f>
        <v/>
      </c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  <c r="AV891" s="7" t="n"/>
      <c r="AW891" s="7" t="n"/>
      <c r="AX891" s="7" t="n"/>
      <c r="AY891" s="7" t="n"/>
      <c r="BA891" s="42">
        <f>IF(COUNT(B891:AY891)=0,"",IF(TRIM(A891)&lt;&gt;"",TRIM(A891),IF(BA890="","(geen naam)",BA890)))</f>
        <v/>
      </c>
      <c r="BB891" s="42">
        <f>IF(BA891="","",IF(ISNA(MATCH(BA891,BA$120:BA890,0)),MAX(BB$120:BB890)+1,""))</f>
        <v/>
      </c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  <c r="AF892" s="7" t="n"/>
      <c r="AG892" s="7" t="n"/>
      <c r="AH892" s="7" t="n"/>
      <c r="AI892" s="7" t="n"/>
      <c r="AJ892" s="7" t="n"/>
      <c r="AK892" s="7" t="n"/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  <c r="AV892" s="7" t="n"/>
      <c r="AW892" s="7" t="n"/>
      <c r="AX892" s="7" t="n"/>
      <c r="AY892" s="7" t="n"/>
      <c r="BA892" s="42">
        <f>IF(COUNT(B892:AY892)=0,"",IF(TRIM(A892)&lt;&gt;"",TRIM(A892),IF(BA891="","(geen naam)",BA891)))</f>
        <v/>
      </c>
      <c r="BB892" s="42">
        <f>IF(BA892="","",IF(ISNA(MATCH(BA892,BA$120:BA891,0)),MAX(BB$120:BB891)+1,""))</f>
        <v/>
      </c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  <c r="AV893" s="7" t="n"/>
      <c r="AW893" s="7" t="n"/>
      <c r="AX893" s="7" t="n"/>
      <c r="AY893" s="7" t="n"/>
      <c r="BA893" s="42">
        <f>IF(COUNT(B893:AY893)=0,"",IF(TRIM(A893)&lt;&gt;"",TRIM(A893),IF(BA892="","(geen naam)",BA892)))</f>
        <v/>
      </c>
      <c r="BB893" s="42">
        <f>IF(BA893="","",IF(ISNA(MATCH(BA893,BA$120:BA892,0)),MAX(BB$120:BB892)+1,""))</f>
        <v/>
      </c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  <c r="AF894" s="7" t="n"/>
      <c r="AG894" s="7" t="n"/>
      <c r="AH894" s="7" t="n"/>
      <c r="AI894" s="7" t="n"/>
      <c r="AJ894" s="7" t="n"/>
      <c r="AK894" s="7" t="n"/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  <c r="AV894" s="7" t="n"/>
      <c r="AW894" s="7" t="n"/>
      <c r="AX894" s="7" t="n"/>
      <c r="AY894" s="7" t="n"/>
      <c r="BA894" s="42">
        <f>IF(COUNT(B894:AY894)=0,"",IF(TRIM(A894)&lt;&gt;"",TRIM(A894),IF(BA893="","(geen naam)",BA893)))</f>
        <v/>
      </c>
      <c r="BB894" s="42">
        <f>IF(BA894="","",IF(ISNA(MATCH(BA894,BA$120:BA893,0)),MAX(BB$120:BB893)+1,""))</f>
        <v/>
      </c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  <c r="AV895" s="7" t="n"/>
      <c r="AW895" s="7" t="n"/>
      <c r="AX895" s="7" t="n"/>
      <c r="AY895" s="7" t="n"/>
      <c r="BA895" s="42">
        <f>IF(COUNT(B895:AY895)=0,"",IF(TRIM(A895)&lt;&gt;"",TRIM(A895),IF(BA894="","(geen naam)",BA894)))</f>
        <v/>
      </c>
      <c r="BB895" s="42">
        <f>IF(BA895="","",IF(ISNA(MATCH(BA895,BA$120:BA894,0)),MAX(BB$120:BB894)+1,""))</f>
        <v/>
      </c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  <c r="AF896" s="7" t="n"/>
      <c r="AG896" s="7" t="n"/>
      <c r="AH896" s="7" t="n"/>
      <c r="AI896" s="7" t="n"/>
      <c r="AJ896" s="7" t="n"/>
      <c r="AK896" s="7" t="n"/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  <c r="AV896" s="7" t="n"/>
      <c r="AW896" s="7" t="n"/>
      <c r="AX896" s="7" t="n"/>
      <c r="AY896" s="7" t="n"/>
      <c r="BA896" s="42">
        <f>IF(COUNT(B896:AY896)=0,"",IF(TRIM(A896)&lt;&gt;"",TRIM(A896),IF(BA895="","(geen naam)",BA895)))</f>
        <v/>
      </c>
      <c r="BB896" s="42">
        <f>IF(BA896="","",IF(ISNA(MATCH(BA896,BA$120:BA895,0)),MAX(BB$120:BB895)+1,""))</f>
        <v/>
      </c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  <c r="AV897" s="7" t="n"/>
      <c r="AW897" s="7" t="n"/>
      <c r="AX897" s="7" t="n"/>
      <c r="AY897" s="7" t="n"/>
      <c r="BA897" s="42">
        <f>IF(COUNT(B897:AY897)=0,"",IF(TRIM(A897)&lt;&gt;"",TRIM(A897),IF(BA896="","(geen naam)",BA896)))</f>
        <v/>
      </c>
      <c r="BB897" s="42">
        <f>IF(BA897="","",IF(ISNA(MATCH(BA897,BA$120:BA896,0)),MAX(BB$120:BB896)+1,""))</f>
        <v/>
      </c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  <c r="AF898" s="7" t="n"/>
      <c r="AG898" s="7" t="n"/>
      <c r="AH898" s="7" t="n"/>
      <c r="AI898" s="7" t="n"/>
      <c r="AJ898" s="7" t="n"/>
      <c r="AK898" s="7" t="n"/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  <c r="AV898" s="7" t="n"/>
      <c r="AW898" s="7" t="n"/>
      <c r="AX898" s="7" t="n"/>
      <c r="AY898" s="7" t="n"/>
      <c r="BA898" s="42">
        <f>IF(COUNT(B898:AY898)=0,"",IF(TRIM(A898)&lt;&gt;"",TRIM(A898),IF(BA897="","(geen naam)",BA897)))</f>
        <v/>
      </c>
      <c r="BB898" s="42">
        <f>IF(BA898="","",IF(ISNA(MATCH(BA898,BA$120:BA897,0)),MAX(BB$120:BB897)+1,""))</f>
        <v/>
      </c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  <c r="AV899" s="7" t="n"/>
      <c r="AW899" s="7" t="n"/>
      <c r="AX899" s="7" t="n"/>
      <c r="AY899" s="7" t="n"/>
      <c r="BA899" s="42">
        <f>IF(COUNT(B899:AY899)=0,"",IF(TRIM(A899)&lt;&gt;"",TRIM(A899),IF(BA898="","(geen naam)",BA898)))</f>
        <v/>
      </c>
      <c r="BB899" s="42">
        <f>IF(BA899="","",IF(ISNA(MATCH(BA899,BA$120:BA898,0)),MAX(BB$120:BB898)+1,""))</f>
        <v/>
      </c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  <c r="AF900" s="7" t="n"/>
      <c r="AG900" s="7" t="n"/>
      <c r="AH900" s="7" t="n"/>
      <c r="AI900" s="7" t="n"/>
      <c r="AJ900" s="7" t="n"/>
      <c r="AK900" s="7" t="n"/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  <c r="AV900" s="7" t="n"/>
      <c r="AW900" s="7" t="n"/>
      <c r="AX900" s="7" t="n"/>
      <c r="AY900" s="7" t="n"/>
      <c r="BA900" s="42">
        <f>IF(COUNT(B900:AY900)=0,"",IF(TRIM(A900)&lt;&gt;"",TRIM(A900),IF(BA899="","(geen naam)",BA899)))</f>
        <v/>
      </c>
      <c r="BB900" s="42">
        <f>IF(BA900="","",IF(ISNA(MATCH(BA900,BA$120:BA899,0)),MAX(BB$120:BB899)+1,""))</f>
        <v/>
      </c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  <c r="AV901" s="7" t="n"/>
      <c r="AW901" s="7" t="n"/>
      <c r="AX901" s="7" t="n"/>
      <c r="AY901" s="7" t="n"/>
      <c r="BA901" s="42">
        <f>IF(COUNT(B901:AY901)=0,"",IF(TRIM(A901)&lt;&gt;"",TRIM(A901),IF(BA900="","(geen naam)",BA900)))</f>
        <v/>
      </c>
      <c r="BB901" s="42">
        <f>IF(BA901="","",IF(ISNA(MATCH(BA901,BA$120:BA900,0)),MAX(BB$120:BB900)+1,""))</f>
        <v/>
      </c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  <c r="AF902" s="7" t="n"/>
      <c r="AG902" s="7" t="n"/>
      <c r="AH902" s="7" t="n"/>
      <c r="AI902" s="7" t="n"/>
      <c r="AJ902" s="7" t="n"/>
      <c r="AK902" s="7" t="n"/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  <c r="AV902" s="7" t="n"/>
      <c r="AW902" s="7" t="n"/>
      <c r="AX902" s="7" t="n"/>
      <c r="AY902" s="7" t="n"/>
      <c r="BA902" s="42">
        <f>IF(COUNT(B902:AY902)=0,"",IF(TRIM(A902)&lt;&gt;"",TRIM(A902),IF(BA901="","(geen naam)",BA901)))</f>
        <v/>
      </c>
      <c r="BB902" s="42">
        <f>IF(BA902="","",IF(ISNA(MATCH(BA902,BA$120:BA901,0)),MAX(BB$120:BB901)+1,""))</f>
        <v/>
      </c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  <c r="AV903" s="7" t="n"/>
      <c r="AW903" s="7" t="n"/>
      <c r="AX903" s="7" t="n"/>
      <c r="AY903" s="7" t="n"/>
      <c r="BA903" s="42">
        <f>IF(COUNT(B903:AY903)=0,"",IF(TRIM(A903)&lt;&gt;"",TRIM(A903),IF(BA902="","(geen naam)",BA902)))</f>
        <v/>
      </c>
      <c r="BB903" s="42">
        <f>IF(BA903="","",IF(ISNA(MATCH(BA903,BA$120:BA902,0)),MAX(BB$120:BB902)+1,""))</f>
        <v/>
      </c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  <c r="AF904" s="7" t="n"/>
      <c r="AG904" s="7" t="n"/>
      <c r="AH904" s="7" t="n"/>
      <c r="AI904" s="7" t="n"/>
      <c r="AJ904" s="7" t="n"/>
      <c r="AK904" s="7" t="n"/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  <c r="AV904" s="7" t="n"/>
      <c r="AW904" s="7" t="n"/>
      <c r="AX904" s="7" t="n"/>
      <c r="AY904" s="7" t="n"/>
      <c r="BA904" s="42">
        <f>IF(COUNT(B904:AY904)=0,"",IF(TRIM(A904)&lt;&gt;"",TRIM(A904),IF(BA903="","(geen naam)",BA903)))</f>
        <v/>
      </c>
      <c r="BB904" s="42">
        <f>IF(BA904="","",IF(ISNA(MATCH(BA904,BA$120:BA903,0)),MAX(BB$120:BB903)+1,""))</f>
        <v/>
      </c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  <c r="AV905" s="7" t="n"/>
      <c r="AW905" s="7" t="n"/>
      <c r="AX905" s="7" t="n"/>
      <c r="AY905" s="7" t="n"/>
      <c r="BA905" s="42">
        <f>IF(COUNT(B905:AY905)=0,"",IF(TRIM(A905)&lt;&gt;"",TRIM(A905),IF(BA904="","(geen naam)",BA904)))</f>
        <v/>
      </c>
      <c r="BB905" s="42">
        <f>IF(BA905="","",IF(ISNA(MATCH(BA905,BA$120:BA904,0)),MAX(BB$120:BB904)+1,""))</f>
        <v/>
      </c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  <c r="AF906" s="7" t="n"/>
      <c r="AG906" s="7" t="n"/>
      <c r="AH906" s="7" t="n"/>
      <c r="AI906" s="7" t="n"/>
      <c r="AJ906" s="7" t="n"/>
      <c r="AK906" s="7" t="n"/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  <c r="AV906" s="7" t="n"/>
      <c r="AW906" s="7" t="n"/>
      <c r="AX906" s="7" t="n"/>
      <c r="AY906" s="7" t="n"/>
      <c r="BA906" s="42">
        <f>IF(COUNT(B906:AY906)=0,"",IF(TRIM(A906)&lt;&gt;"",TRIM(A906),IF(BA905="","(geen naam)",BA905)))</f>
        <v/>
      </c>
      <c r="BB906" s="42">
        <f>IF(BA906="","",IF(ISNA(MATCH(BA906,BA$120:BA905,0)),MAX(BB$120:BB905)+1,""))</f>
        <v/>
      </c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  <c r="AV907" s="7" t="n"/>
      <c r="AW907" s="7" t="n"/>
      <c r="AX907" s="7" t="n"/>
      <c r="AY907" s="7" t="n"/>
      <c r="BA907" s="42">
        <f>IF(COUNT(B907:AY907)=0,"",IF(TRIM(A907)&lt;&gt;"",TRIM(A907),IF(BA906="","(geen naam)",BA906)))</f>
        <v/>
      </c>
      <c r="BB907" s="42">
        <f>IF(BA907="","",IF(ISNA(MATCH(BA907,BA$120:BA906,0)),MAX(BB$120:BB906)+1,""))</f>
        <v/>
      </c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  <c r="AF908" s="7" t="n"/>
      <c r="AG908" s="7" t="n"/>
      <c r="AH908" s="7" t="n"/>
      <c r="AI908" s="7" t="n"/>
      <c r="AJ908" s="7" t="n"/>
      <c r="AK908" s="7" t="n"/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  <c r="AV908" s="7" t="n"/>
      <c r="AW908" s="7" t="n"/>
      <c r="AX908" s="7" t="n"/>
      <c r="AY908" s="7" t="n"/>
      <c r="BA908" s="42">
        <f>IF(COUNT(B908:AY908)=0,"",IF(TRIM(A908)&lt;&gt;"",TRIM(A908),IF(BA907="","(geen naam)",BA907)))</f>
        <v/>
      </c>
      <c r="BB908" s="42">
        <f>IF(BA908="","",IF(ISNA(MATCH(BA908,BA$120:BA907,0)),MAX(BB$120:BB907)+1,""))</f>
        <v/>
      </c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  <c r="AV909" s="7" t="n"/>
      <c r="AW909" s="7" t="n"/>
      <c r="AX909" s="7" t="n"/>
      <c r="AY909" s="7" t="n"/>
      <c r="BA909" s="42">
        <f>IF(COUNT(B909:AY909)=0,"",IF(TRIM(A909)&lt;&gt;"",TRIM(A909),IF(BA908="","(geen naam)",BA908)))</f>
        <v/>
      </c>
      <c r="BB909" s="42">
        <f>IF(BA909="","",IF(ISNA(MATCH(BA909,BA$120:BA908,0)),MAX(BB$120:BB908)+1,""))</f>
        <v/>
      </c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  <c r="AF910" s="7" t="n"/>
      <c r="AG910" s="7" t="n"/>
      <c r="AH910" s="7" t="n"/>
      <c r="AI910" s="7" t="n"/>
      <c r="AJ910" s="7" t="n"/>
      <c r="AK910" s="7" t="n"/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  <c r="AV910" s="7" t="n"/>
      <c r="AW910" s="7" t="n"/>
      <c r="AX910" s="7" t="n"/>
      <c r="AY910" s="7" t="n"/>
      <c r="BA910" s="42">
        <f>IF(COUNT(B910:AY910)=0,"",IF(TRIM(A910)&lt;&gt;"",TRIM(A910),IF(BA909="","(geen naam)",BA909)))</f>
        <v/>
      </c>
      <c r="BB910" s="42">
        <f>IF(BA910="","",IF(ISNA(MATCH(BA910,BA$120:BA909,0)),MAX(BB$120:BB909)+1,""))</f>
        <v/>
      </c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  <c r="AV911" s="7" t="n"/>
      <c r="AW911" s="7" t="n"/>
      <c r="AX911" s="7" t="n"/>
      <c r="AY911" s="7" t="n"/>
      <c r="BA911" s="42">
        <f>IF(COUNT(B911:AY911)=0,"",IF(TRIM(A911)&lt;&gt;"",TRIM(A911),IF(BA910="","(geen naam)",BA910)))</f>
        <v/>
      </c>
      <c r="BB911" s="42">
        <f>IF(BA911="","",IF(ISNA(MATCH(BA911,BA$120:BA910,0)),MAX(BB$120:BB910)+1,""))</f>
        <v/>
      </c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  <c r="AF912" s="7" t="n"/>
      <c r="AG912" s="7" t="n"/>
      <c r="AH912" s="7" t="n"/>
      <c r="AI912" s="7" t="n"/>
      <c r="AJ912" s="7" t="n"/>
      <c r="AK912" s="7" t="n"/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  <c r="AV912" s="7" t="n"/>
      <c r="AW912" s="7" t="n"/>
      <c r="AX912" s="7" t="n"/>
      <c r="AY912" s="7" t="n"/>
      <c r="BA912" s="42">
        <f>IF(COUNT(B912:AY912)=0,"",IF(TRIM(A912)&lt;&gt;"",TRIM(A912),IF(BA911="","(geen naam)",BA911)))</f>
        <v/>
      </c>
      <c r="BB912" s="42">
        <f>IF(BA912="","",IF(ISNA(MATCH(BA912,BA$120:BA911,0)),MAX(BB$120:BB911)+1,""))</f>
        <v/>
      </c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  <c r="AV913" s="7" t="n"/>
      <c r="AW913" s="7" t="n"/>
      <c r="AX913" s="7" t="n"/>
      <c r="AY913" s="7" t="n"/>
      <c r="BA913" s="42">
        <f>IF(COUNT(B913:AY913)=0,"",IF(TRIM(A913)&lt;&gt;"",TRIM(A913),IF(BA912="","(geen naam)",BA912)))</f>
        <v/>
      </c>
      <c r="BB913" s="42">
        <f>IF(BA913="","",IF(ISNA(MATCH(BA913,BA$120:BA912,0)),MAX(BB$120:BB912)+1,""))</f>
        <v/>
      </c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  <c r="AF914" s="7" t="n"/>
      <c r="AG914" s="7" t="n"/>
      <c r="AH914" s="7" t="n"/>
      <c r="AI914" s="7" t="n"/>
      <c r="AJ914" s="7" t="n"/>
      <c r="AK914" s="7" t="n"/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  <c r="AV914" s="7" t="n"/>
      <c r="AW914" s="7" t="n"/>
      <c r="AX914" s="7" t="n"/>
      <c r="AY914" s="7" t="n"/>
      <c r="BA914" s="42">
        <f>IF(COUNT(B914:AY914)=0,"",IF(TRIM(A914)&lt;&gt;"",TRIM(A914),IF(BA913="","(geen naam)",BA913)))</f>
        <v/>
      </c>
      <c r="BB914" s="42">
        <f>IF(BA914="","",IF(ISNA(MATCH(BA914,BA$120:BA913,0)),MAX(BB$120:BB913)+1,""))</f>
        <v/>
      </c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  <c r="AV915" s="7" t="n"/>
      <c r="AW915" s="7" t="n"/>
      <c r="AX915" s="7" t="n"/>
      <c r="AY915" s="7" t="n"/>
      <c r="BA915" s="42">
        <f>IF(COUNT(B915:AY915)=0,"",IF(TRIM(A915)&lt;&gt;"",TRIM(A915),IF(BA914="","(geen naam)",BA914)))</f>
        <v/>
      </c>
      <c r="BB915" s="42">
        <f>IF(BA915="","",IF(ISNA(MATCH(BA915,BA$120:BA914,0)),MAX(BB$120:BB914)+1,""))</f>
        <v/>
      </c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  <c r="AF916" s="7" t="n"/>
      <c r="AG916" s="7" t="n"/>
      <c r="AH916" s="7" t="n"/>
      <c r="AI916" s="7" t="n"/>
      <c r="AJ916" s="7" t="n"/>
      <c r="AK916" s="7" t="n"/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  <c r="AV916" s="7" t="n"/>
      <c r="AW916" s="7" t="n"/>
      <c r="AX916" s="7" t="n"/>
      <c r="AY916" s="7" t="n"/>
      <c r="BA916" s="42">
        <f>IF(COUNT(B916:AY916)=0,"",IF(TRIM(A916)&lt;&gt;"",TRIM(A916),IF(BA915="","(geen naam)",BA915)))</f>
        <v/>
      </c>
      <c r="BB916" s="42">
        <f>IF(BA916="","",IF(ISNA(MATCH(BA916,BA$120:BA915,0)),MAX(BB$120:BB915)+1,""))</f>
        <v/>
      </c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  <c r="AV917" s="7" t="n"/>
      <c r="AW917" s="7" t="n"/>
      <c r="AX917" s="7" t="n"/>
      <c r="AY917" s="7" t="n"/>
      <c r="BA917" s="42">
        <f>IF(COUNT(B917:AY917)=0,"",IF(TRIM(A917)&lt;&gt;"",TRIM(A917),IF(BA916="","(geen naam)",BA916)))</f>
        <v/>
      </c>
      <c r="BB917" s="42">
        <f>IF(BA917="","",IF(ISNA(MATCH(BA917,BA$120:BA916,0)),MAX(BB$120:BB916)+1,""))</f>
        <v/>
      </c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  <c r="AF918" s="7" t="n"/>
      <c r="AG918" s="7" t="n"/>
      <c r="AH918" s="7" t="n"/>
      <c r="AI918" s="7" t="n"/>
      <c r="AJ918" s="7" t="n"/>
      <c r="AK918" s="7" t="n"/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  <c r="AV918" s="7" t="n"/>
      <c r="AW918" s="7" t="n"/>
      <c r="AX918" s="7" t="n"/>
      <c r="AY918" s="7" t="n"/>
      <c r="BA918" s="42">
        <f>IF(COUNT(B918:AY918)=0,"",IF(TRIM(A918)&lt;&gt;"",TRIM(A918),IF(BA917="","(geen naam)",BA917)))</f>
        <v/>
      </c>
      <c r="BB918" s="42">
        <f>IF(BA918="","",IF(ISNA(MATCH(BA918,BA$120:BA917,0)),MAX(BB$120:BB917)+1,""))</f>
        <v/>
      </c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  <c r="AV919" s="7" t="n"/>
      <c r="AW919" s="7" t="n"/>
      <c r="AX919" s="7" t="n"/>
      <c r="AY919" s="7" t="n"/>
      <c r="BA919" s="42">
        <f>IF(COUNT(B919:AY919)=0,"",IF(TRIM(A919)&lt;&gt;"",TRIM(A919),IF(BA918="","(geen naam)",BA918)))</f>
        <v/>
      </c>
      <c r="BB919" s="42">
        <f>IF(BA919="","",IF(ISNA(MATCH(BA919,BA$120:BA918,0)),MAX(BB$120:BB918)+1,""))</f>
        <v/>
      </c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  <c r="AC920" s="7" t="n"/>
      <c r="AD920" s="7" t="n"/>
      <c r="AE920" s="7" t="n"/>
      <c r="AF920" s="7" t="n"/>
      <c r="AG920" s="7" t="n"/>
      <c r="AH920" s="7" t="n"/>
      <c r="AI920" s="7" t="n"/>
      <c r="AJ920" s="7" t="n"/>
      <c r="AK920" s="7" t="n"/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  <c r="AV920" s="7" t="n"/>
      <c r="AW920" s="7" t="n"/>
      <c r="AX920" s="7" t="n"/>
      <c r="AY920" s="7" t="n"/>
      <c r="BA920" s="42">
        <f>IF(COUNT(B920:AY920)=0,"",IF(TRIM(A920)&lt;&gt;"",TRIM(A920),IF(BA919="","(geen naam)",BA919)))</f>
        <v/>
      </c>
      <c r="BB920" s="42">
        <f>IF(BA920="","",IF(ISNA(MATCH(BA920,BA$120:BA919,0)),MAX(BB$120:BB919)+1,""))</f>
        <v/>
      </c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  <c r="AV921" s="7" t="n"/>
      <c r="AW921" s="7" t="n"/>
      <c r="AX921" s="7" t="n"/>
      <c r="AY921" s="7" t="n"/>
      <c r="BA921" s="42">
        <f>IF(COUNT(B921:AY921)=0,"",IF(TRIM(A921)&lt;&gt;"",TRIM(A921),IF(BA920="","(geen naam)",BA920)))</f>
        <v/>
      </c>
      <c r="BB921" s="42">
        <f>IF(BA921="","",IF(ISNA(MATCH(BA921,BA$120:BA920,0)),MAX(BB$120:BB920)+1,""))</f>
        <v/>
      </c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  <c r="AF922" s="7" t="n"/>
      <c r="AG922" s="7" t="n"/>
      <c r="AH922" s="7" t="n"/>
      <c r="AI922" s="7" t="n"/>
      <c r="AJ922" s="7" t="n"/>
      <c r="AK922" s="7" t="n"/>
      <c r="AL922" s="7" t="n"/>
      <c r="AM922" s="7" t="n"/>
      <c r="AN922" s="7" t="n"/>
      <c r="AO922" s="7" t="n"/>
      <c r="AP922" s="7" t="n"/>
      <c r="AQ922" s="7" t="n"/>
      <c r="AR922" s="7" t="n"/>
      <c r="AS922" s="7" t="n"/>
      <c r="AT922" s="7" t="n"/>
      <c r="AU922" s="7" t="n"/>
      <c r="AV922" s="7" t="n"/>
      <c r="AW922" s="7" t="n"/>
      <c r="AX922" s="7" t="n"/>
      <c r="AY922" s="7" t="n"/>
      <c r="BA922" s="42">
        <f>IF(COUNT(B922:AY922)=0,"",IF(TRIM(A922)&lt;&gt;"",TRIM(A922),IF(BA921="","(geen naam)",BA921)))</f>
        <v/>
      </c>
      <c r="BB922" s="42">
        <f>IF(BA922="","",IF(ISNA(MATCH(BA922,BA$120:BA921,0)),MAX(BB$120:BB921)+1,""))</f>
        <v/>
      </c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/>
      <c r="AP923" s="7" t="n"/>
      <c r="AQ923" s="7" t="n"/>
      <c r="AR923" s="7" t="n"/>
      <c r="AS923" s="7" t="n"/>
      <c r="AT923" s="7" t="n"/>
      <c r="AU923" s="7" t="n"/>
      <c r="AV923" s="7" t="n"/>
      <c r="AW923" s="7" t="n"/>
      <c r="AX923" s="7" t="n"/>
      <c r="AY923" s="7" t="n"/>
      <c r="BA923" s="42">
        <f>IF(COUNT(B923:AY923)=0,"",IF(TRIM(A923)&lt;&gt;"",TRIM(A923),IF(BA922="","(geen naam)",BA922)))</f>
        <v/>
      </c>
      <c r="BB923" s="42">
        <f>IF(BA923="","",IF(ISNA(MATCH(BA923,BA$120:BA922,0)),MAX(BB$120:BB922)+1,""))</f>
        <v/>
      </c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  <c r="AF924" s="7" t="n"/>
      <c r="AG924" s="7" t="n"/>
      <c r="AH924" s="7" t="n"/>
      <c r="AI924" s="7" t="n"/>
      <c r="AJ924" s="7" t="n"/>
      <c r="AK924" s="7" t="n"/>
      <c r="AL924" s="7" t="n"/>
      <c r="AM924" s="7" t="n"/>
      <c r="AN924" s="7" t="n"/>
      <c r="AO924" s="7" t="n"/>
      <c r="AP924" s="7" t="n"/>
      <c r="AQ924" s="7" t="n"/>
      <c r="AR924" s="7" t="n"/>
      <c r="AS924" s="7" t="n"/>
      <c r="AT924" s="7" t="n"/>
      <c r="AU924" s="7" t="n"/>
      <c r="AV924" s="7" t="n"/>
      <c r="AW924" s="7" t="n"/>
      <c r="AX924" s="7" t="n"/>
      <c r="AY924" s="7" t="n"/>
      <c r="BA924" s="42">
        <f>IF(COUNT(B924:AY924)=0,"",IF(TRIM(A924)&lt;&gt;"",TRIM(A924),IF(BA923="","(geen naam)",BA923)))</f>
        <v/>
      </c>
      <c r="BB924" s="42">
        <f>IF(BA924="","",IF(ISNA(MATCH(BA924,BA$120:BA923,0)),MAX(BB$120:BB923)+1,""))</f>
        <v/>
      </c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/>
      <c r="AP925" s="7" t="n"/>
      <c r="AQ925" s="7" t="n"/>
      <c r="AR925" s="7" t="n"/>
      <c r="AS925" s="7" t="n"/>
      <c r="AT925" s="7" t="n"/>
      <c r="AU925" s="7" t="n"/>
      <c r="AV925" s="7" t="n"/>
      <c r="AW925" s="7" t="n"/>
      <c r="AX925" s="7" t="n"/>
      <c r="AY925" s="7" t="n"/>
      <c r="BA925" s="42">
        <f>IF(COUNT(B925:AY925)=0,"",IF(TRIM(A925)&lt;&gt;"",TRIM(A925),IF(BA924="","(geen naam)",BA924)))</f>
        <v/>
      </c>
      <c r="BB925" s="42">
        <f>IF(BA925="","",IF(ISNA(MATCH(BA925,BA$120:BA924,0)),MAX(BB$120:BB924)+1,""))</f>
        <v/>
      </c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  <c r="AF926" s="7" t="n"/>
      <c r="AG926" s="7" t="n"/>
      <c r="AH926" s="7" t="n"/>
      <c r="AI926" s="7" t="n"/>
      <c r="AJ926" s="7" t="n"/>
      <c r="AK926" s="7" t="n"/>
      <c r="AL926" s="7" t="n"/>
      <c r="AM926" s="7" t="n"/>
      <c r="AN926" s="7" t="n"/>
      <c r="AO926" s="7" t="n"/>
      <c r="AP926" s="7" t="n"/>
      <c r="AQ926" s="7" t="n"/>
      <c r="AR926" s="7" t="n"/>
      <c r="AS926" s="7" t="n"/>
      <c r="AT926" s="7" t="n"/>
      <c r="AU926" s="7" t="n"/>
      <c r="AV926" s="7" t="n"/>
      <c r="AW926" s="7" t="n"/>
      <c r="AX926" s="7" t="n"/>
      <c r="AY926" s="7" t="n"/>
      <c r="BA926" s="42">
        <f>IF(COUNT(B926:AY926)=0,"",IF(TRIM(A926)&lt;&gt;"",TRIM(A926),IF(BA925="","(geen naam)",BA925)))</f>
        <v/>
      </c>
      <c r="BB926" s="42">
        <f>IF(BA926="","",IF(ISNA(MATCH(BA926,BA$120:BA925,0)),MAX(BB$120:BB925)+1,""))</f>
        <v/>
      </c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/>
      <c r="AP927" s="7" t="n"/>
      <c r="AQ927" s="7" t="n"/>
      <c r="AR927" s="7" t="n"/>
      <c r="AS927" s="7" t="n"/>
      <c r="AT927" s="7" t="n"/>
      <c r="AU927" s="7" t="n"/>
      <c r="AV927" s="7" t="n"/>
      <c r="AW927" s="7" t="n"/>
      <c r="AX927" s="7" t="n"/>
      <c r="AY927" s="7" t="n"/>
      <c r="BA927" s="42">
        <f>IF(COUNT(B927:AY927)=0,"",IF(TRIM(A927)&lt;&gt;"",TRIM(A927),IF(BA926="","(geen naam)",BA926)))</f>
        <v/>
      </c>
      <c r="BB927" s="42">
        <f>IF(BA927="","",IF(ISNA(MATCH(BA927,BA$120:BA926,0)),MAX(BB$120:BB926)+1,""))</f>
        <v/>
      </c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  <c r="AF928" s="7" t="n"/>
      <c r="AG928" s="7" t="n"/>
      <c r="AH928" s="7" t="n"/>
      <c r="AI928" s="7" t="n"/>
      <c r="AJ928" s="7" t="n"/>
      <c r="AK928" s="7" t="n"/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  <c r="AV928" s="7" t="n"/>
      <c r="AW928" s="7" t="n"/>
      <c r="AX928" s="7" t="n"/>
      <c r="AY928" s="7" t="n"/>
      <c r="BA928" s="42">
        <f>IF(COUNT(B928:AY928)=0,"",IF(TRIM(A928)&lt;&gt;"",TRIM(A928),IF(BA927="","(geen naam)",BA927)))</f>
        <v/>
      </c>
      <c r="BB928" s="42">
        <f>IF(BA928="","",IF(ISNA(MATCH(BA928,BA$120:BA927,0)),MAX(BB$120:BB927)+1,""))</f>
        <v/>
      </c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  <c r="AV929" s="7" t="n"/>
      <c r="AW929" s="7" t="n"/>
      <c r="AX929" s="7" t="n"/>
      <c r="AY929" s="7" t="n"/>
      <c r="BA929" s="42">
        <f>IF(COUNT(B929:AY929)=0,"",IF(TRIM(A929)&lt;&gt;"",TRIM(A929),IF(BA928="","(geen naam)",BA928)))</f>
        <v/>
      </c>
      <c r="BB929" s="42">
        <f>IF(BA929="","",IF(ISNA(MATCH(BA929,BA$120:BA928,0)),MAX(BB$120:BB928)+1,""))</f>
        <v/>
      </c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  <c r="AF930" s="7" t="n"/>
      <c r="AG930" s="7" t="n"/>
      <c r="AH930" s="7" t="n"/>
      <c r="AI930" s="7" t="n"/>
      <c r="AJ930" s="7" t="n"/>
      <c r="AK930" s="7" t="n"/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  <c r="AV930" s="7" t="n"/>
      <c r="AW930" s="7" t="n"/>
      <c r="AX930" s="7" t="n"/>
      <c r="AY930" s="7" t="n"/>
      <c r="BA930" s="42">
        <f>IF(COUNT(B930:AY930)=0,"",IF(TRIM(A930)&lt;&gt;"",TRIM(A930),IF(BA929="","(geen naam)",BA929)))</f>
        <v/>
      </c>
      <c r="BB930" s="42">
        <f>IF(BA930="","",IF(ISNA(MATCH(BA930,BA$120:BA929,0)),MAX(BB$120:BB929)+1,""))</f>
        <v/>
      </c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  <c r="AV931" s="7" t="n"/>
      <c r="AW931" s="7" t="n"/>
      <c r="AX931" s="7" t="n"/>
      <c r="AY931" s="7" t="n"/>
      <c r="BA931" s="42">
        <f>IF(COUNT(B931:AY931)=0,"",IF(TRIM(A931)&lt;&gt;"",TRIM(A931),IF(BA930="","(geen naam)",BA930)))</f>
        <v/>
      </c>
      <c r="BB931" s="42">
        <f>IF(BA931="","",IF(ISNA(MATCH(BA931,BA$120:BA930,0)),MAX(BB$120:BB930)+1,""))</f>
        <v/>
      </c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  <c r="AF932" s="7" t="n"/>
      <c r="AG932" s="7" t="n"/>
      <c r="AH932" s="7" t="n"/>
      <c r="AI932" s="7" t="n"/>
      <c r="AJ932" s="7" t="n"/>
      <c r="AK932" s="7" t="n"/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  <c r="AV932" s="7" t="n"/>
      <c r="AW932" s="7" t="n"/>
      <c r="AX932" s="7" t="n"/>
      <c r="AY932" s="7" t="n"/>
      <c r="BA932" s="42">
        <f>IF(COUNT(B932:AY932)=0,"",IF(TRIM(A932)&lt;&gt;"",TRIM(A932),IF(BA931="","(geen naam)",BA931)))</f>
        <v/>
      </c>
      <c r="BB932" s="42">
        <f>IF(BA932="","",IF(ISNA(MATCH(BA932,BA$120:BA931,0)),MAX(BB$120:BB931)+1,""))</f>
        <v/>
      </c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  <c r="AV933" s="7" t="n"/>
      <c r="AW933" s="7" t="n"/>
      <c r="AX933" s="7" t="n"/>
      <c r="AY933" s="7" t="n"/>
      <c r="BA933" s="42">
        <f>IF(COUNT(B933:AY933)=0,"",IF(TRIM(A933)&lt;&gt;"",TRIM(A933),IF(BA932="","(geen naam)",BA932)))</f>
        <v/>
      </c>
      <c r="BB933" s="42">
        <f>IF(BA933="","",IF(ISNA(MATCH(BA933,BA$120:BA932,0)),MAX(BB$120:BB932)+1,""))</f>
        <v/>
      </c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  <c r="AF934" s="7" t="n"/>
      <c r="AG934" s="7" t="n"/>
      <c r="AH934" s="7" t="n"/>
      <c r="AI934" s="7" t="n"/>
      <c r="AJ934" s="7" t="n"/>
      <c r="AK934" s="7" t="n"/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  <c r="AV934" s="7" t="n"/>
      <c r="AW934" s="7" t="n"/>
      <c r="AX934" s="7" t="n"/>
      <c r="AY934" s="7" t="n"/>
      <c r="BA934" s="42">
        <f>IF(COUNT(B934:AY934)=0,"",IF(TRIM(A934)&lt;&gt;"",TRIM(A934),IF(BA933="","(geen naam)",BA933)))</f>
        <v/>
      </c>
      <c r="BB934" s="42">
        <f>IF(BA934="","",IF(ISNA(MATCH(BA934,BA$120:BA933,0)),MAX(BB$120:BB933)+1,""))</f>
        <v/>
      </c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  <c r="AV935" s="7" t="n"/>
      <c r="AW935" s="7" t="n"/>
      <c r="AX935" s="7" t="n"/>
      <c r="AY935" s="7" t="n"/>
      <c r="BA935" s="42">
        <f>IF(COUNT(B935:AY935)=0,"",IF(TRIM(A935)&lt;&gt;"",TRIM(A935),IF(BA934="","(geen naam)",BA934)))</f>
        <v/>
      </c>
      <c r="BB935" s="42">
        <f>IF(BA935="","",IF(ISNA(MATCH(BA935,BA$120:BA934,0)),MAX(BB$120:BB934)+1,""))</f>
        <v/>
      </c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  <c r="AF936" s="7" t="n"/>
      <c r="AG936" s="7" t="n"/>
      <c r="AH936" s="7" t="n"/>
      <c r="AI936" s="7" t="n"/>
      <c r="AJ936" s="7" t="n"/>
      <c r="AK936" s="7" t="n"/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  <c r="AV936" s="7" t="n"/>
      <c r="AW936" s="7" t="n"/>
      <c r="AX936" s="7" t="n"/>
      <c r="AY936" s="7" t="n"/>
      <c r="BA936" s="42">
        <f>IF(COUNT(B936:AY936)=0,"",IF(TRIM(A936)&lt;&gt;"",TRIM(A936),IF(BA935="","(geen naam)",BA935)))</f>
        <v/>
      </c>
      <c r="BB936" s="42">
        <f>IF(BA936="","",IF(ISNA(MATCH(BA936,BA$120:BA935,0)),MAX(BB$120:BB935)+1,""))</f>
        <v/>
      </c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  <c r="AV937" s="7" t="n"/>
      <c r="AW937" s="7" t="n"/>
      <c r="AX937" s="7" t="n"/>
      <c r="AY937" s="7" t="n"/>
      <c r="BA937" s="42">
        <f>IF(COUNT(B937:AY937)=0,"",IF(TRIM(A937)&lt;&gt;"",TRIM(A937),IF(BA936="","(geen naam)",BA936)))</f>
        <v/>
      </c>
      <c r="BB937" s="42">
        <f>IF(BA937="","",IF(ISNA(MATCH(BA937,BA$120:BA936,0)),MAX(BB$120:BB936)+1,""))</f>
        <v/>
      </c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  <c r="AF938" s="7" t="n"/>
      <c r="AG938" s="7" t="n"/>
      <c r="AH938" s="7" t="n"/>
      <c r="AI938" s="7" t="n"/>
      <c r="AJ938" s="7" t="n"/>
      <c r="AK938" s="7" t="n"/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  <c r="AV938" s="7" t="n"/>
      <c r="AW938" s="7" t="n"/>
      <c r="AX938" s="7" t="n"/>
      <c r="AY938" s="7" t="n"/>
      <c r="BA938" s="42">
        <f>IF(COUNT(B938:AY938)=0,"",IF(TRIM(A938)&lt;&gt;"",TRIM(A938),IF(BA937="","(geen naam)",BA937)))</f>
        <v/>
      </c>
      <c r="BB938" s="42">
        <f>IF(BA938="","",IF(ISNA(MATCH(BA938,BA$120:BA937,0)),MAX(BB$120:BB937)+1,""))</f>
        <v/>
      </c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  <c r="AV939" s="7" t="n"/>
      <c r="AW939" s="7" t="n"/>
      <c r="AX939" s="7" t="n"/>
      <c r="AY939" s="7" t="n"/>
      <c r="BA939" s="42">
        <f>IF(COUNT(B939:AY939)=0,"",IF(TRIM(A939)&lt;&gt;"",TRIM(A939),IF(BA938="","(geen naam)",BA938)))</f>
        <v/>
      </c>
      <c r="BB939" s="42">
        <f>IF(BA939="","",IF(ISNA(MATCH(BA939,BA$120:BA938,0)),MAX(BB$120:BB938)+1,""))</f>
        <v/>
      </c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  <c r="AF940" s="7" t="n"/>
      <c r="AG940" s="7" t="n"/>
      <c r="AH940" s="7" t="n"/>
      <c r="AI940" s="7" t="n"/>
      <c r="AJ940" s="7" t="n"/>
      <c r="AK940" s="7" t="n"/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  <c r="AV940" s="7" t="n"/>
      <c r="AW940" s="7" t="n"/>
      <c r="AX940" s="7" t="n"/>
      <c r="AY940" s="7" t="n"/>
      <c r="BA940" s="42">
        <f>IF(COUNT(B940:AY940)=0,"",IF(TRIM(A940)&lt;&gt;"",TRIM(A940),IF(BA939="","(geen naam)",BA939)))</f>
        <v/>
      </c>
      <c r="BB940" s="42">
        <f>IF(BA940="","",IF(ISNA(MATCH(BA940,BA$120:BA939,0)),MAX(BB$120:BB939)+1,""))</f>
        <v/>
      </c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  <c r="AV941" s="7" t="n"/>
      <c r="AW941" s="7" t="n"/>
      <c r="AX941" s="7" t="n"/>
      <c r="AY941" s="7" t="n"/>
      <c r="BA941" s="42">
        <f>IF(COUNT(B941:AY941)=0,"",IF(TRIM(A941)&lt;&gt;"",TRIM(A941),IF(BA940="","(geen naam)",BA940)))</f>
        <v/>
      </c>
      <c r="BB941" s="42">
        <f>IF(BA941="","",IF(ISNA(MATCH(BA941,BA$120:BA940,0)),MAX(BB$120:BB940)+1,""))</f>
        <v/>
      </c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  <c r="AF942" s="7" t="n"/>
      <c r="AG942" s="7" t="n"/>
      <c r="AH942" s="7" t="n"/>
      <c r="AI942" s="7" t="n"/>
      <c r="AJ942" s="7" t="n"/>
      <c r="AK942" s="7" t="n"/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  <c r="AV942" s="7" t="n"/>
      <c r="AW942" s="7" t="n"/>
      <c r="AX942" s="7" t="n"/>
      <c r="AY942" s="7" t="n"/>
      <c r="BA942" s="42">
        <f>IF(COUNT(B942:AY942)=0,"",IF(TRIM(A942)&lt;&gt;"",TRIM(A942),IF(BA941="","(geen naam)",BA941)))</f>
        <v/>
      </c>
      <c r="BB942" s="42">
        <f>IF(BA942="","",IF(ISNA(MATCH(BA942,BA$120:BA941,0)),MAX(BB$120:BB941)+1,""))</f>
        <v/>
      </c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  <c r="AV943" s="7" t="n"/>
      <c r="AW943" s="7" t="n"/>
      <c r="AX943" s="7" t="n"/>
      <c r="AY943" s="7" t="n"/>
      <c r="BA943" s="42">
        <f>IF(COUNT(B943:AY943)=0,"",IF(TRIM(A943)&lt;&gt;"",TRIM(A943),IF(BA942="","(geen naam)",BA942)))</f>
        <v/>
      </c>
      <c r="BB943" s="42">
        <f>IF(BA943="","",IF(ISNA(MATCH(BA943,BA$120:BA942,0)),MAX(BB$120:BB942)+1,""))</f>
        <v/>
      </c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  <c r="AF944" s="7" t="n"/>
      <c r="AG944" s="7" t="n"/>
      <c r="AH944" s="7" t="n"/>
      <c r="AI944" s="7" t="n"/>
      <c r="AJ944" s="7" t="n"/>
      <c r="AK944" s="7" t="n"/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  <c r="AV944" s="7" t="n"/>
      <c r="AW944" s="7" t="n"/>
      <c r="AX944" s="7" t="n"/>
      <c r="AY944" s="7" t="n"/>
      <c r="BA944" s="42">
        <f>IF(COUNT(B944:AY944)=0,"",IF(TRIM(A944)&lt;&gt;"",TRIM(A944),IF(BA943="","(geen naam)",BA943)))</f>
        <v/>
      </c>
      <c r="BB944" s="42">
        <f>IF(BA944="","",IF(ISNA(MATCH(BA944,BA$120:BA943,0)),MAX(BB$120:BB943)+1,""))</f>
        <v/>
      </c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  <c r="AV945" s="7" t="n"/>
      <c r="AW945" s="7" t="n"/>
      <c r="AX945" s="7" t="n"/>
      <c r="AY945" s="7" t="n"/>
      <c r="BA945" s="42">
        <f>IF(COUNT(B945:AY945)=0,"",IF(TRIM(A945)&lt;&gt;"",TRIM(A945),IF(BA944="","(geen naam)",BA944)))</f>
        <v/>
      </c>
      <c r="BB945" s="42">
        <f>IF(BA945="","",IF(ISNA(MATCH(BA945,BA$120:BA944,0)),MAX(BB$120:BB944)+1,""))</f>
        <v/>
      </c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  <c r="AF946" s="7" t="n"/>
      <c r="AG946" s="7" t="n"/>
      <c r="AH946" s="7" t="n"/>
      <c r="AI946" s="7" t="n"/>
      <c r="AJ946" s="7" t="n"/>
      <c r="AK946" s="7" t="n"/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  <c r="AV946" s="7" t="n"/>
      <c r="AW946" s="7" t="n"/>
      <c r="AX946" s="7" t="n"/>
      <c r="AY946" s="7" t="n"/>
      <c r="BA946" s="42">
        <f>IF(COUNT(B946:AY946)=0,"",IF(TRIM(A946)&lt;&gt;"",TRIM(A946),IF(BA945="","(geen naam)",BA945)))</f>
        <v/>
      </c>
      <c r="BB946" s="42">
        <f>IF(BA946="","",IF(ISNA(MATCH(BA946,BA$120:BA945,0)),MAX(BB$120:BB945)+1,""))</f>
        <v/>
      </c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  <c r="AV947" s="7" t="n"/>
      <c r="AW947" s="7" t="n"/>
      <c r="AX947" s="7" t="n"/>
      <c r="AY947" s="7" t="n"/>
      <c r="BA947" s="42">
        <f>IF(COUNT(B947:AY947)=0,"",IF(TRIM(A947)&lt;&gt;"",TRIM(A947),IF(BA946="","(geen naam)",BA946)))</f>
        <v/>
      </c>
      <c r="BB947" s="42">
        <f>IF(BA947="","",IF(ISNA(MATCH(BA947,BA$120:BA946,0)),MAX(BB$120:BB946)+1,""))</f>
        <v/>
      </c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  <c r="AF948" s="7" t="n"/>
      <c r="AG948" s="7" t="n"/>
      <c r="AH948" s="7" t="n"/>
      <c r="AI948" s="7" t="n"/>
      <c r="AJ948" s="7" t="n"/>
      <c r="AK948" s="7" t="n"/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  <c r="AV948" s="7" t="n"/>
      <c r="AW948" s="7" t="n"/>
      <c r="AX948" s="7" t="n"/>
      <c r="AY948" s="7" t="n"/>
      <c r="BA948" s="42">
        <f>IF(COUNT(B948:AY948)=0,"",IF(TRIM(A948)&lt;&gt;"",TRIM(A948),IF(BA947="","(geen naam)",BA947)))</f>
        <v/>
      </c>
      <c r="BB948" s="42">
        <f>IF(BA948="","",IF(ISNA(MATCH(BA948,BA$120:BA947,0)),MAX(BB$120:BB947)+1,""))</f>
        <v/>
      </c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  <c r="AV949" s="7" t="n"/>
      <c r="AW949" s="7" t="n"/>
      <c r="AX949" s="7" t="n"/>
      <c r="AY949" s="7" t="n"/>
      <c r="BA949" s="42">
        <f>IF(COUNT(B949:AY949)=0,"",IF(TRIM(A949)&lt;&gt;"",TRIM(A949),IF(BA948="","(geen naam)",BA948)))</f>
        <v/>
      </c>
      <c r="BB949" s="42">
        <f>IF(BA949="","",IF(ISNA(MATCH(BA949,BA$120:BA948,0)),MAX(BB$120:BB948)+1,""))</f>
        <v/>
      </c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  <c r="AF950" s="7" t="n"/>
      <c r="AG950" s="7" t="n"/>
      <c r="AH950" s="7" t="n"/>
      <c r="AI950" s="7" t="n"/>
      <c r="AJ950" s="7" t="n"/>
      <c r="AK950" s="7" t="n"/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  <c r="AV950" s="7" t="n"/>
      <c r="AW950" s="7" t="n"/>
      <c r="AX950" s="7" t="n"/>
      <c r="AY950" s="7" t="n"/>
      <c r="BA950" s="42">
        <f>IF(COUNT(B950:AY950)=0,"",IF(TRIM(A950)&lt;&gt;"",TRIM(A950),IF(BA949="","(geen naam)",BA949)))</f>
        <v/>
      </c>
      <c r="BB950" s="42">
        <f>IF(BA950="","",IF(ISNA(MATCH(BA950,BA$120:BA949,0)),MAX(BB$120:BB949)+1,""))</f>
        <v/>
      </c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  <c r="AV951" s="7" t="n"/>
      <c r="AW951" s="7" t="n"/>
      <c r="AX951" s="7" t="n"/>
      <c r="AY951" s="7" t="n"/>
      <c r="BA951" s="42">
        <f>IF(COUNT(B951:AY951)=0,"",IF(TRIM(A951)&lt;&gt;"",TRIM(A951),IF(BA950="","(geen naam)",BA950)))</f>
        <v/>
      </c>
      <c r="BB951" s="42">
        <f>IF(BA951="","",IF(ISNA(MATCH(BA951,BA$120:BA950,0)),MAX(BB$120:BB950)+1,""))</f>
        <v/>
      </c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  <c r="AF952" s="7" t="n"/>
      <c r="AG952" s="7" t="n"/>
      <c r="AH952" s="7" t="n"/>
      <c r="AI952" s="7" t="n"/>
      <c r="AJ952" s="7" t="n"/>
      <c r="AK952" s="7" t="n"/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  <c r="AV952" s="7" t="n"/>
      <c r="AW952" s="7" t="n"/>
      <c r="AX952" s="7" t="n"/>
      <c r="AY952" s="7" t="n"/>
      <c r="BA952" s="42">
        <f>IF(COUNT(B952:AY952)=0,"",IF(TRIM(A952)&lt;&gt;"",TRIM(A952),IF(BA951="","(geen naam)",BA951)))</f>
        <v/>
      </c>
      <c r="BB952" s="42">
        <f>IF(BA952="","",IF(ISNA(MATCH(BA952,BA$120:BA951,0)),MAX(BB$120:BB951)+1,""))</f>
        <v/>
      </c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  <c r="AV953" s="7" t="n"/>
      <c r="AW953" s="7" t="n"/>
      <c r="AX953" s="7" t="n"/>
      <c r="AY953" s="7" t="n"/>
      <c r="BA953" s="42">
        <f>IF(COUNT(B953:AY953)=0,"",IF(TRIM(A953)&lt;&gt;"",TRIM(A953),IF(BA952="","(geen naam)",BA952)))</f>
        <v/>
      </c>
      <c r="BB953" s="42">
        <f>IF(BA953="","",IF(ISNA(MATCH(BA953,BA$120:BA952,0)),MAX(BB$120:BB952)+1,""))</f>
        <v/>
      </c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  <c r="AF954" s="7" t="n"/>
      <c r="AG954" s="7" t="n"/>
      <c r="AH954" s="7" t="n"/>
      <c r="AI954" s="7" t="n"/>
      <c r="AJ954" s="7" t="n"/>
      <c r="AK954" s="7" t="n"/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BA954" s="42">
        <f>IF(COUNT(B954:AY954)=0,"",IF(TRIM(A954)&lt;&gt;"",TRIM(A954),IF(BA953="","(geen naam)",BA953)))</f>
        <v/>
      </c>
      <c r="BB954" s="42">
        <f>IF(BA954="","",IF(ISNA(MATCH(BA954,BA$120:BA953,0)),MAX(BB$120:BB953)+1,""))</f>
        <v/>
      </c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  <c r="AV955" s="7" t="n"/>
      <c r="AW955" s="7" t="n"/>
      <c r="AX955" s="7" t="n"/>
      <c r="AY955" s="7" t="n"/>
      <c r="BA955" s="42">
        <f>IF(COUNT(B955:AY955)=0,"",IF(TRIM(A955)&lt;&gt;"",TRIM(A955),IF(BA954="","(geen naam)",BA954)))</f>
        <v/>
      </c>
      <c r="BB955" s="42">
        <f>IF(BA955="","",IF(ISNA(MATCH(BA955,BA$120:BA954,0)),MAX(BB$120:BB954)+1,""))</f>
        <v/>
      </c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  <c r="AF956" s="7" t="n"/>
      <c r="AG956" s="7" t="n"/>
      <c r="AH956" s="7" t="n"/>
      <c r="AI956" s="7" t="n"/>
      <c r="AJ956" s="7" t="n"/>
      <c r="AK956" s="7" t="n"/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  <c r="AV956" s="7" t="n"/>
      <c r="AW956" s="7" t="n"/>
      <c r="AX956" s="7" t="n"/>
      <c r="AY956" s="7" t="n"/>
      <c r="BA956" s="42">
        <f>IF(COUNT(B956:AY956)=0,"",IF(TRIM(A956)&lt;&gt;"",TRIM(A956),IF(BA955="","(geen naam)",BA955)))</f>
        <v/>
      </c>
      <c r="BB956" s="42">
        <f>IF(BA956="","",IF(ISNA(MATCH(BA956,BA$120:BA955,0)),MAX(BB$120:BB955)+1,""))</f>
        <v/>
      </c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  <c r="AV957" s="7" t="n"/>
      <c r="AW957" s="7" t="n"/>
      <c r="AX957" s="7" t="n"/>
      <c r="AY957" s="7" t="n"/>
      <c r="BA957" s="42">
        <f>IF(COUNT(B957:AY957)=0,"",IF(TRIM(A957)&lt;&gt;"",TRIM(A957),IF(BA956="","(geen naam)",BA956)))</f>
        <v/>
      </c>
      <c r="BB957" s="42">
        <f>IF(BA957="","",IF(ISNA(MATCH(BA957,BA$120:BA956,0)),MAX(BB$120:BB956)+1,""))</f>
        <v/>
      </c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  <c r="AF958" s="7" t="n"/>
      <c r="AG958" s="7" t="n"/>
      <c r="AH958" s="7" t="n"/>
      <c r="AI958" s="7" t="n"/>
      <c r="AJ958" s="7" t="n"/>
      <c r="AK958" s="7" t="n"/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  <c r="AV958" s="7" t="n"/>
      <c r="AW958" s="7" t="n"/>
      <c r="AX958" s="7" t="n"/>
      <c r="AY958" s="7" t="n"/>
      <c r="BA958" s="42">
        <f>IF(COUNT(B958:AY958)=0,"",IF(TRIM(A958)&lt;&gt;"",TRIM(A958),IF(BA957="","(geen naam)",BA957)))</f>
        <v/>
      </c>
      <c r="BB958" s="42">
        <f>IF(BA958="","",IF(ISNA(MATCH(BA958,BA$120:BA957,0)),MAX(BB$120:BB957)+1,""))</f>
        <v/>
      </c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  <c r="AV959" s="7" t="n"/>
      <c r="AW959" s="7" t="n"/>
      <c r="AX959" s="7" t="n"/>
      <c r="AY959" s="7" t="n"/>
      <c r="BA959" s="42">
        <f>IF(COUNT(B959:AY959)=0,"",IF(TRIM(A959)&lt;&gt;"",TRIM(A959),IF(BA958="","(geen naam)",BA958)))</f>
        <v/>
      </c>
      <c r="BB959" s="42">
        <f>IF(BA959="","",IF(ISNA(MATCH(BA959,BA$120:BA958,0)),MAX(BB$120:BB958)+1,""))</f>
        <v/>
      </c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  <c r="AF960" s="7" t="n"/>
      <c r="AG960" s="7" t="n"/>
      <c r="AH960" s="7" t="n"/>
      <c r="AI960" s="7" t="n"/>
      <c r="AJ960" s="7" t="n"/>
      <c r="AK960" s="7" t="n"/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  <c r="AV960" s="7" t="n"/>
      <c r="AW960" s="7" t="n"/>
      <c r="AX960" s="7" t="n"/>
      <c r="AY960" s="7" t="n"/>
      <c r="BA960" s="42">
        <f>IF(COUNT(B960:AY960)=0,"",IF(TRIM(A960)&lt;&gt;"",TRIM(A960),IF(BA959="","(geen naam)",BA959)))</f>
        <v/>
      </c>
      <c r="BB960" s="42">
        <f>IF(BA960="","",IF(ISNA(MATCH(BA960,BA$120:BA959,0)),MAX(BB$120:BB959)+1,""))</f>
        <v/>
      </c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  <c r="AV961" s="7" t="n"/>
      <c r="AW961" s="7" t="n"/>
      <c r="AX961" s="7" t="n"/>
      <c r="AY961" s="7" t="n"/>
      <c r="BA961" s="42">
        <f>IF(COUNT(B961:AY961)=0,"",IF(TRIM(A961)&lt;&gt;"",TRIM(A961),IF(BA960="","(geen naam)",BA960)))</f>
        <v/>
      </c>
      <c r="BB961" s="42">
        <f>IF(BA961="","",IF(ISNA(MATCH(BA961,BA$120:BA960,0)),MAX(BB$120:BB960)+1,""))</f>
        <v/>
      </c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  <c r="AF962" s="7" t="n"/>
      <c r="AG962" s="7" t="n"/>
      <c r="AH962" s="7" t="n"/>
      <c r="AI962" s="7" t="n"/>
      <c r="AJ962" s="7" t="n"/>
      <c r="AK962" s="7" t="n"/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  <c r="AV962" s="7" t="n"/>
      <c r="AW962" s="7" t="n"/>
      <c r="AX962" s="7" t="n"/>
      <c r="AY962" s="7" t="n"/>
      <c r="BA962" s="42">
        <f>IF(COUNT(B962:AY962)=0,"",IF(TRIM(A962)&lt;&gt;"",TRIM(A962),IF(BA961="","(geen naam)",BA961)))</f>
        <v/>
      </c>
      <c r="BB962" s="42">
        <f>IF(BA962="","",IF(ISNA(MATCH(BA962,BA$120:BA961,0)),MAX(BB$120:BB961)+1,""))</f>
        <v/>
      </c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  <c r="AV963" s="7" t="n"/>
      <c r="AW963" s="7" t="n"/>
      <c r="AX963" s="7" t="n"/>
      <c r="AY963" s="7" t="n"/>
      <c r="BA963" s="42">
        <f>IF(COUNT(B963:AY963)=0,"",IF(TRIM(A963)&lt;&gt;"",TRIM(A963),IF(BA962="","(geen naam)",BA962)))</f>
        <v/>
      </c>
      <c r="BB963" s="42">
        <f>IF(BA963="","",IF(ISNA(MATCH(BA963,BA$120:BA962,0)),MAX(BB$120:BB962)+1,""))</f>
        <v/>
      </c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  <c r="AF964" s="7" t="n"/>
      <c r="AG964" s="7" t="n"/>
      <c r="AH964" s="7" t="n"/>
      <c r="AI964" s="7" t="n"/>
      <c r="AJ964" s="7" t="n"/>
      <c r="AK964" s="7" t="n"/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  <c r="AV964" s="7" t="n"/>
      <c r="AW964" s="7" t="n"/>
      <c r="AX964" s="7" t="n"/>
      <c r="AY964" s="7" t="n"/>
      <c r="BA964" s="42">
        <f>IF(COUNT(B964:AY964)=0,"",IF(TRIM(A964)&lt;&gt;"",TRIM(A964),IF(BA963="","(geen naam)",BA963)))</f>
        <v/>
      </c>
      <c r="BB964" s="42">
        <f>IF(BA964="","",IF(ISNA(MATCH(BA964,BA$120:BA963,0)),MAX(BB$120:BB963)+1,""))</f>
        <v/>
      </c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  <c r="AV965" s="7" t="n"/>
      <c r="AW965" s="7" t="n"/>
      <c r="AX965" s="7" t="n"/>
      <c r="AY965" s="7" t="n"/>
      <c r="BA965" s="42">
        <f>IF(COUNT(B965:AY965)=0,"",IF(TRIM(A965)&lt;&gt;"",TRIM(A965),IF(BA964="","(geen naam)",BA964)))</f>
        <v/>
      </c>
      <c r="BB965" s="42">
        <f>IF(BA965="","",IF(ISNA(MATCH(BA965,BA$120:BA964,0)),MAX(BB$120:BB964)+1,""))</f>
        <v/>
      </c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  <c r="AF966" s="7" t="n"/>
      <c r="AG966" s="7" t="n"/>
      <c r="AH966" s="7" t="n"/>
      <c r="AI966" s="7" t="n"/>
      <c r="AJ966" s="7" t="n"/>
      <c r="AK966" s="7" t="n"/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  <c r="AV966" s="7" t="n"/>
      <c r="AW966" s="7" t="n"/>
      <c r="AX966" s="7" t="n"/>
      <c r="AY966" s="7" t="n"/>
      <c r="BA966" s="42">
        <f>IF(COUNT(B966:AY966)=0,"",IF(TRIM(A966)&lt;&gt;"",TRIM(A966),IF(BA965="","(geen naam)",BA965)))</f>
        <v/>
      </c>
      <c r="BB966" s="42">
        <f>IF(BA966="","",IF(ISNA(MATCH(BA966,BA$120:BA965,0)),MAX(BB$120:BB965)+1,""))</f>
        <v/>
      </c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  <c r="AV967" s="7" t="n"/>
      <c r="AW967" s="7" t="n"/>
      <c r="AX967" s="7" t="n"/>
      <c r="AY967" s="7" t="n"/>
      <c r="BA967" s="42">
        <f>IF(COUNT(B967:AY967)=0,"",IF(TRIM(A967)&lt;&gt;"",TRIM(A967),IF(BA966="","(geen naam)",BA966)))</f>
        <v/>
      </c>
      <c r="BB967" s="42">
        <f>IF(BA967="","",IF(ISNA(MATCH(BA967,BA$120:BA966,0)),MAX(BB$120:BB966)+1,""))</f>
        <v/>
      </c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  <c r="AF968" s="7" t="n"/>
      <c r="AG968" s="7" t="n"/>
      <c r="AH968" s="7" t="n"/>
      <c r="AI968" s="7" t="n"/>
      <c r="AJ968" s="7" t="n"/>
      <c r="AK968" s="7" t="n"/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  <c r="AV968" s="7" t="n"/>
      <c r="AW968" s="7" t="n"/>
      <c r="AX968" s="7" t="n"/>
      <c r="AY968" s="7" t="n"/>
      <c r="BA968" s="42">
        <f>IF(COUNT(B968:AY968)=0,"",IF(TRIM(A968)&lt;&gt;"",TRIM(A968),IF(BA967="","(geen naam)",BA967)))</f>
        <v/>
      </c>
      <c r="BB968" s="42">
        <f>IF(BA968="","",IF(ISNA(MATCH(BA968,BA$120:BA967,0)),MAX(BB$120:BB967)+1,""))</f>
        <v/>
      </c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  <c r="AV969" s="7" t="n"/>
      <c r="AW969" s="7" t="n"/>
      <c r="AX969" s="7" t="n"/>
      <c r="AY969" s="7" t="n"/>
      <c r="BA969" s="42">
        <f>IF(COUNT(B969:AY969)=0,"",IF(TRIM(A969)&lt;&gt;"",TRIM(A969),IF(BA968="","(geen naam)",BA968)))</f>
        <v/>
      </c>
      <c r="BB969" s="42">
        <f>IF(BA969="","",IF(ISNA(MATCH(BA969,BA$120:BA968,0)),MAX(BB$120:BB968)+1,""))</f>
        <v/>
      </c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  <c r="AF970" s="7" t="n"/>
      <c r="AG970" s="7" t="n"/>
      <c r="AH970" s="7" t="n"/>
      <c r="AI970" s="7" t="n"/>
      <c r="AJ970" s="7" t="n"/>
      <c r="AK970" s="7" t="n"/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  <c r="AV970" s="7" t="n"/>
      <c r="AW970" s="7" t="n"/>
      <c r="AX970" s="7" t="n"/>
      <c r="AY970" s="7" t="n"/>
      <c r="BA970" s="42">
        <f>IF(COUNT(B970:AY970)=0,"",IF(TRIM(A970)&lt;&gt;"",TRIM(A970),IF(BA969="","(geen naam)",BA969)))</f>
        <v/>
      </c>
      <c r="BB970" s="42">
        <f>IF(BA970="","",IF(ISNA(MATCH(BA970,BA$120:BA969,0)),MAX(BB$120:BB969)+1,""))</f>
        <v/>
      </c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  <c r="AV971" s="7" t="n"/>
      <c r="AW971" s="7" t="n"/>
      <c r="AX971" s="7" t="n"/>
      <c r="AY971" s="7" t="n"/>
      <c r="BA971" s="42">
        <f>IF(COUNT(B971:AY971)=0,"",IF(TRIM(A971)&lt;&gt;"",TRIM(A971),IF(BA970="","(geen naam)",BA970)))</f>
        <v/>
      </c>
      <c r="BB971" s="42">
        <f>IF(BA971="","",IF(ISNA(MATCH(BA971,BA$120:BA970,0)),MAX(BB$120:BB970)+1,""))</f>
        <v/>
      </c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  <c r="AF972" s="7" t="n"/>
      <c r="AG972" s="7" t="n"/>
      <c r="AH972" s="7" t="n"/>
      <c r="AI972" s="7" t="n"/>
      <c r="AJ972" s="7" t="n"/>
      <c r="AK972" s="7" t="n"/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  <c r="AV972" s="7" t="n"/>
      <c r="AW972" s="7" t="n"/>
      <c r="AX972" s="7" t="n"/>
      <c r="AY972" s="7" t="n"/>
      <c r="BA972" s="42">
        <f>IF(COUNT(B972:AY972)=0,"",IF(TRIM(A972)&lt;&gt;"",TRIM(A972),IF(BA971="","(geen naam)",BA971)))</f>
        <v/>
      </c>
      <c r="BB972" s="42">
        <f>IF(BA972="","",IF(ISNA(MATCH(BA972,BA$120:BA971,0)),MAX(BB$120:BB971)+1,""))</f>
        <v/>
      </c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  <c r="AV973" s="7" t="n"/>
      <c r="AW973" s="7" t="n"/>
      <c r="AX973" s="7" t="n"/>
      <c r="AY973" s="7" t="n"/>
      <c r="BA973" s="42">
        <f>IF(COUNT(B973:AY973)=0,"",IF(TRIM(A973)&lt;&gt;"",TRIM(A973),IF(BA972="","(geen naam)",BA972)))</f>
        <v/>
      </c>
      <c r="BB973" s="42">
        <f>IF(BA973="","",IF(ISNA(MATCH(BA973,BA$120:BA972,0)),MAX(BB$120:BB972)+1,""))</f>
        <v/>
      </c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  <c r="AF974" s="7" t="n"/>
      <c r="AG974" s="7" t="n"/>
      <c r="AH974" s="7" t="n"/>
      <c r="AI974" s="7" t="n"/>
      <c r="AJ974" s="7" t="n"/>
      <c r="AK974" s="7" t="n"/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  <c r="AV974" s="7" t="n"/>
      <c r="AW974" s="7" t="n"/>
      <c r="AX974" s="7" t="n"/>
      <c r="AY974" s="7" t="n"/>
      <c r="BA974" s="42">
        <f>IF(COUNT(B974:AY974)=0,"",IF(TRIM(A974)&lt;&gt;"",TRIM(A974),IF(BA973="","(geen naam)",BA973)))</f>
        <v/>
      </c>
      <c r="BB974" s="42">
        <f>IF(BA974="","",IF(ISNA(MATCH(BA974,BA$120:BA973,0)),MAX(BB$120:BB973)+1,""))</f>
        <v/>
      </c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  <c r="AV975" s="7" t="n"/>
      <c r="AW975" s="7" t="n"/>
      <c r="AX975" s="7" t="n"/>
      <c r="AY975" s="7" t="n"/>
      <c r="BA975" s="42">
        <f>IF(COUNT(B975:AY975)=0,"",IF(TRIM(A975)&lt;&gt;"",TRIM(A975),IF(BA974="","(geen naam)",BA974)))</f>
        <v/>
      </c>
      <c r="BB975" s="42">
        <f>IF(BA975="","",IF(ISNA(MATCH(BA975,BA$120:BA974,0)),MAX(BB$120:BB974)+1,""))</f>
        <v/>
      </c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  <c r="AF976" s="7" t="n"/>
      <c r="AG976" s="7" t="n"/>
      <c r="AH976" s="7" t="n"/>
      <c r="AI976" s="7" t="n"/>
      <c r="AJ976" s="7" t="n"/>
      <c r="AK976" s="7" t="n"/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  <c r="AV976" s="7" t="n"/>
      <c r="AW976" s="7" t="n"/>
      <c r="AX976" s="7" t="n"/>
      <c r="AY976" s="7" t="n"/>
      <c r="BA976" s="42">
        <f>IF(COUNT(B976:AY976)=0,"",IF(TRIM(A976)&lt;&gt;"",TRIM(A976),IF(BA975="","(geen naam)",BA975)))</f>
        <v/>
      </c>
      <c r="BB976" s="42">
        <f>IF(BA976="","",IF(ISNA(MATCH(BA976,BA$120:BA975,0)),MAX(BB$120:BB975)+1,""))</f>
        <v/>
      </c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  <c r="AV977" s="7" t="n"/>
      <c r="AW977" s="7" t="n"/>
      <c r="AX977" s="7" t="n"/>
      <c r="AY977" s="7" t="n"/>
      <c r="BA977" s="42">
        <f>IF(COUNT(B977:AY977)=0,"",IF(TRIM(A977)&lt;&gt;"",TRIM(A977),IF(BA976="","(geen naam)",BA976)))</f>
        <v/>
      </c>
      <c r="BB977" s="42">
        <f>IF(BA977="","",IF(ISNA(MATCH(BA977,BA$120:BA976,0)),MAX(BB$120:BB976)+1,""))</f>
        <v/>
      </c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  <c r="AC978" s="7" t="n"/>
      <c r="AD978" s="7" t="n"/>
      <c r="AE978" s="7" t="n"/>
      <c r="AF978" s="7" t="n"/>
      <c r="AG978" s="7" t="n"/>
      <c r="AH978" s="7" t="n"/>
      <c r="AI978" s="7" t="n"/>
      <c r="AJ978" s="7" t="n"/>
      <c r="AK978" s="7" t="n"/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  <c r="AV978" s="7" t="n"/>
      <c r="AW978" s="7" t="n"/>
      <c r="AX978" s="7" t="n"/>
      <c r="AY978" s="7" t="n"/>
      <c r="BA978" s="42">
        <f>IF(COUNT(B978:AY978)=0,"",IF(TRIM(A978)&lt;&gt;"",TRIM(A978),IF(BA977="","(geen naam)",BA977)))</f>
        <v/>
      </c>
      <c r="BB978" s="42">
        <f>IF(BA978="","",IF(ISNA(MATCH(BA978,BA$120:BA977,0)),MAX(BB$120:BB977)+1,""))</f>
        <v/>
      </c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  <c r="AV979" s="7" t="n"/>
      <c r="AW979" s="7" t="n"/>
      <c r="AX979" s="7" t="n"/>
      <c r="AY979" s="7" t="n"/>
      <c r="BA979" s="42">
        <f>IF(COUNT(B979:AY979)=0,"",IF(TRIM(A979)&lt;&gt;"",TRIM(A979),IF(BA978="","(geen naam)",BA978)))</f>
        <v/>
      </c>
      <c r="BB979" s="42">
        <f>IF(BA979="","",IF(ISNA(MATCH(BA979,BA$120:BA978,0)),MAX(BB$120:BB978)+1,""))</f>
        <v/>
      </c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  <c r="AC980" s="7" t="n"/>
      <c r="AD980" s="7" t="n"/>
      <c r="AE980" s="7" t="n"/>
      <c r="AF980" s="7" t="n"/>
      <c r="AG980" s="7" t="n"/>
      <c r="AH980" s="7" t="n"/>
      <c r="AI980" s="7" t="n"/>
      <c r="AJ980" s="7" t="n"/>
      <c r="AK980" s="7" t="n"/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  <c r="AV980" s="7" t="n"/>
      <c r="AW980" s="7" t="n"/>
      <c r="AX980" s="7" t="n"/>
      <c r="AY980" s="7" t="n"/>
      <c r="BA980" s="42">
        <f>IF(COUNT(B980:AY980)=0,"",IF(TRIM(A980)&lt;&gt;"",TRIM(A980),IF(BA979="","(geen naam)",BA979)))</f>
        <v/>
      </c>
      <c r="BB980" s="42">
        <f>IF(BA980="","",IF(ISNA(MATCH(BA980,BA$120:BA979,0)),MAX(BB$120:BB979)+1,""))</f>
        <v/>
      </c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  <c r="AV981" s="7" t="n"/>
      <c r="AW981" s="7" t="n"/>
      <c r="AX981" s="7" t="n"/>
      <c r="AY981" s="7" t="n"/>
      <c r="BA981" s="42">
        <f>IF(COUNT(B981:AY981)=0,"",IF(TRIM(A981)&lt;&gt;"",TRIM(A981),IF(BA980="","(geen naam)",BA980)))</f>
        <v/>
      </c>
      <c r="BB981" s="42">
        <f>IF(BA981="","",IF(ISNA(MATCH(BA981,BA$120:BA980,0)),MAX(BB$120:BB980)+1,""))</f>
        <v/>
      </c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/>
      <c r="AD982" s="7" t="n"/>
      <c r="AE982" s="7" t="n"/>
      <c r="AF982" s="7" t="n"/>
      <c r="AG982" s="7" t="n"/>
      <c r="AH982" s="7" t="n"/>
      <c r="AI982" s="7" t="n"/>
      <c r="AJ982" s="7" t="n"/>
      <c r="AK982" s="7" t="n"/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  <c r="AV982" s="7" t="n"/>
      <c r="AW982" s="7" t="n"/>
      <c r="AX982" s="7" t="n"/>
      <c r="AY982" s="7" t="n"/>
      <c r="BA982" s="42">
        <f>IF(COUNT(B982:AY982)=0,"",IF(TRIM(A982)&lt;&gt;"",TRIM(A982),IF(BA981="","(geen naam)",BA981)))</f>
        <v/>
      </c>
      <c r="BB982" s="42">
        <f>IF(BA982="","",IF(ISNA(MATCH(BA982,BA$120:BA981,0)),MAX(BB$120:BB981)+1,""))</f>
        <v/>
      </c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/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  <c r="AV983" s="7" t="n"/>
      <c r="AW983" s="7" t="n"/>
      <c r="AX983" s="7" t="n"/>
      <c r="AY983" s="7" t="n"/>
      <c r="BA983" s="42">
        <f>IF(COUNT(B983:AY983)=0,"",IF(TRIM(A983)&lt;&gt;"",TRIM(A983),IF(BA982="","(geen naam)",BA982)))</f>
        <v/>
      </c>
      <c r="BB983" s="42">
        <f>IF(BA983="","",IF(ISNA(MATCH(BA983,BA$120:BA982,0)),MAX(BB$120:BB982)+1,""))</f>
        <v/>
      </c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  <c r="AF984" s="7" t="n"/>
      <c r="AG984" s="7" t="n"/>
      <c r="AH984" s="7" t="n"/>
      <c r="AI984" s="7" t="n"/>
      <c r="AJ984" s="7" t="n"/>
      <c r="AK984" s="7" t="n"/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  <c r="AV984" s="7" t="n"/>
      <c r="AW984" s="7" t="n"/>
      <c r="AX984" s="7" t="n"/>
      <c r="AY984" s="7" t="n"/>
      <c r="BA984" s="42">
        <f>IF(COUNT(B984:AY984)=0,"",IF(TRIM(A984)&lt;&gt;"",TRIM(A984),IF(BA983="","(geen naam)",BA983)))</f>
        <v/>
      </c>
      <c r="BB984" s="42">
        <f>IF(BA984="","",IF(ISNA(MATCH(BA984,BA$120:BA983,0)),MAX(BB$120:BB983)+1,""))</f>
        <v/>
      </c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  <c r="AV985" s="7" t="n"/>
      <c r="AW985" s="7" t="n"/>
      <c r="AX985" s="7" t="n"/>
      <c r="AY985" s="7" t="n"/>
      <c r="BA985" s="42">
        <f>IF(COUNT(B985:AY985)=0,"",IF(TRIM(A985)&lt;&gt;"",TRIM(A985),IF(BA984="","(geen naam)",BA984)))</f>
        <v/>
      </c>
      <c r="BB985" s="42">
        <f>IF(BA985="","",IF(ISNA(MATCH(BA985,BA$120:BA984,0)),MAX(BB$120:BB984)+1,""))</f>
        <v/>
      </c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  <c r="AF986" s="7" t="n"/>
      <c r="AG986" s="7" t="n"/>
      <c r="AH986" s="7" t="n"/>
      <c r="AI986" s="7" t="n"/>
      <c r="AJ986" s="7" t="n"/>
      <c r="AK986" s="7" t="n"/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  <c r="AV986" s="7" t="n"/>
      <c r="AW986" s="7" t="n"/>
      <c r="AX986" s="7" t="n"/>
      <c r="AY986" s="7" t="n"/>
      <c r="BA986" s="42">
        <f>IF(COUNT(B986:AY986)=0,"",IF(TRIM(A986)&lt;&gt;"",TRIM(A986),IF(BA985="","(geen naam)",BA985)))</f>
        <v/>
      </c>
      <c r="BB986" s="42">
        <f>IF(BA986="","",IF(ISNA(MATCH(BA986,BA$120:BA985,0)),MAX(BB$120:BB985)+1,""))</f>
        <v/>
      </c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  <c r="AV987" s="7" t="n"/>
      <c r="AW987" s="7" t="n"/>
      <c r="AX987" s="7" t="n"/>
      <c r="AY987" s="7" t="n"/>
      <c r="BA987" s="42">
        <f>IF(COUNT(B987:AY987)=0,"",IF(TRIM(A987)&lt;&gt;"",TRIM(A987),IF(BA986="","(geen naam)",BA986)))</f>
        <v/>
      </c>
      <c r="BB987" s="42">
        <f>IF(BA987="","",IF(ISNA(MATCH(BA987,BA$120:BA986,0)),MAX(BB$120:BB986)+1,""))</f>
        <v/>
      </c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  <c r="AF988" s="7" t="n"/>
      <c r="AG988" s="7" t="n"/>
      <c r="AH988" s="7" t="n"/>
      <c r="AI988" s="7" t="n"/>
      <c r="AJ988" s="7" t="n"/>
      <c r="AK988" s="7" t="n"/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  <c r="AV988" s="7" t="n"/>
      <c r="AW988" s="7" t="n"/>
      <c r="AX988" s="7" t="n"/>
      <c r="AY988" s="7" t="n"/>
      <c r="BA988" s="42">
        <f>IF(COUNT(B988:AY988)=0,"",IF(TRIM(A988)&lt;&gt;"",TRIM(A988),IF(BA987="","(geen naam)",BA987)))</f>
        <v/>
      </c>
      <c r="BB988" s="42">
        <f>IF(BA988="","",IF(ISNA(MATCH(BA988,BA$120:BA987,0)),MAX(BB$120:BB987)+1,""))</f>
        <v/>
      </c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  <c r="AV989" s="7" t="n"/>
      <c r="AW989" s="7" t="n"/>
      <c r="AX989" s="7" t="n"/>
      <c r="AY989" s="7" t="n"/>
      <c r="BA989" s="42">
        <f>IF(COUNT(B989:AY989)=0,"",IF(TRIM(A989)&lt;&gt;"",TRIM(A989),IF(BA988="","(geen naam)",BA988)))</f>
        <v/>
      </c>
      <c r="BB989" s="42">
        <f>IF(BA989="","",IF(ISNA(MATCH(BA989,BA$120:BA988,0)),MAX(BB$120:BB988)+1,""))</f>
        <v/>
      </c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  <c r="AF990" s="7" t="n"/>
      <c r="AG990" s="7" t="n"/>
      <c r="AH990" s="7" t="n"/>
      <c r="AI990" s="7" t="n"/>
      <c r="AJ990" s="7" t="n"/>
      <c r="AK990" s="7" t="n"/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  <c r="AV990" s="7" t="n"/>
      <c r="AW990" s="7" t="n"/>
      <c r="AX990" s="7" t="n"/>
      <c r="AY990" s="7" t="n"/>
      <c r="BA990" s="42">
        <f>IF(COUNT(B990:AY990)=0,"",IF(TRIM(A990)&lt;&gt;"",TRIM(A990),IF(BA989="","(geen naam)",BA989)))</f>
        <v/>
      </c>
      <c r="BB990" s="42">
        <f>IF(BA990="","",IF(ISNA(MATCH(BA990,BA$120:BA989,0)),MAX(BB$120:BB989)+1,""))</f>
        <v/>
      </c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  <c r="AV991" s="7" t="n"/>
      <c r="AW991" s="7" t="n"/>
      <c r="AX991" s="7" t="n"/>
      <c r="AY991" s="7" t="n"/>
      <c r="BA991" s="42">
        <f>IF(COUNT(B991:AY991)=0,"",IF(TRIM(A991)&lt;&gt;"",TRIM(A991),IF(BA990="","(geen naam)",BA990)))</f>
        <v/>
      </c>
      <c r="BB991" s="42">
        <f>IF(BA991="","",IF(ISNA(MATCH(BA991,BA$120:BA990,0)),MAX(BB$120:BB990)+1,""))</f>
        <v/>
      </c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  <c r="AF992" s="7" t="n"/>
      <c r="AG992" s="7" t="n"/>
      <c r="AH992" s="7" t="n"/>
      <c r="AI992" s="7" t="n"/>
      <c r="AJ992" s="7" t="n"/>
      <c r="AK992" s="7" t="n"/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  <c r="AV992" s="7" t="n"/>
      <c r="AW992" s="7" t="n"/>
      <c r="AX992" s="7" t="n"/>
      <c r="AY992" s="7" t="n"/>
      <c r="BA992" s="42">
        <f>IF(COUNT(B992:AY992)=0,"",IF(TRIM(A992)&lt;&gt;"",TRIM(A992),IF(BA991="","(geen naam)",BA991)))</f>
        <v/>
      </c>
      <c r="BB992" s="42">
        <f>IF(BA992="","",IF(ISNA(MATCH(BA992,BA$120:BA991,0)),MAX(BB$120:BB991)+1,""))</f>
        <v/>
      </c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  <c r="AV993" s="7" t="n"/>
      <c r="AW993" s="7" t="n"/>
      <c r="AX993" s="7" t="n"/>
      <c r="AY993" s="7" t="n"/>
      <c r="BA993" s="42">
        <f>IF(COUNT(B993:AY993)=0,"",IF(TRIM(A993)&lt;&gt;"",TRIM(A993),IF(BA992="","(geen naam)",BA992)))</f>
        <v/>
      </c>
      <c r="BB993" s="42">
        <f>IF(BA993="","",IF(ISNA(MATCH(BA993,BA$120:BA992,0)),MAX(BB$120:BB992)+1,""))</f>
        <v/>
      </c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  <c r="AF994" s="7" t="n"/>
      <c r="AG994" s="7" t="n"/>
      <c r="AH994" s="7" t="n"/>
      <c r="AI994" s="7" t="n"/>
      <c r="AJ994" s="7" t="n"/>
      <c r="AK994" s="7" t="n"/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  <c r="AV994" s="7" t="n"/>
      <c r="AW994" s="7" t="n"/>
      <c r="AX994" s="7" t="n"/>
      <c r="AY994" s="7" t="n"/>
      <c r="BA994" s="42">
        <f>IF(COUNT(B994:AY994)=0,"",IF(TRIM(A994)&lt;&gt;"",TRIM(A994),IF(BA993="","(geen naam)",BA993)))</f>
        <v/>
      </c>
      <c r="BB994" s="42">
        <f>IF(BA994="","",IF(ISNA(MATCH(BA994,BA$120:BA993,0)),MAX(BB$120:BB993)+1,""))</f>
        <v/>
      </c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  <c r="AV995" s="7" t="n"/>
      <c r="AW995" s="7" t="n"/>
      <c r="AX995" s="7" t="n"/>
      <c r="AY995" s="7" t="n"/>
      <c r="BA995" s="42">
        <f>IF(COUNT(B995:AY995)=0,"",IF(TRIM(A995)&lt;&gt;"",TRIM(A995),IF(BA994="","(geen naam)",BA994)))</f>
        <v/>
      </c>
      <c r="BB995" s="42">
        <f>IF(BA995="","",IF(ISNA(MATCH(BA995,BA$120:BA994,0)),MAX(BB$120:BB994)+1,""))</f>
        <v/>
      </c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  <c r="AF996" s="7" t="n"/>
      <c r="AG996" s="7" t="n"/>
      <c r="AH996" s="7" t="n"/>
      <c r="AI996" s="7" t="n"/>
      <c r="AJ996" s="7" t="n"/>
      <c r="AK996" s="7" t="n"/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  <c r="AV996" s="7" t="n"/>
      <c r="AW996" s="7" t="n"/>
      <c r="AX996" s="7" t="n"/>
      <c r="AY996" s="7" t="n"/>
      <c r="BA996" s="42">
        <f>IF(COUNT(B996:AY996)=0,"",IF(TRIM(A996)&lt;&gt;"",TRIM(A996),IF(BA995="","(geen naam)",BA995)))</f>
        <v/>
      </c>
      <c r="BB996" s="42">
        <f>IF(BA996="","",IF(ISNA(MATCH(BA996,BA$120:BA995,0)),MAX(BB$120:BB995)+1,""))</f>
        <v/>
      </c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  <c r="AV997" s="7" t="n"/>
      <c r="AW997" s="7" t="n"/>
      <c r="AX997" s="7" t="n"/>
      <c r="AY997" s="7" t="n"/>
      <c r="BA997" s="42">
        <f>IF(COUNT(B997:AY997)=0,"",IF(TRIM(A997)&lt;&gt;"",TRIM(A997),IF(BA996="","(geen naam)",BA996)))</f>
        <v/>
      </c>
      <c r="BB997" s="42">
        <f>IF(BA997="","",IF(ISNA(MATCH(BA997,BA$120:BA996,0)),MAX(BB$120:BB996)+1,""))</f>
        <v/>
      </c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  <c r="AF998" s="7" t="n"/>
      <c r="AG998" s="7" t="n"/>
      <c r="AH998" s="7" t="n"/>
      <c r="AI998" s="7" t="n"/>
      <c r="AJ998" s="7" t="n"/>
      <c r="AK998" s="7" t="n"/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  <c r="AV998" s="7" t="n"/>
      <c r="AW998" s="7" t="n"/>
      <c r="AX998" s="7" t="n"/>
      <c r="AY998" s="7" t="n"/>
      <c r="BA998" s="42">
        <f>IF(COUNT(B998:AY998)=0,"",IF(TRIM(A998)&lt;&gt;"",TRIM(A998),IF(BA997="","(geen naam)",BA997)))</f>
        <v/>
      </c>
      <c r="BB998" s="42">
        <f>IF(BA998="","",IF(ISNA(MATCH(BA998,BA$120:BA997,0)),MAX(BB$120:BB997)+1,""))</f>
        <v/>
      </c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  <c r="AV999" s="7" t="n"/>
      <c r="AW999" s="7" t="n"/>
      <c r="AX999" s="7" t="n"/>
      <c r="AY999" s="7" t="n"/>
      <c r="BA999" s="42">
        <f>IF(COUNT(B999:AY999)=0,"",IF(TRIM(A999)&lt;&gt;"",TRIM(A999),IF(BA998="","(geen naam)",BA998)))</f>
        <v/>
      </c>
      <c r="BB999" s="42">
        <f>IF(BA999="","",IF(ISNA(MATCH(BA999,BA$120:BA998,0)),MAX(BB$120:BB998)+1,""))</f>
        <v/>
      </c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  <c r="AF1000" s="7" t="n"/>
      <c r="AG1000" s="7" t="n"/>
      <c r="AH1000" s="7" t="n"/>
      <c r="AI1000" s="7" t="n"/>
      <c r="AJ1000" s="7" t="n"/>
      <c r="AK1000" s="7" t="n"/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  <c r="AV1000" s="7" t="n"/>
      <c r="AW1000" s="7" t="n"/>
      <c r="AX1000" s="7" t="n"/>
      <c r="AY1000" s="7" t="n"/>
      <c r="BA1000" s="42">
        <f>IF(COUNT(B1000:AY1000)=0,"",IF(TRIM(A1000)&lt;&gt;"",TRIM(A1000),IF(BA999="","(geen naam)",BA999)))</f>
        <v/>
      </c>
      <c r="BB1000" s="42">
        <f>IF(BA1000="","",IF(ISNA(MATCH(BA1000,BA$120:BA999,0)),MAX(BB$120:BB999)+1,""))</f>
        <v/>
      </c>
    </row>
    <row r="1001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  <c r="R1001" s="7" t="n"/>
      <c r="S1001" s="7" t="n"/>
      <c r="T1001" s="7" t="n"/>
      <c r="U1001" s="7" t="n"/>
      <c r="V1001" s="7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  <c r="AE1001" s="7" t="n"/>
      <c r="AF1001" s="7" t="n"/>
      <c r="AG1001" s="7" t="n"/>
      <c r="AH1001" s="7" t="n"/>
      <c r="AI1001" s="7" t="n"/>
      <c r="AJ1001" s="7" t="n"/>
      <c r="AK1001" s="7" t="n"/>
      <c r="AL1001" s="7" t="n"/>
      <c r="AM1001" s="7" t="n"/>
      <c r="AN1001" s="7" t="n"/>
      <c r="AO1001" s="7" t="n"/>
      <c r="AP1001" s="7" t="n"/>
      <c r="AQ1001" s="7" t="n"/>
      <c r="AR1001" s="7" t="n"/>
      <c r="AS1001" s="7" t="n"/>
      <c r="AT1001" s="7" t="n"/>
      <c r="AU1001" s="7" t="n"/>
      <c r="AV1001" s="7" t="n"/>
      <c r="AW1001" s="7" t="n"/>
      <c r="AX1001" s="7" t="n"/>
      <c r="AY1001" s="7" t="n"/>
      <c r="BA1001" s="42">
        <f>IF(COUNT(B1001:AY1001)=0,"",IF(TRIM(A1001)&lt;&gt;"",TRIM(A1001),IF(BA1000="","(geen naam)",BA1000)))</f>
        <v/>
      </c>
      <c r="BB1001" s="42">
        <f>IF(BA1001="","",IF(ISNA(MATCH(BA1001,BA$120:BA1000,0)),MAX(BB$120:BB1000)+1,""))</f>
        <v/>
      </c>
    </row>
    <row r="1002">
      <c r="A1002" s="7" t="n"/>
      <c r="B1002" s="7" t="n"/>
      <c r="C1002" s="7" t="n"/>
      <c r="D1002" s="7" t="n"/>
      <c r="E1002" s="7" t="n"/>
      <c r="F1002" s="7" t="n"/>
      <c r="G1002" s="7" t="n"/>
      <c r="H1002" s="7" t="n"/>
      <c r="I1002" s="7" t="n"/>
      <c r="J1002" s="7" t="n"/>
      <c r="K1002" s="7" t="n"/>
      <c r="L1002" s="7" t="n"/>
      <c r="M1002" s="7" t="n"/>
      <c r="N1002" s="7" t="n"/>
      <c r="O1002" s="7" t="n"/>
      <c r="P1002" s="7" t="n"/>
      <c r="Q1002" s="7" t="n"/>
      <c r="R1002" s="7" t="n"/>
      <c r="S1002" s="7" t="n"/>
      <c r="T1002" s="7" t="n"/>
      <c r="U1002" s="7" t="n"/>
      <c r="V1002" s="7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  <c r="AE1002" s="7" t="n"/>
      <c r="AF1002" s="7" t="n"/>
      <c r="AG1002" s="7" t="n"/>
      <c r="AH1002" s="7" t="n"/>
      <c r="AI1002" s="7" t="n"/>
      <c r="AJ1002" s="7" t="n"/>
      <c r="AK1002" s="7" t="n"/>
      <c r="AL1002" s="7" t="n"/>
      <c r="AM1002" s="7" t="n"/>
      <c r="AN1002" s="7" t="n"/>
      <c r="AO1002" s="7" t="n"/>
      <c r="AP1002" s="7" t="n"/>
      <c r="AQ1002" s="7" t="n"/>
      <c r="AR1002" s="7" t="n"/>
      <c r="AS1002" s="7" t="n"/>
      <c r="AT1002" s="7" t="n"/>
      <c r="AU1002" s="7" t="n"/>
      <c r="AV1002" s="7" t="n"/>
      <c r="AW1002" s="7" t="n"/>
      <c r="AX1002" s="7" t="n"/>
      <c r="AY1002" s="7" t="n"/>
      <c r="BA1002" s="42">
        <f>IF(COUNT(B1002:AY1002)=0,"",IF(TRIM(A1002)&lt;&gt;"",TRIM(A1002),IF(BA1001="","(geen naam)",BA1001)))</f>
        <v/>
      </c>
      <c r="BB1002" s="42">
        <f>IF(BA1002="","",IF(ISNA(MATCH(BA1002,BA$120:BA1001,0)),MAX(BB$120:BB1001)+1,""))</f>
        <v/>
      </c>
    </row>
    <row r="1003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  <c r="R1003" s="7" t="n"/>
      <c r="S1003" s="7" t="n"/>
      <c r="T1003" s="7" t="n"/>
      <c r="U1003" s="7" t="n"/>
      <c r="V1003" s="7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  <c r="AE1003" s="7" t="n"/>
      <c r="AF1003" s="7" t="n"/>
      <c r="AG1003" s="7" t="n"/>
      <c r="AH1003" s="7" t="n"/>
      <c r="AI1003" s="7" t="n"/>
      <c r="AJ1003" s="7" t="n"/>
      <c r="AK1003" s="7" t="n"/>
      <c r="AL1003" s="7" t="n"/>
      <c r="AM1003" s="7" t="n"/>
      <c r="AN1003" s="7" t="n"/>
      <c r="AO1003" s="7" t="n"/>
      <c r="AP1003" s="7" t="n"/>
      <c r="AQ1003" s="7" t="n"/>
      <c r="AR1003" s="7" t="n"/>
      <c r="AS1003" s="7" t="n"/>
      <c r="AT1003" s="7" t="n"/>
      <c r="AU1003" s="7" t="n"/>
      <c r="AV1003" s="7" t="n"/>
      <c r="AW1003" s="7" t="n"/>
      <c r="AX1003" s="7" t="n"/>
      <c r="AY1003" s="7" t="n"/>
      <c r="BA1003" s="42">
        <f>IF(COUNT(B1003:AY1003)=0,"",IF(TRIM(A1003)&lt;&gt;"",TRIM(A1003),IF(BA1002="","(geen naam)",BA1002)))</f>
        <v/>
      </c>
      <c r="BB1003" s="42">
        <f>IF(BA1003="","",IF(ISNA(MATCH(BA1003,BA$120:BA1002,0)),MAX(BB$120:BB1002)+1,""))</f>
        <v/>
      </c>
    </row>
    <row r="1004">
      <c r="A1004" s="7" t="n"/>
      <c r="B1004" s="7" t="n"/>
      <c r="C1004" s="7" t="n"/>
      <c r="D1004" s="7" t="n"/>
      <c r="E1004" s="7" t="n"/>
      <c r="F1004" s="7" t="n"/>
      <c r="G1004" s="7" t="n"/>
      <c r="H1004" s="7" t="n"/>
      <c r="I1004" s="7" t="n"/>
      <c r="J1004" s="7" t="n"/>
      <c r="K1004" s="7" t="n"/>
      <c r="L1004" s="7" t="n"/>
      <c r="M1004" s="7" t="n"/>
      <c r="N1004" s="7" t="n"/>
      <c r="O1004" s="7" t="n"/>
      <c r="P1004" s="7" t="n"/>
      <c r="Q1004" s="7" t="n"/>
      <c r="R1004" s="7" t="n"/>
      <c r="S1004" s="7" t="n"/>
      <c r="T1004" s="7" t="n"/>
      <c r="U1004" s="7" t="n"/>
      <c r="V1004" s="7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  <c r="AE1004" s="7" t="n"/>
      <c r="AF1004" s="7" t="n"/>
      <c r="AG1004" s="7" t="n"/>
      <c r="AH1004" s="7" t="n"/>
      <c r="AI1004" s="7" t="n"/>
      <c r="AJ1004" s="7" t="n"/>
      <c r="AK1004" s="7" t="n"/>
      <c r="AL1004" s="7" t="n"/>
      <c r="AM1004" s="7" t="n"/>
      <c r="AN1004" s="7" t="n"/>
      <c r="AO1004" s="7" t="n"/>
      <c r="AP1004" s="7" t="n"/>
      <c r="AQ1004" s="7" t="n"/>
      <c r="AR1004" s="7" t="n"/>
      <c r="AS1004" s="7" t="n"/>
      <c r="AT1004" s="7" t="n"/>
      <c r="AU1004" s="7" t="n"/>
      <c r="AV1004" s="7" t="n"/>
      <c r="AW1004" s="7" t="n"/>
      <c r="AX1004" s="7" t="n"/>
      <c r="AY1004" s="7" t="n"/>
      <c r="BA1004" s="42">
        <f>IF(COUNT(B1004:AY1004)=0,"",IF(TRIM(A1004)&lt;&gt;"",TRIM(A1004),IF(BA1003="","(geen naam)",BA1003)))</f>
        <v/>
      </c>
      <c r="BB1004" s="42">
        <f>IF(BA1004="","",IF(ISNA(MATCH(BA1004,BA$120:BA1003,0)),MAX(BB$120:BB1003)+1,""))</f>
        <v/>
      </c>
    </row>
    <row r="1005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/>
      <c r="Q1005" s="7" t="n"/>
      <c r="R1005" s="7" t="n"/>
      <c r="S1005" s="7" t="n"/>
      <c r="T1005" s="7" t="n"/>
      <c r="U1005" s="7" t="n"/>
      <c r="V1005" s="7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  <c r="AE1005" s="7" t="n"/>
      <c r="AF1005" s="7" t="n"/>
      <c r="AG1005" s="7" t="n"/>
      <c r="AH1005" s="7" t="n"/>
      <c r="AI1005" s="7" t="n"/>
      <c r="AJ1005" s="7" t="n"/>
      <c r="AK1005" s="7" t="n"/>
      <c r="AL1005" s="7" t="n"/>
      <c r="AM1005" s="7" t="n"/>
      <c r="AN1005" s="7" t="n"/>
      <c r="AO1005" s="7" t="n"/>
      <c r="AP1005" s="7" t="n"/>
      <c r="AQ1005" s="7" t="n"/>
      <c r="AR1005" s="7" t="n"/>
      <c r="AS1005" s="7" t="n"/>
      <c r="AT1005" s="7" t="n"/>
      <c r="AU1005" s="7" t="n"/>
      <c r="AV1005" s="7" t="n"/>
      <c r="AW1005" s="7" t="n"/>
      <c r="AX1005" s="7" t="n"/>
      <c r="AY1005" s="7" t="n"/>
      <c r="BA1005" s="42">
        <f>IF(COUNT(B1005:AY1005)=0,"",IF(TRIM(A1005)&lt;&gt;"",TRIM(A1005),IF(BA1004="","(geen naam)",BA1004)))</f>
        <v/>
      </c>
      <c r="BB1005" s="42">
        <f>IF(BA1005="","",IF(ISNA(MATCH(BA1005,BA$120:BA1004,0)),MAX(BB$120:BB1004)+1,""))</f>
        <v/>
      </c>
    </row>
    <row r="1006">
      <c r="A1006" s="7" t="n"/>
      <c r="B1006" s="7" t="n"/>
      <c r="C1006" s="7" t="n"/>
      <c r="D1006" s="7" t="n"/>
      <c r="E1006" s="7" t="n"/>
      <c r="F1006" s="7" t="n"/>
      <c r="G1006" s="7" t="n"/>
      <c r="H1006" s="7" t="n"/>
      <c r="I1006" s="7" t="n"/>
      <c r="J1006" s="7" t="n"/>
      <c r="K1006" s="7" t="n"/>
      <c r="L1006" s="7" t="n"/>
      <c r="M1006" s="7" t="n"/>
      <c r="N1006" s="7" t="n"/>
      <c r="O1006" s="7" t="n"/>
      <c r="P1006" s="7" t="n"/>
      <c r="Q1006" s="7" t="n"/>
      <c r="R1006" s="7" t="n"/>
      <c r="S1006" s="7" t="n"/>
      <c r="T1006" s="7" t="n"/>
      <c r="U1006" s="7" t="n"/>
      <c r="V1006" s="7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  <c r="AE1006" s="7" t="n"/>
      <c r="AF1006" s="7" t="n"/>
      <c r="AG1006" s="7" t="n"/>
      <c r="AH1006" s="7" t="n"/>
      <c r="AI1006" s="7" t="n"/>
      <c r="AJ1006" s="7" t="n"/>
      <c r="AK1006" s="7" t="n"/>
      <c r="AL1006" s="7" t="n"/>
      <c r="AM1006" s="7" t="n"/>
      <c r="AN1006" s="7" t="n"/>
      <c r="AO1006" s="7" t="n"/>
      <c r="AP1006" s="7" t="n"/>
      <c r="AQ1006" s="7" t="n"/>
      <c r="AR1006" s="7" t="n"/>
      <c r="AS1006" s="7" t="n"/>
      <c r="AT1006" s="7" t="n"/>
      <c r="AU1006" s="7" t="n"/>
      <c r="AV1006" s="7" t="n"/>
      <c r="AW1006" s="7" t="n"/>
      <c r="AX1006" s="7" t="n"/>
      <c r="AY1006" s="7" t="n"/>
      <c r="BA1006" s="42">
        <f>IF(COUNT(B1006:AY1006)=0,"",IF(TRIM(A1006)&lt;&gt;"",TRIM(A1006),IF(BA1005="","(geen naam)",BA1005)))</f>
        <v/>
      </c>
      <c r="BB1006" s="42">
        <f>IF(BA1006="","",IF(ISNA(MATCH(BA1006,BA$120:BA1005,0)),MAX(BB$120:BB1005)+1,""))</f>
        <v/>
      </c>
    </row>
    <row r="1007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  <c r="R1007" s="7" t="n"/>
      <c r="S1007" s="7" t="n"/>
      <c r="T1007" s="7" t="n"/>
      <c r="U1007" s="7" t="n"/>
      <c r="V1007" s="7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  <c r="AE1007" s="7" t="n"/>
      <c r="AF1007" s="7" t="n"/>
      <c r="AG1007" s="7" t="n"/>
      <c r="AH1007" s="7" t="n"/>
      <c r="AI1007" s="7" t="n"/>
      <c r="AJ1007" s="7" t="n"/>
      <c r="AK1007" s="7" t="n"/>
      <c r="AL1007" s="7" t="n"/>
      <c r="AM1007" s="7" t="n"/>
      <c r="AN1007" s="7" t="n"/>
      <c r="AO1007" s="7" t="n"/>
      <c r="AP1007" s="7" t="n"/>
      <c r="AQ1007" s="7" t="n"/>
      <c r="AR1007" s="7" t="n"/>
      <c r="AS1007" s="7" t="n"/>
      <c r="AT1007" s="7" t="n"/>
      <c r="AU1007" s="7" t="n"/>
      <c r="AV1007" s="7" t="n"/>
      <c r="AW1007" s="7" t="n"/>
      <c r="AX1007" s="7" t="n"/>
      <c r="AY1007" s="7" t="n"/>
      <c r="BA1007" s="42">
        <f>IF(COUNT(B1007:AY1007)=0,"",IF(TRIM(A1007)&lt;&gt;"",TRIM(A1007),IF(BA1006="","(geen naam)",BA1006)))</f>
        <v/>
      </c>
      <c r="BB1007" s="42">
        <f>IF(BA1007="","",IF(ISNA(MATCH(BA1007,BA$120:BA1006,0)),MAX(BB$120:BB1006)+1,""))</f>
        <v/>
      </c>
    </row>
    <row r="1008">
      <c r="A1008" s="7" t="n"/>
      <c r="B1008" s="7" t="n"/>
      <c r="C1008" s="7" t="n"/>
      <c r="D1008" s="7" t="n"/>
      <c r="E1008" s="7" t="n"/>
      <c r="F1008" s="7" t="n"/>
      <c r="G1008" s="7" t="n"/>
      <c r="H1008" s="7" t="n"/>
      <c r="I1008" s="7" t="n"/>
      <c r="J1008" s="7" t="n"/>
      <c r="K1008" s="7" t="n"/>
      <c r="L1008" s="7" t="n"/>
      <c r="M1008" s="7" t="n"/>
      <c r="N1008" s="7" t="n"/>
      <c r="O1008" s="7" t="n"/>
      <c r="P1008" s="7" t="n"/>
      <c r="Q1008" s="7" t="n"/>
      <c r="R1008" s="7" t="n"/>
      <c r="S1008" s="7" t="n"/>
      <c r="T1008" s="7" t="n"/>
      <c r="U1008" s="7" t="n"/>
      <c r="V1008" s="7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  <c r="AE1008" s="7" t="n"/>
      <c r="AF1008" s="7" t="n"/>
      <c r="AG1008" s="7" t="n"/>
      <c r="AH1008" s="7" t="n"/>
      <c r="AI1008" s="7" t="n"/>
      <c r="AJ1008" s="7" t="n"/>
      <c r="AK1008" s="7" t="n"/>
      <c r="AL1008" s="7" t="n"/>
      <c r="AM1008" s="7" t="n"/>
      <c r="AN1008" s="7" t="n"/>
      <c r="AO1008" s="7" t="n"/>
      <c r="AP1008" s="7" t="n"/>
      <c r="AQ1008" s="7" t="n"/>
      <c r="AR1008" s="7" t="n"/>
      <c r="AS1008" s="7" t="n"/>
      <c r="AT1008" s="7" t="n"/>
      <c r="AU1008" s="7" t="n"/>
      <c r="AV1008" s="7" t="n"/>
      <c r="AW1008" s="7" t="n"/>
      <c r="AX1008" s="7" t="n"/>
      <c r="AY1008" s="7" t="n"/>
      <c r="BA1008" s="42">
        <f>IF(COUNT(B1008:AY1008)=0,"",IF(TRIM(A1008)&lt;&gt;"",TRIM(A1008),IF(BA1007="","(geen naam)",BA1007)))</f>
        <v/>
      </c>
      <c r="BB1008" s="42">
        <f>IF(BA1008="","",IF(ISNA(MATCH(BA1008,BA$120:BA1007,0)),MAX(BB$120:BB1007)+1,""))</f>
        <v/>
      </c>
    </row>
    <row r="1009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/>
      <c r="Q1009" s="7" t="n"/>
      <c r="R1009" s="7" t="n"/>
      <c r="S1009" s="7" t="n"/>
      <c r="T1009" s="7" t="n"/>
      <c r="U1009" s="7" t="n"/>
      <c r="V1009" s="7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  <c r="AE1009" s="7" t="n"/>
      <c r="AF1009" s="7" t="n"/>
      <c r="AG1009" s="7" t="n"/>
      <c r="AH1009" s="7" t="n"/>
      <c r="AI1009" s="7" t="n"/>
      <c r="AJ1009" s="7" t="n"/>
      <c r="AK1009" s="7" t="n"/>
      <c r="AL1009" s="7" t="n"/>
      <c r="AM1009" s="7" t="n"/>
      <c r="AN1009" s="7" t="n"/>
      <c r="AO1009" s="7" t="n"/>
      <c r="AP1009" s="7" t="n"/>
      <c r="AQ1009" s="7" t="n"/>
      <c r="AR1009" s="7" t="n"/>
      <c r="AS1009" s="7" t="n"/>
      <c r="AT1009" s="7" t="n"/>
      <c r="AU1009" s="7" t="n"/>
      <c r="AV1009" s="7" t="n"/>
      <c r="AW1009" s="7" t="n"/>
      <c r="AX1009" s="7" t="n"/>
      <c r="AY1009" s="7" t="n"/>
      <c r="BA1009" s="42">
        <f>IF(COUNT(B1009:AY1009)=0,"",IF(TRIM(A1009)&lt;&gt;"",TRIM(A1009),IF(BA1008="","(geen naam)",BA1008)))</f>
        <v/>
      </c>
      <c r="BB1009" s="42">
        <f>IF(BA1009="","",IF(ISNA(MATCH(BA1009,BA$120:BA1008,0)),MAX(BB$120:BB1008)+1,""))</f>
        <v/>
      </c>
    </row>
    <row r="1010">
      <c r="A1010" s="7" t="n"/>
      <c r="B1010" s="7" t="n"/>
      <c r="C1010" s="7" t="n"/>
      <c r="D1010" s="7" t="n"/>
      <c r="E1010" s="7" t="n"/>
      <c r="F1010" s="7" t="n"/>
      <c r="G1010" s="7" t="n"/>
      <c r="H1010" s="7" t="n"/>
      <c r="I1010" s="7" t="n"/>
      <c r="J1010" s="7" t="n"/>
      <c r="K1010" s="7" t="n"/>
      <c r="L1010" s="7" t="n"/>
      <c r="M1010" s="7" t="n"/>
      <c r="N1010" s="7" t="n"/>
      <c r="O1010" s="7" t="n"/>
      <c r="P1010" s="7" t="n"/>
      <c r="Q1010" s="7" t="n"/>
      <c r="R1010" s="7" t="n"/>
      <c r="S1010" s="7" t="n"/>
      <c r="T1010" s="7" t="n"/>
      <c r="U1010" s="7" t="n"/>
      <c r="V1010" s="7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  <c r="AE1010" s="7" t="n"/>
      <c r="AF1010" s="7" t="n"/>
      <c r="AG1010" s="7" t="n"/>
      <c r="AH1010" s="7" t="n"/>
      <c r="AI1010" s="7" t="n"/>
      <c r="AJ1010" s="7" t="n"/>
      <c r="AK1010" s="7" t="n"/>
      <c r="AL1010" s="7" t="n"/>
      <c r="AM1010" s="7" t="n"/>
      <c r="AN1010" s="7" t="n"/>
      <c r="AO1010" s="7" t="n"/>
      <c r="AP1010" s="7" t="n"/>
      <c r="AQ1010" s="7" t="n"/>
      <c r="AR1010" s="7" t="n"/>
      <c r="AS1010" s="7" t="n"/>
      <c r="AT1010" s="7" t="n"/>
      <c r="AU1010" s="7" t="n"/>
      <c r="AV1010" s="7" t="n"/>
      <c r="AW1010" s="7" t="n"/>
      <c r="AX1010" s="7" t="n"/>
      <c r="AY1010" s="7" t="n"/>
      <c r="BA1010" s="42">
        <f>IF(COUNT(B1010:AY1010)=0,"",IF(TRIM(A1010)&lt;&gt;"",TRIM(A1010),IF(BA1009="","(geen naam)",BA1009)))</f>
        <v/>
      </c>
      <c r="BB1010" s="42">
        <f>IF(BA1010="","",IF(ISNA(MATCH(BA1010,BA$120:BA1009,0)),MAX(BB$120:BB1009)+1,""))</f>
        <v/>
      </c>
    </row>
    <row r="1011">
      <c r="A1011" s="7" t="n"/>
      <c r="B1011" s="7" t="n"/>
      <c r="C1011" s="7" t="n"/>
      <c r="D1011" s="7" t="n"/>
      <c r="E1011" s="7" t="n"/>
      <c r="F1011" s="7" t="n"/>
      <c r="G1011" s="7" t="n"/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/>
      <c r="Q1011" s="7" t="n"/>
      <c r="R1011" s="7" t="n"/>
      <c r="S1011" s="7" t="n"/>
      <c r="T1011" s="7" t="n"/>
      <c r="U1011" s="7" t="n"/>
      <c r="V1011" s="7" t="n"/>
      <c r="W1011" s="7" t="n"/>
      <c r="X1011" s="7" t="n"/>
      <c r="Y1011" s="7" t="n"/>
      <c r="Z1011" s="7" t="n"/>
      <c r="AA1011" s="7" t="n"/>
      <c r="AB1011" s="7" t="n"/>
      <c r="AC1011" s="7" t="n"/>
      <c r="AD1011" s="7" t="n"/>
      <c r="AE1011" s="7" t="n"/>
      <c r="AF1011" s="7" t="n"/>
      <c r="AG1011" s="7" t="n"/>
      <c r="AH1011" s="7" t="n"/>
      <c r="AI1011" s="7" t="n"/>
      <c r="AJ1011" s="7" t="n"/>
      <c r="AK1011" s="7" t="n"/>
      <c r="AL1011" s="7" t="n"/>
      <c r="AM1011" s="7" t="n"/>
      <c r="AN1011" s="7" t="n"/>
      <c r="AO1011" s="7" t="n"/>
      <c r="AP1011" s="7" t="n"/>
      <c r="AQ1011" s="7" t="n"/>
      <c r="AR1011" s="7" t="n"/>
      <c r="AS1011" s="7" t="n"/>
      <c r="AT1011" s="7" t="n"/>
      <c r="AU1011" s="7" t="n"/>
      <c r="AV1011" s="7" t="n"/>
      <c r="AW1011" s="7" t="n"/>
      <c r="AX1011" s="7" t="n"/>
      <c r="AY1011" s="7" t="n"/>
      <c r="BA1011" s="42">
        <f>IF(COUNT(B1011:AY1011)=0,"",IF(TRIM(A1011)&lt;&gt;"",TRIM(A1011),IF(BA1010="","(geen naam)",BA1010)))</f>
        <v/>
      </c>
      <c r="BB1011" s="42">
        <f>IF(BA1011="","",IF(ISNA(MATCH(BA1011,BA$120:BA1010,0)),MAX(BB$120:BB1010)+1,""))</f>
        <v/>
      </c>
    </row>
    <row r="1012">
      <c r="A1012" s="7" t="n"/>
      <c r="B1012" s="7" t="n"/>
      <c r="C1012" s="7" t="n"/>
      <c r="D1012" s="7" t="n"/>
      <c r="E1012" s="7" t="n"/>
      <c r="F1012" s="7" t="n"/>
      <c r="G1012" s="7" t="n"/>
      <c r="H1012" s="7" t="n"/>
      <c r="I1012" s="7" t="n"/>
      <c r="J1012" s="7" t="n"/>
      <c r="K1012" s="7" t="n"/>
      <c r="L1012" s="7" t="n"/>
      <c r="M1012" s="7" t="n"/>
      <c r="N1012" s="7" t="n"/>
      <c r="O1012" s="7" t="n"/>
      <c r="P1012" s="7" t="n"/>
      <c r="Q1012" s="7" t="n"/>
      <c r="R1012" s="7" t="n"/>
      <c r="S1012" s="7" t="n"/>
      <c r="T1012" s="7" t="n"/>
      <c r="U1012" s="7" t="n"/>
      <c r="V1012" s="7" t="n"/>
      <c r="W1012" s="7" t="n"/>
      <c r="X1012" s="7" t="n"/>
      <c r="Y1012" s="7" t="n"/>
      <c r="Z1012" s="7" t="n"/>
      <c r="AA1012" s="7" t="n"/>
      <c r="AB1012" s="7" t="n"/>
      <c r="AC1012" s="7" t="n"/>
      <c r="AD1012" s="7" t="n"/>
      <c r="AE1012" s="7" t="n"/>
      <c r="AF1012" s="7" t="n"/>
      <c r="AG1012" s="7" t="n"/>
      <c r="AH1012" s="7" t="n"/>
      <c r="AI1012" s="7" t="n"/>
      <c r="AJ1012" s="7" t="n"/>
      <c r="AK1012" s="7" t="n"/>
      <c r="AL1012" s="7" t="n"/>
      <c r="AM1012" s="7" t="n"/>
      <c r="AN1012" s="7" t="n"/>
      <c r="AO1012" s="7" t="n"/>
      <c r="AP1012" s="7" t="n"/>
      <c r="AQ1012" s="7" t="n"/>
      <c r="AR1012" s="7" t="n"/>
      <c r="AS1012" s="7" t="n"/>
      <c r="AT1012" s="7" t="n"/>
      <c r="AU1012" s="7" t="n"/>
      <c r="AV1012" s="7" t="n"/>
      <c r="AW1012" s="7" t="n"/>
      <c r="AX1012" s="7" t="n"/>
      <c r="AY1012" s="7" t="n"/>
      <c r="BA1012" s="42">
        <f>IF(COUNT(B1012:AY1012)=0,"",IF(TRIM(A1012)&lt;&gt;"",TRIM(A1012),IF(BA1011="","(geen naam)",BA1011)))</f>
        <v/>
      </c>
      <c r="BB1012" s="42">
        <f>IF(BA1012="","",IF(ISNA(MATCH(BA1012,BA$120:BA1011,0)),MAX(BB$120:BB1011)+1,""))</f>
        <v/>
      </c>
    </row>
    <row r="1013">
      <c r="A1013" s="7" t="n"/>
      <c r="B1013" s="7" t="n"/>
      <c r="C1013" s="7" t="n"/>
      <c r="D1013" s="7" t="n"/>
      <c r="E1013" s="7" t="n"/>
      <c r="F1013" s="7" t="n"/>
      <c r="G1013" s="7" t="n"/>
      <c r="H1013" s="7" t="n"/>
      <c r="I1013" s="7" t="n"/>
      <c r="J1013" s="7" t="n"/>
      <c r="K1013" s="7" t="n"/>
      <c r="L1013" s="7" t="n"/>
      <c r="M1013" s="7" t="n"/>
      <c r="N1013" s="7" t="n"/>
      <c r="O1013" s="7" t="n"/>
      <c r="P1013" s="7" t="n"/>
      <c r="Q1013" s="7" t="n"/>
      <c r="R1013" s="7" t="n"/>
      <c r="S1013" s="7" t="n"/>
      <c r="T1013" s="7" t="n"/>
      <c r="U1013" s="7" t="n"/>
      <c r="V1013" s="7" t="n"/>
      <c r="W1013" s="7" t="n"/>
      <c r="X1013" s="7" t="n"/>
      <c r="Y1013" s="7" t="n"/>
      <c r="Z1013" s="7" t="n"/>
      <c r="AA1013" s="7" t="n"/>
      <c r="AB1013" s="7" t="n"/>
      <c r="AC1013" s="7" t="n"/>
      <c r="AD1013" s="7" t="n"/>
      <c r="AE1013" s="7" t="n"/>
      <c r="AF1013" s="7" t="n"/>
      <c r="AG1013" s="7" t="n"/>
      <c r="AH1013" s="7" t="n"/>
      <c r="AI1013" s="7" t="n"/>
      <c r="AJ1013" s="7" t="n"/>
      <c r="AK1013" s="7" t="n"/>
      <c r="AL1013" s="7" t="n"/>
      <c r="AM1013" s="7" t="n"/>
      <c r="AN1013" s="7" t="n"/>
      <c r="AO1013" s="7" t="n"/>
      <c r="AP1013" s="7" t="n"/>
      <c r="AQ1013" s="7" t="n"/>
      <c r="AR1013" s="7" t="n"/>
      <c r="AS1013" s="7" t="n"/>
      <c r="AT1013" s="7" t="n"/>
      <c r="AU1013" s="7" t="n"/>
      <c r="AV1013" s="7" t="n"/>
      <c r="AW1013" s="7" t="n"/>
      <c r="AX1013" s="7" t="n"/>
      <c r="AY1013" s="7" t="n"/>
      <c r="BA1013" s="42">
        <f>IF(COUNT(B1013:AY1013)=0,"",IF(TRIM(A1013)&lt;&gt;"",TRIM(A1013),IF(BA1012="","(geen naam)",BA1012)))</f>
        <v/>
      </c>
      <c r="BB1013" s="42">
        <f>IF(BA1013="","",IF(ISNA(MATCH(BA1013,BA$120:BA1012,0)),MAX(BB$120:BB1012)+1,""))</f>
        <v/>
      </c>
    </row>
    <row r="1014">
      <c r="A1014" s="7" t="n"/>
      <c r="B1014" s="7" t="n"/>
      <c r="C1014" s="7" t="n"/>
      <c r="D1014" s="7" t="n"/>
      <c r="E1014" s="7" t="n"/>
      <c r="F1014" s="7" t="n"/>
      <c r="G1014" s="7" t="n"/>
      <c r="H1014" s="7" t="n"/>
      <c r="I1014" s="7" t="n"/>
      <c r="J1014" s="7" t="n"/>
      <c r="K1014" s="7" t="n"/>
      <c r="L1014" s="7" t="n"/>
      <c r="M1014" s="7" t="n"/>
      <c r="N1014" s="7" t="n"/>
      <c r="O1014" s="7" t="n"/>
      <c r="P1014" s="7" t="n"/>
      <c r="Q1014" s="7" t="n"/>
      <c r="R1014" s="7" t="n"/>
      <c r="S1014" s="7" t="n"/>
      <c r="T1014" s="7" t="n"/>
      <c r="U1014" s="7" t="n"/>
      <c r="V1014" s="7" t="n"/>
      <c r="W1014" s="7" t="n"/>
      <c r="X1014" s="7" t="n"/>
      <c r="Y1014" s="7" t="n"/>
      <c r="Z1014" s="7" t="n"/>
      <c r="AA1014" s="7" t="n"/>
      <c r="AB1014" s="7" t="n"/>
      <c r="AC1014" s="7" t="n"/>
      <c r="AD1014" s="7" t="n"/>
      <c r="AE1014" s="7" t="n"/>
      <c r="AF1014" s="7" t="n"/>
      <c r="AG1014" s="7" t="n"/>
      <c r="AH1014" s="7" t="n"/>
      <c r="AI1014" s="7" t="n"/>
      <c r="AJ1014" s="7" t="n"/>
      <c r="AK1014" s="7" t="n"/>
      <c r="AL1014" s="7" t="n"/>
      <c r="AM1014" s="7" t="n"/>
      <c r="AN1014" s="7" t="n"/>
      <c r="AO1014" s="7" t="n"/>
      <c r="AP1014" s="7" t="n"/>
      <c r="AQ1014" s="7" t="n"/>
      <c r="AR1014" s="7" t="n"/>
      <c r="AS1014" s="7" t="n"/>
      <c r="AT1014" s="7" t="n"/>
      <c r="AU1014" s="7" t="n"/>
      <c r="AV1014" s="7" t="n"/>
      <c r="AW1014" s="7" t="n"/>
      <c r="AX1014" s="7" t="n"/>
      <c r="AY1014" s="7" t="n"/>
      <c r="BA1014" s="42">
        <f>IF(COUNT(B1014:AY1014)=0,"",IF(TRIM(A1014)&lt;&gt;"",TRIM(A1014),IF(BA1013="","(geen naam)",BA1013)))</f>
        <v/>
      </c>
      <c r="BB1014" s="42">
        <f>IF(BA1014="","",IF(ISNA(MATCH(BA1014,BA$120:BA1013,0)),MAX(BB$120:BB1013)+1,""))</f>
        <v/>
      </c>
    </row>
    <row r="1015">
      <c r="A1015" s="7" t="n"/>
      <c r="B1015" s="7" t="n"/>
      <c r="C1015" s="7" t="n"/>
      <c r="D1015" s="7" t="n"/>
      <c r="E1015" s="7" t="n"/>
      <c r="F1015" s="7" t="n"/>
      <c r="G1015" s="7" t="n"/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/>
      <c r="Q1015" s="7" t="n"/>
      <c r="R1015" s="7" t="n"/>
      <c r="S1015" s="7" t="n"/>
      <c r="T1015" s="7" t="n"/>
      <c r="U1015" s="7" t="n"/>
      <c r="V1015" s="7" t="n"/>
      <c r="W1015" s="7" t="n"/>
      <c r="X1015" s="7" t="n"/>
      <c r="Y1015" s="7" t="n"/>
      <c r="Z1015" s="7" t="n"/>
      <c r="AA1015" s="7" t="n"/>
      <c r="AB1015" s="7" t="n"/>
      <c r="AC1015" s="7" t="n"/>
      <c r="AD1015" s="7" t="n"/>
      <c r="AE1015" s="7" t="n"/>
      <c r="AF1015" s="7" t="n"/>
      <c r="AG1015" s="7" t="n"/>
      <c r="AH1015" s="7" t="n"/>
      <c r="AI1015" s="7" t="n"/>
      <c r="AJ1015" s="7" t="n"/>
      <c r="AK1015" s="7" t="n"/>
      <c r="AL1015" s="7" t="n"/>
      <c r="AM1015" s="7" t="n"/>
      <c r="AN1015" s="7" t="n"/>
      <c r="AO1015" s="7" t="n"/>
      <c r="AP1015" s="7" t="n"/>
      <c r="AQ1015" s="7" t="n"/>
      <c r="AR1015" s="7" t="n"/>
      <c r="AS1015" s="7" t="n"/>
      <c r="AT1015" s="7" t="n"/>
      <c r="AU1015" s="7" t="n"/>
      <c r="AV1015" s="7" t="n"/>
      <c r="AW1015" s="7" t="n"/>
      <c r="AX1015" s="7" t="n"/>
      <c r="AY1015" s="7" t="n"/>
      <c r="BA1015" s="42">
        <f>IF(COUNT(B1015:AY1015)=0,"",IF(TRIM(A1015)&lt;&gt;"",TRIM(A1015),IF(BA1014="","(geen naam)",BA1014)))</f>
        <v/>
      </c>
      <c r="BB1015" s="42">
        <f>IF(BA1015="","",IF(ISNA(MATCH(BA1015,BA$120:BA1014,0)),MAX(BB$120:BB1014)+1,""))</f>
        <v/>
      </c>
    </row>
    <row r="1016">
      <c r="A1016" s="7" t="n"/>
      <c r="B1016" s="7" t="n"/>
      <c r="C1016" s="7" t="n"/>
      <c r="D1016" s="7" t="n"/>
      <c r="E1016" s="7" t="n"/>
      <c r="F1016" s="7" t="n"/>
      <c r="G1016" s="7" t="n"/>
      <c r="H1016" s="7" t="n"/>
      <c r="I1016" s="7" t="n"/>
      <c r="J1016" s="7" t="n"/>
      <c r="K1016" s="7" t="n"/>
      <c r="L1016" s="7" t="n"/>
      <c r="M1016" s="7" t="n"/>
      <c r="N1016" s="7" t="n"/>
      <c r="O1016" s="7" t="n"/>
      <c r="P1016" s="7" t="n"/>
      <c r="Q1016" s="7" t="n"/>
      <c r="R1016" s="7" t="n"/>
      <c r="S1016" s="7" t="n"/>
      <c r="T1016" s="7" t="n"/>
      <c r="U1016" s="7" t="n"/>
      <c r="V1016" s="7" t="n"/>
      <c r="W1016" s="7" t="n"/>
      <c r="X1016" s="7" t="n"/>
      <c r="Y1016" s="7" t="n"/>
      <c r="Z1016" s="7" t="n"/>
      <c r="AA1016" s="7" t="n"/>
      <c r="AB1016" s="7" t="n"/>
      <c r="AC1016" s="7" t="n"/>
      <c r="AD1016" s="7" t="n"/>
      <c r="AE1016" s="7" t="n"/>
      <c r="AF1016" s="7" t="n"/>
      <c r="AG1016" s="7" t="n"/>
      <c r="AH1016" s="7" t="n"/>
      <c r="AI1016" s="7" t="n"/>
      <c r="AJ1016" s="7" t="n"/>
      <c r="AK1016" s="7" t="n"/>
      <c r="AL1016" s="7" t="n"/>
      <c r="AM1016" s="7" t="n"/>
      <c r="AN1016" s="7" t="n"/>
      <c r="AO1016" s="7" t="n"/>
      <c r="AP1016" s="7" t="n"/>
      <c r="AQ1016" s="7" t="n"/>
      <c r="AR1016" s="7" t="n"/>
      <c r="AS1016" s="7" t="n"/>
      <c r="AT1016" s="7" t="n"/>
      <c r="AU1016" s="7" t="n"/>
      <c r="AV1016" s="7" t="n"/>
      <c r="AW1016" s="7" t="n"/>
      <c r="AX1016" s="7" t="n"/>
      <c r="AY1016" s="7" t="n"/>
      <c r="BA1016" s="42">
        <f>IF(COUNT(B1016:AY1016)=0,"",IF(TRIM(A1016)&lt;&gt;"",TRIM(A1016),IF(BA1015="","(geen naam)",BA1015)))</f>
        <v/>
      </c>
      <c r="BB1016" s="42">
        <f>IF(BA1016="","",IF(ISNA(MATCH(BA1016,BA$120:BA1015,0)),MAX(BB$120:BB1015)+1,""))</f>
        <v/>
      </c>
    </row>
    <row r="1017">
      <c r="A1017" s="7" t="n"/>
      <c r="B1017" s="7" t="n"/>
      <c r="C1017" s="7" t="n"/>
      <c r="D1017" s="7" t="n"/>
      <c r="E1017" s="7" t="n"/>
      <c r="F1017" s="7" t="n"/>
      <c r="G1017" s="7" t="n"/>
      <c r="H1017" s="7" t="n"/>
      <c r="I1017" s="7" t="n"/>
      <c r="J1017" s="7" t="n"/>
      <c r="K1017" s="7" t="n"/>
      <c r="L1017" s="7" t="n"/>
      <c r="M1017" s="7" t="n"/>
      <c r="N1017" s="7" t="n"/>
      <c r="O1017" s="7" t="n"/>
      <c r="P1017" s="7" t="n"/>
      <c r="Q1017" s="7" t="n"/>
      <c r="R1017" s="7" t="n"/>
      <c r="S1017" s="7" t="n"/>
      <c r="T1017" s="7" t="n"/>
      <c r="U1017" s="7" t="n"/>
      <c r="V1017" s="7" t="n"/>
      <c r="W1017" s="7" t="n"/>
      <c r="X1017" s="7" t="n"/>
      <c r="Y1017" s="7" t="n"/>
      <c r="Z1017" s="7" t="n"/>
      <c r="AA1017" s="7" t="n"/>
      <c r="AB1017" s="7" t="n"/>
      <c r="AC1017" s="7" t="n"/>
      <c r="AD1017" s="7" t="n"/>
      <c r="AE1017" s="7" t="n"/>
      <c r="AF1017" s="7" t="n"/>
      <c r="AG1017" s="7" t="n"/>
      <c r="AH1017" s="7" t="n"/>
      <c r="AI1017" s="7" t="n"/>
      <c r="AJ1017" s="7" t="n"/>
      <c r="AK1017" s="7" t="n"/>
      <c r="AL1017" s="7" t="n"/>
      <c r="AM1017" s="7" t="n"/>
      <c r="AN1017" s="7" t="n"/>
      <c r="AO1017" s="7" t="n"/>
      <c r="AP1017" s="7" t="n"/>
      <c r="AQ1017" s="7" t="n"/>
      <c r="AR1017" s="7" t="n"/>
      <c r="AS1017" s="7" t="n"/>
      <c r="AT1017" s="7" t="n"/>
      <c r="AU1017" s="7" t="n"/>
      <c r="AV1017" s="7" t="n"/>
      <c r="AW1017" s="7" t="n"/>
      <c r="AX1017" s="7" t="n"/>
      <c r="AY1017" s="7" t="n"/>
      <c r="BA1017" s="42">
        <f>IF(COUNT(B1017:AY1017)=0,"",IF(TRIM(A1017)&lt;&gt;"",TRIM(A1017),IF(BA1016="","(geen naam)",BA1016)))</f>
        <v/>
      </c>
      <c r="BB1017" s="42">
        <f>IF(BA1017="","",IF(ISNA(MATCH(BA1017,BA$120:BA1016,0)),MAX(BB$120:BB1016)+1,""))</f>
        <v/>
      </c>
    </row>
    <row r="1018">
      <c r="A1018" s="7" t="n"/>
      <c r="B1018" s="7" t="n"/>
      <c r="C1018" s="7" t="n"/>
      <c r="D1018" s="7" t="n"/>
      <c r="E1018" s="7" t="n"/>
      <c r="F1018" s="7" t="n"/>
      <c r="G1018" s="7" t="n"/>
      <c r="H1018" s="7" t="n"/>
      <c r="I1018" s="7" t="n"/>
      <c r="J1018" s="7" t="n"/>
      <c r="K1018" s="7" t="n"/>
      <c r="L1018" s="7" t="n"/>
      <c r="M1018" s="7" t="n"/>
      <c r="N1018" s="7" t="n"/>
      <c r="O1018" s="7" t="n"/>
      <c r="P1018" s="7" t="n"/>
      <c r="Q1018" s="7" t="n"/>
      <c r="R1018" s="7" t="n"/>
      <c r="S1018" s="7" t="n"/>
      <c r="T1018" s="7" t="n"/>
      <c r="U1018" s="7" t="n"/>
      <c r="V1018" s="7" t="n"/>
      <c r="W1018" s="7" t="n"/>
      <c r="X1018" s="7" t="n"/>
      <c r="Y1018" s="7" t="n"/>
      <c r="Z1018" s="7" t="n"/>
      <c r="AA1018" s="7" t="n"/>
      <c r="AB1018" s="7" t="n"/>
      <c r="AC1018" s="7" t="n"/>
      <c r="AD1018" s="7" t="n"/>
      <c r="AE1018" s="7" t="n"/>
      <c r="AF1018" s="7" t="n"/>
      <c r="AG1018" s="7" t="n"/>
      <c r="AH1018" s="7" t="n"/>
      <c r="AI1018" s="7" t="n"/>
      <c r="AJ1018" s="7" t="n"/>
      <c r="AK1018" s="7" t="n"/>
      <c r="AL1018" s="7" t="n"/>
      <c r="AM1018" s="7" t="n"/>
      <c r="AN1018" s="7" t="n"/>
      <c r="AO1018" s="7" t="n"/>
      <c r="AP1018" s="7" t="n"/>
      <c r="AQ1018" s="7" t="n"/>
      <c r="AR1018" s="7" t="n"/>
      <c r="AS1018" s="7" t="n"/>
      <c r="AT1018" s="7" t="n"/>
      <c r="AU1018" s="7" t="n"/>
      <c r="AV1018" s="7" t="n"/>
      <c r="AW1018" s="7" t="n"/>
      <c r="AX1018" s="7" t="n"/>
      <c r="AY1018" s="7" t="n"/>
      <c r="BA1018" s="42">
        <f>IF(COUNT(B1018:AY1018)=0,"",IF(TRIM(A1018)&lt;&gt;"",TRIM(A1018),IF(BA1017="","(geen naam)",BA1017)))</f>
        <v/>
      </c>
      <c r="BB1018" s="42">
        <f>IF(BA1018="","",IF(ISNA(MATCH(BA1018,BA$120:BA1017,0)),MAX(BB$120:BB1017)+1,""))</f>
        <v/>
      </c>
    </row>
    <row r="1019">
      <c r="A1019" s="7" t="n"/>
      <c r="B1019" s="7" t="n"/>
      <c r="C1019" s="7" t="n"/>
      <c r="D1019" s="7" t="n"/>
      <c r="E1019" s="7" t="n"/>
      <c r="F1019" s="7" t="n"/>
      <c r="G1019" s="7" t="n"/>
      <c r="H1019" s="7" t="n"/>
      <c r="I1019" s="7" t="n"/>
      <c r="J1019" s="7" t="n"/>
      <c r="K1019" s="7" t="n"/>
      <c r="L1019" s="7" t="n"/>
      <c r="M1019" s="7" t="n"/>
      <c r="N1019" s="7" t="n"/>
      <c r="O1019" s="7" t="n"/>
      <c r="P1019" s="7" t="n"/>
      <c r="Q1019" s="7" t="n"/>
      <c r="R1019" s="7" t="n"/>
      <c r="S1019" s="7" t="n"/>
      <c r="T1019" s="7" t="n"/>
      <c r="U1019" s="7" t="n"/>
      <c r="V1019" s="7" t="n"/>
      <c r="W1019" s="7" t="n"/>
      <c r="X1019" s="7" t="n"/>
      <c r="Y1019" s="7" t="n"/>
      <c r="Z1019" s="7" t="n"/>
      <c r="AA1019" s="7" t="n"/>
      <c r="AB1019" s="7" t="n"/>
      <c r="AC1019" s="7" t="n"/>
      <c r="AD1019" s="7" t="n"/>
      <c r="AE1019" s="7" t="n"/>
      <c r="AF1019" s="7" t="n"/>
      <c r="AG1019" s="7" t="n"/>
      <c r="AH1019" s="7" t="n"/>
      <c r="AI1019" s="7" t="n"/>
      <c r="AJ1019" s="7" t="n"/>
      <c r="AK1019" s="7" t="n"/>
      <c r="AL1019" s="7" t="n"/>
      <c r="AM1019" s="7" t="n"/>
      <c r="AN1019" s="7" t="n"/>
      <c r="AO1019" s="7" t="n"/>
      <c r="AP1019" s="7" t="n"/>
      <c r="AQ1019" s="7" t="n"/>
      <c r="AR1019" s="7" t="n"/>
      <c r="AS1019" s="7" t="n"/>
      <c r="AT1019" s="7" t="n"/>
      <c r="AU1019" s="7" t="n"/>
      <c r="AV1019" s="7" t="n"/>
      <c r="AW1019" s="7" t="n"/>
      <c r="AX1019" s="7" t="n"/>
      <c r="AY1019" s="7" t="n"/>
      <c r="BA1019" s="42">
        <f>IF(COUNT(B1019:AY1019)=0,"",IF(TRIM(A1019)&lt;&gt;"",TRIM(A1019),IF(BA1018="","(geen naam)",BA1018)))</f>
        <v/>
      </c>
      <c r="BB1019" s="42">
        <f>IF(BA1019="","",IF(ISNA(MATCH(BA1019,BA$120:BA1018,0)),MAX(BB$120:BB1018)+1,""))</f>
        <v/>
      </c>
    </row>
    <row r="1020">
      <c r="A1020" s="7" t="n"/>
      <c r="B1020" s="7" t="n"/>
      <c r="C1020" s="7" t="n"/>
      <c r="D1020" s="7" t="n"/>
      <c r="E1020" s="7" t="n"/>
      <c r="F1020" s="7" t="n"/>
      <c r="G1020" s="7" t="n"/>
      <c r="H1020" s="7" t="n"/>
      <c r="I1020" s="7" t="n"/>
      <c r="J1020" s="7" t="n"/>
      <c r="K1020" s="7" t="n"/>
      <c r="L1020" s="7" t="n"/>
      <c r="M1020" s="7" t="n"/>
      <c r="N1020" s="7" t="n"/>
      <c r="O1020" s="7" t="n"/>
      <c r="P1020" s="7" t="n"/>
      <c r="Q1020" s="7" t="n"/>
      <c r="R1020" s="7" t="n"/>
      <c r="S1020" s="7" t="n"/>
      <c r="T1020" s="7" t="n"/>
      <c r="U1020" s="7" t="n"/>
      <c r="V1020" s="7" t="n"/>
      <c r="W1020" s="7" t="n"/>
      <c r="X1020" s="7" t="n"/>
      <c r="Y1020" s="7" t="n"/>
      <c r="Z1020" s="7" t="n"/>
      <c r="AA1020" s="7" t="n"/>
      <c r="AB1020" s="7" t="n"/>
      <c r="AC1020" s="7" t="n"/>
      <c r="AD1020" s="7" t="n"/>
      <c r="AE1020" s="7" t="n"/>
      <c r="AF1020" s="7" t="n"/>
      <c r="AG1020" s="7" t="n"/>
      <c r="AH1020" s="7" t="n"/>
      <c r="AI1020" s="7" t="n"/>
      <c r="AJ1020" s="7" t="n"/>
      <c r="AK1020" s="7" t="n"/>
      <c r="AL1020" s="7" t="n"/>
      <c r="AM1020" s="7" t="n"/>
      <c r="AN1020" s="7" t="n"/>
      <c r="AO1020" s="7" t="n"/>
      <c r="AP1020" s="7" t="n"/>
      <c r="AQ1020" s="7" t="n"/>
      <c r="AR1020" s="7" t="n"/>
      <c r="AS1020" s="7" t="n"/>
      <c r="AT1020" s="7" t="n"/>
      <c r="AU1020" s="7" t="n"/>
      <c r="AV1020" s="7" t="n"/>
      <c r="AW1020" s="7" t="n"/>
      <c r="AX1020" s="7" t="n"/>
      <c r="AY1020" s="7" t="n"/>
      <c r="BA1020" s="42">
        <f>IF(COUNT(B1020:AY1020)=0,"",IF(TRIM(A1020)&lt;&gt;"",TRIM(A1020),IF(BA1019="","(geen naam)",BA1019)))</f>
        <v/>
      </c>
      <c r="BB1020" s="42">
        <f>IF(BA1020="","",IF(ISNA(MATCH(BA1020,BA$120:BA1019,0)),MAX(BB$120:BB1019)+1,""))</f>
        <v/>
      </c>
    </row>
    <row r="1021">
      <c r="A1021" s="7" t="n"/>
      <c r="B1021" s="7" t="n"/>
      <c r="C1021" s="7" t="n"/>
      <c r="D1021" s="7" t="n"/>
      <c r="E1021" s="7" t="n"/>
      <c r="F1021" s="7" t="n"/>
      <c r="G1021" s="7" t="n"/>
      <c r="H1021" s="7" t="n"/>
      <c r="I1021" s="7" t="n"/>
      <c r="J1021" s="7" t="n"/>
      <c r="K1021" s="7" t="n"/>
      <c r="L1021" s="7" t="n"/>
      <c r="M1021" s="7" t="n"/>
      <c r="N1021" s="7" t="n"/>
      <c r="O1021" s="7" t="n"/>
      <c r="P1021" s="7" t="n"/>
      <c r="Q1021" s="7" t="n"/>
      <c r="R1021" s="7" t="n"/>
      <c r="S1021" s="7" t="n"/>
      <c r="T1021" s="7" t="n"/>
      <c r="U1021" s="7" t="n"/>
      <c r="V1021" s="7" t="n"/>
      <c r="W1021" s="7" t="n"/>
      <c r="X1021" s="7" t="n"/>
      <c r="Y1021" s="7" t="n"/>
      <c r="Z1021" s="7" t="n"/>
      <c r="AA1021" s="7" t="n"/>
      <c r="AB1021" s="7" t="n"/>
      <c r="AC1021" s="7" t="n"/>
      <c r="AD1021" s="7" t="n"/>
      <c r="AE1021" s="7" t="n"/>
      <c r="AF1021" s="7" t="n"/>
      <c r="AG1021" s="7" t="n"/>
      <c r="AH1021" s="7" t="n"/>
      <c r="AI1021" s="7" t="n"/>
      <c r="AJ1021" s="7" t="n"/>
      <c r="AK1021" s="7" t="n"/>
      <c r="AL1021" s="7" t="n"/>
      <c r="AM1021" s="7" t="n"/>
      <c r="AN1021" s="7" t="n"/>
      <c r="AO1021" s="7" t="n"/>
      <c r="AP1021" s="7" t="n"/>
      <c r="AQ1021" s="7" t="n"/>
      <c r="AR1021" s="7" t="n"/>
      <c r="AS1021" s="7" t="n"/>
      <c r="AT1021" s="7" t="n"/>
      <c r="AU1021" s="7" t="n"/>
      <c r="AV1021" s="7" t="n"/>
      <c r="AW1021" s="7" t="n"/>
      <c r="AX1021" s="7" t="n"/>
      <c r="AY1021" s="7" t="n"/>
      <c r="BA1021" s="42">
        <f>IF(COUNT(B1021:AY1021)=0,"",IF(TRIM(A1021)&lt;&gt;"",TRIM(A1021),IF(BA1020="","(geen naam)",BA1020)))</f>
        <v/>
      </c>
      <c r="BB1021" s="42">
        <f>IF(BA1021="","",IF(ISNA(MATCH(BA1021,BA$120:BA1020,0)),MAX(BB$120:BB1020)+1,""))</f>
        <v/>
      </c>
    </row>
    <row r="1022">
      <c r="A1022" s="7" t="n"/>
      <c r="B1022" s="7" t="n"/>
      <c r="C1022" s="7" t="n"/>
      <c r="D1022" s="7" t="n"/>
      <c r="E1022" s="7" t="n"/>
      <c r="F1022" s="7" t="n"/>
      <c r="G1022" s="7" t="n"/>
      <c r="H1022" s="7" t="n"/>
      <c r="I1022" s="7" t="n"/>
      <c r="J1022" s="7" t="n"/>
      <c r="K1022" s="7" t="n"/>
      <c r="L1022" s="7" t="n"/>
      <c r="M1022" s="7" t="n"/>
      <c r="N1022" s="7" t="n"/>
      <c r="O1022" s="7" t="n"/>
      <c r="P1022" s="7" t="n"/>
      <c r="Q1022" s="7" t="n"/>
      <c r="R1022" s="7" t="n"/>
      <c r="S1022" s="7" t="n"/>
      <c r="T1022" s="7" t="n"/>
      <c r="U1022" s="7" t="n"/>
      <c r="V1022" s="7" t="n"/>
      <c r="W1022" s="7" t="n"/>
      <c r="X1022" s="7" t="n"/>
      <c r="Y1022" s="7" t="n"/>
      <c r="Z1022" s="7" t="n"/>
      <c r="AA1022" s="7" t="n"/>
      <c r="AB1022" s="7" t="n"/>
      <c r="AC1022" s="7" t="n"/>
      <c r="AD1022" s="7" t="n"/>
      <c r="AE1022" s="7" t="n"/>
      <c r="AF1022" s="7" t="n"/>
      <c r="AG1022" s="7" t="n"/>
      <c r="AH1022" s="7" t="n"/>
      <c r="AI1022" s="7" t="n"/>
      <c r="AJ1022" s="7" t="n"/>
      <c r="AK1022" s="7" t="n"/>
      <c r="AL1022" s="7" t="n"/>
      <c r="AM1022" s="7" t="n"/>
      <c r="AN1022" s="7" t="n"/>
      <c r="AO1022" s="7" t="n"/>
      <c r="AP1022" s="7" t="n"/>
      <c r="AQ1022" s="7" t="n"/>
      <c r="AR1022" s="7" t="n"/>
      <c r="AS1022" s="7" t="n"/>
      <c r="AT1022" s="7" t="n"/>
      <c r="AU1022" s="7" t="n"/>
      <c r="AV1022" s="7" t="n"/>
      <c r="AW1022" s="7" t="n"/>
      <c r="AX1022" s="7" t="n"/>
      <c r="AY1022" s="7" t="n"/>
      <c r="BA1022" s="42">
        <f>IF(COUNT(B1022:AY1022)=0,"",IF(TRIM(A1022)&lt;&gt;"",TRIM(A1022),IF(BA1021="","(geen naam)",BA1021)))</f>
        <v/>
      </c>
      <c r="BB1022" s="42">
        <f>IF(BA1022="","",IF(ISNA(MATCH(BA1022,BA$120:BA1021,0)),MAX(BB$120:BB1021)+1,""))</f>
        <v/>
      </c>
    </row>
    <row r="1023">
      <c r="A1023" s="7" t="n"/>
      <c r="B1023" s="7" t="n"/>
      <c r="C1023" s="7" t="n"/>
      <c r="D1023" s="7" t="n"/>
      <c r="E1023" s="7" t="n"/>
      <c r="F1023" s="7" t="n"/>
      <c r="G1023" s="7" t="n"/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/>
      <c r="Q1023" s="7" t="n"/>
      <c r="R1023" s="7" t="n"/>
      <c r="S1023" s="7" t="n"/>
      <c r="T1023" s="7" t="n"/>
      <c r="U1023" s="7" t="n"/>
      <c r="V1023" s="7" t="n"/>
      <c r="W1023" s="7" t="n"/>
      <c r="X1023" s="7" t="n"/>
      <c r="Y1023" s="7" t="n"/>
      <c r="Z1023" s="7" t="n"/>
      <c r="AA1023" s="7" t="n"/>
      <c r="AB1023" s="7" t="n"/>
      <c r="AC1023" s="7" t="n"/>
      <c r="AD1023" s="7" t="n"/>
      <c r="AE1023" s="7" t="n"/>
      <c r="AF1023" s="7" t="n"/>
      <c r="AG1023" s="7" t="n"/>
      <c r="AH1023" s="7" t="n"/>
      <c r="AI1023" s="7" t="n"/>
      <c r="AJ1023" s="7" t="n"/>
      <c r="AK1023" s="7" t="n"/>
      <c r="AL1023" s="7" t="n"/>
      <c r="AM1023" s="7" t="n"/>
      <c r="AN1023" s="7" t="n"/>
      <c r="AO1023" s="7" t="n"/>
      <c r="AP1023" s="7" t="n"/>
      <c r="AQ1023" s="7" t="n"/>
      <c r="AR1023" s="7" t="n"/>
      <c r="AS1023" s="7" t="n"/>
      <c r="AT1023" s="7" t="n"/>
      <c r="AU1023" s="7" t="n"/>
      <c r="AV1023" s="7" t="n"/>
      <c r="AW1023" s="7" t="n"/>
      <c r="AX1023" s="7" t="n"/>
      <c r="AY1023" s="7" t="n"/>
      <c r="BA1023" s="42">
        <f>IF(COUNT(B1023:AY1023)=0,"",IF(TRIM(A1023)&lt;&gt;"",TRIM(A1023),IF(BA1022="","(geen naam)",BA1022)))</f>
        <v/>
      </c>
      <c r="BB1023" s="42">
        <f>IF(BA1023="","",IF(ISNA(MATCH(BA1023,BA$120:BA1022,0)),MAX(BB$120:BB1022)+1,""))</f>
        <v/>
      </c>
    </row>
    <row r="1024">
      <c r="A1024" s="7" t="n"/>
      <c r="B1024" s="7" t="n"/>
      <c r="C1024" s="7" t="n"/>
      <c r="D1024" s="7" t="n"/>
      <c r="E1024" s="7" t="n"/>
      <c r="F1024" s="7" t="n"/>
      <c r="G1024" s="7" t="n"/>
      <c r="H1024" s="7" t="n"/>
      <c r="I1024" s="7" t="n"/>
      <c r="J1024" s="7" t="n"/>
      <c r="K1024" s="7" t="n"/>
      <c r="L1024" s="7" t="n"/>
      <c r="M1024" s="7" t="n"/>
      <c r="N1024" s="7" t="n"/>
      <c r="O1024" s="7" t="n"/>
      <c r="P1024" s="7" t="n"/>
      <c r="Q1024" s="7" t="n"/>
      <c r="R1024" s="7" t="n"/>
      <c r="S1024" s="7" t="n"/>
      <c r="T1024" s="7" t="n"/>
      <c r="U1024" s="7" t="n"/>
      <c r="V1024" s="7" t="n"/>
      <c r="W1024" s="7" t="n"/>
      <c r="X1024" s="7" t="n"/>
      <c r="Y1024" s="7" t="n"/>
      <c r="Z1024" s="7" t="n"/>
      <c r="AA1024" s="7" t="n"/>
      <c r="AB1024" s="7" t="n"/>
      <c r="AC1024" s="7" t="n"/>
      <c r="AD1024" s="7" t="n"/>
      <c r="AE1024" s="7" t="n"/>
      <c r="AF1024" s="7" t="n"/>
      <c r="AG1024" s="7" t="n"/>
      <c r="AH1024" s="7" t="n"/>
      <c r="AI1024" s="7" t="n"/>
      <c r="AJ1024" s="7" t="n"/>
      <c r="AK1024" s="7" t="n"/>
      <c r="AL1024" s="7" t="n"/>
      <c r="AM1024" s="7" t="n"/>
      <c r="AN1024" s="7" t="n"/>
      <c r="AO1024" s="7" t="n"/>
      <c r="AP1024" s="7" t="n"/>
      <c r="AQ1024" s="7" t="n"/>
      <c r="AR1024" s="7" t="n"/>
      <c r="AS1024" s="7" t="n"/>
      <c r="AT1024" s="7" t="n"/>
      <c r="AU1024" s="7" t="n"/>
      <c r="AV1024" s="7" t="n"/>
      <c r="AW1024" s="7" t="n"/>
      <c r="AX1024" s="7" t="n"/>
      <c r="AY1024" s="7" t="n"/>
      <c r="BA1024" s="42">
        <f>IF(COUNT(B1024:AY1024)=0,"",IF(TRIM(A1024)&lt;&gt;"",TRIM(A1024),IF(BA1023="","(geen naam)",BA1023)))</f>
        <v/>
      </c>
      <c r="BB1024" s="42">
        <f>IF(BA1024="","",IF(ISNA(MATCH(BA1024,BA$120:BA1023,0)),MAX(BB$120:BB1023)+1,""))</f>
        <v/>
      </c>
    </row>
    <row r="1025">
      <c r="A1025" s="7" t="n"/>
      <c r="B1025" s="7" t="n"/>
      <c r="C1025" s="7" t="n"/>
      <c r="D1025" s="7" t="n"/>
      <c r="E1025" s="7" t="n"/>
      <c r="F1025" s="7" t="n"/>
      <c r="G1025" s="7" t="n"/>
      <c r="H1025" s="7" t="n"/>
      <c r="I1025" s="7" t="n"/>
      <c r="J1025" s="7" t="n"/>
      <c r="K1025" s="7" t="n"/>
      <c r="L1025" s="7" t="n"/>
      <c r="M1025" s="7" t="n"/>
      <c r="N1025" s="7" t="n"/>
      <c r="O1025" s="7" t="n"/>
      <c r="P1025" s="7" t="n"/>
      <c r="Q1025" s="7" t="n"/>
      <c r="R1025" s="7" t="n"/>
      <c r="S1025" s="7" t="n"/>
      <c r="T1025" s="7" t="n"/>
      <c r="U1025" s="7" t="n"/>
      <c r="V1025" s="7" t="n"/>
      <c r="W1025" s="7" t="n"/>
      <c r="X1025" s="7" t="n"/>
      <c r="Y1025" s="7" t="n"/>
      <c r="Z1025" s="7" t="n"/>
      <c r="AA1025" s="7" t="n"/>
      <c r="AB1025" s="7" t="n"/>
      <c r="AC1025" s="7" t="n"/>
      <c r="AD1025" s="7" t="n"/>
      <c r="AE1025" s="7" t="n"/>
      <c r="AF1025" s="7" t="n"/>
      <c r="AG1025" s="7" t="n"/>
      <c r="AH1025" s="7" t="n"/>
      <c r="AI1025" s="7" t="n"/>
      <c r="AJ1025" s="7" t="n"/>
      <c r="AK1025" s="7" t="n"/>
      <c r="AL1025" s="7" t="n"/>
      <c r="AM1025" s="7" t="n"/>
      <c r="AN1025" s="7" t="n"/>
      <c r="AO1025" s="7" t="n"/>
      <c r="AP1025" s="7" t="n"/>
      <c r="AQ1025" s="7" t="n"/>
      <c r="AR1025" s="7" t="n"/>
      <c r="AS1025" s="7" t="n"/>
      <c r="AT1025" s="7" t="n"/>
      <c r="AU1025" s="7" t="n"/>
      <c r="AV1025" s="7" t="n"/>
      <c r="AW1025" s="7" t="n"/>
      <c r="AX1025" s="7" t="n"/>
      <c r="AY1025" s="7" t="n"/>
      <c r="BA1025" s="42">
        <f>IF(COUNT(B1025:AY1025)=0,"",IF(TRIM(A1025)&lt;&gt;"",TRIM(A1025),IF(BA1024="","(geen naam)",BA1024)))</f>
        <v/>
      </c>
      <c r="BB1025" s="42">
        <f>IF(BA1025="","",IF(ISNA(MATCH(BA1025,BA$120:BA1024,0)),MAX(BB$120:BB1024)+1,""))</f>
        <v/>
      </c>
    </row>
    <row r="1026">
      <c r="A1026" s="7" t="n"/>
      <c r="B1026" s="7" t="n"/>
      <c r="C1026" s="7" t="n"/>
      <c r="D1026" s="7" t="n"/>
      <c r="E1026" s="7" t="n"/>
      <c r="F1026" s="7" t="n"/>
      <c r="G1026" s="7" t="n"/>
      <c r="H1026" s="7" t="n"/>
      <c r="I1026" s="7" t="n"/>
      <c r="J1026" s="7" t="n"/>
      <c r="K1026" s="7" t="n"/>
      <c r="L1026" s="7" t="n"/>
      <c r="M1026" s="7" t="n"/>
      <c r="N1026" s="7" t="n"/>
      <c r="O1026" s="7" t="n"/>
      <c r="P1026" s="7" t="n"/>
      <c r="Q1026" s="7" t="n"/>
      <c r="R1026" s="7" t="n"/>
      <c r="S1026" s="7" t="n"/>
      <c r="T1026" s="7" t="n"/>
      <c r="U1026" s="7" t="n"/>
      <c r="V1026" s="7" t="n"/>
      <c r="W1026" s="7" t="n"/>
      <c r="X1026" s="7" t="n"/>
      <c r="Y1026" s="7" t="n"/>
      <c r="Z1026" s="7" t="n"/>
      <c r="AA1026" s="7" t="n"/>
      <c r="AB1026" s="7" t="n"/>
      <c r="AC1026" s="7" t="n"/>
      <c r="AD1026" s="7" t="n"/>
      <c r="AE1026" s="7" t="n"/>
      <c r="AF1026" s="7" t="n"/>
      <c r="AG1026" s="7" t="n"/>
      <c r="AH1026" s="7" t="n"/>
      <c r="AI1026" s="7" t="n"/>
      <c r="AJ1026" s="7" t="n"/>
      <c r="AK1026" s="7" t="n"/>
      <c r="AL1026" s="7" t="n"/>
      <c r="AM1026" s="7" t="n"/>
      <c r="AN1026" s="7" t="n"/>
      <c r="AO1026" s="7" t="n"/>
      <c r="AP1026" s="7" t="n"/>
      <c r="AQ1026" s="7" t="n"/>
      <c r="AR1026" s="7" t="n"/>
      <c r="AS1026" s="7" t="n"/>
      <c r="AT1026" s="7" t="n"/>
      <c r="AU1026" s="7" t="n"/>
      <c r="AV1026" s="7" t="n"/>
      <c r="AW1026" s="7" t="n"/>
      <c r="AX1026" s="7" t="n"/>
      <c r="AY1026" s="7" t="n"/>
      <c r="BA1026" s="42">
        <f>IF(COUNT(B1026:AY1026)=0,"",IF(TRIM(A1026)&lt;&gt;"",TRIM(A1026),IF(BA1025="","(geen naam)",BA1025)))</f>
        <v/>
      </c>
      <c r="BB1026" s="42">
        <f>IF(BA1026="","",IF(ISNA(MATCH(BA1026,BA$120:BA1025,0)),MAX(BB$120:BB1025)+1,""))</f>
        <v/>
      </c>
    </row>
    <row r="1027">
      <c r="A1027" s="7" t="n"/>
      <c r="B1027" s="7" t="n"/>
      <c r="C1027" s="7" t="n"/>
      <c r="D1027" s="7" t="n"/>
      <c r="E1027" s="7" t="n"/>
      <c r="F1027" s="7" t="n"/>
      <c r="G1027" s="7" t="n"/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/>
      <c r="Q1027" s="7" t="n"/>
      <c r="R1027" s="7" t="n"/>
      <c r="S1027" s="7" t="n"/>
      <c r="T1027" s="7" t="n"/>
      <c r="U1027" s="7" t="n"/>
      <c r="V1027" s="7" t="n"/>
      <c r="W1027" s="7" t="n"/>
      <c r="X1027" s="7" t="n"/>
      <c r="Y1027" s="7" t="n"/>
      <c r="Z1027" s="7" t="n"/>
      <c r="AA1027" s="7" t="n"/>
      <c r="AB1027" s="7" t="n"/>
      <c r="AC1027" s="7" t="n"/>
      <c r="AD1027" s="7" t="n"/>
      <c r="AE1027" s="7" t="n"/>
      <c r="AF1027" s="7" t="n"/>
      <c r="AG1027" s="7" t="n"/>
      <c r="AH1027" s="7" t="n"/>
      <c r="AI1027" s="7" t="n"/>
      <c r="AJ1027" s="7" t="n"/>
      <c r="AK1027" s="7" t="n"/>
      <c r="AL1027" s="7" t="n"/>
      <c r="AM1027" s="7" t="n"/>
      <c r="AN1027" s="7" t="n"/>
      <c r="AO1027" s="7" t="n"/>
      <c r="AP1027" s="7" t="n"/>
      <c r="AQ1027" s="7" t="n"/>
      <c r="AR1027" s="7" t="n"/>
      <c r="AS1027" s="7" t="n"/>
      <c r="AT1027" s="7" t="n"/>
      <c r="AU1027" s="7" t="n"/>
      <c r="AV1027" s="7" t="n"/>
      <c r="AW1027" s="7" t="n"/>
      <c r="AX1027" s="7" t="n"/>
      <c r="AY1027" s="7" t="n"/>
      <c r="BA1027" s="42">
        <f>IF(COUNT(B1027:AY1027)=0,"",IF(TRIM(A1027)&lt;&gt;"",TRIM(A1027),IF(BA1026="","(geen naam)",BA1026)))</f>
        <v/>
      </c>
      <c r="BB1027" s="42">
        <f>IF(BA1027="","",IF(ISNA(MATCH(BA1027,BA$120:BA1026,0)),MAX(BB$120:BB1026)+1,""))</f>
        <v/>
      </c>
    </row>
    <row r="1028">
      <c r="A1028" s="7" t="n"/>
      <c r="B1028" s="7" t="n"/>
      <c r="C1028" s="7" t="n"/>
      <c r="D1028" s="7" t="n"/>
      <c r="E1028" s="7" t="n"/>
      <c r="F1028" s="7" t="n"/>
      <c r="G1028" s="7" t="n"/>
      <c r="H1028" s="7" t="n"/>
      <c r="I1028" s="7" t="n"/>
      <c r="J1028" s="7" t="n"/>
      <c r="K1028" s="7" t="n"/>
      <c r="L1028" s="7" t="n"/>
      <c r="M1028" s="7" t="n"/>
      <c r="N1028" s="7" t="n"/>
      <c r="O1028" s="7" t="n"/>
      <c r="P1028" s="7" t="n"/>
      <c r="Q1028" s="7" t="n"/>
      <c r="R1028" s="7" t="n"/>
      <c r="S1028" s="7" t="n"/>
      <c r="T1028" s="7" t="n"/>
      <c r="U1028" s="7" t="n"/>
      <c r="V1028" s="7" t="n"/>
      <c r="W1028" s="7" t="n"/>
      <c r="X1028" s="7" t="n"/>
      <c r="Y1028" s="7" t="n"/>
      <c r="Z1028" s="7" t="n"/>
      <c r="AA1028" s="7" t="n"/>
      <c r="AB1028" s="7" t="n"/>
      <c r="AC1028" s="7" t="n"/>
      <c r="AD1028" s="7" t="n"/>
      <c r="AE1028" s="7" t="n"/>
      <c r="AF1028" s="7" t="n"/>
      <c r="AG1028" s="7" t="n"/>
      <c r="AH1028" s="7" t="n"/>
      <c r="AI1028" s="7" t="n"/>
      <c r="AJ1028" s="7" t="n"/>
      <c r="AK1028" s="7" t="n"/>
      <c r="AL1028" s="7" t="n"/>
      <c r="AM1028" s="7" t="n"/>
      <c r="AN1028" s="7" t="n"/>
      <c r="AO1028" s="7" t="n"/>
      <c r="AP1028" s="7" t="n"/>
      <c r="AQ1028" s="7" t="n"/>
      <c r="AR1028" s="7" t="n"/>
      <c r="AS1028" s="7" t="n"/>
      <c r="AT1028" s="7" t="n"/>
      <c r="AU1028" s="7" t="n"/>
      <c r="AV1028" s="7" t="n"/>
      <c r="AW1028" s="7" t="n"/>
      <c r="AX1028" s="7" t="n"/>
      <c r="AY1028" s="7" t="n"/>
      <c r="BA1028" s="42">
        <f>IF(COUNT(B1028:AY1028)=0,"",IF(TRIM(A1028)&lt;&gt;"",TRIM(A1028),IF(BA1027="","(geen naam)",BA1027)))</f>
        <v/>
      </c>
      <c r="BB1028" s="42">
        <f>IF(BA1028="","",IF(ISNA(MATCH(BA1028,BA$120:BA1027,0)),MAX(BB$120:BB1027)+1,""))</f>
        <v/>
      </c>
    </row>
    <row r="1029">
      <c r="A1029" s="7" t="n"/>
      <c r="B1029" s="7" t="n"/>
      <c r="C1029" s="7" t="n"/>
      <c r="D1029" s="7" t="n"/>
      <c r="E1029" s="7" t="n"/>
      <c r="F1029" s="7" t="n"/>
      <c r="G1029" s="7" t="n"/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/>
      <c r="Q1029" s="7" t="n"/>
      <c r="R1029" s="7" t="n"/>
      <c r="S1029" s="7" t="n"/>
      <c r="T1029" s="7" t="n"/>
      <c r="U1029" s="7" t="n"/>
      <c r="V1029" s="7" t="n"/>
      <c r="W1029" s="7" t="n"/>
      <c r="X1029" s="7" t="n"/>
      <c r="Y1029" s="7" t="n"/>
      <c r="Z1029" s="7" t="n"/>
      <c r="AA1029" s="7" t="n"/>
      <c r="AB1029" s="7" t="n"/>
      <c r="AC1029" s="7" t="n"/>
      <c r="AD1029" s="7" t="n"/>
      <c r="AE1029" s="7" t="n"/>
      <c r="AF1029" s="7" t="n"/>
      <c r="AG1029" s="7" t="n"/>
      <c r="AH1029" s="7" t="n"/>
      <c r="AI1029" s="7" t="n"/>
      <c r="AJ1029" s="7" t="n"/>
      <c r="AK1029" s="7" t="n"/>
      <c r="AL1029" s="7" t="n"/>
      <c r="AM1029" s="7" t="n"/>
      <c r="AN1029" s="7" t="n"/>
      <c r="AO1029" s="7" t="n"/>
      <c r="AP1029" s="7" t="n"/>
      <c r="AQ1029" s="7" t="n"/>
      <c r="AR1029" s="7" t="n"/>
      <c r="AS1029" s="7" t="n"/>
      <c r="AT1029" s="7" t="n"/>
      <c r="AU1029" s="7" t="n"/>
      <c r="AV1029" s="7" t="n"/>
      <c r="AW1029" s="7" t="n"/>
      <c r="AX1029" s="7" t="n"/>
      <c r="AY1029" s="7" t="n"/>
      <c r="BA1029" s="42">
        <f>IF(COUNT(B1029:AY1029)=0,"",IF(TRIM(A1029)&lt;&gt;"",TRIM(A1029),IF(BA1028="","(geen naam)",BA1028)))</f>
        <v/>
      </c>
      <c r="BB1029" s="42">
        <f>IF(BA1029="","",IF(ISNA(MATCH(BA1029,BA$120:BA1028,0)),MAX(BB$120:BB1028)+1,""))</f>
        <v/>
      </c>
    </row>
    <row r="1030">
      <c r="A1030" s="7" t="n"/>
      <c r="B1030" s="7" t="n"/>
      <c r="C1030" s="7" t="n"/>
      <c r="D1030" s="7" t="n"/>
      <c r="E1030" s="7" t="n"/>
      <c r="F1030" s="7" t="n"/>
      <c r="G1030" s="7" t="n"/>
      <c r="H1030" s="7" t="n"/>
      <c r="I1030" s="7" t="n"/>
      <c r="J1030" s="7" t="n"/>
      <c r="K1030" s="7" t="n"/>
      <c r="L1030" s="7" t="n"/>
      <c r="M1030" s="7" t="n"/>
      <c r="N1030" s="7" t="n"/>
      <c r="O1030" s="7" t="n"/>
      <c r="P1030" s="7" t="n"/>
      <c r="Q1030" s="7" t="n"/>
      <c r="R1030" s="7" t="n"/>
      <c r="S1030" s="7" t="n"/>
      <c r="T1030" s="7" t="n"/>
      <c r="U1030" s="7" t="n"/>
      <c r="V1030" s="7" t="n"/>
      <c r="W1030" s="7" t="n"/>
      <c r="X1030" s="7" t="n"/>
      <c r="Y1030" s="7" t="n"/>
      <c r="Z1030" s="7" t="n"/>
      <c r="AA1030" s="7" t="n"/>
      <c r="AB1030" s="7" t="n"/>
      <c r="AC1030" s="7" t="n"/>
      <c r="AD1030" s="7" t="n"/>
      <c r="AE1030" s="7" t="n"/>
      <c r="AF1030" s="7" t="n"/>
      <c r="AG1030" s="7" t="n"/>
      <c r="AH1030" s="7" t="n"/>
      <c r="AI1030" s="7" t="n"/>
      <c r="AJ1030" s="7" t="n"/>
      <c r="AK1030" s="7" t="n"/>
      <c r="AL1030" s="7" t="n"/>
      <c r="AM1030" s="7" t="n"/>
      <c r="AN1030" s="7" t="n"/>
      <c r="AO1030" s="7" t="n"/>
      <c r="AP1030" s="7" t="n"/>
      <c r="AQ1030" s="7" t="n"/>
      <c r="AR1030" s="7" t="n"/>
      <c r="AS1030" s="7" t="n"/>
      <c r="AT1030" s="7" t="n"/>
      <c r="AU1030" s="7" t="n"/>
      <c r="AV1030" s="7" t="n"/>
      <c r="AW1030" s="7" t="n"/>
      <c r="AX1030" s="7" t="n"/>
      <c r="AY1030" s="7" t="n"/>
      <c r="BA1030" s="42">
        <f>IF(COUNT(B1030:AY1030)=0,"",IF(TRIM(A1030)&lt;&gt;"",TRIM(A1030),IF(BA1029="","(geen naam)",BA1029)))</f>
        <v/>
      </c>
      <c r="BB1030" s="42">
        <f>IF(BA1030="","",IF(ISNA(MATCH(BA1030,BA$120:BA1029,0)),MAX(BB$120:BB1029)+1,""))</f>
        <v/>
      </c>
    </row>
    <row r="1031">
      <c r="A1031" s="7" t="n"/>
      <c r="B1031" s="7" t="n"/>
      <c r="C1031" s="7" t="n"/>
      <c r="D1031" s="7" t="n"/>
      <c r="E1031" s="7" t="n"/>
      <c r="F1031" s="7" t="n"/>
      <c r="G1031" s="7" t="n"/>
      <c r="H1031" s="7" t="n"/>
      <c r="I1031" s="7" t="n"/>
      <c r="J1031" s="7" t="n"/>
      <c r="K1031" s="7" t="n"/>
      <c r="L1031" s="7" t="n"/>
      <c r="M1031" s="7" t="n"/>
      <c r="N1031" s="7" t="n"/>
      <c r="O1031" s="7" t="n"/>
      <c r="P1031" s="7" t="n"/>
      <c r="Q1031" s="7" t="n"/>
      <c r="R1031" s="7" t="n"/>
      <c r="S1031" s="7" t="n"/>
      <c r="T1031" s="7" t="n"/>
      <c r="U1031" s="7" t="n"/>
      <c r="V1031" s="7" t="n"/>
      <c r="W1031" s="7" t="n"/>
      <c r="X1031" s="7" t="n"/>
      <c r="Y1031" s="7" t="n"/>
      <c r="Z1031" s="7" t="n"/>
      <c r="AA1031" s="7" t="n"/>
      <c r="AB1031" s="7" t="n"/>
      <c r="AC1031" s="7" t="n"/>
      <c r="AD1031" s="7" t="n"/>
      <c r="AE1031" s="7" t="n"/>
      <c r="AF1031" s="7" t="n"/>
      <c r="AG1031" s="7" t="n"/>
      <c r="AH1031" s="7" t="n"/>
      <c r="AI1031" s="7" t="n"/>
      <c r="AJ1031" s="7" t="n"/>
      <c r="AK1031" s="7" t="n"/>
      <c r="AL1031" s="7" t="n"/>
      <c r="AM1031" s="7" t="n"/>
      <c r="AN1031" s="7" t="n"/>
      <c r="AO1031" s="7" t="n"/>
      <c r="AP1031" s="7" t="n"/>
      <c r="AQ1031" s="7" t="n"/>
      <c r="AR1031" s="7" t="n"/>
      <c r="AS1031" s="7" t="n"/>
      <c r="AT1031" s="7" t="n"/>
      <c r="AU1031" s="7" t="n"/>
      <c r="AV1031" s="7" t="n"/>
      <c r="AW1031" s="7" t="n"/>
      <c r="AX1031" s="7" t="n"/>
      <c r="AY1031" s="7" t="n"/>
      <c r="BA1031" s="42">
        <f>IF(COUNT(B1031:AY1031)=0,"",IF(TRIM(A1031)&lt;&gt;"",TRIM(A1031),IF(BA1030="","(geen naam)",BA1030)))</f>
        <v/>
      </c>
      <c r="BB1031" s="42">
        <f>IF(BA1031="","",IF(ISNA(MATCH(BA1031,BA$120:BA1030,0)),MAX(BB$120:BB1030)+1,""))</f>
        <v/>
      </c>
    </row>
    <row r="1032">
      <c r="A1032" s="7" t="n"/>
      <c r="B1032" s="7" t="n"/>
      <c r="C1032" s="7" t="n"/>
      <c r="D1032" s="7" t="n"/>
      <c r="E1032" s="7" t="n"/>
      <c r="F1032" s="7" t="n"/>
      <c r="G1032" s="7" t="n"/>
      <c r="H1032" s="7" t="n"/>
      <c r="I1032" s="7" t="n"/>
      <c r="J1032" s="7" t="n"/>
      <c r="K1032" s="7" t="n"/>
      <c r="L1032" s="7" t="n"/>
      <c r="M1032" s="7" t="n"/>
      <c r="N1032" s="7" t="n"/>
      <c r="O1032" s="7" t="n"/>
      <c r="P1032" s="7" t="n"/>
      <c r="Q1032" s="7" t="n"/>
      <c r="R1032" s="7" t="n"/>
      <c r="S1032" s="7" t="n"/>
      <c r="T1032" s="7" t="n"/>
      <c r="U1032" s="7" t="n"/>
      <c r="V1032" s="7" t="n"/>
      <c r="W1032" s="7" t="n"/>
      <c r="X1032" s="7" t="n"/>
      <c r="Y1032" s="7" t="n"/>
      <c r="Z1032" s="7" t="n"/>
      <c r="AA1032" s="7" t="n"/>
      <c r="AB1032" s="7" t="n"/>
      <c r="AC1032" s="7" t="n"/>
      <c r="AD1032" s="7" t="n"/>
      <c r="AE1032" s="7" t="n"/>
      <c r="AF1032" s="7" t="n"/>
      <c r="AG1032" s="7" t="n"/>
      <c r="AH1032" s="7" t="n"/>
      <c r="AI1032" s="7" t="n"/>
      <c r="AJ1032" s="7" t="n"/>
      <c r="AK1032" s="7" t="n"/>
      <c r="AL1032" s="7" t="n"/>
      <c r="AM1032" s="7" t="n"/>
      <c r="AN1032" s="7" t="n"/>
      <c r="AO1032" s="7" t="n"/>
      <c r="AP1032" s="7" t="n"/>
      <c r="AQ1032" s="7" t="n"/>
      <c r="AR1032" s="7" t="n"/>
      <c r="AS1032" s="7" t="n"/>
      <c r="AT1032" s="7" t="n"/>
      <c r="AU1032" s="7" t="n"/>
      <c r="AV1032" s="7" t="n"/>
      <c r="AW1032" s="7" t="n"/>
      <c r="AX1032" s="7" t="n"/>
      <c r="AY1032" s="7" t="n"/>
      <c r="BA1032" s="42">
        <f>IF(COUNT(B1032:AY1032)=0,"",IF(TRIM(A1032)&lt;&gt;"",TRIM(A1032),IF(BA1031="","(geen naam)",BA1031)))</f>
        <v/>
      </c>
      <c r="BB1032" s="42">
        <f>IF(BA1032="","",IF(ISNA(MATCH(BA1032,BA$120:BA1031,0)),MAX(BB$120:BB1031)+1,""))</f>
        <v/>
      </c>
    </row>
    <row r="1033">
      <c r="A1033" s="7" t="n"/>
      <c r="B1033" s="7" t="n"/>
      <c r="C1033" s="7" t="n"/>
      <c r="D1033" s="7" t="n"/>
      <c r="E1033" s="7" t="n"/>
      <c r="F1033" s="7" t="n"/>
      <c r="G1033" s="7" t="n"/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/>
      <c r="Q1033" s="7" t="n"/>
      <c r="R1033" s="7" t="n"/>
      <c r="S1033" s="7" t="n"/>
      <c r="T1033" s="7" t="n"/>
      <c r="U1033" s="7" t="n"/>
      <c r="V1033" s="7" t="n"/>
      <c r="W1033" s="7" t="n"/>
      <c r="X1033" s="7" t="n"/>
      <c r="Y1033" s="7" t="n"/>
      <c r="Z1033" s="7" t="n"/>
      <c r="AA1033" s="7" t="n"/>
      <c r="AB1033" s="7" t="n"/>
      <c r="AC1033" s="7" t="n"/>
      <c r="AD1033" s="7" t="n"/>
      <c r="AE1033" s="7" t="n"/>
      <c r="AF1033" s="7" t="n"/>
      <c r="AG1033" s="7" t="n"/>
      <c r="AH1033" s="7" t="n"/>
      <c r="AI1033" s="7" t="n"/>
      <c r="AJ1033" s="7" t="n"/>
      <c r="AK1033" s="7" t="n"/>
      <c r="AL1033" s="7" t="n"/>
      <c r="AM1033" s="7" t="n"/>
      <c r="AN1033" s="7" t="n"/>
      <c r="AO1033" s="7" t="n"/>
      <c r="AP1033" s="7" t="n"/>
      <c r="AQ1033" s="7" t="n"/>
      <c r="AR1033" s="7" t="n"/>
      <c r="AS1033" s="7" t="n"/>
      <c r="AT1033" s="7" t="n"/>
      <c r="AU1033" s="7" t="n"/>
      <c r="AV1033" s="7" t="n"/>
      <c r="AW1033" s="7" t="n"/>
      <c r="AX1033" s="7" t="n"/>
      <c r="AY1033" s="7" t="n"/>
      <c r="BA1033" s="42">
        <f>IF(COUNT(B1033:AY1033)=0,"",IF(TRIM(A1033)&lt;&gt;"",TRIM(A1033),IF(BA1032="","(geen naam)",BA1032)))</f>
        <v/>
      </c>
      <c r="BB1033" s="42">
        <f>IF(BA1033="","",IF(ISNA(MATCH(BA1033,BA$120:BA1032,0)),MAX(BB$120:BB1032)+1,""))</f>
        <v/>
      </c>
    </row>
    <row r="1034">
      <c r="A1034" s="7" t="n"/>
      <c r="B1034" s="7" t="n"/>
      <c r="C1034" s="7" t="n"/>
      <c r="D1034" s="7" t="n"/>
      <c r="E1034" s="7" t="n"/>
      <c r="F1034" s="7" t="n"/>
      <c r="G1034" s="7" t="n"/>
      <c r="H1034" s="7" t="n"/>
      <c r="I1034" s="7" t="n"/>
      <c r="J1034" s="7" t="n"/>
      <c r="K1034" s="7" t="n"/>
      <c r="L1034" s="7" t="n"/>
      <c r="M1034" s="7" t="n"/>
      <c r="N1034" s="7" t="n"/>
      <c r="O1034" s="7" t="n"/>
      <c r="P1034" s="7" t="n"/>
      <c r="Q1034" s="7" t="n"/>
      <c r="R1034" s="7" t="n"/>
      <c r="S1034" s="7" t="n"/>
      <c r="T1034" s="7" t="n"/>
      <c r="U1034" s="7" t="n"/>
      <c r="V1034" s="7" t="n"/>
      <c r="W1034" s="7" t="n"/>
      <c r="X1034" s="7" t="n"/>
      <c r="Y1034" s="7" t="n"/>
      <c r="Z1034" s="7" t="n"/>
      <c r="AA1034" s="7" t="n"/>
      <c r="AB1034" s="7" t="n"/>
      <c r="AC1034" s="7" t="n"/>
      <c r="AD1034" s="7" t="n"/>
      <c r="AE1034" s="7" t="n"/>
      <c r="AF1034" s="7" t="n"/>
      <c r="AG1034" s="7" t="n"/>
      <c r="AH1034" s="7" t="n"/>
      <c r="AI1034" s="7" t="n"/>
      <c r="AJ1034" s="7" t="n"/>
      <c r="AK1034" s="7" t="n"/>
      <c r="AL1034" s="7" t="n"/>
      <c r="AM1034" s="7" t="n"/>
      <c r="AN1034" s="7" t="n"/>
      <c r="AO1034" s="7" t="n"/>
      <c r="AP1034" s="7" t="n"/>
      <c r="AQ1034" s="7" t="n"/>
      <c r="AR1034" s="7" t="n"/>
      <c r="AS1034" s="7" t="n"/>
      <c r="AT1034" s="7" t="n"/>
      <c r="AU1034" s="7" t="n"/>
      <c r="AV1034" s="7" t="n"/>
      <c r="AW1034" s="7" t="n"/>
      <c r="AX1034" s="7" t="n"/>
      <c r="AY1034" s="7" t="n"/>
      <c r="BA1034" s="42">
        <f>IF(COUNT(B1034:AY1034)=0,"",IF(TRIM(A1034)&lt;&gt;"",TRIM(A1034),IF(BA1033="","(geen naam)",BA1033)))</f>
        <v/>
      </c>
      <c r="BB1034" s="42">
        <f>IF(BA1034="","",IF(ISNA(MATCH(BA1034,BA$120:BA1033,0)),MAX(BB$120:BB1033)+1,""))</f>
        <v/>
      </c>
    </row>
    <row r="1035">
      <c r="A1035" s="7" t="n"/>
      <c r="B1035" s="7" t="n"/>
      <c r="C1035" s="7" t="n"/>
      <c r="D1035" s="7" t="n"/>
      <c r="E1035" s="7" t="n"/>
      <c r="F1035" s="7" t="n"/>
      <c r="G1035" s="7" t="n"/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/>
      <c r="Q1035" s="7" t="n"/>
      <c r="R1035" s="7" t="n"/>
      <c r="S1035" s="7" t="n"/>
      <c r="T1035" s="7" t="n"/>
      <c r="U1035" s="7" t="n"/>
      <c r="V1035" s="7" t="n"/>
      <c r="W1035" s="7" t="n"/>
      <c r="X1035" s="7" t="n"/>
      <c r="Y1035" s="7" t="n"/>
      <c r="Z1035" s="7" t="n"/>
      <c r="AA1035" s="7" t="n"/>
      <c r="AB1035" s="7" t="n"/>
      <c r="AC1035" s="7" t="n"/>
      <c r="AD1035" s="7" t="n"/>
      <c r="AE1035" s="7" t="n"/>
      <c r="AF1035" s="7" t="n"/>
      <c r="AG1035" s="7" t="n"/>
      <c r="AH1035" s="7" t="n"/>
      <c r="AI1035" s="7" t="n"/>
      <c r="AJ1035" s="7" t="n"/>
      <c r="AK1035" s="7" t="n"/>
      <c r="AL1035" s="7" t="n"/>
      <c r="AM1035" s="7" t="n"/>
      <c r="AN1035" s="7" t="n"/>
      <c r="AO1035" s="7" t="n"/>
      <c r="AP1035" s="7" t="n"/>
      <c r="AQ1035" s="7" t="n"/>
      <c r="AR1035" s="7" t="n"/>
      <c r="AS1035" s="7" t="n"/>
      <c r="AT1035" s="7" t="n"/>
      <c r="AU1035" s="7" t="n"/>
      <c r="AV1035" s="7" t="n"/>
      <c r="AW1035" s="7" t="n"/>
      <c r="AX1035" s="7" t="n"/>
      <c r="AY1035" s="7" t="n"/>
      <c r="BA1035" s="42">
        <f>IF(COUNT(B1035:AY1035)=0,"",IF(TRIM(A1035)&lt;&gt;"",TRIM(A1035),IF(BA1034="","(geen naam)",BA1034)))</f>
        <v/>
      </c>
      <c r="BB1035" s="42">
        <f>IF(BA1035="","",IF(ISNA(MATCH(BA1035,BA$120:BA1034,0)),MAX(BB$120:BB1034)+1,""))</f>
        <v/>
      </c>
    </row>
    <row r="1036">
      <c r="A1036" s="7" t="n"/>
      <c r="B1036" s="7" t="n"/>
      <c r="C1036" s="7" t="n"/>
      <c r="D1036" s="7" t="n"/>
      <c r="E1036" s="7" t="n"/>
      <c r="F1036" s="7" t="n"/>
      <c r="G1036" s="7" t="n"/>
      <c r="H1036" s="7" t="n"/>
      <c r="I1036" s="7" t="n"/>
      <c r="J1036" s="7" t="n"/>
      <c r="K1036" s="7" t="n"/>
      <c r="L1036" s="7" t="n"/>
      <c r="M1036" s="7" t="n"/>
      <c r="N1036" s="7" t="n"/>
      <c r="O1036" s="7" t="n"/>
      <c r="P1036" s="7" t="n"/>
      <c r="Q1036" s="7" t="n"/>
      <c r="R1036" s="7" t="n"/>
      <c r="S1036" s="7" t="n"/>
      <c r="T1036" s="7" t="n"/>
      <c r="U1036" s="7" t="n"/>
      <c r="V1036" s="7" t="n"/>
      <c r="W1036" s="7" t="n"/>
      <c r="X1036" s="7" t="n"/>
      <c r="Y1036" s="7" t="n"/>
      <c r="Z1036" s="7" t="n"/>
      <c r="AA1036" s="7" t="n"/>
      <c r="AB1036" s="7" t="n"/>
      <c r="AC1036" s="7" t="n"/>
      <c r="AD1036" s="7" t="n"/>
      <c r="AE1036" s="7" t="n"/>
      <c r="AF1036" s="7" t="n"/>
      <c r="AG1036" s="7" t="n"/>
      <c r="AH1036" s="7" t="n"/>
      <c r="AI1036" s="7" t="n"/>
      <c r="AJ1036" s="7" t="n"/>
      <c r="AK1036" s="7" t="n"/>
      <c r="AL1036" s="7" t="n"/>
      <c r="AM1036" s="7" t="n"/>
      <c r="AN1036" s="7" t="n"/>
      <c r="AO1036" s="7" t="n"/>
      <c r="AP1036" s="7" t="n"/>
      <c r="AQ1036" s="7" t="n"/>
      <c r="AR1036" s="7" t="n"/>
      <c r="AS1036" s="7" t="n"/>
      <c r="AT1036" s="7" t="n"/>
      <c r="AU1036" s="7" t="n"/>
      <c r="AV1036" s="7" t="n"/>
      <c r="AW1036" s="7" t="n"/>
      <c r="AX1036" s="7" t="n"/>
      <c r="AY1036" s="7" t="n"/>
      <c r="BA1036" s="42">
        <f>IF(COUNT(B1036:AY1036)=0,"",IF(TRIM(A1036)&lt;&gt;"",TRIM(A1036),IF(BA1035="","(geen naam)",BA1035)))</f>
        <v/>
      </c>
      <c r="BB1036" s="42">
        <f>IF(BA1036="","",IF(ISNA(MATCH(BA1036,BA$120:BA1035,0)),MAX(BB$120:BB1035)+1,""))</f>
        <v/>
      </c>
    </row>
    <row r="1037">
      <c r="A1037" s="7" t="n"/>
      <c r="B1037" s="7" t="n"/>
      <c r="C1037" s="7" t="n"/>
      <c r="D1037" s="7" t="n"/>
      <c r="E1037" s="7" t="n"/>
      <c r="F1037" s="7" t="n"/>
      <c r="G1037" s="7" t="n"/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/>
      <c r="Q1037" s="7" t="n"/>
      <c r="R1037" s="7" t="n"/>
      <c r="S1037" s="7" t="n"/>
      <c r="T1037" s="7" t="n"/>
      <c r="U1037" s="7" t="n"/>
      <c r="V1037" s="7" t="n"/>
      <c r="W1037" s="7" t="n"/>
      <c r="X1037" s="7" t="n"/>
      <c r="Y1037" s="7" t="n"/>
      <c r="Z1037" s="7" t="n"/>
      <c r="AA1037" s="7" t="n"/>
      <c r="AB1037" s="7" t="n"/>
      <c r="AC1037" s="7" t="n"/>
      <c r="AD1037" s="7" t="n"/>
      <c r="AE1037" s="7" t="n"/>
      <c r="AF1037" s="7" t="n"/>
      <c r="AG1037" s="7" t="n"/>
      <c r="AH1037" s="7" t="n"/>
      <c r="AI1037" s="7" t="n"/>
      <c r="AJ1037" s="7" t="n"/>
      <c r="AK1037" s="7" t="n"/>
      <c r="AL1037" s="7" t="n"/>
      <c r="AM1037" s="7" t="n"/>
      <c r="AN1037" s="7" t="n"/>
      <c r="AO1037" s="7" t="n"/>
      <c r="AP1037" s="7" t="n"/>
      <c r="AQ1037" s="7" t="n"/>
      <c r="AR1037" s="7" t="n"/>
      <c r="AS1037" s="7" t="n"/>
      <c r="AT1037" s="7" t="n"/>
      <c r="AU1037" s="7" t="n"/>
      <c r="AV1037" s="7" t="n"/>
      <c r="AW1037" s="7" t="n"/>
      <c r="AX1037" s="7" t="n"/>
      <c r="AY1037" s="7" t="n"/>
      <c r="BA1037" s="42">
        <f>IF(COUNT(B1037:AY1037)=0,"",IF(TRIM(A1037)&lt;&gt;"",TRIM(A1037),IF(BA1036="","(geen naam)",BA1036)))</f>
        <v/>
      </c>
      <c r="BB1037" s="42">
        <f>IF(BA1037="","",IF(ISNA(MATCH(BA1037,BA$120:BA1036,0)),MAX(BB$120:BB1036)+1,""))</f>
        <v/>
      </c>
    </row>
    <row r="1038">
      <c r="A1038" s="7" t="n"/>
      <c r="B1038" s="7" t="n"/>
      <c r="C1038" s="7" t="n"/>
      <c r="D1038" s="7" t="n"/>
      <c r="E1038" s="7" t="n"/>
      <c r="F1038" s="7" t="n"/>
      <c r="G1038" s="7" t="n"/>
      <c r="H1038" s="7" t="n"/>
      <c r="I1038" s="7" t="n"/>
      <c r="J1038" s="7" t="n"/>
      <c r="K1038" s="7" t="n"/>
      <c r="L1038" s="7" t="n"/>
      <c r="M1038" s="7" t="n"/>
      <c r="N1038" s="7" t="n"/>
      <c r="O1038" s="7" t="n"/>
      <c r="P1038" s="7" t="n"/>
      <c r="Q1038" s="7" t="n"/>
      <c r="R1038" s="7" t="n"/>
      <c r="S1038" s="7" t="n"/>
      <c r="T1038" s="7" t="n"/>
      <c r="U1038" s="7" t="n"/>
      <c r="V1038" s="7" t="n"/>
      <c r="W1038" s="7" t="n"/>
      <c r="X1038" s="7" t="n"/>
      <c r="Y1038" s="7" t="n"/>
      <c r="Z1038" s="7" t="n"/>
      <c r="AA1038" s="7" t="n"/>
      <c r="AB1038" s="7" t="n"/>
      <c r="AC1038" s="7" t="n"/>
      <c r="AD1038" s="7" t="n"/>
      <c r="AE1038" s="7" t="n"/>
      <c r="AF1038" s="7" t="n"/>
      <c r="AG1038" s="7" t="n"/>
      <c r="AH1038" s="7" t="n"/>
      <c r="AI1038" s="7" t="n"/>
      <c r="AJ1038" s="7" t="n"/>
      <c r="AK1038" s="7" t="n"/>
      <c r="AL1038" s="7" t="n"/>
      <c r="AM1038" s="7" t="n"/>
      <c r="AN1038" s="7" t="n"/>
      <c r="AO1038" s="7" t="n"/>
      <c r="AP1038" s="7" t="n"/>
      <c r="AQ1038" s="7" t="n"/>
      <c r="AR1038" s="7" t="n"/>
      <c r="AS1038" s="7" t="n"/>
      <c r="AT1038" s="7" t="n"/>
      <c r="AU1038" s="7" t="n"/>
      <c r="AV1038" s="7" t="n"/>
      <c r="AW1038" s="7" t="n"/>
      <c r="AX1038" s="7" t="n"/>
      <c r="AY1038" s="7" t="n"/>
      <c r="BA1038" s="42">
        <f>IF(COUNT(B1038:AY1038)=0,"",IF(TRIM(A1038)&lt;&gt;"",TRIM(A1038),IF(BA1037="","(geen naam)",BA1037)))</f>
        <v/>
      </c>
      <c r="BB1038" s="42">
        <f>IF(BA1038="","",IF(ISNA(MATCH(BA1038,BA$120:BA1037,0)),MAX(BB$120:BB1037)+1,""))</f>
        <v/>
      </c>
    </row>
    <row r="1039">
      <c r="A1039" s="7" t="n"/>
      <c r="B1039" s="7" t="n"/>
      <c r="C1039" s="7" t="n"/>
      <c r="D1039" s="7" t="n"/>
      <c r="E1039" s="7" t="n"/>
      <c r="F1039" s="7" t="n"/>
      <c r="G1039" s="7" t="n"/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/>
      <c r="Q1039" s="7" t="n"/>
      <c r="R1039" s="7" t="n"/>
      <c r="S1039" s="7" t="n"/>
      <c r="T1039" s="7" t="n"/>
      <c r="U1039" s="7" t="n"/>
      <c r="V1039" s="7" t="n"/>
      <c r="W1039" s="7" t="n"/>
      <c r="X1039" s="7" t="n"/>
      <c r="Y1039" s="7" t="n"/>
      <c r="Z1039" s="7" t="n"/>
      <c r="AA1039" s="7" t="n"/>
      <c r="AB1039" s="7" t="n"/>
      <c r="AC1039" s="7" t="n"/>
      <c r="AD1039" s="7" t="n"/>
      <c r="AE1039" s="7" t="n"/>
      <c r="AF1039" s="7" t="n"/>
      <c r="AG1039" s="7" t="n"/>
      <c r="AH1039" s="7" t="n"/>
      <c r="AI1039" s="7" t="n"/>
      <c r="AJ1039" s="7" t="n"/>
      <c r="AK1039" s="7" t="n"/>
      <c r="AL1039" s="7" t="n"/>
      <c r="AM1039" s="7" t="n"/>
      <c r="AN1039" s="7" t="n"/>
      <c r="AO1039" s="7" t="n"/>
      <c r="AP1039" s="7" t="n"/>
      <c r="AQ1039" s="7" t="n"/>
      <c r="AR1039" s="7" t="n"/>
      <c r="AS1039" s="7" t="n"/>
      <c r="AT1039" s="7" t="n"/>
      <c r="AU1039" s="7" t="n"/>
      <c r="AV1039" s="7" t="n"/>
      <c r="AW1039" s="7" t="n"/>
      <c r="AX1039" s="7" t="n"/>
      <c r="AY1039" s="7" t="n"/>
      <c r="BA1039" s="42">
        <f>IF(COUNT(B1039:AY1039)=0,"",IF(TRIM(A1039)&lt;&gt;"",TRIM(A1039),IF(BA1038="","(geen naam)",BA1038)))</f>
        <v/>
      </c>
      <c r="BB1039" s="42">
        <f>IF(BA1039="","",IF(ISNA(MATCH(BA1039,BA$120:BA1038,0)),MAX(BB$120:BB1038)+1,""))</f>
        <v/>
      </c>
    </row>
    <row r="1040">
      <c r="A1040" s="7" t="n"/>
      <c r="B1040" s="7" t="n"/>
      <c r="C1040" s="7" t="n"/>
      <c r="D1040" s="7" t="n"/>
      <c r="E1040" s="7" t="n"/>
      <c r="F1040" s="7" t="n"/>
      <c r="G1040" s="7" t="n"/>
      <c r="H1040" s="7" t="n"/>
      <c r="I1040" s="7" t="n"/>
      <c r="J1040" s="7" t="n"/>
      <c r="K1040" s="7" t="n"/>
      <c r="L1040" s="7" t="n"/>
      <c r="M1040" s="7" t="n"/>
      <c r="N1040" s="7" t="n"/>
      <c r="O1040" s="7" t="n"/>
      <c r="P1040" s="7" t="n"/>
      <c r="Q1040" s="7" t="n"/>
      <c r="R1040" s="7" t="n"/>
      <c r="S1040" s="7" t="n"/>
      <c r="T1040" s="7" t="n"/>
      <c r="U1040" s="7" t="n"/>
      <c r="V1040" s="7" t="n"/>
      <c r="W1040" s="7" t="n"/>
      <c r="X1040" s="7" t="n"/>
      <c r="Y1040" s="7" t="n"/>
      <c r="Z1040" s="7" t="n"/>
      <c r="AA1040" s="7" t="n"/>
      <c r="AB1040" s="7" t="n"/>
      <c r="AC1040" s="7" t="n"/>
      <c r="AD1040" s="7" t="n"/>
      <c r="AE1040" s="7" t="n"/>
      <c r="AF1040" s="7" t="n"/>
      <c r="AG1040" s="7" t="n"/>
      <c r="AH1040" s="7" t="n"/>
      <c r="AI1040" s="7" t="n"/>
      <c r="AJ1040" s="7" t="n"/>
      <c r="AK1040" s="7" t="n"/>
      <c r="AL1040" s="7" t="n"/>
      <c r="AM1040" s="7" t="n"/>
      <c r="AN1040" s="7" t="n"/>
      <c r="AO1040" s="7" t="n"/>
      <c r="AP1040" s="7" t="n"/>
      <c r="AQ1040" s="7" t="n"/>
      <c r="AR1040" s="7" t="n"/>
      <c r="AS1040" s="7" t="n"/>
      <c r="AT1040" s="7" t="n"/>
      <c r="AU1040" s="7" t="n"/>
      <c r="AV1040" s="7" t="n"/>
      <c r="AW1040" s="7" t="n"/>
      <c r="AX1040" s="7" t="n"/>
      <c r="AY1040" s="7" t="n"/>
      <c r="BA1040" s="42">
        <f>IF(COUNT(B1040:AY1040)=0,"",IF(TRIM(A1040)&lt;&gt;"",TRIM(A1040),IF(BA1039="","(geen naam)",BA1039)))</f>
        <v/>
      </c>
      <c r="BB1040" s="42">
        <f>IF(BA1040="","",IF(ISNA(MATCH(BA1040,BA$120:BA1039,0)),MAX(BB$120:BB1039)+1,""))</f>
        <v/>
      </c>
    </row>
    <row r="1041">
      <c r="A1041" s="7" t="n"/>
      <c r="B1041" s="7" t="n"/>
      <c r="C1041" s="7" t="n"/>
      <c r="D1041" s="7" t="n"/>
      <c r="E1041" s="7" t="n"/>
      <c r="F1041" s="7" t="n"/>
      <c r="G1041" s="7" t="n"/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/>
      <c r="Q1041" s="7" t="n"/>
      <c r="R1041" s="7" t="n"/>
      <c r="S1041" s="7" t="n"/>
      <c r="T1041" s="7" t="n"/>
      <c r="U1041" s="7" t="n"/>
      <c r="V1041" s="7" t="n"/>
      <c r="W1041" s="7" t="n"/>
      <c r="X1041" s="7" t="n"/>
      <c r="Y1041" s="7" t="n"/>
      <c r="Z1041" s="7" t="n"/>
      <c r="AA1041" s="7" t="n"/>
      <c r="AB1041" s="7" t="n"/>
      <c r="AC1041" s="7" t="n"/>
      <c r="AD1041" s="7" t="n"/>
      <c r="AE1041" s="7" t="n"/>
      <c r="AF1041" s="7" t="n"/>
      <c r="AG1041" s="7" t="n"/>
      <c r="AH1041" s="7" t="n"/>
      <c r="AI1041" s="7" t="n"/>
      <c r="AJ1041" s="7" t="n"/>
      <c r="AK1041" s="7" t="n"/>
      <c r="AL1041" s="7" t="n"/>
      <c r="AM1041" s="7" t="n"/>
      <c r="AN1041" s="7" t="n"/>
      <c r="AO1041" s="7" t="n"/>
      <c r="AP1041" s="7" t="n"/>
      <c r="AQ1041" s="7" t="n"/>
      <c r="AR1041" s="7" t="n"/>
      <c r="AS1041" s="7" t="n"/>
      <c r="AT1041" s="7" t="n"/>
      <c r="AU1041" s="7" t="n"/>
      <c r="AV1041" s="7" t="n"/>
      <c r="AW1041" s="7" t="n"/>
      <c r="AX1041" s="7" t="n"/>
      <c r="AY1041" s="7" t="n"/>
      <c r="BA1041" s="42">
        <f>IF(COUNT(B1041:AY1041)=0,"",IF(TRIM(A1041)&lt;&gt;"",TRIM(A1041),IF(BA1040="","(geen naam)",BA1040)))</f>
        <v/>
      </c>
      <c r="BB1041" s="42">
        <f>IF(BA1041="","",IF(ISNA(MATCH(BA1041,BA$120:BA1040,0)),MAX(BB$120:BB1040)+1,""))</f>
        <v/>
      </c>
    </row>
    <row r="1042">
      <c r="A1042" s="7" t="n"/>
      <c r="B1042" s="7" t="n"/>
      <c r="C1042" s="7" t="n"/>
      <c r="D1042" s="7" t="n"/>
      <c r="E1042" s="7" t="n"/>
      <c r="F1042" s="7" t="n"/>
      <c r="G1042" s="7" t="n"/>
      <c r="H1042" s="7" t="n"/>
      <c r="I1042" s="7" t="n"/>
      <c r="J1042" s="7" t="n"/>
      <c r="K1042" s="7" t="n"/>
      <c r="L1042" s="7" t="n"/>
      <c r="M1042" s="7" t="n"/>
      <c r="N1042" s="7" t="n"/>
      <c r="O1042" s="7" t="n"/>
      <c r="P1042" s="7" t="n"/>
      <c r="Q1042" s="7" t="n"/>
      <c r="R1042" s="7" t="n"/>
      <c r="S1042" s="7" t="n"/>
      <c r="T1042" s="7" t="n"/>
      <c r="U1042" s="7" t="n"/>
      <c r="V1042" s="7" t="n"/>
      <c r="W1042" s="7" t="n"/>
      <c r="X1042" s="7" t="n"/>
      <c r="Y1042" s="7" t="n"/>
      <c r="Z1042" s="7" t="n"/>
      <c r="AA1042" s="7" t="n"/>
      <c r="AB1042" s="7" t="n"/>
      <c r="AC1042" s="7" t="n"/>
      <c r="AD1042" s="7" t="n"/>
      <c r="AE1042" s="7" t="n"/>
      <c r="AF1042" s="7" t="n"/>
      <c r="AG1042" s="7" t="n"/>
      <c r="AH1042" s="7" t="n"/>
      <c r="AI1042" s="7" t="n"/>
      <c r="AJ1042" s="7" t="n"/>
      <c r="AK1042" s="7" t="n"/>
      <c r="AL1042" s="7" t="n"/>
      <c r="AM1042" s="7" t="n"/>
      <c r="AN1042" s="7" t="n"/>
      <c r="AO1042" s="7" t="n"/>
      <c r="AP1042" s="7" t="n"/>
      <c r="AQ1042" s="7" t="n"/>
      <c r="AR1042" s="7" t="n"/>
      <c r="AS1042" s="7" t="n"/>
      <c r="AT1042" s="7" t="n"/>
      <c r="AU1042" s="7" t="n"/>
      <c r="AV1042" s="7" t="n"/>
      <c r="AW1042" s="7" t="n"/>
      <c r="AX1042" s="7" t="n"/>
      <c r="AY1042" s="7" t="n"/>
      <c r="BA1042" s="42">
        <f>IF(COUNT(B1042:AY1042)=0,"",IF(TRIM(A1042)&lt;&gt;"",TRIM(A1042),IF(BA1041="","(geen naam)",BA1041)))</f>
        <v/>
      </c>
      <c r="BB1042" s="42">
        <f>IF(BA1042="","",IF(ISNA(MATCH(BA1042,BA$120:BA1041,0)),MAX(BB$120:BB1041)+1,""))</f>
        <v/>
      </c>
    </row>
    <row r="1043">
      <c r="A1043" s="7" t="n"/>
      <c r="B1043" s="7" t="n"/>
      <c r="C1043" s="7" t="n"/>
      <c r="D1043" s="7" t="n"/>
      <c r="E1043" s="7" t="n"/>
      <c r="F1043" s="7" t="n"/>
      <c r="G1043" s="7" t="n"/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/>
      <c r="Q1043" s="7" t="n"/>
      <c r="R1043" s="7" t="n"/>
      <c r="S1043" s="7" t="n"/>
      <c r="T1043" s="7" t="n"/>
      <c r="U1043" s="7" t="n"/>
      <c r="V1043" s="7" t="n"/>
      <c r="W1043" s="7" t="n"/>
      <c r="X1043" s="7" t="n"/>
      <c r="Y1043" s="7" t="n"/>
      <c r="Z1043" s="7" t="n"/>
      <c r="AA1043" s="7" t="n"/>
      <c r="AB1043" s="7" t="n"/>
      <c r="AC1043" s="7" t="n"/>
      <c r="AD1043" s="7" t="n"/>
      <c r="AE1043" s="7" t="n"/>
      <c r="AF1043" s="7" t="n"/>
      <c r="AG1043" s="7" t="n"/>
      <c r="AH1043" s="7" t="n"/>
      <c r="AI1043" s="7" t="n"/>
      <c r="AJ1043" s="7" t="n"/>
      <c r="AK1043" s="7" t="n"/>
      <c r="AL1043" s="7" t="n"/>
      <c r="AM1043" s="7" t="n"/>
      <c r="AN1043" s="7" t="n"/>
      <c r="AO1043" s="7" t="n"/>
      <c r="AP1043" s="7" t="n"/>
      <c r="AQ1043" s="7" t="n"/>
      <c r="AR1043" s="7" t="n"/>
      <c r="AS1043" s="7" t="n"/>
      <c r="AT1043" s="7" t="n"/>
      <c r="AU1043" s="7" t="n"/>
      <c r="AV1043" s="7" t="n"/>
      <c r="AW1043" s="7" t="n"/>
      <c r="AX1043" s="7" t="n"/>
      <c r="AY1043" s="7" t="n"/>
      <c r="BA1043" s="42">
        <f>IF(COUNT(B1043:AY1043)=0,"",IF(TRIM(A1043)&lt;&gt;"",TRIM(A1043),IF(BA1042="","(geen naam)",BA1042)))</f>
        <v/>
      </c>
      <c r="BB1043" s="42">
        <f>IF(BA1043="","",IF(ISNA(MATCH(BA1043,BA$120:BA1042,0)),MAX(BB$120:BB1042)+1,""))</f>
        <v/>
      </c>
    </row>
    <row r="1044">
      <c r="A1044" s="7" t="n"/>
      <c r="B1044" s="7" t="n"/>
      <c r="C1044" s="7" t="n"/>
      <c r="D1044" s="7" t="n"/>
      <c r="E1044" s="7" t="n"/>
      <c r="F1044" s="7" t="n"/>
      <c r="G1044" s="7" t="n"/>
      <c r="H1044" s="7" t="n"/>
      <c r="I1044" s="7" t="n"/>
      <c r="J1044" s="7" t="n"/>
      <c r="K1044" s="7" t="n"/>
      <c r="L1044" s="7" t="n"/>
      <c r="M1044" s="7" t="n"/>
      <c r="N1044" s="7" t="n"/>
      <c r="O1044" s="7" t="n"/>
      <c r="P1044" s="7" t="n"/>
      <c r="Q1044" s="7" t="n"/>
      <c r="R1044" s="7" t="n"/>
      <c r="S1044" s="7" t="n"/>
      <c r="T1044" s="7" t="n"/>
      <c r="U1044" s="7" t="n"/>
      <c r="V1044" s="7" t="n"/>
      <c r="W1044" s="7" t="n"/>
      <c r="X1044" s="7" t="n"/>
      <c r="Y1044" s="7" t="n"/>
      <c r="Z1044" s="7" t="n"/>
      <c r="AA1044" s="7" t="n"/>
      <c r="AB1044" s="7" t="n"/>
      <c r="AC1044" s="7" t="n"/>
      <c r="AD1044" s="7" t="n"/>
      <c r="AE1044" s="7" t="n"/>
      <c r="AF1044" s="7" t="n"/>
      <c r="AG1044" s="7" t="n"/>
      <c r="AH1044" s="7" t="n"/>
      <c r="AI1044" s="7" t="n"/>
      <c r="AJ1044" s="7" t="n"/>
      <c r="AK1044" s="7" t="n"/>
      <c r="AL1044" s="7" t="n"/>
      <c r="AM1044" s="7" t="n"/>
      <c r="AN1044" s="7" t="n"/>
      <c r="AO1044" s="7" t="n"/>
      <c r="AP1044" s="7" t="n"/>
      <c r="AQ1044" s="7" t="n"/>
      <c r="AR1044" s="7" t="n"/>
      <c r="AS1044" s="7" t="n"/>
      <c r="AT1044" s="7" t="n"/>
      <c r="AU1044" s="7" t="n"/>
      <c r="AV1044" s="7" t="n"/>
      <c r="AW1044" s="7" t="n"/>
      <c r="AX1044" s="7" t="n"/>
      <c r="AY1044" s="7" t="n"/>
      <c r="BA1044" s="42">
        <f>IF(COUNT(B1044:AY1044)=0,"",IF(TRIM(A1044)&lt;&gt;"",TRIM(A1044),IF(BA1043="","(geen naam)",BA1043)))</f>
        <v/>
      </c>
      <c r="BB1044" s="42">
        <f>IF(BA1044="","",IF(ISNA(MATCH(BA1044,BA$120:BA1043,0)),MAX(BB$120:BB1043)+1,""))</f>
        <v/>
      </c>
    </row>
    <row r="1045">
      <c r="A1045" s="7" t="n"/>
      <c r="B1045" s="7" t="n"/>
      <c r="C1045" s="7" t="n"/>
      <c r="D1045" s="7" t="n"/>
      <c r="E1045" s="7" t="n"/>
      <c r="F1045" s="7" t="n"/>
      <c r="G1045" s="7" t="n"/>
      <c r="H1045" s="7" t="n"/>
      <c r="I1045" s="7" t="n"/>
      <c r="J1045" s="7" t="n"/>
      <c r="K1045" s="7" t="n"/>
      <c r="L1045" s="7" t="n"/>
      <c r="M1045" s="7" t="n"/>
      <c r="N1045" s="7" t="n"/>
      <c r="O1045" s="7" t="n"/>
      <c r="P1045" s="7" t="n"/>
      <c r="Q1045" s="7" t="n"/>
      <c r="R1045" s="7" t="n"/>
      <c r="S1045" s="7" t="n"/>
      <c r="T1045" s="7" t="n"/>
      <c r="U1045" s="7" t="n"/>
      <c r="V1045" s="7" t="n"/>
      <c r="W1045" s="7" t="n"/>
      <c r="X1045" s="7" t="n"/>
      <c r="Y1045" s="7" t="n"/>
      <c r="Z1045" s="7" t="n"/>
      <c r="AA1045" s="7" t="n"/>
      <c r="AB1045" s="7" t="n"/>
      <c r="AC1045" s="7" t="n"/>
      <c r="AD1045" s="7" t="n"/>
      <c r="AE1045" s="7" t="n"/>
      <c r="AF1045" s="7" t="n"/>
      <c r="AG1045" s="7" t="n"/>
      <c r="AH1045" s="7" t="n"/>
      <c r="AI1045" s="7" t="n"/>
      <c r="AJ1045" s="7" t="n"/>
      <c r="AK1045" s="7" t="n"/>
      <c r="AL1045" s="7" t="n"/>
      <c r="AM1045" s="7" t="n"/>
      <c r="AN1045" s="7" t="n"/>
      <c r="AO1045" s="7" t="n"/>
      <c r="AP1045" s="7" t="n"/>
      <c r="AQ1045" s="7" t="n"/>
      <c r="AR1045" s="7" t="n"/>
      <c r="AS1045" s="7" t="n"/>
      <c r="AT1045" s="7" t="n"/>
      <c r="AU1045" s="7" t="n"/>
      <c r="AV1045" s="7" t="n"/>
      <c r="AW1045" s="7" t="n"/>
      <c r="AX1045" s="7" t="n"/>
      <c r="AY1045" s="7" t="n"/>
      <c r="BA1045" s="42">
        <f>IF(COUNT(B1045:AY1045)=0,"",IF(TRIM(A1045)&lt;&gt;"",TRIM(A1045),IF(BA1044="","(geen naam)",BA1044)))</f>
        <v/>
      </c>
      <c r="BB1045" s="42">
        <f>IF(BA1045="","",IF(ISNA(MATCH(BA1045,BA$120:BA1044,0)),MAX(BB$120:BB1044)+1,""))</f>
        <v/>
      </c>
    </row>
    <row r="1046">
      <c r="A1046" s="7" t="n"/>
      <c r="B1046" s="7" t="n"/>
      <c r="C1046" s="7" t="n"/>
      <c r="D1046" s="7" t="n"/>
      <c r="E1046" s="7" t="n"/>
      <c r="F1046" s="7" t="n"/>
      <c r="G1046" s="7" t="n"/>
      <c r="H1046" s="7" t="n"/>
      <c r="I1046" s="7" t="n"/>
      <c r="J1046" s="7" t="n"/>
      <c r="K1046" s="7" t="n"/>
      <c r="L1046" s="7" t="n"/>
      <c r="M1046" s="7" t="n"/>
      <c r="N1046" s="7" t="n"/>
      <c r="O1046" s="7" t="n"/>
      <c r="P1046" s="7" t="n"/>
      <c r="Q1046" s="7" t="n"/>
      <c r="R1046" s="7" t="n"/>
      <c r="S1046" s="7" t="n"/>
      <c r="T1046" s="7" t="n"/>
      <c r="U1046" s="7" t="n"/>
      <c r="V1046" s="7" t="n"/>
      <c r="W1046" s="7" t="n"/>
      <c r="X1046" s="7" t="n"/>
      <c r="Y1046" s="7" t="n"/>
      <c r="Z1046" s="7" t="n"/>
      <c r="AA1046" s="7" t="n"/>
      <c r="AB1046" s="7" t="n"/>
      <c r="AC1046" s="7" t="n"/>
      <c r="AD1046" s="7" t="n"/>
      <c r="AE1046" s="7" t="n"/>
      <c r="AF1046" s="7" t="n"/>
      <c r="AG1046" s="7" t="n"/>
      <c r="AH1046" s="7" t="n"/>
      <c r="AI1046" s="7" t="n"/>
      <c r="AJ1046" s="7" t="n"/>
      <c r="AK1046" s="7" t="n"/>
      <c r="AL1046" s="7" t="n"/>
      <c r="AM1046" s="7" t="n"/>
      <c r="AN1046" s="7" t="n"/>
      <c r="AO1046" s="7" t="n"/>
      <c r="AP1046" s="7" t="n"/>
      <c r="AQ1046" s="7" t="n"/>
      <c r="AR1046" s="7" t="n"/>
      <c r="AS1046" s="7" t="n"/>
      <c r="AT1046" s="7" t="n"/>
      <c r="AU1046" s="7" t="n"/>
      <c r="AV1046" s="7" t="n"/>
      <c r="AW1046" s="7" t="n"/>
      <c r="AX1046" s="7" t="n"/>
      <c r="AY1046" s="7" t="n"/>
      <c r="BA1046" s="42">
        <f>IF(COUNT(B1046:AY1046)=0,"",IF(TRIM(A1046)&lt;&gt;"",TRIM(A1046),IF(BA1045="","(geen naam)",BA1045)))</f>
        <v/>
      </c>
      <c r="BB1046" s="42">
        <f>IF(BA1046="","",IF(ISNA(MATCH(BA1046,BA$120:BA1045,0)),MAX(BB$120:BB1045)+1,""))</f>
        <v/>
      </c>
    </row>
    <row r="1047">
      <c r="A1047" s="7" t="n"/>
      <c r="B1047" s="7" t="n"/>
      <c r="C1047" s="7" t="n"/>
      <c r="D1047" s="7" t="n"/>
      <c r="E1047" s="7" t="n"/>
      <c r="F1047" s="7" t="n"/>
      <c r="G1047" s="7" t="n"/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/>
      <c r="Q1047" s="7" t="n"/>
      <c r="R1047" s="7" t="n"/>
      <c r="S1047" s="7" t="n"/>
      <c r="T1047" s="7" t="n"/>
      <c r="U1047" s="7" t="n"/>
      <c r="V1047" s="7" t="n"/>
      <c r="W1047" s="7" t="n"/>
      <c r="X1047" s="7" t="n"/>
      <c r="Y1047" s="7" t="n"/>
      <c r="Z1047" s="7" t="n"/>
      <c r="AA1047" s="7" t="n"/>
      <c r="AB1047" s="7" t="n"/>
      <c r="AC1047" s="7" t="n"/>
      <c r="AD1047" s="7" t="n"/>
      <c r="AE1047" s="7" t="n"/>
      <c r="AF1047" s="7" t="n"/>
      <c r="AG1047" s="7" t="n"/>
      <c r="AH1047" s="7" t="n"/>
      <c r="AI1047" s="7" t="n"/>
      <c r="AJ1047" s="7" t="n"/>
      <c r="AK1047" s="7" t="n"/>
      <c r="AL1047" s="7" t="n"/>
      <c r="AM1047" s="7" t="n"/>
      <c r="AN1047" s="7" t="n"/>
      <c r="AO1047" s="7" t="n"/>
      <c r="AP1047" s="7" t="n"/>
      <c r="AQ1047" s="7" t="n"/>
      <c r="AR1047" s="7" t="n"/>
      <c r="AS1047" s="7" t="n"/>
      <c r="AT1047" s="7" t="n"/>
      <c r="AU1047" s="7" t="n"/>
      <c r="AV1047" s="7" t="n"/>
      <c r="AW1047" s="7" t="n"/>
      <c r="AX1047" s="7" t="n"/>
      <c r="AY1047" s="7" t="n"/>
      <c r="BA1047" s="42">
        <f>IF(COUNT(B1047:AY1047)=0,"",IF(TRIM(A1047)&lt;&gt;"",TRIM(A1047),IF(BA1046="","(geen naam)",BA1046)))</f>
        <v/>
      </c>
      <c r="BB1047" s="42">
        <f>IF(BA1047="","",IF(ISNA(MATCH(BA1047,BA$120:BA1046,0)),MAX(BB$120:BB1046)+1,""))</f>
        <v/>
      </c>
    </row>
    <row r="1048">
      <c r="A1048" s="7" t="n"/>
      <c r="B1048" s="7" t="n"/>
      <c r="C1048" s="7" t="n"/>
      <c r="D1048" s="7" t="n"/>
      <c r="E1048" s="7" t="n"/>
      <c r="F1048" s="7" t="n"/>
      <c r="G1048" s="7" t="n"/>
      <c r="H1048" s="7" t="n"/>
      <c r="I1048" s="7" t="n"/>
      <c r="J1048" s="7" t="n"/>
      <c r="K1048" s="7" t="n"/>
      <c r="L1048" s="7" t="n"/>
      <c r="M1048" s="7" t="n"/>
      <c r="N1048" s="7" t="n"/>
      <c r="O1048" s="7" t="n"/>
      <c r="P1048" s="7" t="n"/>
      <c r="Q1048" s="7" t="n"/>
      <c r="R1048" s="7" t="n"/>
      <c r="S1048" s="7" t="n"/>
      <c r="T1048" s="7" t="n"/>
      <c r="U1048" s="7" t="n"/>
      <c r="V1048" s="7" t="n"/>
      <c r="W1048" s="7" t="n"/>
      <c r="X1048" s="7" t="n"/>
      <c r="Y1048" s="7" t="n"/>
      <c r="Z1048" s="7" t="n"/>
      <c r="AA1048" s="7" t="n"/>
      <c r="AB1048" s="7" t="n"/>
      <c r="AC1048" s="7" t="n"/>
      <c r="AD1048" s="7" t="n"/>
      <c r="AE1048" s="7" t="n"/>
      <c r="AF1048" s="7" t="n"/>
      <c r="AG1048" s="7" t="n"/>
      <c r="AH1048" s="7" t="n"/>
      <c r="AI1048" s="7" t="n"/>
      <c r="AJ1048" s="7" t="n"/>
      <c r="AK1048" s="7" t="n"/>
      <c r="AL1048" s="7" t="n"/>
      <c r="AM1048" s="7" t="n"/>
      <c r="AN1048" s="7" t="n"/>
      <c r="AO1048" s="7" t="n"/>
      <c r="AP1048" s="7" t="n"/>
      <c r="AQ1048" s="7" t="n"/>
      <c r="AR1048" s="7" t="n"/>
      <c r="AS1048" s="7" t="n"/>
      <c r="AT1048" s="7" t="n"/>
      <c r="AU1048" s="7" t="n"/>
      <c r="AV1048" s="7" t="n"/>
      <c r="AW1048" s="7" t="n"/>
      <c r="AX1048" s="7" t="n"/>
      <c r="AY1048" s="7" t="n"/>
      <c r="BA1048" s="42">
        <f>IF(COUNT(B1048:AY1048)=0,"",IF(TRIM(A1048)&lt;&gt;"",TRIM(A1048),IF(BA1047="","(geen naam)",BA1047)))</f>
        <v/>
      </c>
      <c r="BB1048" s="42">
        <f>IF(BA1048="","",IF(ISNA(MATCH(BA1048,BA$120:BA1047,0)),MAX(BB$120:BB1047)+1,""))</f>
        <v/>
      </c>
    </row>
    <row r="1049">
      <c r="A1049" s="7" t="n"/>
      <c r="B1049" s="7" t="n"/>
      <c r="C1049" s="7" t="n"/>
      <c r="D1049" s="7" t="n"/>
      <c r="E1049" s="7" t="n"/>
      <c r="F1049" s="7" t="n"/>
      <c r="G1049" s="7" t="n"/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/>
      <c r="Q1049" s="7" t="n"/>
      <c r="R1049" s="7" t="n"/>
      <c r="S1049" s="7" t="n"/>
      <c r="T1049" s="7" t="n"/>
      <c r="U1049" s="7" t="n"/>
      <c r="V1049" s="7" t="n"/>
      <c r="W1049" s="7" t="n"/>
      <c r="X1049" s="7" t="n"/>
      <c r="Y1049" s="7" t="n"/>
      <c r="Z1049" s="7" t="n"/>
      <c r="AA1049" s="7" t="n"/>
      <c r="AB1049" s="7" t="n"/>
      <c r="AC1049" s="7" t="n"/>
      <c r="AD1049" s="7" t="n"/>
      <c r="AE1049" s="7" t="n"/>
      <c r="AF1049" s="7" t="n"/>
      <c r="AG1049" s="7" t="n"/>
      <c r="AH1049" s="7" t="n"/>
      <c r="AI1049" s="7" t="n"/>
      <c r="AJ1049" s="7" t="n"/>
      <c r="AK1049" s="7" t="n"/>
      <c r="AL1049" s="7" t="n"/>
      <c r="AM1049" s="7" t="n"/>
      <c r="AN1049" s="7" t="n"/>
      <c r="AO1049" s="7" t="n"/>
      <c r="AP1049" s="7" t="n"/>
      <c r="AQ1049" s="7" t="n"/>
      <c r="AR1049" s="7" t="n"/>
      <c r="AS1049" s="7" t="n"/>
      <c r="AT1049" s="7" t="n"/>
      <c r="AU1049" s="7" t="n"/>
      <c r="AV1049" s="7" t="n"/>
      <c r="AW1049" s="7" t="n"/>
      <c r="AX1049" s="7" t="n"/>
      <c r="AY1049" s="7" t="n"/>
      <c r="BA1049" s="42">
        <f>IF(COUNT(B1049:AY1049)=0,"",IF(TRIM(A1049)&lt;&gt;"",TRIM(A1049),IF(BA1048="","(geen naam)",BA1048)))</f>
        <v/>
      </c>
      <c r="BB1049" s="42">
        <f>IF(BA1049="","",IF(ISNA(MATCH(BA1049,BA$120:BA1048,0)),MAX(BB$120:BB1048)+1,""))</f>
        <v/>
      </c>
    </row>
    <row r="1050">
      <c r="A1050" s="7" t="n"/>
      <c r="B1050" s="7" t="n"/>
      <c r="C1050" s="7" t="n"/>
      <c r="D1050" s="7" t="n"/>
      <c r="E1050" s="7" t="n"/>
      <c r="F1050" s="7" t="n"/>
      <c r="G1050" s="7" t="n"/>
      <c r="H1050" s="7" t="n"/>
      <c r="I1050" s="7" t="n"/>
      <c r="J1050" s="7" t="n"/>
      <c r="K1050" s="7" t="n"/>
      <c r="L1050" s="7" t="n"/>
      <c r="M1050" s="7" t="n"/>
      <c r="N1050" s="7" t="n"/>
      <c r="O1050" s="7" t="n"/>
      <c r="P1050" s="7" t="n"/>
      <c r="Q1050" s="7" t="n"/>
      <c r="R1050" s="7" t="n"/>
      <c r="S1050" s="7" t="n"/>
      <c r="T1050" s="7" t="n"/>
      <c r="U1050" s="7" t="n"/>
      <c r="V1050" s="7" t="n"/>
      <c r="W1050" s="7" t="n"/>
      <c r="X1050" s="7" t="n"/>
      <c r="Y1050" s="7" t="n"/>
      <c r="Z1050" s="7" t="n"/>
      <c r="AA1050" s="7" t="n"/>
      <c r="AB1050" s="7" t="n"/>
      <c r="AC1050" s="7" t="n"/>
      <c r="AD1050" s="7" t="n"/>
      <c r="AE1050" s="7" t="n"/>
      <c r="AF1050" s="7" t="n"/>
      <c r="AG1050" s="7" t="n"/>
      <c r="AH1050" s="7" t="n"/>
      <c r="AI1050" s="7" t="n"/>
      <c r="AJ1050" s="7" t="n"/>
      <c r="AK1050" s="7" t="n"/>
      <c r="AL1050" s="7" t="n"/>
      <c r="AM1050" s="7" t="n"/>
      <c r="AN1050" s="7" t="n"/>
      <c r="AO1050" s="7" t="n"/>
      <c r="AP1050" s="7" t="n"/>
      <c r="AQ1050" s="7" t="n"/>
      <c r="AR1050" s="7" t="n"/>
      <c r="AS1050" s="7" t="n"/>
      <c r="AT1050" s="7" t="n"/>
      <c r="AU1050" s="7" t="n"/>
      <c r="AV1050" s="7" t="n"/>
      <c r="AW1050" s="7" t="n"/>
      <c r="AX1050" s="7" t="n"/>
      <c r="AY1050" s="7" t="n"/>
      <c r="BA1050" s="42">
        <f>IF(COUNT(B1050:AY1050)=0,"",IF(TRIM(A1050)&lt;&gt;"",TRIM(A1050),IF(BA1049="","(geen naam)",BA1049)))</f>
        <v/>
      </c>
      <c r="BB1050" s="42">
        <f>IF(BA1050="","",IF(ISNA(MATCH(BA1050,BA$120:BA1049,0)),MAX(BB$120:BB1049)+1,""))</f>
        <v/>
      </c>
    </row>
    <row r="1051">
      <c r="A1051" s="7" t="n"/>
      <c r="B1051" s="7" t="n"/>
      <c r="C1051" s="7" t="n"/>
      <c r="D1051" s="7" t="n"/>
      <c r="E1051" s="7" t="n"/>
      <c r="F1051" s="7" t="n"/>
      <c r="G1051" s="7" t="n"/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/>
      <c r="Q1051" s="7" t="n"/>
      <c r="R1051" s="7" t="n"/>
      <c r="S1051" s="7" t="n"/>
      <c r="T1051" s="7" t="n"/>
      <c r="U1051" s="7" t="n"/>
      <c r="V1051" s="7" t="n"/>
      <c r="W1051" s="7" t="n"/>
      <c r="X1051" s="7" t="n"/>
      <c r="Y1051" s="7" t="n"/>
      <c r="Z1051" s="7" t="n"/>
      <c r="AA1051" s="7" t="n"/>
      <c r="AB1051" s="7" t="n"/>
      <c r="AC1051" s="7" t="n"/>
      <c r="AD1051" s="7" t="n"/>
      <c r="AE1051" s="7" t="n"/>
      <c r="AF1051" s="7" t="n"/>
      <c r="AG1051" s="7" t="n"/>
      <c r="AH1051" s="7" t="n"/>
      <c r="AI1051" s="7" t="n"/>
      <c r="AJ1051" s="7" t="n"/>
      <c r="AK1051" s="7" t="n"/>
      <c r="AL1051" s="7" t="n"/>
      <c r="AM1051" s="7" t="n"/>
      <c r="AN1051" s="7" t="n"/>
      <c r="AO1051" s="7" t="n"/>
      <c r="AP1051" s="7" t="n"/>
      <c r="AQ1051" s="7" t="n"/>
      <c r="AR1051" s="7" t="n"/>
      <c r="AS1051" s="7" t="n"/>
      <c r="AT1051" s="7" t="n"/>
      <c r="AU1051" s="7" t="n"/>
      <c r="AV1051" s="7" t="n"/>
      <c r="AW1051" s="7" t="n"/>
      <c r="AX1051" s="7" t="n"/>
      <c r="AY1051" s="7" t="n"/>
      <c r="BA1051" s="42">
        <f>IF(COUNT(B1051:AY1051)=0,"",IF(TRIM(A1051)&lt;&gt;"",TRIM(A1051),IF(BA1050="","(geen naam)",BA1050)))</f>
        <v/>
      </c>
      <c r="BB1051" s="42">
        <f>IF(BA1051="","",IF(ISNA(MATCH(BA1051,BA$120:BA1050,0)),MAX(BB$120:BB1050)+1,""))</f>
        <v/>
      </c>
    </row>
    <row r="1052">
      <c r="A1052" s="7" t="n"/>
      <c r="B1052" s="7" t="n"/>
      <c r="C1052" s="7" t="n"/>
      <c r="D1052" s="7" t="n"/>
      <c r="E1052" s="7" t="n"/>
      <c r="F1052" s="7" t="n"/>
      <c r="G1052" s="7" t="n"/>
      <c r="H1052" s="7" t="n"/>
      <c r="I1052" s="7" t="n"/>
      <c r="J1052" s="7" t="n"/>
      <c r="K1052" s="7" t="n"/>
      <c r="L1052" s="7" t="n"/>
      <c r="M1052" s="7" t="n"/>
      <c r="N1052" s="7" t="n"/>
      <c r="O1052" s="7" t="n"/>
      <c r="P1052" s="7" t="n"/>
      <c r="Q1052" s="7" t="n"/>
      <c r="R1052" s="7" t="n"/>
      <c r="S1052" s="7" t="n"/>
      <c r="T1052" s="7" t="n"/>
      <c r="U1052" s="7" t="n"/>
      <c r="V1052" s="7" t="n"/>
      <c r="W1052" s="7" t="n"/>
      <c r="X1052" s="7" t="n"/>
      <c r="Y1052" s="7" t="n"/>
      <c r="Z1052" s="7" t="n"/>
      <c r="AA1052" s="7" t="n"/>
      <c r="AB1052" s="7" t="n"/>
      <c r="AC1052" s="7" t="n"/>
      <c r="AD1052" s="7" t="n"/>
      <c r="AE1052" s="7" t="n"/>
      <c r="AF1052" s="7" t="n"/>
      <c r="AG1052" s="7" t="n"/>
      <c r="AH1052" s="7" t="n"/>
      <c r="AI1052" s="7" t="n"/>
      <c r="AJ1052" s="7" t="n"/>
      <c r="AK1052" s="7" t="n"/>
      <c r="AL1052" s="7" t="n"/>
      <c r="AM1052" s="7" t="n"/>
      <c r="AN1052" s="7" t="n"/>
      <c r="AO1052" s="7" t="n"/>
      <c r="AP1052" s="7" t="n"/>
      <c r="AQ1052" s="7" t="n"/>
      <c r="AR1052" s="7" t="n"/>
      <c r="AS1052" s="7" t="n"/>
      <c r="AT1052" s="7" t="n"/>
      <c r="AU1052" s="7" t="n"/>
      <c r="AV1052" s="7" t="n"/>
      <c r="AW1052" s="7" t="n"/>
      <c r="AX1052" s="7" t="n"/>
      <c r="AY1052" s="7" t="n"/>
      <c r="BA1052" s="42">
        <f>IF(COUNT(B1052:AY1052)=0,"",IF(TRIM(A1052)&lt;&gt;"",TRIM(A1052),IF(BA1051="","(geen naam)",BA1051)))</f>
        <v/>
      </c>
      <c r="BB1052" s="42">
        <f>IF(BA1052="","",IF(ISNA(MATCH(BA1052,BA$120:BA1051,0)),MAX(BB$120:BB1051)+1,""))</f>
        <v/>
      </c>
    </row>
    <row r="1053">
      <c r="A1053" s="7" t="n"/>
      <c r="B1053" s="7" t="n"/>
      <c r="C1053" s="7" t="n"/>
      <c r="D1053" s="7" t="n"/>
      <c r="E1053" s="7" t="n"/>
      <c r="F1053" s="7" t="n"/>
      <c r="G1053" s="7" t="n"/>
      <c r="H1053" s="7" t="n"/>
      <c r="I1053" s="7" t="n"/>
      <c r="J1053" s="7" t="n"/>
      <c r="K1053" s="7" t="n"/>
      <c r="L1053" s="7" t="n"/>
      <c r="M1053" s="7" t="n"/>
      <c r="N1053" s="7" t="n"/>
      <c r="O1053" s="7" t="n"/>
      <c r="P1053" s="7" t="n"/>
      <c r="Q1053" s="7" t="n"/>
      <c r="R1053" s="7" t="n"/>
      <c r="S1053" s="7" t="n"/>
      <c r="T1053" s="7" t="n"/>
      <c r="U1053" s="7" t="n"/>
      <c r="V1053" s="7" t="n"/>
      <c r="W1053" s="7" t="n"/>
      <c r="X1053" s="7" t="n"/>
      <c r="Y1053" s="7" t="n"/>
      <c r="Z1053" s="7" t="n"/>
      <c r="AA1053" s="7" t="n"/>
      <c r="AB1053" s="7" t="n"/>
      <c r="AC1053" s="7" t="n"/>
      <c r="AD1053" s="7" t="n"/>
      <c r="AE1053" s="7" t="n"/>
      <c r="AF1053" s="7" t="n"/>
      <c r="AG1053" s="7" t="n"/>
      <c r="AH1053" s="7" t="n"/>
      <c r="AI1053" s="7" t="n"/>
      <c r="AJ1053" s="7" t="n"/>
      <c r="AK1053" s="7" t="n"/>
      <c r="AL1053" s="7" t="n"/>
      <c r="AM1053" s="7" t="n"/>
      <c r="AN1053" s="7" t="n"/>
      <c r="AO1053" s="7" t="n"/>
      <c r="AP1053" s="7" t="n"/>
      <c r="AQ1053" s="7" t="n"/>
      <c r="AR1053" s="7" t="n"/>
      <c r="AS1053" s="7" t="n"/>
      <c r="AT1053" s="7" t="n"/>
      <c r="AU1053" s="7" t="n"/>
      <c r="AV1053" s="7" t="n"/>
      <c r="AW1053" s="7" t="n"/>
      <c r="AX1053" s="7" t="n"/>
      <c r="AY1053" s="7" t="n"/>
      <c r="BA1053" s="42">
        <f>IF(COUNT(B1053:AY1053)=0,"",IF(TRIM(A1053)&lt;&gt;"",TRIM(A1053),IF(BA1052="","(geen naam)",BA1052)))</f>
        <v/>
      </c>
      <c r="BB1053" s="42">
        <f>IF(BA1053="","",IF(ISNA(MATCH(BA1053,BA$120:BA1052,0)),MAX(BB$120:BB1052)+1,""))</f>
        <v/>
      </c>
    </row>
    <row r="1054">
      <c r="A1054" s="7" t="n"/>
      <c r="B1054" s="7" t="n"/>
      <c r="C1054" s="7" t="n"/>
      <c r="D1054" s="7" t="n"/>
      <c r="E1054" s="7" t="n"/>
      <c r="F1054" s="7" t="n"/>
      <c r="G1054" s="7" t="n"/>
      <c r="H1054" s="7" t="n"/>
      <c r="I1054" s="7" t="n"/>
      <c r="J1054" s="7" t="n"/>
      <c r="K1054" s="7" t="n"/>
      <c r="L1054" s="7" t="n"/>
      <c r="M1054" s="7" t="n"/>
      <c r="N1054" s="7" t="n"/>
      <c r="O1054" s="7" t="n"/>
      <c r="P1054" s="7" t="n"/>
      <c r="Q1054" s="7" t="n"/>
      <c r="R1054" s="7" t="n"/>
      <c r="S1054" s="7" t="n"/>
      <c r="T1054" s="7" t="n"/>
      <c r="U1054" s="7" t="n"/>
      <c r="V1054" s="7" t="n"/>
      <c r="W1054" s="7" t="n"/>
      <c r="X1054" s="7" t="n"/>
      <c r="Y1054" s="7" t="n"/>
      <c r="Z1054" s="7" t="n"/>
      <c r="AA1054" s="7" t="n"/>
      <c r="AB1054" s="7" t="n"/>
      <c r="AC1054" s="7" t="n"/>
      <c r="AD1054" s="7" t="n"/>
      <c r="AE1054" s="7" t="n"/>
      <c r="AF1054" s="7" t="n"/>
      <c r="AG1054" s="7" t="n"/>
      <c r="AH1054" s="7" t="n"/>
      <c r="AI1054" s="7" t="n"/>
      <c r="AJ1054" s="7" t="n"/>
      <c r="AK1054" s="7" t="n"/>
      <c r="AL1054" s="7" t="n"/>
      <c r="AM1054" s="7" t="n"/>
      <c r="AN1054" s="7" t="n"/>
      <c r="AO1054" s="7" t="n"/>
      <c r="AP1054" s="7" t="n"/>
      <c r="AQ1054" s="7" t="n"/>
      <c r="AR1054" s="7" t="n"/>
      <c r="AS1054" s="7" t="n"/>
      <c r="AT1054" s="7" t="n"/>
      <c r="AU1054" s="7" t="n"/>
      <c r="AV1054" s="7" t="n"/>
      <c r="AW1054" s="7" t="n"/>
      <c r="AX1054" s="7" t="n"/>
      <c r="AY1054" s="7" t="n"/>
      <c r="BA1054" s="42">
        <f>IF(COUNT(B1054:AY1054)=0,"",IF(TRIM(A1054)&lt;&gt;"",TRIM(A1054),IF(BA1053="","(geen naam)",BA1053)))</f>
        <v/>
      </c>
      <c r="BB1054" s="42">
        <f>IF(BA1054="","",IF(ISNA(MATCH(BA1054,BA$120:BA1053,0)),MAX(BB$120:BB1053)+1,""))</f>
        <v/>
      </c>
    </row>
    <row r="1055">
      <c r="A1055" s="7" t="n"/>
      <c r="B1055" s="7" t="n"/>
      <c r="C1055" s="7" t="n"/>
      <c r="D1055" s="7" t="n"/>
      <c r="E1055" s="7" t="n"/>
      <c r="F1055" s="7" t="n"/>
      <c r="G1055" s="7" t="n"/>
      <c r="H1055" s="7" t="n"/>
      <c r="I1055" s="7" t="n"/>
      <c r="J1055" s="7" t="n"/>
      <c r="K1055" s="7" t="n"/>
      <c r="L1055" s="7" t="n"/>
      <c r="M1055" s="7" t="n"/>
      <c r="N1055" s="7" t="n"/>
      <c r="O1055" s="7" t="n"/>
      <c r="P1055" s="7" t="n"/>
      <c r="Q1055" s="7" t="n"/>
      <c r="R1055" s="7" t="n"/>
      <c r="S1055" s="7" t="n"/>
      <c r="T1055" s="7" t="n"/>
      <c r="U1055" s="7" t="n"/>
      <c r="V1055" s="7" t="n"/>
      <c r="W1055" s="7" t="n"/>
      <c r="X1055" s="7" t="n"/>
      <c r="Y1055" s="7" t="n"/>
      <c r="Z1055" s="7" t="n"/>
      <c r="AA1055" s="7" t="n"/>
      <c r="AB1055" s="7" t="n"/>
      <c r="AC1055" s="7" t="n"/>
      <c r="AD1055" s="7" t="n"/>
      <c r="AE1055" s="7" t="n"/>
      <c r="AF1055" s="7" t="n"/>
      <c r="AG1055" s="7" t="n"/>
      <c r="AH1055" s="7" t="n"/>
      <c r="AI1055" s="7" t="n"/>
      <c r="AJ1055" s="7" t="n"/>
      <c r="AK1055" s="7" t="n"/>
      <c r="AL1055" s="7" t="n"/>
      <c r="AM1055" s="7" t="n"/>
      <c r="AN1055" s="7" t="n"/>
      <c r="AO1055" s="7" t="n"/>
      <c r="AP1055" s="7" t="n"/>
      <c r="AQ1055" s="7" t="n"/>
      <c r="AR1055" s="7" t="n"/>
      <c r="AS1055" s="7" t="n"/>
      <c r="AT1055" s="7" t="n"/>
      <c r="AU1055" s="7" t="n"/>
      <c r="AV1055" s="7" t="n"/>
      <c r="AW1055" s="7" t="n"/>
      <c r="AX1055" s="7" t="n"/>
      <c r="AY1055" s="7" t="n"/>
      <c r="BA1055" s="42">
        <f>IF(COUNT(B1055:AY1055)=0,"",IF(TRIM(A1055)&lt;&gt;"",TRIM(A1055),IF(BA1054="","(geen naam)",BA1054)))</f>
        <v/>
      </c>
      <c r="BB1055" s="42">
        <f>IF(BA1055="","",IF(ISNA(MATCH(BA1055,BA$120:BA1054,0)),MAX(BB$120:BB1054)+1,""))</f>
        <v/>
      </c>
    </row>
    <row r="1056">
      <c r="A1056" s="7" t="n"/>
      <c r="B1056" s="7" t="n"/>
      <c r="C1056" s="7" t="n"/>
      <c r="D1056" s="7" t="n"/>
      <c r="E1056" s="7" t="n"/>
      <c r="F1056" s="7" t="n"/>
      <c r="G1056" s="7" t="n"/>
      <c r="H1056" s="7" t="n"/>
      <c r="I1056" s="7" t="n"/>
      <c r="J1056" s="7" t="n"/>
      <c r="K1056" s="7" t="n"/>
      <c r="L1056" s="7" t="n"/>
      <c r="M1056" s="7" t="n"/>
      <c r="N1056" s="7" t="n"/>
      <c r="O1056" s="7" t="n"/>
      <c r="P1056" s="7" t="n"/>
      <c r="Q1056" s="7" t="n"/>
      <c r="R1056" s="7" t="n"/>
      <c r="S1056" s="7" t="n"/>
      <c r="T1056" s="7" t="n"/>
      <c r="U1056" s="7" t="n"/>
      <c r="V1056" s="7" t="n"/>
      <c r="W1056" s="7" t="n"/>
      <c r="X1056" s="7" t="n"/>
      <c r="Y1056" s="7" t="n"/>
      <c r="Z1056" s="7" t="n"/>
      <c r="AA1056" s="7" t="n"/>
      <c r="AB1056" s="7" t="n"/>
      <c r="AC1056" s="7" t="n"/>
      <c r="AD1056" s="7" t="n"/>
      <c r="AE1056" s="7" t="n"/>
      <c r="AF1056" s="7" t="n"/>
      <c r="AG1056" s="7" t="n"/>
      <c r="AH1056" s="7" t="n"/>
      <c r="AI1056" s="7" t="n"/>
      <c r="AJ1056" s="7" t="n"/>
      <c r="AK1056" s="7" t="n"/>
      <c r="AL1056" s="7" t="n"/>
      <c r="AM1056" s="7" t="n"/>
      <c r="AN1056" s="7" t="n"/>
      <c r="AO1056" s="7" t="n"/>
      <c r="AP1056" s="7" t="n"/>
      <c r="AQ1056" s="7" t="n"/>
      <c r="AR1056" s="7" t="n"/>
      <c r="AS1056" s="7" t="n"/>
      <c r="AT1056" s="7" t="n"/>
      <c r="AU1056" s="7" t="n"/>
      <c r="AV1056" s="7" t="n"/>
      <c r="AW1056" s="7" t="n"/>
      <c r="AX1056" s="7" t="n"/>
      <c r="AY1056" s="7" t="n"/>
      <c r="BA1056" s="42">
        <f>IF(COUNT(B1056:AY1056)=0,"",IF(TRIM(A1056)&lt;&gt;"",TRIM(A1056),IF(BA1055="","(geen naam)",BA1055)))</f>
        <v/>
      </c>
      <c r="BB1056" s="42">
        <f>IF(BA1056="","",IF(ISNA(MATCH(BA1056,BA$120:BA1055,0)),MAX(BB$120:BB1055)+1,""))</f>
        <v/>
      </c>
    </row>
    <row r="1057">
      <c r="A1057" s="7" t="n"/>
      <c r="B1057" s="7" t="n"/>
      <c r="C1057" s="7" t="n"/>
      <c r="D1057" s="7" t="n"/>
      <c r="E1057" s="7" t="n"/>
      <c r="F1057" s="7" t="n"/>
      <c r="G1057" s="7" t="n"/>
      <c r="H1057" s="7" t="n"/>
      <c r="I1057" s="7" t="n"/>
      <c r="J1057" s="7" t="n"/>
      <c r="K1057" s="7" t="n"/>
      <c r="L1057" s="7" t="n"/>
      <c r="M1057" s="7" t="n"/>
      <c r="N1057" s="7" t="n"/>
      <c r="O1057" s="7" t="n"/>
      <c r="P1057" s="7" t="n"/>
      <c r="Q1057" s="7" t="n"/>
      <c r="R1057" s="7" t="n"/>
      <c r="S1057" s="7" t="n"/>
      <c r="T1057" s="7" t="n"/>
      <c r="U1057" s="7" t="n"/>
      <c r="V1057" s="7" t="n"/>
      <c r="W1057" s="7" t="n"/>
      <c r="X1057" s="7" t="n"/>
      <c r="Y1057" s="7" t="n"/>
      <c r="Z1057" s="7" t="n"/>
      <c r="AA1057" s="7" t="n"/>
      <c r="AB1057" s="7" t="n"/>
      <c r="AC1057" s="7" t="n"/>
      <c r="AD1057" s="7" t="n"/>
      <c r="AE1057" s="7" t="n"/>
      <c r="AF1057" s="7" t="n"/>
      <c r="AG1057" s="7" t="n"/>
      <c r="AH1057" s="7" t="n"/>
      <c r="AI1057" s="7" t="n"/>
      <c r="AJ1057" s="7" t="n"/>
      <c r="AK1057" s="7" t="n"/>
      <c r="AL1057" s="7" t="n"/>
      <c r="AM1057" s="7" t="n"/>
      <c r="AN1057" s="7" t="n"/>
      <c r="AO1057" s="7" t="n"/>
      <c r="AP1057" s="7" t="n"/>
      <c r="AQ1057" s="7" t="n"/>
      <c r="AR1057" s="7" t="n"/>
      <c r="AS1057" s="7" t="n"/>
      <c r="AT1057" s="7" t="n"/>
      <c r="AU1057" s="7" t="n"/>
      <c r="AV1057" s="7" t="n"/>
      <c r="AW1057" s="7" t="n"/>
      <c r="AX1057" s="7" t="n"/>
      <c r="AY1057" s="7" t="n"/>
      <c r="BA1057" s="42">
        <f>IF(COUNT(B1057:AY1057)=0,"",IF(TRIM(A1057)&lt;&gt;"",TRIM(A1057),IF(BA1056="","(geen naam)",BA1056)))</f>
        <v/>
      </c>
      <c r="BB1057" s="42">
        <f>IF(BA1057="","",IF(ISNA(MATCH(BA1057,BA$120:BA1056,0)),MAX(BB$120:BB1056)+1,""))</f>
        <v/>
      </c>
    </row>
    <row r="1058">
      <c r="A1058" s="7" t="n"/>
      <c r="B1058" s="7" t="n"/>
      <c r="C1058" s="7" t="n"/>
      <c r="D1058" s="7" t="n"/>
      <c r="E1058" s="7" t="n"/>
      <c r="F1058" s="7" t="n"/>
      <c r="G1058" s="7" t="n"/>
      <c r="H1058" s="7" t="n"/>
      <c r="I1058" s="7" t="n"/>
      <c r="J1058" s="7" t="n"/>
      <c r="K1058" s="7" t="n"/>
      <c r="L1058" s="7" t="n"/>
      <c r="M1058" s="7" t="n"/>
      <c r="N1058" s="7" t="n"/>
      <c r="O1058" s="7" t="n"/>
      <c r="P1058" s="7" t="n"/>
      <c r="Q1058" s="7" t="n"/>
      <c r="R1058" s="7" t="n"/>
      <c r="S1058" s="7" t="n"/>
      <c r="T1058" s="7" t="n"/>
      <c r="U1058" s="7" t="n"/>
      <c r="V1058" s="7" t="n"/>
      <c r="W1058" s="7" t="n"/>
      <c r="X1058" s="7" t="n"/>
      <c r="Y1058" s="7" t="n"/>
      <c r="Z1058" s="7" t="n"/>
      <c r="AA1058" s="7" t="n"/>
      <c r="AB1058" s="7" t="n"/>
      <c r="AC1058" s="7" t="n"/>
      <c r="AD1058" s="7" t="n"/>
      <c r="AE1058" s="7" t="n"/>
      <c r="AF1058" s="7" t="n"/>
      <c r="AG1058" s="7" t="n"/>
      <c r="AH1058" s="7" t="n"/>
      <c r="AI1058" s="7" t="n"/>
      <c r="AJ1058" s="7" t="n"/>
      <c r="AK1058" s="7" t="n"/>
      <c r="AL1058" s="7" t="n"/>
      <c r="AM1058" s="7" t="n"/>
      <c r="AN1058" s="7" t="n"/>
      <c r="AO1058" s="7" t="n"/>
      <c r="AP1058" s="7" t="n"/>
      <c r="AQ1058" s="7" t="n"/>
      <c r="AR1058" s="7" t="n"/>
      <c r="AS1058" s="7" t="n"/>
      <c r="AT1058" s="7" t="n"/>
      <c r="AU1058" s="7" t="n"/>
      <c r="AV1058" s="7" t="n"/>
      <c r="AW1058" s="7" t="n"/>
      <c r="AX1058" s="7" t="n"/>
      <c r="AY1058" s="7" t="n"/>
      <c r="BA1058" s="42">
        <f>IF(COUNT(B1058:AY1058)=0,"",IF(TRIM(A1058)&lt;&gt;"",TRIM(A1058),IF(BA1057="","(geen naam)",BA1057)))</f>
        <v/>
      </c>
      <c r="BB1058" s="42">
        <f>IF(BA1058="","",IF(ISNA(MATCH(BA1058,BA$120:BA1057,0)),MAX(BB$120:BB1057)+1,""))</f>
        <v/>
      </c>
    </row>
    <row r="1059">
      <c r="A1059" s="7" t="n"/>
      <c r="B1059" s="7" t="n"/>
      <c r="C1059" s="7" t="n"/>
      <c r="D1059" s="7" t="n"/>
      <c r="E1059" s="7" t="n"/>
      <c r="F1059" s="7" t="n"/>
      <c r="G1059" s="7" t="n"/>
      <c r="H1059" s="7" t="n"/>
      <c r="I1059" s="7" t="n"/>
      <c r="J1059" s="7" t="n"/>
      <c r="K1059" s="7" t="n"/>
      <c r="L1059" s="7" t="n"/>
      <c r="M1059" s="7" t="n"/>
      <c r="N1059" s="7" t="n"/>
      <c r="O1059" s="7" t="n"/>
      <c r="P1059" s="7" t="n"/>
      <c r="Q1059" s="7" t="n"/>
      <c r="R1059" s="7" t="n"/>
      <c r="S1059" s="7" t="n"/>
      <c r="T1059" s="7" t="n"/>
      <c r="U1059" s="7" t="n"/>
      <c r="V1059" s="7" t="n"/>
      <c r="W1059" s="7" t="n"/>
      <c r="X1059" s="7" t="n"/>
      <c r="Y1059" s="7" t="n"/>
      <c r="Z1059" s="7" t="n"/>
      <c r="AA1059" s="7" t="n"/>
      <c r="AB1059" s="7" t="n"/>
      <c r="AC1059" s="7" t="n"/>
      <c r="AD1059" s="7" t="n"/>
      <c r="AE1059" s="7" t="n"/>
      <c r="AF1059" s="7" t="n"/>
      <c r="AG1059" s="7" t="n"/>
      <c r="AH1059" s="7" t="n"/>
      <c r="AI1059" s="7" t="n"/>
      <c r="AJ1059" s="7" t="n"/>
      <c r="AK1059" s="7" t="n"/>
      <c r="AL1059" s="7" t="n"/>
      <c r="AM1059" s="7" t="n"/>
      <c r="AN1059" s="7" t="n"/>
      <c r="AO1059" s="7" t="n"/>
      <c r="AP1059" s="7" t="n"/>
      <c r="AQ1059" s="7" t="n"/>
      <c r="AR1059" s="7" t="n"/>
      <c r="AS1059" s="7" t="n"/>
      <c r="AT1059" s="7" t="n"/>
      <c r="AU1059" s="7" t="n"/>
      <c r="AV1059" s="7" t="n"/>
      <c r="AW1059" s="7" t="n"/>
      <c r="AX1059" s="7" t="n"/>
      <c r="AY1059" s="7" t="n"/>
      <c r="BA1059" s="42">
        <f>IF(COUNT(B1059:AY1059)=0,"",IF(TRIM(A1059)&lt;&gt;"",TRIM(A1059),IF(BA1058="","(geen naam)",BA1058)))</f>
        <v/>
      </c>
      <c r="BB1059" s="42">
        <f>IF(BA1059="","",IF(ISNA(MATCH(BA1059,BA$120:BA1058,0)),MAX(BB$120:BB1058)+1,""))</f>
        <v/>
      </c>
    </row>
    <row r="1060">
      <c r="A1060" s="7" t="n"/>
      <c r="B1060" s="7" t="n"/>
      <c r="C1060" s="7" t="n"/>
      <c r="D1060" s="7" t="n"/>
      <c r="E1060" s="7" t="n"/>
      <c r="F1060" s="7" t="n"/>
      <c r="G1060" s="7" t="n"/>
      <c r="H1060" s="7" t="n"/>
      <c r="I1060" s="7" t="n"/>
      <c r="J1060" s="7" t="n"/>
      <c r="K1060" s="7" t="n"/>
      <c r="L1060" s="7" t="n"/>
      <c r="M1060" s="7" t="n"/>
      <c r="N1060" s="7" t="n"/>
      <c r="O1060" s="7" t="n"/>
      <c r="P1060" s="7" t="n"/>
      <c r="Q1060" s="7" t="n"/>
      <c r="R1060" s="7" t="n"/>
      <c r="S1060" s="7" t="n"/>
      <c r="T1060" s="7" t="n"/>
      <c r="U1060" s="7" t="n"/>
      <c r="V1060" s="7" t="n"/>
      <c r="W1060" s="7" t="n"/>
      <c r="X1060" s="7" t="n"/>
      <c r="Y1060" s="7" t="n"/>
      <c r="Z1060" s="7" t="n"/>
      <c r="AA1060" s="7" t="n"/>
      <c r="AB1060" s="7" t="n"/>
      <c r="AC1060" s="7" t="n"/>
      <c r="AD1060" s="7" t="n"/>
      <c r="AE1060" s="7" t="n"/>
      <c r="AF1060" s="7" t="n"/>
      <c r="AG1060" s="7" t="n"/>
      <c r="AH1060" s="7" t="n"/>
      <c r="AI1060" s="7" t="n"/>
      <c r="AJ1060" s="7" t="n"/>
      <c r="AK1060" s="7" t="n"/>
      <c r="AL1060" s="7" t="n"/>
      <c r="AM1060" s="7" t="n"/>
      <c r="AN1060" s="7" t="n"/>
      <c r="AO1060" s="7" t="n"/>
      <c r="AP1060" s="7" t="n"/>
      <c r="AQ1060" s="7" t="n"/>
      <c r="AR1060" s="7" t="n"/>
      <c r="AS1060" s="7" t="n"/>
      <c r="AT1060" s="7" t="n"/>
      <c r="AU1060" s="7" t="n"/>
      <c r="AV1060" s="7" t="n"/>
      <c r="AW1060" s="7" t="n"/>
      <c r="AX1060" s="7" t="n"/>
      <c r="AY1060" s="7" t="n"/>
      <c r="BA1060" s="42">
        <f>IF(COUNT(B1060:AY1060)=0,"",IF(TRIM(A1060)&lt;&gt;"",TRIM(A1060),IF(BA1059="","(geen naam)",BA1059)))</f>
        <v/>
      </c>
      <c r="BB1060" s="42">
        <f>IF(BA1060="","",IF(ISNA(MATCH(BA1060,BA$120:BA1059,0)),MAX(BB$120:BB1059)+1,""))</f>
        <v/>
      </c>
    </row>
    <row r="1061">
      <c r="A1061" s="7" t="n"/>
      <c r="B1061" s="7" t="n"/>
      <c r="C1061" s="7" t="n"/>
      <c r="D1061" s="7" t="n"/>
      <c r="E1061" s="7" t="n"/>
      <c r="F1061" s="7" t="n"/>
      <c r="G1061" s="7" t="n"/>
      <c r="H1061" s="7" t="n"/>
      <c r="I1061" s="7" t="n"/>
      <c r="J1061" s="7" t="n"/>
      <c r="K1061" s="7" t="n"/>
      <c r="L1061" s="7" t="n"/>
      <c r="M1061" s="7" t="n"/>
      <c r="N1061" s="7" t="n"/>
      <c r="O1061" s="7" t="n"/>
      <c r="P1061" s="7" t="n"/>
      <c r="Q1061" s="7" t="n"/>
      <c r="R1061" s="7" t="n"/>
      <c r="S1061" s="7" t="n"/>
      <c r="T1061" s="7" t="n"/>
      <c r="U1061" s="7" t="n"/>
      <c r="V1061" s="7" t="n"/>
      <c r="W1061" s="7" t="n"/>
      <c r="X1061" s="7" t="n"/>
      <c r="Y1061" s="7" t="n"/>
      <c r="Z1061" s="7" t="n"/>
      <c r="AA1061" s="7" t="n"/>
      <c r="AB1061" s="7" t="n"/>
      <c r="AC1061" s="7" t="n"/>
      <c r="AD1061" s="7" t="n"/>
      <c r="AE1061" s="7" t="n"/>
      <c r="AF1061" s="7" t="n"/>
      <c r="AG1061" s="7" t="n"/>
      <c r="AH1061" s="7" t="n"/>
      <c r="AI1061" s="7" t="n"/>
      <c r="AJ1061" s="7" t="n"/>
      <c r="AK1061" s="7" t="n"/>
      <c r="AL1061" s="7" t="n"/>
      <c r="AM1061" s="7" t="n"/>
      <c r="AN1061" s="7" t="n"/>
      <c r="AO1061" s="7" t="n"/>
      <c r="AP1061" s="7" t="n"/>
      <c r="AQ1061" s="7" t="n"/>
      <c r="AR1061" s="7" t="n"/>
      <c r="AS1061" s="7" t="n"/>
      <c r="AT1061" s="7" t="n"/>
      <c r="AU1061" s="7" t="n"/>
      <c r="AV1061" s="7" t="n"/>
      <c r="AW1061" s="7" t="n"/>
      <c r="AX1061" s="7" t="n"/>
      <c r="AY1061" s="7" t="n"/>
      <c r="BA1061" s="42">
        <f>IF(COUNT(B1061:AY1061)=0,"",IF(TRIM(A1061)&lt;&gt;"",TRIM(A1061),IF(BA1060="","(geen naam)",BA1060)))</f>
        <v/>
      </c>
      <c r="BB1061" s="42">
        <f>IF(BA1061="","",IF(ISNA(MATCH(BA1061,BA$120:BA1060,0)),MAX(BB$120:BB1060)+1,""))</f>
        <v/>
      </c>
    </row>
    <row r="1062">
      <c r="A1062" s="7" t="n"/>
      <c r="B1062" s="7" t="n"/>
      <c r="C1062" s="7" t="n"/>
      <c r="D1062" s="7" t="n"/>
      <c r="E1062" s="7" t="n"/>
      <c r="F1062" s="7" t="n"/>
      <c r="G1062" s="7" t="n"/>
      <c r="H1062" s="7" t="n"/>
      <c r="I1062" s="7" t="n"/>
      <c r="J1062" s="7" t="n"/>
      <c r="K1062" s="7" t="n"/>
      <c r="L1062" s="7" t="n"/>
      <c r="M1062" s="7" t="n"/>
      <c r="N1062" s="7" t="n"/>
      <c r="O1062" s="7" t="n"/>
      <c r="P1062" s="7" t="n"/>
      <c r="Q1062" s="7" t="n"/>
      <c r="R1062" s="7" t="n"/>
      <c r="S1062" s="7" t="n"/>
      <c r="T1062" s="7" t="n"/>
      <c r="U1062" s="7" t="n"/>
      <c r="V1062" s="7" t="n"/>
      <c r="W1062" s="7" t="n"/>
      <c r="X1062" s="7" t="n"/>
      <c r="Y1062" s="7" t="n"/>
      <c r="Z1062" s="7" t="n"/>
      <c r="AA1062" s="7" t="n"/>
      <c r="AB1062" s="7" t="n"/>
      <c r="AC1062" s="7" t="n"/>
      <c r="AD1062" s="7" t="n"/>
      <c r="AE1062" s="7" t="n"/>
      <c r="AF1062" s="7" t="n"/>
      <c r="AG1062" s="7" t="n"/>
      <c r="AH1062" s="7" t="n"/>
      <c r="AI1062" s="7" t="n"/>
      <c r="AJ1062" s="7" t="n"/>
      <c r="AK1062" s="7" t="n"/>
      <c r="AL1062" s="7" t="n"/>
      <c r="AM1062" s="7" t="n"/>
      <c r="AN1062" s="7" t="n"/>
      <c r="AO1062" s="7" t="n"/>
      <c r="AP1062" s="7" t="n"/>
      <c r="AQ1062" s="7" t="n"/>
      <c r="AR1062" s="7" t="n"/>
      <c r="AS1062" s="7" t="n"/>
      <c r="AT1062" s="7" t="n"/>
      <c r="AU1062" s="7" t="n"/>
      <c r="AV1062" s="7" t="n"/>
      <c r="AW1062" s="7" t="n"/>
      <c r="AX1062" s="7" t="n"/>
      <c r="AY1062" s="7" t="n"/>
      <c r="BA1062" s="42">
        <f>IF(COUNT(B1062:AY1062)=0,"",IF(TRIM(A1062)&lt;&gt;"",TRIM(A1062),IF(BA1061="","(geen naam)",BA1061)))</f>
        <v/>
      </c>
      <c r="BB1062" s="42">
        <f>IF(BA1062="","",IF(ISNA(MATCH(BA1062,BA$120:BA1061,0)),MAX(BB$120:BB1061)+1,""))</f>
        <v/>
      </c>
    </row>
    <row r="1063">
      <c r="A1063" s="7" t="n"/>
      <c r="B1063" s="7" t="n"/>
      <c r="C1063" s="7" t="n"/>
      <c r="D1063" s="7" t="n"/>
      <c r="E1063" s="7" t="n"/>
      <c r="F1063" s="7" t="n"/>
      <c r="G1063" s="7" t="n"/>
      <c r="H1063" s="7" t="n"/>
      <c r="I1063" s="7" t="n"/>
      <c r="J1063" s="7" t="n"/>
      <c r="K1063" s="7" t="n"/>
      <c r="L1063" s="7" t="n"/>
      <c r="M1063" s="7" t="n"/>
      <c r="N1063" s="7" t="n"/>
      <c r="O1063" s="7" t="n"/>
      <c r="P1063" s="7" t="n"/>
      <c r="Q1063" s="7" t="n"/>
      <c r="R1063" s="7" t="n"/>
      <c r="S1063" s="7" t="n"/>
      <c r="T1063" s="7" t="n"/>
      <c r="U1063" s="7" t="n"/>
      <c r="V1063" s="7" t="n"/>
      <c r="W1063" s="7" t="n"/>
      <c r="X1063" s="7" t="n"/>
      <c r="Y1063" s="7" t="n"/>
      <c r="Z1063" s="7" t="n"/>
      <c r="AA1063" s="7" t="n"/>
      <c r="AB1063" s="7" t="n"/>
      <c r="AC1063" s="7" t="n"/>
      <c r="AD1063" s="7" t="n"/>
      <c r="AE1063" s="7" t="n"/>
      <c r="AF1063" s="7" t="n"/>
      <c r="AG1063" s="7" t="n"/>
      <c r="AH1063" s="7" t="n"/>
      <c r="AI1063" s="7" t="n"/>
      <c r="AJ1063" s="7" t="n"/>
      <c r="AK1063" s="7" t="n"/>
      <c r="AL1063" s="7" t="n"/>
      <c r="AM1063" s="7" t="n"/>
      <c r="AN1063" s="7" t="n"/>
      <c r="AO1063" s="7" t="n"/>
      <c r="AP1063" s="7" t="n"/>
      <c r="AQ1063" s="7" t="n"/>
      <c r="AR1063" s="7" t="n"/>
      <c r="AS1063" s="7" t="n"/>
      <c r="AT1063" s="7" t="n"/>
      <c r="AU1063" s="7" t="n"/>
      <c r="AV1063" s="7" t="n"/>
      <c r="AW1063" s="7" t="n"/>
      <c r="AX1063" s="7" t="n"/>
      <c r="AY1063" s="7" t="n"/>
      <c r="BA1063" s="42">
        <f>IF(COUNT(B1063:AY1063)=0,"",IF(TRIM(A1063)&lt;&gt;"",TRIM(A1063),IF(BA1062="","(geen naam)",BA1062)))</f>
        <v/>
      </c>
      <c r="BB1063" s="42">
        <f>IF(BA1063="","",IF(ISNA(MATCH(BA1063,BA$120:BA1062,0)),MAX(BB$120:BB1062)+1,""))</f>
        <v/>
      </c>
    </row>
    <row r="1064">
      <c r="A1064" s="7" t="n"/>
      <c r="B1064" s="7" t="n"/>
      <c r="C1064" s="7" t="n"/>
      <c r="D1064" s="7" t="n"/>
      <c r="E1064" s="7" t="n"/>
      <c r="F1064" s="7" t="n"/>
      <c r="G1064" s="7" t="n"/>
      <c r="H1064" s="7" t="n"/>
      <c r="I1064" s="7" t="n"/>
      <c r="J1064" s="7" t="n"/>
      <c r="K1064" s="7" t="n"/>
      <c r="L1064" s="7" t="n"/>
      <c r="M1064" s="7" t="n"/>
      <c r="N1064" s="7" t="n"/>
      <c r="O1064" s="7" t="n"/>
      <c r="P1064" s="7" t="n"/>
      <c r="Q1064" s="7" t="n"/>
      <c r="R1064" s="7" t="n"/>
      <c r="S1064" s="7" t="n"/>
      <c r="T1064" s="7" t="n"/>
      <c r="U1064" s="7" t="n"/>
      <c r="V1064" s="7" t="n"/>
      <c r="W1064" s="7" t="n"/>
      <c r="X1064" s="7" t="n"/>
      <c r="Y1064" s="7" t="n"/>
      <c r="Z1064" s="7" t="n"/>
      <c r="AA1064" s="7" t="n"/>
      <c r="AB1064" s="7" t="n"/>
      <c r="AC1064" s="7" t="n"/>
      <c r="AD1064" s="7" t="n"/>
      <c r="AE1064" s="7" t="n"/>
      <c r="AF1064" s="7" t="n"/>
      <c r="AG1064" s="7" t="n"/>
      <c r="AH1064" s="7" t="n"/>
      <c r="AI1064" s="7" t="n"/>
      <c r="AJ1064" s="7" t="n"/>
      <c r="AK1064" s="7" t="n"/>
      <c r="AL1064" s="7" t="n"/>
      <c r="AM1064" s="7" t="n"/>
      <c r="AN1064" s="7" t="n"/>
      <c r="AO1064" s="7" t="n"/>
      <c r="AP1064" s="7" t="n"/>
      <c r="AQ1064" s="7" t="n"/>
      <c r="AR1064" s="7" t="n"/>
      <c r="AS1064" s="7" t="n"/>
      <c r="AT1064" s="7" t="n"/>
      <c r="AU1064" s="7" t="n"/>
      <c r="AV1064" s="7" t="n"/>
      <c r="AW1064" s="7" t="n"/>
      <c r="AX1064" s="7" t="n"/>
      <c r="AY1064" s="7" t="n"/>
      <c r="BA1064" s="42">
        <f>IF(COUNT(B1064:AY1064)=0,"",IF(TRIM(A1064)&lt;&gt;"",TRIM(A1064),IF(BA1063="","(geen naam)",BA1063)))</f>
        <v/>
      </c>
      <c r="BB1064" s="42">
        <f>IF(BA1064="","",IF(ISNA(MATCH(BA1064,BA$120:BA1063,0)),MAX(BB$120:BB1063)+1,""))</f>
        <v/>
      </c>
    </row>
    <row r="1065">
      <c r="A1065" s="7" t="n"/>
      <c r="B1065" s="7" t="n"/>
      <c r="C1065" s="7" t="n"/>
      <c r="D1065" s="7" t="n"/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/>
      <c r="N1065" s="7" t="n"/>
      <c r="O1065" s="7" t="n"/>
      <c r="P1065" s="7" t="n"/>
      <c r="Q1065" s="7" t="n"/>
      <c r="R1065" s="7" t="n"/>
      <c r="S1065" s="7" t="n"/>
      <c r="T1065" s="7" t="n"/>
      <c r="U1065" s="7" t="n"/>
      <c r="V1065" s="7" t="n"/>
      <c r="W1065" s="7" t="n"/>
      <c r="X1065" s="7" t="n"/>
      <c r="Y1065" s="7" t="n"/>
      <c r="Z1065" s="7" t="n"/>
      <c r="AA1065" s="7" t="n"/>
      <c r="AB1065" s="7" t="n"/>
      <c r="AC1065" s="7" t="n"/>
      <c r="AD1065" s="7" t="n"/>
      <c r="AE1065" s="7" t="n"/>
      <c r="AF1065" s="7" t="n"/>
      <c r="AG1065" s="7" t="n"/>
      <c r="AH1065" s="7" t="n"/>
      <c r="AI1065" s="7" t="n"/>
      <c r="AJ1065" s="7" t="n"/>
      <c r="AK1065" s="7" t="n"/>
      <c r="AL1065" s="7" t="n"/>
      <c r="AM1065" s="7" t="n"/>
      <c r="AN1065" s="7" t="n"/>
      <c r="AO1065" s="7" t="n"/>
      <c r="AP1065" s="7" t="n"/>
      <c r="AQ1065" s="7" t="n"/>
      <c r="AR1065" s="7" t="n"/>
      <c r="AS1065" s="7" t="n"/>
      <c r="AT1065" s="7" t="n"/>
      <c r="AU1065" s="7" t="n"/>
      <c r="AV1065" s="7" t="n"/>
      <c r="AW1065" s="7" t="n"/>
      <c r="AX1065" s="7" t="n"/>
      <c r="AY1065" s="7" t="n"/>
      <c r="BA1065" s="42">
        <f>IF(COUNT(B1065:AY1065)=0,"",IF(TRIM(A1065)&lt;&gt;"",TRIM(A1065),IF(BA1064="","(geen naam)",BA1064)))</f>
        <v/>
      </c>
      <c r="BB1065" s="42">
        <f>IF(BA1065="","",IF(ISNA(MATCH(BA1065,BA$120:BA1064,0)),MAX(BB$120:BB1064)+1,""))</f>
        <v/>
      </c>
    </row>
    <row r="1066">
      <c r="A1066" s="7" t="n"/>
      <c r="B1066" s="7" t="n"/>
      <c r="C1066" s="7" t="n"/>
      <c r="D1066" s="7" t="n"/>
      <c r="E1066" s="7" t="n"/>
      <c r="F1066" s="7" t="n"/>
      <c r="G1066" s="7" t="n"/>
      <c r="H1066" s="7" t="n"/>
      <c r="I1066" s="7" t="n"/>
      <c r="J1066" s="7" t="n"/>
      <c r="K1066" s="7" t="n"/>
      <c r="L1066" s="7" t="n"/>
      <c r="M1066" s="7" t="n"/>
      <c r="N1066" s="7" t="n"/>
      <c r="O1066" s="7" t="n"/>
      <c r="P1066" s="7" t="n"/>
      <c r="Q1066" s="7" t="n"/>
      <c r="R1066" s="7" t="n"/>
      <c r="S1066" s="7" t="n"/>
      <c r="T1066" s="7" t="n"/>
      <c r="U1066" s="7" t="n"/>
      <c r="V1066" s="7" t="n"/>
      <c r="W1066" s="7" t="n"/>
      <c r="X1066" s="7" t="n"/>
      <c r="Y1066" s="7" t="n"/>
      <c r="Z1066" s="7" t="n"/>
      <c r="AA1066" s="7" t="n"/>
      <c r="AB1066" s="7" t="n"/>
      <c r="AC1066" s="7" t="n"/>
      <c r="AD1066" s="7" t="n"/>
      <c r="AE1066" s="7" t="n"/>
      <c r="AF1066" s="7" t="n"/>
      <c r="AG1066" s="7" t="n"/>
      <c r="AH1066" s="7" t="n"/>
      <c r="AI1066" s="7" t="n"/>
      <c r="AJ1066" s="7" t="n"/>
      <c r="AK1066" s="7" t="n"/>
      <c r="AL1066" s="7" t="n"/>
      <c r="AM1066" s="7" t="n"/>
      <c r="AN1066" s="7" t="n"/>
      <c r="AO1066" s="7" t="n"/>
      <c r="AP1066" s="7" t="n"/>
      <c r="AQ1066" s="7" t="n"/>
      <c r="AR1066" s="7" t="n"/>
      <c r="AS1066" s="7" t="n"/>
      <c r="AT1066" s="7" t="n"/>
      <c r="AU1066" s="7" t="n"/>
      <c r="AV1066" s="7" t="n"/>
      <c r="AW1066" s="7" t="n"/>
      <c r="AX1066" s="7" t="n"/>
      <c r="AY1066" s="7" t="n"/>
      <c r="BA1066" s="42">
        <f>IF(COUNT(B1066:AY1066)=0,"",IF(TRIM(A1066)&lt;&gt;"",TRIM(A1066),IF(BA1065="","(geen naam)",BA1065)))</f>
        <v/>
      </c>
      <c r="BB1066" s="42">
        <f>IF(BA1066="","",IF(ISNA(MATCH(BA1066,BA$120:BA1065,0)),MAX(BB$120:BB1065)+1,""))</f>
        <v/>
      </c>
    </row>
    <row r="1067">
      <c r="A1067" s="7" t="n"/>
      <c r="B1067" s="7" t="n"/>
      <c r="C1067" s="7" t="n"/>
      <c r="D1067" s="7" t="n"/>
      <c r="E1067" s="7" t="n"/>
      <c r="F1067" s="7" t="n"/>
      <c r="G1067" s="7" t="n"/>
      <c r="H1067" s="7" t="n"/>
      <c r="I1067" s="7" t="n"/>
      <c r="J1067" s="7" t="n"/>
      <c r="K1067" s="7" t="n"/>
      <c r="L1067" s="7" t="n"/>
      <c r="M1067" s="7" t="n"/>
      <c r="N1067" s="7" t="n"/>
      <c r="O1067" s="7" t="n"/>
      <c r="P1067" s="7" t="n"/>
      <c r="Q1067" s="7" t="n"/>
      <c r="R1067" s="7" t="n"/>
      <c r="S1067" s="7" t="n"/>
      <c r="T1067" s="7" t="n"/>
      <c r="U1067" s="7" t="n"/>
      <c r="V1067" s="7" t="n"/>
      <c r="W1067" s="7" t="n"/>
      <c r="X1067" s="7" t="n"/>
      <c r="Y1067" s="7" t="n"/>
      <c r="Z1067" s="7" t="n"/>
      <c r="AA1067" s="7" t="n"/>
      <c r="AB1067" s="7" t="n"/>
      <c r="AC1067" s="7" t="n"/>
      <c r="AD1067" s="7" t="n"/>
      <c r="AE1067" s="7" t="n"/>
      <c r="AF1067" s="7" t="n"/>
      <c r="AG1067" s="7" t="n"/>
      <c r="AH1067" s="7" t="n"/>
      <c r="AI1067" s="7" t="n"/>
      <c r="AJ1067" s="7" t="n"/>
      <c r="AK1067" s="7" t="n"/>
      <c r="AL1067" s="7" t="n"/>
      <c r="AM1067" s="7" t="n"/>
      <c r="AN1067" s="7" t="n"/>
      <c r="AO1067" s="7" t="n"/>
      <c r="AP1067" s="7" t="n"/>
      <c r="AQ1067" s="7" t="n"/>
      <c r="AR1067" s="7" t="n"/>
      <c r="AS1067" s="7" t="n"/>
      <c r="AT1067" s="7" t="n"/>
      <c r="AU1067" s="7" t="n"/>
      <c r="AV1067" s="7" t="n"/>
      <c r="AW1067" s="7" t="n"/>
      <c r="AX1067" s="7" t="n"/>
      <c r="AY1067" s="7" t="n"/>
      <c r="BA1067" s="42">
        <f>IF(COUNT(B1067:AY1067)=0,"",IF(TRIM(A1067)&lt;&gt;"",TRIM(A1067),IF(BA1066="","(geen naam)",BA1066)))</f>
        <v/>
      </c>
      <c r="BB1067" s="42">
        <f>IF(BA1067="","",IF(ISNA(MATCH(BA1067,BA$120:BA1066,0)),MAX(BB$120:BB1066)+1,""))</f>
        <v/>
      </c>
    </row>
    <row r="1068">
      <c r="A1068" s="7" t="n"/>
      <c r="B1068" s="7" t="n"/>
      <c r="C1068" s="7" t="n"/>
      <c r="D1068" s="7" t="n"/>
      <c r="E1068" s="7" t="n"/>
      <c r="F1068" s="7" t="n"/>
      <c r="G1068" s="7" t="n"/>
      <c r="H1068" s="7" t="n"/>
      <c r="I1068" s="7" t="n"/>
      <c r="J1068" s="7" t="n"/>
      <c r="K1068" s="7" t="n"/>
      <c r="L1068" s="7" t="n"/>
      <c r="M1068" s="7" t="n"/>
      <c r="N1068" s="7" t="n"/>
      <c r="O1068" s="7" t="n"/>
      <c r="P1068" s="7" t="n"/>
      <c r="Q1068" s="7" t="n"/>
      <c r="R1068" s="7" t="n"/>
      <c r="S1068" s="7" t="n"/>
      <c r="T1068" s="7" t="n"/>
      <c r="U1068" s="7" t="n"/>
      <c r="V1068" s="7" t="n"/>
      <c r="W1068" s="7" t="n"/>
      <c r="X1068" s="7" t="n"/>
      <c r="Y1068" s="7" t="n"/>
      <c r="Z1068" s="7" t="n"/>
      <c r="AA1068" s="7" t="n"/>
      <c r="AB1068" s="7" t="n"/>
      <c r="AC1068" s="7" t="n"/>
      <c r="AD1068" s="7" t="n"/>
      <c r="AE1068" s="7" t="n"/>
      <c r="AF1068" s="7" t="n"/>
      <c r="AG1068" s="7" t="n"/>
      <c r="AH1068" s="7" t="n"/>
      <c r="AI1068" s="7" t="n"/>
      <c r="AJ1068" s="7" t="n"/>
      <c r="AK1068" s="7" t="n"/>
      <c r="AL1068" s="7" t="n"/>
      <c r="AM1068" s="7" t="n"/>
      <c r="AN1068" s="7" t="n"/>
      <c r="AO1068" s="7" t="n"/>
      <c r="AP1068" s="7" t="n"/>
      <c r="AQ1068" s="7" t="n"/>
      <c r="AR1068" s="7" t="n"/>
      <c r="AS1068" s="7" t="n"/>
      <c r="AT1068" s="7" t="n"/>
      <c r="AU1068" s="7" t="n"/>
      <c r="AV1068" s="7" t="n"/>
      <c r="AW1068" s="7" t="n"/>
      <c r="AX1068" s="7" t="n"/>
      <c r="AY1068" s="7" t="n"/>
      <c r="BA1068" s="42">
        <f>IF(COUNT(B1068:AY1068)=0,"",IF(TRIM(A1068)&lt;&gt;"",TRIM(A1068),IF(BA1067="","(geen naam)",BA1067)))</f>
        <v/>
      </c>
      <c r="BB1068" s="42">
        <f>IF(BA1068="","",IF(ISNA(MATCH(BA1068,BA$120:BA1067,0)),MAX(BB$120:BB1067)+1,""))</f>
        <v/>
      </c>
    </row>
    <row r="1069">
      <c r="A1069" s="7" t="n"/>
      <c r="B1069" s="7" t="n"/>
      <c r="C1069" s="7" t="n"/>
      <c r="D1069" s="7" t="n"/>
      <c r="E1069" s="7" t="n"/>
      <c r="F1069" s="7" t="n"/>
      <c r="G1069" s="7" t="n"/>
      <c r="H1069" s="7" t="n"/>
      <c r="I1069" s="7" t="n"/>
      <c r="J1069" s="7" t="n"/>
      <c r="K1069" s="7" t="n"/>
      <c r="L1069" s="7" t="n"/>
      <c r="M1069" s="7" t="n"/>
      <c r="N1069" s="7" t="n"/>
      <c r="O1069" s="7" t="n"/>
      <c r="P1069" s="7" t="n"/>
      <c r="Q1069" s="7" t="n"/>
      <c r="R1069" s="7" t="n"/>
      <c r="S1069" s="7" t="n"/>
      <c r="T1069" s="7" t="n"/>
      <c r="U1069" s="7" t="n"/>
      <c r="V1069" s="7" t="n"/>
      <c r="W1069" s="7" t="n"/>
      <c r="X1069" s="7" t="n"/>
      <c r="Y1069" s="7" t="n"/>
      <c r="Z1069" s="7" t="n"/>
      <c r="AA1069" s="7" t="n"/>
      <c r="AB1069" s="7" t="n"/>
      <c r="AC1069" s="7" t="n"/>
      <c r="AD1069" s="7" t="n"/>
      <c r="AE1069" s="7" t="n"/>
      <c r="AF1069" s="7" t="n"/>
      <c r="AG1069" s="7" t="n"/>
      <c r="AH1069" s="7" t="n"/>
      <c r="AI1069" s="7" t="n"/>
      <c r="AJ1069" s="7" t="n"/>
      <c r="AK1069" s="7" t="n"/>
      <c r="AL1069" s="7" t="n"/>
      <c r="AM1069" s="7" t="n"/>
      <c r="AN1069" s="7" t="n"/>
      <c r="AO1069" s="7" t="n"/>
      <c r="AP1069" s="7" t="n"/>
      <c r="AQ1069" s="7" t="n"/>
      <c r="AR1069" s="7" t="n"/>
      <c r="AS1069" s="7" t="n"/>
      <c r="AT1069" s="7" t="n"/>
      <c r="AU1069" s="7" t="n"/>
      <c r="AV1069" s="7" t="n"/>
      <c r="AW1069" s="7" t="n"/>
      <c r="AX1069" s="7" t="n"/>
      <c r="AY1069" s="7" t="n"/>
      <c r="BA1069" s="42">
        <f>IF(COUNT(B1069:AY1069)=0,"",IF(TRIM(A1069)&lt;&gt;"",TRIM(A1069),IF(BA1068="","(geen naam)",BA1068)))</f>
        <v/>
      </c>
      <c r="BB1069" s="42">
        <f>IF(BA1069="","",IF(ISNA(MATCH(BA1069,BA$120:BA1068,0)),MAX(BB$120:BB1068)+1,""))</f>
        <v/>
      </c>
    </row>
    <row r="1070">
      <c r="A1070" s="7" t="n"/>
      <c r="B1070" s="7" t="n"/>
      <c r="C1070" s="7" t="n"/>
      <c r="D1070" s="7" t="n"/>
      <c r="E1070" s="7" t="n"/>
      <c r="F1070" s="7" t="n"/>
      <c r="G1070" s="7" t="n"/>
      <c r="H1070" s="7" t="n"/>
      <c r="I1070" s="7" t="n"/>
      <c r="J1070" s="7" t="n"/>
      <c r="K1070" s="7" t="n"/>
      <c r="L1070" s="7" t="n"/>
      <c r="M1070" s="7" t="n"/>
      <c r="N1070" s="7" t="n"/>
      <c r="O1070" s="7" t="n"/>
      <c r="P1070" s="7" t="n"/>
      <c r="Q1070" s="7" t="n"/>
      <c r="R1070" s="7" t="n"/>
      <c r="S1070" s="7" t="n"/>
      <c r="T1070" s="7" t="n"/>
      <c r="U1070" s="7" t="n"/>
      <c r="V1070" s="7" t="n"/>
      <c r="W1070" s="7" t="n"/>
      <c r="X1070" s="7" t="n"/>
      <c r="Y1070" s="7" t="n"/>
      <c r="Z1070" s="7" t="n"/>
      <c r="AA1070" s="7" t="n"/>
      <c r="AB1070" s="7" t="n"/>
      <c r="AC1070" s="7" t="n"/>
      <c r="AD1070" s="7" t="n"/>
      <c r="AE1070" s="7" t="n"/>
      <c r="AF1070" s="7" t="n"/>
      <c r="AG1070" s="7" t="n"/>
      <c r="AH1070" s="7" t="n"/>
      <c r="AI1070" s="7" t="n"/>
      <c r="AJ1070" s="7" t="n"/>
      <c r="AK1070" s="7" t="n"/>
      <c r="AL1070" s="7" t="n"/>
      <c r="AM1070" s="7" t="n"/>
      <c r="AN1070" s="7" t="n"/>
      <c r="AO1070" s="7" t="n"/>
      <c r="AP1070" s="7" t="n"/>
      <c r="AQ1070" s="7" t="n"/>
      <c r="AR1070" s="7" t="n"/>
      <c r="AS1070" s="7" t="n"/>
      <c r="AT1070" s="7" t="n"/>
      <c r="AU1070" s="7" t="n"/>
      <c r="AV1070" s="7" t="n"/>
      <c r="AW1070" s="7" t="n"/>
      <c r="AX1070" s="7" t="n"/>
      <c r="AY1070" s="7" t="n"/>
      <c r="BA1070" s="42">
        <f>IF(COUNT(B1070:AY1070)=0,"",IF(TRIM(A1070)&lt;&gt;"",TRIM(A1070),IF(BA1069="","(geen naam)",BA1069)))</f>
        <v/>
      </c>
      <c r="BB1070" s="42">
        <f>IF(BA1070="","",IF(ISNA(MATCH(BA1070,BA$120:BA1069,0)),MAX(BB$120:BB1069)+1,""))</f>
        <v/>
      </c>
    </row>
    <row r="1071">
      <c r="A1071" s="7" t="n"/>
      <c r="B1071" s="7" t="n"/>
      <c r="C1071" s="7" t="n"/>
      <c r="D1071" s="7" t="n"/>
      <c r="E1071" s="7" t="n"/>
      <c r="F1071" s="7" t="n"/>
      <c r="G1071" s="7" t="n"/>
      <c r="H1071" s="7" t="n"/>
      <c r="I1071" s="7" t="n"/>
      <c r="J1071" s="7" t="n"/>
      <c r="K1071" s="7" t="n"/>
      <c r="L1071" s="7" t="n"/>
      <c r="M1071" s="7" t="n"/>
      <c r="N1071" s="7" t="n"/>
      <c r="O1071" s="7" t="n"/>
      <c r="P1071" s="7" t="n"/>
      <c r="Q1071" s="7" t="n"/>
      <c r="R1071" s="7" t="n"/>
      <c r="S1071" s="7" t="n"/>
      <c r="T1071" s="7" t="n"/>
      <c r="U1071" s="7" t="n"/>
      <c r="V1071" s="7" t="n"/>
      <c r="W1071" s="7" t="n"/>
      <c r="X1071" s="7" t="n"/>
      <c r="Y1071" s="7" t="n"/>
      <c r="Z1071" s="7" t="n"/>
      <c r="AA1071" s="7" t="n"/>
      <c r="AB1071" s="7" t="n"/>
      <c r="AC1071" s="7" t="n"/>
      <c r="AD1071" s="7" t="n"/>
      <c r="AE1071" s="7" t="n"/>
      <c r="AF1071" s="7" t="n"/>
      <c r="AG1071" s="7" t="n"/>
      <c r="AH1071" s="7" t="n"/>
      <c r="AI1071" s="7" t="n"/>
      <c r="AJ1071" s="7" t="n"/>
      <c r="AK1071" s="7" t="n"/>
      <c r="AL1071" s="7" t="n"/>
      <c r="AM1071" s="7" t="n"/>
      <c r="AN1071" s="7" t="n"/>
      <c r="AO1071" s="7" t="n"/>
      <c r="AP1071" s="7" t="n"/>
      <c r="AQ1071" s="7" t="n"/>
      <c r="AR1071" s="7" t="n"/>
      <c r="AS1071" s="7" t="n"/>
      <c r="AT1071" s="7" t="n"/>
      <c r="AU1071" s="7" t="n"/>
      <c r="AV1071" s="7" t="n"/>
      <c r="AW1071" s="7" t="n"/>
      <c r="AX1071" s="7" t="n"/>
      <c r="AY1071" s="7" t="n"/>
      <c r="BA1071" s="42">
        <f>IF(COUNT(B1071:AY1071)=0,"",IF(TRIM(A1071)&lt;&gt;"",TRIM(A1071),IF(BA1070="","(geen naam)",BA1070)))</f>
        <v/>
      </c>
      <c r="BB1071" s="42">
        <f>IF(BA1071="","",IF(ISNA(MATCH(BA1071,BA$120:BA1070,0)),MAX(BB$120:BB1070)+1,""))</f>
        <v/>
      </c>
    </row>
    <row r="1072">
      <c r="A1072" s="7" t="n"/>
      <c r="B1072" s="7" t="n"/>
      <c r="C1072" s="7" t="n"/>
      <c r="D1072" s="7" t="n"/>
      <c r="E1072" s="7" t="n"/>
      <c r="F1072" s="7" t="n"/>
      <c r="G1072" s="7" t="n"/>
      <c r="H1072" s="7" t="n"/>
      <c r="I1072" s="7" t="n"/>
      <c r="J1072" s="7" t="n"/>
      <c r="K1072" s="7" t="n"/>
      <c r="L1072" s="7" t="n"/>
      <c r="M1072" s="7" t="n"/>
      <c r="N1072" s="7" t="n"/>
      <c r="O1072" s="7" t="n"/>
      <c r="P1072" s="7" t="n"/>
      <c r="Q1072" s="7" t="n"/>
      <c r="R1072" s="7" t="n"/>
      <c r="S1072" s="7" t="n"/>
      <c r="T1072" s="7" t="n"/>
      <c r="U1072" s="7" t="n"/>
      <c r="V1072" s="7" t="n"/>
      <c r="W1072" s="7" t="n"/>
      <c r="X1072" s="7" t="n"/>
      <c r="Y1072" s="7" t="n"/>
      <c r="Z1072" s="7" t="n"/>
      <c r="AA1072" s="7" t="n"/>
      <c r="AB1072" s="7" t="n"/>
      <c r="AC1072" s="7" t="n"/>
      <c r="AD1072" s="7" t="n"/>
      <c r="AE1072" s="7" t="n"/>
      <c r="AF1072" s="7" t="n"/>
      <c r="AG1072" s="7" t="n"/>
      <c r="AH1072" s="7" t="n"/>
      <c r="AI1072" s="7" t="n"/>
      <c r="AJ1072" s="7" t="n"/>
      <c r="AK1072" s="7" t="n"/>
      <c r="AL1072" s="7" t="n"/>
      <c r="AM1072" s="7" t="n"/>
      <c r="AN1072" s="7" t="n"/>
      <c r="AO1072" s="7" t="n"/>
      <c r="AP1072" s="7" t="n"/>
      <c r="AQ1072" s="7" t="n"/>
      <c r="AR1072" s="7" t="n"/>
      <c r="AS1072" s="7" t="n"/>
      <c r="AT1072" s="7" t="n"/>
      <c r="AU1072" s="7" t="n"/>
      <c r="AV1072" s="7" t="n"/>
      <c r="AW1072" s="7" t="n"/>
      <c r="AX1072" s="7" t="n"/>
      <c r="AY1072" s="7" t="n"/>
      <c r="BA1072" s="42">
        <f>IF(COUNT(B1072:AY1072)=0,"",IF(TRIM(A1072)&lt;&gt;"",TRIM(A1072),IF(BA1071="","(geen naam)",BA1071)))</f>
        <v/>
      </c>
      <c r="BB1072" s="42">
        <f>IF(BA1072="","",IF(ISNA(MATCH(BA1072,BA$120:BA1071,0)),MAX(BB$120:BB1071)+1,""))</f>
        <v/>
      </c>
    </row>
    <row r="1073">
      <c r="A1073" s="7" t="n"/>
      <c r="B1073" s="7" t="n"/>
      <c r="C1073" s="7" t="n"/>
      <c r="D1073" s="7" t="n"/>
      <c r="E1073" s="7" t="n"/>
      <c r="F1073" s="7" t="n"/>
      <c r="G1073" s="7" t="n"/>
      <c r="H1073" s="7" t="n"/>
      <c r="I1073" s="7" t="n"/>
      <c r="J1073" s="7" t="n"/>
      <c r="K1073" s="7" t="n"/>
      <c r="L1073" s="7" t="n"/>
      <c r="M1073" s="7" t="n"/>
      <c r="N1073" s="7" t="n"/>
      <c r="O1073" s="7" t="n"/>
      <c r="P1073" s="7" t="n"/>
      <c r="Q1073" s="7" t="n"/>
      <c r="R1073" s="7" t="n"/>
      <c r="S1073" s="7" t="n"/>
      <c r="T1073" s="7" t="n"/>
      <c r="U1073" s="7" t="n"/>
      <c r="V1073" s="7" t="n"/>
      <c r="W1073" s="7" t="n"/>
      <c r="X1073" s="7" t="n"/>
      <c r="Y1073" s="7" t="n"/>
      <c r="Z1073" s="7" t="n"/>
      <c r="AA1073" s="7" t="n"/>
      <c r="AB1073" s="7" t="n"/>
      <c r="AC1073" s="7" t="n"/>
      <c r="AD1073" s="7" t="n"/>
      <c r="AE1073" s="7" t="n"/>
      <c r="AF1073" s="7" t="n"/>
      <c r="AG1073" s="7" t="n"/>
      <c r="AH1073" s="7" t="n"/>
      <c r="AI1073" s="7" t="n"/>
      <c r="AJ1073" s="7" t="n"/>
      <c r="AK1073" s="7" t="n"/>
      <c r="AL1073" s="7" t="n"/>
      <c r="AM1073" s="7" t="n"/>
      <c r="AN1073" s="7" t="n"/>
      <c r="AO1073" s="7" t="n"/>
      <c r="AP1073" s="7" t="n"/>
      <c r="AQ1073" s="7" t="n"/>
      <c r="AR1073" s="7" t="n"/>
      <c r="AS1073" s="7" t="n"/>
      <c r="AT1073" s="7" t="n"/>
      <c r="AU1073" s="7" t="n"/>
      <c r="AV1073" s="7" t="n"/>
      <c r="AW1073" s="7" t="n"/>
      <c r="AX1073" s="7" t="n"/>
      <c r="AY1073" s="7" t="n"/>
      <c r="BA1073" s="42">
        <f>IF(COUNT(B1073:AY1073)=0,"",IF(TRIM(A1073)&lt;&gt;"",TRIM(A1073),IF(BA1072="","(geen naam)",BA1072)))</f>
        <v/>
      </c>
      <c r="BB1073" s="42">
        <f>IF(BA1073="","",IF(ISNA(MATCH(BA1073,BA$120:BA1072,0)),MAX(BB$120:BB1072)+1,""))</f>
        <v/>
      </c>
    </row>
    <row r="1074">
      <c r="A1074" s="7" t="n"/>
      <c r="B1074" s="7" t="n"/>
      <c r="C1074" s="7" t="n"/>
      <c r="D1074" s="7" t="n"/>
      <c r="E1074" s="7" t="n"/>
      <c r="F1074" s="7" t="n"/>
      <c r="G1074" s="7" t="n"/>
      <c r="H1074" s="7" t="n"/>
      <c r="I1074" s="7" t="n"/>
      <c r="J1074" s="7" t="n"/>
      <c r="K1074" s="7" t="n"/>
      <c r="L1074" s="7" t="n"/>
      <c r="M1074" s="7" t="n"/>
      <c r="N1074" s="7" t="n"/>
      <c r="O1074" s="7" t="n"/>
      <c r="P1074" s="7" t="n"/>
      <c r="Q1074" s="7" t="n"/>
      <c r="R1074" s="7" t="n"/>
      <c r="S1074" s="7" t="n"/>
      <c r="T1074" s="7" t="n"/>
      <c r="U1074" s="7" t="n"/>
      <c r="V1074" s="7" t="n"/>
      <c r="W1074" s="7" t="n"/>
      <c r="X1074" s="7" t="n"/>
      <c r="Y1074" s="7" t="n"/>
      <c r="Z1074" s="7" t="n"/>
      <c r="AA1074" s="7" t="n"/>
      <c r="AB1074" s="7" t="n"/>
      <c r="AC1074" s="7" t="n"/>
      <c r="AD1074" s="7" t="n"/>
      <c r="AE1074" s="7" t="n"/>
      <c r="AF1074" s="7" t="n"/>
      <c r="AG1074" s="7" t="n"/>
      <c r="AH1074" s="7" t="n"/>
      <c r="AI1074" s="7" t="n"/>
      <c r="AJ1074" s="7" t="n"/>
      <c r="AK1074" s="7" t="n"/>
      <c r="AL1074" s="7" t="n"/>
      <c r="AM1074" s="7" t="n"/>
      <c r="AN1074" s="7" t="n"/>
      <c r="AO1074" s="7" t="n"/>
      <c r="AP1074" s="7" t="n"/>
      <c r="AQ1074" s="7" t="n"/>
      <c r="AR1074" s="7" t="n"/>
      <c r="AS1074" s="7" t="n"/>
      <c r="AT1074" s="7" t="n"/>
      <c r="AU1074" s="7" t="n"/>
      <c r="AV1074" s="7" t="n"/>
      <c r="AW1074" s="7" t="n"/>
      <c r="AX1074" s="7" t="n"/>
      <c r="AY1074" s="7" t="n"/>
      <c r="BA1074" s="42">
        <f>IF(COUNT(B1074:AY1074)=0,"",IF(TRIM(A1074)&lt;&gt;"",TRIM(A1074),IF(BA1073="","(geen naam)",BA1073)))</f>
        <v/>
      </c>
      <c r="BB1074" s="42">
        <f>IF(BA1074="","",IF(ISNA(MATCH(BA1074,BA$120:BA1073,0)),MAX(BB$120:BB1073)+1,""))</f>
        <v/>
      </c>
    </row>
    <row r="1075">
      <c r="A1075" s="7" t="n"/>
      <c r="B1075" s="7" t="n"/>
      <c r="C1075" s="7" t="n"/>
      <c r="D1075" s="7" t="n"/>
      <c r="E1075" s="7" t="n"/>
      <c r="F1075" s="7" t="n"/>
      <c r="G1075" s="7" t="n"/>
      <c r="H1075" s="7" t="n"/>
      <c r="I1075" s="7" t="n"/>
      <c r="J1075" s="7" t="n"/>
      <c r="K1075" s="7" t="n"/>
      <c r="L1075" s="7" t="n"/>
      <c r="M1075" s="7" t="n"/>
      <c r="N1075" s="7" t="n"/>
      <c r="O1075" s="7" t="n"/>
      <c r="P1075" s="7" t="n"/>
      <c r="Q1075" s="7" t="n"/>
      <c r="R1075" s="7" t="n"/>
      <c r="S1075" s="7" t="n"/>
      <c r="T1075" s="7" t="n"/>
      <c r="U1075" s="7" t="n"/>
      <c r="V1075" s="7" t="n"/>
      <c r="W1075" s="7" t="n"/>
      <c r="X1075" s="7" t="n"/>
      <c r="Y1075" s="7" t="n"/>
      <c r="Z1075" s="7" t="n"/>
      <c r="AA1075" s="7" t="n"/>
      <c r="AB1075" s="7" t="n"/>
      <c r="AC1075" s="7" t="n"/>
      <c r="AD1075" s="7" t="n"/>
      <c r="AE1075" s="7" t="n"/>
      <c r="AF1075" s="7" t="n"/>
      <c r="AG1075" s="7" t="n"/>
      <c r="AH1075" s="7" t="n"/>
      <c r="AI1075" s="7" t="n"/>
      <c r="AJ1075" s="7" t="n"/>
      <c r="AK1075" s="7" t="n"/>
      <c r="AL1075" s="7" t="n"/>
      <c r="AM1075" s="7" t="n"/>
      <c r="AN1075" s="7" t="n"/>
      <c r="AO1075" s="7" t="n"/>
      <c r="AP1075" s="7" t="n"/>
      <c r="AQ1075" s="7" t="n"/>
      <c r="AR1075" s="7" t="n"/>
      <c r="AS1075" s="7" t="n"/>
      <c r="AT1075" s="7" t="n"/>
      <c r="AU1075" s="7" t="n"/>
      <c r="AV1075" s="7" t="n"/>
      <c r="AW1075" s="7" t="n"/>
      <c r="AX1075" s="7" t="n"/>
      <c r="AY1075" s="7" t="n"/>
      <c r="BA1075" s="42">
        <f>IF(COUNT(B1075:AY1075)=0,"",IF(TRIM(A1075)&lt;&gt;"",TRIM(A1075),IF(BA1074="","(geen naam)",BA1074)))</f>
        <v/>
      </c>
      <c r="BB1075" s="42">
        <f>IF(BA1075="","",IF(ISNA(MATCH(BA1075,BA$120:BA1074,0)),MAX(BB$120:BB1074)+1,""))</f>
        <v/>
      </c>
    </row>
    <row r="1076">
      <c r="A1076" s="7" t="n"/>
      <c r="B1076" s="7" t="n"/>
      <c r="C1076" s="7" t="n"/>
      <c r="D1076" s="7" t="n"/>
      <c r="E1076" s="7" t="n"/>
      <c r="F1076" s="7" t="n"/>
      <c r="G1076" s="7" t="n"/>
      <c r="H1076" s="7" t="n"/>
      <c r="I1076" s="7" t="n"/>
      <c r="J1076" s="7" t="n"/>
      <c r="K1076" s="7" t="n"/>
      <c r="L1076" s="7" t="n"/>
      <c r="M1076" s="7" t="n"/>
      <c r="N1076" s="7" t="n"/>
      <c r="O1076" s="7" t="n"/>
      <c r="P1076" s="7" t="n"/>
      <c r="Q1076" s="7" t="n"/>
      <c r="R1076" s="7" t="n"/>
      <c r="S1076" s="7" t="n"/>
      <c r="T1076" s="7" t="n"/>
      <c r="U1076" s="7" t="n"/>
      <c r="V1076" s="7" t="n"/>
      <c r="W1076" s="7" t="n"/>
      <c r="X1076" s="7" t="n"/>
      <c r="Y1076" s="7" t="n"/>
      <c r="Z1076" s="7" t="n"/>
      <c r="AA1076" s="7" t="n"/>
      <c r="AB1076" s="7" t="n"/>
      <c r="AC1076" s="7" t="n"/>
      <c r="AD1076" s="7" t="n"/>
      <c r="AE1076" s="7" t="n"/>
      <c r="AF1076" s="7" t="n"/>
      <c r="AG1076" s="7" t="n"/>
      <c r="AH1076" s="7" t="n"/>
      <c r="AI1076" s="7" t="n"/>
      <c r="AJ1076" s="7" t="n"/>
      <c r="AK1076" s="7" t="n"/>
      <c r="AL1076" s="7" t="n"/>
      <c r="AM1076" s="7" t="n"/>
      <c r="AN1076" s="7" t="n"/>
      <c r="AO1076" s="7" t="n"/>
      <c r="AP1076" s="7" t="n"/>
      <c r="AQ1076" s="7" t="n"/>
      <c r="AR1076" s="7" t="n"/>
      <c r="AS1076" s="7" t="n"/>
      <c r="AT1076" s="7" t="n"/>
      <c r="AU1076" s="7" t="n"/>
      <c r="AV1076" s="7" t="n"/>
      <c r="AW1076" s="7" t="n"/>
      <c r="AX1076" s="7" t="n"/>
      <c r="AY1076" s="7" t="n"/>
      <c r="BA1076" s="42">
        <f>IF(COUNT(B1076:AY1076)=0,"",IF(TRIM(A1076)&lt;&gt;"",TRIM(A1076),IF(BA1075="","(geen naam)",BA1075)))</f>
        <v/>
      </c>
      <c r="BB1076" s="42">
        <f>IF(BA1076="","",IF(ISNA(MATCH(BA1076,BA$120:BA1075,0)),MAX(BB$120:BB1075)+1,""))</f>
        <v/>
      </c>
    </row>
    <row r="1077">
      <c r="A1077" s="7" t="n"/>
      <c r="B1077" s="7" t="n"/>
      <c r="C1077" s="7" t="n"/>
      <c r="D1077" s="7" t="n"/>
      <c r="E1077" s="7" t="n"/>
      <c r="F1077" s="7" t="n"/>
      <c r="G1077" s="7" t="n"/>
      <c r="H1077" s="7" t="n"/>
      <c r="I1077" s="7" t="n"/>
      <c r="J1077" s="7" t="n"/>
      <c r="K1077" s="7" t="n"/>
      <c r="L1077" s="7" t="n"/>
      <c r="M1077" s="7" t="n"/>
      <c r="N1077" s="7" t="n"/>
      <c r="O1077" s="7" t="n"/>
      <c r="P1077" s="7" t="n"/>
      <c r="Q1077" s="7" t="n"/>
      <c r="R1077" s="7" t="n"/>
      <c r="S1077" s="7" t="n"/>
      <c r="T1077" s="7" t="n"/>
      <c r="U1077" s="7" t="n"/>
      <c r="V1077" s="7" t="n"/>
      <c r="W1077" s="7" t="n"/>
      <c r="X1077" s="7" t="n"/>
      <c r="Y1077" s="7" t="n"/>
      <c r="Z1077" s="7" t="n"/>
      <c r="AA1077" s="7" t="n"/>
      <c r="AB1077" s="7" t="n"/>
      <c r="AC1077" s="7" t="n"/>
      <c r="AD1077" s="7" t="n"/>
      <c r="AE1077" s="7" t="n"/>
      <c r="AF1077" s="7" t="n"/>
      <c r="AG1077" s="7" t="n"/>
      <c r="AH1077" s="7" t="n"/>
      <c r="AI1077" s="7" t="n"/>
      <c r="AJ1077" s="7" t="n"/>
      <c r="AK1077" s="7" t="n"/>
      <c r="AL1077" s="7" t="n"/>
      <c r="AM1077" s="7" t="n"/>
      <c r="AN1077" s="7" t="n"/>
      <c r="AO1077" s="7" t="n"/>
      <c r="AP1077" s="7" t="n"/>
      <c r="AQ1077" s="7" t="n"/>
      <c r="AR1077" s="7" t="n"/>
      <c r="AS1077" s="7" t="n"/>
      <c r="AT1077" s="7" t="n"/>
      <c r="AU1077" s="7" t="n"/>
      <c r="AV1077" s="7" t="n"/>
      <c r="AW1077" s="7" t="n"/>
      <c r="AX1077" s="7" t="n"/>
      <c r="AY1077" s="7" t="n"/>
      <c r="BA1077" s="42">
        <f>IF(COUNT(B1077:AY1077)=0,"",IF(TRIM(A1077)&lt;&gt;"",TRIM(A1077),IF(BA1076="","(geen naam)",BA1076)))</f>
        <v/>
      </c>
      <c r="BB1077" s="42">
        <f>IF(BA1077="","",IF(ISNA(MATCH(BA1077,BA$120:BA1076,0)),MAX(BB$120:BB1076)+1,""))</f>
        <v/>
      </c>
    </row>
    <row r="1078">
      <c r="A1078" s="7" t="n"/>
      <c r="B1078" s="7" t="n"/>
      <c r="C1078" s="7" t="n"/>
      <c r="D1078" s="7" t="n"/>
      <c r="E1078" s="7" t="n"/>
      <c r="F1078" s="7" t="n"/>
      <c r="G1078" s="7" t="n"/>
      <c r="H1078" s="7" t="n"/>
      <c r="I1078" s="7" t="n"/>
      <c r="J1078" s="7" t="n"/>
      <c r="K1078" s="7" t="n"/>
      <c r="L1078" s="7" t="n"/>
      <c r="M1078" s="7" t="n"/>
      <c r="N1078" s="7" t="n"/>
      <c r="O1078" s="7" t="n"/>
      <c r="P1078" s="7" t="n"/>
      <c r="Q1078" s="7" t="n"/>
      <c r="R1078" s="7" t="n"/>
      <c r="S1078" s="7" t="n"/>
      <c r="T1078" s="7" t="n"/>
      <c r="U1078" s="7" t="n"/>
      <c r="V1078" s="7" t="n"/>
      <c r="W1078" s="7" t="n"/>
      <c r="X1078" s="7" t="n"/>
      <c r="Y1078" s="7" t="n"/>
      <c r="Z1078" s="7" t="n"/>
      <c r="AA1078" s="7" t="n"/>
      <c r="AB1078" s="7" t="n"/>
      <c r="AC1078" s="7" t="n"/>
      <c r="AD1078" s="7" t="n"/>
      <c r="AE1078" s="7" t="n"/>
      <c r="AF1078" s="7" t="n"/>
      <c r="AG1078" s="7" t="n"/>
      <c r="AH1078" s="7" t="n"/>
      <c r="AI1078" s="7" t="n"/>
      <c r="AJ1078" s="7" t="n"/>
      <c r="AK1078" s="7" t="n"/>
      <c r="AL1078" s="7" t="n"/>
      <c r="AM1078" s="7" t="n"/>
      <c r="AN1078" s="7" t="n"/>
      <c r="AO1078" s="7" t="n"/>
      <c r="AP1078" s="7" t="n"/>
      <c r="AQ1078" s="7" t="n"/>
      <c r="AR1078" s="7" t="n"/>
      <c r="AS1078" s="7" t="n"/>
      <c r="AT1078" s="7" t="n"/>
      <c r="AU1078" s="7" t="n"/>
      <c r="AV1078" s="7" t="n"/>
      <c r="AW1078" s="7" t="n"/>
      <c r="AX1078" s="7" t="n"/>
      <c r="AY1078" s="7" t="n"/>
      <c r="BA1078" s="42">
        <f>IF(COUNT(B1078:AY1078)=0,"",IF(TRIM(A1078)&lt;&gt;"",TRIM(A1078),IF(BA1077="","(geen naam)",BA1077)))</f>
        <v/>
      </c>
      <c r="BB1078" s="42">
        <f>IF(BA1078="","",IF(ISNA(MATCH(BA1078,BA$120:BA1077,0)),MAX(BB$120:BB1077)+1,""))</f>
        <v/>
      </c>
    </row>
    <row r="1079">
      <c r="A1079" s="7" t="n"/>
      <c r="B1079" s="7" t="n"/>
      <c r="C1079" s="7" t="n"/>
      <c r="D1079" s="7" t="n"/>
      <c r="E1079" s="7" t="n"/>
      <c r="F1079" s="7" t="n"/>
      <c r="G1079" s="7" t="n"/>
      <c r="H1079" s="7" t="n"/>
      <c r="I1079" s="7" t="n"/>
      <c r="J1079" s="7" t="n"/>
      <c r="K1079" s="7" t="n"/>
      <c r="L1079" s="7" t="n"/>
      <c r="M1079" s="7" t="n"/>
      <c r="N1079" s="7" t="n"/>
      <c r="O1079" s="7" t="n"/>
      <c r="P1079" s="7" t="n"/>
      <c r="Q1079" s="7" t="n"/>
      <c r="R1079" s="7" t="n"/>
      <c r="S1079" s="7" t="n"/>
      <c r="T1079" s="7" t="n"/>
      <c r="U1079" s="7" t="n"/>
      <c r="V1079" s="7" t="n"/>
      <c r="W1079" s="7" t="n"/>
      <c r="X1079" s="7" t="n"/>
      <c r="Y1079" s="7" t="n"/>
      <c r="Z1079" s="7" t="n"/>
      <c r="AA1079" s="7" t="n"/>
      <c r="AB1079" s="7" t="n"/>
      <c r="AC1079" s="7" t="n"/>
      <c r="AD1079" s="7" t="n"/>
      <c r="AE1079" s="7" t="n"/>
      <c r="AF1079" s="7" t="n"/>
      <c r="AG1079" s="7" t="n"/>
      <c r="AH1079" s="7" t="n"/>
      <c r="AI1079" s="7" t="n"/>
      <c r="AJ1079" s="7" t="n"/>
      <c r="AK1079" s="7" t="n"/>
      <c r="AL1079" s="7" t="n"/>
      <c r="AM1079" s="7" t="n"/>
      <c r="AN1079" s="7" t="n"/>
      <c r="AO1079" s="7" t="n"/>
      <c r="AP1079" s="7" t="n"/>
      <c r="AQ1079" s="7" t="n"/>
      <c r="AR1079" s="7" t="n"/>
      <c r="AS1079" s="7" t="n"/>
      <c r="AT1079" s="7" t="n"/>
      <c r="AU1079" s="7" t="n"/>
      <c r="AV1079" s="7" t="n"/>
      <c r="AW1079" s="7" t="n"/>
      <c r="AX1079" s="7" t="n"/>
      <c r="AY1079" s="7" t="n"/>
      <c r="BA1079" s="42">
        <f>IF(COUNT(B1079:AY1079)=0,"",IF(TRIM(A1079)&lt;&gt;"",TRIM(A1079),IF(BA1078="","(geen naam)",BA1078)))</f>
        <v/>
      </c>
      <c r="BB1079" s="42">
        <f>IF(BA1079="","",IF(ISNA(MATCH(BA1079,BA$120:BA1078,0)),MAX(BB$120:BB1078)+1,""))</f>
        <v/>
      </c>
    </row>
    <row r="1080">
      <c r="A1080" s="7" t="n"/>
      <c r="B1080" s="7" t="n"/>
      <c r="C1080" s="7" t="n"/>
      <c r="D1080" s="7" t="n"/>
      <c r="E1080" s="7" t="n"/>
      <c r="F1080" s="7" t="n"/>
      <c r="G1080" s="7" t="n"/>
      <c r="H1080" s="7" t="n"/>
      <c r="I1080" s="7" t="n"/>
      <c r="J1080" s="7" t="n"/>
      <c r="K1080" s="7" t="n"/>
      <c r="L1080" s="7" t="n"/>
      <c r="M1080" s="7" t="n"/>
      <c r="N1080" s="7" t="n"/>
      <c r="O1080" s="7" t="n"/>
      <c r="P1080" s="7" t="n"/>
      <c r="Q1080" s="7" t="n"/>
      <c r="R1080" s="7" t="n"/>
      <c r="S1080" s="7" t="n"/>
      <c r="T1080" s="7" t="n"/>
      <c r="U1080" s="7" t="n"/>
      <c r="V1080" s="7" t="n"/>
      <c r="W1080" s="7" t="n"/>
      <c r="X1080" s="7" t="n"/>
      <c r="Y1080" s="7" t="n"/>
      <c r="Z1080" s="7" t="n"/>
      <c r="AA1080" s="7" t="n"/>
      <c r="AB1080" s="7" t="n"/>
      <c r="AC1080" s="7" t="n"/>
      <c r="AD1080" s="7" t="n"/>
      <c r="AE1080" s="7" t="n"/>
      <c r="AF1080" s="7" t="n"/>
      <c r="AG1080" s="7" t="n"/>
      <c r="AH1080" s="7" t="n"/>
      <c r="AI1080" s="7" t="n"/>
      <c r="AJ1080" s="7" t="n"/>
      <c r="AK1080" s="7" t="n"/>
      <c r="AL1080" s="7" t="n"/>
      <c r="AM1080" s="7" t="n"/>
      <c r="AN1080" s="7" t="n"/>
      <c r="AO1080" s="7" t="n"/>
      <c r="AP1080" s="7" t="n"/>
      <c r="AQ1080" s="7" t="n"/>
      <c r="AR1080" s="7" t="n"/>
      <c r="AS1080" s="7" t="n"/>
      <c r="AT1080" s="7" t="n"/>
      <c r="AU1080" s="7" t="n"/>
      <c r="AV1080" s="7" t="n"/>
      <c r="AW1080" s="7" t="n"/>
      <c r="AX1080" s="7" t="n"/>
      <c r="AY1080" s="7" t="n"/>
      <c r="BA1080" s="42">
        <f>IF(COUNT(B1080:AY1080)=0,"",IF(TRIM(A1080)&lt;&gt;"",TRIM(A1080),IF(BA1079="","(geen naam)",BA1079)))</f>
        <v/>
      </c>
      <c r="BB1080" s="42">
        <f>IF(BA1080="","",IF(ISNA(MATCH(BA1080,BA$120:BA1079,0)),MAX(BB$120:BB1079)+1,""))</f>
        <v/>
      </c>
    </row>
    <row r="1081">
      <c r="A1081" s="7" t="n"/>
      <c r="B1081" s="7" t="n"/>
      <c r="C1081" s="7" t="n"/>
      <c r="D1081" s="7" t="n"/>
      <c r="E1081" s="7" t="n"/>
      <c r="F1081" s="7" t="n"/>
      <c r="G1081" s="7" t="n"/>
      <c r="H1081" s="7" t="n"/>
      <c r="I1081" s="7" t="n"/>
      <c r="J1081" s="7" t="n"/>
      <c r="K1081" s="7" t="n"/>
      <c r="L1081" s="7" t="n"/>
      <c r="M1081" s="7" t="n"/>
      <c r="N1081" s="7" t="n"/>
      <c r="O1081" s="7" t="n"/>
      <c r="P1081" s="7" t="n"/>
      <c r="Q1081" s="7" t="n"/>
      <c r="R1081" s="7" t="n"/>
      <c r="S1081" s="7" t="n"/>
      <c r="T1081" s="7" t="n"/>
      <c r="U1081" s="7" t="n"/>
      <c r="V1081" s="7" t="n"/>
      <c r="W1081" s="7" t="n"/>
      <c r="X1081" s="7" t="n"/>
      <c r="Y1081" s="7" t="n"/>
      <c r="Z1081" s="7" t="n"/>
      <c r="AA1081" s="7" t="n"/>
      <c r="AB1081" s="7" t="n"/>
      <c r="AC1081" s="7" t="n"/>
      <c r="AD1081" s="7" t="n"/>
      <c r="AE1081" s="7" t="n"/>
      <c r="AF1081" s="7" t="n"/>
      <c r="AG1081" s="7" t="n"/>
      <c r="AH1081" s="7" t="n"/>
      <c r="AI1081" s="7" t="n"/>
      <c r="AJ1081" s="7" t="n"/>
      <c r="AK1081" s="7" t="n"/>
      <c r="AL1081" s="7" t="n"/>
      <c r="AM1081" s="7" t="n"/>
      <c r="AN1081" s="7" t="n"/>
      <c r="AO1081" s="7" t="n"/>
      <c r="AP1081" s="7" t="n"/>
      <c r="AQ1081" s="7" t="n"/>
      <c r="AR1081" s="7" t="n"/>
      <c r="AS1081" s="7" t="n"/>
      <c r="AT1081" s="7" t="n"/>
      <c r="AU1081" s="7" t="n"/>
      <c r="AV1081" s="7" t="n"/>
      <c r="AW1081" s="7" t="n"/>
      <c r="AX1081" s="7" t="n"/>
      <c r="AY1081" s="7" t="n"/>
      <c r="BA1081" s="42">
        <f>IF(COUNT(B1081:AY1081)=0,"",IF(TRIM(A1081)&lt;&gt;"",TRIM(A1081),IF(BA1080="","(geen naam)",BA1080)))</f>
        <v/>
      </c>
      <c r="BB1081" s="42">
        <f>IF(BA1081="","",IF(ISNA(MATCH(BA1081,BA$120:BA1080,0)),MAX(BB$120:BB1080)+1,""))</f>
        <v/>
      </c>
    </row>
    <row r="1082">
      <c r="A1082" s="7" t="n"/>
      <c r="B1082" s="7" t="n"/>
      <c r="C1082" s="7" t="n"/>
      <c r="D1082" s="7" t="n"/>
      <c r="E1082" s="7" t="n"/>
      <c r="F1082" s="7" t="n"/>
      <c r="G1082" s="7" t="n"/>
      <c r="H1082" s="7" t="n"/>
      <c r="I1082" s="7" t="n"/>
      <c r="J1082" s="7" t="n"/>
      <c r="K1082" s="7" t="n"/>
      <c r="L1082" s="7" t="n"/>
      <c r="M1082" s="7" t="n"/>
      <c r="N1082" s="7" t="n"/>
      <c r="O1082" s="7" t="n"/>
      <c r="P1082" s="7" t="n"/>
      <c r="Q1082" s="7" t="n"/>
      <c r="R1082" s="7" t="n"/>
      <c r="S1082" s="7" t="n"/>
      <c r="T1082" s="7" t="n"/>
      <c r="U1082" s="7" t="n"/>
      <c r="V1082" s="7" t="n"/>
      <c r="W1082" s="7" t="n"/>
      <c r="X1082" s="7" t="n"/>
      <c r="Y1082" s="7" t="n"/>
      <c r="Z1082" s="7" t="n"/>
      <c r="AA1082" s="7" t="n"/>
      <c r="AB1082" s="7" t="n"/>
      <c r="AC1082" s="7" t="n"/>
      <c r="AD1082" s="7" t="n"/>
      <c r="AE1082" s="7" t="n"/>
      <c r="AF1082" s="7" t="n"/>
      <c r="AG1082" s="7" t="n"/>
      <c r="AH1082" s="7" t="n"/>
      <c r="AI1082" s="7" t="n"/>
      <c r="AJ1082" s="7" t="n"/>
      <c r="AK1082" s="7" t="n"/>
      <c r="AL1082" s="7" t="n"/>
      <c r="AM1082" s="7" t="n"/>
      <c r="AN1082" s="7" t="n"/>
      <c r="AO1082" s="7" t="n"/>
      <c r="AP1082" s="7" t="n"/>
      <c r="AQ1082" s="7" t="n"/>
      <c r="AR1082" s="7" t="n"/>
      <c r="AS1082" s="7" t="n"/>
      <c r="AT1082" s="7" t="n"/>
      <c r="AU1082" s="7" t="n"/>
      <c r="AV1082" s="7" t="n"/>
      <c r="AW1082" s="7" t="n"/>
      <c r="AX1082" s="7" t="n"/>
      <c r="AY1082" s="7" t="n"/>
      <c r="BA1082" s="42">
        <f>IF(COUNT(B1082:AY1082)=0,"",IF(TRIM(A1082)&lt;&gt;"",TRIM(A1082),IF(BA1081="","(geen naam)",BA1081)))</f>
        <v/>
      </c>
      <c r="BB1082" s="42">
        <f>IF(BA1082="","",IF(ISNA(MATCH(BA1082,BA$120:BA1081,0)),MAX(BB$120:BB1081)+1,""))</f>
        <v/>
      </c>
    </row>
    <row r="1083">
      <c r="A1083" s="7" t="n"/>
      <c r="B1083" s="7" t="n"/>
      <c r="C1083" s="7" t="n"/>
      <c r="D1083" s="7" t="n"/>
      <c r="E1083" s="7" t="n"/>
      <c r="F1083" s="7" t="n"/>
      <c r="G1083" s="7" t="n"/>
      <c r="H1083" s="7" t="n"/>
      <c r="I1083" s="7" t="n"/>
      <c r="J1083" s="7" t="n"/>
      <c r="K1083" s="7" t="n"/>
      <c r="L1083" s="7" t="n"/>
      <c r="M1083" s="7" t="n"/>
      <c r="N1083" s="7" t="n"/>
      <c r="O1083" s="7" t="n"/>
      <c r="P1083" s="7" t="n"/>
      <c r="Q1083" s="7" t="n"/>
      <c r="R1083" s="7" t="n"/>
      <c r="S1083" s="7" t="n"/>
      <c r="T1083" s="7" t="n"/>
      <c r="U1083" s="7" t="n"/>
      <c r="V1083" s="7" t="n"/>
      <c r="W1083" s="7" t="n"/>
      <c r="X1083" s="7" t="n"/>
      <c r="Y1083" s="7" t="n"/>
      <c r="Z1083" s="7" t="n"/>
      <c r="AA1083" s="7" t="n"/>
      <c r="AB1083" s="7" t="n"/>
      <c r="AC1083" s="7" t="n"/>
      <c r="AD1083" s="7" t="n"/>
      <c r="AE1083" s="7" t="n"/>
      <c r="AF1083" s="7" t="n"/>
      <c r="AG1083" s="7" t="n"/>
      <c r="AH1083" s="7" t="n"/>
      <c r="AI1083" s="7" t="n"/>
      <c r="AJ1083" s="7" t="n"/>
      <c r="AK1083" s="7" t="n"/>
      <c r="AL1083" s="7" t="n"/>
      <c r="AM1083" s="7" t="n"/>
      <c r="AN1083" s="7" t="n"/>
      <c r="AO1083" s="7" t="n"/>
      <c r="AP1083" s="7" t="n"/>
      <c r="AQ1083" s="7" t="n"/>
      <c r="AR1083" s="7" t="n"/>
      <c r="AS1083" s="7" t="n"/>
      <c r="AT1083" s="7" t="n"/>
      <c r="AU1083" s="7" t="n"/>
      <c r="AV1083" s="7" t="n"/>
      <c r="AW1083" s="7" t="n"/>
      <c r="AX1083" s="7" t="n"/>
      <c r="AY1083" s="7" t="n"/>
      <c r="BA1083" s="42">
        <f>IF(COUNT(B1083:AY1083)=0,"",IF(TRIM(A1083)&lt;&gt;"",TRIM(A1083),IF(BA1082="","(geen naam)",BA1082)))</f>
        <v/>
      </c>
      <c r="BB1083" s="42">
        <f>IF(BA1083="","",IF(ISNA(MATCH(BA1083,BA$120:BA1082,0)),MAX(BB$120:BB1082)+1,""))</f>
        <v/>
      </c>
    </row>
    <row r="1084">
      <c r="A1084" s="7" t="n"/>
      <c r="B1084" s="7" t="n"/>
      <c r="C1084" s="7" t="n"/>
      <c r="D1084" s="7" t="n"/>
      <c r="E1084" s="7" t="n"/>
      <c r="F1084" s="7" t="n"/>
      <c r="G1084" s="7" t="n"/>
      <c r="H1084" s="7" t="n"/>
      <c r="I1084" s="7" t="n"/>
      <c r="J1084" s="7" t="n"/>
      <c r="K1084" s="7" t="n"/>
      <c r="L1084" s="7" t="n"/>
      <c r="M1084" s="7" t="n"/>
      <c r="N1084" s="7" t="n"/>
      <c r="O1084" s="7" t="n"/>
      <c r="P1084" s="7" t="n"/>
      <c r="Q1084" s="7" t="n"/>
      <c r="R1084" s="7" t="n"/>
      <c r="S1084" s="7" t="n"/>
      <c r="T1084" s="7" t="n"/>
      <c r="U1084" s="7" t="n"/>
      <c r="V1084" s="7" t="n"/>
      <c r="W1084" s="7" t="n"/>
      <c r="X1084" s="7" t="n"/>
      <c r="Y1084" s="7" t="n"/>
      <c r="Z1084" s="7" t="n"/>
      <c r="AA1084" s="7" t="n"/>
      <c r="AB1084" s="7" t="n"/>
      <c r="AC1084" s="7" t="n"/>
      <c r="AD1084" s="7" t="n"/>
      <c r="AE1084" s="7" t="n"/>
      <c r="AF1084" s="7" t="n"/>
      <c r="AG1084" s="7" t="n"/>
      <c r="AH1084" s="7" t="n"/>
      <c r="AI1084" s="7" t="n"/>
      <c r="AJ1084" s="7" t="n"/>
      <c r="AK1084" s="7" t="n"/>
      <c r="AL1084" s="7" t="n"/>
      <c r="AM1084" s="7" t="n"/>
      <c r="AN1084" s="7" t="n"/>
      <c r="AO1084" s="7" t="n"/>
      <c r="AP1084" s="7" t="n"/>
      <c r="AQ1084" s="7" t="n"/>
      <c r="AR1084" s="7" t="n"/>
      <c r="AS1084" s="7" t="n"/>
      <c r="AT1084" s="7" t="n"/>
      <c r="AU1084" s="7" t="n"/>
      <c r="AV1084" s="7" t="n"/>
      <c r="AW1084" s="7" t="n"/>
      <c r="AX1084" s="7" t="n"/>
      <c r="AY1084" s="7" t="n"/>
      <c r="BA1084" s="42">
        <f>IF(COUNT(B1084:AY1084)=0,"",IF(TRIM(A1084)&lt;&gt;"",TRIM(A1084),IF(BA1083="","(geen naam)",BA1083)))</f>
        <v/>
      </c>
      <c r="BB1084" s="42">
        <f>IF(BA1084="","",IF(ISNA(MATCH(BA1084,BA$120:BA1083,0)),MAX(BB$120:BB1083)+1,""))</f>
        <v/>
      </c>
    </row>
    <row r="1085">
      <c r="A1085" s="7" t="n"/>
      <c r="B1085" s="7" t="n"/>
      <c r="C1085" s="7" t="n"/>
      <c r="D1085" s="7" t="n"/>
      <c r="E1085" s="7" t="n"/>
      <c r="F1085" s="7" t="n"/>
      <c r="G1085" s="7" t="n"/>
      <c r="H1085" s="7" t="n"/>
      <c r="I1085" s="7" t="n"/>
      <c r="J1085" s="7" t="n"/>
      <c r="K1085" s="7" t="n"/>
      <c r="L1085" s="7" t="n"/>
      <c r="M1085" s="7" t="n"/>
      <c r="N1085" s="7" t="n"/>
      <c r="O1085" s="7" t="n"/>
      <c r="P1085" s="7" t="n"/>
      <c r="Q1085" s="7" t="n"/>
      <c r="R1085" s="7" t="n"/>
      <c r="S1085" s="7" t="n"/>
      <c r="T1085" s="7" t="n"/>
      <c r="U1085" s="7" t="n"/>
      <c r="V1085" s="7" t="n"/>
      <c r="W1085" s="7" t="n"/>
      <c r="X1085" s="7" t="n"/>
      <c r="Y1085" s="7" t="n"/>
      <c r="Z1085" s="7" t="n"/>
      <c r="AA1085" s="7" t="n"/>
      <c r="AB1085" s="7" t="n"/>
      <c r="AC1085" s="7" t="n"/>
      <c r="AD1085" s="7" t="n"/>
      <c r="AE1085" s="7" t="n"/>
      <c r="AF1085" s="7" t="n"/>
      <c r="AG1085" s="7" t="n"/>
      <c r="AH1085" s="7" t="n"/>
      <c r="AI1085" s="7" t="n"/>
      <c r="AJ1085" s="7" t="n"/>
      <c r="AK1085" s="7" t="n"/>
      <c r="AL1085" s="7" t="n"/>
      <c r="AM1085" s="7" t="n"/>
      <c r="AN1085" s="7" t="n"/>
      <c r="AO1085" s="7" t="n"/>
      <c r="AP1085" s="7" t="n"/>
      <c r="AQ1085" s="7" t="n"/>
      <c r="AR1085" s="7" t="n"/>
      <c r="AS1085" s="7" t="n"/>
      <c r="AT1085" s="7" t="n"/>
      <c r="AU1085" s="7" t="n"/>
      <c r="AV1085" s="7" t="n"/>
      <c r="AW1085" s="7" t="n"/>
      <c r="AX1085" s="7" t="n"/>
      <c r="AY1085" s="7" t="n"/>
      <c r="BA1085" s="42">
        <f>IF(COUNT(B1085:AY1085)=0,"",IF(TRIM(A1085)&lt;&gt;"",TRIM(A1085),IF(BA1084="","(geen naam)",BA1084)))</f>
        <v/>
      </c>
      <c r="BB1085" s="42">
        <f>IF(BA1085="","",IF(ISNA(MATCH(BA1085,BA$120:BA1084,0)),MAX(BB$120:BB1084)+1,""))</f>
        <v/>
      </c>
    </row>
    <row r="1086">
      <c r="A1086" s="7" t="n"/>
      <c r="B1086" s="7" t="n"/>
      <c r="C1086" s="7" t="n"/>
      <c r="D1086" s="7" t="n"/>
      <c r="E1086" s="7" t="n"/>
      <c r="F1086" s="7" t="n"/>
      <c r="G1086" s="7" t="n"/>
      <c r="H1086" s="7" t="n"/>
      <c r="I1086" s="7" t="n"/>
      <c r="J1086" s="7" t="n"/>
      <c r="K1086" s="7" t="n"/>
      <c r="L1086" s="7" t="n"/>
      <c r="M1086" s="7" t="n"/>
      <c r="N1086" s="7" t="n"/>
      <c r="O1086" s="7" t="n"/>
      <c r="P1086" s="7" t="n"/>
      <c r="Q1086" s="7" t="n"/>
      <c r="R1086" s="7" t="n"/>
      <c r="S1086" s="7" t="n"/>
      <c r="T1086" s="7" t="n"/>
      <c r="U1086" s="7" t="n"/>
      <c r="V1086" s="7" t="n"/>
      <c r="W1086" s="7" t="n"/>
      <c r="X1086" s="7" t="n"/>
      <c r="Y1086" s="7" t="n"/>
      <c r="Z1086" s="7" t="n"/>
      <c r="AA1086" s="7" t="n"/>
      <c r="AB1086" s="7" t="n"/>
      <c r="AC1086" s="7" t="n"/>
      <c r="AD1086" s="7" t="n"/>
      <c r="AE1086" s="7" t="n"/>
      <c r="AF1086" s="7" t="n"/>
      <c r="AG1086" s="7" t="n"/>
      <c r="AH1086" s="7" t="n"/>
      <c r="AI1086" s="7" t="n"/>
      <c r="AJ1086" s="7" t="n"/>
      <c r="AK1086" s="7" t="n"/>
      <c r="AL1086" s="7" t="n"/>
      <c r="AM1086" s="7" t="n"/>
      <c r="AN1086" s="7" t="n"/>
      <c r="AO1086" s="7" t="n"/>
      <c r="AP1086" s="7" t="n"/>
      <c r="AQ1086" s="7" t="n"/>
      <c r="AR1086" s="7" t="n"/>
      <c r="AS1086" s="7" t="n"/>
      <c r="AT1086" s="7" t="n"/>
      <c r="AU1086" s="7" t="n"/>
      <c r="AV1086" s="7" t="n"/>
      <c r="AW1086" s="7" t="n"/>
      <c r="AX1086" s="7" t="n"/>
      <c r="AY1086" s="7" t="n"/>
      <c r="BA1086" s="42">
        <f>IF(COUNT(B1086:AY1086)=0,"",IF(TRIM(A1086)&lt;&gt;"",TRIM(A1086),IF(BA1085="","(geen naam)",BA1085)))</f>
        <v/>
      </c>
      <c r="BB1086" s="42">
        <f>IF(BA1086="","",IF(ISNA(MATCH(BA1086,BA$120:BA1085,0)),MAX(BB$120:BB1085)+1,""))</f>
        <v/>
      </c>
    </row>
    <row r="1087">
      <c r="A1087" s="7" t="n"/>
      <c r="B1087" s="7" t="n"/>
      <c r="C1087" s="7" t="n"/>
      <c r="D1087" s="7" t="n"/>
      <c r="E1087" s="7" t="n"/>
      <c r="F1087" s="7" t="n"/>
      <c r="G1087" s="7" t="n"/>
      <c r="H1087" s="7" t="n"/>
      <c r="I1087" s="7" t="n"/>
      <c r="J1087" s="7" t="n"/>
      <c r="K1087" s="7" t="n"/>
      <c r="L1087" s="7" t="n"/>
      <c r="M1087" s="7" t="n"/>
      <c r="N1087" s="7" t="n"/>
      <c r="O1087" s="7" t="n"/>
      <c r="P1087" s="7" t="n"/>
      <c r="Q1087" s="7" t="n"/>
      <c r="R1087" s="7" t="n"/>
      <c r="S1087" s="7" t="n"/>
      <c r="T1087" s="7" t="n"/>
      <c r="U1087" s="7" t="n"/>
      <c r="V1087" s="7" t="n"/>
      <c r="W1087" s="7" t="n"/>
      <c r="X1087" s="7" t="n"/>
      <c r="Y1087" s="7" t="n"/>
      <c r="Z1087" s="7" t="n"/>
      <c r="AA1087" s="7" t="n"/>
      <c r="AB1087" s="7" t="n"/>
      <c r="AC1087" s="7" t="n"/>
      <c r="AD1087" s="7" t="n"/>
      <c r="AE1087" s="7" t="n"/>
      <c r="AF1087" s="7" t="n"/>
      <c r="AG1087" s="7" t="n"/>
      <c r="AH1087" s="7" t="n"/>
      <c r="AI1087" s="7" t="n"/>
      <c r="AJ1087" s="7" t="n"/>
      <c r="AK1087" s="7" t="n"/>
      <c r="AL1087" s="7" t="n"/>
      <c r="AM1087" s="7" t="n"/>
      <c r="AN1087" s="7" t="n"/>
      <c r="AO1087" s="7" t="n"/>
      <c r="AP1087" s="7" t="n"/>
      <c r="AQ1087" s="7" t="n"/>
      <c r="AR1087" s="7" t="n"/>
      <c r="AS1087" s="7" t="n"/>
      <c r="AT1087" s="7" t="n"/>
      <c r="AU1087" s="7" t="n"/>
      <c r="AV1087" s="7" t="n"/>
      <c r="AW1087" s="7" t="n"/>
      <c r="AX1087" s="7" t="n"/>
      <c r="AY1087" s="7" t="n"/>
      <c r="BA1087" s="42">
        <f>IF(COUNT(B1087:AY1087)=0,"",IF(TRIM(A1087)&lt;&gt;"",TRIM(A1087),IF(BA1086="","(geen naam)",BA1086)))</f>
        <v/>
      </c>
      <c r="BB1087" s="42">
        <f>IF(BA1087="","",IF(ISNA(MATCH(BA1087,BA$120:BA1086,0)),MAX(BB$120:BB1086)+1,""))</f>
        <v/>
      </c>
    </row>
    <row r="1088">
      <c r="A1088" s="7" t="n"/>
      <c r="B1088" s="7" t="n"/>
      <c r="C1088" s="7" t="n"/>
      <c r="D1088" s="7" t="n"/>
      <c r="E1088" s="7" t="n"/>
      <c r="F1088" s="7" t="n"/>
      <c r="G1088" s="7" t="n"/>
      <c r="H1088" s="7" t="n"/>
      <c r="I1088" s="7" t="n"/>
      <c r="J1088" s="7" t="n"/>
      <c r="K1088" s="7" t="n"/>
      <c r="L1088" s="7" t="n"/>
      <c r="M1088" s="7" t="n"/>
      <c r="N1088" s="7" t="n"/>
      <c r="O1088" s="7" t="n"/>
      <c r="P1088" s="7" t="n"/>
      <c r="Q1088" s="7" t="n"/>
      <c r="R1088" s="7" t="n"/>
      <c r="S1088" s="7" t="n"/>
      <c r="T1088" s="7" t="n"/>
      <c r="U1088" s="7" t="n"/>
      <c r="V1088" s="7" t="n"/>
      <c r="W1088" s="7" t="n"/>
      <c r="X1088" s="7" t="n"/>
      <c r="Y1088" s="7" t="n"/>
      <c r="Z1088" s="7" t="n"/>
      <c r="AA1088" s="7" t="n"/>
      <c r="AB1088" s="7" t="n"/>
      <c r="AC1088" s="7" t="n"/>
      <c r="AD1088" s="7" t="n"/>
      <c r="AE1088" s="7" t="n"/>
      <c r="AF1088" s="7" t="n"/>
      <c r="AG1088" s="7" t="n"/>
      <c r="AH1088" s="7" t="n"/>
      <c r="AI1088" s="7" t="n"/>
      <c r="AJ1088" s="7" t="n"/>
      <c r="AK1088" s="7" t="n"/>
      <c r="AL1088" s="7" t="n"/>
      <c r="AM1088" s="7" t="n"/>
      <c r="AN1088" s="7" t="n"/>
      <c r="AO1088" s="7" t="n"/>
      <c r="AP1088" s="7" t="n"/>
      <c r="AQ1088" s="7" t="n"/>
      <c r="AR1088" s="7" t="n"/>
      <c r="AS1088" s="7" t="n"/>
      <c r="AT1088" s="7" t="n"/>
      <c r="AU1088" s="7" t="n"/>
      <c r="AV1088" s="7" t="n"/>
      <c r="AW1088" s="7" t="n"/>
      <c r="AX1088" s="7" t="n"/>
      <c r="AY1088" s="7" t="n"/>
      <c r="BA1088" s="42">
        <f>IF(COUNT(B1088:AY1088)=0,"",IF(TRIM(A1088)&lt;&gt;"",TRIM(A1088),IF(BA1087="","(geen naam)",BA1087)))</f>
        <v/>
      </c>
      <c r="BB1088" s="42">
        <f>IF(BA1088="","",IF(ISNA(MATCH(BA1088,BA$120:BA1087,0)),MAX(BB$120:BB1087)+1,""))</f>
        <v/>
      </c>
    </row>
    <row r="1089">
      <c r="A1089" s="7" t="n"/>
      <c r="B1089" s="7" t="n"/>
      <c r="C1089" s="7" t="n"/>
      <c r="D1089" s="7" t="n"/>
      <c r="E1089" s="7" t="n"/>
      <c r="F1089" s="7" t="n"/>
      <c r="G1089" s="7" t="n"/>
      <c r="H1089" s="7" t="n"/>
      <c r="I1089" s="7" t="n"/>
      <c r="J1089" s="7" t="n"/>
      <c r="K1089" s="7" t="n"/>
      <c r="L1089" s="7" t="n"/>
      <c r="M1089" s="7" t="n"/>
      <c r="N1089" s="7" t="n"/>
      <c r="O1089" s="7" t="n"/>
      <c r="P1089" s="7" t="n"/>
      <c r="Q1089" s="7" t="n"/>
      <c r="R1089" s="7" t="n"/>
      <c r="S1089" s="7" t="n"/>
      <c r="T1089" s="7" t="n"/>
      <c r="U1089" s="7" t="n"/>
      <c r="V1089" s="7" t="n"/>
      <c r="W1089" s="7" t="n"/>
      <c r="X1089" s="7" t="n"/>
      <c r="Y1089" s="7" t="n"/>
      <c r="Z1089" s="7" t="n"/>
      <c r="AA1089" s="7" t="n"/>
      <c r="AB1089" s="7" t="n"/>
      <c r="AC1089" s="7" t="n"/>
      <c r="AD1089" s="7" t="n"/>
      <c r="AE1089" s="7" t="n"/>
      <c r="AF1089" s="7" t="n"/>
      <c r="AG1089" s="7" t="n"/>
      <c r="AH1089" s="7" t="n"/>
      <c r="AI1089" s="7" t="n"/>
      <c r="AJ1089" s="7" t="n"/>
      <c r="AK1089" s="7" t="n"/>
      <c r="AL1089" s="7" t="n"/>
      <c r="AM1089" s="7" t="n"/>
      <c r="AN1089" s="7" t="n"/>
      <c r="AO1089" s="7" t="n"/>
      <c r="AP1089" s="7" t="n"/>
      <c r="AQ1089" s="7" t="n"/>
      <c r="AR1089" s="7" t="n"/>
      <c r="AS1089" s="7" t="n"/>
      <c r="AT1089" s="7" t="n"/>
      <c r="AU1089" s="7" t="n"/>
      <c r="AV1089" s="7" t="n"/>
      <c r="AW1089" s="7" t="n"/>
      <c r="AX1089" s="7" t="n"/>
      <c r="AY1089" s="7" t="n"/>
      <c r="BA1089" s="42">
        <f>IF(COUNT(B1089:AY1089)=0,"",IF(TRIM(A1089)&lt;&gt;"",TRIM(A1089),IF(BA1088="","(geen naam)",BA1088)))</f>
        <v/>
      </c>
      <c r="BB1089" s="42">
        <f>IF(BA1089="","",IF(ISNA(MATCH(BA1089,BA$120:BA1088,0)),MAX(BB$120:BB1088)+1,""))</f>
        <v/>
      </c>
    </row>
    <row r="1090">
      <c r="A1090" s="7" t="n"/>
      <c r="B1090" s="7" t="n"/>
      <c r="C1090" s="7" t="n"/>
      <c r="D1090" s="7" t="n"/>
      <c r="E1090" s="7" t="n"/>
      <c r="F1090" s="7" t="n"/>
      <c r="G1090" s="7" t="n"/>
      <c r="H1090" s="7" t="n"/>
      <c r="I1090" s="7" t="n"/>
      <c r="J1090" s="7" t="n"/>
      <c r="K1090" s="7" t="n"/>
      <c r="L1090" s="7" t="n"/>
      <c r="M1090" s="7" t="n"/>
      <c r="N1090" s="7" t="n"/>
      <c r="O1090" s="7" t="n"/>
      <c r="P1090" s="7" t="n"/>
      <c r="Q1090" s="7" t="n"/>
      <c r="R1090" s="7" t="n"/>
      <c r="S1090" s="7" t="n"/>
      <c r="T1090" s="7" t="n"/>
      <c r="U1090" s="7" t="n"/>
      <c r="V1090" s="7" t="n"/>
      <c r="W1090" s="7" t="n"/>
      <c r="X1090" s="7" t="n"/>
      <c r="Y1090" s="7" t="n"/>
      <c r="Z1090" s="7" t="n"/>
      <c r="AA1090" s="7" t="n"/>
      <c r="AB1090" s="7" t="n"/>
      <c r="AC1090" s="7" t="n"/>
      <c r="AD1090" s="7" t="n"/>
      <c r="AE1090" s="7" t="n"/>
      <c r="AF1090" s="7" t="n"/>
      <c r="AG1090" s="7" t="n"/>
      <c r="AH1090" s="7" t="n"/>
      <c r="AI1090" s="7" t="n"/>
      <c r="AJ1090" s="7" t="n"/>
      <c r="AK1090" s="7" t="n"/>
      <c r="AL1090" s="7" t="n"/>
      <c r="AM1090" s="7" t="n"/>
      <c r="AN1090" s="7" t="n"/>
      <c r="AO1090" s="7" t="n"/>
      <c r="AP1090" s="7" t="n"/>
      <c r="AQ1090" s="7" t="n"/>
      <c r="AR1090" s="7" t="n"/>
      <c r="AS1090" s="7" t="n"/>
      <c r="AT1090" s="7" t="n"/>
      <c r="AU1090" s="7" t="n"/>
      <c r="AV1090" s="7" t="n"/>
      <c r="AW1090" s="7" t="n"/>
      <c r="AX1090" s="7" t="n"/>
      <c r="AY1090" s="7" t="n"/>
      <c r="BA1090" s="42">
        <f>IF(COUNT(B1090:AY1090)=0,"",IF(TRIM(A1090)&lt;&gt;"",TRIM(A1090),IF(BA1089="","(geen naam)",BA1089)))</f>
        <v/>
      </c>
      <c r="BB1090" s="42">
        <f>IF(BA1090="","",IF(ISNA(MATCH(BA1090,BA$120:BA1089,0)),MAX(BB$120:BB1089)+1,""))</f>
        <v/>
      </c>
    </row>
    <row r="1091">
      <c r="A1091" s="7" t="n"/>
      <c r="B1091" s="7" t="n"/>
      <c r="C1091" s="7" t="n"/>
      <c r="D1091" s="7" t="n"/>
      <c r="E1091" s="7" t="n"/>
      <c r="F1091" s="7" t="n"/>
      <c r="G1091" s="7" t="n"/>
      <c r="H1091" s="7" t="n"/>
      <c r="I1091" s="7" t="n"/>
      <c r="J1091" s="7" t="n"/>
      <c r="K1091" s="7" t="n"/>
      <c r="L1091" s="7" t="n"/>
      <c r="M1091" s="7" t="n"/>
      <c r="N1091" s="7" t="n"/>
      <c r="O1091" s="7" t="n"/>
      <c r="P1091" s="7" t="n"/>
      <c r="Q1091" s="7" t="n"/>
      <c r="R1091" s="7" t="n"/>
      <c r="S1091" s="7" t="n"/>
      <c r="T1091" s="7" t="n"/>
      <c r="U1091" s="7" t="n"/>
      <c r="V1091" s="7" t="n"/>
      <c r="W1091" s="7" t="n"/>
      <c r="X1091" s="7" t="n"/>
      <c r="Y1091" s="7" t="n"/>
      <c r="Z1091" s="7" t="n"/>
      <c r="AA1091" s="7" t="n"/>
      <c r="AB1091" s="7" t="n"/>
      <c r="AC1091" s="7" t="n"/>
      <c r="AD1091" s="7" t="n"/>
      <c r="AE1091" s="7" t="n"/>
      <c r="AF1091" s="7" t="n"/>
      <c r="AG1091" s="7" t="n"/>
      <c r="AH1091" s="7" t="n"/>
      <c r="AI1091" s="7" t="n"/>
      <c r="AJ1091" s="7" t="n"/>
      <c r="AK1091" s="7" t="n"/>
      <c r="AL1091" s="7" t="n"/>
      <c r="AM1091" s="7" t="n"/>
      <c r="AN1091" s="7" t="n"/>
      <c r="AO1091" s="7" t="n"/>
      <c r="AP1091" s="7" t="n"/>
      <c r="AQ1091" s="7" t="n"/>
      <c r="AR1091" s="7" t="n"/>
      <c r="AS1091" s="7" t="n"/>
      <c r="AT1091" s="7" t="n"/>
      <c r="AU1091" s="7" t="n"/>
      <c r="AV1091" s="7" t="n"/>
      <c r="AW1091" s="7" t="n"/>
      <c r="AX1091" s="7" t="n"/>
      <c r="AY1091" s="7" t="n"/>
      <c r="BA1091" s="42">
        <f>IF(COUNT(B1091:AY1091)=0,"",IF(TRIM(A1091)&lt;&gt;"",TRIM(A1091),IF(BA1090="","(geen naam)",BA1090)))</f>
        <v/>
      </c>
      <c r="BB1091" s="42">
        <f>IF(BA1091="","",IF(ISNA(MATCH(BA1091,BA$120:BA1090,0)),MAX(BB$120:BB1090)+1,""))</f>
        <v/>
      </c>
    </row>
    <row r="1092">
      <c r="A1092" s="7" t="n"/>
      <c r="B1092" s="7" t="n"/>
      <c r="C1092" s="7" t="n"/>
      <c r="D1092" s="7" t="n"/>
      <c r="E1092" s="7" t="n"/>
      <c r="F1092" s="7" t="n"/>
      <c r="G1092" s="7" t="n"/>
      <c r="H1092" s="7" t="n"/>
      <c r="I1092" s="7" t="n"/>
      <c r="J1092" s="7" t="n"/>
      <c r="K1092" s="7" t="n"/>
      <c r="L1092" s="7" t="n"/>
      <c r="M1092" s="7" t="n"/>
      <c r="N1092" s="7" t="n"/>
      <c r="O1092" s="7" t="n"/>
      <c r="P1092" s="7" t="n"/>
      <c r="Q1092" s="7" t="n"/>
      <c r="R1092" s="7" t="n"/>
      <c r="S1092" s="7" t="n"/>
      <c r="T1092" s="7" t="n"/>
      <c r="U1092" s="7" t="n"/>
      <c r="V1092" s="7" t="n"/>
      <c r="W1092" s="7" t="n"/>
      <c r="X1092" s="7" t="n"/>
      <c r="Y1092" s="7" t="n"/>
      <c r="Z1092" s="7" t="n"/>
      <c r="AA1092" s="7" t="n"/>
      <c r="AB1092" s="7" t="n"/>
      <c r="AC1092" s="7" t="n"/>
      <c r="AD1092" s="7" t="n"/>
      <c r="AE1092" s="7" t="n"/>
      <c r="AF1092" s="7" t="n"/>
      <c r="AG1092" s="7" t="n"/>
      <c r="AH1092" s="7" t="n"/>
      <c r="AI1092" s="7" t="n"/>
      <c r="AJ1092" s="7" t="n"/>
      <c r="AK1092" s="7" t="n"/>
      <c r="AL1092" s="7" t="n"/>
      <c r="AM1092" s="7" t="n"/>
      <c r="AN1092" s="7" t="n"/>
      <c r="AO1092" s="7" t="n"/>
      <c r="AP1092" s="7" t="n"/>
      <c r="AQ1092" s="7" t="n"/>
      <c r="AR1092" s="7" t="n"/>
      <c r="AS1092" s="7" t="n"/>
      <c r="AT1092" s="7" t="n"/>
      <c r="AU1092" s="7" t="n"/>
      <c r="AV1092" s="7" t="n"/>
      <c r="AW1092" s="7" t="n"/>
      <c r="AX1092" s="7" t="n"/>
      <c r="AY1092" s="7" t="n"/>
      <c r="BA1092" s="42">
        <f>IF(COUNT(B1092:AY1092)=0,"",IF(TRIM(A1092)&lt;&gt;"",TRIM(A1092),IF(BA1091="","(geen naam)",BA1091)))</f>
        <v/>
      </c>
      <c r="BB1092" s="42">
        <f>IF(BA1092="","",IF(ISNA(MATCH(BA1092,BA$120:BA1091,0)),MAX(BB$120:BB1091)+1,""))</f>
        <v/>
      </c>
    </row>
    <row r="1093">
      <c r="A1093" s="7" t="n"/>
      <c r="B1093" s="7" t="n"/>
      <c r="C1093" s="7" t="n"/>
      <c r="D1093" s="7" t="n"/>
      <c r="E1093" s="7" t="n"/>
      <c r="F1093" s="7" t="n"/>
      <c r="G1093" s="7" t="n"/>
      <c r="H1093" s="7" t="n"/>
      <c r="I1093" s="7" t="n"/>
      <c r="J1093" s="7" t="n"/>
      <c r="K1093" s="7" t="n"/>
      <c r="L1093" s="7" t="n"/>
      <c r="M1093" s="7" t="n"/>
      <c r="N1093" s="7" t="n"/>
      <c r="O1093" s="7" t="n"/>
      <c r="P1093" s="7" t="n"/>
      <c r="Q1093" s="7" t="n"/>
      <c r="R1093" s="7" t="n"/>
      <c r="S1093" s="7" t="n"/>
      <c r="T1093" s="7" t="n"/>
      <c r="U1093" s="7" t="n"/>
      <c r="V1093" s="7" t="n"/>
      <c r="W1093" s="7" t="n"/>
      <c r="X1093" s="7" t="n"/>
      <c r="Y1093" s="7" t="n"/>
      <c r="Z1093" s="7" t="n"/>
      <c r="AA1093" s="7" t="n"/>
      <c r="AB1093" s="7" t="n"/>
      <c r="AC1093" s="7" t="n"/>
      <c r="AD1093" s="7" t="n"/>
      <c r="AE1093" s="7" t="n"/>
      <c r="AF1093" s="7" t="n"/>
      <c r="AG1093" s="7" t="n"/>
      <c r="AH1093" s="7" t="n"/>
      <c r="AI1093" s="7" t="n"/>
      <c r="AJ1093" s="7" t="n"/>
      <c r="AK1093" s="7" t="n"/>
      <c r="AL1093" s="7" t="n"/>
      <c r="AM1093" s="7" t="n"/>
      <c r="AN1093" s="7" t="n"/>
      <c r="AO1093" s="7" t="n"/>
      <c r="AP1093" s="7" t="n"/>
      <c r="AQ1093" s="7" t="n"/>
      <c r="AR1093" s="7" t="n"/>
      <c r="AS1093" s="7" t="n"/>
      <c r="AT1093" s="7" t="n"/>
      <c r="AU1093" s="7" t="n"/>
      <c r="AV1093" s="7" t="n"/>
      <c r="AW1093" s="7" t="n"/>
      <c r="AX1093" s="7" t="n"/>
      <c r="AY1093" s="7" t="n"/>
      <c r="BA1093" s="42">
        <f>IF(COUNT(B1093:AY1093)=0,"",IF(TRIM(A1093)&lt;&gt;"",TRIM(A1093),IF(BA1092="","(geen naam)",BA1092)))</f>
        <v/>
      </c>
      <c r="BB1093" s="42">
        <f>IF(BA1093="","",IF(ISNA(MATCH(BA1093,BA$120:BA1092,0)),MAX(BB$120:BB1092)+1,""))</f>
        <v/>
      </c>
    </row>
    <row r="1094">
      <c r="A1094" s="7" t="n"/>
      <c r="B1094" s="7" t="n"/>
      <c r="C1094" s="7" t="n"/>
      <c r="D1094" s="7" t="n"/>
      <c r="E1094" s="7" t="n"/>
      <c r="F1094" s="7" t="n"/>
      <c r="G1094" s="7" t="n"/>
      <c r="H1094" s="7" t="n"/>
      <c r="I1094" s="7" t="n"/>
      <c r="J1094" s="7" t="n"/>
      <c r="K1094" s="7" t="n"/>
      <c r="L1094" s="7" t="n"/>
      <c r="M1094" s="7" t="n"/>
      <c r="N1094" s="7" t="n"/>
      <c r="O1094" s="7" t="n"/>
      <c r="P1094" s="7" t="n"/>
      <c r="Q1094" s="7" t="n"/>
      <c r="R1094" s="7" t="n"/>
      <c r="S1094" s="7" t="n"/>
      <c r="T1094" s="7" t="n"/>
      <c r="U1094" s="7" t="n"/>
      <c r="V1094" s="7" t="n"/>
      <c r="W1094" s="7" t="n"/>
      <c r="X1094" s="7" t="n"/>
      <c r="Y1094" s="7" t="n"/>
      <c r="Z1094" s="7" t="n"/>
      <c r="AA1094" s="7" t="n"/>
      <c r="AB1094" s="7" t="n"/>
      <c r="AC1094" s="7" t="n"/>
      <c r="AD1094" s="7" t="n"/>
      <c r="AE1094" s="7" t="n"/>
      <c r="AF1094" s="7" t="n"/>
      <c r="AG1094" s="7" t="n"/>
      <c r="AH1094" s="7" t="n"/>
      <c r="AI1094" s="7" t="n"/>
      <c r="AJ1094" s="7" t="n"/>
      <c r="AK1094" s="7" t="n"/>
      <c r="AL1094" s="7" t="n"/>
      <c r="AM1094" s="7" t="n"/>
      <c r="AN1094" s="7" t="n"/>
      <c r="AO1094" s="7" t="n"/>
      <c r="AP1094" s="7" t="n"/>
      <c r="AQ1094" s="7" t="n"/>
      <c r="AR1094" s="7" t="n"/>
      <c r="AS1094" s="7" t="n"/>
      <c r="AT1094" s="7" t="n"/>
      <c r="AU1094" s="7" t="n"/>
      <c r="AV1094" s="7" t="n"/>
      <c r="AW1094" s="7" t="n"/>
      <c r="AX1094" s="7" t="n"/>
      <c r="AY1094" s="7" t="n"/>
      <c r="BA1094" s="42">
        <f>IF(COUNT(B1094:AY1094)=0,"",IF(TRIM(A1094)&lt;&gt;"",TRIM(A1094),IF(BA1093="","(geen naam)",BA1093)))</f>
        <v/>
      </c>
      <c r="BB1094" s="42">
        <f>IF(BA1094="","",IF(ISNA(MATCH(BA1094,BA$120:BA1093,0)),MAX(BB$120:BB1093)+1,""))</f>
        <v/>
      </c>
    </row>
    <row r="1095">
      <c r="A1095" s="7" t="n"/>
      <c r="B1095" s="7" t="n"/>
      <c r="C1095" s="7" t="n"/>
      <c r="D1095" s="7" t="n"/>
      <c r="E1095" s="7" t="n"/>
      <c r="F1095" s="7" t="n"/>
      <c r="G1095" s="7" t="n"/>
      <c r="H1095" s="7" t="n"/>
      <c r="I1095" s="7" t="n"/>
      <c r="J1095" s="7" t="n"/>
      <c r="K1095" s="7" t="n"/>
      <c r="L1095" s="7" t="n"/>
      <c r="M1095" s="7" t="n"/>
      <c r="N1095" s="7" t="n"/>
      <c r="O1095" s="7" t="n"/>
      <c r="P1095" s="7" t="n"/>
      <c r="Q1095" s="7" t="n"/>
      <c r="R1095" s="7" t="n"/>
      <c r="S1095" s="7" t="n"/>
      <c r="T1095" s="7" t="n"/>
      <c r="U1095" s="7" t="n"/>
      <c r="V1095" s="7" t="n"/>
      <c r="W1095" s="7" t="n"/>
      <c r="X1095" s="7" t="n"/>
      <c r="Y1095" s="7" t="n"/>
      <c r="Z1095" s="7" t="n"/>
      <c r="AA1095" s="7" t="n"/>
      <c r="AB1095" s="7" t="n"/>
      <c r="AC1095" s="7" t="n"/>
      <c r="AD1095" s="7" t="n"/>
      <c r="AE1095" s="7" t="n"/>
      <c r="AF1095" s="7" t="n"/>
      <c r="AG1095" s="7" t="n"/>
      <c r="AH1095" s="7" t="n"/>
      <c r="AI1095" s="7" t="n"/>
      <c r="AJ1095" s="7" t="n"/>
      <c r="AK1095" s="7" t="n"/>
      <c r="AL1095" s="7" t="n"/>
      <c r="AM1095" s="7" t="n"/>
      <c r="AN1095" s="7" t="n"/>
      <c r="AO1095" s="7" t="n"/>
      <c r="AP1095" s="7" t="n"/>
      <c r="AQ1095" s="7" t="n"/>
      <c r="AR1095" s="7" t="n"/>
      <c r="AS1095" s="7" t="n"/>
      <c r="AT1095" s="7" t="n"/>
      <c r="AU1095" s="7" t="n"/>
      <c r="AV1095" s="7" t="n"/>
      <c r="AW1095" s="7" t="n"/>
      <c r="AX1095" s="7" t="n"/>
      <c r="AY1095" s="7" t="n"/>
      <c r="BA1095" s="42">
        <f>IF(COUNT(B1095:AY1095)=0,"",IF(TRIM(A1095)&lt;&gt;"",TRIM(A1095),IF(BA1094="","(geen naam)",BA1094)))</f>
        <v/>
      </c>
      <c r="BB1095" s="42">
        <f>IF(BA1095="","",IF(ISNA(MATCH(BA1095,BA$120:BA1094,0)),MAX(BB$120:BB1094)+1,""))</f>
        <v/>
      </c>
    </row>
    <row r="1096">
      <c r="A1096" s="7" t="n"/>
      <c r="B1096" s="7" t="n"/>
      <c r="C1096" s="7" t="n"/>
      <c r="D1096" s="7" t="n"/>
      <c r="E1096" s="7" t="n"/>
      <c r="F1096" s="7" t="n"/>
      <c r="G1096" s="7" t="n"/>
      <c r="H1096" s="7" t="n"/>
      <c r="I1096" s="7" t="n"/>
      <c r="J1096" s="7" t="n"/>
      <c r="K1096" s="7" t="n"/>
      <c r="L1096" s="7" t="n"/>
      <c r="M1096" s="7" t="n"/>
      <c r="N1096" s="7" t="n"/>
      <c r="O1096" s="7" t="n"/>
      <c r="P1096" s="7" t="n"/>
      <c r="Q1096" s="7" t="n"/>
      <c r="R1096" s="7" t="n"/>
      <c r="S1096" s="7" t="n"/>
      <c r="T1096" s="7" t="n"/>
      <c r="U1096" s="7" t="n"/>
      <c r="V1096" s="7" t="n"/>
      <c r="W1096" s="7" t="n"/>
      <c r="X1096" s="7" t="n"/>
      <c r="Y1096" s="7" t="n"/>
      <c r="Z1096" s="7" t="n"/>
      <c r="AA1096" s="7" t="n"/>
      <c r="AB1096" s="7" t="n"/>
      <c r="AC1096" s="7" t="n"/>
      <c r="AD1096" s="7" t="n"/>
      <c r="AE1096" s="7" t="n"/>
      <c r="AF1096" s="7" t="n"/>
      <c r="AG1096" s="7" t="n"/>
      <c r="AH1096" s="7" t="n"/>
      <c r="AI1096" s="7" t="n"/>
      <c r="AJ1096" s="7" t="n"/>
      <c r="AK1096" s="7" t="n"/>
      <c r="AL1096" s="7" t="n"/>
      <c r="AM1096" s="7" t="n"/>
      <c r="AN1096" s="7" t="n"/>
      <c r="AO1096" s="7" t="n"/>
      <c r="AP1096" s="7" t="n"/>
      <c r="AQ1096" s="7" t="n"/>
      <c r="AR1096" s="7" t="n"/>
      <c r="AS1096" s="7" t="n"/>
      <c r="AT1096" s="7" t="n"/>
      <c r="AU1096" s="7" t="n"/>
      <c r="AV1096" s="7" t="n"/>
      <c r="AW1096" s="7" t="n"/>
      <c r="AX1096" s="7" t="n"/>
      <c r="AY1096" s="7" t="n"/>
      <c r="BA1096" s="42">
        <f>IF(COUNT(B1096:AY1096)=0,"",IF(TRIM(A1096)&lt;&gt;"",TRIM(A1096),IF(BA1095="","(geen naam)",BA1095)))</f>
        <v/>
      </c>
      <c r="BB1096" s="42">
        <f>IF(BA1096="","",IF(ISNA(MATCH(BA1096,BA$120:BA1095,0)),MAX(BB$120:BB1095)+1,""))</f>
        <v/>
      </c>
    </row>
    <row r="1097">
      <c r="A1097" s="7" t="n"/>
      <c r="B1097" s="7" t="n"/>
      <c r="C1097" s="7" t="n"/>
      <c r="D1097" s="7" t="n"/>
      <c r="E1097" s="7" t="n"/>
      <c r="F1097" s="7" t="n"/>
      <c r="G1097" s="7" t="n"/>
      <c r="H1097" s="7" t="n"/>
      <c r="I1097" s="7" t="n"/>
      <c r="J1097" s="7" t="n"/>
      <c r="K1097" s="7" t="n"/>
      <c r="L1097" s="7" t="n"/>
      <c r="M1097" s="7" t="n"/>
      <c r="N1097" s="7" t="n"/>
      <c r="O1097" s="7" t="n"/>
      <c r="P1097" s="7" t="n"/>
      <c r="Q1097" s="7" t="n"/>
      <c r="R1097" s="7" t="n"/>
      <c r="S1097" s="7" t="n"/>
      <c r="T1097" s="7" t="n"/>
      <c r="U1097" s="7" t="n"/>
      <c r="V1097" s="7" t="n"/>
      <c r="W1097" s="7" t="n"/>
      <c r="X1097" s="7" t="n"/>
      <c r="Y1097" s="7" t="n"/>
      <c r="Z1097" s="7" t="n"/>
      <c r="AA1097" s="7" t="n"/>
      <c r="AB1097" s="7" t="n"/>
      <c r="AC1097" s="7" t="n"/>
      <c r="AD1097" s="7" t="n"/>
      <c r="AE1097" s="7" t="n"/>
      <c r="AF1097" s="7" t="n"/>
      <c r="AG1097" s="7" t="n"/>
      <c r="AH1097" s="7" t="n"/>
      <c r="AI1097" s="7" t="n"/>
      <c r="AJ1097" s="7" t="n"/>
      <c r="AK1097" s="7" t="n"/>
      <c r="AL1097" s="7" t="n"/>
      <c r="AM1097" s="7" t="n"/>
      <c r="AN1097" s="7" t="n"/>
      <c r="AO1097" s="7" t="n"/>
      <c r="AP1097" s="7" t="n"/>
      <c r="AQ1097" s="7" t="n"/>
      <c r="AR1097" s="7" t="n"/>
      <c r="AS1097" s="7" t="n"/>
      <c r="AT1097" s="7" t="n"/>
      <c r="AU1097" s="7" t="n"/>
      <c r="AV1097" s="7" t="n"/>
      <c r="AW1097" s="7" t="n"/>
      <c r="AX1097" s="7" t="n"/>
      <c r="AY1097" s="7" t="n"/>
      <c r="BA1097" s="42">
        <f>IF(COUNT(B1097:AY1097)=0,"",IF(TRIM(A1097)&lt;&gt;"",TRIM(A1097),IF(BA1096="","(geen naam)",BA1096)))</f>
        <v/>
      </c>
      <c r="BB1097" s="42">
        <f>IF(BA1097="","",IF(ISNA(MATCH(BA1097,BA$120:BA1096,0)),MAX(BB$120:BB1096)+1,""))</f>
        <v/>
      </c>
    </row>
    <row r="1098">
      <c r="A1098" s="7" t="n"/>
      <c r="B1098" s="7" t="n"/>
      <c r="C1098" s="7" t="n"/>
      <c r="D1098" s="7" t="n"/>
      <c r="E1098" s="7" t="n"/>
      <c r="F1098" s="7" t="n"/>
      <c r="G1098" s="7" t="n"/>
      <c r="H1098" s="7" t="n"/>
      <c r="I1098" s="7" t="n"/>
      <c r="J1098" s="7" t="n"/>
      <c r="K1098" s="7" t="n"/>
      <c r="L1098" s="7" t="n"/>
      <c r="M1098" s="7" t="n"/>
      <c r="N1098" s="7" t="n"/>
      <c r="O1098" s="7" t="n"/>
      <c r="P1098" s="7" t="n"/>
      <c r="Q1098" s="7" t="n"/>
      <c r="R1098" s="7" t="n"/>
      <c r="S1098" s="7" t="n"/>
      <c r="T1098" s="7" t="n"/>
      <c r="U1098" s="7" t="n"/>
      <c r="V1098" s="7" t="n"/>
      <c r="W1098" s="7" t="n"/>
      <c r="X1098" s="7" t="n"/>
      <c r="Y1098" s="7" t="n"/>
      <c r="Z1098" s="7" t="n"/>
      <c r="AA1098" s="7" t="n"/>
      <c r="AB1098" s="7" t="n"/>
      <c r="AC1098" s="7" t="n"/>
      <c r="AD1098" s="7" t="n"/>
      <c r="AE1098" s="7" t="n"/>
      <c r="AF1098" s="7" t="n"/>
      <c r="AG1098" s="7" t="n"/>
      <c r="AH1098" s="7" t="n"/>
      <c r="AI1098" s="7" t="n"/>
      <c r="AJ1098" s="7" t="n"/>
      <c r="AK1098" s="7" t="n"/>
      <c r="AL1098" s="7" t="n"/>
      <c r="AM1098" s="7" t="n"/>
      <c r="AN1098" s="7" t="n"/>
      <c r="AO1098" s="7" t="n"/>
      <c r="AP1098" s="7" t="n"/>
      <c r="AQ1098" s="7" t="n"/>
      <c r="AR1098" s="7" t="n"/>
      <c r="AS1098" s="7" t="n"/>
      <c r="AT1098" s="7" t="n"/>
      <c r="AU1098" s="7" t="n"/>
      <c r="AV1098" s="7" t="n"/>
      <c r="AW1098" s="7" t="n"/>
      <c r="AX1098" s="7" t="n"/>
      <c r="AY1098" s="7" t="n"/>
      <c r="BA1098" s="42">
        <f>IF(COUNT(B1098:AY1098)=0,"",IF(TRIM(A1098)&lt;&gt;"",TRIM(A1098),IF(BA1097="","(geen naam)",BA1097)))</f>
        <v/>
      </c>
      <c r="BB1098" s="42">
        <f>IF(BA1098="","",IF(ISNA(MATCH(BA1098,BA$120:BA1097,0)),MAX(BB$120:BB1097)+1,""))</f>
        <v/>
      </c>
    </row>
    <row r="1099">
      <c r="A1099" s="7" t="n"/>
      <c r="B1099" s="7" t="n"/>
      <c r="C1099" s="7" t="n"/>
      <c r="D1099" s="7" t="n"/>
      <c r="E1099" s="7" t="n"/>
      <c r="F1099" s="7" t="n"/>
      <c r="G1099" s="7" t="n"/>
      <c r="H1099" s="7" t="n"/>
      <c r="I1099" s="7" t="n"/>
      <c r="J1099" s="7" t="n"/>
      <c r="K1099" s="7" t="n"/>
      <c r="L1099" s="7" t="n"/>
      <c r="M1099" s="7" t="n"/>
      <c r="N1099" s="7" t="n"/>
      <c r="O1099" s="7" t="n"/>
      <c r="P1099" s="7" t="n"/>
      <c r="Q1099" s="7" t="n"/>
      <c r="R1099" s="7" t="n"/>
      <c r="S1099" s="7" t="n"/>
      <c r="T1099" s="7" t="n"/>
      <c r="U1099" s="7" t="n"/>
      <c r="V1099" s="7" t="n"/>
      <c r="W1099" s="7" t="n"/>
      <c r="X1099" s="7" t="n"/>
      <c r="Y1099" s="7" t="n"/>
      <c r="Z1099" s="7" t="n"/>
      <c r="AA1099" s="7" t="n"/>
      <c r="AB1099" s="7" t="n"/>
      <c r="AC1099" s="7" t="n"/>
      <c r="AD1099" s="7" t="n"/>
      <c r="AE1099" s="7" t="n"/>
      <c r="AF1099" s="7" t="n"/>
      <c r="AG1099" s="7" t="n"/>
      <c r="AH1099" s="7" t="n"/>
      <c r="AI1099" s="7" t="n"/>
      <c r="AJ1099" s="7" t="n"/>
      <c r="AK1099" s="7" t="n"/>
      <c r="AL1099" s="7" t="n"/>
      <c r="AM1099" s="7" t="n"/>
      <c r="AN1099" s="7" t="n"/>
      <c r="AO1099" s="7" t="n"/>
      <c r="AP1099" s="7" t="n"/>
      <c r="AQ1099" s="7" t="n"/>
      <c r="AR1099" s="7" t="n"/>
      <c r="AS1099" s="7" t="n"/>
      <c r="AT1099" s="7" t="n"/>
      <c r="AU1099" s="7" t="n"/>
      <c r="AV1099" s="7" t="n"/>
      <c r="AW1099" s="7" t="n"/>
      <c r="AX1099" s="7" t="n"/>
      <c r="AY1099" s="7" t="n"/>
      <c r="BA1099" s="42">
        <f>IF(COUNT(B1099:AY1099)=0,"",IF(TRIM(A1099)&lt;&gt;"",TRIM(A1099),IF(BA1098="","(geen naam)",BA1098)))</f>
        <v/>
      </c>
      <c r="BB1099" s="42">
        <f>IF(BA1099="","",IF(ISNA(MATCH(BA1099,BA$120:BA1098,0)),MAX(BB$120:BB1098)+1,""))</f>
        <v/>
      </c>
    </row>
    <row r="1100">
      <c r="A1100" s="7" t="n"/>
      <c r="B1100" s="7" t="n"/>
      <c r="C1100" s="7" t="n"/>
      <c r="D1100" s="7" t="n"/>
      <c r="E1100" s="7" t="n"/>
      <c r="F1100" s="7" t="n"/>
      <c r="G1100" s="7" t="n"/>
      <c r="H1100" s="7" t="n"/>
      <c r="I1100" s="7" t="n"/>
      <c r="J1100" s="7" t="n"/>
      <c r="K1100" s="7" t="n"/>
      <c r="L1100" s="7" t="n"/>
      <c r="M1100" s="7" t="n"/>
      <c r="N1100" s="7" t="n"/>
      <c r="O1100" s="7" t="n"/>
      <c r="P1100" s="7" t="n"/>
      <c r="Q1100" s="7" t="n"/>
      <c r="R1100" s="7" t="n"/>
      <c r="S1100" s="7" t="n"/>
      <c r="T1100" s="7" t="n"/>
      <c r="U1100" s="7" t="n"/>
      <c r="V1100" s="7" t="n"/>
      <c r="W1100" s="7" t="n"/>
      <c r="X1100" s="7" t="n"/>
      <c r="Y1100" s="7" t="n"/>
      <c r="Z1100" s="7" t="n"/>
      <c r="AA1100" s="7" t="n"/>
      <c r="AB1100" s="7" t="n"/>
      <c r="AC1100" s="7" t="n"/>
      <c r="AD1100" s="7" t="n"/>
      <c r="AE1100" s="7" t="n"/>
      <c r="AF1100" s="7" t="n"/>
      <c r="AG1100" s="7" t="n"/>
      <c r="AH1100" s="7" t="n"/>
      <c r="AI1100" s="7" t="n"/>
      <c r="AJ1100" s="7" t="n"/>
      <c r="AK1100" s="7" t="n"/>
      <c r="AL1100" s="7" t="n"/>
      <c r="AM1100" s="7" t="n"/>
      <c r="AN1100" s="7" t="n"/>
      <c r="AO1100" s="7" t="n"/>
      <c r="AP1100" s="7" t="n"/>
      <c r="AQ1100" s="7" t="n"/>
      <c r="AR1100" s="7" t="n"/>
      <c r="AS1100" s="7" t="n"/>
      <c r="AT1100" s="7" t="n"/>
      <c r="AU1100" s="7" t="n"/>
      <c r="AV1100" s="7" t="n"/>
      <c r="AW1100" s="7" t="n"/>
      <c r="AX1100" s="7" t="n"/>
      <c r="AY1100" s="7" t="n"/>
      <c r="BA1100" s="42">
        <f>IF(COUNT(B1100:AY1100)=0,"",IF(TRIM(A1100)&lt;&gt;"",TRIM(A1100),IF(BA1099="","(geen naam)",BA1099)))</f>
        <v/>
      </c>
      <c r="BB1100" s="42">
        <f>IF(BA1100="","",IF(ISNA(MATCH(BA1100,BA$120:BA1099,0)),MAX(BB$120:BB1099)+1,""))</f>
        <v/>
      </c>
    </row>
    <row r="1101">
      <c r="A1101" s="7" t="n"/>
      <c r="B1101" s="7" t="n"/>
      <c r="C1101" s="7" t="n"/>
      <c r="D1101" s="7" t="n"/>
      <c r="E1101" s="7" t="n"/>
      <c r="F1101" s="7" t="n"/>
      <c r="G1101" s="7" t="n"/>
      <c r="H1101" s="7" t="n"/>
      <c r="I1101" s="7" t="n"/>
      <c r="J1101" s="7" t="n"/>
      <c r="K1101" s="7" t="n"/>
      <c r="L1101" s="7" t="n"/>
      <c r="M1101" s="7" t="n"/>
      <c r="N1101" s="7" t="n"/>
      <c r="O1101" s="7" t="n"/>
      <c r="P1101" s="7" t="n"/>
      <c r="Q1101" s="7" t="n"/>
      <c r="R1101" s="7" t="n"/>
      <c r="S1101" s="7" t="n"/>
      <c r="T1101" s="7" t="n"/>
      <c r="U1101" s="7" t="n"/>
      <c r="V1101" s="7" t="n"/>
      <c r="W1101" s="7" t="n"/>
      <c r="X1101" s="7" t="n"/>
      <c r="Y1101" s="7" t="n"/>
      <c r="Z1101" s="7" t="n"/>
      <c r="AA1101" s="7" t="n"/>
      <c r="AB1101" s="7" t="n"/>
      <c r="AC1101" s="7" t="n"/>
      <c r="AD1101" s="7" t="n"/>
      <c r="AE1101" s="7" t="n"/>
      <c r="AF1101" s="7" t="n"/>
      <c r="AG1101" s="7" t="n"/>
      <c r="AH1101" s="7" t="n"/>
      <c r="AI1101" s="7" t="n"/>
      <c r="AJ1101" s="7" t="n"/>
      <c r="AK1101" s="7" t="n"/>
      <c r="AL1101" s="7" t="n"/>
      <c r="AM1101" s="7" t="n"/>
      <c r="AN1101" s="7" t="n"/>
      <c r="AO1101" s="7" t="n"/>
      <c r="AP1101" s="7" t="n"/>
      <c r="AQ1101" s="7" t="n"/>
      <c r="AR1101" s="7" t="n"/>
      <c r="AS1101" s="7" t="n"/>
      <c r="AT1101" s="7" t="n"/>
      <c r="AU1101" s="7" t="n"/>
      <c r="AV1101" s="7" t="n"/>
      <c r="AW1101" s="7" t="n"/>
      <c r="AX1101" s="7" t="n"/>
      <c r="AY1101" s="7" t="n"/>
      <c r="BA1101" s="42">
        <f>IF(COUNT(B1101:AY1101)=0,"",IF(TRIM(A1101)&lt;&gt;"",TRIM(A1101),IF(BA1100="","(geen naam)",BA1100)))</f>
        <v/>
      </c>
      <c r="BB1101" s="42">
        <f>IF(BA1101="","",IF(ISNA(MATCH(BA1101,BA$120:BA1100,0)),MAX(BB$120:BB1100)+1,""))</f>
        <v/>
      </c>
    </row>
    <row r="1102">
      <c r="A1102" s="7" t="n"/>
      <c r="B1102" s="7" t="n"/>
      <c r="C1102" s="7" t="n"/>
      <c r="D1102" s="7" t="n"/>
      <c r="E1102" s="7" t="n"/>
      <c r="F1102" s="7" t="n"/>
      <c r="G1102" s="7" t="n"/>
      <c r="H1102" s="7" t="n"/>
      <c r="I1102" s="7" t="n"/>
      <c r="J1102" s="7" t="n"/>
      <c r="K1102" s="7" t="n"/>
      <c r="L1102" s="7" t="n"/>
      <c r="M1102" s="7" t="n"/>
      <c r="N1102" s="7" t="n"/>
      <c r="O1102" s="7" t="n"/>
      <c r="P1102" s="7" t="n"/>
      <c r="Q1102" s="7" t="n"/>
      <c r="R1102" s="7" t="n"/>
      <c r="S1102" s="7" t="n"/>
      <c r="T1102" s="7" t="n"/>
      <c r="U1102" s="7" t="n"/>
      <c r="V1102" s="7" t="n"/>
      <c r="W1102" s="7" t="n"/>
      <c r="X1102" s="7" t="n"/>
      <c r="Y1102" s="7" t="n"/>
      <c r="Z1102" s="7" t="n"/>
      <c r="AA1102" s="7" t="n"/>
      <c r="AB1102" s="7" t="n"/>
      <c r="AC1102" s="7" t="n"/>
      <c r="AD1102" s="7" t="n"/>
      <c r="AE1102" s="7" t="n"/>
      <c r="AF1102" s="7" t="n"/>
      <c r="AG1102" s="7" t="n"/>
      <c r="AH1102" s="7" t="n"/>
      <c r="AI1102" s="7" t="n"/>
      <c r="AJ1102" s="7" t="n"/>
      <c r="AK1102" s="7" t="n"/>
      <c r="AL1102" s="7" t="n"/>
      <c r="AM1102" s="7" t="n"/>
      <c r="AN1102" s="7" t="n"/>
      <c r="AO1102" s="7" t="n"/>
      <c r="AP1102" s="7" t="n"/>
      <c r="AQ1102" s="7" t="n"/>
      <c r="AR1102" s="7" t="n"/>
      <c r="AS1102" s="7" t="n"/>
      <c r="AT1102" s="7" t="n"/>
      <c r="AU1102" s="7" t="n"/>
      <c r="AV1102" s="7" t="n"/>
      <c r="AW1102" s="7" t="n"/>
      <c r="AX1102" s="7" t="n"/>
      <c r="AY1102" s="7" t="n"/>
      <c r="BA1102" s="42">
        <f>IF(COUNT(B1102:AY1102)=0,"",IF(TRIM(A1102)&lt;&gt;"",TRIM(A1102),IF(BA1101="","(geen naam)",BA1101)))</f>
        <v/>
      </c>
      <c r="BB1102" s="42">
        <f>IF(BA1102="","",IF(ISNA(MATCH(BA1102,BA$120:BA1101,0)),MAX(BB$120:BB1101)+1,""))</f>
        <v/>
      </c>
    </row>
    <row r="1103">
      <c r="A1103" s="7" t="n"/>
      <c r="B1103" s="7" t="n"/>
      <c r="C1103" s="7" t="n"/>
      <c r="D1103" s="7" t="n"/>
      <c r="E1103" s="7" t="n"/>
      <c r="F1103" s="7" t="n"/>
      <c r="G1103" s="7" t="n"/>
      <c r="H1103" s="7" t="n"/>
      <c r="I1103" s="7" t="n"/>
      <c r="J1103" s="7" t="n"/>
      <c r="K1103" s="7" t="n"/>
      <c r="L1103" s="7" t="n"/>
      <c r="M1103" s="7" t="n"/>
      <c r="N1103" s="7" t="n"/>
      <c r="O1103" s="7" t="n"/>
      <c r="P1103" s="7" t="n"/>
      <c r="Q1103" s="7" t="n"/>
      <c r="R1103" s="7" t="n"/>
      <c r="S1103" s="7" t="n"/>
      <c r="T1103" s="7" t="n"/>
      <c r="U1103" s="7" t="n"/>
      <c r="V1103" s="7" t="n"/>
      <c r="W1103" s="7" t="n"/>
      <c r="X1103" s="7" t="n"/>
      <c r="Y1103" s="7" t="n"/>
      <c r="Z1103" s="7" t="n"/>
      <c r="AA1103" s="7" t="n"/>
      <c r="AB1103" s="7" t="n"/>
      <c r="AC1103" s="7" t="n"/>
      <c r="AD1103" s="7" t="n"/>
      <c r="AE1103" s="7" t="n"/>
      <c r="AF1103" s="7" t="n"/>
      <c r="AG1103" s="7" t="n"/>
      <c r="AH1103" s="7" t="n"/>
      <c r="AI1103" s="7" t="n"/>
      <c r="AJ1103" s="7" t="n"/>
      <c r="AK1103" s="7" t="n"/>
      <c r="AL1103" s="7" t="n"/>
      <c r="AM1103" s="7" t="n"/>
      <c r="AN1103" s="7" t="n"/>
      <c r="AO1103" s="7" t="n"/>
      <c r="AP1103" s="7" t="n"/>
      <c r="AQ1103" s="7" t="n"/>
      <c r="AR1103" s="7" t="n"/>
      <c r="AS1103" s="7" t="n"/>
      <c r="AT1103" s="7" t="n"/>
      <c r="AU1103" s="7" t="n"/>
      <c r="AV1103" s="7" t="n"/>
      <c r="AW1103" s="7" t="n"/>
      <c r="AX1103" s="7" t="n"/>
      <c r="AY1103" s="7" t="n"/>
      <c r="BA1103" s="42">
        <f>IF(COUNT(B1103:AY1103)=0,"",IF(TRIM(A1103)&lt;&gt;"",TRIM(A1103),IF(BA1102="","(geen naam)",BA1102)))</f>
        <v/>
      </c>
      <c r="BB1103" s="42">
        <f>IF(BA1103="","",IF(ISNA(MATCH(BA1103,BA$120:BA1102,0)),MAX(BB$120:BB1102)+1,""))</f>
        <v/>
      </c>
    </row>
    <row r="1104">
      <c r="A1104" s="7" t="n"/>
      <c r="B1104" s="7" t="n"/>
      <c r="C1104" s="7" t="n"/>
      <c r="D1104" s="7" t="n"/>
      <c r="E1104" s="7" t="n"/>
      <c r="F1104" s="7" t="n"/>
      <c r="G1104" s="7" t="n"/>
      <c r="H1104" s="7" t="n"/>
      <c r="I1104" s="7" t="n"/>
      <c r="J1104" s="7" t="n"/>
      <c r="K1104" s="7" t="n"/>
      <c r="L1104" s="7" t="n"/>
      <c r="M1104" s="7" t="n"/>
      <c r="N1104" s="7" t="n"/>
      <c r="O1104" s="7" t="n"/>
      <c r="P1104" s="7" t="n"/>
      <c r="Q1104" s="7" t="n"/>
      <c r="R1104" s="7" t="n"/>
      <c r="S1104" s="7" t="n"/>
      <c r="T1104" s="7" t="n"/>
      <c r="U1104" s="7" t="n"/>
      <c r="V1104" s="7" t="n"/>
      <c r="W1104" s="7" t="n"/>
      <c r="X1104" s="7" t="n"/>
      <c r="Y1104" s="7" t="n"/>
      <c r="Z1104" s="7" t="n"/>
      <c r="AA1104" s="7" t="n"/>
      <c r="AB1104" s="7" t="n"/>
      <c r="AC1104" s="7" t="n"/>
      <c r="AD1104" s="7" t="n"/>
      <c r="AE1104" s="7" t="n"/>
      <c r="AF1104" s="7" t="n"/>
      <c r="AG1104" s="7" t="n"/>
      <c r="AH1104" s="7" t="n"/>
      <c r="AI1104" s="7" t="n"/>
      <c r="AJ1104" s="7" t="n"/>
      <c r="AK1104" s="7" t="n"/>
      <c r="AL1104" s="7" t="n"/>
      <c r="AM1104" s="7" t="n"/>
      <c r="AN1104" s="7" t="n"/>
      <c r="AO1104" s="7" t="n"/>
      <c r="AP1104" s="7" t="n"/>
      <c r="AQ1104" s="7" t="n"/>
      <c r="AR1104" s="7" t="n"/>
      <c r="AS1104" s="7" t="n"/>
      <c r="AT1104" s="7" t="n"/>
      <c r="AU1104" s="7" t="n"/>
      <c r="AV1104" s="7" t="n"/>
      <c r="AW1104" s="7" t="n"/>
      <c r="AX1104" s="7" t="n"/>
      <c r="AY1104" s="7" t="n"/>
      <c r="BA1104" s="42">
        <f>IF(COUNT(B1104:AY1104)=0,"",IF(TRIM(A1104)&lt;&gt;"",TRIM(A1104),IF(BA1103="","(geen naam)",BA1103)))</f>
        <v/>
      </c>
      <c r="BB1104" s="42">
        <f>IF(BA1104="","",IF(ISNA(MATCH(BA1104,BA$120:BA1103,0)),MAX(BB$120:BB1103)+1,""))</f>
        <v/>
      </c>
    </row>
    <row r="1105">
      <c r="A1105" s="7" t="n"/>
      <c r="B1105" s="7" t="n"/>
      <c r="C1105" s="7" t="n"/>
      <c r="D1105" s="7" t="n"/>
      <c r="E1105" s="7" t="n"/>
      <c r="F1105" s="7" t="n"/>
      <c r="G1105" s="7" t="n"/>
      <c r="H1105" s="7" t="n"/>
      <c r="I1105" s="7" t="n"/>
      <c r="J1105" s="7" t="n"/>
      <c r="K1105" s="7" t="n"/>
      <c r="L1105" s="7" t="n"/>
      <c r="M1105" s="7" t="n"/>
      <c r="N1105" s="7" t="n"/>
      <c r="O1105" s="7" t="n"/>
      <c r="P1105" s="7" t="n"/>
      <c r="Q1105" s="7" t="n"/>
      <c r="R1105" s="7" t="n"/>
      <c r="S1105" s="7" t="n"/>
      <c r="T1105" s="7" t="n"/>
      <c r="U1105" s="7" t="n"/>
      <c r="V1105" s="7" t="n"/>
      <c r="W1105" s="7" t="n"/>
      <c r="X1105" s="7" t="n"/>
      <c r="Y1105" s="7" t="n"/>
      <c r="Z1105" s="7" t="n"/>
      <c r="AA1105" s="7" t="n"/>
      <c r="AB1105" s="7" t="n"/>
      <c r="AC1105" s="7" t="n"/>
      <c r="AD1105" s="7" t="n"/>
      <c r="AE1105" s="7" t="n"/>
      <c r="AF1105" s="7" t="n"/>
      <c r="AG1105" s="7" t="n"/>
      <c r="AH1105" s="7" t="n"/>
      <c r="AI1105" s="7" t="n"/>
      <c r="AJ1105" s="7" t="n"/>
      <c r="AK1105" s="7" t="n"/>
      <c r="AL1105" s="7" t="n"/>
      <c r="AM1105" s="7" t="n"/>
      <c r="AN1105" s="7" t="n"/>
      <c r="AO1105" s="7" t="n"/>
      <c r="AP1105" s="7" t="n"/>
      <c r="AQ1105" s="7" t="n"/>
      <c r="AR1105" s="7" t="n"/>
      <c r="AS1105" s="7" t="n"/>
      <c r="AT1105" s="7" t="n"/>
      <c r="AU1105" s="7" t="n"/>
      <c r="AV1105" s="7" t="n"/>
      <c r="AW1105" s="7" t="n"/>
      <c r="AX1105" s="7" t="n"/>
      <c r="AY1105" s="7" t="n"/>
      <c r="BA1105" s="42">
        <f>IF(COUNT(B1105:AY1105)=0,"",IF(TRIM(A1105)&lt;&gt;"",TRIM(A1105),IF(BA1104="","(geen naam)",BA1104)))</f>
        <v/>
      </c>
      <c r="BB1105" s="42">
        <f>IF(BA1105="","",IF(ISNA(MATCH(BA1105,BA$120:BA1104,0)),MAX(BB$120:BB1104)+1,""))</f>
        <v/>
      </c>
    </row>
    <row r="1106">
      <c r="A1106" s="7" t="n"/>
      <c r="B1106" s="7" t="n"/>
      <c r="C1106" s="7" t="n"/>
      <c r="D1106" s="7" t="n"/>
      <c r="E1106" s="7" t="n"/>
      <c r="F1106" s="7" t="n"/>
      <c r="G1106" s="7" t="n"/>
      <c r="H1106" s="7" t="n"/>
      <c r="I1106" s="7" t="n"/>
      <c r="J1106" s="7" t="n"/>
      <c r="K1106" s="7" t="n"/>
      <c r="L1106" s="7" t="n"/>
      <c r="M1106" s="7" t="n"/>
      <c r="N1106" s="7" t="n"/>
      <c r="O1106" s="7" t="n"/>
      <c r="P1106" s="7" t="n"/>
      <c r="Q1106" s="7" t="n"/>
      <c r="R1106" s="7" t="n"/>
      <c r="S1106" s="7" t="n"/>
      <c r="T1106" s="7" t="n"/>
      <c r="U1106" s="7" t="n"/>
      <c r="V1106" s="7" t="n"/>
      <c r="W1106" s="7" t="n"/>
      <c r="X1106" s="7" t="n"/>
      <c r="Y1106" s="7" t="n"/>
      <c r="Z1106" s="7" t="n"/>
      <c r="AA1106" s="7" t="n"/>
      <c r="AB1106" s="7" t="n"/>
      <c r="AC1106" s="7" t="n"/>
      <c r="AD1106" s="7" t="n"/>
      <c r="AE1106" s="7" t="n"/>
      <c r="AF1106" s="7" t="n"/>
      <c r="AG1106" s="7" t="n"/>
      <c r="AH1106" s="7" t="n"/>
      <c r="AI1106" s="7" t="n"/>
      <c r="AJ1106" s="7" t="n"/>
      <c r="AK1106" s="7" t="n"/>
      <c r="AL1106" s="7" t="n"/>
      <c r="AM1106" s="7" t="n"/>
      <c r="AN1106" s="7" t="n"/>
      <c r="AO1106" s="7" t="n"/>
      <c r="AP1106" s="7" t="n"/>
      <c r="AQ1106" s="7" t="n"/>
      <c r="AR1106" s="7" t="n"/>
      <c r="AS1106" s="7" t="n"/>
      <c r="AT1106" s="7" t="n"/>
      <c r="AU1106" s="7" t="n"/>
      <c r="AV1106" s="7" t="n"/>
      <c r="AW1106" s="7" t="n"/>
      <c r="AX1106" s="7" t="n"/>
      <c r="AY1106" s="7" t="n"/>
      <c r="BA1106" s="42">
        <f>IF(COUNT(B1106:AY1106)=0,"",IF(TRIM(A1106)&lt;&gt;"",TRIM(A1106),IF(BA1105="","(geen naam)",BA1105)))</f>
        <v/>
      </c>
      <c r="BB1106" s="42">
        <f>IF(BA1106="","",IF(ISNA(MATCH(BA1106,BA$120:BA1105,0)),MAX(BB$120:BB1105)+1,""))</f>
        <v/>
      </c>
    </row>
    <row r="1107">
      <c r="A1107" s="7" t="n"/>
      <c r="B1107" s="7" t="n"/>
      <c r="C1107" s="7" t="n"/>
      <c r="D1107" s="7" t="n"/>
      <c r="E1107" s="7" t="n"/>
      <c r="F1107" s="7" t="n"/>
      <c r="G1107" s="7" t="n"/>
      <c r="H1107" s="7" t="n"/>
      <c r="I1107" s="7" t="n"/>
      <c r="J1107" s="7" t="n"/>
      <c r="K1107" s="7" t="n"/>
      <c r="L1107" s="7" t="n"/>
      <c r="M1107" s="7" t="n"/>
      <c r="N1107" s="7" t="n"/>
      <c r="O1107" s="7" t="n"/>
      <c r="P1107" s="7" t="n"/>
      <c r="Q1107" s="7" t="n"/>
      <c r="R1107" s="7" t="n"/>
      <c r="S1107" s="7" t="n"/>
      <c r="T1107" s="7" t="n"/>
      <c r="U1107" s="7" t="n"/>
      <c r="V1107" s="7" t="n"/>
      <c r="W1107" s="7" t="n"/>
      <c r="X1107" s="7" t="n"/>
      <c r="Y1107" s="7" t="n"/>
      <c r="Z1107" s="7" t="n"/>
      <c r="AA1107" s="7" t="n"/>
      <c r="AB1107" s="7" t="n"/>
      <c r="AC1107" s="7" t="n"/>
      <c r="AD1107" s="7" t="n"/>
      <c r="AE1107" s="7" t="n"/>
      <c r="AF1107" s="7" t="n"/>
      <c r="AG1107" s="7" t="n"/>
      <c r="AH1107" s="7" t="n"/>
      <c r="AI1107" s="7" t="n"/>
      <c r="AJ1107" s="7" t="n"/>
      <c r="AK1107" s="7" t="n"/>
      <c r="AL1107" s="7" t="n"/>
      <c r="AM1107" s="7" t="n"/>
      <c r="AN1107" s="7" t="n"/>
      <c r="AO1107" s="7" t="n"/>
      <c r="AP1107" s="7" t="n"/>
      <c r="AQ1107" s="7" t="n"/>
      <c r="AR1107" s="7" t="n"/>
      <c r="AS1107" s="7" t="n"/>
      <c r="AT1107" s="7" t="n"/>
      <c r="AU1107" s="7" t="n"/>
      <c r="AV1107" s="7" t="n"/>
      <c r="AW1107" s="7" t="n"/>
      <c r="AX1107" s="7" t="n"/>
      <c r="AY1107" s="7" t="n"/>
      <c r="BA1107" s="42">
        <f>IF(COUNT(B1107:AY1107)=0,"",IF(TRIM(A1107)&lt;&gt;"",TRIM(A1107),IF(BA1106="","(geen naam)",BA1106)))</f>
        <v/>
      </c>
      <c r="BB1107" s="42">
        <f>IF(BA1107="","",IF(ISNA(MATCH(BA1107,BA$120:BA1106,0)),MAX(BB$120:BB1106)+1,""))</f>
        <v/>
      </c>
    </row>
    <row r="1108">
      <c r="A1108" s="7" t="n"/>
      <c r="B1108" s="7" t="n"/>
      <c r="C1108" s="7" t="n"/>
      <c r="D1108" s="7" t="n"/>
      <c r="E1108" s="7" t="n"/>
      <c r="F1108" s="7" t="n"/>
      <c r="G1108" s="7" t="n"/>
      <c r="H1108" s="7" t="n"/>
      <c r="I1108" s="7" t="n"/>
      <c r="J1108" s="7" t="n"/>
      <c r="K1108" s="7" t="n"/>
      <c r="L1108" s="7" t="n"/>
      <c r="M1108" s="7" t="n"/>
      <c r="N1108" s="7" t="n"/>
      <c r="O1108" s="7" t="n"/>
      <c r="P1108" s="7" t="n"/>
      <c r="Q1108" s="7" t="n"/>
      <c r="R1108" s="7" t="n"/>
      <c r="S1108" s="7" t="n"/>
      <c r="T1108" s="7" t="n"/>
      <c r="U1108" s="7" t="n"/>
      <c r="V1108" s="7" t="n"/>
      <c r="W1108" s="7" t="n"/>
      <c r="X1108" s="7" t="n"/>
      <c r="Y1108" s="7" t="n"/>
      <c r="Z1108" s="7" t="n"/>
      <c r="AA1108" s="7" t="n"/>
      <c r="AB1108" s="7" t="n"/>
      <c r="AC1108" s="7" t="n"/>
      <c r="AD1108" s="7" t="n"/>
      <c r="AE1108" s="7" t="n"/>
      <c r="AF1108" s="7" t="n"/>
      <c r="AG1108" s="7" t="n"/>
      <c r="AH1108" s="7" t="n"/>
      <c r="AI1108" s="7" t="n"/>
      <c r="AJ1108" s="7" t="n"/>
      <c r="AK1108" s="7" t="n"/>
      <c r="AL1108" s="7" t="n"/>
      <c r="AM1108" s="7" t="n"/>
      <c r="AN1108" s="7" t="n"/>
      <c r="AO1108" s="7" t="n"/>
      <c r="AP1108" s="7" t="n"/>
      <c r="AQ1108" s="7" t="n"/>
      <c r="AR1108" s="7" t="n"/>
      <c r="AS1108" s="7" t="n"/>
      <c r="AT1108" s="7" t="n"/>
      <c r="AU1108" s="7" t="n"/>
      <c r="AV1108" s="7" t="n"/>
      <c r="AW1108" s="7" t="n"/>
      <c r="AX1108" s="7" t="n"/>
      <c r="AY1108" s="7" t="n"/>
      <c r="BA1108" s="42">
        <f>IF(COUNT(B1108:AY1108)=0,"",IF(TRIM(A1108)&lt;&gt;"",TRIM(A1108),IF(BA1107="","(geen naam)",BA1107)))</f>
        <v/>
      </c>
      <c r="BB1108" s="42">
        <f>IF(BA1108="","",IF(ISNA(MATCH(BA1108,BA$120:BA1107,0)),MAX(BB$120:BB1107)+1,""))</f>
        <v/>
      </c>
    </row>
    <row r="1109">
      <c r="A1109" s="7" t="n"/>
      <c r="B1109" s="7" t="n"/>
      <c r="C1109" s="7" t="n"/>
      <c r="D1109" s="7" t="n"/>
      <c r="E1109" s="7" t="n"/>
      <c r="F1109" s="7" t="n"/>
      <c r="G1109" s="7" t="n"/>
      <c r="H1109" s="7" t="n"/>
      <c r="I1109" s="7" t="n"/>
      <c r="J1109" s="7" t="n"/>
      <c r="K1109" s="7" t="n"/>
      <c r="L1109" s="7" t="n"/>
      <c r="M1109" s="7" t="n"/>
      <c r="N1109" s="7" t="n"/>
      <c r="O1109" s="7" t="n"/>
      <c r="P1109" s="7" t="n"/>
      <c r="Q1109" s="7" t="n"/>
      <c r="R1109" s="7" t="n"/>
      <c r="S1109" s="7" t="n"/>
      <c r="T1109" s="7" t="n"/>
      <c r="U1109" s="7" t="n"/>
      <c r="V1109" s="7" t="n"/>
      <c r="W1109" s="7" t="n"/>
      <c r="X1109" s="7" t="n"/>
      <c r="Y1109" s="7" t="n"/>
      <c r="Z1109" s="7" t="n"/>
      <c r="AA1109" s="7" t="n"/>
      <c r="AB1109" s="7" t="n"/>
      <c r="AC1109" s="7" t="n"/>
      <c r="AD1109" s="7" t="n"/>
      <c r="AE1109" s="7" t="n"/>
      <c r="AF1109" s="7" t="n"/>
      <c r="AG1109" s="7" t="n"/>
      <c r="AH1109" s="7" t="n"/>
      <c r="AI1109" s="7" t="n"/>
      <c r="AJ1109" s="7" t="n"/>
      <c r="AK1109" s="7" t="n"/>
      <c r="AL1109" s="7" t="n"/>
      <c r="AM1109" s="7" t="n"/>
      <c r="AN1109" s="7" t="n"/>
      <c r="AO1109" s="7" t="n"/>
      <c r="AP1109" s="7" t="n"/>
      <c r="AQ1109" s="7" t="n"/>
      <c r="AR1109" s="7" t="n"/>
      <c r="AS1109" s="7" t="n"/>
      <c r="AT1109" s="7" t="n"/>
      <c r="AU1109" s="7" t="n"/>
      <c r="AV1109" s="7" t="n"/>
      <c r="AW1109" s="7" t="n"/>
      <c r="AX1109" s="7" t="n"/>
      <c r="AY1109" s="7" t="n"/>
      <c r="BA1109" s="42">
        <f>IF(COUNT(B1109:AY1109)=0,"",IF(TRIM(A1109)&lt;&gt;"",TRIM(A1109),IF(BA1108="","(geen naam)",BA1108)))</f>
        <v/>
      </c>
      <c r="BB1109" s="42">
        <f>IF(BA1109="","",IF(ISNA(MATCH(BA1109,BA$120:BA1108,0)),MAX(BB$120:BB1108)+1,""))</f>
        <v/>
      </c>
    </row>
    <row r="1110">
      <c r="A1110" s="7" t="n"/>
      <c r="B1110" s="7" t="n"/>
      <c r="C1110" s="7" t="n"/>
      <c r="D1110" s="7" t="n"/>
      <c r="E1110" s="7" t="n"/>
      <c r="F1110" s="7" t="n"/>
      <c r="G1110" s="7" t="n"/>
      <c r="H1110" s="7" t="n"/>
      <c r="I1110" s="7" t="n"/>
      <c r="J1110" s="7" t="n"/>
      <c r="K1110" s="7" t="n"/>
      <c r="L1110" s="7" t="n"/>
      <c r="M1110" s="7" t="n"/>
      <c r="N1110" s="7" t="n"/>
      <c r="O1110" s="7" t="n"/>
      <c r="P1110" s="7" t="n"/>
      <c r="Q1110" s="7" t="n"/>
      <c r="R1110" s="7" t="n"/>
      <c r="S1110" s="7" t="n"/>
      <c r="T1110" s="7" t="n"/>
      <c r="U1110" s="7" t="n"/>
      <c r="V1110" s="7" t="n"/>
      <c r="W1110" s="7" t="n"/>
      <c r="X1110" s="7" t="n"/>
      <c r="Y1110" s="7" t="n"/>
      <c r="Z1110" s="7" t="n"/>
      <c r="AA1110" s="7" t="n"/>
      <c r="AB1110" s="7" t="n"/>
      <c r="AC1110" s="7" t="n"/>
      <c r="AD1110" s="7" t="n"/>
      <c r="AE1110" s="7" t="n"/>
      <c r="AF1110" s="7" t="n"/>
      <c r="AG1110" s="7" t="n"/>
      <c r="AH1110" s="7" t="n"/>
      <c r="AI1110" s="7" t="n"/>
      <c r="AJ1110" s="7" t="n"/>
      <c r="AK1110" s="7" t="n"/>
      <c r="AL1110" s="7" t="n"/>
      <c r="AM1110" s="7" t="n"/>
      <c r="AN1110" s="7" t="n"/>
      <c r="AO1110" s="7" t="n"/>
      <c r="AP1110" s="7" t="n"/>
      <c r="AQ1110" s="7" t="n"/>
      <c r="AR1110" s="7" t="n"/>
      <c r="AS1110" s="7" t="n"/>
      <c r="AT1110" s="7" t="n"/>
      <c r="AU1110" s="7" t="n"/>
      <c r="AV1110" s="7" t="n"/>
      <c r="AW1110" s="7" t="n"/>
      <c r="AX1110" s="7" t="n"/>
      <c r="AY1110" s="7" t="n"/>
      <c r="BA1110" s="42">
        <f>IF(COUNT(B1110:AY1110)=0,"",IF(TRIM(A1110)&lt;&gt;"",TRIM(A1110),IF(BA1109="","(geen naam)",BA1109)))</f>
        <v/>
      </c>
      <c r="BB1110" s="42">
        <f>IF(BA1110="","",IF(ISNA(MATCH(BA1110,BA$120:BA1109,0)),MAX(BB$120:BB1109)+1,""))</f>
        <v/>
      </c>
    </row>
    <row r="1111">
      <c r="A1111" s="7" t="n"/>
      <c r="B1111" s="7" t="n"/>
      <c r="C1111" s="7" t="n"/>
      <c r="D1111" s="7" t="n"/>
      <c r="E1111" s="7" t="n"/>
      <c r="F1111" s="7" t="n"/>
      <c r="G1111" s="7" t="n"/>
      <c r="H1111" s="7" t="n"/>
      <c r="I1111" s="7" t="n"/>
      <c r="J1111" s="7" t="n"/>
      <c r="K1111" s="7" t="n"/>
      <c r="L1111" s="7" t="n"/>
      <c r="M1111" s="7" t="n"/>
      <c r="N1111" s="7" t="n"/>
      <c r="O1111" s="7" t="n"/>
      <c r="P1111" s="7" t="n"/>
      <c r="Q1111" s="7" t="n"/>
      <c r="R1111" s="7" t="n"/>
      <c r="S1111" s="7" t="n"/>
      <c r="T1111" s="7" t="n"/>
      <c r="U1111" s="7" t="n"/>
      <c r="V1111" s="7" t="n"/>
      <c r="W1111" s="7" t="n"/>
      <c r="X1111" s="7" t="n"/>
      <c r="Y1111" s="7" t="n"/>
      <c r="Z1111" s="7" t="n"/>
      <c r="AA1111" s="7" t="n"/>
      <c r="AB1111" s="7" t="n"/>
      <c r="AC1111" s="7" t="n"/>
      <c r="AD1111" s="7" t="n"/>
      <c r="AE1111" s="7" t="n"/>
      <c r="AF1111" s="7" t="n"/>
      <c r="AG1111" s="7" t="n"/>
      <c r="AH1111" s="7" t="n"/>
      <c r="AI1111" s="7" t="n"/>
      <c r="AJ1111" s="7" t="n"/>
      <c r="AK1111" s="7" t="n"/>
      <c r="AL1111" s="7" t="n"/>
      <c r="AM1111" s="7" t="n"/>
      <c r="AN1111" s="7" t="n"/>
      <c r="AO1111" s="7" t="n"/>
      <c r="AP1111" s="7" t="n"/>
      <c r="AQ1111" s="7" t="n"/>
      <c r="AR1111" s="7" t="n"/>
      <c r="AS1111" s="7" t="n"/>
      <c r="AT1111" s="7" t="n"/>
      <c r="AU1111" s="7" t="n"/>
      <c r="AV1111" s="7" t="n"/>
      <c r="AW1111" s="7" t="n"/>
      <c r="AX1111" s="7" t="n"/>
      <c r="AY1111" s="7" t="n"/>
      <c r="BA1111" s="42">
        <f>IF(COUNT(B1111:AY1111)=0,"",IF(TRIM(A1111)&lt;&gt;"",TRIM(A1111),IF(BA1110="","(geen naam)",BA1110)))</f>
        <v/>
      </c>
      <c r="BB1111" s="42">
        <f>IF(BA1111="","",IF(ISNA(MATCH(BA1111,BA$120:BA1110,0)),MAX(BB$120:BB1110)+1,""))</f>
        <v/>
      </c>
    </row>
    <row r="1112">
      <c r="A1112" s="7" t="n"/>
      <c r="B1112" s="7" t="n"/>
      <c r="C1112" s="7" t="n"/>
      <c r="D1112" s="7" t="n"/>
      <c r="E1112" s="7" t="n"/>
      <c r="F1112" s="7" t="n"/>
      <c r="G1112" s="7" t="n"/>
      <c r="H1112" s="7" t="n"/>
      <c r="I1112" s="7" t="n"/>
      <c r="J1112" s="7" t="n"/>
      <c r="K1112" s="7" t="n"/>
      <c r="L1112" s="7" t="n"/>
      <c r="M1112" s="7" t="n"/>
      <c r="N1112" s="7" t="n"/>
      <c r="O1112" s="7" t="n"/>
      <c r="P1112" s="7" t="n"/>
      <c r="Q1112" s="7" t="n"/>
      <c r="R1112" s="7" t="n"/>
      <c r="S1112" s="7" t="n"/>
      <c r="T1112" s="7" t="n"/>
      <c r="U1112" s="7" t="n"/>
      <c r="V1112" s="7" t="n"/>
      <c r="W1112" s="7" t="n"/>
      <c r="X1112" s="7" t="n"/>
      <c r="Y1112" s="7" t="n"/>
      <c r="Z1112" s="7" t="n"/>
      <c r="AA1112" s="7" t="n"/>
      <c r="AB1112" s="7" t="n"/>
      <c r="AC1112" s="7" t="n"/>
      <c r="AD1112" s="7" t="n"/>
      <c r="AE1112" s="7" t="n"/>
      <c r="AF1112" s="7" t="n"/>
      <c r="AG1112" s="7" t="n"/>
      <c r="AH1112" s="7" t="n"/>
      <c r="AI1112" s="7" t="n"/>
      <c r="AJ1112" s="7" t="n"/>
      <c r="AK1112" s="7" t="n"/>
      <c r="AL1112" s="7" t="n"/>
      <c r="AM1112" s="7" t="n"/>
      <c r="AN1112" s="7" t="n"/>
      <c r="AO1112" s="7" t="n"/>
      <c r="AP1112" s="7" t="n"/>
      <c r="AQ1112" s="7" t="n"/>
      <c r="AR1112" s="7" t="n"/>
      <c r="AS1112" s="7" t="n"/>
      <c r="AT1112" s="7" t="n"/>
      <c r="AU1112" s="7" t="n"/>
      <c r="AV1112" s="7" t="n"/>
      <c r="AW1112" s="7" t="n"/>
      <c r="AX1112" s="7" t="n"/>
      <c r="AY1112" s="7" t="n"/>
      <c r="BA1112" s="42">
        <f>IF(COUNT(B1112:AY1112)=0,"",IF(TRIM(A1112)&lt;&gt;"",TRIM(A1112),IF(BA1111="","(geen naam)",BA1111)))</f>
        <v/>
      </c>
      <c r="BB1112" s="42">
        <f>IF(BA1112="","",IF(ISNA(MATCH(BA1112,BA$120:BA1111,0)),MAX(BB$120:BB1111)+1,""))</f>
        <v/>
      </c>
    </row>
    <row r="1113">
      <c r="A1113" s="7" t="n"/>
      <c r="B1113" s="7" t="n"/>
      <c r="C1113" s="7" t="n"/>
      <c r="D1113" s="7" t="n"/>
      <c r="E1113" s="7" t="n"/>
      <c r="F1113" s="7" t="n"/>
      <c r="G1113" s="7" t="n"/>
      <c r="H1113" s="7" t="n"/>
      <c r="I1113" s="7" t="n"/>
      <c r="J1113" s="7" t="n"/>
      <c r="K1113" s="7" t="n"/>
      <c r="L1113" s="7" t="n"/>
      <c r="M1113" s="7" t="n"/>
      <c r="N1113" s="7" t="n"/>
      <c r="O1113" s="7" t="n"/>
      <c r="P1113" s="7" t="n"/>
      <c r="Q1113" s="7" t="n"/>
      <c r="R1113" s="7" t="n"/>
      <c r="S1113" s="7" t="n"/>
      <c r="T1113" s="7" t="n"/>
      <c r="U1113" s="7" t="n"/>
      <c r="V1113" s="7" t="n"/>
      <c r="W1113" s="7" t="n"/>
      <c r="X1113" s="7" t="n"/>
      <c r="Y1113" s="7" t="n"/>
      <c r="Z1113" s="7" t="n"/>
      <c r="AA1113" s="7" t="n"/>
      <c r="AB1113" s="7" t="n"/>
      <c r="AC1113" s="7" t="n"/>
      <c r="AD1113" s="7" t="n"/>
      <c r="AE1113" s="7" t="n"/>
      <c r="AF1113" s="7" t="n"/>
      <c r="AG1113" s="7" t="n"/>
      <c r="AH1113" s="7" t="n"/>
      <c r="AI1113" s="7" t="n"/>
      <c r="AJ1113" s="7" t="n"/>
      <c r="AK1113" s="7" t="n"/>
      <c r="AL1113" s="7" t="n"/>
      <c r="AM1113" s="7" t="n"/>
      <c r="AN1113" s="7" t="n"/>
      <c r="AO1113" s="7" t="n"/>
      <c r="AP1113" s="7" t="n"/>
      <c r="AQ1113" s="7" t="n"/>
      <c r="AR1113" s="7" t="n"/>
      <c r="AS1113" s="7" t="n"/>
      <c r="AT1113" s="7" t="n"/>
      <c r="AU1113" s="7" t="n"/>
      <c r="AV1113" s="7" t="n"/>
      <c r="AW1113" s="7" t="n"/>
      <c r="AX1113" s="7" t="n"/>
      <c r="AY1113" s="7" t="n"/>
      <c r="BA1113" s="42">
        <f>IF(COUNT(B1113:AY1113)=0,"",IF(TRIM(A1113)&lt;&gt;"",TRIM(A1113),IF(BA1112="","(geen naam)",BA1112)))</f>
        <v/>
      </c>
      <c r="BB1113" s="42">
        <f>IF(BA1113="","",IF(ISNA(MATCH(BA1113,BA$120:BA1112,0)),MAX(BB$120:BB1112)+1,""))</f>
        <v/>
      </c>
    </row>
    <row r="1114">
      <c r="A1114" s="7" t="n"/>
      <c r="B1114" s="7" t="n"/>
      <c r="C1114" s="7" t="n"/>
      <c r="D1114" s="7" t="n"/>
      <c r="E1114" s="7" t="n"/>
      <c r="F1114" s="7" t="n"/>
      <c r="G1114" s="7" t="n"/>
      <c r="H1114" s="7" t="n"/>
      <c r="I1114" s="7" t="n"/>
      <c r="J1114" s="7" t="n"/>
      <c r="K1114" s="7" t="n"/>
      <c r="L1114" s="7" t="n"/>
      <c r="M1114" s="7" t="n"/>
      <c r="N1114" s="7" t="n"/>
      <c r="O1114" s="7" t="n"/>
      <c r="P1114" s="7" t="n"/>
      <c r="Q1114" s="7" t="n"/>
      <c r="R1114" s="7" t="n"/>
      <c r="S1114" s="7" t="n"/>
      <c r="T1114" s="7" t="n"/>
      <c r="U1114" s="7" t="n"/>
      <c r="V1114" s="7" t="n"/>
      <c r="W1114" s="7" t="n"/>
      <c r="X1114" s="7" t="n"/>
      <c r="Y1114" s="7" t="n"/>
      <c r="Z1114" s="7" t="n"/>
      <c r="AA1114" s="7" t="n"/>
      <c r="AB1114" s="7" t="n"/>
      <c r="AC1114" s="7" t="n"/>
      <c r="AD1114" s="7" t="n"/>
      <c r="AE1114" s="7" t="n"/>
      <c r="AF1114" s="7" t="n"/>
      <c r="AG1114" s="7" t="n"/>
      <c r="AH1114" s="7" t="n"/>
      <c r="AI1114" s="7" t="n"/>
      <c r="AJ1114" s="7" t="n"/>
      <c r="AK1114" s="7" t="n"/>
      <c r="AL1114" s="7" t="n"/>
      <c r="AM1114" s="7" t="n"/>
      <c r="AN1114" s="7" t="n"/>
      <c r="AO1114" s="7" t="n"/>
      <c r="AP1114" s="7" t="n"/>
      <c r="AQ1114" s="7" t="n"/>
      <c r="AR1114" s="7" t="n"/>
      <c r="AS1114" s="7" t="n"/>
      <c r="AT1114" s="7" t="n"/>
      <c r="AU1114" s="7" t="n"/>
      <c r="AV1114" s="7" t="n"/>
      <c r="AW1114" s="7" t="n"/>
      <c r="AX1114" s="7" t="n"/>
      <c r="AY1114" s="7" t="n"/>
      <c r="BA1114" s="42">
        <f>IF(COUNT(B1114:AY1114)=0,"",IF(TRIM(A1114)&lt;&gt;"",TRIM(A1114),IF(BA1113="","(geen naam)",BA1113)))</f>
        <v/>
      </c>
      <c r="BB1114" s="42">
        <f>IF(BA1114="","",IF(ISNA(MATCH(BA1114,BA$120:BA1113,0)),MAX(BB$120:BB1113)+1,""))</f>
        <v/>
      </c>
    </row>
    <row r="1115">
      <c r="A1115" s="7" t="n"/>
      <c r="B1115" s="7" t="n"/>
      <c r="C1115" s="7" t="n"/>
      <c r="D1115" s="7" t="n"/>
      <c r="E1115" s="7" t="n"/>
      <c r="F1115" s="7" t="n"/>
      <c r="G1115" s="7" t="n"/>
      <c r="H1115" s="7" t="n"/>
      <c r="I1115" s="7" t="n"/>
      <c r="J1115" s="7" t="n"/>
      <c r="K1115" s="7" t="n"/>
      <c r="L1115" s="7" t="n"/>
      <c r="M1115" s="7" t="n"/>
      <c r="N1115" s="7" t="n"/>
      <c r="O1115" s="7" t="n"/>
      <c r="P1115" s="7" t="n"/>
      <c r="Q1115" s="7" t="n"/>
      <c r="R1115" s="7" t="n"/>
      <c r="S1115" s="7" t="n"/>
      <c r="T1115" s="7" t="n"/>
      <c r="U1115" s="7" t="n"/>
      <c r="V1115" s="7" t="n"/>
      <c r="W1115" s="7" t="n"/>
      <c r="X1115" s="7" t="n"/>
      <c r="Y1115" s="7" t="n"/>
      <c r="Z1115" s="7" t="n"/>
      <c r="AA1115" s="7" t="n"/>
      <c r="AB1115" s="7" t="n"/>
      <c r="AC1115" s="7" t="n"/>
      <c r="AD1115" s="7" t="n"/>
      <c r="AE1115" s="7" t="n"/>
      <c r="AF1115" s="7" t="n"/>
      <c r="AG1115" s="7" t="n"/>
      <c r="AH1115" s="7" t="n"/>
      <c r="AI1115" s="7" t="n"/>
      <c r="AJ1115" s="7" t="n"/>
      <c r="AK1115" s="7" t="n"/>
      <c r="AL1115" s="7" t="n"/>
      <c r="AM1115" s="7" t="n"/>
      <c r="AN1115" s="7" t="n"/>
      <c r="AO1115" s="7" t="n"/>
      <c r="AP1115" s="7" t="n"/>
      <c r="AQ1115" s="7" t="n"/>
      <c r="AR1115" s="7" t="n"/>
      <c r="AS1115" s="7" t="n"/>
      <c r="AT1115" s="7" t="n"/>
      <c r="AU1115" s="7" t="n"/>
      <c r="AV1115" s="7" t="n"/>
      <c r="AW1115" s="7" t="n"/>
      <c r="AX1115" s="7" t="n"/>
      <c r="AY1115" s="7" t="n"/>
      <c r="BA1115" s="42">
        <f>IF(COUNT(B1115:AY1115)=0,"",IF(TRIM(A1115)&lt;&gt;"",TRIM(A1115),IF(BA1114="","(geen naam)",BA1114)))</f>
        <v/>
      </c>
      <c r="BB1115" s="42">
        <f>IF(BA1115="","",IF(ISNA(MATCH(BA1115,BA$120:BA1114,0)),MAX(BB$120:BB1114)+1,""))</f>
        <v/>
      </c>
    </row>
    <row r="1116">
      <c r="A1116" s="7" t="n"/>
      <c r="B1116" s="7" t="n"/>
      <c r="C1116" s="7" t="n"/>
      <c r="D1116" s="7" t="n"/>
      <c r="E1116" s="7" t="n"/>
      <c r="F1116" s="7" t="n"/>
      <c r="G1116" s="7" t="n"/>
      <c r="H1116" s="7" t="n"/>
      <c r="I1116" s="7" t="n"/>
      <c r="J1116" s="7" t="n"/>
      <c r="K1116" s="7" t="n"/>
      <c r="L1116" s="7" t="n"/>
      <c r="M1116" s="7" t="n"/>
      <c r="N1116" s="7" t="n"/>
      <c r="O1116" s="7" t="n"/>
      <c r="P1116" s="7" t="n"/>
      <c r="Q1116" s="7" t="n"/>
      <c r="R1116" s="7" t="n"/>
      <c r="S1116" s="7" t="n"/>
      <c r="T1116" s="7" t="n"/>
      <c r="U1116" s="7" t="n"/>
      <c r="V1116" s="7" t="n"/>
      <c r="W1116" s="7" t="n"/>
      <c r="X1116" s="7" t="n"/>
      <c r="Y1116" s="7" t="n"/>
      <c r="Z1116" s="7" t="n"/>
      <c r="AA1116" s="7" t="n"/>
      <c r="AB1116" s="7" t="n"/>
      <c r="AC1116" s="7" t="n"/>
      <c r="AD1116" s="7" t="n"/>
      <c r="AE1116" s="7" t="n"/>
      <c r="AF1116" s="7" t="n"/>
      <c r="AG1116" s="7" t="n"/>
      <c r="AH1116" s="7" t="n"/>
      <c r="AI1116" s="7" t="n"/>
      <c r="AJ1116" s="7" t="n"/>
      <c r="AK1116" s="7" t="n"/>
      <c r="AL1116" s="7" t="n"/>
      <c r="AM1116" s="7" t="n"/>
      <c r="AN1116" s="7" t="n"/>
      <c r="AO1116" s="7" t="n"/>
      <c r="AP1116" s="7" t="n"/>
      <c r="AQ1116" s="7" t="n"/>
      <c r="AR1116" s="7" t="n"/>
      <c r="AS1116" s="7" t="n"/>
      <c r="AT1116" s="7" t="n"/>
      <c r="AU1116" s="7" t="n"/>
      <c r="AV1116" s="7" t="n"/>
      <c r="AW1116" s="7" t="n"/>
      <c r="AX1116" s="7" t="n"/>
      <c r="AY1116" s="7" t="n"/>
      <c r="BA1116" s="42">
        <f>IF(COUNT(B1116:AY1116)=0,"",IF(TRIM(A1116)&lt;&gt;"",TRIM(A1116),IF(BA1115="","(geen naam)",BA1115)))</f>
        <v/>
      </c>
      <c r="BB1116" s="42">
        <f>IF(BA1116="","",IF(ISNA(MATCH(BA1116,BA$120:BA1115,0)),MAX(BB$120:BB1115)+1,""))</f>
        <v/>
      </c>
    </row>
    <row r="1117">
      <c r="A1117" s="7" t="n"/>
      <c r="B1117" s="7" t="n"/>
      <c r="C1117" s="7" t="n"/>
      <c r="D1117" s="7" t="n"/>
      <c r="E1117" s="7" t="n"/>
      <c r="F1117" s="7" t="n"/>
      <c r="G1117" s="7" t="n"/>
      <c r="H1117" s="7" t="n"/>
      <c r="I1117" s="7" t="n"/>
      <c r="J1117" s="7" t="n"/>
      <c r="K1117" s="7" t="n"/>
      <c r="L1117" s="7" t="n"/>
      <c r="M1117" s="7" t="n"/>
      <c r="N1117" s="7" t="n"/>
      <c r="O1117" s="7" t="n"/>
      <c r="P1117" s="7" t="n"/>
      <c r="Q1117" s="7" t="n"/>
      <c r="R1117" s="7" t="n"/>
      <c r="S1117" s="7" t="n"/>
      <c r="T1117" s="7" t="n"/>
      <c r="U1117" s="7" t="n"/>
      <c r="V1117" s="7" t="n"/>
      <c r="W1117" s="7" t="n"/>
      <c r="X1117" s="7" t="n"/>
      <c r="Y1117" s="7" t="n"/>
      <c r="Z1117" s="7" t="n"/>
      <c r="AA1117" s="7" t="n"/>
      <c r="AB1117" s="7" t="n"/>
      <c r="AC1117" s="7" t="n"/>
      <c r="AD1117" s="7" t="n"/>
      <c r="AE1117" s="7" t="n"/>
      <c r="AF1117" s="7" t="n"/>
      <c r="AG1117" s="7" t="n"/>
      <c r="AH1117" s="7" t="n"/>
      <c r="AI1117" s="7" t="n"/>
      <c r="AJ1117" s="7" t="n"/>
      <c r="AK1117" s="7" t="n"/>
      <c r="AL1117" s="7" t="n"/>
      <c r="AM1117" s="7" t="n"/>
      <c r="AN1117" s="7" t="n"/>
      <c r="AO1117" s="7" t="n"/>
      <c r="AP1117" s="7" t="n"/>
      <c r="AQ1117" s="7" t="n"/>
      <c r="AR1117" s="7" t="n"/>
      <c r="AS1117" s="7" t="n"/>
      <c r="AT1117" s="7" t="n"/>
      <c r="AU1117" s="7" t="n"/>
      <c r="AV1117" s="7" t="n"/>
      <c r="AW1117" s="7" t="n"/>
      <c r="AX1117" s="7" t="n"/>
      <c r="AY1117" s="7" t="n"/>
      <c r="BA1117" s="42">
        <f>IF(COUNT(B1117:AY1117)=0,"",IF(TRIM(A1117)&lt;&gt;"",TRIM(A1117),IF(BA1116="","(geen naam)",BA1116)))</f>
        <v/>
      </c>
      <c r="BB1117" s="42">
        <f>IF(BA1117="","",IF(ISNA(MATCH(BA1117,BA$120:BA1116,0)),MAX(BB$120:BB1116)+1,""))</f>
        <v/>
      </c>
    </row>
    <row r="1118">
      <c r="A1118" s="7" t="n"/>
      <c r="B1118" s="7" t="n"/>
      <c r="C1118" s="7" t="n"/>
      <c r="D1118" s="7" t="n"/>
      <c r="E1118" s="7" t="n"/>
      <c r="F1118" s="7" t="n"/>
      <c r="G1118" s="7" t="n"/>
      <c r="H1118" s="7" t="n"/>
      <c r="I1118" s="7" t="n"/>
      <c r="J1118" s="7" t="n"/>
      <c r="K1118" s="7" t="n"/>
      <c r="L1118" s="7" t="n"/>
      <c r="M1118" s="7" t="n"/>
      <c r="N1118" s="7" t="n"/>
      <c r="O1118" s="7" t="n"/>
      <c r="P1118" s="7" t="n"/>
      <c r="Q1118" s="7" t="n"/>
      <c r="R1118" s="7" t="n"/>
      <c r="S1118" s="7" t="n"/>
      <c r="T1118" s="7" t="n"/>
      <c r="U1118" s="7" t="n"/>
      <c r="V1118" s="7" t="n"/>
      <c r="W1118" s="7" t="n"/>
      <c r="X1118" s="7" t="n"/>
      <c r="Y1118" s="7" t="n"/>
      <c r="Z1118" s="7" t="n"/>
      <c r="AA1118" s="7" t="n"/>
      <c r="AB1118" s="7" t="n"/>
      <c r="AC1118" s="7" t="n"/>
      <c r="AD1118" s="7" t="n"/>
      <c r="AE1118" s="7" t="n"/>
      <c r="AF1118" s="7" t="n"/>
      <c r="AG1118" s="7" t="n"/>
      <c r="AH1118" s="7" t="n"/>
      <c r="AI1118" s="7" t="n"/>
      <c r="AJ1118" s="7" t="n"/>
      <c r="AK1118" s="7" t="n"/>
      <c r="AL1118" s="7" t="n"/>
      <c r="AM1118" s="7" t="n"/>
      <c r="AN1118" s="7" t="n"/>
      <c r="AO1118" s="7" t="n"/>
      <c r="AP1118" s="7" t="n"/>
      <c r="AQ1118" s="7" t="n"/>
      <c r="AR1118" s="7" t="n"/>
      <c r="AS1118" s="7" t="n"/>
      <c r="AT1118" s="7" t="n"/>
      <c r="AU1118" s="7" t="n"/>
      <c r="AV1118" s="7" t="n"/>
      <c r="AW1118" s="7" t="n"/>
      <c r="AX1118" s="7" t="n"/>
      <c r="AY1118" s="7" t="n"/>
      <c r="BA1118" s="42">
        <f>IF(COUNT(B1118:AY1118)=0,"",IF(TRIM(A1118)&lt;&gt;"",TRIM(A1118),IF(BA1117="","(geen naam)",BA1117)))</f>
        <v/>
      </c>
      <c r="BB1118" s="42">
        <f>IF(BA1118="","",IF(ISNA(MATCH(BA1118,BA$120:BA1117,0)),MAX(BB$120:BB1117)+1,""))</f>
        <v/>
      </c>
    </row>
    <row r="1119">
      <c r="A1119" s="7" t="n"/>
      <c r="B1119" s="7" t="n"/>
      <c r="C1119" s="7" t="n"/>
      <c r="D1119" s="7" t="n"/>
      <c r="E1119" s="7" t="n"/>
      <c r="F1119" s="7" t="n"/>
      <c r="G1119" s="7" t="n"/>
      <c r="H1119" s="7" t="n"/>
      <c r="I1119" s="7" t="n"/>
      <c r="J1119" s="7" t="n"/>
      <c r="K1119" s="7" t="n"/>
      <c r="L1119" s="7" t="n"/>
      <c r="M1119" s="7" t="n"/>
      <c r="N1119" s="7" t="n"/>
      <c r="O1119" s="7" t="n"/>
      <c r="P1119" s="7" t="n"/>
      <c r="Q1119" s="7" t="n"/>
      <c r="R1119" s="7" t="n"/>
      <c r="S1119" s="7" t="n"/>
      <c r="T1119" s="7" t="n"/>
      <c r="U1119" s="7" t="n"/>
      <c r="V1119" s="7" t="n"/>
      <c r="W1119" s="7" t="n"/>
      <c r="X1119" s="7" t="n"/>
      <c r="Y1119" s="7" t="n"/>
      <c r="Z1119" s="7" t="n"/>
      <c r="AA1119" s="7" t="n"/>
      <c r="AB1119" s="7" t="n"/>
      <c r="AC1119" s="7" t="n"/>
      <c r="AD1119" s="7" t="n"/>
      <c r="AE1119" s="7" t="n"/>
      <c r="AF1119" s="7" t="n"/>
      <c r="AG1119" s="7" t="n"/>
      <c r="AH1119" s="7" t="n"/>
      <c r="AI1119" s="7" t="n"/>
      <c r="AJ1119" s="7" t="n"/>
      <c r="AK1119" s="7" t="n"/>
      <c r="AL1119" s="7" t="n"/>
      <c r="AM1119" s="7" t="n"/>
      <c r="AN1119" s="7" t="n"/>
      <c r="AO1119" s="7" t="n"/>
      <c r="AP1119" s="7" t="n"/>
      <c r="AQ1119" s="7" t="n"/>
      <c r="AR1119" s="7" t="n"/>
      <c r="AS1119" s="7" t="n"/>
      <c r="AT1119" s="7" t="n"/>
      <c r="AU1119" s="7" t="n"/>
      <c r="AV1119" s="7" t="n"/>
      <c r="AW1119" s="7" t="n"/>
      <c r="AX1119" s="7" t="n"/>
      <c r="AY1119" s="7" t="n"/>
      <c r="BA1119" s="42">
        <f>IF(COUNT(B1119:AY1119)=0,"",IF(TRIM(A1119)&lt;&gt;"",TRIM(A1119),IF(BA1118="","(geen naam)",BA1118)))</f>
        <v/>
      </c>
      <c r="BB1119" s="42">
        <f>IF(BA1119="","",IF(ISNA(MATCH(BA1119,BA$120:BA1118,0)),MAX(BB$120:BB1118)+1,""))</f>
        <v/>
      </c>
    </row>
    <row r="1120">
      <c r="A1120" s="7" t="n"/>
      <c r="B1120" s="7" t="n"/>
      <c r="C1120" s="7" t="n"/>
      <c r="D1120" s="7" t="n"/>
      <c r="E1120" s="7" t="n"/>
      <c r="F1120" s="7" t="n"/>
      <c r="G1120" s="7" t="n"/>
      <c r="H1120" s="7" t="n"/>
      <c r="I1120" s="7" t="n"/>
      <c r="J1120" s="7" t="n"/>
      <c r="K1120" s="7" t="n"/>
      <c r="L1120" s="7" t="n"/>
      <c r="M1120" s="7" t="n"/>
      <c r="N1120" s="7" t="n"/>
      <c r="O1120" s="7" t="n"/>
      <c r="P1120" s="7" t="n"/>
      <c r="Q1120" s="7" t="n"/>
      <c r="R1120" s="7" t="n"/>
      <c r="S1120" s="7" t="n"/>
      <c r="T1120" s="7" t="n"/>
      <c r="U1120" s="7" t="n"/>
      <c r="V1120" s="7" t="n"/>
      <c r="W1120" s="7" t="n"/>
      <c r="X1120" s="7" t="n"/>
      <c r="Y1120" s="7" t="n"/>
      <c r="Z1120" s="7" t="n"/>
      <c r="AA1120" s="7" t="n"/>
      <c r="AB1120" s="7" t="n"/>
      <c r="AC1120" s="7" t="n"/>
      <c r="AD1120" s="7" t="n"/>
      <c r="AE1120" s="7" t="n"/>
      <c r="AF1120" s="7" t="n"/>
      <c r="AG1120" s="7" t="n"/>
      <c r="AH1120" s="7" t="n"/>
      <c r="AI1120" s="7" t="n"/>
      <c r="AJ1120" s="7" t="n"/>
      <c r="AK1120" s="7" t="n"/>
      <c r="AL1120" s="7" t="n"/>
      <c r="AM1120" s="7" t="n"/>
      <c r="AN1120" s="7" t="n"/>
      <c r="AO1120" s="7" t="n"/>
      <c r="AP1120" s="7" t="n"/>
      <c r="AQ1120" s="7" t="n"/>
      <c r="AR1120" s="7" t="n"/>
      <c r="AS1120" s="7" t="n"/>
      <c r="AT1120" s="7" t="n"/>
      <c r="AU1120" s="7" t="n"/>
      <c r="AV1120" s="7" t="n"/>
      <c r="AW1120" s="7" t="n"/>
      <c r="AX1120" s="7" t="n"/>
      <c r="AY1120" s="7" t="n"/>
      <c r="BA1120" s="42">
        <f>IF(COUNT(B1120:AY1120)=0,"",IF(TRIM(A1120)&lt;&gt;"",TRIM(A1120),IF(BA1119="","(geen naam)",BA1119)))</f>
        <v/>
      </c>
      <c r="BB1120" s="42">
        <f>IF(BA1120="","",IF(ISNA(MATCH(BA1120,BA$120:BA1119,0)),MAX(BB$120:BB1119)+1,""))</f>
        <v/>
      </c>
    </row>
  </sheetData>
  <hyperlinks>
    <hyperlink xmlns:r="http://schemas.openxmlformats.org/officeDocument/2006/relationships" ref="H1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Aanvaardingssteekproeven (acceptance sampling): OC-curve van een plan (n, c), producenten-/consumentenrisico, AOQ, AOQL, ATI, plan voor variabelen</t>
        </is>
      </c>
    </row>
    <row r="2">
      <c r="A2" s="2" t="inlineStr">
        <is>
          <t>Bron in de cursus</t>
        </is>
      </c>
      <c r="B2" s="3" t="inlineStr">
        <is>
          <t>source/course/Les 2/20260529_ottoy_Acceptance Sampling - Further Reading.pdf p. 2-10; Acceptance Sampling.pdf p. 23-27; Testing of Hypotheses.pdf p. 5-11; Testing of Hypotheses.xlsx</t>
        </is>
      </c>
    </row>
    <row r="3">
      <c r="A3" s="2" t="inlineStr">
        <is>
          <t>Gebruikte conventie</t>
        </is>
      </c>
      <c r="B3" s="3" t="inlineStr">
        <is>
          <t>Beslissing 12: invoer α en β vooraf ingevuld op 5 % en 10 % (p. 4; de uitgewerkte voorbeelden daar gebruiken β = 5 %); hypergeometrische OC met M = [Np] als N gegeven is, binomiale OC altijd getoond.</t>
        </is>
      </c>
    </row>
    <row r="4">
      <c r="A4" s="2" t="inlineStr">
        <is>
          <t>Status</t>
        </is>
      </c>
      <c r="B4" s="4" t="inlineStr">
        <is>
          <t>GEVERIFIEERD (VERIFIED): getest tegen uitgewerkte voorbeelden van de cursus S03-WE06, S03-WE07, S03-WE20, S03-WE21, S04-WE12, S04-WE16, S04-WE18</t>
        </is>
      </c>
    </row>
    <row r="5">
      <c r="A5" s="2" t="inlineStr">
        <is>
          <t>Legende</t>
        </is>
      </c>
      <c r="B5" s="3" t="inlineStr">
        <is>
          <t>Gele cel = vul hier in (invoer).  Groene cel = resultaat, niet overtypen.  Oranje cel (Tabellen) = verschilt van een andere gedrukte bron.</t>
        </is>
      </c>
    </row>
    <row r="6">
      <c r="A6" s="2" t="inlineStr">
        <is>
          <t>Controle</t>
        </is>
      </c>
      <c r="B6" s="3" t="inlineStr">
        <is>
          <t>Blijft een groene cel leeg, dan ontbreekt nog een invoer die ze nodig heeft.</t>
        </is>
      </c>
    </row>
    <row r="8">
      <c r="A8" s="5" t="inlineStr">
        <is>
          <t>1. Het plan (n, c) en de kwaliteitsniveaus (fracties: 0,02 = 2 %)</t>
        </is>
      </c>
    </row>
    <row r="9">
      <c r="A9" s="6" t="inlineStr">
        <is>
          <t>n = steekproefgrootte (sample size)</t>
        </is>
      </c>
      <c r="B9" s="7" t="n"/>
    </row>
    <row r="10">
      <c r="A10" s="6" t="inlineStr">
        <is>
          <t>c = aanvaardingsgetal (acceptance number): aanvaard als aantal defecte stuks ≤ c</t>
        </is>
      </c>
      <c r="B10" s="7" t="n"/>
    </row>
    <row r="11">
      <c r="A11" s="6" t="inlineStr">
        <is>
          <t>N = lotgrootte (lot size) (optioneel: exacte hypergeometrische OC, AOQ, ATI)</t>
        </is>
      </c>
      <c r="B11" s="7" t="n"/>
    </row>
    <row r="12">
      <c r="A12" s="6" t="inlineStr">
        <is>
          <t>AQL = aanvaardbaar kwaliteitsniveau (acceptable quality level)</t>
        </is>
      </c>
      <c r="B12" s="22" t="n"/>
      <c r="C12" s="8" t="inlineStr">
        <is>
          <t>wordt normaal aanvaard</t>
        </is>
      </c>
    </row>
    <row r="13">
      <c r="A13" s="6" t="inlineStr">
        <is>
          <t>LQL = LTPD = limietkwaliteit (limiting quality level)</t>
        </is>
      </c>
      <c r="B13" s="22" t="n"/>
      <c r="C13" s="8" t="inlineStr">
        <is>
          <t>wordt normaal afgekeurd</t>
        </is>
      </c>
    </row>
    <row r="14">
      <c r="A14" s="6" t="inlineStr">
        <is>
          <t>α = doel voor het producentenrisico (producer's risk)</t>
        </is>
      </c>
      <c r="B14" s="37" t="n">
        <v>0.05</v>
      </c>
      <c r="C14" s="8" t="inlineStr">
        <is>
          <t>p. 4: normaal 5 %</t>
        </is>
      </c>
    </row>
    <row r="15">
      <c r="A15" s="6" t="inlineStr">
        <is>
          <t>β = doel voor het consumentenrisico (consumer's risk)</t>
        </is>
      </c>
      <c r="B15" s="37" t="n">
        <v>0.1</v>
      </c>
      <c r="C15" s="8" t="inlineStr">
        <is>
          <t>p. 4: normaal 10 %; de voorbeelden daar gebruiken 5 %</t>
        </is>
      </c>
    </row>
    <row r="16">
      <c r="A16" s="8" t="inlineStr">
        <is>
          <t>Producentenrisico: een goed lot afkeuren (type I). Consumentenrisico: een slecht lot aanvaarden (type II). Further Reading p. 2.</t>
        </is>
      </c>
    </row>
    <row r="18">
      <c r="A18" s="5" t="inlineStr">
        <is>
          <t>2. Risico's van het plan</t>
        </is>
      </c>
    </row>
    <row r="19">
      <c r="A19" s="10" t="inlineStr"/>
      <c r="B19" s="10" t="inlineStr">
        <is>
          <t>binomiaal</t>
        </is>
      </c>
      <c r="C19" s="10" t="inlineStr">
        <is>
          <t>hypergeometrisch (vraagt N)</t>
        </is>
      </c>
      <c r="D19" s="10" t="inlineStr">
        <is>
          <t>Bron in de cursus</t>
        </is>
      </c>
    </row>
    <row r="20">
      <c r="A20" s="6" t="inlineStr">
        <is>
          <t>OC(AQL) = P(lot bij AQL aanvaarden)</t>
        </is>
      </c>
      <c r="B20" s="14">
        <f>IF(AND(AND(ISNUMBER($B$9),ISNUMBER($B$10),$B$9&gt;0,$B$10&gt;=0),ISNUMBER($B$12)),_xlfn.BINOM.DIST($B$10,$B$9,$B$12,TRUE),"")</f>
        <v/>
      </c>
      <c r="C20" s="14">
        <f>IF(AND(AND(ISNUMBER($B$9),ISNUMBER($B$10),$B$9&gt;0,$B$10&gt;=0),ISNUMBER($B$12),AND(ISNUMBER($B$11),$B$11&gt;=$B$9)),_xlfn.HYPGEOM.DIST($B$10,$B$9,INT($B$12*$B$11),$B$11,TRUE),"")</f>
        <v/>
      </c>
      <c r="D20" s="8" t="inlineStr">
        <is>
          <t>Further Reading p. 4; Testing of Hypotheses.pdf p. 5</t>
        </is>
      </c>
    </row>
    <row r="21">
      <c r="A21" s="6" t="inlineStr">
        <is>
          <t>Producentenrisico (producer's risk) α = 1 − OC(AQL)</t>
        </is>
      </c>
      <c r="B21" s="14">
        <f>IF(AND(AND(ISNUMBER($B$9),ISNUMBER($B$10),$B$9&gt;0,$B$10&gt;=0),ISNUMBER($B$12)),1-_xlfn.BINOM.DIST($B$10,$B$9,$B$12,TRUE),"")</f>
        <v/>
      </c>
      <c r="C21" s="14">
        <f>IF(AND(AND(ISNUMBER($B$9),ISNUMBER($B$10),$B$9&gt;0,$B$10&gt;=0),ISNUMBER($B$12),AND(ISNUMBER($B$11),$B$11&gt;=$B$9)),1-_xlfn.HYPGEOM.DIST($B$10,$B$9,INT($B$12*$B$11),$B$11,TRUE),"")</f>
        <v/>
      </c>
    </row>
    <row r="22">
      <c r="A22" s="6" t="inlineStr">
        <is>
          <t>Consumentenrisico (consumer's risk) β = OC(LQL) = P(lot bij LQL aanvaarden)</t>
        </is>
      </c>
      <c r="B22" s="14">
        <f>IF(AND(AND(ISNUMBER($B$9),ISNUMBER($B$10),$B$9&gt;0,$B$10&gt;=0),ISNUMBER($B$13)),_xlfn.BINOM.DIST($B$10,$B$9,$B$13,TRUE),"")</f>
        <v/>
      </c>
      <c r="C22" s="14">
        <f>IF(AND(AND(ISNUMBER($B$9),ISNUMBER($B$10),$B$9&gt;0,$B$10&gt;=0),ISNUMBER($B$13),AND(ISNUMBER($B$11),$B$11&gt;=$B$9)),_xlfn.HYPGEOM.DIST($B$10,$B$9,INT($B$13*$B$11),$B$11,TRUE),"")</f>
        <v/>
      </c>
    </row>
    <row r="24">
      <c r="A24" s="6" t="inlineStr">
        <is>
          <t>Haalt beide doelen (α ≤ doel en β ≤ doel)?</t>
        </is>
      </c>
      <c r="B24" s="13">
        <f>IF(AND(ISNUMBER(B21),ISNUMBER(B22)),IF(AND(B21&lt;=$B$14,B22&lt;=$B$15),"ja","nee"),"")</f>
        <v/>
      </c>
      <c r="C24" s="13">
        <f>IF(AND(ISNUMBER(C21),ISNUMBER(C22)),IF(AND(C21&lt;=$B$14,C22&lt;=$B$15),"ja","nee"),"")</f>
        <v/>
      </c>
    </row>
    <row r="26">
      <c r="A26" s="5" t="inlineStr">
        <is>
          <t>3. Eén lotkwaliteit p: aanvaarding, uitgaande kwaliteit, inspectie-inspanning</t>
        </is>
      </c>
    </row>
    <row r="27">
      <c r="A27" s="6" t="inlineStr">
        <is>
          <t>p = fractie defect (fraction defective) van het lot</t>
        </is>
      </c>
      <c r="B27" s="22" t="n"/>
    </row>
    <row r="28">
      <c r="A28" s="6" t="inlineStr">
        <is>
          <t>OC(p), binomiaal</t>
        </is>
      </c>
      <c r="B28" s="14">
        <f>IF(AND(AND(ISNUMBER($B$9),ISNUMBER($B$10),$B$9&gt;0,$B$10&gt;=0),ISNUMBER($B$27)),_xlfn.BINOM.DIST($B$10,$B$9,$B$27,TRUE),"")</f>
        <v/>
      </c>
    </row>
    <row r="29">
      <c r="A29" s="6" t="inlineStr">
        <is>
          <t>OC(p), hypergeometrisch</t>
        </is>
      </c>
      <c r="B29" s="14">
        <f>IF(AND(AND(AND(ISNUMBER($B$9),ISNUMBER($B$10),$B$9&gt;0,$B$10&gt;=0),ISNUMBER($B$27)),AND(ISNUMBER($B$11),$B$11&gt;=$B$9)),_xlfn.HYPGEOM.DIST($B$10,$B$9,INT($B$27*$B$11),$B$11,TRUE),"")</f>
        <v/>
      </c>
      <c r="C29" s="8" t="inlineStr">
        <is>
          <t>p. 4</t>
        </is>
      </c>
    </row>
    <row r="30">
      <c r="A30" s="6" t="inlineStr">
        <is>
          <t>AOQ(p) (average outgoing quality) = p·OC(p)·(1 − (n/N)·Rs*)</t>
        </is>
      </c>
      <c r="B30" s="14">
        <f>IF(AND(AND(AND(ISNUMBER($B$9),ISNUMBER($B$10),$B$9&gt;0,$B$10&gt;=0),ISNUMBER($B$27)),AND(ISNUMBER($B$11),$B$11&gt;=$B$9)),IF(B29=0,0,$B$27*B29*(1-($B$9/$B$11)*IF(OR($B$10=0,INT($B$27*$B$11)=0),0,_xlfn.HYPGEOM.DIST($B$10-1,$B$9-1,INT($B$27*$B$11)-1,$B$11-1,TRUE)/B29))),"")</f>
        <v/>
      </c>
      <c r="C30" s="8" t="inlineStr">
        <is>
          <t>p. 10</t>
        </is>
      </c>
    </row>
    <row r="31">
      <c r="A31" s="6" t="inlineStr">
        <is>
          <t>AOQ(p) ≈ p·OC(p) (n &lt;&lt; N; hypergeometrische OC als N gegeven is)</t>
        </is>
      </c>
      <c r="B31" s="14">
        <f>IF(AND(AND(ISNUMBER($B$9),ISNUMBER($B$10),$B$9&gt;0,$B$10&gt;=0),ISNUMBER($B$27)),$B$27*IF(ISNUMBER(B29),B29,B28),"")</f>
        <v/>
      </c>
      <c r="C31" s="8" t="inlineStr">
        <is>
          <t>p. 10</t>
        </is>
      </c>
    </row>
    <row r="32">
      <c r="A32" s="6" t="inlineStr">
        <is>
          <t>ATI(p) (average total inspection) = n·OC(p) + N·(1 − OC(p))</t>
        </is>
      </c>
      <c r="B32" s="16">
        <f>IF(AND(AND(AND(ISNUMBER($B$9),ISNUMBER($B$10),$B$9&gt;0,$B$10&gt;=0),ISNUMBER($B$27)),AND(ISNUMBER($B$11),$B$11&gt;=$B$9)),$B$9*B29+$B$11*(1-B29),"")</f>
        <v/>
      </c>
      <c r="C32" s="8" t="inlineStr">
        <is>
          <t>p. 10</t>
        </is>
      </c>
    </row>
    <row r="34">
      <c r="A34" s="5" t="inlineStr">
        <is>
          <t>4. Plan voor variabelen (variables plan, normaal verdeelde metingen): aanvaard als (x̄ − grens) / s ≥ k   (p. 9)</t>
        </is>
      </c>
    </row>
    <row r="35">
      <c r="A35" s="8" t="inlineStr">
        <is>
          <t>Gebruikt AQL = p0, LQL = pt, α en β uit sectie 1.</t>
        </is>
      </c>
    </row>
    <row r="38">
      <c r="A38" s="6" t="inlineStr">
        <is>
          <t>k = (z_pt z_α + z_p0 z_β) / (z_(1−α) + z_(1−β))</t>
        </is>
      </c>
      <c r="B38" s="11">
        <f>IF(AND(ISNUMBER($B$12),ISNUMBER($B$13),ISNUMBER($B$14),ISNUMBER($B$15),$B$13&gt;$B$12),(_xlfn.NORM.S.INV($B$13)*_xlfn.NORM.S.INV($B$14)+_xlfn.NORM.S.INV($B$12)*_xlfn.NORM.S.INV($B$15))/(_xlfn.NORM.S.INV(1-$B$14)+_xlfn.NORM.S.INV(1-$B$15)),"")</f>
        <v/>
      </c>
      <c r="C38" s="8" t="inlineStr">
        <is>
          <t>Further Reading p. 9 (z_q = q-kwantiel van N(0,1))</t>
        </is>
      </c>
    </row>
    <row r="39">
      <c r="A39" s="6" t="inlineStr">
        <is>
          <t>n = (z_(1−α) + z_(1−β))² (1 + k²/2) / (z_pt − z_p0)²</t>
        </is>
      </c>
      <c r="B39" s="43">
        <f>IF(ISNUMBER(B38),(_xlfn.NORM.S.INV(1-$B$14)+_xlfn.NORM.S.INV(1-$B$15))^2*(1+B38^2/2)/(_xlfn.NORM.S.INV($B$13)-_xlfn.NORM.S.INV($B$12))^2,"")</f>
        <v/>
      </c>
    </row>
    <row r="40">
      <c r="A40" s="6" t="inlineStr">
        <is>
          <t>n naar boven afgerond</t>
        </is>
      </c>
      <c r="B40" s="28">
        <f>IF(ISNUMBER(B39),ROUNDUP(B39,0),"")</f>
        <v/>
      </c>
      <c r="C40" s="8" t="inlineStr">
        <is>
          <t>voorbeeld p. 9: 63,2 → 64</t>
        </is>
      </c>
    </row>
    <row r="41">
      <c r="A41" s="6" t="inlineStr">
        <is>
          <t>OC(AQL) van dit plan</t>
        </is>
      </c>
      <c r="B41" s="14">
        <f>IF(ISNUMBER(B40),1-_xlfn.NORM.S.DIST((_xlfn.NORM.S.INV($B$12)+B38)*SQRT(B40)/SQRT(1+B38^2/2),TRUE),"")</f>
        <v/>
      </c>
      <c r="C41" s="8" t="inlineStr">
        <is>
          <t>p. 9</t>
        </is>
      </c>
    </row>
    <row r="42">
      <c r="A42" s="6" t="inlineStr">
        <is>
          <t>OC(LQL) van dit plan</t>
        </is>
      </c>
      <c r="B42" s="14">
        <f>IF(ISNUMBER(B40),1-_xlfn.NORM.S.DIST((_xlfn.NORM.S.INV($B$13)+B38)*SQRT(B40)/SQRT(1+B38^2/2),TRUE),"")</f>
        <v/>
      </c>
    </row>
    <row r="44">
      <c r="A44" s="5" t="inlineStr">
        <is>
          <t>5. OC-curve, AOQ en ATI over een reeks p (AOQL = de grootste AOQ in de tabel)</t>
        </is>
      </c>
    </row>
    <row r="45">
      <c r="A45" s="6" t="inlineStr">
        <is>
          <t>AOQL met de exacte formule (kolom E) en de p waarbij ze optreedt</t>
        </is>
      </c>
      <c r="B45" s="14">
        <f>IF(COUNT(E50:E90)&gt;0,MAX(E50:E90),"")</f>
        <v/>
      </c>
      <c r="C45" s="14">
        <f>IF(ISNUMBER(B45),INDEX(A50:A90,MATCH(B45,E50:E90,0)),"")</f>
        <v/>
      </c>
      <c r="D45" s="8" t="inlineStr">
        <is>
          <t>alleen exact tot op de stapgrootte van de tabel</t>
        </is>
      </c>
    </row>
    <row r="46">
      <c r="A46" s="6" t="inlineStr">
        <is>
          <t>AOQL met de benadering p·OC(p) (kolom D) en haar p</t>
        </is>
      </c>
      <c r="B46" s="14">
        <f>IF(COUNT(D50:D90)&gt;0,MAX(D50:D90),"")</f>
        <v/>
      </c>
      <c r="C46" s="14">
        <f>IF(ISNUMBER(B46),INDEX(A50:A90,MATCH(B46,D50:D90,0)),"")</f>
        <v/>
      </c>
      <c r="D46" s="8" t="inlineStr">
        <is>
          <t>voorbeeld p. 10 (250, 5), N = 1000: AOQL ≈ 1,3 % bij p ≈ 1,8 % is deze benadering</t>
        </is>
      </c>
    </row>
    <row r="48">
      <c r="A48" s="6" t="inlineStr">
        <is>
          <t>Stapgrootte van p in de tabel</t>
        </is>
      </c>
      <c r="B48" s="22" t="n">
        <v>0.005</v>
      </c>
      <c r="C48" s="8" t="inlineStr">
        <is>
          <t>Testing of Hypotheses.xlsx gebruikt 0,005 (p van 0 tot 0,2)</t>
        </is>
      </c>
    </row>
    <row r="49">
      <c r="A49" s="10" t="inlineStr">
        <is>
          <t>p</t>
        </is>
      </c>
      <c r="B49" s="10" t="inlineStr">
        <is>
          <t>OC binomiaal</t>
        </is>
      </c>
      <c r="C49" s="10" t="inlineStr">
        <is>
          <t>OC hypergeometrisch</t>
        </is>
      </c>
      <c r="D49" s="10" t="inlineStr">
        <is>
          <t>AOQ ≈ p·OC(p)</t>
        </is>
      </c>
      <c r="E49" s="10" t="inlineStr">
        <is>
          <t>AOQ (exact, p. 10)</t>
        </is>
      </c>
      <c r="F49" s="10" t="inlineStr">
        <is>
          <t>ATI</t>
        </is>
      </c>
    </row>
    <row r="50">
      <c r="A50" s="14">
        <f>IF(ISNUMBER($B$48),0*$B$48,"")</f>
        <v/>
      </c>
      <c r="B50" s="14">
        <f>IF(AND(AND(ISNUMBER($B$9),ISNUMBER($B$10),$B$9&gt;0,$B$10&gt;=0),ISNUMBER(A50),A50&lt;=1),_xlfn.BINOM.DIST($B$10,$B$9,A50,TRUE),"")</f>
        <v/>
      </c>
      <c r="C50" s="14">
        <f>IF(AND(AND(AND(ISNUMBER($B$9),ISNUMBER($B$10),$B$9&gt;0,$B$10&gt;=0),ISNUMBER(A50),A50&lt;=1),AND(ISNUMBER($B$11),$B$11&gt;=$B$9)),_xlfn.HYPGEOM.DIST($B$10,$B$9,INT(A50*$B$11),$B$11,TRUE),"")</f>
        <v/>
      </c>
      <c r="D50" s="14">
        <f>IF(ISNUMBER(C50),A50*C50,IF(ISNUMBER(B50),A50*B50,""))</f>
        <v/>
      </c>
      <c r="E50" s="14">
        <f>IF(ISNUMBER(C50),IF(C50=0,0,A50*C50*(1-($B$9/$B$11)*IF(OR($B$10=0,INT(A50*$B$11)=0),0,_xlfn.HYPGEOM.DIST($B$10-1,$B$9-1,INT(A50*$B$11)-1,$B$11-1,TRUE)/C50))),"")</f>
        <v/>
      </c>
      <c r="F50" s="16">
        <f>IF(ISNUMBER(C50),$B$9*C50+$B$11*(1-C50),"")</f>
        <v/>
      </c>
    </row>
    <row r="51">
      <c r="A51" s="14">
        <f>IF(ISNUMBER($B$48),1*$B$48,"")</f>
        <v/>
      </c>
      <c r="B51" s="14">
        <f>IF(AND(AND(ISNUMBER($B$9),ISNUMBER($B$10),$B$9&gt;0,$B$10&gt;=0),ISNUMBER(A51),A51&lt;=1),_xlfn.BINOM.DIST($B$10,$B$9,A51,TRUE),"")</f>
        <v/>
      </c>
      <c r="C51" s="14">
        <f>IF(AND(AND(AND(ISNUMBER($B$9),ISNUMBER($B$10),$B$9&gt;0,$B$10&gt;=0),ISNUMBER(A51),A51&lt;=1),AND(ISNUMBER($B$11),$B$11&gt;=$B$9)),_xlfn.HYPGEOM.DIST($B$10,$B$9,INT(A51*$B$11),$B$11,TRUE),"")</f>
        <v/>
      </c>
      <c r="D51" s="14">
        <f>IF(ISNUMBER(C51),A51*C51,IF(ISNUMBER(B51),A51*B51,""))</f>
        <v/>
      </c>
      <c r="E51" s="14">
        <f>IF(ISNUMBER(C51),IF(C51=0,0,A51*C51*(1-($B$9/$B$11)*IF(OR($B$10=0,INT(A51*$B$11)=0),0,_xlfn.HYPGEOM.DIST($B$10-1,$B$9-1,INT(A51*$B$11)-1,$B$11-1,TRUE)/C51))),"")</f>
        <v/>
      </c>
      <c r="F51" s="16">
        <f>IF(ISNUMBER(C51),$B$9*C51+$B$11*(1-C51),"")</f>
        <v/>
      </c>
    </row>
    <row r="52">
      <c r="A52" s="14">
        <f>IF(ISNUMBER($B$48),2*$B$48,"")</f>
        <v/>
      </c>
      <c r="B52" s="14">
        <f>IF(AND(AND(ISNUMBER($B$9),ISNUMBER($B$10),$B$9&gt;0,$B$10&gt;=0),ISNUMBER(A52),A52&lt;=1),_xlfn.BINOM.DIST($B$10,$B$9,A52,TRUE),"")</f>
        <v/>
      </c>
      <c r="C52" s="14">
        <f>IF(AND(AND(AND(ISNUMBER($B$9),ISNUMBER($B$10),$B$9&gt;0,$B$10&gt;=0),ISNUMBER(A52),A52&lt;=1),AND(ISNUMBER($B$11),$B$11&gt;=$B$9)),_xlfn.HYPGEOM.DIST($B$10,$B$9,INT(A52*$B$11),$B$11,TRUE),"")</f>
        <v/>
      </c>
      <c r="D52" s="14">
        <f>IF(ISNUMBER(C52),A52*C52,IF(ISNUMBER(B52),A52*B52,""))</f>
        <v/>
      </c>
      <c r="E52" s="14">
        <f>IF(ISNUMBER(C52),IF(C52=0,0,A52*C52*(1-($B$9/$B$11)*IF(OR($B$10=0,INT(A52*$B$11)=0),0,_xlfn.HYPGEOM.DIST($B$10-1,$B$9-1,INT(A52*$B$11)-1,$B$11-1,TRUE)/C52))),"")</f>
        <v/>
      </c>
      <c r="F52" s="16">
        <f>IF(ISNUMBER(C52),$B$9*C52+$B$11*(1-C52),"")</f>
        <v/>
      </c>
    </row>
    <row r="53">
      <c r="A53" s="14">
        <f>IF(ISNUMBER($B$48),3*$B$48,"")</f>
        <v/>
      </c>
      <c r="B53" s="14">
        <f>IF(AND(AND(ISNUMBER($B$9),ISNUMBER($B$10),$B$9&gt;0,$B$10&gt;=0),ISNUMBER(A53),A53&lt;=1),_xlfn.BINOM.DIST($B$10,$B$9,A53,TRUE),"")</f>
        <v/>
      </c>
      <c r="C53" s="14">
        <f>IF(AND(AND(AND(ISNUMBER($B$9),ISNUMBER($B$10),$B$9&gt;0,$B$10&gt;=0),ISNUMBER(A53),A53&lt;=1),AND(ISNUMBER($B$11),$B$11&gt;=$B$9)),_xlfn.HYPGEOM.DIST($B$10,$B$9,INT(A53*$B$11),$B$11,TRUE),"")</f>
        <v/>
      </c>
      <c r="D53" s="14">
        <f>IF(ISNUMBER(C53),A53*C53,IF(ISNUMBER(B53),A53*B53,""))</f>
        <v/>
      </c>
      <c r="E53" s="14">
        <f>IF(ISNUMBER(C53),IF(C53=0,0,A53*C53*(1-($B$9/$B$11)*IF(OR($B$10=0,INT(A53*$B$11)=0),0,_xlfn.HYPGEOM.DIST($B$10-1,$B$9-1,INT(A53*$B$11)-1,$B$11-1,TRUE)/C53))),"")</f>
        <v/>
      </c>
      <c r="F53" s="16">
        <f>IF(ISNUMBER(C53),$B$9*C53+$B$11*(1-C53),"")</f>
        <v/>
      </c>
    </row>
    <row r="54">
      <c r="A54" s="14">
        <f>IF(ISNUMBER($B$48),4*$B$48,"")</f>
        <v/>
      </c>
      <c r="B54" s="14">
        <f>IF(AND(AND(ISNUMBER($B$9),ISNUMBER($B$10),$B$9&gt;0,$B$10&gt;=0),ISNUMBER(A54),A54&lt;=1),_xlfn.BINOM.DIST($B$10,$B$9,A54,TRUE),"")</f>
        <v/>
      </c>
      <c r="C54" s="14">
        <f>IF(AND(AND(AND(ISNUMBER($B$9),ISNUMBER($B$10),$B$9&gt;0,$B$10&gt;=0),ISNUMBER(A54),A54&lt;=1),AND(ISNUMBER($B$11),$B$11&gt;=$B$9)),_xlfn.HYPGEOM.DIST($B$10,$B$9,INT(A54*$B$11),$B$11,TRUE),"")</f>
        <v/>
      </c>
      <c r="D54" s="14">
        <f>IF(ISNUMBER(C54),A54*C54,IF(ISNUMBER(B54),A54*B54,""))</f>
        <v/>
      </c>
      <c r="E54" s="14">
        <f>IF(ISNUMBER(C54),IF(C54=0,0,A54*C54*(1-($B$9/$B$11)*IF(OR($B$10=0,INT(A54*$B$11)=0),0,_xlfn.HYPGEOM.DIST($B$10-1,$B$9-1,INT(A54*$B$11)-1,$B$11-1,TRUE)/C54))),"")</f>
        <v/>
      </c>
      <c r="F54" s="16">
        <f>IF(ISNUMBER(C54),$B$9*C54+$B$11*(1-C54),"")</f>
        <v/>
      </c>
    </row>
    <row r="55">
      <c r="A55" s="14">
        <f>IF(ISNUMBER($B$48),5*$B$48,"")</f>
        <v/>
      </c>
      <c r="B55" s="14">
        <f>IF(AND(AND(ISNUMBER($B$9),ISNUMBER($B$10),$B$9&gt;0,$B$10&gt;=0),ISNUMBER(A55),A55&lt;=1),_xlfn.BINOM.DIST($B$10,$B$9,A55,TRUE),"")</f>
        <v/>
      </c>
      <c r="C55" s="14">
        <f>IF(AND(AND(AND(ISNUMBER($B$9),ISNUMBER($B$10),$B$9&gt;0,$B$10&gt;=0),ISNUMBER(A55),A55&lt;=1),AND(ISNUMBER($B$11),$B$11&gt;=$B$9)),_xlfn.HYPGEOM.DIST($B$10,$B$9,INT(A55*$B$11),$B$11,TRUE),"")</f>
        <v/>
      </c>
      <c r="D55" s="14">
        <f>IF(ISNUMBER(C55),A55*C55,IF(ISNUMBER(B55),A55*B55,""))</f>
        <v/>
      </c>
      <c r="E55" s="14">
        <f>IF(ISNUMBER(C55),IF(C55=0,0,A55*C55*(1-($B$9/$B$11)*IF(OR($B$10=0,INT(A55*$B$11)=0),0,_xlfn.HYPGEOM.DIST($B$10-1,$B$9-1,INT(A55*$B$11)-1,$B$11-1,TRUE)/C55))),"")</f>
        <v/>
      </c>
      <c r="F55" s="16">
        <f>IF(ISNUMBER(C55),$B$9*C55+$B$11*(1-C55),"")</f>
        <v/>
      </c>
    </row>
    <row r="56">
      <c r="A56" s="14">
        <f>IF(ISNUMBER($B$48),6*$B$48,"")</f>
        <v/>
      </c>
      <c r="B56" s="14">
        <f>IF(AND(AND(ISNUMBER($B$9),ISNUMBER($B$10),$B$9&gt;0,$B$10&gt;=0),ISNUMBER(A56),A56&lt;=1),_xlfn.BINOM.DIST($B$10,$B$9,A56,TRUE),"")</f>
        <v/>
      </c>
      <c r="C56" s="14">
        <f>IF(AND(AND(AND(ISNUMBER($B$9),ISNUMBER($B$10),$B$9&gt;0,$B$10&gt;=0),ISNUMBER(A56),A56&lt;=1),AND(ISNUMBER($B$11),$B$11&gt;=$B$9)),_xlfn.HYPGEOM.DIST($B$10,$B$9,INT(A56*$B$11),$B$11,TRUE),"")</f>
        <v/>
      </c>
      <c r="D56" s="14">
        <f>IF(ISNUMBER(C56),A56*C56,IF(ISNUMBER(B56),A56*B56,""))</f>
        <v/>
      </c>
      <c r="E56" s="14">
        <f>IF(ISNUMBER(C56),IF(C56=0,0,A56*C56*(1-($B$9/$B$11)*IF(OR($B$10=0,INT(A56*$B$11)=0),0,_xlfn.HYPGEOM.DIST($B$10-1,$B$9-1,INT(A56*$B$11)-1,$B$11-1,TRUE)/C56))),"")</f>
        <v/>
      </c>
      <c r="F56" s="16">
        <f>IF(ISNUMBER(C56),$B$9*C56+$B$11*(1-C56),"")</f>
        <v/>
      </c>
    </row>
    <row r="57">
      <c r="A57" s="14">
        <f>IF(ISNUMBER($B$48),7*$B$48,"")</f>
        <v/>
      </c>
      <c r="B57" s="14">
        <f>IF(AND(AND(ISNUMBER($B$9),ISNUMBER($B$10),$B$9&gt;0,$B$10&gt;=0),ISNUMBER(A57),A57&lt;=1),_xlfn.BINOM.DIST($B$10,$B$9,A57,TRUE),"")</f>
        <v/>
      </c>
      <c r="C57" s="14">
        <f>IF(AND(AND(AND(ISNUMBER($B$9),ISNUMBER($B$10),$B$9&gt;0,$B$10&gt;=0),ISNUMBER(A57),A57&lt;=1),AND(ISNUMBER($B$11),$B$11&gt;=$B$9)),_xlfn.HYPGEOM.DIST($B$10,$B$9,INT(A57*$B$11),$B$11,TRUE),"")</f>
        <v/>
      </c>
      <c r="D57" s="14">
        <f>IF(ISNUMBER(C57),A57*C57,IF(ISNUMBER(B57),A57*B57,""))</f>
        <v/>
      </c>
      <c r="E57" s="14">
        <f>IF(ISNUMBER(C57),IF(C57=0,0,A57*C57*(1-($B$9/$B$11)*IF(OR($B$10=0,INT(A57*$B$11)=0),0,_xlfn.HYPGEOM.DIST($B$10-1,$B$9-1,INT(A57*$B$11)-1,$B$11-1,TRUE)/C57))),"")</f>
        <v/>
      </c>
      <c r="F57" s="16">
        <f>IF(ISNUMBER(C57),$B$9*C57+$B$11*(1-C57),"")</f>
        <v/>
      </c>
    </row>
    <row r="58">
      <c r="A58" s="14">
        <f>IF(ISNUMBER($B$48),8*$B$48,"")</f>
        <v/>
      </c>
      <c r="B58" s="14">
        <f>IF(AND(AND(ISNUMBER($B$9),ISNUMBER($B$10),$B$9&gt;0,$B$10&gt;=0),ISNUMBER(A58),A58&lt;=1),_xlfn.BINOM.DIST($B$10,$B$9,A58,TRUE),"")</f>
        <v/>
      </c>
      <c r="C58" s="14">
        <f>IF(AND(AND(AND(ISNUMBER($B$9),ISNUMBER($B$10),$B$9&gt;0,$B$10&gt;=0),ISNUMBER(A58),A58&lt;=1),AND(ISNUMBER($B$11),$B$11&gt;=$B$9)),_xlfn.HYPGEOM.DIST($B$10,$B$9,INT(A58*$B$11),$B$11,TRUE),"")</f>
        <v/>
      </c>
      <c r="D58" s="14">
        <f>IF(ISNUMBER(C58),A58*C58,IF(ISNUMBER(B58),A58*B58,""))</f>
        <v/>
      </c>
      <c r="E58" s="14">
        <f>IF(ISNUMBER(C58),IF(C58=0,0,A58*C58*(1-($B$9/$B$11)*IF(OR($B$10=0,INT(A58*$B$11)=0),0,_xlfn.HYPGEOM.DIST($B$10-1,$B$9-1,INT(A58*$B$11)-1,$B$11-1,TRUE)/C58))),"")</f>
        <v/>
      </c>
      <c r="F58" s="16">
        <f>IF(ISNUMBER(C58),$B$9*C58+$B$11*(1-C58),"")</f>
        <v/>
      </c>
    </row>
    <row r="59">
      <c r="A59" s="14">
        <f>IF(ISNUMBER($B$48),9*$B$48,"")</f>
        <v/>
      </c>
      <c r="B59" s="14">
        <f>IF(AND(AND(ISNUMBER($B$9),ISNUMBER($B$10),$B$9&gt;0,$B$10&gt;=0),ISNUMBER(A59),A59&lt;=1),_xlfn.BINOM.DIST($B$10,$B$9,A59,TRUE),"")</f>
        <v/>
      </c>
      <c r="C59" s="14">
        <f>IF(AND(AND(AND(ISNUMBER($B$9),ISNUMBER($B$10),$B$9&gt;0,$B$10&gt;=0),ISNUMBER(A59),A59&lt;=1),AND(ISNUMBER($B$11),$B$11&gt;=$B$9)),_xlfn.HYPGEOM.DIST($B$10,$B$9,INT(A59*$B$11),$B$11,TRUE),"")</f>
        <v/>
      </c>
      <c r="D59" s="14">
        <f>IF(ISNUMBER(C59),A59*C59,IF(ISNUMBER(B59),A59*B59,""))</f>
        <v/>
      </c>
      <c r="E59" s="14">
        <f>IF(ISNUMBER(C59),IF(C59=0,0,A59*C59*(1-($B$9/$B$11)*IF(OR($B$10=0,INT(A59*$B$11)=0),0,_xlfn.HYPGEOM.DIST($B$10-1,$B$9-1,INT(A59*$B$11)-1,$B$11-1,TRUE)/C59))),"")</f>
        <v/>
      </c>
      <c r="F59" s="16">
        <f>IF(ISNUMBER(C59),$B$9*C59+$B$11*(1-C59),"")</f>
        <v/>
      </c>
    </row>
    <row r="60">
      <c r="A60" s="14">
        <f>IF(ISNUMBER($B$48),10*$B$48,"")</f>
        <v/>
      </c>
      <c r="B60" s="14">
        <f>IF(AND(AND(ISNUMBER($B$9),ISNUMBER($B$10),$B$9&gt;0,$B$10&gt;=0),ISNUMBER(A60),A60&lt;=1),_xlfn.BINOM.DIST($B$10,$B$9,A60,TRUE),"")</f>
        <v/>
      </c>
      <c r="C60" s="14">
        <f>IF(AND(AND(AND(ISNUMBER($B$9),ISNUMBER($B$10),$B$9&gt;0,$B$10&gt;=0),ISNUMBER(A60),A60&lt;=1),AND(ISNUMBER($B$11),$B$11&gt;=$B$9)),_xlfn.HYPGEOM.DIST($B$10,$B$9,INT(A60*$B$11),$B$11,TRUE),"")</f>
        <v/>
      </c>
      <c r="D60" s="14">
        <f>IF(ISNUMBER(C60),A60*C60,IF(ISNUMBER(B60),A60*B60,""))</f>
        <v/>
      </c>
      <c r="E60" s="14">
        <f>IF(ISNUMBER(C60),IF(C60=0,0,A60*C60*(1-($B$9/$B$11)*IF(OR($B$10=0,INT(A60*$B$11)=0),0,_xlfn.HYPGEOM.DIST($B$10-1,$B$9-1,INT(A60*$B$11)-1,$B$11-1,TRUE)/C60))),"")</f>
        <v/>
      </c>
      <c r="F60" s="16">
        <f>IF(ISNUMBER(C60),$B$9*C60+$B$11*(1-C60),"")</f>
        <v/>
      </c>
    </row>
    <row r="61">
      <c r="A61" s="14">
        <f>IF(ISNUMBER($B$48),11*$B$48,"")</f>
        <v/>
      </c>
      <c r="B61" s="14">
        <f>IF(AND(AND(ISNUMBER($B$9),ISNUMBER($B$10),$B$9&gt;0,$B$10&gt;=0),ISNUMBER(A61),A61&lt;=1),_xlfn.BINOM.DIST($B$10,$B$9,A61,TRUE),"")</f>
        <v/>
      </c>
      <c r="C61" s="14">
        <f>IF(AND(AND(AND(ISNUMBER($B$9),ISNUMBER($B$10),$B$9&gt;0,$B$10&gt;=0),ISNUMBER(A61),A61&lt;=1),AND(ISNUMBER($B$11),$B$11&gt;=$B$9)),_xlfn.HYPGEOM.DIST($B$10,$B$9,INT(A61*$B$11),$B$11,TRUE),"")</f>
        <v/>
      </c>
      <c r="D61" s="14">
        <f>IF(ISNUMBER(C61),A61*C61,IF(ISNUMBER(B61),A61*B61,""))</f>
        <v/>
      </c>
      <c r="E61" s="14">
        <f>IF(ISNUMBER(C61),IF(C61=0,0,A61*C61*(1-($B$9/$B$11)*IF(OR($B$10=0,INT(A61*$B$11)=0),0,_xlfn.HYPGEOM.DIST($B$10-1,$B$9-1,INT(A61*$B$11)-1,$B$11-1,TRUE)/C61))),"")</f>
        <v/>
      </c>
      <c r="F61" s="16">
        <f>IF(ISNUMBER(C61),$B$9*C61+$B$11*(1-C61),"")</f>
        <v/>
      </c>
    </row>
    <row r="62">
      <c r="A62" s="14">
        <f>IF(ISNUMBER($B$48),12*$B$48,"")</f>
        <v/>
      </c>
      <c r="B62" s="14">
        <f>IF(AND(AND(ISNUMBER($B$9),ISNUMBER($B$10),$B$9&gt;0,$B$10&gt;=0),ISNUMBER(A62),A62&lt;=1),_xlfn.BINOM.DIST($B$10,$B$9,A62,TRUE),"")</f>
        <v/>
      </c>
      <c r="C62" s="14">
        <f>IF(AND(AND(AND(ISNUMBER($B$9),ISNUMBER($B$10),$B$9&gt;0,$B$10&gt;=0),ISNUMBER(A62),A62&lt;=1),AND(ISNUMBER($B$11),$B$11&gt;=$B$9)),_xlfn.HYPGEOM.DIST($B$10,$B$9,INT(A62*$B$11),$B$11,TRUE),"")</f>
        <v/>
      </c>
      <c r="D62" s="14">
        <f>IF(ISNUMBER(C62),A62*C62,IF(ISNUMBER(B62),A62*B62,""))</f>
        <v/>
      </c>
      <c r="E62" s="14">
        <f>IF(ISNUMBER(C62),IF(C62=0,0,A62*C62*(1-($B$9/$B$11)*IF(OR($B$10=0,INT(A62*$B$11)=0),0,_xlfn.HYPGEOM.DIST($B$10-1,$B$9-1,INT(A62*$B$11)-1,$B$11-1,TRUE)/C62))),"")</f>
        <v/>
      </c>
      <c r="F62" s="16">
        <f>IF(ISNUMBER(C62),$B$9*C62+$B$11*(1-C62),"")</f>
        <v/>
      </c>
    </row>
    <row r="63">
      <c r="A63" s="14">
        <f>IF(ISNUMBER($B$48),13*$B$48,"")</f>
        <v/>
      </c>
      <c r="B63" s="14">
        <f>IF(AND(AND(ISNUMBER($B$9),ISNUMBER($B$10),$B$9&gt;0,$B$10&gt;=0),ISNUMBER(A63),A63&lt;=1),_xlfn.BINOM.DIST($B$10,$B$9,A63,TRUE),"")</f>
        <v/>
      </c>
      <c r="C63" s="14">
        <f>IF(AND(AND(AND(ISNUMBER($B$9),ISNUMBER($B$10),$B$9&gt;0,$B$10&gt;=0),ISNUMBER(A63),A63&lt;=1),AND(ISNUMBER($B$11),$B$11&gt;=$B$9)),_xlfn.HYPGEOM.DIST($B$10,$B$9,INT(A63*$B$11),$B$11,TRUE),"")</f>
        <v/>
      </c>
      <c r="D63" s="14">
        <f>IF(ISNUMBER(C63),A63*C63,IF(ISNUMBER(B63),A63*B63,""))</f>
        <v/>
      </c>
      <c r="E63" s="14">
        <f>IF(ISNUMBER(C63),IF(C63=0,0,A63*C63*(1-($B$9/$B$11)*IF(OR($B$10=0,INT(A63*$B$11)=0),0,_xlfn.HYPGEOM.DIST($B$10-1,$B$9-1,INT(A63*$B$11)-1,$B$11-1,TRUE)/C63))),"")</f>
        <v/>
      </c>
      <c r="F63" s="16">
        <f>IF(ISNUMBER(C63),$B$9*C63+$B$11*(1-C63),"")</f>
        <v/>
      </c>
    </row>
    <row r="64">
      <c r="A64" s="14">
        <f>IF(ISNUMBER($B$48),14*$B$48,"")</f>
        <v/>
      </c>
      <c r="B64" s="14">
        <f>IF(AND(AND(ISNUMBER($B$9),ISNUMBER($B$10),$B$9&gt;0,$B$10&gt;=0),ISNUMBER(A64),A64&lt;=1),_xlfn.BINOM.DIST($B$10,$B$9,A64,TRUE),"")</f>
        <v/>
      </c>
      <c r="C64" s="14">
        <f>IF(AND(AND(AND(ISNUMBER($B$9),ISNUMBER($B$10),$B$9&gt;0,$B$10&gt;=0),ISNUMBER(A64),A64&lt;=1),AND(ISNUMBER($B$11),$B$11&gt;=$B$9)),_xlfn.HYPGEOM.DIST($B$10,$B$9,INT(A64*$B$11),$B$11,TRUE),"")</f>
        <v/>
      </c>
      <c r="D64" s="14">
        <f>IF(ISNUMBER(C64),A64*C64,IF(ISNUMBER(B64),A64*B64,""))</f>
        <v/>
      </c>
      <c r="E64" s="14">
        <f>IF(ISNUMBER(C64),IF(C64=0,0,A64*C64*(1-($B$9/$B$11)*IF(OR($B$10=0,INT(A64*$B$11)=0),0,_xlfn.HYPGEOM.DIST($B$10-1,$B$9-1,INT(A64*$B$11)-1,$B$11-1,TRUE)/C64))),"")</f>
        <v/>
      </c>
      <c r="F64" s="16">
        <f>IF(ISNUMBER(C64),$B$9*C64+$B$11*(1-C64),"")</f>
        <v/>
      </c>
    </row>
    <row r="65">
      <c r="A65" s="14">
        <f>IF(ISNUMBER($B$48),15*$B$48,"")</f>
        <v/>
      </c>
      <c r="B65" s="14">
        <f>IF(AND(AND(ISNUMBER($B$9),ISNUMBER($B$10),$B$9&gt;0,$B$10&gt;=0),ISNUMBER(A65),A65&lt;=1),_xlfn.BINOM.DIST($B$10,$B$9,A65,TRUE),"")</f>
        <v/>
      </c>
      <c r="C65" s="14">
        <f>IF(AND(AND(AND(ISNUMBER($B$9),ISNUMBER($B$10),$B$9&gt;0,$B$10&gt;=0),ISNUMBER(A65),A65&lt;=1),AND(ISNUMBER($B$11),$B$11&gt;=$B$9)),_xlfn.HYPGEOM.DIST($B$10,$B$9,INT(A65*$B$11),$B$11,TRUE),"")</f>
        <v/>
      </c>
      <c r="D65" s="14">
        <f>IF(ISNUMBER(C65),A65*C65,IF(ISNUMBER(B65),A65*B65,""))</f>
        <v/>
      </c>
      <c r="E65" s="14">
        <f>IF(ISNUMBER(C65),IF(C65=0,0,A65*C65*(1-($B$9/$B$11)*IF(OR($B$10=0,INT(A65*$B$11)=0),0,_xlfn.HYPGEOM.DIST($B$10-1,$B$9-1,INT(A65*$B$11)-1,$B$11-1,TRUE)/C65))),"")</f>
        <v/>
      </c>
      <c r="F65" s="16">
        <f>IF(ISNUMBER(C65),$B$9*C65+$B$11*(1-C65),"")</f>
        <v/>
      </c>
    </row>
    <row r="66">
      <c r="A66" s="14">
        <f>IF(ISNUMBER($B$48),16*$B$48,"")</f>
        <v/>
      </c>
      <c r="B66" s="14">
        <f>IF(AND(AND(ISNUMBER($B$9),ISNUMBER($B$10),$B$9&gt;0,$B$10&gt;=0),ISNUMBER(A66),A66&lt;=1),_xlfn.BINOM.DIST($B$10,$B$9,A66,TRUE),"")</f>
        <v/>
      </c>
      <c r="C66" s="14">
        <f>IF(AND(AND(AND(ISNUMBER($B$9),ISNUMBER($B$10),$B$9&gt;0,$B$10&gt;=0),ISNUMBER(A66),A66&lt;=1),AND(ISNUMBER($B$11),$B$11&gt;=$B$9)),_xlfn.HYPGEOM.DIST($B$10,$B$9,INT(A66*$B$11),$B$11,TRUE),"")</f>
        <v/>
      </c>
      <c r="D66" s="14">
        <f>IF(ISNUMBER(C66),A66*C66,IF(ISNUMBER(B66),A66*B66,""))</f>
        <v/>
      </c>
      <c r="E66" s="14">
        <f>IF(ISNUMBER(C66),IF(C66=0,0,A66*C66*(1-($B$9/$B$11)*IF(OR($B$10=0,INT(A66*$B$11)=0),0,_xlfn.HYPGEOM.DIST($B$10-1,$B$9-1,INT(A66*$B$11)-1,$B$11-1,TRUE)/C66))),"")</f>
        <v/>
      </c>
      <c r="F66" s="16">
        <f>IF(ISNUMBER(C66),$B$9*C66+$B$11*(1-C66),"")</f>
        <v/>
      </c>
    </row>
    <row r="67">
      <c r="A67" s="14">
        <f>IF(ISNUMBER($B$48),17*$B$48,"")</f>
        <v/>
      </c>
      <c r="B67" s="14">
        <f>IF(AND(AND(ISNUMBER($B$9),ISNUMBER($B$10),$B$9&gt;0,$B$10&gt;=0),ISNUMBER(A67),A67&lt;=1),_xlfn.BINOM.DIST($B$10,$B$9,A67,TRUE),"")</f>
        <v/>
      </c>
      <c r="C67" s="14">
        <f>IF(AND(AND(AND(ISNUMBER($B$9),ISNUMBER($B$10),$B$9&gt;0,$B$10&gt;=0),ISNUMBER(A67),A67&lt;=1),AND(ISNUMBER($B$11),$B$11&gt;=$B$9)),_xlfn.HYPGEOM.DIST($B$10,$B$9,INT(A67*$B$11),$B$11,TRUE),"")</f>
        <v/>
      </c>
      <c r="D67" s="14">
        <f>IF(ISNUMBER(C67),A67*C67,IF(ISNUMBER(B67),A67*B67,""))</f>
        <v/>
      </c>
      <c r="E67" s="14">
        <f>IF(ISNUMBER(C67),IF(C67=0,0,A67*C67*(1-($B$9/$B$11)*IF(OR($B$10=0,INT(A67*$B$11)=0),0,_xlfn.HYPGEOM.DIST($B$10-1,$B$9-1,INT(A67*$B$11)-1,$B$11-1,TRUE)/C67))),"")</f>
        <v/>
      </c>
      <c r="F67" s="16">
        <f>IF(ISNUMBER(C67),$B$9*C67+$B$11*(1-C67),"")</f>
        <v/>
      </c>
    </row>
    <row r="68">
      <c r="A68" s="14">
        <f>IF(ISNUMBER($B$48),18*$B$48,"")</f>
        <v/>
      </c>
      <c r="B68" s="14">
        <f>IF(AND(AND(ISNUMBER($B$9),ISNUMBER($B$10),$B$9&gt;0,$B$10&gt;=0),ISNUMBER(A68),A68&lt;=1),_xlfn.BINOM.DIST($B$10,$B$9,A68,TRUE),"")</f>
        <v/>
      </c>
      <c r="C68" s="14">
        <f>IF(AND(AND(AND(ISNUMBER($B$9),ISNUMBER($B$10),$B$9&gt;0,$B$10&gt;=0),ISNUMBER(A68),A68&lt;=1),AND(ISNUMBER($B$11),$B$11&gt;=$B$9)),_xlfn.HYPGEOM.DIST($B$10,$B$9,INT(A68*$B$11),$B$11,TRUE),"")</f>
        <v/>
      </c>
      <c r="D68" s="14">
        <f>IF(ISNUMBER(C68),A68*C68,IF(ISNUMBER(B68),A68*B68,""))</f>
        <v/>
      </c>
      <c r="E68" s="14">
        <f>IF(ISNUMBER(C68),IF(C68=0,0,A68*C68*(1-($B$9/$B$11)*IF(OR($B$10=0,INT(A68*$B$11)=0),0,_xlfn.HYPGEOM.DIST($B$10-1,$B$9-1,INT(A68*$B$11)-1,$B$11-1,TRUE)/C68))),"")</f>
        <v/>
      </c>
      <c r="F68" s="16">
        <f>IF(ISNUMBER(C68),$B$9*C68+$B$11*(1-C68),"")</f>
        <v/>
      </c>
    </row>
    <row r="69">
      <c r="A69" s="14">
        <f>IF(ISNUMBER($B$48),19*$B$48,"")</f>
        <v/>
      </c>
      <c r="B69" s="14">
        <f>IF(AND(AND(ISNUMBER($B$9),ISNUMBER($B$10),$B$9&gt;0,$B$10&gt;=0),ISNUMBER(A69),A69&lt;=1),_xlfn.BINOM.DIST($B$10,$B$9,A69,TRUE),"")</f>
        <v/>
      </c>
      <c r="C69" s="14">
        <f>IF(AND(AND(AND(ISNUMBER($B$9),ISNUMBER($B$10),$B$9&gt;0,$B$10&gt;=0),ISNUMBER(A69),A69&lt;=1),AND(ISNUMBER($B$11),$B$11&gt;=$B$9)),_xlfn.HYPGEOM.DIST($B$10,$B$9,INT(A69*$B$11),$B$11,TRUE),"")</f>
        <v/>
      </c>
      <c r="D69" s="14">
        <f>IF(ISNUMBER(C69),A69*C69,IF(ISNUMBER(B69),A69*B69,""))</f>
        <v/>
      </c>
      <c r="E69" s="14">
        <f>IF(ISNUMBER(C69),IF(C69=0,0,A69*C69*(1-($B$9/$B$11)*IF(OR($B$10=0,INT(A69*$B$11)=0),0,_xlfn.HYPGEOM.DIST($B$10-1,$B$9-1,INT(A69*$B$11)-1,$B$11-1,TRUE)/C69))),"")</f>
        <v/>
      </c>
      <c r="F69" s="16">
        <f>IF(ISNUMBER(C69),$B$9*C69+$B$11*(1-C69),"")</f>
        <v/>
      </c>
    </row>
    <row r="70">
      <c r="A70" s="14">
        <f>IF(ISNUMBER($B$48),20*$B$48,"")</f>
        <v/>
      </c>
      <c r="B70" s="14">
        <f>IF(AND(AND(ISNUMBER($B$9),ISNUMBER($B$10),$B$9&gt;0,$B$10&gt;=0),ISNUMBER(A70),A70&lt;=1),_xlfn.BINOM.DIST($B$10,$B$9,A70,TRUE),"")</f>
        <v/>
      </c>
      <c r="C70" s="14">
        <f>IF(AND(AND(AND(ISNUMBER($B$9),ISNUMBER($B$10),$B$9&gt;0,$B$10&gt;=0),ISNUMBER(A70),A70&lt;=1),AND(ISNUMBER($B$11),$B$11&gt;=$B$9)),_xlfn.HYPGEOM.DIST($B$10,$B$9,INT(A70*$B$11),$B$11,TRUE),"")</f>
        <v/>
      </c>
      <c r="D70" s="14">
        <f>IF(ISNUMBER(C70),A70*C70,IF(ISNUMBER(B70),A70*B70,""))</f>
        <v/>
      </c>
      <c r="E70" s="14">
        <f>IF(ISNUMBER(C70),IF(C70=0,0,A70*C70*(1-($B$9/$B$11)*IF(OR($B$10=0,INT(A70*$B$11)=0),0,_xlfn.HYPGEOM.DIST($B$10-1,$B$9-1,INT(A70*$B$11)-1,$B$11-1,TRUE)/C70))),"")</f>
        <v/>
      </c>
      <c r="F70" s="16">
        <f>IF(ISNUMBER(C70),$B$9*C70+$B$11*(1-C70),"")</f>
        <v/>
      </c>
    </row>
    <row r="71">
      <c r="A71" s="14">
        <f>IF(ISNUMBER($B$48),21*$B$48,"")</f>
        <v/>
      </c>
      <c r="B71" s="14">
        <f>IF(AND(AND(ISNUMBER($B$9),ISNUMBER($B$10),$B$9&gt;0,$B$10&gt;=0),ISNUMBER(A71),A71&lt;=1),_xlfn.BINOM.DIST($B$10,$B$9,A71,TRUE),"")</f>
        <v/>
      </c>
      <c r="C71" s="14">
        <f>IF(AND(AND(AND(ISNUMBER($B$9),ISNUMBER($B$10),$B$9&gt;0,$B$10&gt;=0),ISNUMBER(A71),A71&lt;=1),AND(ISNUMBER($B$11),$B$11&gt;=$B$9)),_xlfn.HYPGEOM.DIST($B$10,$B$9,INT(A71*$B$11),$B$11,TRUE),"")</f>
        <v/>
      </c>
      <c r="D71" s="14">
        <f>IF(ISNUMBER(C71),A71*C71,IF(ISNUMBER(B71),A71*B71,""))</f>
        <v/>
      </c>
      <c r="E71" s="14">
        <f>IF(ISNUMBER(C71),IF(C71=0,0,A71*C71*(1-($B$9/$B$11)*IF(OR($B$10=0,INT(A71*$B$11)=0),0,_xlfn.HYPGEOM.DIST($B$10-1,$B$9-1,INT(A71*$B$11)-1,$B$11-1,TRUE)/C71))),"")</f>
        <v/>
      </c>
      <c r="F71" s="16">
        <f>IF(ISNUMBER(C71),$B$9*C71+$B$11*(1-C71),"")</f>
        <v/>
      </c>
    </row>
    <row r="72">
      <c r="A72" s="14">
        <f>IF(ISNUMBER($B$48),22*$B$48,"")</f>
        <v/>
      </c>
      <c r="B72" s="14">
        <f>IF(AND(AND(ISNUMBER($B$9),ISNUMBER($B$10),$B$9&gt;0,$B$10&gt;=0),ISNUMBER(A72),A72&lt;=1),_xlfn.BINOM.DIST($B$10,$B$9,A72,TRUE),"")</f>
        <v/>
      </c>
      <c r="C72" s="14">
        <f>IF(AND(AND(AND(ISNUMBER($B$9),ISNUMBER($B$10),$B$9&gt;0,$B$10&gt;=0),ISNUMBER(A72),A72&lt;=1),AND(ISNUMBER($B$11),$B$11&gt;=$B$9)),_xlfn.HYPGEOM.DIST($B$10,$B$9,INT(A72*$B$11),$B$11,TRUE),"")</f>
        <v/>
      </c>
      <c r="D72" s="14">
        <f>IF(ISNUMBER(C72),A72*C72,IF(ISNUMBER(B72),A72*B72,""))</f>
        <v/>
      </c>
      <c r="E72" s="14">
        <f>IF(ISNUMBER(C72),IF(C72=0,0,A72*C72*(1-($B$9/$B$11)*IF(OR($B$10=0,INT(A72*$B$11)=0),0,_xlfn.HYPGEOM.DIST($B$10-1,$B$9-1,INT(A72*$B$11)-1,$B$11-1,TRUE)/C72))),"")</f>
        <v/>
      </c>
      <c r="F72" s="16">
        <f>IF(ISNUMBER(C72),$B$9*C72+$B$11*(1-C72),"")</f>
        <v/>
      </c>
    </row>
    <row r="73">
      <c r="A73" s="14">
        <f>IF(ISNUMBER($B$48),23*$B$48,"")</f>
        <v/>
      </c>
      <c r="B73" s="14">
        <f>IF(AND(AND(ISNUMBER($B$9),ISNUMBER($B$10),$B$9&gt;0,$B$10&gt;=0),ISNUMBER(A73),A73&lt;=1),_xlfn.BINOM.DIST($B$10,$B$9,A73,TRUE),"")</f>
        <v/>
      </c>
      <c r="C73" s="14">
        <f>IF(AND(AND(AND(ISNUMBER($B$9),ISNUMBER($B$10),$B$9&gt;0,$B$10&gt;=0),ISNUMBER(A73),A73&lt;=1),AND(ISNUMBER($B$11),$B$11&gt;=$B$9)),_xlfn.HYPGEOM.DIST($B$10,$B$9,INT(A73*$B$11),$B$11,TRUE),"")</f>
        <v/>
      </c>
      <c r="D73" s="14">
        <f>IF(ISNUMBER(C73),A73*C73,IF(ISNUMBER(B73),A73*B73,""))</f>
        <v/>
      </c>
      <c r="E73" s="14">
        <f>IF(ISNUMBER(C73),IF(C73=0,0,A73*C73*(1-($B$9/$B$11)*IF(OR($B$10=0,INT(A73*$B$11)=0),0,_xlfn.HYPGEOM.DIST($B$10-1,$B$9-1,INT(A73*$B$11)-1,$B$11-1,TRUE)/C73))),"")</f>
        <v/>
      </c>
      <c r="F73" s="16">
        <f>IF(ISNUMBER(C73),$B$9*C73+$B$11*(1-C73),"")</f>
        <v/>
      </c>
    </row>
    <row r="74">
      <c r="A74" s="14">
        <f>IF(ISNUMBER($B$48),24*$B$48,"")</f>
        <v/>
      </c>
      <c r="B74" s="14">
        <f>IF(AND(AND(ISNUMBER($B$9),ISNUMBER($B$10),$B$9&gt;0,$B$10&gt;=0),ISNUMBER(A74),A74&lt;=1),_xlfn.BINOM.DIST($B$10,$B$9,A74,TRUE),"")</f>
        <v/>
      </c>
      <c r="C74" s="14">
        <f>IF(AND(AND(AND(ISNUMBER($B$9),ISNUMBER($B$10),$B$9&gt;0,$B$10&gt;=0),ISNUMBER(A74),A74&lt;=1),AND(ISNUMBER($B$11),$B$11&gt;=$B$9)),_xlfn.HYPGEOM.DIST($B$10,$B$9,INT(A74*$B$11),$B$11,TRUE),"")</f>
        <v/>
      </c>
      <c r="D74" s="14">
        <f>IF(ISNUMBER(C74),A74*C74,IF(ISNUMBER(B74),A74*B74,""))</f>
        <v/>
      </c>
      <c r="E74" s="14">
        <f>IF(ISNUMBER(C74),IF(C74=0,0,A74*C74*(1-($B$9/$B$11)*IF(OR($B$10=0,INT(A74*$B$11)=0),0,_xlfn.HYPGEOM.DIST($B$10-1,$B$9-1,INT(A74*$B$11)-1,$B$11-1,TRUE)/C74))),"")</f>
        <v/>
      </c>
      <c r="F74" s="16">
        <f>IF(ISNUMBER(C74),$B$9*C74+$B$11*(1-C74),"")</f>
        <v/>
      </c>
    </row>
    <row r="75">
      <c r="A75" s="14">
        <f>IF(ISNUMBER($B$48),25*$B$48,"")</f>
        <v/>
      </c>
      <c r="B75" s="14">
        <f>IF(AND(AND(ISNUMBER($B$9),ISNUMBER($B$10),$B$9&gt;0,$B$10&gt;=0),ISNUMBER(A75),A75&lt;=1),_xlfn.BINOM.DIST($B$10,$B$9,A75,TRUE),"")</f>
        <v/>
      </c>
      <c r="C75" s="14">
        <f>IF(AND(AND(AND(ISNUMBER($B$9),ISNUMBER($B$10),$B$9&gt;0,$B$10&gt;=0),ISNUMBER(A75),A75&lt;=1),AND(ISNUMBER($B$11),$B$11&gt;=$B$9)),_xlfn.HYPGEOM.DIST($B$10,$B$9,INT(A75*$B$11),$B$11,TRUE),"")</f>
        <v/>
      </c>
      <c r="D75" s="14">
        <f>IF(ISNUMBER(C75),A75*C75,IF(ISNUMBER(B75),A75*B75,""))</f>
        <v/>
      </c>
      <c r="E75" s="14">
        <f>IF(ISNUMBER(C75),IF(C75=0,0,A75*C75*(1-($B$9/$B$11)*IF(OR($B$10=0,INT(A75*$B$11)=0),0,_xlfn.HYPGEOM.DIST($B$10-1,$B$9-1,INT(A75*$B$11)-1,$B$11-1,TRUE)/C75))),"")</f>
        <v/>
      </c>
      <c r="F75" s="16">
        <f>IF(ISNUMBER(C75),$B$9*C75+$B$11*(1-C75),"")</f>
        <v/>
      </c>
    </row>
    <row r="76">
      <c r="A76" s="14">
        <f>IF(ISNUMBER($B$48),26*$B$48,"")</f>
        <v/>
      </c>
      <c r="B76" s="14">
        <f>IF(AND(AND(ISNUMBER($B$9),ISNUMBER($B$10),$B$9&gt;0,$B$10&gt;=0),ISNUMBER(A76),A76&lt;=1),_xlfn.BINOM.DIST($B$10,$B$9,A76,TRUE),"")</f>
        <v/>
      </c>
      <c r="C76" s="14">
        <f>IF(AND(AND(AND(ISNUMBER($B$9),ISNUMBER($B$10),$B$9&gt;0,$B$10&gt;=0),ISNUMBER(A76),A76&lt;=1),AND(ISNUMBER($B$11),$B$11&gt;=$B$9)),_xlfn.HYPGEOM.DIST($B$10,$B$9,INT(A76*$B$11),$B$11,TRUE),"")</f>
        <v/>
      </c>
      <c r="D76" s="14">
        <f>IF(ISNUMBER(C76),A76*C76,IF(ISNUMBER(B76),A76*B76,""))</f>
        <v/>
      </c>
      <c r="E76" s="14">
        <f>IF(ISNUMBER(C76),IF(C76=0,0,A76*C76*(1-($B$9/$B$11)*IF(OR($B$10=0,INT(A76*$B$11)=0),0,_xlfn.HYPGEOM.DIST($B$10-1,$B$9-1,INT(A76*$B$11)-1,$B$11-1,TRUE)/C76))),"")</f>
        <v/>
      </c>
      <c r="F76" s="16">
        <f>IF(ISNUMBER(C76),$B$9*C76+$B$11*(1-C76),"")</f>
        <v/>
      </c>
    </row>
    <row r="77">
      <c r="A77" s="14">
        <f>IF(ISNUMBER($B$48),27*$B$48,"")</f>
        <v/>
      </c>
      <c r="B77" s="14">
        <f>IF(AND(AND(ISNUMBER($B$9),ISNUMBER($B$10),$B$9&gt;0,$B$10&gt;=0),ISNUMBER(A77),A77&lt;=1),_xlfn.BINOM.DIST($B$10,$B$9,A77,TRUE),"")</f>
        <v/>
      </c>
      <c r="C77" s="14">
        <f>IF(AND(AND(AND(ISNUMBER($B$9),ISNUMBER($B$10),$B$9&gt;0,$B$10&gt;=0),ISNUMBER(A77),A77&lt;=1),AND(ISNUMBER($B$11),$B$11&gt;=$B$9)),_xlfn.HYPGEOM.DIST($B$10,$B$9,INT(A77*$B$11),$B$11,TRUE),"")</f>
        <v/>
      </c>
      <c r="D77" s="14">
        <f>IF(ISNUMBER(C77),A77*C77,IF(ISNUMBER(B77),A77*B77,""))</f>
        <v/>
      </c>
      <c r="E77" s="14">
        <f>IF(ISNUMBER(C77),IF(C77=0,0,A77*C77*(1-($B$9/$B$11)*IF(OR($B$10=0,INT(A77*$B$11)=0),0,_xlfn.HYPGEOM.DIST($B$10-1,$B$9-1,INT(A77*$B$11)-1,$B$11-1,TRUE)/C77))),"")</f>
        <v/>
      </c>
      <c r="F77" s="16">
        <f>IF(ISNUMBER(C77),$B$9*C77+$B$11*(1-C77),"")</f>
        <v/>
      </c>
    </row>
    <row r="78">
      <c r="A78" s="14">
        <f>IF(ISNUMBER($B$48),28*$B$48,"")</f>
        <v/>
      </c>
      <c r="B78" s="14">
        <f>IF(AND(AND(ISNUMBER($B$9),ISNUMBER($B$10),$B$9&gt;0,$B$10&gt;=0),ISNUMBER(A78),A78&lt;=1),_xlfn.BINOM.DIST($B$10,$B$9,A78,TRUE),"")</f>
        <v/>
      </c>
      <c r="C78" s="14">
        <f>IF(AND(AND(AND(ISNUMBER($B$9),ISNUMBER($B$10),$B$9&gt;0,$B$10&gt;=0),ISNUMBER(A78),A78&lt;=1),AND(ISNUMBER($B$11),$B$11&gt;=$B$9)),_xlfn.HYPGEOM.DIST($B$10,$B$9,INT(A78*$B$11),$B$11,TRUE),"")</f>
        <v/>
      </c>
      <c r="D78" s="14">
        <f>IF(ISNUMBER(C78),A78*C78,IF(ISNUMBER(B78),A78*B78,""))</f>
        <v/>
      </c>
      <c r="E78" s="14">
        <f>IF(ISNUMBER(C78),IF(C78=0,0,A78*C78*(1-($B$9/$B$11)*IF(OR($B$10=0,INT(A78*$B$11)=0),0,_xlfn.HYPGEOM.DIST($B$10-1,$B$9-1,INT(A78*$B$11)-1,$B$11-1,TRUE)/C78))),"")</f>
        <v/>
      </c>
      <c r="F78" s="16">
        <f>IF(ISNUMBER(C78),$B$9*C78+$B$11*(1-C78),"")</f>
        <v/>
      </c>
    </row>
    <row r="79">
      <c r="A79" s="14">
        <f>IF(ISNUMBER($B$48),29*$B$48,"")</f>
        <v/>
      </c>
      <c r="B79" s="14">
        <f>IF(AND(AND(ISNUMBER($B$9),ISNUMBER($B$10),$B$9&gt;0,$B$10&gt;=0),ISNUMBER(A79),A79&lt;=1),_xlfn.BINOM.DIST($B$10,$B$9,A79,TRUE),"")</f>
        <v/>
      </c>
      <c r="C79" s="14">
        <f>IF(AND(AND(AND(ISNUMBER($B$9),ISNUMBER($B$10),$B$9&gt;0,$B$10&gt;=0),ISNUMBER(A79),A79&lt;=1),AND(ISNUMBER($B$11),$B$11&gt;=$B$9)),_xlfn.HYPGEOM.DIST($B$10,$B$9,INT(A79*$B$11),$B$11,TRUE),"")</f>
        <v/>
      </c>
      <c r="D79" s="14">
        <f>IF(ISNUMBER(C79),A79*C79,IF(ISNUMBER(B79),A79*B79,""))</f>
        <v/>
      </c>
      <c r="E79" s="14">
        <f>IF(ISNUMBER(C79),IF(C79=0,0,A79*C79*(1-($B$9/$B$11)*IF(OR($B$10=0,INT(A79*$B$11)=0),0,_xlfn.HYPGEOM.DIST($B$10-1,$B$9-1,INT(A79*$B$11)-1,$B$11-1,TRUE)/C79))),"")</f>
        <v/>
      </c>
      <c r="F79" s="16">
        <f>IF(ISNUMBER(C79),$B$9*C79+$B$11*(1-C79),"")</f>
        <v/>
      </c>
    </row>
    <row r="80">
      <c r="A80" s="14">
        <f>IF(ISNUMBER($B$48),30*$B$48,"")</f>
        <v/>
      </c>
      <c r="B80" s="14">
        <f>IF(AND(AND(ISNUMBER($B$9),ISNUMBER($B$10),$B$9&gt;0,$B$10&gt;=0),ISNUMBER(A80),A80&lt;=1),_xlfn.BINOM.DIST($B$10,$B$9,A80,TRUE),"")</f>
        <v/>
      </c>
      <c r="C80" s="14">
        <f>IF(AND(AND(AND(ISNUMBER($B$9),ISNUMBER($B$10),$B$9&gt;0,$B$10&gt;=0),ISNUMBER(A80),A80&lt;=1),AND(ISNUMBER($B$11),$B$11&gt;=$B$9)),_xlfn.HYPGEOM.DIST($B$10,$B$9,INT(A80*$B$11),$B$11,TRUE),"")</f>
        <v/>
      </c>
      <c r="D80" s="14">
        <f>IF(ISNUMBER(C80),A80*C80,IF(ISNUMBER(B80),A80*B80,""))</f>
        <v/>
      </c>
      <c r="E80" s="14">
        <f>IF(ISNUMBER(C80),IF(C80=0,0,A80*C80*(1-($B$9/$B$11)*IF(OR($B$10=0,INT(A80*$B$11)=0),0,_xlfn.HYPGEOM.DIST($B$10-1,$B$9-1,INT(A80*$B$11)-1,$B$11-1,TRUE)/C80))),"")</f>
        <v/>
      </c>
      <c r="F80" s="16">
        <f>IF(ISNUMBER(C80),$B$9*C80+$B$11*(1-C80),"")</f>
        <v/>
      </c>
    </row>
    <row r="81">
      <c r="A81" s="14">
        <f>IF(ISNUMBER($B$48),31*$B$48,"")</f>
        <v/>
      </c>
      <c r="B81" s="14">
        <f>IF(AND(AND(ISNUMBER($B$9),ISNUMBER($B$10),$B$9&gt;0,$B$10&gt;=0),ISNUMBER(A81),A81&lt;=1),_xlfn.BINOM.DIST($B$10,$B$9,A81,TRUE),"")</f>
        <v/>
      </c>
      <c r="C81" s="14">
        <f>IF(AND(AND(AND(ISNUMBER($B$9),ISNUMBER($B$10),$B$9&gt;0,$B$10&gt;=0),ISNUMBER(A81),A81&lt;=1),AND(ISNUMBER($B$11),$B$11&gt;=$B$9)),_xlfn.HYPGEOM.DIST($B$10,$B$9,INT(A81*$B$11),$B$11,TRUE),"")</f>
        <v/>
      </c>
      <c r="D81" s="14">
        <f>IF(ISNUMBER(C81),A81*C81,IF(ISNUMBER(B81),A81*B81,""))</f>
        <v/>
      </c>
      <c r="E81" s="14">
        <f>IF(ISNUMBER(C81),IF(C81=0,0,A81*C81*(1-($B$9/$B$11)*IF(OR($B$10=0,INT(A81*$B$11)=0),0,_xlfn.HYPGEOM.DIST($B$10-1,$B$9-1,INT(A81*$B$11)-1,$B$11-1,TRUE)/C81))),"")</f>
        <v/>
      </c>
      <c r="F81" s="16">
        <f>IF(ISNUMBER(C81),$B$9*C81+$B$11*(1-C81),"")</f>
        <v/>
      </c>
    </row>
    <row r="82">
      <c r="A82" s="14">
        <f>IF(ISNUMBER($B$48),32*$B$48,"")</f>
        <v/>
      </c>
      <c r="B82" s="14">
        <f>IF(AND(AND(ISNUMBER($B$9),ISNUMBER($B$10),$B$9&gt;0,$B$10&gt;=0),ISNUMBER(A82),A82&lt;=1),_xlfn.BINOM.DIST($B$10,$B$9,A82,TRUE),"")</f>
        <v/>
      </c>
      <c r="C82" s="14">
        <f>IF(AND(AND(AND(ISNUMBER($B$9),ISNUMBER($B$10),$B$9&gt;0,$B$10&gt;=0),ISNUMBER(A82),A82&lt;=1),AND(ISNUMBER($B$11),$B$11&gt;=$B$9)),_xlfn.HYPGEOM.DIST($B$10,$B$9,INT(A82*$B$11),$B$11,TRUE),"")</f>
        <v/>
      </c>
      <c r="D82" s="14">
        <f>IF(ISNUMBER(C82),A82*C82,IF(ISNUMBER(B82),A82*B82,""))</f>
        <v/>
      </c>
      <c r="E82" s="14">
        <f>IF(ISNUMBER(C82),IF(C82=0,0,A82*C82*(1-($B$9/$B$11)*IF(OR($B$10=0,INT(A82*$B$11)=0),0,_xlfn.HYPGEOM.DIST($B$10-1,$B$9-1,INT(A82*$B$11)-1,$B$11-1,TRUE)/C82))),"")</f>
        <v/>
      </c>
      <c r="F82" s="16">
        <f>IF(ISNUMBER(C82),$B$9*C82+$B$11*(1-C82),"")</f>
        <v/>
      </c>
    </row>
    <row r="83">
      <c r="A83" s="14">
        <f>IF(ISNUMBER($B$48),33*$B$48,"")</f>
        <v/>
      </c>
      <c r="B83" s="14">
        <f>IF(AND(AND(ISNUMBER($B$9),ISNUMBER($B$10),$B$9&gt;0,$B$10&gt;=0),ISNUMBER(A83),A83&lt;=1),_xlfn.BINOM.DIST($B$10,$B$9,A83,TRUE),"")</f>
        <v/>
      </c>
      <c r="C83" s="14">
        <f>IF(AND(AND(AND(ISNUMBER($B$9),ISNUMBER($B$10),$B$9&gt;0,$B$10&gt;=0),ISNUMBER(A83),A83&lt;=1),AND(ISNUMBER($B$11),$B$11&gt;=$B$9)),_xlfn.HYPGEOM.DIST($B$10,$B$9,INT(A83*$B$11),$B$11,TRUE),"")</f>
        <v/>
      </c>
      <c r="D83" s="14">
        <f>IF(ISNUMBER(C83),A83*C83,IF(ISNUMBER(B83),A83*B83,""))</f>
        <v/>
      </c>
      <c r="E83" s="14">
        <f>IF(ISNUMBER(C83),IF(C83=0,0,A83*C83*(1-($B$9/$B$11)*IF(OR($B$10=0,INT(A83*$B$11)=0),0,_xlfn.HYPGEOM.DIST($B$10-1,$B$9-1,INT(A83*$B$11)-1,$B$11-1,TRUE)/C83))),"")</f>
        <v/>
      </c>
      <c r="F83" s="16">
        <f>IF(ISNUMBER(C83),$B$9*C83+$B$11*(1-C83),"")</f>
        <v/>
      </c>
    </row>
    <row r="84">
      <c r="A84" s="14">
        <f>IF(ISNUMBER($B$48),34*$B$48,"")</f>
        <v/>
      </c>
      <c r="B84" s="14">
        <f>IF(AND(AND(ISNUMBER($B$9),ISNUMBER($B$10),$B$9&gt;0,$B$10&gt;=0),ISNUMBER(A84),A84&lt;=1),_xlfn.BINOM.DIST($B$10,$B$9,A84,TRUE),"")</f>
        <v/>
      </c>
      <c r="C84" s="14">
        <f>IF(AND(AND(AND(ISNUMBER($B$9),ISNUMBER($B$10),$B$9&gt;0,$B$10&gt;=0),ISNUMBER(A84),A84&lt;=1),AND(ISNUMBER($B$11),$B$11&gt;=$B$9)),_xlfn.HYPGEOM.DIST($B$10,$B$9,INT(A84*$B$11),$B$11,TRUE),"")</f>
        <v/>
      </c>
      <c r="D84" s="14">
        <f>IF(ISNUMBER(C84),A84*C84,IF(ISNUMBER(B84),A84*B84,""))</f>
        <v/>
      </c>
      <c r="E84" s="14">
        <f>IF(ISNUMBER(C84),IF(C84=0,0,A84*C84*(1-($B$9/$B$11)*IF(OR($B$10=0,INT(A84*$B$11)=0),0,_xlfn.HYPGEOM.DIST($B$10-1,$B$9-1,INT(A84*$B$11)-1,$B$11-1,TRUE)/C84))),"")</f>
        <v/>
      </c>
      <c r="F84" s="16">
        <f>IF(ISNUMBER(C84),$B$9*C84+$B$11*(1-C84),"")</f>
        <v/>
      </c>
    </row>
    <row r="85">
      <c r="A85" s="14">
        <f>IF(ISNUMBER($B$48),35*$B$48,"")</f>
        <v/>
      </c>
      <c r="B85" s="14">
        <f>IF(AND(AND(ISNUMBER($B$9),ISNUMBER($B$10),$B$9&gt;0,$B$10&gt;=0),ISNUMBER(A85),A85&lt;=1),_xlfn.BINOM.DIST($B$10,$B$9,A85,TRUE),"")</f>
        <v/>
      </c>
      <c r="C85" s="14">
        <f>IF(AND(AND(AND(ISNUMBER($B$9),ISNUMBER($B$10),$B$9&gt;0,$B$10&gt;=0),ISNUMBER(A85),A85&lt;=1),AND(ISNUMBER($B$11),$B$11&gt;=$B$9)),_xlfn.HYPGEOM.DIST($B$10,$B$9,INT(A85*$B$11),$B$11,TRUE),"")</f>
        <v/>
      </c>
      <c r="D85" s="14">
        <f>IF(ISNUMBER(C85),A85*C85,IF(ISNUMBER(B85),A85*B85,""))</f>
        <v/>
      </c>
      <c r="E85" s="14">
        <f>IF(ISNUMBER(C85),IF(C85=0,0,A85*C85*(1-($B$9/$B$11)*IF(OR($B$10=0,INT(A85*$B$11)=0),0,_xlfn.HYPGEOM.DIST($B$10-1,$B$9-1,INT(A85*$B$11)-1,$B$11-1,TRUE)/C85))),"")</f>
        <v/>
      </c>
      <c r="F85" s="16">
        <f>IF(ISNUMBER(C85),$B$9*C85+$B$11*(1-C85),"")</f>
        <v/>
      </c>
    </row>
    <row r="86">
      <c r="A86" s="14">
        <f>IF(ISNUMBER($B$48),36*$B$48,"")</f>
        <v/>
      </c>
      <c r="B86" s="14">
        <f>IF(AND(AND(ISNUMBER($B$9),ISNUMBER($B$10),$B$9&gt;0,$B$10&gt;=0),ISNUMBER(A86),A86&lt;=1),_xlfn.BINOM.DIST($B$10,$B$9,A86,TRUE),"")</f>
        <v/>
      </c>
      <c r="C86" s="14">
        <f>IF(AND(AND(AND(ISNUMBER($B$9),ISNUMBER($B$10),$B$9&gt;0,$B$10&gt;=0),ISNUMBER(A86),A86&lt;=1),AND(ISNUMBER($B$11),$B$11&gt;=$B$9)),_xlfn.HYPGEOM.DIST($B$10,$B$9,INT(A86*$B$11),$B$11,TRUE),"")</f>
        <v/>
      </c>
      <c r="D86" s="14">
        <f>IF(ISNUMBER(C86),A86*C86,IF(ISNUMBER(B86),A86*B86,""))</f>
        <v/>
      </c>
      <c r="E86" s="14">
        <f>IF(ISNUMBER(C86),IF(C86=0,0,A86*C86*(1-($B$9/$B$11)*IF(OR($B$10=0,INT(A86*$B$11)=0),0,_xlfn.HYPGEOM.DIST($B$10-1,$B$9-1,INT(A86*$B$11)-1,$B$11-1,TRUE)/C86))),"")</f>
        <v/>
      </c>
      <c r="F86" s="16">
        <f>IF(ISNUMBER(C86),$B$9*C86+$B$11*(1-C86),"")</f>
        <v/>
      </c>
    </row>
    <row r="87">
      <c r="A87" s="14">
        <f>IF(ISNUMBER($B$48),37*$B$48,"")</f>
        <v/>
      </c>
      <c r="B87" s="14">
        <f>IF(AND(AND(ISNUMBER($B$9),ISNUMBER($B$10),$B$9&gt;0,$B$10&gt;=0),ISNUMBER(A87),A87&lt;=1),_xlfn.BINOM.DIST($B$10,$B$9,A87,TRUE),"")</f>
        <v/>
      </c>
      <c r="C87" s="14">
        <f>IF(AND(AND(AND(ISNUMBER($B$9),ISNUMBER($B$10),$B$9&gt;0,$B$10&gt;=0),ISNUMBER(A87),A87&lt;=1),AND(ISNUMBER($B$11),$B$11&gt;=$B$9)),_xlfn.HYPGEOM.DIST($B$10,$B$9,INT(A87*$B$11),$B$11,TRUE),"")</f>
        <v/>
      </c>
      <c r="D87" s="14">
        <f>IF(ISNUMBER(C87),A87*C87,IF(ISNUMBER(B87),A87*B87,""))</f>
        <v/>
      </c>
      <c r="E87" s="14">
        <f>IF(ISNUMBER(C87),IF(C87=0,0,A87*C87*(1-($B$9/$B$11)*IF(OR($B$10=0,INT(A87*$B$11)=0),0,_xlfn.HYPGEOM.DIST($B$10-1,$B$9-1,INT(A87*$B$11)-1,$B$11-1,TRUE)/C87))),"")</f>
        <v/>
      </c>
      <c r="F87" s="16">
        <f>IF(ISNUMBER(C87),$B$9*C87+$B$11*(1-C87),"")</f>
        <v/>
      </c>
    </row>
    <row r="88">
      <c r="A88" s="14">
        <f>IF(ISNUMBER($B$48),38*$B$48,"")</f>
        <v/>
      </c>
      <c r="B88" s="14">
        <f>IF(AND(AND(ISNUMBER($B$9),ISNUMBER($B$10),$B$9&gt;0,$B$10&gt;=0),ISNUMBER(A88),A88&lt;=1),_xlfn.BINOM.DIST($B$10,$B$9,A88,TRUE),"")</f>
        <v/>
      </c>
      <c r="C88" s="14">
        <f>IF(AND(AND(AND(ISNUMBER($B$9),ISNUMBER($B$10),$B$9&gt;0,$B$10&gt;=0),ISNUMBER(A88),A88&lt;=1),AND(ISNUMBER($B$11),$B$11&gt;=$B$9)),_xlfn.HYPGEOM.DIST($B$10,$B$9,INT(A88*$B$11),$B$11,TRUE),"")</f>
        <v/>
      </c>
      <c r="D88" s="14">
        <f>IF(ISNUMBER(C88),A88*C88,IF(ISNUMBER(B88),A88*B88,""))</f>
        <v/>
      </c>
      <c r="E88" s="14">
        <f>IF(ISNUMBER(C88),IF(C88=0,0,A88*C88*(1-($B$9/$B$11)*IF(OR($B$10=0,INT(A88*$B$11)=0),0,_xlfn.HYPGEOM.DIST($B$10-1,$B$9-1,INT(A88*$B$11)-1,$B$11-1,TRUE)/C88))),"")</f>
        <v/>
      </c>
      <c r="F88" s="16">
        <f>IF(ISNUMBER(C88),$B$9*C88+$B$11*(1-C88),"")</f>
        <v/>
      </c>
    </row>
    <row r="89">
      <c r="A89" s="14">
        <f>IF(ISNUMBER($B$48),39*$B$48,"")</f>
        <v/>
      </c>
      <c r="B89" s="14">
        <f>IF(AND(AND(ISNUMBER($B$9),ISNUMBER($B$10),$B$9&gt;0,$B$10&gt;=0),ISNUMBER(A89),A89&lt;=1),_xlfn.BINOM.DIST($B$10,$B$9,A89,TRUE),"")</f>
        <v/>
      </c>
      <c r="C89" s="14">
        <f>IF(AND(AND(AND(ISNUMBER($B$9),ISNUMBER($B$10),$B$9&gt;0,$B$10&gt;=0),ISNUMBER(A89),A89&lt;=1),AND(ISNUMBER($B$11),$B$11&gt;=$B$9)),_xlfn.HYPGEOM.DIST($B$10,$B$9,INT(A89*$B$11),$B$11,TRUE),"")</f>
        <v/>
      </c>
      <c r="D89" s="14">
        <f>IF(ISNUMBER(C89),A89*C89,IF(ISNUMBER(B89),A89*B89,""))</f>
        <v/>
      </c>
      <c r="E89" s="14">
        <f>IF(ISNUMBER(C89),IF(C89=0,0,A89*C89*(1-($B$9/$B$11)*IF(OR($B$10=0,INT(A89*$B$11)=0),0,_xlfn.HYPGEOM.DIST($B$10-1,$B$9-1,INT(A89*$B$11)-1,$B$11-1,TRUE)/C89))),"")</f>
        <v/>
      </c>
      <c r="F89" s="16">
        <f>IF(ISNUMBER(C89),$B$9*C89+$B$11*(1-C89),"")</f>
        <v/>
      </c>
    </row>
    <row r="90">
      <c r="A90" s="14">
        <f>IF(ISNUMBER($B$48),40*$B$48,"")</f>
        <v/>
      </c>
      <c r="B90" s="14">
        <f>IF(AND(AND(ISNUMBER($B$9),ISNUMBER($B$10),$B$9&gt;0,$B$10&gt;=0),ISNUMBER(A90),A90&lt;=1),_xlfn.BINOM.DIST($B$10,$B$9,A90,TRUE),"")</f>
        <v/>
      </c>
      <c r="C90" s="14">
        <f>IF(AND(AND(AND(ISNUMBER($B$9),ISNUMBER($B$10),$B$9&gt;0,$B$10&gt;=0),ISNUMBER(A90),A90&lt;=1),AND(ISNUMBER($B$11),$B$11&gt;=$B$9)),_xlfn.HYPGEOM.DIST($B$10,$B$9,INT(A90*$B$11),$B$11,TRUE),"")</f>
        <v/>
      </c>
      <c r="D90" s="14">
        <f>IF(ISNUMBER(C90),A90*C90,IF(ISNUMBER(B90),A90*B90,""))</f>
        <v/>
      </c>
      <c r="E90" s="14">
        <f>IF(ISNUMBER(C90),IF(C90=0,0,A90*C90*(1-($B$9/$B$11)*IF(OR($B$10=0,INT(A90*$B$11)=0),0,_xlfn.HYPGEOM.DIST($B$10-1,$B$9-1,INT(A90*$B$11)-1,$B$11-1,TRUE)/C90))),"")</f>
        <v/>
      </c>
      <c r="F90" s="16">
        <f>IF(ISNUMBER(C90),$B$9*C90+$B$11*(1-C90),"")</f>
        <v/>
      </c>
    </row>
    <row r="92">
      <c r="A92" s="8" t="inlineStr">
        <is>
          <t>Hier niet berekend: dubbele, sequentiële (SPRT) en skip-lot-plannen (double, sequential, skip-lot plans; Further Reading p. 5-11), opzoeken in ISO 2859 / 3951 (p. 12). Een plan (n, c) ontwerpen vraagt de tabel van Peach 'tabellen AS.pdf' (p. 4), die niet in de cursusbestanden zit.</t>
        </is>
      </c>
    </row>
  </sheetData>
  <dataValidations count="2">
    <dataValidation sqref="B9 B10 B11" showDropDown="0" showInputMessage="0" showErrorMessage="1" allowBlank="1" errorTitle="Geheel getal" error="Typ een geheel getal." type="whole" operator="greaterThanOrEqual">
      <formula1>0</formula1>
    </dataValidation>
    <dataValidation sqref="B12 B13 B14 B15 B27 B48" showDropDown="0" showInputMessage="0" showErrorMessage="1" allowBlank="1" errorTitle="Fractie" error="Typ een fractie tussen 0 en 1." type="decimal" operator="between">
      <formula1>0</formula1>
      <formula2>1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style="26" min="2" max="2"/>
    <col width="14" customWidth="1" style="26" min="3" max="3"/>
    <col width="14" customWidth="1" style="26" min="4" max="4"/>
    <col width="14" customWidth="1" style="26" min="5" max="5"/>
    <col width="14" customWidth="1" style="26" min="6" max="6"/>
    <col width="14" customWidth="1" style="26" min="7" max="7"/>
    <col width="14" customWidth="1" style="26" min="8" max="8"/>
    <col width="14" customWidth="1" style="26" min="9" max="9"/>
    <col width="14" customWidth="1" style="26" min="10" max="10"/>
    <col width="14" customWidth="1" style="26" min="11" max="11"/>
    <col width="14" customWidth="1" style="26" min="12" max="12"/>
    <col width="14" customWidth="1" style="26" min="13" max="13"/>
    <col width="14" customWidth="1" style="26" min="14" max="14"/>
    <col width="14" customWidth="1" style="26" min="15" max="15"/>
    <col width="14" customWidth="1" style="26" min="16" max="16"/>
    <col width="14" customWidth="1" style="26" min="17" max="17"/>
    <col width="14" customWidth="1" style="26" min="18" max="18"/>
    <col width="14" customWidth="1" style="26" min="19" max="19"/>
    <col width="14" customWidth="1" style="26" min="20" max="20"/>
    <col width="14" customWidth="1" style="26" min="21" max="21"/>
    <col width="14" customWidth="1" style="26" min="22" max="22"/>
    <col width="14" customWidth="1" style="26" min="23" max="23"/>
    <col width="14" customWidth="1" style="26" min="24" max="24"/>
    <col width="14" customWidth="1" style="26" min="25" max="25"/>
    <col width="14" customWidth="1" style="26" min="26" max="26"/>
    <col width="14" customWidth="1" style="26" min="27" max="27"/>
    <col width="14" customWidth="1" style="26" min="28" max="28"/>
    <col width="14" customWidth="1" style="26" min="29" max="29"/>
    <col width="14" customWidth="1" style="26" min="30" max="30"/>
    <col width="14" customWidth="1" style="26" min="31" max="31"/>
    <col width="14" customWidth="1" style="26" min="32" max="32"/>
    <col width="14" customWidth="1" style="26" min="33" max="33"/>
    <col width="14" customWidth="1" style="26" min="34" max="34"/>
    <col width="14" customWidth="1" style="26" min="35" max="35"/>
    <col width="14" customWidth="1" style="26" min="36" max="36"/>
    <col width="14" customWidth="1" style="26" min="37" max="37"/>
    <col width="14" customWidth="1" style="26" min="38" max="38"/>
    <col width="14" customWidth="1" style="26" min="39" max="39"/>
    <col width="14" customWidth="1" style="26" min="40" max="40"/>
    <col width="14" customWidth="1" style="26" min="41" max="41"/>
    <col width="14" customWidth="1" style="26" min="42" max="42"/>
    <col width="14" customWidth="1" style="26" min="43" max="43"/>
    <col width="14" customWidth="1" style="26" min="44" max="44"/>
    <col width="14" customWidth="1" style="26" min="45" max="45"/>
    <col width="14" customWidth="1" style="26" min="46" max="46"/>
    <col width="14" customWidth="1" style="26" min="47" max="47"/>
    <col width="14" customWidth="1" style="26" min="48" max="48"/>
    <col width="14" customWidth="1" style="26" min="49" max="49"/>
    <col width="14" customWidth="1" style="26" min="50" max="50"/>
    <col width="14" customWidth="1" style="26" min="51" max="51"/>
  </cols>
  <sheetData>
    <row r="1">
      <c r="A1" s="1" t="inlineStr">
        <is>
          <t>Eenwegs-ANOVA (one-way ANOVA): zijn de gemiddelden van a groepen (factorniveaus) gelijk?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6" t="n"/>
      <c r="AR1" s="6" t="n"/>
      <c r="AS1" s="6" t="n"/>
      <c r="AT1" s="6" t="n"/>
      <c r="AU1" s="6" t="n"/>
      <c r="AV1" s="6" t="n"/>
      <c r="AW1" s="6" t="n"/>
      <c r="AX1" s="6" t="n"/>
      <c r="AY1" s="6" t="n"/>
    </row>
    <row r="2">
      <c r="A2" s="2" t="inlineStr">
        <is>
          <t>Bron in de cursus</t>
        </is>
      </c>
      <c r="B2" s="3" t="inlineStr">
        <is>
          <t>source/course/Les 3/20260605_de vuyst_BB_DOE.pdf p. 3-15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6" t="n"/>
      <c r="AY2" s="6" t="n"/>
    </row>
    <row r="3">
      <c r="A3" s="2" t="inlineStr">
        <is>
          <t>Gebruikte conventie</t>
        </is>
      </c>
      <c r="B3" s="3" t="inlineStr">
        <is>
          <t>Invoer α vooraf ingevuld op 0,05 (beslissing 5); groepen mogen verschillend groot zijn.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</row>
    <row r="4">
      <c r="A4" s="2" t="inlineStr">
        <is>
          <t>Status</t>
        </is>
      </c>
      <c r="B4" s="4" t="inlineStr">
        <is>
          <t>GEVERIFIEERD (VERIFIED): getest tegen de uitgewerkte voorbeelden van de cursus S05-WE01 en S05-WE02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</row>
    <row r="5">
      <c r="A5" s="2" t="inlineStr">
        <is>
          <t>Legende</t>
        </is>
      </c>
      <c r="B5" s="3" t="inlineStr">
        <is>
          <t>Gele cel = vul hier in (invoer).  Groene cel = resultaat, niet overtypen.  Oranje cel (Tabellen) = verschilt van een andere gedrukte bron.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</row>
    <row r="6">
      <c r="A6" s="2" t="inlineStr">
        <is>
          <t>Controle</t>
        </is>
      </c>
      <c r="B6" s="3" t="inlineStr">
        <is>
          <t>Blijft een groene cel leeg, dan ontbreekt nog een invoer die ze nodig heeft.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</row>
    <row r="7"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</row>
    <row r="8">
      <c r="A8" s="5" t="inlineStr">
        <is>
          <t>Instellingen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</row>
    <row r="9">
      <c r="A9" s="6" t="inlineStr">
        <is>
          <t>Significantieniveau α (significance level; betrouwbaarheid = 1 − α)</t>
        </is>
      </c>
      <c r="B9" s="22" t="n">
        <v>0.05</v>
      </c>
      <c r="C9" s="8" t="inlineStr">
        <is>
          <t>de cursus heeft geen standaardwaarde; de meeste cursusvoorbeelden gebruiken 5 %; gebruik de waarde uit de vraag</t>
        </is>
      </c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</row>
    <row r="10"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  <c r="AY10" s="6" t="n"/>
    </row>
    <row r="11">
      <c r="A11" s="20" t="inlineStr">
        <is>
          <t>Zo vul je de groepen in (onderaan, vanaf rij 35)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</row>
    <row r="12">
      <c r="A12" s="8" t="inlineStr">
        <is>
          <t>• Eén kolom per groep (factorniveau, factor level): groep 1 in kolom B, groep 2 in C, … Rij 34: de naam van de groep (TEKST, mag leeg).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</row>
    <row r="13">
      <c r="A13" s="8" t="inlineStr">
        <is>
          <t>• Vanaf rij 35: alleen GETALLEN, één waarneming per cel, onder elkaar; zoveel als je wilt. Groepen mogen verschillend groot zijn.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</row>
    <row r="14">
      <c r="A14" s="8" t="inlineStr">
        <is>
          <t>• Het blad telt zelf de groepen en de waarden (rij 18). 'TEKST!' in rij 23: die kolom heeft een cel met tekst die niet meetelt.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  <c r="AY14" s="6" t="n"/>
    </row>
    <row r="15">
      <c r="A15" s="8" t="inlineStr">
        <is>
          <t>• Plakken uit een ander bestand: Plakken speciaal → Waarden. Leegmaken: selecteer de kolommen vanaf rij 34 en druk Delete.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</row>
    <row r="16"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  <c r="AY16" s="6" t="n"/>
    </row>
    <row r="17">
      <c r="A17" s="10" t="inlineStr">
        <is>
          <t>1. Per groep (berekend)</t>
        </is>
      </c>
      <c r="B17" s="10" t="inlineStr">
        <is>
          <t>groep 1</t>
        </is>
      </c>
      <c r="C17" s="10" t="inlineStr">
        <is>
          <t>groep 2</t>
        </is>
      </c>
      <c r="D17" s="10" t="inlineStr">
        <is>
          <t>groep 3</t>
        </is>
      </c>
      <c r="E17" s="10" t="inlineStr">
        <is>
          <t>groep 4</t>
        </is>
      </c>
      <c r="F17" s="10" t="inlineStr">
        <is>
          <t>groep 5</t>
        </is>
      </c>
      <c r="G17" s="10" t="inlineStr">
        <is>
          <t>groep 6</t>
        </is>
      </c>
      <c r="H17" s="10" t="inlineStr">
        <is>
          <t>groep 7</t>
        </is>
      </c>
      <c r="I17" s="10" t="inlineStr">
        <is>
          <t>groep 8</t>
        </is>
      </c>
      <c r="J17" s="10" t="inlineStr">
        <is>
          <t>groep 9</t>
        </is>
      </c>
      <c r="K17" s="10" t="inlineStr">
        <is>
          <t>groep 10</t>
        </is>
      </c>
      <c r="L17" s="10" t="inlineStr">
        <is>
          <t>groep 11</t>
        </is>
      </c>
      <c r="M17" s="10" t="inlineStr">
        <is>
          <t>groep 12</t>
        </is>
      </c>
      <c r="N17" s="10" t="inlineStr">
        <is>
          <t>groep 13</t>
        </is>
      </c>
      <c r="O17" s="10" t="inlineStr">
        <is>
          <t>groep 14</t>
        </is>
      </c>
      <c r="P17" s="10" t="inlineStr">
        <is>
          <t>groep 15</t>
        </is>
      </c>
      <c r="Q17" s="10" t="inlineStr">
        <is>
          <t>groep 16</t>
        </is>
      </c>
      <c r="R17" s="10" t="inlineStr">
        <is>
          <t>groep 17</t>
        </is>
      </c>
      <c r="S17" s="10" t="inlineStr">
        <is>
          <t>groep 18</t>
        </is>
      </c>
      <c r="T17" s="10" t="inlineStr">
        <is>
          <t>groep 19</t>
        </is>
      </c>
      <c r="U17" s="10" t="inlineStr">
        <is>
          <t>groep 20</t>
        </is>
      </c>
      <c r="V17" s="10" t="inlineStr">
        <is>
          <t>groep 21</t>
        </is>
      </c>
      <c r="W17" s="10" t="inlineStr">
        <is>
          <t>groep 22</t>
        </is>
      </c>
      <c r="X17" s="10" t="inlineStr">
        <is>
          <t>groep 23</t>
        </is>
      </c>
      <c r="Y17" s="10" t="inlineStr">
        <is>
          <t>groep 24</t>
        </is>
      </c>
      <c r="Z17" s="10" t="inlineStr">
        <is>
          <t>groep 25</t>
        </is>
      </c>
      <c r="AA17" s="10" t="inlineStr">
        <is>
          <t>groep 26</t>
        </is>
      </c>
      <c r="AB17" s="10" t="inlineStr">
        <is>
          <t>groep 27</t>
        </is>
      </c>
      <c r="AC17" s="10" t="inlineStr">
        <is>
          <t>groep 28</t>
        </is>
      </c>
      <c r="AD17" s="10" t="inlineStr">
        <is>
          <t>groep 29</t>
        </is>
      </c>
      <c r="AE17" s="10" t="inlineStr">
        <is>
          <t>groep 30</t>
        </is>
      </c>
      <c r="AF17" s="10" t="inlineStr">
        <is>
          <t>groep 31</t>
        </is>
      </c>
      <c r="AG17" s="10" t="inlineStr">
        <is>
          <t>groep 32</t>
        </is>
      </c>
      <c r="AH17" s="10" t="inlineStr">
        <is>
          <t>groep 33</t>
        </is>
      </c>
      <c r="AI17" s="10" t="inlineStr">
        <is>
          <t>groep 34</t>
        </is>
      </c>
      <c r="AJ17" s="10" t="inlineStr">
        <is>
          <t>groep 35</t>
        </is>
      </c>
      <c r="AK17" s="10" t="inlineStr">
        <is>
          <t>groep 36</t>
        </is>
      </c>
      <c r="AL17" s="10" t="inlineStr">
        <is>
          <t>groep 37</t>
        </is>
      </c>
      <c r="AM17" s="10" t="inlineStr">
        <is>
          <t>groep 38</t>
        </is>
      </c>
      <c r="AN17" s="10" t="inlineStr">
        <is>
          <t>groep 39</t>
        </is>
      </c>
      <c r="AO17" s="10" t="inlineStr">
        <is>
          <t>groep 40</t>
        </is>
      </c>
      <c r="AP17" s="10" t="inlineStr">
        <is>
          <t>groep 41</t>
        </is>
      </c>
      <c r="AQ17" s="10" t="inlineStr">
        <is>
          <t>groep 42</t>
        </is>
      </c>
      <c r="AR17" s="10" t="inlineStr">
        <is>
          <t>groep 43</t>
        </is>
      </c>
      <c r="AS17" s="10" t="inlineStr">
        <is>
          <t>groep 44</t>
        </is>
      </c>
      <c r="AT17" s="10" t="inlineStr">
        <is>
          <t>groep 45</t>
        </is>
      </c>
      <c r="AU17" s="10" t="inlineStr">
        <is>
          <t>groep 46</t>
        </is>
      </c>
      <c r="AV17" s="10" t="inlineStr">
        <is>
          <t>groep 47</t>
        </is>
      </c>
      <c r="AW17" s="10" t="inlineStr">
        <is>
          <t>groep 48</t>
        </is>
      </c>
      <c r="AX17" s="10" t="inlineStr">
        <is>
          <t>groep 49</t>
        </is>
      </c>
      <c r="AY17" s="10" t="inlineStr">
        <is>
          <t>groep 50</t>
        </is>
      </c>
    </row>
    <row r="18">
      <c r="A18" s="6" t="inlineStr">
        <is>
          <t>n_i</t>
        </is>
      </c>
      <c r="B18" s="28">
        <f>IF(COUNT(B$35:B$100000)&gt;0,COUNT(B$35:B$100000),"")</f>
        <v/>
      </c>
      <c r="C18" s="28">
        <f>IF(COUNT(C$35:C$100000)&gt;0,COUNT(C$35:C$100000),"")</f>
        <v/>
      </c>
      <c r="D18" s="28">
        <f>IF(COUNT(D$35:D$100000)&gt;0,COUNT(D$35:D$100000),"")</f>
        <v/>
      </c>
      <c r="E18" s="28">
        <f>IF(COUNT(E$35:E$100000)&gt;0,COUNT(E$35:E$100000),"")</f>
        <v/>
      </c>
      <c r="F18" s="28">
        <f>IF(COUNT(F$35:F$100000)&gt;0,COUNT(F$35:F$100000),"")</f>
        <v/>
      </c>
      <c r="G18" s="28">
        <f>IF(COUNT(G$35:G$100000)&gt;0,COUNT(G$35:G$100000),"")</f>
        <v/>
      </c>
      <c r="H18" s="28">
        <f>IF(COUNT(H$35:H$100000)&gt;0,COUNT(H$35:H$100000),"")</f>
        <v/>
      </c>
      <c r="I18" s="28">
        <f>IF(COUNT(I$35:I$100000)&gt;0,COUNT(I$35:I$100000),"")</f>
        <v/>
      </c>
      <c r="J18" s="28">
        <f>IF(COUNT(J$35:J$100000)&gt;0,COUNT(J$35:J$100000),"")</f>
        <v/>
      </c>
      <c r="K18" s="28">
        <f>IF(COUNT(K$35:K$100000)&gt;0,COUNT(K$35:K$100000),"")</f>
        <v/>
      </c>
      <c r="L18" s="28">
        <f>IF(COUNT(L$35:L$100000)&gt;0,COUNT(L$35:L$100000),"")</f>
        <v/>
      </c>
      <c r="M18" s="28">
        <f>IF(COUNT(M$35:M$100000)&gt;0,COUNT(M$35:M$100000),"")</f>
        <v/>
      </c>
      <c r="N18" s="28">
        <f>IF(COUNT(N$35:N$100000)&gt;0,COUNT(N$35:N$100000),"")</f>
        <v/>
      </c>
      <c r="O18" s="28">
        <f>IF(COUNT(O$35:O$100000)&gt;0,COUNT(O$35:O$100000),"")</f>
        <v/>
      </c>
      <c r="P18" s="28">
        <f>IF(COUNT(P$35:P$100000)&gt;0,COUNT(P$35:P$100000),"")</f>
        <v/>
      </c>
      <c r="Q18" s="28">
        <f>IF(COUNT(Q$35:Q$100000)&gt;0,COUNT(Q$35:Q$100000),"")</f>
        <v/>
      </c>
      <c r="R18" s="28">
        <f>IF(COUNT(R$35:R$100000)&gt;0,COUNT(R$35:R$100000),"")</f>
        <v/>
      </c>
      <c r="S18" s="28">
        <f>IF(COUNT(S$35:S$100000)&gt;0,COUNT(S$35:S$100000),"")</f>
        <v/>
      </c>
      <c r="T18" s="28">
        <f>IF(COUNT(T$35:T$100000)&gt;0,COUNT(T$35:T$100000),"")</f>
        <v/>
      </c>
      <c r="U18" s="28">
        <f>IF(COUNT(U$35:U$100000)&gt;0,COUNT(U$35:U$100000),"")</f>
        <v/>
      </c>
      <c r="V18" s="28">
        <f>IF(COUNT(V$35:V$100000)&gt;0,COUNT(V$35:V$100000),"")</f>
        <v/>
      </c>
      <c r="W18" s="28">
        <f>IF(COUNT(W$35:W$100000)&gt;0,COUNT(W$35:W$100000),"")</f>
        <v/>
      </c>
      <c r="X18" s="28">
        <f>IF(COUNT(X$35:X$100000)&gt;0,COUNT(X$35:X$100000),"")</f>
        <v/>
      </c>
      <c r="Y18" s="28">
        <f>IF(COUNT(Y$35:Y$100000)&gt;0,COUNT(Y$35:Y$100000),"")</f>
        <v/>
      </c>
      <c r="Z18" s="28">
        <f>IF(COUNT(Z$35:Z$100000)&gt;0,COUNT(Z$35:Z$100000),"")</f>
        <v/>
      </c>
      <c r="AA18" s="28">
        <f>IF(COUNT(AA$35:AA$100000)&gt;0,COUNT(AA$35:AA$100000),"")</f>
        <v/>
      </c>
      <c r="AB18" s="28">
        <f>IF(COUNT(AB$35:AB$100000)&gt;0,COUNT(AB$35:AB$100000),"")</f>
        <v/>
      </c>
      <c r="AC18" s="28">
        <f>IF(COUNT(AC$35:AC$100000)&gt;0,COUNT(AC$35:AC$100000),"")</f>
        <v/>
      </c>
      <c r="AD18" s="28">
        <f>IF(COUNT(AD$35:AD$100000)&gt;0,COUNT(AD$35:AD$100000),"")</f>
        <v/>
      </c>
      <c r="AE18" s="28">
        <f>IF(COUNT(AE$35:AE$100000)&gt;0,COUNT(AE$35:AE$100000),"")</f>
        <v/>
      </c>
      <c r="AF18" s="28">
        <f>IF(COUNT(AF$35:AF$100000)&gt;0,COUNT(AF$35:AF$100000),"")</f>
        <v/>
      </c>
      <c r="AG18" s="28">
        <f>IF(COUNT(AG$35:AG$100000)&gt;0,COUNT(AG$35:AG$100000),"")</f>
        <v/>
      </c>
      <c r="AH18" s="28">
        <f>IF(COUNT(AH$35:AH$100000)&gt;0,COUNT(AH$35:AH$100000),"")</f>
        <v/>
      </c>
      <c r="AI18" s="28">
        <f>IF(COUNT(AI$35:AI$100000)&gt;0,COUNT(AI$35:AI$100000),"")</f>
        <v/>
      </c>
      <c r="AJ18" s="28">
        <f>IF(COUNT(AJ$35:AJ$100000)&gt;0,COUNT(AJ$35:AJ$100000),"")</f>
        <v/>
      </c>
      <c r="AK18" s="28">
        <f>IF(COUNT(AK$35:AK$100000)&gt;0,COUNT(AK$35:AK$100000),"")</f>
        <v/>
      </c>
      <c r="AL18" s="28">
        <f>IF(COUNT(AL$35:AL$100000)&gt;0,COUNT(AL$35:AL$100000),"")</f>
        <v/>
      </c>
      <c r="AM18" s="28">
        <f>IF(COUNT(AM$35:AM$100000)&gt;0,COUNT(AM$35:AM$100000),"")</f>
        <v/>
      </c>
      <c r="AN18" s="28">
        <f>IF(COUNT(AN$35:AN$100000)&gt;0,COUNT(AN$35:AN$100000),"")</f>
        <v/>
      </c>
      <c r="AO18" s="28">
        <f>IF(COUNT(AO$35:AO$100000)&gt;0,COUNT(AO$35:AO$100000),"")</f>
        <v/>
      </c>
      <c r="AP18" s="28">
        <f>IF(COUNT(AP$35:AP$100000)&gt;0,COUNT(AP$35:AP$100000),"")</f>
        <v/>
      </c>
      <c r="AQ18" s="28">
        <f>IF(COUNT(AQ$35:AQ$100000)&gt;0,COUNT(AQ$35:AQ$100000),"")</f>
        <v/>
      </c>
      <c r="AR18" s="28">
        <f>IF(COUNT(AR$35:AR$100000)&gt;0,COUNT(AR$35:AR$100000),"")</f>
        <v/>
      </c>
      <c r="AS18" s="28">
        <f>IF(COUNT(AS$35:AS$100000)&gt;0,COUNT(AS$35:AS$100000),"")</f>
        <v/>
      </c>
      <c r="AT18" s="28">
        <f>IF(COUNT(AT$35:AT$100000)&gt;0,COUNT(AT$35:AT$100000),"")</f>
        <v/>
      </c>
      <c r="AU18" s="28">
        <f>IF(COUNT(AU$35:AU$100000)&gt;0,COUNT(AU$35:AU$100000),"")</f>
        <v/>
      </c>
      <c r="AV18" s="28">
        <f>IF(COUNT(AV$35:AV$100000)&gt;0,COUNT(AV$35:AV$100000),"")</f>
        <v/>
      </c>
      <c r="AW18" s="28">
        <f>IF(COUNT(AW$35:AW$100000)&gt;0,COUNT(AW$35:AW$100000),"")</f>
        <v/>
      </c>
      <c r="AX18" s="28">
        <f>IF(COUNT(AX$35:AX$100000)&gt;0,COUNT(AX$35:AX$100000),"")</f>
        <v/>
      </c>
      <c r="AY18" s="28">
        <f>IF(COUNT(AY$35:AY$100000)&gt;0,COUNT(AY$35:AY$100000),"")</f>
        <v/>
      </c>
    </row>
    <row r="19">
      <c r="A19" s="6" t="inlineStr">
        <is>
          <t>gemiddelde Ȳ_i</t>
        </is>
      </c>
      <c r="B19" s="29">
        <f>IF(COUNT(B$35:B$100000)&gt;0,AVERAGE(B$35:B$100000),"")</f>
        <v/>
      </c>
      <c r="C19" s="29">
        <f>IF(COUNT(C$35:C$100000)&gt;0,AVERAGE(C$35:C$100000),"")</f>
        <v/>
      </c>
      <c r="D19" s="29">
        <f>IF(COUNT(D$35:D$100000)&gt;0,AVERAGE(D$35:D$100000),"")</f>
        <v/>
      </c>
      <c r="E19" s="29">
        <f>IF(COUNT(E$35:E$100000)&gt;0,AVERAGE(E$35:E$100000),"")</f>
        <v/>
      </c>
      <c r="F19" s="29">
        <f>IF(COUNT(F$35:F$100000)&gt;0,AVERAGE(F$35:F$100000),"")</f>
        <v/>
      </c>
      <c r="G19" s="29">
        <f>IF(COUNT(G$35:G$100000)&gt;0,AVERAGE(G$35:G$100000),"")</f>
        <v/>
      </c>
      <c r="H19" s="29">
        <f>IF(COUNT(H$35:H$100000)&gt;0,AVERAGE(H$35:H$100000),"")</f>
        <v/>
      </c>
      <c r="I19" s="29">
        <f>IF(COUNT(I$35:I$100000)&gt;0,AVERAGE(I$35:I$100000),"")</f>
        <v/>
      </c>
      <c r="J19" s="29">
        <f>IF(COUNT(J$35:J$100000)&gt;0,AVERAGE(J$35:J$100000),"")</f>
        <v/>
      </c>
      <c r="K19" s="29">
        <f>IF(COUNT(K$35:K$100000)&gt;0,AVERAGE(K$35:K$100000),"")</f>
        <v/>
      </c>
      <c r="L19" s="29">
        <f>IF(COUNT(L$35:L$100000)&gt;0,AVERAGE(L$35:L$100000),"")</f>
        <v/>
      </c>
      <c r="M19" s="29">
        <f>IF(COUNT(M$35:M$100000)&gt;0,AVERAGE(M$35:M$100000),"")</f>
        <v/>
      </c>
      <c r="N19" s="29">
        <f>IF(COUNT(N$35:N$100000)&gt;0,AVERAGE(N$35:N$100000),"")</f>
        <v/>
      </c>
      <c r="O19" s="29">
        <f>IF(COUNT(O$35:O$100000)&gt;0,AVERAGE(O$35:O$100000),"")</f>
        <v/>
      </c>
      <c r="P19" s="29">
        <f>IF(COUNT(P$35:P$100000)&gt;0,AVERAGE(P$35:P$100000),"")</f>
        <v/>
      </c>
      <c r="Q19" s="29">
        <f>IF(COUNT(Q$35:Q$100000)&gt;0,AVERAGE(Q$35:Q$100000),"")</f>
        <v/>
      </c>
      <c r="R19" s="29">
        <f>IF(COUNT(R$35:R$100000)&gt;0,AVERAGE(R$35:R$100000),"")</f>
        <v/>
      </c>
      <c r="S19" s="29">
        <f>IF(COUNT(S$35:S$100000)&gt;0,AVERAGE(S$35:S$100000),"")</f>
        <v/>
      </c>
      <c r="T19" s="29">
        <f>IF(COUNT(T$35:T$100000)&gt;0,AVERAGE(T$35:T$100000),"")</f>
        <v/>
      </c>
      <c r="U19" s="29">
        <f>IF(COUNT(U$35:U$100000)&gt;0,AVERAGE(U$35:U$100000),"")</f>
        <v/>
      </c>
      <c r="V19" s="29">
        <f>IF(COUNT(V$35:V$100000)&gt;0,AVERAGE(V$35:V$100000),"")</f>
        <v/>
      </c>
      <c r="W19" s="29">
        <f>IF(COUNT(W$35:W$100000)&gt;0,AVERAGE(W$35:W$100000),"")</f>
        <v/>
      </c>
      <c r="X19" s="29">
        <f>IF(COUNT(X$35:X$100000)&gt;0,AVERAGE(X$35:X$100000),"")</f>
        <v/>
      </c>
      <c r="Y19" s="29">
        <f>IF(COUNT(Y$35:Y$100000)&gt;0,AVERAGE(Y$35:Y$100000),"")</f>
        <v/>
      </c>
      <c r="Z19" s="29">
        <f>IF(COUNT(Z$35:Z$100000)&gt;0,AVERAGE(Z$35:Z$100000),"")</f>
        <v/>
      </c>
      <c r="AA19" s="29">
        <f>IF(COUNT(AA$35:AA$100000)&gt;0,AVERAGE(AA$35:AA$100000),"")</f>
        <v/>
      </c>
      <c r="AB19" s="29">
        <f>IF(COUNT(AB$35:AB$100000)&gt;0,AVERAGE(AB$35:AB$100000),"")</f>
        <v/>
      </c>
      <c r="AC19" s="29">
        <f>IF(COUNT(AC$35:AC$100000)&gt;0,AVERAGE(AC$35:AC$100000),"")</f>
        <v/>
      </c>
      <c r="AD19" s="29">
        <f>IF(COUNT(AD$35:AD$100000)&gt;0,AVERAGE(AD$35:AD$100000),"")</f>
        <v/>
      </c>
      <c r="AE19" s="29">
        <f>IF(COUNT(AE$35:AE$100000)&gt;0,AVERAGE(AE$35:AE$100000),"")</f>
        <v/>
      </c>
      <c r="AF19" s="29">
        <f>IF(COUNT(AF$35:AF$100000)&gt;0,AVERAGE(AF$35:AF$100000),"")</f>
        <v/>
      </c>
      <c r="AG19" s="29">
        <f>IF(COUNT(AG$35:AG$100000)&gt;0,AVERAGE(AG$35:AG$100000),"")</f>
        <v/>
      </c>
      <c r="AH19" s="29">
        <f>IF(COUNT(AH$35:AH$100000)&gt;0,AVERAGE(AH$35:AH$100000),"")</f>
        <v/>
      </c>
      <c r="AI19" s="29">
        <f>IF(COUNT(AI$35:AI$100000)&gt;0,AVERAGE(AI$35:AI$100000),"")</f>
        <v/>
      </c>
      <c r="AJ19" s="29">
        <f>IF(COUNT(AJ$35:AJ$100000)&gt;0,AVERAGE(AJ$35:AJ$100000),"")</f>
        <v/>
      </c>
      <c r="AK19" s="29">
        <f>IF(COUNT(AK$35:AK$100000)&gt;0,AVERAGE(AK$35:AK$100000),"")</f>
        <v/>
      </c>
      <c r="AL19" s="29">
        <f>IF(COUNT(AL$35:AL$100000)&gt;0,AVERAGE(AL$35:AL$100000),"")</f>
        <v/>
      </c>
      <c r="AM19" s="29">
        <f>IF(COUNT(AM$35:AM$100000)&gt;0,AVERAGE(AM$35:AM$100000),"")</f>
        <v/>
      </c>
      <c r="AN19" s="29">
        <f>IF(COUNT(AN$35:AN$100000)&gt;0,AVERAGE(AN$35:AN$100000),"")</f>
        <v/>
      </c>
      <c r="AO19" s="29">
        <f>IF(COUNT(AO$35:AO$100000)&gt;0,AVERAGE(AO$35:AO$100000),"")</f>
        <v/>
      </c>
      <c r="AP19" s="29">
        <f>IF(COUNT(AP$35:AP$100000)&gt;0,AVERAGE(AP$35:AP$100000),"")</f>
        <v/>
      </c>
      <c r="AQ19" s="29">
        <f>IF(COUNT(AQ$35:AQ$100000)&gt;0,AVERAGE(AQ$35:AQ$100000),"")</f>
        <v/>
      </c>
      <c r="AR19" s="29">
        <f>IF(COUNT(AR$35:AR$100000)&gt;0,AVERAGE(AR$35:AR$100000),"")</f>
        <v/>
      </c>
      <c r="AS19" s="29">
        <f>IF(COUNT(AS$35:AS$100000)&gt;0,AVERAGE(AS$35:AS$100000),"")</f>
        <v/>
      </c>
      <c r="AT19" s="29">
        <f>IF(COUNT(AT$35:AT$100000)&gt;0,AVERAGE(AT$35:AT$100000),"")</f>
        <v/>
      </c>
      <c r="AU19" s="29">
        <f>IF(COUNT(AU$35:AU$100000)&gt;0,AVERAGE(AU$35:AU$100000),"")</f>
        <v/>
      </c>
      <c r="AV19" s="29">
        <f>IF(COUNT(AV$35:AV$100000)&gt;0,AVERAGE(AV$35:AV$100000),"")</f>
        <v/>
      </c>
      <c r="AW19" s="29">
        <f>IF(COUNT(AW$35:AW$100000)&gt;0,AVERAGE(AW$35:AW$100000),"")</f>
        <v/>
      </c>
      <c r="AX19" s="29">
        <f>IF(COUNT(AX$35:AX$100000)&gt;0,AVERAGE(AX$35:AX$100000),"")</f>
        <v/>
      </c>
      <c r="AY19" s="29">
        <f>IF(COUNT(AY$35:AY$100000)&gt;0,AVERAGE(AY$35:AY$100000),"")</f>
        <v/>
      </c>
    </row>
    <row r="20">
      <c r="A20" s="6" t="inlineStr">
        <is>
          <t>standaardafwijking s_i</t>
        </is>
      </c>
      <c r="B20" s="29">
        <f>IF(COUNT(B$35:B$100000)&gt;1,_xlfn.STDEV.S(B$35:B$100000),"")</f>
        <v/>
      </c>
      <c r="C20" s="29">
        <f>IF(COUNT(C$35:C$100000)&gt;1,_xlfn.STDEV.S(C$35:C$100000),"")</f>
        <v/>
      </c>
      <c r="D20" s="29">
        <f>IF(COUNT(D$35:D$100000)&gt;1,_xlfn.STDEV.S(D$35:D$100000),"")</f>
        <v/>
      </c>
      <c r="E20" s="29">
        <f>IF(COUNT(E$35:E$100000)&gt;1,_xlfn.STDEV.S(E$35:E$100000),"")</f>
        <v/>
      </c>
      <c r="F20" s="29">
        <f>IF(COUNT(F$35:F$100000)&gt;1,_xlfn.STDEV.S(F$35:F$100000),"")</f>
        <v/>
      </c>
      <c r="G20" s="29">
        <f>IF(COUNT(G$35:G$100000)&gt;1,_xlfn.STDEV.S(G$35:G$100000),"")</f>
        <v/>
      </c>
      <c r="H20" s="29">
        <f>IF(COUNT(H$35:H$100000)&gt;1,_xlfn.STDEV.S(H$35:H$100000),"")</f>
        <v/>
      </c>
      <c r="I20" s="29">
        <f>IF(COUNT(I$35:I$100000)&gt;1,_xlfn.STDEV.S(I$35:I$100000),"")</f>
        <v/>
      </c>
      <c r="J20" s="29">
        <f>IF(COUNT(J$35:J$100000)&gt;1,_xlfn.STDEV.S(J$35:J$100000),"")</f>
        <v/>
      </c>
      <c r="K20" s="29">
        <f>IF(COUNT(K$35:K$100000)&gt;1,_xlfn.STDEV.S(K$35:K$100000),"")</f>
        <v/>
      </c>
      <c r="L20" s="29">
        <f>IF(COUNT(L$35:L$100000)&gt;1,_xlfn.STDEV.S(L$35:L$100000),"")</f>
        <v/>
      </c>
      <c r="M20" s="29">
        <f>IF(COUNT(M$35:M$100000)&gt;1,_xlfn.STDEV.S(M$35:M$100000),"")</f>
        <v/>
      </c>
      <c r="N20" s="29">
        <f>IF(COUNT(N$35:N$100000)&gt;1,_xlfn.STDEV.S(N$35:N$100000),"")</f>
        <v/>
      </c>
      <c r="O20" s="29">
        <f>IF(COUNT(O$35:O$100000)&gt;1,_xlfn.STDEV.S(O$35:O$100000),"")</f>
        <v/>
      </c>
      <c r="P20" s="29">
        <f>IF(COUNT(P$35:P$100000)&gt;1,_xlfn.STDEV.S(P$35:P$100000),"")</f>
        <v/>
      </c>
      <c r="Q20" s="29">
        <f>IF(COUNT(Q$35:Q$100000)&gt;1,_xlfn.STDEV.S(Q$35:Q$100000),"")</f>
        <v/>
      </c>
      <c r="R20" s="29">
        <f>IF(COUNT(R$35:R$100000)&gt;1,_xlfn.STDEV.S(R$35:R$100000),"")</f>
        <v/>
      </c>
      <c r="S20" s="29">
        <f>IF(COUNT(S$35:S$100000)&gt;1,_xlfn.STDEV.S(S$35:S$100000),"")</f>
        <v/>
      </c>
      <c r="T20" s="29">
        <f>IF(COUNT(T$35:T$100000)&gt;1,_xlfn.STDEV.S(T$35:T$100000),"")</f>
        <v/>
      </c>
      <c r="U20" s="29">
        <f>IF(COUNT(U$35:U$100000)&gt;1,_xlfn.STDEV.S(U$35:U$100000),"")</f>
        <v/>
      </c>
      <c r="V20" s="29">
        <f>IF(COUNT(V$35:V$100000)&gt;1,_xlfn.STDEV.S(V$35:V$100000),"")</f>
        <v/>
      </c>
      <c r="W20" s="29">
        <f>IF(COUNT(W$35:W$100000)&gt;1,_xlfn.STDEV.S(W$35:W$100000),"")</f>
        <v/>
      </c>
      <c r="X20" s="29">
        <f>IF(COUNT(X$35:X$100000)&gt;1,_xlfn.STDEV.S(X$35:X$100000),"")</f>
        <v/>
      </c>
      <c r="Y20" s="29">
        <f>IF(COUNT(Y$35:Y$100000)&gt;1,_xlfn.STDEV.S(Y$35:Y$100000),"")</f>
        <v/>
      </c>
      <c r="Z20" s="29">
        <f>IF(COUNT(Z$35:Z$100000)&gt;1,_xlfn.STDEV.S(Z$35:Z$100000),"")</f>
        <v/>
      </c>
      <c r="AA20" s="29">
        <f>IF(COUNT(AA$35:AA$100000)&gt;1,_xlfn.STDEV.S(AA$35:AA$100000),"")</f>
        <v/>
      </c>
      <c r="AB20" s="29">
        <f>IF(COUNT(AB$35:AB$100000)&gt;1,_xlfn.STDEV.S(AB$35:AB$100000),"")</f>
        <v/>
      </c>
      <c r="AC20" s="29">
        <f>IF(COUNT(AC$35:AC$100000)&gt;1,_xlfn.STDEV.S(AC$35:AC$100000),"")</f>
        <v/>
      </c>
      <c r="AD20" s="29">
        <f>IF(COUNT(AD$35:AD$100000)&gt;1,_xlfn.STDEV.S(AD$35:AD$100000),"")</f>
        <v/>
      </c>
      <c r="AE20" s="29">
        <f>IF(COUNT(AE$35:AE$100000)&gt;1,_xlfn.STDEV.S(AE$35:AE$100000),"")</f>
        <v/>
      </c>
      <c r="AF20" s="29">
        <f>IF(COUNT(AF$35:AF$100000)&gt;1,_xlfn.STDEV.S(AF$35:AF$100000),"")</f>
        <v/>
      </c>
      <c r="AG20" s="29">
        <f>IF(COUNT(AG$35:AG$100000)&gt;1,_xlfn.STDEV.S(AG$35:AG$100000),"")</f>
        <v/>
      </c>
      <c r="AH20" s="29">
        <f>IF(COUNT(AH$35:AH$100000)&gt;1,_xlfn.STDEV.S(AH$35:AH$100000),"")</f>
        <v/>
      </c>
      <c r="AI20" s="29">
        <f>IF(COUNT(AI$35:AI$100000)&gt;1,_xlfn.STDEV.S(AI$35:AI$100000),"")</f>
        <v/>
      </c>
      <c r="AJ20" s="29">
        <f>IF(COUNT(AJ$35:AJ$100000)&gt;1,_xlfn.STDEV.S(AJ$35:AJ$100000),"")</f>
        <v/>
      </c>
      <c r="AK20" s="29">
        <f>IF(COUNT(AK$35:AK$100000)&gt;1,_xlfn.STDEV.S(AK$35:AK$100000),"")</f>
        <v/>
      </c>
      <c r="AL20" s="29">
        <f>IF(COUNT(AL$35:AL$100000)&gt;1,_xlfn.STDEV.S(AL$35:AL$100000),"")</f>
        <v/>
      </c>
      <c r="AM20" s="29">
        <f>IF(COUNT(AM$35:AM$100000)&gt;1,_xlfn.STDEV.S(AM$35:AM$100000),"")</f>
        <v/>
      </c>
      <c r="AN20" s="29">
        <f>IF(COUNT(AN$35:AN$100000)&gt;1,_xlfn.STDEV.S(AN$35:AN$100000),"")</f>
        <v/>
      </c>
      <c r="AO20" s="29">
        <f>IF(COUNT(AO$35:AO$100000)&gt;1,_xlfn.STDEV.S(AO$35:AO$100000),"")</f>
        <v/>
      </c>
      <c r="AP20" s="29">
        <f>IF(COUNT(AP$35:AP$100000)&gt;1,_xlfn.STDEV.S(AP$35:AP$100000),"")</f>
        <v/>
      </c>
      <c r="AQ20" s="29">
        <f>IF(COUNT(AQ$35:AQ$100000)&gt;1,_xlfn.STDEV.S(AQ$35:AQ$100000),"")</f>
        <v/>
      </c>
      <c r="AR20" s="29">
        <f>IF(COUNT(AR$35:AR$100000)&gt;1,_xlfn.STDEV.S(AR$35:AR$100000),"")</f>
        <v/>
      </c>
      <c r="AS20" s="29">
        <f>IF(COUNT(AS$35:AS$100000)&gt;1,_xlfn.STDEV.S(AS$35:AS$100000),"")</f>
        <v/>
      </c>
      <c r="AT20" s="29">
        <f>IF(COUNT(AT$35:AT$100000)&gt;1,_xlfn.STDEV.S(AT$35:AT$100000),"")</f>
        <v/>
      </c>
      <c r="AU20" s="29">
        <f>IF(COUNT(AU$35:AU$100000)&gt;1,_xlfn.STDEV.S(AU$35:AU$100000),"")</f>
        <v/>
      </c>
      <c r="AV20" s="29">
        <f>IF(COUNT(AV$35:AV$100000)&gt;1,_xlfn.STDEV.S(AV$35:AV$100000),"")</f>
        <v/>
      </c>
      <c r="AW20" s="29">
        <f>IF(COUNT(AW$35:AW$100000)&gt;1,_xlfn.STDEV.S(AW$35:AW$100000),"")</f>
        <v/>
      </c>
      <c r="AX20" s="29">
        <f>IF(COUNT(AX$35:AX$100000)&gt;1,_xlfn.STDEV.S(AX$35:AX$100000),"")</f>
        <v/>
      </c>
      <c r="AY20" s="29">
        <f>IF(COUNT(AY$35:AY$100000)&gt;1,_xlfn.STDEV.S(AY$35:AY$100000),"")</f>
        <v/>
      </c>
    </row>
    <row r="21">
      <c r="A21" s="6" t="inlineStr">
        <is>
          <t>n_i (Ȳ_i − Ȳ)²</t>
        </is>
      </c>
      <c r="B21" s="29">
        <f>IF(ISNUMBER(B19),B18*(B19-$B$29)^2,"")</f>
        <v/>
      </c>
      <c r="C21" s="29">
        <f>IF(ISNUMBER(C19),C18*(C19-$B$29)^2,"")</f>
        <v/>
      </c>
      <c r="D21" s="29">
        <f>IF(ISNUMBER(D19),D18*(D19-$B$29)^2,"")</f>
        <v/>
      </c>
      <c r="E21" s="29">
        <f>IF(ISNUMBER(E19),E18*(E19-$B$29)^2,"")</f>
        <v/>
      </c>
      <c r="F21" s="29">
        <f>IF(ISNUMBER(F19),F18*(F19-$B$29)^2,"")</f>
        <v/>
      </c>
      <c r="G21" s="29">
        <f>IF(ISNUMBER(G19),G18*(G19-$B$29)^2,"")</f>
        <v/>
      </c>
      <c r="H21" s="29">
        <f>IF(ISNUMBER(H19),H18*(H19-$B$29)^2,"")</f>
        <v/>
      </c>
      <c r="I21" s="29">
        <f>IF(ISNUMBER(I19),I18*(I19-$B$29)^2,"")</f>
        <v/>
      </c>
      <c r="J21" s="29">
        <f>IF(ISNUMBER(J19),J18*(J19-$B$29)^2,"")</f>
        <v/>
      </c>
      <c r="K21" s="29">
        <f>IF(ISNUMBER(K19),K18*(K19-$B$29)^2,"")</f>
        <v/>
      </c>
      <c r="L21" s="29">
        <f>IF(ISNUMBER(L19),L18*(L19-$B$29)^2,"")</f>
        <v/>
      </c>
      <c r="M21" s="29">
        <f>IF(ISNUMBER(M19),M18*(M19-$B$29)^2,"")</f>
        <v/>
      </c>
      <c r="N21" s="29">
        <f>IF(ISNUMBER(N19),N18*(N19-$B$29)^2,"")</f>
        <v/>
      </c>
      <c r="O21" s="29">
        <f>IF(ISNUMBER(O19),O18*(O19-$B$29)^2,"")</f>
        <v/>
      </c>
      <c r="P21" s="29">
        <f>IF(ISNUMBER(P19),P18*(P19-$B$29)^2,"")</f>
        <v/>
      </c>
      <c r="Q21" s="29">
        <f>IF(ISNUMBER(Q19),Q18*(Q19-$B$29)^2,"")</f>
        <v/>
      </c>
      <c r="R21" s="29">
        <f>IF(ISNUMBER(R19),R18*(R19-$B$29)^2,"")</f>
        <v/>
      </c>
      <c r="S21" s="29">
        <f>IF(ISNUMBER(S19),S18*(S19-$B$29)^2,"")</f>
        <v/>
      </c>
      <c r="T21" s="29">
        <f>IF(ISNUMBER(T19),T18*(T19-$B$29)^2,"")</f>
        <v/>
      </c>
      <c r="U21" s="29">
        <f>IF(ISNUMBER(U19),U18*(U19-$B$29)^2,"")</f>
        <v/>
      </c>
      <c r="V21" s="29">
        <f>IF(ISNUMBER(V19),V18*(V19-$B$29)^2,"")</f>
        <v/>
      </c>
      <c r="W21" s="29">
        <f>IF(ISNUMBER(W19),W18*(W19-$B$29)^2,"")</f>
        <v/>
      </c>
      <c r="X21" s="29">
        <f>IF(ISNUMBER(X19),X18*(X19-$B$29)^2,"")</f>
        <v/>
      </c>
      <c r="Y21" s="29">
        <f>IF(ISNUMBER(Y19),Y18*(Y19-$B$29)^2,"")</f>
        <v/>
      </c>
      <c r="Z21" s="29">
        <f>IF(ISNUMBER(Z19),Z18*(Z19-$B$29)^2,"")</f>
        <v/>
      </c>
      <c r="AA21" s="29">
        <f>IF(ISNUMBER(AA19),AA18*(AA19-$B$29)^2,"")</f>
        <v/>
      </c>
      <c r="AB21" s="29">
        <f>IF(ISNUMBER(AB19),AB18*(AB19-$B$29)^2,"")</f>
        <v/>
      </c>
      <c r="AC21" s="29">
        <f>IF(ISNUMBER(AC19),AC18*(AC19-$B$29)^2,"")</f>
        <v/>
      </c>
      <c r="AD21" s="29">
        <f>IF(ISNUMBER(AD19),AD18*(AD19-$B$29)^2,"")</f>
        <v/>
      </c>
      <c r="AE21" s="29">
        <f>IF(ISNUMBER(AE19),AE18*(AE19-$B$29)^2,"")</f>
        <v/>
      </c>
      <c r="AF21" s="29">
        <f>IF(ISNUMBER(AF19),AF18*(AF19-$B$29)^2,"")</f>
        <v/>
      </c>
      <c r="AG21" s="29">
        <f>IF(ISNUMBER(AG19),AG18*(AG19-$B$29)^2,"")</f>
        <v/>
      </c>
      <c r="AH21" s="29">
        <f>IF(ISNUMBER(AH19),AH18*(AH19-$B$29)^2,"")</f>
        <v/>
      </c>
      <c r="AI21" s="29">
        <f>IF(ISNUMBER(AI19),AI18*(AI19-$B$29)^2,"")</f>
        <v/>
      </c>
      <c r="AJ21" s="29">
        <f>IF(ISNUMBER(AJ19),AJ18*(AJ19-$B$29)^2,"")</f>
        <v/>
      </c>
      <c r="AK21" s="29">
        <f>IF(ISNUMBER(AK19),AK18*(AK19-$B$29)^2,"")</f>
        <v/>
      </c>
      <c r="AL21" s="29">
        <f>IF(ISNUMBER(AL19),AL18*(AL19-$B$29)^2,"")</f>
        <v/>
      </c>
      <c r="AM21" s="29">
        <f>IF(ISNUMBER(AM19),AM18*(AM19-$B$29)^2,"")</f>
        <v/>
      </c>
      <c r="AN21" s="29">
        <f>IF(ISNUMBER(AN19),AN18*(AN19-$B$29)^2,"")</f>
        <v/>
      </c>
      <c r="AO21" s="29">
        <f>IF(ISNUMBER(AO19),AO18*(AO19-$B$29)^2,"")</f>
        <v/>
      </c>
      <c r="AP21" s="29">
        <f>IF(ISNUMBER(AP19),AP18*(AP19-$B$29)^2,"")</f>
        <v/>
      </c>
      <c r="AQ21" s="29">
        <f>IF(ISNUMBER(AQ19),AQ18*(AQ19-$B$29)^2,"")</f>
        <v/>
      </c>
      <c r="AR21" s="29">
        <f>IF(ISNUMBER(AR19),AR18*(AR19-$B$29)^2,"")</f>
        <v/>
      </c>
      <c r="AS21" s="29">
        <f>IF(ISNUMBER(AS19),AS18*(AS19-$B$29)^2,"")</f>
        <v/>
      </c>
      <c r="AT21" s="29">
        <f>IF(ISNUMBER(AT19),AT18*(AT19-$B$29)^2,"")</f>
        <v/>
      </c>
      <c r="AU21" s="29">
        <f>IF(ISNUMBER(AU19),AU18*(AU19-$B$29)^2,"")</f>
        <v/>
      </c>
      <c r="AV21" s="29">
        <f>IF(ISNUMBER(AV19),AV18*(AV19-$B$29)^2,"")</f>
        <v/>
      </c>
      <c r="AW21" s="29">
        <f>IF(ISNUMBER(AW19),AW18*(AW19-$B$29)^2,"")</f>
        <v/>
      </c>
      <c r="AX21" s="29">
        <f>IF(ISNUMBER(AX19),AX18*(AX19-$B$29)^2,"")</f>
        <v/>
      </c>
      <c r="AY21" s="29">
        <f>IF(ISNUMBER(AY19),AY18*(AY19-$B$29)^2,"")</f>
        <v/>
      </c>
    </row>
    <row r="22">
      <c r="A22" s="6" t="inlineStr">
        <is>
          <t>Σ (Y_ij − Ȳ_i)²</t>
        </is>
      </c>
      <c r="B22" s="29">
        <f>IF(COUNT(B$35:B$100000)&gt;0,DEVSQ(B$35:B$100000),"")</f>
        <v/>
      </c>
      <c r="C22" s="29">
        <f>IF(COUNT(C$35:C$100000)&gt;0,DEVSQ(C$35:C$100000),"")</f>
        <v/>
      </c>
      <c r="D22" s="29">
        <f>IF(COUNT(D$35:D$100000)&gt;0,DEVSQ(D$35:D$100000),"")</f>
        <v/>
      </c>
      <c r="E22" s="29">
        <f>IF(COUNT(E$35:E$100000)&gt;0,DEVSQ(E$35:E$100000),"")</f>
        <v/>
      </c>
      <c r="F22" s="29">
        <f>IF(COUNT(F$35:F$100000)&gt;0,DEVSQ(F$35:F$100000),"")</f>
        <v/>
      </c>
      <c r="G22" s="29">
        <f>IF(COUNT(G$35:G$100000)&gt;0,DEVSQ(G$35:G$100000),"")</f>
        <v/>
      </c>
      <c r="H22" s="29">
        <f>IF(COUNT(H$35:H$100000)&gt;0,DEVSQ(H$35:H$100000),"")</f>
        <v/>
      </c>
      <c r="I22" s="29">
        <f>IF(COUNT(I$35:I$100000)&gt;0,DEVSQ(I$35:I$100000),"")</f>
        <v/>
      </c>
      <c r="J22" s="29">
        <f>IF(COUNT(J$35:J$100000)&gt;0,DEVSQ(J$35:J$100000),"")</f>
        <v/>
      </c>
      <c r="K22" s="29">
        <f>IF(COUNT(K$35:K$100000)&gt;0,DEVSQ(K$35:K$100000),"")</f>
        <v/>
      </c>
      <c r="L22" s="29">
        <f>IF(COUNT(L$35:L$100000)&gt;0,DEVSQ(L$35:L$100000),"")</f>
        <v/>
      </c>
      <c r="M22" s="29">
        <f>IF(COUNT(M$35:M$100000)&gt;0,DEVSQ(M$35:M$100000),"")</f>
        <v/>
      </c>
      <c r="N22" s="29">
        <f>IF(COUNT(N$35:N$100000)&gt;0,DEVSQ(N$35:N$100000),"")</f>
        <v/>
      </c>
      <c r="O22" s="29">
        <f>IF(COUNT(O$35:O$100000)&gt;0,DEVSQ(O$35:O$100000),"")</f>
        <v/>
      </c>
      <c r="P22" s="29">
        <f>IF(COUNT(P$35:P$100000)&gt;0,DEVSQ(P$35:P$100000),"")</f>
        <v/>
      </c>
      <c r="Q22" s="29">
        <f>IF(COUNT(Q$35:Q$100000)&gt;0,DEVSQ(Q$35:Q$100000),"")</f>
        <v/>
      </c>
      <c r="R22" s="29">
        <f>IF(COUNT(R$35:R$100000)&gt;0,DEVSQ(R$35:R$100000),"")</f>
        <v/>
      </c>
      <c r="S22" s="29">
        <f>IF(COUNT(S$35:S$100000)&gt;0,DEVSQ(S$35:S$100000),"")</f>
        <v/>
      </c>
      <c r="T22" s="29">
        <f>IF(COUNT(T$35:T$100000)&gt;0,DEVSQ(T$35:T$100000),"")</f>
        <v/>
      </c>
      <c r="U22" s="29">
        <f>IF(COUNT(U$35:U$100000)&gt;0,DEVSQ(U$35:U$100000),"")</f>
        <v/>
      </c>
      <c r="V22" s="29">
        <f>IF(COUNT(V$35:V$100000)&gt;0,DEVSQ(V$35:V$100000),"")</f>
        <v/>
      </c>
      <c r="W22" s="29">
        <f>IF(COUNT(W$35:W$100000)&gt;0,DEVSQ(W$35:W$100000),"")</f>
        <v/>
      </c>
      <c r="X22" s="29">
        <f>IF(COUNT(X$35:X$100000)&gt;0,DEVSQ(X$35:X$100000),"")</f>
        <v/>
      </c>
      <c r="Y22" s="29">
        <f>IF(COUNT(Y$35:Y$100000)&gt;0,DEVSQ(Y$35:Y$100000),"")</f>
        <v/>
      </c>
      <c r="Z22" s="29">
        <f>IF(COUNT(Z$35:Z$100000)&gt;0,DEVSQ(Z$35:Z$100000),"")</f>
        <v/>
      </c>
      <c r="AA22" s="29">
        <f>IF(COUNT(AA$35:AA$100000)&gt;0,DEVSQ(AA$35:AA$100000),"")</f>
        <v/>
      </c>
      <c r="AB22" s="29">
        <f>IF(COUNT(AB$35:AB$100000)&gt;0,DEVSQ(AB$35:AB$100000),"")</f>
        <v/>
      </c>
      <c r="AC22" s="29">
        <f>IF(COUNT(AC$35:AC$100000)&gt;0,DEVSQ(AC$35:AC$100000),"")</f>
        <v/>
      </c>
      <c r="AD22" s="29">
        <f>IF(COUNT(AD$35:AD$100000)&gt;0,DEVSQ(AD$35:AD$100000),"")</f>
        <v/>
      </c>
      <c r="AE22" s="29">
        <f>IF(COUNT(AE$35:AE$100000)&gt;0,DEVSQ(AE$35:AE$100000),"")</f>
        <v/>
      </c>
      <c r="AF22" s="29">
        <f>IF(COUNT(AF$35:AF$100000)&gt;0,DEVSQ(AF$35:AF$100000),"")</f>
        <v/>
      </c>
      <c r="AG22" s="29">
        <f>IF(COUNT(AG$35:AG$100000)&gt;0,DEVSQ(AG$35:AG$100000),"")</f>
        <v/>
      </c>
      <c r="AH22" s="29">
        <f>IF(COUNT(AH$35:AH$100000)&gt;0,DEVSQ(AH$35:AH$100000),"")</f>
        <v/>
      </c>
      <c r="AI22" s="29">
        <f>IF(COUNT(AI$35:AI$100000)&gt;0,DEVSQ(AI$35:AI$100000),"")</f>
        <v/>
      </c>
      <c r="AJ22" s="29">
        <f>IF(COUNT(AJ$35:AJ$100000)&gt;0,DEVSQ(AJ$35:AJ$100000),"")</f>
        <v/>
      </c>
      <c r="AK22" s="29">
        <f>IF(COUNT(AK$35:AK$100000)&gt;0,DEVSQ(AK$35:AK$100000),"")</f>
        <v/>
      </c>
      <c r="AL22" s="29">
        <f>IF(COUNT(AL$35:AL$100000)&gt;0,DEVSQ(AL$35:AL$100000),"")</f>
        <v/>
      </c>
      <c r="AM22" s="29">
        <f>IF(COUNT(AM$35:AM$100000)&gt;0,DEVSQ(AM$35:AM$100000),"")</f>
        <v/>
      </c>
      <c r="AN22" s="29">
        <f>IF(COUNT(AN$35:AN$100000)&gt;0,DEVSQ(AN$35:AN$100000),"")</f>
        <v/>
      </c>
      <c r="AO22" s="29">
        <f>IF(COUNT(AO$35:AO$100000)&gt;0,DEVSQ(AO$35:AO$100000),"")</f>
        <v/>
      </c>
      <c r="AP22" s="29">
        <f>IF(COUNT(AP$35:AP$100000)&gt;0,DEVSQ(AP$35:AP$100000),"")</f>
        <v/>
      </c>
      <c r="AQ22" s="29">
        <f>IF(COUNT(AQ$35:AQ$100000)&gt;0,DEVSQ(AQ$35:AQ$100000),"")</f>
        <v/>
      </c>
      <c r="AR22" s="29">
        <f>IF(COUNT(AR$35:AR$100000)&gt;0,DEVSQ(AR$35:AR$100000),"")</f>
        <v/>
      </c>
      <c r="AS22" s="29">
        <f>IF(COUNT(AS$35:AS$100000)&gt;0,DEVSQ(AS$35:AS$100000),"")</f>
        <v/>
      </c>
      <c r="AT22" s="29">
        <f>IF(COUNT(AT$35:AT$100000)&gt;0,DEVSQ(AT$35:AT$100000),"")</f>
        <v/>
      </c>
      <c r="AU22" s="29">
        <f>IF(COUNT(AU$35:AU$100000)&gt;0,DEVSQ(AU$35:AU$100000),"")</f>
        <v/>
      </c>
      <c r="AV22" s="29">
        <f>IF(COUNT(AV$35:AV$100000)&gt;0,DEVSQ(AV$35:AV$100000),"")</f>
        <v/>
      </c>
      <c r="AW22" s="29">
        <f>IF(COUNT(AW$35:AW$100000)&gt;0,DEVSQ(AW$35:AW$100000),"")</f>
        <v/>
      </c>
      <c r="AX22" s="29">
        <f>IF(COUNT(AX$35:AX$100000)&gt;0,DEVSQ(AX$35:AX$100000),"")</f>
        <v/>
      </c>
      <c r="AY22" s="29">
        <f>IF(COUNT(AY$35:AY$100000)&gt;0,DEVSQ(AY$35:AY$100000),"")</f>
        <v/>
      </c>
    </row>
    <row r="23">
      <c r="A23" s="6" t="inlineStr">
        <is>
          <t>controle: tekst in de waarden telt niet mee</t>
        </is>
      </c>
      <c r="B23" s="13">
        <f>IF(COUNTA(B$35:B$100000)&gt;COUNT(B$35:B$100000),"TEKST!","")</f>
        <v/>
      </c>
      <c r="C23" s="13">
        <f>IF(COUNTA(C$35:C$100000)&gt;COUNT(C$35:C$100000),"TEKST!","")</f>
        <v/>
      </c>
      <c r="D23" s="13">
        <f>IF(COUNTA(D$35:D$100000)&gt;COUNT(D$35:D$100000),"TEKST!","")</f>
        <v/>
      </c>
      <c r="E23" s="13">
        <f>IF(COUNTA(E$35:E$100000)&gt;COUNT(E$35:E$100000),"TEKST!","")</f>
        <v/>
      </c>
      <c r="F23" s="13">
        <f>IF(COUNTA(F$35:F$100000)&gt;COUNT(F$35:F$100000),"TEKST!","")</f>
        <v/>
      </c>
      <c r="G23" s="13">
        <f>IF(COUNTA(G$35:G$100000)&gt;COUNT(G$35:G$100000),"TEKST!","")</f>
        <v/>
      </c>
      <c r="H23" s="13">
        <f>IF(COUNTA(H$35:H$100000)&gt;COUNT(H$35:H$100000),"TEKST!","")</f>
        <v/>
      </c>
      <c r="I23" s="13">
        <f>IF(COUNTA(I$35:I$100000)&gt;COUNT(I$35:I$100000),"TEKST!","")</f>
        <v/>
      </c>
      <c r="J23" s="13">
        <f>IF(COUNTA(J$35:J$100000)&gt;COUNT(J$35:J$100000),"TEKST!","")</f>
        <v/>
      </c>
      <c r="K23" s="13">
        <f>IF(COUNTA(K$35:K$100000)&gt;COUNT(K$35:K$100000),"TEKST!","")</f>
        <v/>
      </c>
      <c r="L23" s="13">
        <f>IF(COUNTA(L$35:L$100000)&gt;COUNT(L$35:L$100000),"TEKST!","")</f>
        <v/>
      </c>
      <c r="M23" s="13">
        <f>IF(COUNTA(M$35:M$100000)&gt;COUNT(M$35:M$100000),"TEKST!","")</f>
        <v/>
      </c>
      <c r="N23" s="13">
        <f>IF(COUNTA(N$35:N$100000)&gt;COUNT(N$35:N$100000),"TEKST!","")</f>
        <v/>
      </c>
      <c r="O23" s="13">
        <f>IF(COUNTA(O$35:O$100000)&gt;COUNT(O$35:O$100000),"TEKST!","")</f>
        <v/>
      </c>
      <c r="P23" s="13">
        <f>IF(COUNTA(P$35:P$100000)&gt;COUNT(P$35:P$100000),"TEKST!","")</f>
        <v/>
      </c>
      <c r="Q23" s="13">
        <f>IF(COUNTA(Q$35:Q$100000)&gt;COUNT(Q$35:Q$100000),"TEKST!","")</f>
        <v/>
      </c>
      <c r="R23" s="13">
        <f>IF(COUNTA(R$35:R$100000)&gt;COUNT(R$35:R$100000),"TEKST!","")</f>
        <v/>
      </c>
      <c r="S23" s="13">
        <f>IF(COUNTA(S$35:S$100000)&gt;COUNT(S$35:S$100000),"TEKST!","")</f>
        <v/>
      </c>
      <c r="T23" s="13">
        <f>IF(COUNTA(T$35:T$100000)&gt;COUNT(T$35:T$100000),"TEKST!","")</f>
        <v/>
      </c>
      <c r="U23" s="13">
        <f>IF(COUNTA(U$35:U$100000)&gt;COUNT(U$35:U$100000),"TEKST!","")</f>
        <v/>
      </c>
      <c r="V23" s="13">
        <f>IF(COUNTA(V$35:V$100000)&gt;COUNT(V$35:V$100000),"TEKST!","")</f>
        <v/>
      </c>
      <c r="W23" s="13">
        <f>IF(COUNTA(W$35:W$100000)&gt;COUNT(W$35:W$100000),"TEKST!","")</f>
        <v/>
      </c>
      <c r="X23" s="13">
        <f>IF(COUNTA(X$35:X$100000)&gt;COUNT(X$35:X$100000),"TEKST!","")</f>
        <v/>
      </c>
      <c r="Y23" s="13">
        <f>IF(COUNTA(Y$35:Y$100000)&gt;COUNT(Y$35:Y$100000),"TEKST!","")</f>
        <v/>
      </c>
      <c r="Z23" s="13">
        <f>IF(COUNTA(Z$35:Z$100000)&gt;COUNT(Z$35:Z$100000),"TEKST!","")</f>
        <v/>
      </c>
      <c r="AA23" s="13">
        <f>IF(COUNTA(AA$35:AA$100000)&gt;COUNT(AA$35:AA$100000),"TEKST!","")</f>
        <v/>
      </c>
      <c r="AB23" s="13">
        <f>IF(COUNTA(AB$35:AB$100000)&gt;COUNT(AB$35:AB$100000),"TEKST!","")</f>
        <v/>
      </c>
      <c r="AC23" s="13">
        <f>IF(COUNTA(AC$35:AC$100000)&gt;COUNT(AC$35:AC$100000),"TEKST!","")</f>
        <v/>
      </c>
      <c r="AD23" s="13">
        <f>IF(COUNTA(AD$35:AD$100000)&gt;COUNT(AD$35:AD$100000),"TEKST!","")</f>
        <v/>
      </c>
      <c r="AE23" s="13">
        <f>IF(COUNTA(AE$35:AE$100000)&gt;COUNT(AE$35:AE$100000),"TEKST!","")</f>
        <v/>
      </c>
      <c r="AF23" s="13">
        <f>IF(COUNTA(AF$35:AF$100000)&gt;COUNT(AF$35:AF$100000),"TEKST!","")</f>
        <v/>
      </c>
      <c r="AG23" s="13">
        <f>IF(COUNTA(AG$35:AG$100000)&gt;COUNT(AG$35:AG$100000),"TEKST!","")</f>
        <v/>
      </c>
      <c r="AH23" s="13">
        <f>IF(COUNTA(AH$35:AH$100000)&gt;COUNT(AH$35:AH$100000),"TEKST!","")</f>
        <v/>
      </c>
      <c r="AI23" s="13">
        <f>IF(COUNTA(AI$35:AI$100000)&gt;COUNT(AI$35:AI$100000),"TEKST!","")</f>
        <v/>
      </c>
      <c r="AJ23" s="13">
        <f>IF(COUNTA(AJ$35:AJ$100000)&gt;COUNT(AJ$35:AJ$100000),"TEKST!","")</f>
        <v/>
      </c>
      <c r="AK23" s="13">
        <f>IF(COUNTA(AK$35:AK$100000)&gt;COUNT(AK$35:AK$100000),"TEKST!","")</f>
        <v/>
      </c>
      <c r="AL23" s="13">
        <f>IF(COUNTA(AL$35:AL$100000)&gt;COUNT(AL$35:AL$100000),"TEKST!","")</f>
        <v/>
      </c>
      <c r="AM23" s="13">
        <f>IF(COUNTA(AM$35:AM$100000)&gt;COUNT(AM$35:AM$100000),"TEKST!","")</f>
        <v/>
      </c>
      <c r="AN23" s="13">
        <f>IF(COUNTA(AN$35:AN$100000)&gt;COUNT(AN$35:AN$100000),"TEKST!","")</f>
        <v/>
      </c>
      <c r="AO23" s="13">
        <f>IF(COUNTA(AO$35:AO$100000)&gt;COUNT(AO$35:AO$100000),"TEKST!","")</f>
        <v/>
      </c>
      <c r="AP23" s="13">
        <f>IF(COUNTA(AP$35:AP$100000)&gt;COUNT(AP$35:AP$100000),"TEKST!","")</f>
        <v/>
      </c>
      <c r="AQ23" s="13">
        <f>IF(COUNTA(AQ$35:AQ$100000)&gt;COUNT(AQ$35:AQ$100000),"TEKST!","")</f>
        <v/>
      </c>
      <c r="AR23" s="13">
        <f>IF(COUNTA(AR$35:AR$100000)&gt;COUNT(AR$35:AR$100000),"TEKST!","")</f>
        <v/>
      </c>
      <c r="AS23" s="13">
        <f>IF(COUNTA(AS$35:AS$100000)&gt;COUNT(AS$35:AS$100000),"TEKST!","")</f>
        <v/>
      </c>
      <c r="AT23" s="13">
        <f>IF(COUNTA(AT$35:AT$100000)&gt;COUNT(AT$35:AT$100000),"TEKST!","")</f>
        <v/>
      </c>
      <c r="AU23" s="13">
        <f>IF(COUNTA(AU$35:AU$100000)&gt;COUNT(AU$35:AU$100000),"TEKST!","")</f>
        <v/>
      </c>
      <c r="AV23" s="13">
        <f>IF(COUNTA(AV$35:AV$100000)&gt;COUNT(AV$35:AV$100000),"TEKST!","")</f>
        <v/>
      </c>
      <c r="AW23" s="13">
        <f>IF(COUNTA(AW$35:AW$100000)&gt;COUNT(AW$35:AW$100000),"TEKST!","")</f>
        <v/>
      </c>
      <c r="AX23" s="13">
        <f>IF(COUNTA(AX$35:AX$100000)&gt;COUNT(AX$35:AX$100000),"TEKST!","")</f>
        <v/>
      </c>
      <c r="AY23" s="13">
        <f>IF(COUNTA(AY$35:AY$100000)&gt;COUNT(AY$35:AY$100000),"TEKST!","")</f>
        <v/>
      </c>
    </row>
    <row r="24"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6" t="n"/>
    </row>
    <row r="25">
      <c r="A25" s="10" t="inlineStr">
        <is>
          <t>Bron (source)</t>
        </is>
      </c>
      <c r="B25" s="10" t="inlineStr">
        <is>
          <t>SS</t>
        </is>
      </c>
      <c r="C25" s="10" t="inlineStr">
        <is>
          <t>df</t>
        </is>
      </c>
      <c r="D25" s="10" t="inlineStr">
        <is>
          <t>MS</t>
        </is>
      </c>
      <c r="E25" s="10" t="inlineStr">
        <is>
          <t>F0</t>
        </is>
      </c>
      <c r="F25" s="10" t="inlineStr">
        <is>
          <t>p-waarde</t>
        </is>
      </c>
      <c r="G25" s="10" t="inlineStr">
        <is>
          <t>kritieke F bij α</t>
        </is>
      </c>
      <c r="H25" s="10" t="inlineStr">
        <is>
          <t>Besluit bij α</t>
        </is>
      </c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  <c r="AY25" s="6" t="n"/>
    </row>
    <row r="26">
      <c r="A26" s="6" t="inlineStr">
        <is>
          <t>Behandelingen (treatments, tussen de groepen)</t>
        </is>
      </c>
      <c r="B26" s="11">
        <f>IF(AND(ISNUMBER($B$31),$B$31&gt;=2,SUM(B18:AY18)&gt;$B$31),SUM(B21:AY21),"")</f>
        <v/>
      </c>
      <c r="C26" s="28">
        <f>IF(AND(ISNUMBER($B$31),$B$31&gt;=2,SUM(B18:AY18)&gt;$B$31),$B$31-1,"")</f>
        <v/>
      </c>
      <c r="D26" s="11">
        <f>IF(ISNUMBER(B26),B26/C26,"")</f>
        <v/>
      </c>
      <c r="E26" s="11">
        <f>IF(AND(ISNUMBER(D27),N(D27)&gt;0),D26/D27,"")</f>
        <v/>
      </c>
      <c r="F26" s="29">
        <f>IF(ISNUMBER(E26),_xlfn.F.DIST.RT(E26,C26,C27),"")</f>
        <v/>
      </c>
      <c r="G26" s="11">
        <f>IF(AND(ISNUMBER(C26),ISNUMBER(C27),N(C26)&gt;0,N(C27)&gt;0,ISNUMBER($B$9)),_xlfn.F.INV.RT($B$9,C26,C27),"")</f>
        <v/>
      </c>
      <c r="H26" s="13">
        <f>IF(ISNUMBER(F26),IF(F26&lt;$B$9,"verwerp H0","H0 niet verwerpen"),"")</f>
        <v/>
      </c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  <c r="AY26" s="6" t="n"/>
    </row>
    <row r="27">
      <c r="A27" s="6" t="inlineStr">
        <is>
          <t>Fout (error, binnen de groepen)</t>
        </is>
      </c>
      <c r="B27" s="11">
        <f>IF(AND(ISNUMBER($B$31),$B$31&gt;=2,SUM(B18:AY18)&gt;$B$31),SUM(B22:AY22),"")</f>
        <v/>
      </c>
      <c r="C27" s="28">
        <f>IF(AND(ISNUMBER($B$31),$B$31&gt;=2,SUM(B18:AY18)&gt;$B$31),SUM(B18:AY18)-$B$31,"")</f>
        <v/>
      </c>
      <c r="D27" s="11">
        <f>IF(ISNUMBER(B27),B27/C27,"")</f>
        <v/>
      </c>
      <c r="E27" s="8" t="inlineStr">
        <is>
          <t>H0: alle groepsgemiddelden gelijk (DOE p. 7-8, Table 4.6)</t>
        </is>
      </c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  <c r="AY27" s="6" t="n"/>
    </row>
    <row r="28">
      <c r="A28" s="6" t="inlineStr">
        <is>
          <t>Totaal</t>
        </is>
      </c>
      <c r="B28" s="11">
        <f>IF(AND(ISNUMBER($B$31),$B$31&gt;=2,SUM(B18:AY18)&gt;$B$31),DEVSQ($B$35:$AY$100000),"")</f>
        <v/>
      </c>
      <c r="C28" s="28">
        <f>IF(AND(ISNUMBER($B$31),$B$31&gt;=2,SUM(B18:AY18)&gt;$B$31),SUM(B18:AY18)-1,"")</f>
        <v/>
      </c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  <c r="AY28" s="6" t="n"/>
    </row>
    <row r="29">
      <c r="A29" s="6" t="inlineStr">
        <is>
          <t>totaal gemiddelde Ȳ (grand mean)</t>
        </is>
      </c>
      <c r="B29" s="29">
        <f>IF(COUNT($B$35:$AY$100000)&gt;0,AVERAGE($B$35:$AY$100000),"")</f>
        <v/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  <c r="AY29" s="6" t="n"/>
    </row>
    <row r="30">
      <c r="A30" s="6" t="inlineStr">
        <is>
          <t>gepoolde standaardafwijking √MS_E</t>
        </is>
      </c>
      <c r="B30" s="29">
        <f>IF(ISNUMBER(D27),SQRT(D27),"")</f>
        <v/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  <c r="AY30" s="6" t="n"/>
    </row>
    <row r="31">
      <c r="A31" s="6" t="inlineStr">
        <is>
          <t>a = aantal groepen</t>
        </is>
      </c>
      <c r="B31" s="28">
        <f>IF(COUNT(B18:AY18)&gt;0,COUNT(B18:AY18),"")</f>
        <v/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  <c r="AY31" s="6" t="n"/>
    </row>
    <row r="32"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  <c r="AY32" s="6" t="n"/>
    </row>
    <row r="33">
      <c r="A33" s="5" t="inlineStr">
        <is>
          <t>De groepen: één kolom per groep (B tot AY); de waarden eronder vanaf rij 35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  <c r="AY33" s="6" t="n"/>
    </row>
    <row r="34">
      <c r="A34" s="20" t="inlineStr">
        <is>
          <t>naam van de groep (tekst, mag leeg) →</t>
        </is>
      </c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</row>
    <row r="35">
      <c r="A35" s="20" t="inlineStr">
        <is>
          <t>waarden (alleen getallen), onder elkaar ↓</t>
        </is>
      </c>
    </row>
  </sheetData>
  <dataValidations count="1">
    <dataValidation sqref="B9" showDropDown="0" showInputMessage="0" showErrorMessage="1" allowBlank="1" errorTitle="α" error="α ligt tussen 0 en 1." type="decimal" operator="between">
      <formula1>0.0000001</formula1>
      <formula2>0.9999999</formula2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J105"/>
  <sheetViews>
    <sheetView workbookViewId="0">
      <selection activeCell="A1" sqref="A1"/>
    </sheetView>
  </sheetViews>
  <sheetFormatPr baseColWidth="8" defaultRowHeight="15"/>
  <cols>
    <col width="5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</cols>
  <sheetData>
    <row r="1">
      <c r="A1" s="1" t="inlineStr">
        <is>
          <t>2^k-factoriële proefopzet (factorial design, k = 2 tot 5): effecten, kwadratensommen, F-toetsen, ANOVA van het model en R²</t>
        </is>
      </c>
    </row>
    <row r="2">
      <c r="A2" s="2" t="inlineStr">
        <is>
          <t>Bron in de cursus</t>
        </is>
      </c>
      <c r="B2" s="3" t="inlineStr">
        <is>
          <t>source/course/Les 3/20260605_de vuyst_BB_DOE.pdf p. 46-92</t>
        </is>
      </c>
    </row>
    <row r="3">
      <c r="A3" s="2" t="inlineStr">
        <is>
          <t>Gebruikte conventie</t>
        </is>
      </c>
      <c r="B3" s="3" t="inlineStr">
        <is>
          <t>Invoer α vooraf ingevuld op 0,05 (beslissing 5); factoren gecodeerd −1/+1 in standaardvolgorde (standard order; DOE p. 46, 70, 74); één herhaling (single replicate): interacties van een gekozen orde en hoger in de fout poolen (DOE p. 72, 77); R²_adj op beide manieren getoond.</t>
        </is>
      </c>
    </row>
    <row r="4">
      <c r="A4" s="2" t="inlineStr">
        <is>
          <t>Status</t>
        </is>
      </c>
      <c r="B4" s="4" t="inlineStr">
        <is>
          <t>GEVERIFIEERD (VERIFIED): getest tegen uitgewerkte voorbeelden van de cursus S05-WE05 tot S05-WE09, en tegen S08-WE16 (extra, Dummies; niet te kennen); gedrukte waarden die niet kloppen staan in resources/build/README.md</t>
        </is>
      </c>
    </row>
    <row r="5">
      <c r="A5" s="2" t="inlineStr">
        <is>
          <t>Legende</t>
        </is>
      </c>
      <c r="B5" s="3" t="inlineStr">
        <is>
          <t>Gele cel = vul hier in (invoer).  Groene cel = resultaat, niet overtypen.  Oranje cel (Tabellen) = verschilt van een andere gedrukte bron.</t>
        </is>
      </c>
    </row>
    <row r="6">
      <c r="A6" s="2" t="inlineStr">
        <is>
          <t>Controle</t>
        </is>
      </c>
      <c r="B6" s="3" t="inlineStr">
        <is>
          <t>Blijft een groene cel leeg, dan ontbreekt nog een invoer die ze nodig heeft.</t>
        </is>
      </c>
    </row>
    <row r="8">
      <c r="A8" s="5" t="inlineStr">
        <is>
          <t>Instellingen</t>
        </is>
      </c>
    </row>
    <row r="9">
      <c r="A9" s="6" t="inlineStr">
        <is>
          <t>Significantieniveau α (significance level; betrouwbaarheid = 1 − α)</t>
        </is>
      </c>
      <c r="B9" s="22" t="n">
        <v>0.05</v>
      </c>
      <c r="C9" s="8" t="inlineStr">
        <is>
          <t>de cursus heeft geen standaardwaarde; de meeste cursusvoorbeelden gebruiken 5 %; gebruik de waarde uit de vraag</t>
        </is>
      </c>
    </row>
    <row r="11">
      <c r="A11" s="20" t="inlineStr">
        <is>
          <t>Zo vul je de runs in</t>
        </is>
      </c>
    </row>
    <row r="12">
      <c r="A12" s="8" t="inlineStr">
        <is>
          <t>• Typ k in B17. Kolommen B-F tonen dan de tekens (−1/+1) van A … E per run, in standaardvolgorde.</t>
        </is>
      </c>
    </row>
    <row r="13">
      <c r="A13" s="8" t="inlineStr">
        <is>
          <t>• Typ elke respons (GETAL) in de rij van de run met dezelfde tekens als in je opgave, één kolom per herhaling: herhaling 1 in G, 2 in H, … tot 20 (kolom Z). Elke run evenveel herhalingen.</t>
        </is>
      </c>
    </row>
    <row r="14">
      <c r="A14" s="8" t="inlineStr">
        <is>
          <t>• Eén herhaling: typ in B18 vanaf welke orde de interacties in de fout gaan (bv. 3), anders zijn er geen F-toetsen. Rij 55 zegt of de proefopzet volledig is.</t>
        </is>
      </c>
    </row>
    <row r="16">
      <c r="A16" s="5" t="inlineStr">
        <is>
          <t>2^k-factoriële proefopzet (factorial design); standaardvolgorde (standard order): A wisselt elke run, B om de 2 runs, C om de 4, …</t>
        </is>
      </c>
    </row>
    <row r="17">
      <c r="A17" s="6" t="inlineStr">
        <is>
          <t>k = aantal factoren (2 tot 5)</t>
        </is>
      </c>
      <c r="B17" s="32" t="n"/>
      <c r="C17" s="8" t="inlineStr">
        <is>
          <t>een fractie 2^(k−p) (fractional factorial): voer ze in als de volledige proefopzet van haar k − p basisfactoren; elk effect is dan een aliasketen (alias chain) (DOE p. 81-82, 88-90)</t>
        </is>
      </c>
    </row>
    <row r="18">
      <c r="A18" s="6" t="inlineStr">
        <is>
          <t>Interacties van deze orde en hoger in de fout poolen (optioneel, 2 tot 5)</t>
        </is>
      </c>
      <c r="B18" s="32" t="n"/>
      <c r="C18" s="8" t="inlineStr">
        <is>
          <t>één herhaling (single replicate): nodig voor F-toetsen, bv. 3 zoals DOE p. 77</t>
        </is>
      </c>
    </row>
    <row r="19">
      <c r="A19" s="8" t="inlineStr">
        <is>
          <t>Typ elke respons in de rij waarvan de tekens A … E overeenkomen met je tabel (DOE p. 70, 74 gebruiken deze volgorde); één kolom per herhaling (replicate), tot 20.</t>
        </is>
      </c>
      <c r="AF19" s="8" t="inlineStr">
        <is>
          <t>Teken (−1/+1) van elk effect in elke run: gebruikt door de contrastformules</t>
        </is>
      </c>
    </row>
    <row r="20">
      <c r="A20" s="10" t="inlineStr">
        <is>
          <t>Run</t>
        </is>
      </c>
      <c r="B20" s="10" t="inlineStr">
        <is>
          <t>A</t>
        </is>
      </c>
      <c r="C20" s="10" t="inlineStr">
        <is>
          <t>B</t>
        </is>
      </c>
      <c r="D20" s="10" t="inlineStr">
        <is>
          <t>C</t>
        </is>
      </c>
      <c r="E20" s="10" t="inlineStr">
        <is>
          <t>D</t>
        </is>
      </c>
      <c r="F20" s="10" t="inlineStr">
        <is>
          <t>E</t>
        </is>
      </c>
      <c r="G20" s="10" t="inlineStr">
        <is>
          <t>y herhaling 1</t>
        </is>
      </c>
      <c r="H20" s="10" t="inlineStr">
        <is>
          <t>y herhaling 2</t>
        </is>
      </c>
      <c r="I20" s="10" t="inlineStr">
        <is>
          <t>y herhaling 3</t>
        </is>
      </c>
      <c r="J20" s="10" t="inlineStr">
        <is>
          <t>y herhaling 4</t>
        </is>
      </c>
      <c r="K20" s="10" t="inlineStr">
        <is>
          <t>y herhaling 5</t>
        </is>
      </c>
      <c r="L20" s="10" t="inlineStr">
        <is>
          <t>y herhaling 6</t>
        </is>
      </c>
      <c r="M20" s="10" t="inlineStr">
        <is>
          <t>y herhaling 7</t>
        </is>
      </c>
      <c r="N20" s="10" t="inlineStr">
        <is>
          <t>y herhaling 8</t>
        </is>
      </c>
      <c r="O20" s="10" t="inlineStr">
        <is>
          <t>y herhaling 9</t>
        </is>
      </c>
      <c r="P20" s="10" t="inlineStr">
        <is>
          <t>y herhaling 10</t>
        </is>
      </c>
      <c r="Q20" s="10" t="inlineStr">
        <is>
          <t>y herhaling 11</t>
        </is>
      </c>
      <c r="R20" s="10" t="inlineStr">
        <is>
          <t>y herhaling 12</t>
        </is>
      </c>
      <c r="S20" s="10" t="inlineStr">
        <is>
          <t>y herhaling 13</t>
        </is>
      </c>
      <c r="T20" s="10" t="inlineStr">
        <is>
          <t>y herhaling 14</t>
        </is>
      </c>
      <c r="U20" s="10" t="inlineStr">
        <is>
          <t>y herhaling 15</t>
        </is>
      </c>
      <c r="V20" s="10" t="inlineStr">
        <is>
          <t>y herhaling 16</t>
        </is>
      </c>
      <c r="W20" s="10" t="inlineStr">
        <is>
          <t>y herhaling 17</t>
        </is>
      </c>
      <c r="X20" s="10" t="inlineStr">
        <is>
          <t>y herhaling 18</t>
        </is>
      </c>
      <c r="Y20" s="10" t="inlineStr">
        <is>
          <t>y herhaling 19</t>
        </is>
      </c>
      <c r="Z20" s="10" t="inlineStr">
        <is>
          <t>y herhaling 20</t>
        </is>
      </c>
      <c r="AA20" s="10" t="inlineStr">
        <is>
          <t>n</t>
        </is>
      </c>
      <c r="AB20" s="10" t="inlineStr">
        <is>
          <t>gemiddelde van de run</t>
        </is>
      </c>
      <c r="AC20" s="10" t="inlineStr">
        <is>
          <t>som van de run</t>
        </is>
      </c>
      <c r="AD20" s="10" t="inlineStr">
        <is>
          <t>Σ (y − gemiddelde van de run)²</t>
        </is>
      </c>
      <c r="AE20" s="10" t="inlineStr">
        <is>
          <t>in de proefopzet (1/0)</t>
        </is>
      </c>
      <c r="AF20" s="20" t="inlineStr">
        <is>
          <t>A</t>
        </is>
      </c>
      <c r="AG20" s="20" t="inlineStr">
        <is>
          <t>B</t>
        </is>
      </c>
      <c r="AH20" s="20" t="inlineStr">
        <is>
          <t>AB</t>
        </is>
      </c>
      <c r="AI20" s="20" t="inlineStr">
        <is>
          <t>C</t>
        </is>
      </c>
      <c r="AJ20" s="20" t="inlineStr">
        <is>
          <t>AC</t>
        </is>
      </c>
      <c r="AK20" s="20" t="inlineStr">
        <is>
          <t>BC</t>
        </is>
      </c>
      <c r="AL20" s="20" t="inlineStr">
        <is>
          <t>ABC</t>
        </is>
      </c>
      <c r="AM20" s="20" t="inlineStr">
        <is>
          <t>D</t>
        </is>
      </c>
      <c r="AN20" s="20" t="inlineStr">
        <is>
          <t>AD</t>
        </is>
      </c>
      <c r="AO20" s="20" t="inlineStr">
        <is>
          <t>BD</t>
        </is>
      </c>
      <c r="AP20" s="20" t="inlineStr">
        <is>
          <t>ABD</t>
        </is>
      </c>
      <c r="AQ20" s="20" t="inlineStr">
        <is>
          <t>CD</t>
        </is>
      </c>
      <c r="AR20" s="20" t="inlineStr">
        <is>
          <t>ACD</t>
        </is>
      </c>
      <c r="AS20" s="20" t="inlineStr">
        <is>
          <t>BCD</t>
        </is>
      </c>
      <c r="AT20" s="20" t="inlineStr">
        <is>
          <t>ABCD</t>
        </is>
      </c>
      <c r="AU20" s="20" t="inlineStr">
        <is>
          <t>E</t>
        </is>
      </c>
      <c r="AV20" s="20" t="inlineStr">
        <is>
          <t>AE</t>
        </is>
      </c>
      <c r="AW20" s="20" t="inlineStr">
        <is>
          <t>BE</t>
        </is>
      </c>
      <c r="AX20" s="20" t="inlineStr">
        <is>
          <t>ABE</t>
        </is>
      </c>
      <c r="AY20" s="20" t="inlineStr">
        <is>
          <t>CE</t>
        </is>
      </c>
      <c r="AZ20" s="20" t="inlineStr">
        <is>
          <t>ACE</t>
        </is>
      </c>
      <c r="BA20" s="20" t="inlineStr">
        <is>
          <t>BCE</t>
        </is>
      </c>
      <c r="BB20" s="20" t="inlineStr">
        <is>
          <t>ABCE</t>
        </is>
      </c>
      <c r="BC20" s="20" t="inlineStr">
        <is>
          <t>DE</t>
        </is>
      </c>
      <c r="BD20" s="20" t="inlineStr">
        <is>
          <t>ADE</t>
        </is>
      </c>
      <c r="BE20" s="20" t="inlineStr">
        <is>
          <t>BDE</t>
        </is>
      </c>
      <c r="BF20" s="20" t="inlineStr">
        <is>
          <t>ABDE</t>
        </is>
      </c>
      <c r="BG20" s="20" t="inlineStr">
        <is>
          <t>CDE</t>
        </is>
      </c>
      <c r="BH20" s="20" t="inlineStr">
        <is>
          <t>ACDE</t>
        </is>
      </c>
      <c r="BI20" s="20" t="inlineStr">
        <is>
          <t>BCDE</t>
        </is>
      </c>
      <c r="BJ20" s="20" t="inlineStr">
        <is>
          <t>ABCDE</t>
        </is>
      </c>
    </row>
    <row r="21">
      <c r="A21" s="6" t="n">
        <v>1</v>
      </c>
      <c r="B21" s="28">
        <f>IF(AND(AE21=1,1&lt;=$B$17),-1,"")</f>
        <v/>
      </c>
      <c r="C21" s="28">
        <f>IF(AND(AE21=1,2&lt;=$B$17),-1,"")</f>
        <v/>
      </c>
      <c r="D21" s="28">
        <f>IF(AND(AE21=1,3&lt;=$B$17),-1,"")</f>
        <v/>
      </c>
      <c r="E21" s="28">
        <f>IF(AND(AE21=1,4&lt;=$B$17),-1,"")</f>
        <v/>
      </c>
      <c r="F21" s="28">
        <f>IF(AND(AE21=1,5&lt;=$B$17),-1,"")</f>
        <v/>
      </c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28">
        <f>IF(AND(AE21=1,COUNT(G21:Z21)&gt;0),COUNT(G21:Z21),"")</f>
        <v/>
      </c>
      <c r="AB21" s="29">
        <f>IF(ISNUMBER(AA21),AVERAGE(G21:Z21),"")</f>
        <v/>
      </c>
      <c r="AC21" s="29">
        <f>IF(ISNUMBER(AA21),SUM(G21:Z21),0)</f>
        <v/>
      </c>
      <c r="AD21" s="29">
        <f>IF(ISNUMBER(AA21),DEVSQ(G21:Z21),0)</f>
        <v/>
      </c>
      <c r="AE21" s="28">
        <f>IF(AND(ISNUMBER($B$17),$B$17&gt;=2,$B$17&lt;=5,A21&lt;=2^$B$17),1,0)</f>
        <v/>
      </c>
      <c r="AF21" s="42" t="n">
        <v>-1</v>
      </c>
      <c r="AG21" s="42" t="n">
        <v>-1</v>
      </c>
      <c r="AH21" s="42" t="n">
        <v>1</v>
      </c>
      <c r="AI21" s="42" t="n">
        <v>-1</v>
      </c>
      <c r="AJ21" s="42" t="n">
        <v>1</v>
      </c>
      <c r="AK21" s="42" t="n">
        <v>1</v>
      </c>
      <c r="AL21" s="42" t="n">
        <v>-1</v>
      </c>
      <c r="AM21" s="42" t="n">
        <v>-1</v>
      </c>
      <c r="AN21" s="42" t="n">
        <v>1</v>
      </c>
      <c r="AO21" s="42" t="n">
        <v>1</v>
      </c>
      <c r="AP21" s="42" t="n">
        <v>-1</v>
      </c>
      <c r="AQ21" s="42" t="n">
        <v>1</v>
      </c>
      <c r="AR21" s="42" t="n">
        <v>-1</v>
      </c>
      <c r="AS21" s="42" t="n">
        <v>-1</v>
      </c>
      <c r="AT21" s="42" t="n">
        <v>1</v>
      </c>
      <c r="AU21" s="42" t="n">
        <v>-1</v>
      </c>
      <c r="AV21" s="42" t="n">
        <v>1</v>
      </c>
      <c r="AW21" s="42" t="n">
        <v>1</v>
      </c>
      <c r="AX21" s="42" t="n">
        <v>-1</v>
      </c>
      <c r="AY21" s="42" t="n">
        <v>1</v>
      </c>
      <c r="AZ21" s="42" t="n">
        <v>-1</v>
      </c>
      <c r="BA21" s="42" t="n">
        <v>-1</v>
      </c>
      <c r="BB21" s="42" t="n">
        <v>1</v>
      </c>
      <c r="BC21" s="42" t="n">
        <v>1</v>
      </c>
      <c r="BD21" s="42" t="n">
        <v>-1</v>
      </c>
      <c r="BE21" s="42" t="n">
        <v>-1</v>
      </c>
      <c r="BF21" s="42" t="n">
        <v>1</v>
      </c>
      <c r="BG21" s="42" t="n">
        <v>-1</v>
      </c>
      <c r="BH21" s="42" t="n">
        <v>1</v>
      </c>
      <c r="BI21" s="42" t="n">
        <v>1</v>
      </c>
      <c r="BJ21" s="42" t="n">
        <v>-1</v>
      </c>
    </row>
    <row r="22">
      <c r="A22" s="6" t="n">
        <v>2</v>
      </c>
      <c r="B22" s="28">
        <f>IF(AND(AE22=1,1&lt;=$B$17),1,"")</f>
        <v/>
      </c>
      <c r="C22" s="28">
        <f>IF(AND(AE22=1,2&lt;=$B$17),-1,"")</f>
        <v/>
      </c>
      <c r="D22" s="28">
        <f>IF(AND(AE22=1,3&lt;=$B$17),-1,"")</f>
        <v/>
      </c>
      <c r="E22" s="28">
        <f>IF(AND(AE22=1,4&lt;=$B$17),-1,"")</f>
        <v/>
      </c>
      <c r="F22" s="28">
        <f>IF(AND(AE22=1,5&lt;=$B$17),-1,"")</f>
        <v/>
      </c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28">
        <f>IF(AND(AE22=1,COUNT(G22:Z22)&gt;0),COUNT(G22:Z22),"")</f>
        <v/>
      </c>
      <c r="AB22" s="29">
        <f>IF(ISNUMBER(AA22),AVERAGE(G22:Z22),"")</f>
        <v/>
      </c>
      <c r="AC22" s="29">
        <f>IF(ISNUMBER(AA22),SUM(G22:Z22),0)</f>
        <v/>
      </c>
      <c r="AD22" s="29">
        <f>IF(ISNUMBER(AA22),DEVSQ(G22:Z22),0)</f>
        <v/>
      </c>
      <c r="AE22" s="28">
        <f>IF(AND(ISNUMBER($B$17),$B$17&gt;=2,$B$17&lt;=5,A22&lt;=2^$B$17),1,0)</f>
        <v/>
      </c>
      <c r="AF22" s="42" t="n">
        <v>1</v>
      </c>
      <c r="AG22" s="42" t="n">
        <v>-1</v>
      </c>
      <c r="AH22" s="42" t="n">
        <v>-1</v>
      </c>
      <c r="AI22" s="42" t="n">
        <v>-1</v>
      </c>
      <c r="AJ22" s="42" t="n">
        <v>-1</v>
      </c>
      <c r="AK22" s="42" t="n">
        <v>1</v>
      </c>
      <c r="AL22" s="42" t="n">
        <v>1</v>
      </c>
      <c r="AM22" s="42" t="n">
        <v>-1</v>
      </c>
      <c r="AN22" s="42" t="n">
        <v>-1</v>
      </c>
      <c r="AO22" s="42" t="n">
        <v>1</v>
      </c>
      <c r="AP22" s="42" t="n">
        <v>1</v>
      </c>
      <c r="AQ22" s="42" t="n">
        <v>1</v>
      </c>
      <c r="AR22" s="42" t="n">
        <v>1</v>
      </c>
      <c r="AS22" s="42" t="n">
        <v>-1</v>
      </c>
      <c r="AT22" s="42" t="n">
        <v>-1</v>
      </c>
      <c r="AU22" s="42" t="n">
        <v>-1</v>
      </c>
      <c r="AV22" s="42" t="n">
        <v>-1</v>
      </c>
      <c r="AW22" s="42" t="n">
        <v>1</v>
      </c>
      <c r="AX22" s="42" t="n">
        <v>1</v>
      </c>
      <c r="AY22" s="42" t="n">
        <v>1</v>
      </c>
      <c r="AZ22" s="42" t="n">
        <v>1</v>
      </c>
      <c r="BA22" s="42" t="n">
        <v>-1</v>
      </c>
      <c r="BB22" s="42" t="n">
        <v>-1</v>
      </c>
      <c r="BC22" s="42" t="n">
        <v>1</v>
      </c>
      <c r="BD22" s="42" t="n">
        <v>1</v>
      </c>
      <c r="BE22" s="42" t="n">
        <v>-1</v>
      </c>
      <c r="BF22" s="42" t="n">
        <v>-1</v>
      </c>
      <c r="BG22" s="42" t="n">
        <v>-1</v>
      </c>
      <c r="BH22" s="42" t="n">
        <v>-1</v>
      </c>
      <c r="BI22" s="42" t="n">
        <v>1</v>
      </c>
      <c r="BJ22" s="42" t="n">
        <v>1</v>
      </c>
    </row>
    <row r="23">
      <c r="A23" s="6" t="n">
        <v>3</v>
      </c>
      <c r="B23" s="28">
        <f>IF(AND(AE23=1,1&lt;=$B$17),-1,"")</f>
        <v/>
      </c>
      <c r="C23" s="28">
        <f>IF(AND(AE23=1,2&lt;=$B$17),1,"")</f>
        <v/>
      </c>
      <c r="D23" s="28">
        <f>IF(AND(AE23=1,3&lt;=$B$17),-1,"")</f>
        <v/>
      </c>
      <c r="E23" s="28">
        <f>IF(AND(AE23=1,4&lt;=$B$17),-1,"")</f>
        <v/>
      </c>
      <c r="F23" s="28">
        <f>IF(AND(AE23=1,5&lt;=$B$17),-1,"")</f>
        <v/>
      </c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28">
        <f>IF(AND(AE23=1,COUNT(G23:Z23)&gt;0),COUNT(G23:Z23),"")</f>
        <v/>
      </c>
      <c r="AB23" s="29">
        <f>IF(ISNUMBER(AA23),AVERAGE(G23:Z23),"")</f>
        <v/>
      </c>
      <c r="AC23" s="29">
        <f>IF(ISNUMBER(AA23),SUM(G23:Z23),0)</f>
        <v/>
      </c>
      <c r="AD23" s="29">
        <f>IF(ISNUMBER(AA23),DEVSQ(G23:Z23),0)</f>
        <v/>
      </c>
      <c r="AE23" s="28">
        <f>IF(AND(ISNUMBER($B$17),$B$17&gt;=2,$B$17&lt;=5,A23&lt;=2^$B$17),1,0)</f>
        <v/>
      </c>
      <c r="AF23" s="42" t="n">
        <v>-1</v>
      </c>
      <c r="AG23" s="42" t="n">
        <v>1</v>
      </c>
      <c r="AH23" s="42" t="n">
        <v>-1</v>
      </c>
      <c r="AI23" s="42" t="n">
        <v>-1</v>
      </c>
      <c r="AJ23" s="42" t="n">
        <v>1</v>
      </c>
      <c r="AK23" s="42" t="n">
        <v>-1</v>
      </c>
      <c r="AL23" s="42" t="n">
        <v>1</v>
      </c>
      <c r="AM23" s="42" t="n">
        <v>-1</v>
      </c>
      <c r="AN23" s="42" t="n">
        <v>1</v>
      </c>
      <c r="AO23" s="42" t="n">
        <v>-1</v>
      </c>
      <c r="AP23" s="42" t="n">
        <v>1</v>
      </c>
      <c r="AQ23" s="42" t="n">
        <v>1</v>
      </c>
      <c r="AR23" s="42" t="n">
        <v>-1</v>
      </c>
      <c r="AS23" s="42" t="n">
        <v>1</v>
      </c>
      <c r="AT23" s="42" t="n">
        <v>-1</v>
      </c>
      <c r="AU23" s="42" t="n">
        <v>-1</v>
      </c>
      <c r="AV23" s="42" t="n">
        <v>1</v>
      </c>
      <c r="AW23" s="42" t="n">
        <v>-1</v>
      </c>
      <c r="AX23" s="42" t="n">
        <v>1</v>
      </c>
      <c r="AY23" s="42" t="n">
        <v>1</v>
      </c>
      <c r="AZ23" s="42" t="n">
        <v>-1</v>
      </c>
      <c r="BA23" s="42" t="n">
        <v>1</v>
      </c>
      <c r="BB23" s="42" t="n">
        <v>-1</v>
      </c>
      <c r="BC23" s="42" t="n">
        <v>1</v>
      </c>
      <c r="BD23" s="42" t="n">
        <v>-1</v>
      </c>
      <c r="BE23" s="42" t="n">
        <v>1</v>
      </c>
      <c r="BF23" s="42" t="n">
        <v>-1</v>
      </c>
      <c r="BG23" s="42" t="n">
        <v>-1</v>
      </c>
      <c r="BH23" s="42" t="n">
        <v>1</v>
      </c>
      <c r="BI23" s="42" t="n">
        <v>-1</v>
      </c>
      <c r="BJ23" s="42" t="n">
        <v>1</v>
      </c>
    </row>
    <row r="24">
      <c r="A24" s="6" t="n">
        <v>4</v>
      </c>
      <c r="B24" s="28">
        <f>IF(AND(AE24=1,1&lt;=$B$17),1,"")</f>
        <v/>
      </c>
      <c r="C24" s="28">
        <f>IF(AND(AE24=1,2&lt;=$B$17),1,"")</f>
        <v/>
      </c>
      <c r="D24" s="28">
        <f>IF(AND(AE24=1,3&lt;=$B$17),-1,"")</f>
        <v/>
      </c>
      <c r="E24" s="28">
        <f>IF(AND(AE24=1,4&lt;=$B$17),-1,"")</f>
        <v/>
      </c>
      <c r="F24" s="28">
        <f>IF(AND(AE24=1,5&lt;=$B$17),-1,"")</f>
        <v/>
      </c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28">
        <f>IF(AND(AE24=1,COUNT(G24:Z24)&gt;0),COUNT(G24:Z24),"")</f>
        <v/>
      </c>
      <c r="AB24" s="29">
        <f>IF(ISNUMBER(AA24),AVERAGE(G24:Z24),"")</f>
        <v/>
      </c>
      <c r="AC24" s="29">
        <f>IF(ISNUMBER(AA24),SUM(G24:Z24),0)</f>
        <v/>
      </c>
      <c r="AD24" s="29">
        <f>IF(ISNUMBER(AA24),DEVSQ(G24:Z24),0)</f>
        <v/>
      </c>
      <c r="AE24" s="28">
        <f>IF(AND(ISNUMBER($B$17),$B$17&gt;=2,$B$17&lt;=5,A24&lt;=2^$B$17),1,0)</f>
        <v/>
      </c>
      <c r="AF24" s="42" t="n">
        <v>1</v>
      </c>
      <c r="AG24" s="42" t="n">
        <v>1</v>
      </c>
      <c r="AH24" s="42" t="n">
        <v>1</v>
      </c>
      <c r="AI24" s="42" t="n">
        <v>-1</v>
      </c>
      <c r="AJ24" s="42" t="n">
        <v>-1</v>
      </c>
      <c r="AK24" s="42" t="n">
        <v>-1</v>
      </c>
      <c r="AL24" s="42" t="n">
        <v>-1</v>
      </c>
      <c r="AM24" s="42" t="n">
        <v>-1</v>
      </c>
      <c r="AN24" s="42" t="n">
        <v>-1</v>
      </c>
      <c r="AO24" s="42" t="n">
        <v>-1</v>
      </c>
      <c r="AP24" s="42" t="n">
        <v>-1</v>
      </c>
      <c r="AQ24" s="42" t="n">
        <v>1</v>
      </c>
      <c r="AR24" s="42" t="n">
        <v>1</v>
      </c>
      <c r="AS24" s="42" t="n">
        <v>1</v>
      </c>
      <c r="AT24" s="42" t="n">
        <v>1</v>
      </c>
      <c r="AU24" s="42" t="n">
        <v>-1</v>
      </c>
      <c r="AV24" s="42" t="n">
        <v>-1</v>
      </c>
      <c r="AW24" s="42" t="n">
        <v>-1</v>
      </c>
      <c r="AX24" s="42" t="n">
        <v>-1</v>
      </c>
      <c r="AY24" s="42" t="n">
        <v>1</v>
      </c>
      <c r="AZ24" s="42" t="n">
        <v>1</v>
      </c>
      <c r="BA24" s="42" t="n">
        <v>1</v>
      </c>
      <c r="BB24" s="42" t="n">
        <v>1</v>
      </c>
      <c r="BC24" s="42" t="n">
        <v>1</v>
      </c>
      <c r="BD24" s="42" t="n">
        <v>1</v>
      </c>
      <c r="BE24" s="42" t="n">
        <v>1</v>
      </c>
      <c r="BF24" s="42" t="n">
        <v>1</v>
      </c>
      <c r="BG24" s="42" t="n">
        <v>-1</v>
      </c>
      <c r="BH24" s="42" t="n">
        <v>-1</v>
      </c>
      <c r="BI24" s="42" t="n">
        <v>-1</v>
      </c>
      <c r="BJ24" s="42" t="n">
        <v>-1</v>
      </c>
    </row>
    <row r="25">
      <c r="A25" s="6" t="n">
        <v>5</v>
      </c>
      <c r="B25" s="28">
        <f>IF(AND(AE25=1,1&lt;=$B$17),-1,"")</f>
        <v/>
      </c>
      <c r="C25" s="28">
        <f>IF(AND(AE25=1,2&lt;=$B$17),-1,"")</f>
        <v/>
      </c>
      <c r="D25" s="28">
        <f>IF(AND(AE25=1,3&lt;=$B$17),1,"")</f>
        <v/>
      </c>
      <c r="E25" s="28">
        <f>IF(AND(AE25=1,4&lt;=$B$17),-1,"")</f>
        <v/>
      </c>
      <c r="F25" s="28">
        <f>IF(AND(AE25=1,5&lt;=$B$17),-1,"")</f>
        <v/>
      </c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28">
        <f>IF(AND(AE25=1,COUNT(G25:Z25)&gt;0),COUNT(G25:Z25),"")</f>
        <v/>
      </c>
      <c r="AB25" s="29">
        <f>IF(ISNUMBER(AA25),AVERAGE(G25:Z25),"")</f>
        <v/>
      </c>
      <c r="AC25" s="29">
        <f>IF(ISNUMBER(AA25),SUM(G25:Z25),0)</f>
        <v/>
      </c>
      <c r="AD25" s="29">
        <f>IF(ISNUMBER(AA25),DEVSQ(G25:Z25),0)</f>
        <v/>
      </c>
      <c r="AE25" s="28">
        <f>IF(AND(ISNUMBER($B$17),$B$17&gt;=2,$B$17&lt;=5,A25&lt;=2^$B$17),1,0)</f>
        <v/>
      </c>
      <c r="AF25" s="42" t="n">
        <v>-1</v>
      </c>
      <c r="AG25" s="42" t="n">
        <v>-1</v>
      </c>
      <c r="AH25" s="42" t="n">
        <v>1</v>
      </c>
      <c r="AI25" s="42" t="n">
        <v>1</v>
      </c>
      <c r="AJ25" s="42" t="n">
        <v>-1</v>
      </c>
      <c r="AK25" s="42" t="n">
        <v>-1</v>
      </c>
      <c r="AL25" s="42" t="n">
        <v>1</v>
      </c>
      <c r="AM25" s="42" t="n">
        <v>-1</v>
      </c>
      <c r="AN25" s="42" t="n">
        <v>1</v>
      </c>
      <c r="AO25" s="42" t="n">
        <v>1</v>
      </c>
      <c r="AP25" s="42" t="n">
        <v>-1</v>
      </c>
      <c r="AQ25" s="42" t="n">
        <v>-1</v>
      </c>
      <c r="AR25" s="42" t="n">
        <v>1</v>
      </c>
      <c r="AS25" s="42" t="n">
        <v>1</v>
      </c>
      <c r="AT25" s="42" t="n">
        <v>-1</v>
      </c>
      <c r="AU25" s="42" t="n">
        <v>-1</v>
      </c>
      <c r="AV25" s="42" t="n">
        <v>1</v>
      </c>
      <c r="AW25" s="42" t="n">
        <v>1</v>
      </c>
      <c r="AX25" s="42" t="n">
        <v>-1</v>
      </c>
      <c r="AY25" s="42" t="n">
        <v>-1</v>
      </c>
      <c r="AZ25" s="42" t="n">
        <v>1</v>
      </c>
      <c r="BA25" s="42" t="n">
        <v>1</v>
      </c>
      <c r="BB25" s="42" t="n">
        <v>-1</v>
      </c>
      <c r="BC25" s="42" t="n">
        <v>1</v>
      </c>
      <c r="BD25" s="42" t="n">
        <v>-1</v>
      </c>
      <c r="BE25" s="42" t="n">
        <v>-1</v>
      </c>
      <c r="BF25" s="42" t="n">
        <v>1</v>
      </c>
      <c r="BG25" s="42" t="n">
        <v>1</v>
      </c>
      <c r="BH25" s="42" t="n">
        <v>-1</v>
      </c>
      <c r="BI25" s="42" t="n">
        <v>-1</v>
      </c>
      <c r="BJ25" s="42" t="n">
        <v>1</v>
      </c>
    </row>
    <row r="26">
      <c r="A26" s="6" t="n">
        <v>6</v>
      </c>
      <c r="B26" s="28">
        <f>IF(AND(AE26=1,1&lt;=$B$17),1,"")</f>
        <v/>
      </c>
      <c r="C26" s="28">
        <f>IF(AND(AE26=1,2&lt;=$B$17),-1,"")</f>
        <v/>
      </c>
      <c r="D26" s="28">
        <f>IF(AND(AE26=1,3&lt;=$B$17),1,"")</f>
        <v/>
      </c>
      <c r="E26" s="28">
        <f>IF(AND(AE26=1,4&lt;=$B$17),-1,"")</f>
        <v/>
      </c>
      <c r="F26" s="28">
        <f>IF(AND(AE26=1,5&lt;=$B$17),-1,"")</f>
        <v/>
      </c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28">
        <f>IF(AND(AE26=1,COUNT(G26:Z26)&gt;0),COUNT(G26:Z26),"")</f>
        <v/>
      </c>
      <c r="AB26" s="29">
        <f>IF(ISNUMBER(AA26),AVERAGE(G26:Z26),"")</f>
        <v/>
      </c>
      <c r="AC26" s="29">
        <f>IF(ISNUMBER(AA26),SUM(G26:Z26),0)</f>
        <v/>
      </c>
      <c r="AD26" s="29">
        <f>IF(ISNUMBER(AA26),DEVSQ(G26:Z26),0)</f>
        <v/>
      </c>
      <c r="AE26" s="28">
        <f>IF(AND(ISNUMBER($B$17),$B$17&gt;=2,$B$17&lt;=5,A26&lt;=2^$B$17),1,0)</f>
        <v/>
      </c>
      <c r="AF26" s="42" t="n">
        <v>1</v>
      </c>
      <c r="AG26" s="42" t="n">
        <v>-1</v>
      </c>
      <c r="AH26" s="42" t="n">
        <v>-1</v>
      </c>
      <c r="AI26" s="42" t="n">
        <v>1</v>
      </c>
      <c r="AJ26" s="42" t="n">
        <v>1</v>
      </c>
      <c r="AK26" s="42" t="n">
        <v>-1</v>
      </c>
      <c r="AL26" s="42" t="n">
        <v>-1</v>
      </c>
      <c r="AM26" s="42" t="n">
        <v>-1</v>
      </c>
      <c r="AN26" s="42" t="n">
        <v>-1</v>
      </c>
      <c r="AO26" s="42" t="n">
        <v>1</v>
      </c>
      <c r="AP26" s="42" t="n">
        <v>1</v>
      </c>
      <c r="AQ26" s="42" t="n">
        <v>-1</v>
      </c>
      <c r="AR26" s="42" t="n">
        <v>-1</v>
      </c>
      <c r="AS26" s="42" t="n">
        <v>1</v>
      </c>
      <c r="AT26" s="42" t="n">
        <v>1</v>
      </c>
      <c r="AU26" s="42" t="n">
        <v>-1</v>
      </c>
      <c r="AV26" s="42" t="n">
        <v>-1</v>
      </c>
      <c r="AW26" s="42" t="n">
        <v>1</v>
      </c>
      <c r="AX26" s="42" t="n">
        <v>1</v>
      </c>
      <c r="AY26" s="42" t="n">
        <v>-1</v>
      </c>
      <c r="AZ26" s="42" t="n">
        <v>-1</v>
      </c>
      <c r="BA26" s="42" t="n">
        <v>1</v>
      </c>
      <c r="BB26" s="42" t="n">
        <v>1</v>
      </c>
      <c r="BC26" s="42" t="n">
        <v>1</v>
      </c>
      <c r="BD26" s="42" t="n">
        <v>1</v>
      </c>
      <c r="BE26" s="42" t="n">
        <v>-1</v>
      </c>
      <c r="BF26" s="42" t="n">
        <v>-1</v>
      </c>
      <c r="BG26" s="42" t="n">
        <v>1</v>
      </c>
      <c r="BH26" s="42" t="n">
        <v>1</v>
      </c>
      <c r="BI26" s="42" t="n">
        <v>-1</v>
      </c>
      <c r="BJ26" s="42" t="n">
        <v>-1</v>
      </c>
    </row>
    <row r="27">
      <c r="A27" s="6" t="n">
        <v>7</v>
      </c>
      <c r="B27" s="28">
        <f>IF(AND(AE27=1,1&lt;=$B$17),-1,"")</f>
        <v/>
      </c>
      <c r="C27" s="28">
        <f>IF(AND(AE27=1,2&lt;=$B$17),1,"")</f>
        <v/>
      </c>
      <c r="D27" s="28">
        <f>IF(AND(AE27=1,3&lt;=$B$17),1,"")</f>
        <v/>
      </c>
      <c r="E27" s="28">
        <f>IF(AND(AE27=1,4&lt;=$B$17),-1,"")</f>
        <v/>
      </c>
      <c r="F27" s="28">
        <f>IF(AND(AE27=1,5&lt;=$B$17),-1,"")</f>
        <v/>
      </c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28">
        <f>IF(AND(AE27=1,COUNT(G27:Z27)&gt;0),COUNT(G27:Z27),"")</f>
        <v/>
      </c>
      <c r="AB27" s="29">
        <f>IF(ISNUMBER(AA27),AVERAGE(G27:Z27),"")</f>
        <v/>
      </c>
      <c r="AC27" s="29">
        <f>IF(ISNUMBER(AA27),SUM(G27:Z27),0)</f>
        <v/>
      </c>
      <c r="AD27" s="29">
        <f>IF(ISNUMBER(AA27),DEVSQ(G27:Z27),0)</f>
        <v/>
      </c>
      <c r="AE27" s="28">
        <f>IF(AND(ISNUMBER($B$17),$B$17&gt;=2,$B$17&lt;=5,A27&lt;=2^$B$17),1,0)</f>
        <v/>
      </c>
      <c r="AF27" s="42" t="n">
        <v>-1</v>
      </c>
      <c r="AG27" s="42" t="n">
        <v>1</v>
      </c>
      <c r="AH27" s="42" t="n">
        <v>-1</v>
      </c>
      <c r="AI27" s="42" t="n">
        <v>1</v>
      </c>
      <c r="AJ27" s="42" t="n">
        <v>-1</v>
      </c>
      <c r="AK27" s="42" t="n">
        <v>1</v>
      </c>
      <c r="AL27" s="42" t="n">
        <v>-1</v>
      </c>
      <c r="AM27" s="42" t="n">
        <v>-1</v>
      </c>
      <c r="AN27" s="42" t="n">
        <v>1</v>
      </c>
      <c r="AO27" s="42" t="n">
        <v>-1</v>
      </c>
      <c r="AP27" s="42" t="n">
        <v>1</v>
      </c>
      <c r="AQ27" s="42" t="n">
        <v>-1</v>
      </c>
      <c r="AR27" s="42" t="n">
        <v>1</v>
      </c>
      <c r="AS27" s="42" t="n">
        <v>-1</v>
      </c>
      <c r="AT27" s="42" t="n">
        <v>1</v>
      </c>
      <c r="AU27" s="42" t="n">
        <v>-1</v>
      </c>
      <c r="AV27" s="42" t="n">
        <v>1</v>
      </c>
      <c r="AW27" s="42" t="n">
        <v>-1</v>
      </c>
      <c r="AX27" s="42" t="n">
        <v>1</v>
      </c>
      <c r="AY27" s="42" t="n">
        <v>-1</v>
      </c>
      <c r="AZ27" s="42" t="n">
        <v>1</v>
      </c>
      <c r="BA27" s="42" t="n">
        <v>-1</v>
      </c>
      <c r="BB27" s="42" t="n">
        <v>1</v>
      </c>
      <c r="BC27" s="42" t="n">
        <v>1</v>
      </c>
      <c r="BD27" s="42" t="n">
        <v>-1</v>
      </c>
      <c r="BE27" s="42" t="n">
        <v>1</v>
      </c>
      <c r="BF27" s="42" t="n">
        <v>-1</v>
      </c>
      <c r="BG27" s="42" t="n">
        <v>1</v>
      </c>
      <c r="BH27" s="42" t="n">
        <v>-1</v>
      </c>
      <c r="BI27" s="42" t="n">
        <v>1</v>
      </c>
      <c r="BJ27" s="42" t="n">
        <v>-1</v>
      </c>
    </row>
    <row r="28">
      <c r="A28" s="6" t="n">
        <v>8</v>
      </c>
      <c r="B28" s="28">
        <f>IF(AND(AE28=1,1&lt;=$B$17),1,"")</f>
        <v/>
      </c>
      <c r="C28" s="28">
        <f>IF(AND(AE28=1,2&lt;=$B$17),1,"")</f>
        <v/>
      </c>
      <c r="D28" s="28">
        <f>IF(AND(AE28=1,3&lt;=$B$17),1,"")</f>
        <v/>
      </c>
      <c r="E28" s="28">
        <f>IF(AND(AE28=1,4&lt;=$B$17),-1,"")</f>
        <v/>
      </c>
      <c r="F28" s="28">
        <f>IF(AND(AE28=1,5&lt;=$B$17),-1,"")</f>
        <v/>
      </c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28">
        <f>IF(AND(AE28=1,COUNT(G28:Z28)&gt;0),COUNT(G28:Z28),"")</f>
        <v/>
      </c>
      <c r="AB28" s="29">
        <f>IF(ISNUMBER(AA28),AVERAGE(G28:Z28),"")</f>
        <v/>
      </c>
      <c r="AC28" s="29">
        <f>IF(ISNUMBER(AA28),SUM(G28:Z28),0)</f>
        <v/>
      </c>
      <c r="AD28" s="29">
        <f>IF(ISNUMBER(AA28),DEVSQ(G28:Z28),0)</f>
        <v/>
      </c>
      <c r="AE28" s="28">
        <f>IF(AND(ISNUMBER($B$17),$B$17&gt;=2,$B$17&lt;=5,A28&lt;=2^$B$17),1,0)</f>
        <v/>
      </c>
      <c r="AF28" s="42" t="n">
        <v>1</v>
      </c>
      <c r="AG28" s="42" t="n">
        <v>1</v>
      </c>
      <c r="AH28" s="42" t="n">
        <v>1</v>
      </c>
      <c r="AI28" s="42" t="n">
        <v>1</v>
      </c>
      <c r="AJ28" s="42" t="n">
        <v>1</v>
      </c>
      <c r="AK28" s="42" t="n">
        <v>1</v>
      </c>
      <c r="AL28" s="42" t="n">
        <v>1</v>
      </c>
      <c r="AM28" s="42" t="n">
        <v>-1</v>
      </c>
      <c r="AN28" s="42" t="n">
        <v>-1</v>
      </c>
      <c r="AO28" s="42" t="n">
        <v>-1</v>
      </c>
      <c r="AP28" s="42" t="n">
        <v>-1</v>
      </c>
      <c r="AQ28" s="42" t="n">
        <v>-1</v>
      </c>
      <c r="AR28" s="42" t="n">
        <v>-1</v>
      </c>
      <c r="AS28" s="42" t="n">
        <v>-1</v>
      </c>
      <c r="AT28" s="42" t="n">
        <v>-1</v>
      </c>
      <c r="AU28" s="42" t="n">
        <v>-1</v>
      </c>
      <c r="AV28" s="42" t="n">
        <v>-1</v>
      </c>
      <c r="AW28" s="42" t="n">
        <v>-1</v>
      </c>
      <c r="AX28" s="42" t="n">
        <v>-1</v>
      </c>
      <c r="AY28" s="42" t="n">
        <v>-1</v>
      </c>
      <c r="AZ28" s="42" t="n">
        <v>-1</v>
      </c>
      <c r="BA28" s="42" t="n">
        <v>-1</v>
      </c>
      <c r="BB28" s="42" t="n">
        <v>-1</v>
      </c>
      <c r="BC28" s="42" t="n">
        <v>1</v>
      </c>
      <c r="BD28" s="42" t="n">
        <v>1</v>
      </c>
      <c r="BE28" s="42" t="n">
        <v>1</v>
      </c>
      <c r="BF28" s="42" t="n">
        <v>1</v>
      </c>
      <c r="BG28" s="42" t="n">
        <v>1</v>
      </c>
      <c r="BH28" s="42" t="n">
        <v>1</v>
      </c>
      <c r="BI28" s="42" t="n">
        <v>1</v>
      </c>
      <c r="BJ28" s="42" t="n">
        <v>1</v>
      </c>
    </row>
    <row r="29">
      <c r="A29" s="6" t="n">
        <v>9</v>
      </c>
      <c r="B29" s="28">
        <f>IF(AND(AE29=1,1&lt;=$B$17),-1,"")</f>
        <v/>
      </c>
      <c r="C29" s="28">
        <f>IF(AND(AE29=1,2&lt;=$B$17),-1,"")</f>
        <v/>
      </c>
      <c r="D29" s="28">
        <f>IF(AND(AE29=1,3&lt;=$B$17),-1,"")</f>
        <v/>
      </c>
      <c r="E29" s="28">
        <f>IF(AND(AE29=1,4&lt;=$B$17),1,"")</f>
        <v/>
      </c>
      <c r="F29" s="28">
        <f>IF(AND(AE29=1,5&lt;=$B$17),-1,"")</f>
        <v/>
      </c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28">
        <f>IF(AND(AE29=1,COUNT(G29:Z29)&gt;0),COUNT(G29:Z29),"")</f>
        <v/>
      </c>
      <c r="AB29" s="29">
        <f>IF(ISNUMBER(AA29),AVERAGE(G29:Z29),"")</f>
        <v/>
      </c>
      <c r="AC29" s="29">
        <f>IF(ISNUMBER(AA29),SUM(G29:Z29),0)</f>
        <v/>
      </c>
      <c r="AD29" s="29">
        <f>IF(ISNUMBER(AA29),DEVSQ(G29:Z29),0)</f>
        <v/>
      </c>
      <c r="AE29" s="28">
        <f>IF(AND(ISNUMBER($B$17),$B$17&gt;=2,$B$17&lt;=5,A29&lt;=2^$B$17),1,0)</f>
        <v/>
      </c>
      <c r="AF29" s="42" t="n">
        <v>-1</v>
      </c>
      <c r="AG29" s="42" t="n">
        <v>-1</v>
      </c>
      <c r="AH29" s="42" t="n">
        <v>1</v>
      </c>
      <c r="AI29" s="42" t="n">
        <v>-1</v>
      </c>
      <c r="AJ29" s="42" t="n">
        <v>1</v>
      </c>
      <c r="AK29" s="42" t="n">
        <v>1</v>
      </c>
      <c r="AL29" s="42" t="n">
        <v>-1</v>
      </c>
      <c r="AM29" s="42" t="n">
        <v>1</v>
      </c>
      <c r="AN29" s="42" t="n">
        <v>-1</v>
      </c>
      <c r="AO29" s="42" t="n">
        <v>-1</v>
      </c>
      <c r="AP29" s="42" t="n">
        <v>1</v>
      </c>
      <c r="AQ29" s="42" t="n">
        <v>-1</v>
      </c>
      <c r="AR29" s="42" t="n">
        <v>1</v>
      </c>
      <c r="AS29" s="42" t="n">
        <v>1</v>
      </c>
      <c r="AT29" s="42" t="n">
        <v>-1</v>
      </c>
      <c r="AU29" s="42" t="n">
        <v>-1</v>
      </c>
      <c r="AV29" s="42" t="n">
        <v>1</v>
      </c>
      <c r="AW29" s="42" t="n">
        <v>1</v>
      </c>
      <c r="AX29" s="42" t="n">
        <v>-1</v>
      </c>
      <c r="AY29" s="42" t="n">
        <v>1</v>
      </c>
      <c r="AZ29" s="42" t="n">
        <v>-1</v>
      </c>
      <c r="BA29" s="42" t="n">
        <v>-1</v>
      </c>
      <c r="BB29" s="42" t="n">
        <v>1</v>
      </c>
      <c r="BC29" s="42" t="n">
        <v>-1</v>
      </c>
      <c r="BD29" s="42" t="n">
        <v>1</v>
      </c>
      <c r="BE29" s="42" t="n">
        <v>1</v>
      </c>
      <c r="BF29" s="42" t="n">
        <v>-1</v>
      </c>
      <c r="BG29" s="42" t="n">
        <v>1</v>
      </c>
      <c r="BH29" s="42" t="n">
        <v>-1</v>
      </c>
      <c r="BI29" s="42" t="n">
        <v>-1</v>
      </c>
      <c r="BJ29" s="42" t="n">
        <v>1</v>
      </c>
    </row>
    <row r="30">
      <c r="A30" s="6" t="n">
        <v>10</v>
      </c>
      <c r="B30" s="28">
        <f>IF(AND(AE30=1,1&lt;=$B$17),1,"")</f>
        <v/>
      </c>
      <c r="C30" s="28">
        <f>IF(AND(AE30=1,2&lt;=$B$17),-1,"")</f>
        <v/>
      </c>
      <c r="D30" s="28">
        <f>IF(AND(AE30=1,3&lt;=$B$17),-1,"")</f>
        <v/>
      </c>
      <c r="E30" s="28">
        <f>IF(AND(AE30=1,4&lt;=$B$17),1,"")</f>
        <v/>
      </c>
      <c r="F30" s="28">
        <f>IF(AND(AE30=1,5&lt;=$B$17),-1,"")</f>
        <v/>
      </c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28">
        <f>IF(AND(AE30=1,COUNT(G30:Z30)&gt;0),COUNT(G30:Z30),"")</f>
        <v/>
      </c>
      <c r="AB30" s="29">
        <f>IF(ISNUMBER(AA30),AVERAGE(G30:Z30),"")</f>
        <v/>
      </c>
      <c r="AC30" s="29">
        <f>IF(ISNUMBER(AA30),SUM(G30:Z30),0)</f>
        <v/>
      </c>
      <c r="AD30" s="29">
        <f>IF(ISNUMBER(AA30),DEVSQ(G30:Z30),0)</f>
        <v/>
      </c>
      <c r="AE30" s="28">
        <f>IF(AND(ISNUMBER($B$17),$B$17&gt;=2,$B$17&lt;=5,A30&lt;=2^$B$17),1,0)</f>
        <v/>
      </c>
      <c r="AF30" s="42" t="n">
        <v>1</v>
      </c>
      <c r="AG30" s="42" t="n">
        <v>-1</v>
      </c>
      <c r="AH30" s="42" t="n">
        <v>-1</v>
      </c>
      <c r="AI30" s="42" t="n">
        <v>-1</v>
      </c>
      <c r="AJ30" s="42" t="n">
        <v>-1</v>
      </c>
      <c r="AK30" s="42" t="n">
        <v>1</v>
      </c>
      <c r="AL30" s="42" t="n">
        <v>1</v>
      </c>
      <c r="AM30" s="42" t="n">
        <v>1</v>
      </c>
      <c r="AN30" s="42" t="n">
        <v>1</v>
      </c>
      <c r="AO30" s="42" t="n">
        <v>-1</v>
      </c>
      <c r="AP30" s="42" t="n">
        <v>-1</v>
      </c>
      <c r="AQ30" s="42" t="n">
        <v>-1</v>
      </c>
      <c r="AR30" s="42" t="n">
        <v>-1</v>
      </c>
      <c r="AS30" s="42" t="n">
        <v>1</v>
      </c>
      <c r="AT30" s="42" t="n">
        <v>1</v>
      </c>
      <c r="AU30" s="42" t="n">
        <v>-1</v>
      </c>
      <c r="AV30" s="42" t="n">
        <v>-1</v>
      </c>
      <c r="AW30" s="42" t="n">
        <v>1</v>
      </c>
      <c r="AX30" s="42" t="n">
        <v>1</v>
      </c>
      <c r="AY30" s="42" t="n">
        <v>1</v>
      </c>
      <c r="AZ30" s="42" t="n">
        <v>1</v>
      </c>
      <c r="BA30" s="42" t="n">
        <v>-1</v>
      </c>
      <c r="BB30" s="42" t="n">
        <v>-1</v>
      </c>
      <c r="BC30" s="42" t="n">
        <v>-1</v>
      </c>
      <c r="BD30" s="42" t="n">
        <v>-1</v>
      </c>
      <c r="BE30" s="42" t="n">
        <v>1</v>
      </c>
      <c r="BF30" s="42" t="n">
        <v>1</v>
      </c>
      <c r="BG30" s="42" t="n">
        <v>1</v>
      </c>
      <c r="BH30" s="42" t="n">
        <v>1</v>
      </c>
      <c r="BI30" s="42" t="n">
        <v>-1</v>
      </c>
      <c r="BJ30" s="42" t="n">
        <v>-1</v>
      </c>
    </row>
    <row r="31">
      <c r="A31" s="6" t="n">
        <v>11</v>
      </c>
      <c r="B31" s="28">
        <f>IF(AND(AE31=1,1&lt;=$B$17),-1,"")</f>
        <v/>
      </c>
      <c r="C31" s="28">
        <f>IF(AND(AE31=1,2&lt;=$B$17),1,"")</f>
        <v/>
      </c>
      <c r="D31" s="28">
        <f>IF(AND(AE31=1,3&lt;=$B$17),-1,"")</f>
        <v/>
      </c>
      <c r="E31" s="28">
        <f>IF(AND(AE31=1,4&lt;=$B$17),1,"")</f>
        <v/>
      </c>
      <c r="F31" s="28">
        <f>IF(AND(AE31=1,5&lt;=$B$17),-1,"")</f>
        <v/>
      </c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28">
        <f>IF(AND(AE31=1,COUNT(G31:Z31)&gt;0),COUNT(G31:Z31),"")</f>
        <v/>
      </c>
      <c r="AB31" s="29">
        <f>IF(ISNUMBER(AA31),AVERAGE(G31:Z31),"")</f>
        <v/>
      </c>
      <c r="AC31" s="29">
        <f>IF(ISNUMBER(AA31),SUM(G31:Z31),0)</f>
        <v/>
      </c>
      <c r="AD31" s="29">
        <f>IF(ISNUMBER(AA31),DEVSQ(G31:Z31),0)</f>
        <v/>
      </c>
      <c r="AE31" s="28">
        <f>IF(AND(ISNUMBER($B$17),$B$17&gt;=2,$B$17&lt;=5,A31&lt;=2^$B$17),1,0)</f>
        <v/>
      </c>
      <c r="AF31" s="42" t="n">
        <v>-1</v>
      </c>
      <c r="AG31" s="42" t="n">
        <v>1</v>
      </c>
      <c r="AH31" s="42" t="n">
        <v>-1</v>
      </c>
      <c r="AI31" s="42" t="n">
        <v>-1</v>
      </c>
      <c r="AJ31" s="42" t="n">
        <v>1</v>
      </c>
      <c r="AK31" s="42" t="n">
        <v>-1</v>
      </c>
      <c r="AL31" s="42" t="n">
        <v>1</v>
      </c>
      <c r="AM31" s="42" t="n">
        <v>1</v>
      </c>
      <c r="AN31" s="42" t="n">
        <v>-1</v>
      </c>
      <c r="AO31" s="42" t="n">
        <v>1</v>
      </c>
      <c r="AP31" s="42" t="n">
        <v>-1</v>
      </c>
      <c r="AQ31" s="42" t="n">
        <v>-1</v>
      </c>
      <c r="AR31" s="42" t="n">
        <v>1</v>
      </c>
      <c r="AS31" s="42" t="n">
        <v>-1</v>
      </c>
      <c r="AT31" s="42" t="n">
        <v>1</v>
      </c>
      <c r="AU31" s="42" t="n">
        <v>-1</v>
      </c>
      <c r="AV31" s="42" t="n">
        <v>1</v>
      </c>
      <c r="AW31" s="42" t="n">
        <v>-1</v>
      </c>
      <c r="AX31" s="42" t="n">
        <v>1</v>
      </c>
      <c r="AY31" s="42" t="n">
        <v>1</v>
      </c>
      <c r="AZ31" s="42" t="n">
        <v>-1</v>
      </c>
      <c r="BA31" s="42" t="n">
        <v>1</v>
      </c>
      <c r="BB31" s="42" t="n">
        <v>-1</v>
      </c>
      <c r="BC31" s="42" t="n">
        <v>-1</v>
      </c>
      <c r="BD31" s="42" t="n">
        <v>1</v>
      </c>
      <c r="BE31" s="42" t="n">
        <v>-1</v>
      </c>
      <c r="BF31" s="42" t="n">
        <v>1</v>
      </c>
      <c r="BG31" s="42" t="n">
        <v>1</v>
      </c>
      <c r="BH31" s="42" t="n">
        <v>-1</v>
      </c>
      <c r="BI31" s="42" t="n">
        <v>1</v>
      </c>
      <c r="BJ31" s="42" t="n">
        <v>-1</v>
      </c>
    </row>
    <row r="32">
      <c r="A32" s="6" t="n">
        <v>12</v>
      </c>
      <c r="B32" s="28">
        <f>IF(AND(AE32=1,1&lt;=$B$17),1,"")</f>
        <v/>
      </c>
      <c r="C32" s="28">
        <f>IF(AND(AE32=1,2&lt;=$B$17),1,"")</f>
        <v/>
      </c>
      <c r="D32" s="28">
        <f>IF(AND(AE32=1,3&lt;=$B$17),-1,"")</f>
        <v/>
      </c>
      <c r="E32" s="28">
        <f>IF(AND(AE32=1,4&lt;=$B$17),1,"")</f>
        <v/>
      </c>
      <c r="F32" s="28">
        <f>IF(AND(AE32=1,5&lt;=$B$17),-1,"")</f>
        <v/>
      </c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28">
        <f>IF(AND(AE32=1,COUNT(G32:Z32)&gt;0),COUNT(G32:Z32),"")</f>
        <v/>
      </c>
      <c r="AB32" s="29">
        <f>IF(ISNUMBER(AA32),AVERAGE(G32:Z32),"")</f>
        <v/>
      </c>
      <c r="AC32" s="29">
        <f>IF(ISNUMBER(AA32),SUM(G32:Z32),0)</f>
        <v/>
      </c>
      <c r="AD32" s="29">
        <f>IF(ISNUMBER(AA32),DEVSQ(G32:Z32),0)</f>
        <v/>
      </c>
      <c r="AE32" s="28">
        <f>IF(AND(ISNUMBER($B$17),$B$17&gt;=2,$B$17&lt;=5,A32&lt;=2^$B$17),1,0)</f>
        <v/>
      </c>
      <c r="AF32" s="42" t="n">
        <v>1</v>
      </c>
      <c r="AG32" s="42" t="n">
        <v>1</v>
      </c>
      <c r="AH32" s="42" t="n">
        <v>1</v>
      </c>
      <c r="AI32" s="42" t="n">
        <v>-1</v>
      </c>
      <c r="AJ32" s="42" t="n">
        <v>-1</v>
      </c>
      <c r="AK32" s="42" t="n">
        <v>-1</v>
      </c>
      <c r="AL32" s="42" t="n">
        <v>-1</v>
      </c>
      <c r="AM32" s="42" t="n">
        <v>1</v>
      </c>
      <c r="AN32" s="42" t="n">
        <v>1</v>
      </c>
      <c r="AO32" s="42" t="n">
        <v>1</v>
      </c>
      <c r="AP32" s="42" t="n">
        <v>1</v>
      </c>
      <c r="AQ32" s="42" t="n">
        <v>-1</v>
      </c>
      <c r="AR32" s="42" t="n">
        <v>-1</v>
      </c>
      <c r="AS32" s="42" t="n">
        <v>-1</v>
      </c>
      <c r="AT32" s="42" t="n">
        <v>-1</v>
      </c>
      <c r="AU32" s="42" t="n">
        <v>-1</v>
      </c>
      <c r="AV32" s="42" t="n">
        <v>-1</v>
      </c>
      <c r="AW32" s="42" t="n">
        <v>-1</v>
      </c>
      <c r="AX32" s="42" t="n">
        <v>-1</v>
      </c>
      <c r="AY32" s="42" t="n">
        <v>1</v>
      </c>
      <c r="AZ32" s="42" t="n">
        <v>1</v>
      </c>
      <c r="BA32" s="42" t="n">
        <v>1</v>
      </c>
      <c r="BB32" s="42" t="n">
        <v>1</v>
      </c>
      <c r="BC32" s="42" t="n">
        <v>-1</v>
      </c>
      <c r="BD32" s="42" t="n">
        <v>-1</v>
      </c>
      <c r="BE32" s="42" t="n">
        <v>-1</v>
      </c>
      <c r="BF32" s="42" t="n">
        <v>-1</v>
      </c>
      <c r="BG32" s="42" t="n">
        <v>1</v>
      </c>
      <c r="BH32" s="42" t="n">
        <v>1</v>
      </c>
      <c r="BI32" s="42" t="n">
        <v>1</v>
      </c>
      <c r="BJ32" s="42" t="n">
        <v>1</v>
      </c>
    </row>
    <row r="33">
      <c r="A33" s="6" t="n">
        <v>13</v>
      </c>
      <c r="B33" s="28">
        <f>IF(AND(AE33=1,1&lt;=$B$17),-1,"")</f>
        <v/>
      </c>
      <c r="C33" s="28">
        <f>IF(AND(AE33=1,2&lt;=$B$17),-1,"")</f>
        <v/>
      </c>
      <c r="D33" s="28">
        <f>IF(AND(AE33=1,3&lt;=$B$17),1,"")</f>
        <v/>
      </c>
      <c r="E33" s="28">
        <f>IF(AND(AE33=1,4&lt;=$B$17),1,"")</f>
        <v/>
      </c>
      <c r="F33" s="28">
        <f>IF(AND(AE33=1,5&lt;=$B$17),-1,"")</f>
        <v/>
      </c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28">
        <f>IF(AND(AE33=1,COUNT(G33:Z33)&gt;0),COUNT(G33:Z33),"")</f>
        <v/>
      </c>
      <c r="AB33" s="29">
        <f>IF(ISNUMBER(AA33),AVERAGE(G33:Z33),"")</f>
        <v/>
      </c>
      <c r="AC33" s="29">
        <f>IF(ISNUMBER(AA33),SUM(G33:Z33),0)</f>
        <v/>
      </c>
      <c r="AD33" s="29">
        <f>IF(ISNUMBER(AA33),DEVSQ(G33:Z33),0)</f>
        <v/>
      </c>
      <c r="AE33" s="28">
        <f>IF(AND(ISNUMBER($B$17),$B$17&gt;=2,$B$17&lt;=5,A33&lt;=2^$B$17),1,0)</f>
        <v/>
      </c>
      <c r="AF33" s="42" t="n">
        <v>-1</v>
      </c>
      <c r="AG33" s="42" t="n">
        <v>-1</v>
      </c>
      <c r="AH33" s="42" t="n">
        <v>1</v>
      </c>
      <c r="AI33" s="42" t="n">
        <v>1</v>
      </c>
      <c r="AJ33" s="42" t="n">
        <v>-1</v>
      </c>
      <c r="AK33" s="42" t="n">
        <v>-1</v>
      </c>
      <c r="AL33" s="42" t="n">
        <v>1</v>
      </c>
      <c r="AM33" s="42" t="n">
        <v>1</v>
      </c>
      <c r="AN33" s="42" t="n">
        <v>-1</v>
      </c>
      <c r="AO33" s="42" t="n">
        <v>-1</v>
      </c>
      <c r="AP33" s="42" t="n">
        <v>1</v>
      </c>
      <c r="AQ33" s="42" t="n">
        <v>1</v>
      </c>
      <c r="AR33" s="42" t="n">
        <v>-1</v>
      </c>
      <c r="AS33" s="42" t="n">
        <v>-1</v>
      </c>
      <c r="AT33" s="42" t="n">
        <v>1</v>
      </c>
      <c r="AU33" s="42" t="n">
        <v>-1</v>
      </c>
      <c r="AV33" s="42" t="n">
        <v>1</v>
      </c>
      <c r="AW33" s="42" t="n">
        <v>1</v>
      </c>
      <c r="AX33" s="42" t="n">
        <v>-1</v>
      </c>
      <c r="AY33" s="42" t="n">
        <v>-1</v>
      </c>
      <c r="AZ33" s="42" t="n">
        <v>1</v>
      </c>
      <c r="BA33" s="42" t="n">
        <v>1</v>
      </c>
      <c r="BB33" s="42" t="n">
        <v>-1</v>
      </c>
      <c r="BC33" s="42" t="n">
        <v>-1</v>
      </c>
      <c r="BD33" s="42" t="n">
        <v>1</v>
      </c>
      <c r="BE33" s="42" t="n">
        <v>1</v>
      </c>
      <c r="BF33" s="42" t="n">
        <v>-1</v>
      </c>
      <c r="BG33" s="42" t="n">
        <v>-1</v>
      </c>
      <c r="BH33" s="42" t="n">
        <v>1</v>
      </c>
      <c r="BI33" s="42" t="n">
        <v>1</v>
      </c>
      <c r="BJ33" s="42" t="n">
        <v>-1</v>
      </c>
    </row>
    <row r="34">
      <c r="A34" s="6" t="n">
        <v>14</v>
      </c>
      <c r="B34" s="28">
        <f>IF(AND(AE34=1,1&lt;=$B$17),1,"")</f>
        <v/>
      </c>
      <c r="C34" s="28">
        <f>IF(AND(AE34=1,2&lt;=$B$17),-1,"")</f>
        <v/>
      </c>
      <c r="D34" s="28">
        <f>IF(AND(AE34=1,3&lt;=$B$17),1,"")</f>
        <v/>
      </c>
      <c r="E34" s="28">
        <f>IF(AND(AE34=1,4&lt;=$B$17),1,"")</f>
        <v/>
      </c>
      <c r="F34" s="28">
        <f>IF(AND(AE34=1,5&lt;=$B$17),-1,"")</f>
        <v/>
      </c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28">
        <f>IF(AND(AE34=1,COUNT(G34:Z34)&gt;0),COUNT(G34:Z34),"")</f>
        <v/>
      </c>
      <c r="AB34" s="29">
        <f>IF(ISNUMBER(AA34),AVERAGE(G34:Z34),"")</f>
        <v/>
      </c>
      <c r="AC34" s="29">
        <f>IF(ISNUMBER(AA34),SUM(G34:Z34),0)</f>
        <v/>
      </c>
      <c r="AD34" s="29">
        <f>IF(ISNUMBER(AA34),DEVSQ(G34:Z34),0)</f>
        <v/>
      </c>
      <c r="AE34" s="28">
        <f>IF(AND(ISNUMBER($B$17),$B$17&gt;=2,$B$17&lt;=5,A34&lt;=2^$B$17),1,0)</f>
        <v/>
      </c>
      <c r="AF34" s="42" t="n">
        <v>1</v>
      </c>
      <c r="AG34" s="42" t="n">
        <v>-1</v>
      </c>
      <c r="AH34" s="42" t="n">
        <v>-1</v>
      </c>
      <c r="AI34" s="42" t="n">
        <v>1</v>
      </c>
      <c r="AJ34" s="42" t="n">
        <v>1</v>
      </c>
      <c r="AK34" s="42" t="n">
        <v>-1</v>
      </c>
      <c r="AL34" s="42" t="n">
        <v>-1</v>
      </c>
      <c r="AM34" s="42" t="n">
        <v>1</v>
      </c>
      <c r="AN34" s="42" t="n">
        <v>1</v>
      </c>
      <c r="AO34" s="42" t="n">
        <v>-1</v>
      </c>
      <c r="AP34" s="42" t="n">
        <v>-1</v>
      </c>
      <c r="AQ34" s="42" t="n">
        <v>1</v>
      </c>
      <c r="AR34" s="42" t="n">
        <v>1</v>
      </c>
      <c r="AS34" s="42" t="n">
        <v>-1</v>
      </c>
      <c r="AT34" s="42" t="n">
        <v>-1</v>
      </c>
      <c r="AU34" s="42" t="n">
        <v>-1</v>
      </c>
      <c r="AV34" s="42" t="n">
        <v>-1</v>
      </c>
      <c r="AW34" s="42" t="n">
        <v>1</v>
      </c>
      <c r="AX34" s="42" t="n">
        <v>1</v>
      </c>
      <c r="AY34" s="42" t="n">
        <v>-1</v>
      </c>
      <c r="AZ34" s="42" t="n">
        <v>-1</v>
      </c>
      <c r="BA34" s="42" t="n">
        <v>1</v>
      </c>
      <c r="BB34" s="42" t="n">
        <v>1</v>
      </c>
      <c r="BC34" s="42" t="n">
        <v>-1</v>
      </c>
      <c r="BD34" s="42" t="n">
        <v>-1</v>
      </c>
      <c r="BE34" s="42" t="n">
        <v>1</v>
      </c>
      <c r="BF34" s="42" t="n">
        <v>1</v>
      </c>
      <c r="BG34" s="42" t="n">
        <v>-1</v>
      </c>
      <c r="BH34" s="42" t="n">
        <v>-1</v>
      </c>
      <c r="BI34" s="42" t="n">
        <v>1</v>
      </c>
      <c r="BJ34" s="42" t="n">
        <v>1</v>
      </c>
    </row>
    <row r="35">
      <c r="A35" s="6" t="n">
        <v>15</v>
      </c>
      <c r="B35" s="28">
        <f>IF(AND(AE35=1,1&lt;=$B$17),-1,"")</f>
        <v/>
      </c>
      <c r="C35" s="28">
        <f>IF(AND(AE35=1,2&lt;=$B$17),1,"")</f>
        <v/>
      </c>
      <c r="D35" s="28">
        <f>IF(AND(AE35=1,3&lt;=$B$17),1,"")</f>
        <v/>
      </c>
      <c r="E35" s="28">
        <f>IF(AND(AE35=1,4&lt;=$B$17),1,"")</f>
        <v/>
      </c>
      <c r="F35" s="28">
        <f>IF(AND(AE35=1,5&lt;=$B$17),-1,"")</f>
        <v/>
      </c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28">
        <f>IF(AND(AE35=1,COUNT(G35:Z35)&gt;0),COUNT(G35:Z35),"")</f>
        <v/>
      </c>
      <c r="AB35" s="29">
        <f>IF(ISNUMBER(AA35),AVERAGE(G35:Z35),"")</f>
        <v/>
      </c>
      <c r="AC35" s="29">
        <f>IF(ISNUMBER(AA35),SUM(G35:Z35),0)</f>
        <v/>
      </c>
      <c r="AD35" s="29">
        <f>IF(ISNUMBER(AA35),DEVSQ(G35:Z35),0)</f>
        <v/>
      </c>
      <c r="AE35" s="28">
        <f>IF(AND(ISNUMBER($B$17),$B$17&gt;=2,$B$17&lt;=5,A35&lt;=2^$B$17),1,0)</f>
        <v/>
      </c>
      <c r="AF35" s="42" t="n">
        <v>-1</v>
      </c>
      <c r="AG35" s="42" t="n">
        <v>1</v>
      </c>
      <c r="AH35" s="42" t="n">
        <v>-1</v>
      </c>
      <c r="AI35" s="42" t="n">
        <v>1</v>
      </c>
      <c r="AJ35" s="42" t="n">
        <v>-1</v>
      </c>
      <c r="AK35" s="42" t="n">
        <v>1</v>
      </c>
      <c r="AL35" s="42" t="n">
        <v>-1</v>
      </c>
      <c r="AM35" s="42" t="n">
        <v>1</v>
      </c>
      <c r="AN35" s="42" t="n">
        <v>-1</v>
      </c>
      <c r="AO35" s="42" t="n">
        <v>1</v>
      </c>
      <c r="AP35" s="42" t="n">
        <v>-1</v>
      </c>
      <c r="AQ35" s="42" t="n">
        <v>1</v>
      </c>
      <c r="AR35" s="42" t="n">
        <v>-1</v>
      </c>
      <c r="AS35" s="42" t="n">
        <v>1</v>
      </c>
      <c r="AT35" s="42" t="n">
        <v>-1</v>
      </c>
      <c r="AU35" s="42" t="n">
        <v>-1</v>
      </c>
      <c r="AV35" s="42" t="n">
        <v>1</v>
      </c>
      <c r="AW35" s="42" t="n">
        <v>-1</v>
      </c>
      <c r="AX35" s="42" t="n">
        <v>1</v>
      </c>
      <c r="AY35" s="42" t="n">
        <v>-1</v>
      </c>
      <c r="AZ35" s="42" t="n">
        <v>1</v>
      </c>
      <c r="BA35" s="42" t="n">
        <v>-1</v>
      </c>
      <c r="BB35" s="42" t="n">
        <v>1</v>
      </c>
      <c r="BC35" s="42" t="n">
        <v>-1</v>
      </c>
      <c r="BD35" s="42" t="n">
        <v>1</v>
      </c>
      <c r="BE35" s="42" t="n">
        <v>-1</v>
      </c>
      <c r="BF35" s="42" t="n">
        <v>1</v>
      </c>
      <c r="BG35" s="42" t="n">
        <v>-1</v>
      </c>
      <c r="BH35" s="42" t="n">
        <v>1</v>
      </c>
      <c r="BI35" s="42" t="n">
        <v>-1</v>
      </c>
      <c r="BJ35" s="42" t="n">
        <v>1</v>
      </c>
    </row>
    <row r="36">
      <c r="A36" s="6" t="n">
        <v>16</v>
      </c>
      <c r="B36" s="28">
        <f>IF(AND(AE36=1,1&lt;=$B$17),1,"")</f>
        <v/>
      </c>
      <c r="C36" s="28">
        <f>IF(AND(AE36=1,2&lt;=$B$17),1,"")</f>
        <v/>
      </c>
      <c r="D36" s="28">
        <f>IF(AND(AE36=1,3&lt;=$B$17),1,"")</f>
        <v/>
      </c>
      <c r="E36" s="28">
        <f>IF(AND(AE36=1,4&lt;=$B$17),1,"")</f>
        <v/>
      </c>
      <c r="F36" s="28">
        <f>IF(AND(AE36=1,5&lt;=$B$17),-1,"")</f>
        <v/>
      </c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28">
        <f>IF(AND(AE36=1,COUNT(G36:Z36)&gt;0),COUNT(G36:Z36),"")</f>
        <v/>
      </c>
      <c r="AB36" s="29">
        <f>IF(ISNUMBER(AA36),AVERAGE(G36:Z36),"")</f>
        <v/>
      </c>
      <c r="AC36" s="29">
        <f>IF(ISNUMBER(AA36),SUM(G36:Z36),0)</f>
        <v/>
      </c>
      <c r="AD36" s="29">
        <f>IF(ISNUMBER(AA36),DEVSQ(G36:Z36),0)</f>
        <v/>
      </c>
      <c r="AE36" s="28">
        <f>IF(AND(ISNUMBER($B$17),$B$17&gt;=2,$B$17&lt;=5,A36&lt;=2^$B$17),1,0)</f>
        <v/>
      </c>
      <c r="AF36" s="42" t="n">
        <v>1</v>
      </c>
      <c r="AG36" s="42" t="n">
        <v>1</v>
      </c>
      <c r="AH36" s="42" t="n">
        <v>1</v>
      </c>
      <c r="AI36" s="42" t="n">
        <v>1</v>
      </c>
      <c r="AJ36" s="42" t="n">
        <v>1</v>
      </c>
      <c r="AK36" s="42" t="n">
        <v>1</v>
      </c>
      <c r="AL36" s="42" t="n">
        <v>1</v>
      </c>
      <c r="AM36" s="42" t="n">
        <v>1</v>
      </c>
      <c r="AN36" s="42" t="n">
        <v>1</v>
      </c>
      <c r="AO36" s="42" t="n">
        <v>1</v>
      </c>
      <c r="AP36" s="42" t="n">
        <v>1</v>
      </c>
      <c r="AQ36" s="42" t="n">
        <v>1</v>
      </c>
      <c r="AR36" s="42" t="n">
        <v>1</v>
      </c>
      <c r="AS36" s="42" t="n">
        <v>1</v>
      </c>
      <c r="AT36" s="42" t="n">
        <v>1</v>
      </c>
      <c r="AU36" s="42" t="n">
        <v>-1</v>
      </c>
      <c r="AV36" s="42" t="n">
        <v>-1</v>
      </c>
      <c r="AW36" s="42" t="n">
        <v>-1</v>
      </c>
      <c r="AX36" s="42" t="n">
        <v>-1</v>
      </c>
      <c r="AY36" s="42" t="n">
        <v>-1</v>
      </c>
      <c r="AZ36" s="42" t="n">
        <v>-1</v>
      </c>
      <c r="BA36" s="42" t="n">
        <v>-1</v>
      </c>
      <c r="BB36" s="42" t="n">
        <v>-1</v>
      </c>
      <c r="BC36" s="42" t="n">
        <v>-1</v>
      </c>
      <c r="BD36" s="42" t="n">
        <v>-1</v>
      </c>
      <c r="BE36" s="42" t="n">
        <v>-1</v>
      </c>
      <c r="BF36" s="42" t="n">
        <v>-1</v>
      </c>
      <c r="BG36" s="42" t="n">
        <v>-1</v>
      </c>
      <c r="BH36" s="42" t="n">
        <v>-1</v>
      </c>
      <c r="BI36" s="42" t="n">
        <v>-1</v>
      </c>
      <c r="BJ36" s="42" t="n">
        <v>-1</v>
      </c>
    </row>
    <row r="37">
      <c r="A37" s="6" t="n">
        <v>17</v>
      </c>
      <c r="B37" s="28">
        <f>IF(AND(AE37=1,1&lt;=$B$17),-1,"")</f>
        <v/>
      </c>
      <c r="C37" s="28">
        <f>IF(AND(AE37=1,2&lt;=$B$17),-1,"")</f>
        <v/>
      </c>
      <c r="D37" s="28">
        <f>IF(AND(AE37=1,3&lt;=$B$17),-1,"")</f>
        <v/>
      </c>
      <c r="E37" s="28">
        <f>IF(AND(AE37=1,4&lt;=$B$17),-1,"")</f>
        <v/>
      </c>
      <c r="F37" s="28">
        <f>IF(AND(AE37=1,5&lt;=$B$17),1,"")</f>
        <v/>
      </c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28">
        <f>IF(AND(AE37=1,COUNT(G37:Z37)&gt;0),COUNT(G37:Z37),"")</f>
        <v/>
      </c>
      <c r="AB37" s="29">
        <f>IF(ISNUMBER(AA37),AVERAGE(G37:Z37),"")</f>
        <v/>
      </c>
      <c r="AC37" s="29">
        <f>IF(ISNUMBER(AA37),SUM(G37:Z37),0)</f>
        <v/>
      </c>
      <c r="AD37" s="29">
        <f>IF(ISNUMBER(AA37),DEVSQ(G37:Z37),0)</f>
        <v/>
      </c>
      <c r="AE37" s="28">
        <f>IF(AND(ISNUMBER($B$17),$B$17&gt;=2,$B$17&lt;=5,A37&lt;=2^$B$17),1,0)</f>
        <v/>
      </c>
      <c r="AF37" s="42" t="n">
        <v>-1</v>
      </c>
      <c r="AG37" s="42" t="n">
        <v>-1</v>
      </c>
      <c r="AH37" s="42" t="n">
        <v>1</v>
      </c>
      <c r="AI37" s="42" t="n">
        <v>-1</v>
      </c>
      <c r="AJ37" s="42" t="n">
        <v>1</v>
      </c>
      <c r="AK37" s="42" t="n">
        <v>1</v>
      </c>
      <c r="AL37" s="42" t="n">
        <v>-1</v>
      </c>
      <c r="AM37" s="42" t="n">
        <v>-1</v>
      </c>
      <c r="AN37" s="42" t="n">
        <v>1</v>
      </c>
      <c r="AO37" s="42" t="n">
        <v>1</v>
      </c>
      <c r="AP37" s="42" t="n">
        <v>-1</v>
      </c>
      <c r="AQ37" s="42" t="n">
        <v>1</v>
      </c>
      <c r="AR37" s="42" t="n">
        <v>-1</v>
      </c>
      <c r="AS37" s="42" t="n">
        <v>-1</v>
      </c>
      <c r="AT37" s="42" t="n">
        <v>1</v>
      </c>
      <c r="AU37" s="42" t="n">
        <v>1</v>
      </c>
      <c r="AV37" s="42" t="n">
        <v>-1</v>
      </c>
      <c r="AW37" s="42" t="n">
        <v>-1</v>
      </c>
      <c r="AX37" s="42" t="n">
        <v>1</v>
      </c>
      <c r="AY37" s="42" t="n">
        <v>-1</v>
      </c>
      <c r="AZ37" s="42" t="n">
        <v>1</v>
      </c>
      <c r="BA37" s="42" t="n">
        <v>1</v>
      </c>
      <c r="BB37" s="42" t="n">
        <v>-1</v>
      </c>
      <c r="BC37" s="42" t="n">
        <v>-1</v>
      </c>
      <c r="BD37" s="42" t="n">
        <v>1</v>
      </c>
      <c r="BE37" s="42" t="n">
        <v>1</v>
      </c>
      <c r="BF37" s="42" t="n">
        <v>-1</v>
      </c>
      <c r="BG37" s="42" t="n">
        <v>1</v>
      </c>
      <c r="BH37" s="42" t="n">
        <v>-1</v>
      </c>
      <c r="BI37" s="42" t="n">
        <v>-1</v>
      </c>
      <c r="BJ37" s="42" t="n">
        <v>1</v>
      </c>
    </row>
    <row r="38">
      <c r="A38" s="6" t="n">
        <v>18</v>
      </c>
      <c r="B38" s="28">
        <f>IF(AND(AE38=1,1&lt;=$B$17),1,"")</f>
        <v/>
      </c>
      <c r="C38" s="28">
        <f>IF(AND(AE38=1,2&lt;=$B$17),-1,"")</f>
        <v/>
      </c>
      <c r="D38" s="28">
        <f>IF(AND(AE38=1,3&lt;=$B$17),-1,"")</f>
        <v/>
      </c>
      <c r="E38" s="28">
        <f>IF(AND(AE38=1,4&lt;=$B$17),-1,"")</f>
        <v/>
      </c>
      <c r="F38" s="28">
        <f>IF(AND(AE38=1,5&lt;=$B$17),1,"")</f>
        <v/>
      </c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28">
        <f>IF(AND(AE38=1,COUNT(G38:Z38)&gt;0),COUNT(G38:Z38),"")</f>
        <v/>
      </c>
      <c r="AB38" s="29">
        <f>IF(ISNUMBER(AA38),AVERAGE(G38:Z38),"")</f>
        <v/>
      </c>
      <c r="AC38" s="29">
        <f>IF(ISNUMBER(AA38),SUM(G38:Z38),0)</f>
        <v/>
      </c>
      <c r="AD38" s="29">
        <f>IF(ISNUMBER(AA38),DEVSQ(G38:Z38),0)</f>
        <v/>
      </c>
      <c r="AE38" s="28">
        <f>IF(AND(ISNUMBER($B$17),$B$17&gt;=2,$B$17&lt;=5,A38&lt;=2^$B$17),1,0)</f>
        <v/>
      </c>
      <c r="AF38" s="42" t="n">
        <v>1</v>
      </c>
      <c r="AG38" s="42" t="n">
        <v>-1</v>
      </c>
      <c r="AH38" s="42" t="n">
        <v>-1</v>
      </c>
      <c r="AI38" s="42" t="n">
        <v>-1</v>
      </c>
      <c r="AJ38" s="42" t="n">
        <v>-1</v>
      </c>
      <c r="AK38" s="42" t="n">
        <v>1</v>
      </c>
      <c r="AL38" s="42" t="n">
        <v>1</v>
      </c>
      <c r="AM38" s="42" t="n">
        <v>-1</v>
      </c>
      <c r="AN38" s="42" t="n">
        <v>-1</v>
      </c>
      <c r="AO38" s="42" t="n">
        <v>1</v>
      </c>
      <c r="AP38" s="42" t="n">
        <v>1</v>
      </c>
      <c r="AQ38" s="42" t="n">
        <v>1</v>
      </c>
      <c r="AR38" s="42" t="n">
        <v>1</v>
      </c>
      <c r="AS38" s="42" t="n">
        <v>-1</v>
      </c>
      <c r="AT38" s="42" t="n">
        <v>-1</v>
      </c>
      <c r="AU38" s="42" t="n">
        <v>1</v>
      </c>
      <c r="AV38" s="42" t="n">
        <v>1</v>
      </c>
      <c r="AW38" s="42" t="n">
        <v>-1</v>
      </c>
      <c r="AX38" s="42" t="n">
        <v>-1</v>
      </c>
      <c r="AY38" s="42" t="n">
        <v>-1</v>
      </c>
      <c r="AZ38" s="42" t="n">
        <v>-1</v>
      </c>
      <c r="BA38" s="42" t="n">
        <v>1</v>
      </c>
      <c r="BB38" s="42" t="n">
        <v>1</v>
      </c>
      <c r="BC38" s="42" t="n">
        <v>-1</v>
      </c>
      <c r="BD38" s="42" t="n">
        <v>-1</v>
      </c>
      <c r="BE38" s="42" t="n">
        <v>1</v>
      </c>
      <c r="BF38" s="42" t="n">
        <v>1</v>
      </c>
      <c r="BG38" s="42" t="n">
        <v>1</v>
      </c>
      <c r="BH38" s="42" t="n">
        <v>1</v>
      </c>
      <c r="BI38" s="42" t="n">
        <v>-1</v>
      </c>
      <c r="BJ38" s="42" t="n">
        <v>-1</v>
      </c>
    </row>
    <row r="39">
      <c r="A39" s="6" t="n">
        <v>19</v>
      </c>
      <c r="B39" s="28">
        <f>IF(AND(AE39=1,1&lt;=$B$17),-1,"")</f>
        <v/>
      </c>
      <c r="C39" s="28">
        <f>IF(AND(AE39=1,2&lt;=$B$17),1,"")</f>
        <v/>
      </c>
      <c r="D39" s="28">
        <f>IF(AND(AE39=1,3&lt;=$B$17),-1,"")</f>
        <v/>
      </c>
      <c r="E39" s="28">
        <f>IF(AND(AE39=1,4&lt;=$B$17),-1,"")</f>
        <v/>
      </c>
      <c r="F39" s="28">
        <f>IF(AND(AE39=1,5&lt;=$B$17),1,"")</f>
        <v/>
      </c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28">
        <f>IF(AND(AE39=1,COUNT(G39:Z39)&gt;0),COUNT(G39:Z39),"")</f>
        <v/>
      </c>
      <c r="AB39" s="29">
        <f>IF(ISNUMBER(AA39),AVERAGE(G39:Z39),"")</f>
        <v/>
      </c>
      <c r="AC39" s="29">
        <f>IF(ISNUMBER(AA39),SUM(G39:Z39),0)</f>
        <v/>
      </c>
      <c r="AD39" s="29">
        <f>IF(ISNUMBER(AA39),DEVSQ(G39:Z39),0)</f>
        <v/>
      </c>
      <c r="AE39" s="28">
        <f>IF(AND(ISNUMBER($B$17),$B$17&gt;=2,$B$17&lt;=5,A39&lt;=2^$B$17),1,0)</f>
        <v/>
      </c>
      <c r="AF39" s="42" t="n">
        <v>-1</v>
      </c>
      <c r="AG39" s="42" t="n">
        <v>1</v>
      </c>
      <c r="AH39" s="42" t="n">
        <v>-1</v>
      </c>
      <c r="AI39" s="42" t="n">
        <v>-1</v>
      </c>
      <c r="AJ39" s="42" t="n">
        <v>1</v>
      </c>
      <c r="AK39" s="42" t="n">
        <v>-1</v>
      </c>
      <c r="AL39" s="42" t="n">
        <v>1</v>
      </c>
      <c r="AM39" s="42" t="n">
        <v>-1</v>
      </c>
      <c r="AN39" s="42" t="n">
        <v>1</v>
      </c>
      <c r="AO39" s="42" t="n">
        <v>-1</v>
      </c>
      <c r="AP39" s="42" t="n">
        <v>1</v>
      </c>
      <c r="AQ39" s="42" t="n">
        <v>1</v>
      </c>
      <c r="AR39" s="42" t="n">
        <v>-1</v>
      </c>
      <c r="AS39" s="42" t="n">
        <v>1</v>
      </c>
      <c r="AT39" s="42" t="n">
        <v>-1</v>
      </c>
      <c r="AU39" s="42" t="n">
        <v>1</v>
      </c>
      <c r="AV39" s="42" t="n">
        <v>-1</v>
      </c>
      <c r="AW39" s="42" t="n">
        <v>1</v>
      </c>
      <c r="AX39" s="42" t="n">
        <v>-1</v>
      </c>
      <c r="AY39" s="42" t="n">
        <v>-1</v>
      </c>
      <c r="AZ39" s="42" t="n">
        <v>1</v>
      </c>
      <c r="BA39" s="42" t="n">
        <v>-1</v>
      </c>
      <c r="BB39" s="42" t="n">
        <v>1</v>
      </c>
      <c r="BC39" s="42" t="n">
        <v>-1</v>
      </c>
      <c r="BD39" s="42" t="n">
        <v>1</v>
      </c>
      <c r="BE39" s="42" t="n">
        <v>-1</v>
      </c>
      <c r="BF39" s="42" t="n">
        <v>1</v>
      </c>
      <c r="BG39" s="42" t="n">
        <v>1</v>
      </c>
      <c r="BH39" s="42" t="n">
        <v>-1</v>
      </c>
      <c r="BI39" s="42" t="n">
        <v>1</v>
      </c>
      <c r="BJ39" s="42" t="n">
        <v>-1</v>
      </c>
    </row>
    <row r="40">
      <c r="A40" s="6" t="n">
        <v>20</v>
      </c>
      <c r="B40" s="28">
        <f>IF(AND(AE40=1,1&lt;=$B$17),1,"")</f>
        <v/>
      </c>
      <c r="C40" s="28">
        <f>IF(AND(AE40=1,2&lt;=$B$17),1,"")</f>
        <v/>
      </c>
      <c r="D40" s="28">
        <f>IF(AND(AE40=1,3&lt;=$B$17),-1,"")</f>
        <v/>
      </c>
      <c r="E40" s="28">
        <f>IF(AND(AE40=1,4&lt;=$B$17),-1,"")</f>
        <v/>
      </c>
      <c r="F40" s="28">
        <f>IF(AND(AE40=1,5&lt;=$B$17),1,"")</f>
        <v/>
      </c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28">
        <f>IF(AND(AE40=1,COUNT(G40:Z40)&gt;0),COUNT(G40:Z40),"")</f>
        <v/>
      </c>
      <c r="AB40" s="29">
        <f>IF(ISNUMBER(AA40),AVERAGE(G40:Z40),"")</f>
        <v/>
      </c>
      <c r="AC40" s="29">
        <f>IF(ISNUMBER(AA40),SUM(G40:Z40),0)</f>
        <v/>
      </c>
      <c r="AD40" s="29">
        <f>IF(ISNUMBER(AA40),DEVSQ(G40:Z40),0)</f>
        <v/>
      </c>
      <c r="AE40" s="28">
        <f>IF(AND(ISNUMBER($B$17),$B$17&gt;=2,$B$17&lt;=5,A40&lt;=2^$B$17),1,0)</f>
        <v/>
      </c>
      <c r="AF40" s="42" t="n">
        <v>1</v>
      </c>
      <c r="AG40" s="42" t="n">
        <v>1</v>
      </c>
      <c r="AH40" s="42" t="n">
        <v>1</v>
      </c>
      <c r="AI40" s="42" t="n">
        <v>-1</v>
      </c>
      <c r="AJ40" s="42" t="n">
        <v>-1</v>
      </c>
      <c r="AK40" s="42" t="n">
        <v>-1</v>
      </c>
      <c r="AL40" s="42" t="n">
        <v>-1</v>
      </c>
      <c r="AM40" s="42" t="n">
        <v>-1</v>
      </c>
      <c r="AN40" s="42" t="n">
        <v>-1</v>
      </c>
      <c r="AO40" s="42" t="n">
        <v>-1</v>
      </c>
      <c r="AP40" s="42" t="n">
        <v>-1</v>
      </c>
      <c r="AQ40" s="42" t="n">
        <v>1</v>
      </c>
      <c r="AR40" s="42" t="n">
        <v>1</v>
      </c>
      <c r="AS40" s="42" t="n">
        <v>1</v>
      </c>
      <c r="AT40" s="42" t="n">
        <v>1</v>
      </c>
      <c r="AU40" s="42" t="n">
        <v>1</v>
      </c>
      <c r="AV40" s="42" t="n">
        <v>1</v>
      </c>
      <c r="AW40" s="42" t="n">
        <v>1</v>
      </c>
      <c r="AX40" s="42" t="n">
        <v>1</v>
      </c>
      <c r="AY40" s="42" t="n">
        <v>-1</v>
      </c>
      <c r="AZ40" s="42" t="n">
        <v>-1</v>
      </c>
      <c r="BA40" s="42" t="n">
        <v>-1</v>
      </c>
      <c r="BB40" s="42" t="n">
        <v>-1</v>
      </c>
      <c r="BC40" s="42" t="n">
        <v>-1</v>
      </c>
      <c r="BD40" s="42" t="n">
        <v>-1</v>
      </c>
      <c r="BE40" s="42" t="n">
        <v>-1</v>
      </c>
      <c r="BF40" s="42" t="n">
        <v>-1</v>
      </c>
      <c r="BG40" s="42" t="n">
        <v>1</v>
      </c>
      <c r="BH40" s="42" t="n">
        <v>1</v>
      </c>
      <c r="BI40" s="42" t="n">
        <v>1</v>
      </c>
      <c r="BJ40" s="42" t="n">
        <v>1</v>
      </c>
    </row>
    <row r="41">
      <c r="A41" s="6" t="n">
        <v>21</v>
      </c>
      <c r="B41" s="28">
        <f>IF(AND(AE41=1,1&lt;=$B$17),-1,"")</f>
        <v/>
      </c>
      <c r="C41" s="28">
        <f>IF(AND(AE41=1,2&lt;=$B$17),-1,"")</f>
        <v/>
      </c>
      <c r="D41" s="28">
        <f>IF(AND(AE41=1,3&lt;=$B$17),1,"")</f>
        <v/>
      </c>
      <c r="E41" s="28">
        <f>IF(AND(AE41=1,4&lt;=$B$17),-1,"")</f>
        <v/>
      </c>
      <c r="F41" s="28">
        <f>IF(AND(AE41=1,5&lt;=$B$17),1,"")</f>
        <v/>
      </c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28">
        <f>IF(AND(AE41=1,COUNT(G41:Z41)&gt;0),COUNT(G41:Z41),"")</f>
        <v/>
      </c>
      <c r="AB41" s="29">
        <f>IF(ISNUMBER(AA41),AVERAGE(G41:Z41),"")</f>
        <v/>
      </c>
      <c r="AC41" s="29">
        <f>IF(ISNUMBER(AA41),SUM(G41:Z41),0)</f>
        <v/>
      </c>
      <c r="AD41" s="29">
        <f>IF(ISNUMBER(AA41),DEVSQ(G41:Z41),0)</f>
        <v/>
      </c>
      <c r="AE41" s="28">
        <f>IF(AND(ISNUMBER($B$17),$B$17&gt;=2,$B$17&lt;=5,A41&lt;=2^$B$17),1,0)</f>
        <v/>
      </c>
      <c r="AF41" s="42" t="n">
        <v>-1</v>
      </c>
      <c r="AG41" s="42" t="n">
        <v>-1</v>
      </c>
      <c r="AH41" s="42" t="n">
        <v>1</v>
      </c>
      <c r="AI41" s="42" t="n">
        <v>1</v>
      </c>
      <c r="AJ41" s="42" t="n">
        <v>-1</v>
      </c>
      <c r="AK41" s="42" t="n">
        <v>-1</v>
      </c>
      <c r="AL41" s="42" t="n">
        <v>1</v>
      </c>
      <c r="AM41" s="42" t="n">
        <v>-1</v>
      </c>
      <c r="AN41" s="42" t="n">
        <v>1</v>
      </c>
      <c r="AO41" s="42" t="n">
        <v>1</v>
      </c>
      <c r="AP41" s="42" t="n">
        <v>-1</v>
      </c>
      <c r="AQ41" s="42" t="n">
        <v>-1</v>
      </c>
      <c r="AR41" s="42" t="n">
        <v>1</v>
      </c>
      <c r="AS41" s="42" t="n">
        <v>1</v>
      </c>
      <c r="AT41" s="42" t="n">
        <v>-1</v>
      </c>
      <c r="AU41" s="42" t="n">
        <v>1</v>
      </c>
      <c r="AV41" s="42" t="n">
        <v>-1</v>
      </c>
      <c r="AW41" s="42" t="n">
        <v>-1</v>
      </c>
      <c r="AX41" s="42" t="n">
        <v>1</v>
      </c>
      <c r="AY41" s="42" t="n">
        <v>1</v>
      </c>
      <c r="AZ41" s="42" t="n">
        <v>-1</v>
      </c>
      <c r="BA41" s="42" t="n">
        <v>-1</v>
      </c>
      <c r="BB41" s="42" t="n">
        <v>1</v>
      </c>
      <c r="BC41" s="42" t="n">
        <v>-1</v>
      </c>
      <c r="BD41" s="42" t="n">
        <v>1</v>
      </c>
      <c r="BE41" s="42" t="n">
        <v>1</v>
      </c>
      <c r="BF41" s="42" t="n">
        <v>-1</v>
      </c>
      <c r="BG41" s="42" t="n">
        <v>-1</v>
      </c>
      <c r="BH41" s="42" t="n">
        <v>1</v>
      </c>
      <c r="BI41" s="42" t="n">
        <v>1</v>
      </c>
      <c r="BJ41" s="42" t="n">
        <v>-1</v>
      </c>
    </row>
    <row r="42">
      <c r="A42" s="6" t="n">
        <v>22</v>
      </c>
      <c r="B42" s="28">
        <f>IF(AND(AE42=1,1&lt;=$B$17),1,"")</f>
        <v/>
      </c>
      <c r="C42" s="28">
        <f>IF(AND(AE42=1,2&lt;=$B$17),-1,"")</f>
        <v/>
      </c>
      <c r="D42" s="28">
        <f>IF(AND(AE42=1,3&lt;=$B$17),1,"")</f>
        <v/>
      </c>
      <c r="E42" s="28">
        <f>IF(AND(AE42=1,4&lt;=$B$17),-1,"")</f>
        <v/>
      </c>
      <c r="F42" s="28">
        <f>IF(AND(AE42=1,5&lt;=$B$17),1,"")</f>
        <v/>
      </c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28">
        <f>IF(AND(AE42=1,COUNT(G42:Z42)&gt;0),COUNT(G42:Z42),"")</f>
        <v/>
      </c>
      <c r="AB42" s="29">
        <f>IF(ISNUMBER(AA42),AVERAGE(G42:Z42),"")</f>
        <v/>
      </c>
      <c r="AC42" s="29">
        <f>IF(ISNUMBER(AA42),SUM(G42:Z42),0)</f>
        <v/>
      </c>
      <c r="AD42" s="29">
        <f>IF(ISNUMBER(AA42),DEVSQ(G42:Z42),0)</f>
        <v/>
      </c>
      <c r="AE42" s="28">
        <f>IF(AND(ISNUMBER($B$17),$B$17&gt;=2,$B$17&lt;=5,A42&lt;=2^$B$17),1,0)</f>
        <v/>
      </c>
      <c r="AF42" s="42" t="n">
        <v>1</v>
      </c>
      <c r="AG42" s="42" t="n">
        <v>-1</v>
      </c>
      <c r="AH42" s="42" t="n">
        <v>-1</v>
      </c>
      <c r="AI42" s="42" t="n">
        <v>1</v>
      </c>
      <c r="AJ42" s="42" t="n">
        <v>1</v>
      </c>
      <c r="AK42" s="42" t="n">
        <v>-1</v>
      </c>
      <c r="AL42" s="42" t="n">
        <v>-1</v>
      </c>
      <c r="AM42" s="42" t="n">
        <v>-1</v>
      </c>
      <c r="AN42" s="42" t="n">
        <v>-1</v>
      </c>
      <c r="AO42" s="42" t="n">
        <v>1</v>
      </c>
      <c r="AP42" s="42" t="n">
        <v>1</v>
      </c>
      <c r="AQ42" s="42" t="n">
        <v>-1</v>
      </c>
      <c r="AR42" s="42" t="n">
        <v>-1</v>
      </c>
      <c r="AS42" s="42" t="n">
        <v>1</v>
      </c>
      <c r="AT42" s="42" t="n">
        <v>1</v>
      </c>
      <c r="AU42" s="42" t="n">
        <v>1</v>
      </c>
      <c r="AV42" s="42" t="n">
        <v>1</v>
      </c>
      <c r="AW42" s="42" t="n">
        <v>-1</v>
      </c>
      <c r="AX42" s="42" t="n">
        <v>-1</v>
      </c>
      <c r="AY42" s="42" t="n">
        <v>1</v>
      </c>
      <c r="AZ42" s="42" t="n">
        <v>1</v>
      </c>
      <c r="BA42" s="42" t="n">
        <v>-1</v>
      </c>
      <c r="BB42" s="42" t="n">
        <v>-1</v>
      </c>
      <c r="BC42" s="42" t="n">
        <v>-1</v>
      </c>
      <c r="BD42" s="42" t="n">
        <v>-1</v>
      </c>
      <c r="BE42" s="42" t="n">
        <v>1</v>
      </c>
      <c r="BF42" s="42" t="n">
        <v>1</v>
      </c>
      <c r="BG42" s="42" t="n">
        <v>-1</v>
      </c>
      <c r="BH42" s="42" t="n">
        <v>-1</v>
      </c>
      <c r="BI42" s="42" t="n">
        <v>1</v>
      </c>
      <c r="BJ42" s="42" t="n">
        <v>1</v>
      </c>
    </row>
    <row r="43">
      <c r="A43" s="6" t="n">
        <v>23</v>
      </c>
      <c r="B43" s="28">
        <f>IF(AND(AE43=1,1&lt;=$B$17),-1,"")</f>
        <v/>
      </c>
      <c r="C43" s="28">
        <f>IF(AND(AE43=1,2&lt;=$B$17),1,"")</f>
        <v/>
      </c>
      <c r="D43" s="28">
        <f>IF(AND(AE43=1,3&lt;=$B$17),1,"")</f>
        <v/>
      </c>
      <c r="E43" s="28">
        <f>IF(AND(AE43=1,4&lt;=$B$17),-1,"")</f>
        <v/>
      </c>
      <c r="F43" s="28">
        <f>IF(AND(AE43=1,5&lt;=$B$17),1,"")</f>
        <v/>
      </c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28">
        <f>IF(AND(AE43=1,COUNT(G43:Z43)&gt;0),COUNT(G43:Z43),"")</f>
        <v/>
      </c>
      <c r="AB43" s="29">
        <f>IF(ISNUMBER(AA43),AVERAGE(G43:Z43),"")</f>
        <v/>
      </c>
      <c r="AC43" s="29">
        <f>IF(ISNUMBER(AA43),SUM(G43:Z43),0)</f>
        <v/>
      </c>
      <c r="AD43" s="29">
        <f>IF(ISNUMBER(AA43),DEVSQ(G43:Z43),0)</f>
        <v/>
      </c>
      <c r="AE43" s="28">
        <f>IF(AND(ISNUMBER($B$17),$B$17&gt;=2,$B$17&lt;=5,A43&lt;=2^$B$17),1,0)</f>
        <v/>
      </c>
      <c r="AF43" s="42" t="n">
        <v>-1</v>
      </c>
      <c r="AG43" s="42" t="n">
        <v>1</v>
      </c>
      <c r="AH43" s="42" t="n">
        <v>-1</v>
      </c>
      <c r="AI43" s="42" t="n">
        <v>1</v>
      </c>
      <c r="AJ43" s="42" t="n">
        <v>-1</v>
      </c>
      <c r="AK43" s="42" t="n">
        <v>1</v>
      </c>
      <c r="AL43" s="42" t="n">
        <v>-1</v>
      </c>
      <c r="AM43" s="42" t="n">
        <v>-1</v>
      </c>
      <c r="AN43" s="42" t="n">
        <v>1</v>
      </c>
      <c r="AO43" s="42" t="n">
        <v>-1</v>
      </c>
      <c r="AP43" s="42" t="n">
        <v>1</v>
      </c>
      <c r="AQ43" s="42" t="n">
        <v>-1</v>
      </c>
      <c r="AR43" s="42" t="n">
        <v>1</v>
      </c>
      <c r="AS43" s="42" t="n">
        <v>-1</v>
      </c>
      <c r="AT43" s="42" t="n">
        <v>1</v>
      </c>
      <c r="AU43" s="42" t="n">
        <v>1</v>
      </c>
      <c r="AV43" s="42" t="n">
        <v>-1</v>
      </c>
      <c r="AW43" s="42" t="n">
        <v>1</v>
      </c>
      <c r="AX43" s="42" t="n">
        <v>-1</v>
      </c>
      <c r="AY43" s="42" t="n">
        <v>1</v>
      </c>
      <c r="AZ43" s="42" t="n">
        <v>-1</v>
      </c>
      <c r="BA43" s="42" t="n">
        <v>1</v>
      </c>
      <c r="BB43" s="42" t="n">
        <v>-1</v>
      </c>
      <c r="BC43" s="42" t="n">
        <v>-1</v>
      </c>
      <c r="BD43" s="42" t="n">
        <v>1</v>
      </c>
      <c r="BE43" s="42" t="n">
        <v>-1</v>
      </c>
      <c r="BF43" s="42" t="n">
        <v>1</v>
      </c>
      <c r="BG43" s="42" t="n">
        <v>-1</v>
      </c>
      <c r="BH43" s="42" t="n">
        <v>1</v>
      </c>
      <c r="BI43" s="42" t="n">
        <v>-1</v>
      </c>
      <c r="BJ43" s="42" t="n">
        <v>1</v>
      </c>
    </row>
    <row r="44">
      <c r="A44" s="6" t="n">
        <v>24</v>
      </c>
      <c r="B44" s="28">
        <f>IF(AND(AE44=1,1&lt;=$B$17),1,"")</f>
        <v/>
      </c>
      <c r="C44" s="28">
        <f>IF(AND(AE44=1,2&lt;=$B$17),1,"")</f>
        <v/>
      </c>
      <c r="D44" s="28">
        <f>IF(AND(AE44=1,3&lt;=$B$17),1,"")</f>
        <v/>
      </c>
      <c r="E44" s="28">
        <f>IF(AND(AE44=1,4&lt;=$B$17),-1,"")</f>
        <v/>
      </c>
      <c r="F44" s="28">
        <f>IF(AND(AE44=1,5&lt;=$B$17),1,"")</f>
        <v/>
      </c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28">
        <f>IF(AND(AE44=1,COUNT(G44:Z44)&gt;0),COUNT(G44:Z44),"")</f>
        <v/>
      </c>
      <c r="AB44" s="29">
        <f>IF(ISNUMBER(AA44),AVERAGE(G44:Z44),"")</f>
        <v/>
      </c>
      <c r="AC44" s="29">
        <f>IF(ISNUMBER(AA44),SUM(G44:Z44),0)</f>
        <v/>
      </c>
      <c r="AD44" s="29">
        <f>IF(ISNUMBER(AA44),DEVSQ(G44:Z44),0)</f>
        <v/>
      </c>
      <c r="AE44" s="28">
        <f>IF(AND(ISNUMBER($B$17),$B$17&gt;=2,$B$17&lt;=5,A44&lt;=2^$B$17),1,0)</f>
        <v/>
      </c>
      <c r="AF44" s="42" t="n">
        <v>1</v>
      </c>
      <c r="AG44" s="42" t="n">
        <v>1</v>
      </c>
      <c r="AH44" s="42" t="n">
        <v>1</v>
      </c>
      <c r="AI44" s="42" t="n">
        <v>1</v>
      </c>
      <c r="AJ44" s="42" t="n">
        <v>1</v>
      </c>
      <c r="AK44" s="42" t="n">
        <v>1</v>
      </c>
      <c r="AL44" s="42" t="n">
        <v>1</v>
      </c>
      <c r="AM44" s="42" t="n">
        <v>-1</v>
      </c>
      <c r="AN44" s="42" t="n">
        <v>-1</v>
      </c>
      <c r="AO44" s="42" t="n">
        <v>-1</v>
      </c>
      <c r="AP44" s="42" t="n">
        <v>-1</v>
      </c>
      <c r="AQ44" s="42" t="n">
        <v>-1</v>
      </c>
      <c r="AR44" s="42" t="n">
        <v>-1</v>
      </c>
      <c r="AS44" s="42" t="n">
        <v>-1</v>
      </c>
      <c r="AT44" s="42" t="n">
        <v>-1</v>
      </c>
      <c r="AU44" s="42" t="n">
        <v>1</v>
      </c>
      <c r="AV44" s="42" t="n">
        <v>1</v>
      </c>
      <c r="AW44" s="42" t="n">
        <v>1</v>
      </c>
      <c r="AX44" s="42" t="n">
        <v>1</v>
      </c>
      <c r="AY44" s="42" t="n">
        <v>1</v>
      </c>
      <c r="AZ44" s="42" t="n">
        <v>1</v>
      </c>
      <c r="BA44" s="42" t="n">
        <v>1</v>
      </c>
      <c r="BB44" s="42" t="n">
        <v>1</v>
      </c>
      <c r="BC44" s="42" t="n">
        <v>-1</v>
      </c>
      <c r="BD44" s="42" t="n">
        <v>-1</v>
      </c>
      <c r="BE44" s="42" t="n">
        <v>-1</v>
      </c>
      <c r="BF44" s="42" t="n">
        <v>-1</v>
      </c>
      <c r="BG44" s="42" t="n">
        <v>-1</v>
      </c>
      <c r="BH44" s="42" t="n">
        <v>-1</v>
      </c>
      <c r="BI44" s="42" t="n">
        <v>-1</v>
      </c>
      <c r="BJ44" s="42" t="n">
        <v>-1</v>
      </c>
    </row>
    <row r="45">
      <c r="A45" s="6" t="n">
        <v>25</v>
      </c>
      <c r="B45" s="28">
        <f>IF(AND(AE45=1,1&lt;=$B$17),-1,"")</f>
        <v/>
      </c>
      <c r="C45" s="28">
        <f>IF(AND(AE45=1,2&lt;=$B$17),-1,"")</f>
        <v/>
      </c>
      <c r="D45" s="28">
        <f>IF(AND(AE45=1,3&lt;=$B$17),-1,"")</f>
        <v/>
      </c>
      <c r="E45" s="28">
        <f>IF(AND(AE45=1,4&lt;=$B$17),1,"")</f>
        <v/>
      </c>
      <c r="F45" s="28">
        <f>IF(AND(AE45=1,5&lt;=$B$17),1,"")</f>
        <v/>
      </c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28">
        <f>IF(AND(AE45=1,COUNT(G45:Z45)&gt;0),COUNT(G45:Z45),"")</f>
        <v/>
      </c>
      <c r="AB45" s="29">
        <f>IF(ISNUMBER(AA45),AVERAGE(G45:Z45),"")</f>
        <v/>
      </c>
      <c r="AC45" s="29">
        <f>IF(ISNUMBER(AA45),SUM(G45:Z45),0)</f>
        <v/>
      </c>
      <c r="AD45" s="29">
        <f>IF(ISNUMBER(AA45),DEVSQ(G45:Z45),0)</f>
        <v/>
      </c>
      <c r="AE45" s="28">
        <f>IF(AND(ISNUMBER($B$17),$B$17&gt;=2,$B$17&lt;=5,A45&lt;=2^$B$17),1,0)</f>
        <v/>
      </c>
      <c r="AF45" s="42" t="n">
        <v>-1</v>
      </c>
      <c r="AG45" s="42" t="n">
        <v>-1</v>
      </c>
      <c r="AH45" s="42" t="n">
        <v>1</v>
      </c>
      <c r="AI45" s="42" t="n">
        <v>-1</v>
      </c>
      <c r="AJ45" s="42" t="n">
        <v>1</v>
      </c>
      <c r="AK45" s="42" t="n">
        <v>1</v>
      </c>
      <c r="AL45" s="42" t="n">
        <v>-1</v>
      </c>
      <c r="AM45" s="42" t="n">
        <v>1</v>
      </c>
      <c r="AN45" s="42" t="n">
        <v>-1</v>
      </c>
      <c r="AO45" s="42" t="n">
        <v>-1</v>
      </c>
      <c r="AP45" s="42" t="n">
        <v>1</v>
      </c>
      <c r="AQ45" s="42" t="n">
        <v>-1</v>
      </c>
      <c r="AR45" s="42" t="n">
        <v>1</v>
      </c>
      <c r="AS45" s="42" t="n">
        <v>1</v>
      </c>
      <c r="AT45" s="42" t="n">
        <v>-1</v>
      </c>
      <c r="AU45" s="42" t="n">
        <v>1</v>
      </c>
      <c r="AV45" s="42" t="n">
        <v>-1</v>
      </c>
      <c r="AW45" s="42" t="n">
        <v>-1</v>
      </c>
      <c r="AX45" s="42" t="n">
        <v>1</v>
      </c>
      <c r="AY45" s="42" t="n">
        <v>-1</v>
      </c>
      <c r="AZ45" s="42" t="n">
        <v>1</v>
      </c>
      <c r="BA45" s="42" t="n">
        <v>1</v>
      </c>
      <c r="BB45" s="42" t="n">
        <v>-1</v>
      </c>
      <c r="BC45" s="42" t="n">
        <v>1</v>
      </c>
      <c r="BD45" s="42" t="n">
        <v>-1</v>
      </c>
      <c r="BE45" s="42" t="n">
        <v>-1</v>
      </c>
      <c r="BF45" s="42" t="n">
        <v>1</v>
      </c>
      <c r="BG45" s="42" t="n">
        <v>-1</v>
      </c>
      <c r="BH45" s="42" t="n">
        <v>1</v>
      </c>
      <c r="BI45" s="42" t="n">
        <v>1</v>
      </c>
      <c r="BJ45" s="42" t="n">
        <v>-1</v>
      </c>
    </row>
    <row r="46">
      <c r="A46" s="6" t="n">
        <v>26</v>
      </c>
      <c r="B46" s="28">
        <f>IF(AND(AE46=1,1&lt;=$B$17),1,"")</f>
        <v/>
      </c>
      <c r="C46" s="28">
        <f>IF(AND(AE46=1,2&lt;=$B$17),-1,"")</f>
        <v/>
      </c>
      <c r="D46" s="28">
        <f>IF(AND(AE46=1,3&lt;=$B$17),-1,"")</f>
        <v/>
      </c>
      <c r="E46" s="28">
        <f>IF(AND(AE46=1,4&lt;=$B$17),1,"")</f>
        <v/>
      </c>
      <c r="F46" s="28">
        <f>IF(AND(AE46=1,5&lt;=$B$17),1,"")</f>
        <v/>
      </c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28">
        <f>IF(AND(AE46=1,COUNT(G46:Z46)&gt;0),COUNT(G46:Z46),"")</f>
        <v/>
      </c>
      <c r="AB46" s="29">
        <f>IF(ISNUMBER(AA46),AVERAGE(G46:Z46),"")</f>
        <v/>
      </c>
      <c r="AC46" s="29">
        <f>IF(ISNUMBER(AA46),SUM(G46:Z46),0)</f>
        <v/>
      </c>
      <c r="AD46" s="29">
        <f>IF(ISNUMBER(AA46),DEVSQ(G46:Z46),0)</f>
        <v/>
      </c>
      <c r="AE46" s="28">
        <f>IF(AND(ISNUMBER($B$17),$B$17&gt;=2,$B$17&lt;=5,A46&lt;=2^$B$17),1,0)</f>
        <v/>
      </c>
      <c r="AF46" s="42" t="n">
        <v>1</v>
      </c>
      <c r="AG46" s="42" t="n">
        <v>-1</v>
      </c>
      <c r="AH46" s="42" t="n">
        <v>-1</v>
      </c>
      <c r="AI46" s="42" t="n">
        <v>-1</v>
      </c>
      <c r="AJ46" s="42" t="n">
        <v>-1</v>
      </c>
      <c r="AK46" s="42" t="n">
        <v>1</v>
      </c>
      <c r="AL46" s="42" t="n">
        <v>1</v>
      </c>
      <c r="AM46" s="42" t="n">
        <v>1</v>
      </c>
      <c r="AN46" s="42" t="n">
        <v>1</v>
      </c>
      <c r="AO46" s="42" t="n">
        <v>-1</v>
      </c>
      <c r="AP46" s="42" t="n">
        <v>-1</v>
      </c>
      <c r="AQ46" s="42" t="n">
        <v>-1</v>
      </c>
      <c r="AR46" s="42" t="n">
        <v>-1</v>
      </c>
      <c r="AS46" s="42" t="n">
        <v>1</v>
      </c>
      <c r="AT46" s="42" t="n">
        <v>1</v>
      </c>
      <c r="AU46" s="42" t="n">
        <v>1</v>
      </c>
      <c r="AV46" s="42" t="n">
        <v>1</v>
      </c>
      <c r="AW46" s="42" t="n">
        <v>-1</v>
      </c>
      <c r="AX46" s="42" t="n">
        <v>-1</v>
      </c>
      <c r="AY46" s="42" t="n">
        <v>-1</v>
      </c>
      <c r="AZ46" s="42" t="n">
        <v>-1</v>
      </c>
      <c r="BA46" s="42" t="n">
        <v>1</v>
      </c>
      <c r="BB46" s="42" t="n">
        <v>1</v>
      </c>
      <c r="BC46" s="42" t="n">
        <v>1</v>
      </c>
      <c r="BD46" s="42" t="n">
        <v>1</v>
      </c>
      <c r="BE46" s="42" t="n">
        <v>-1</v>
      </c>
      <c r="BF46" s="42" t="n">
        <v>-1</v>
      </c>
      <c r="BG46" s="42" t="n">
        <v>-1</v>
      </c>
      <c r="BH46" s="42" t="n">
        <v>-1</v>
      </c>
      <c r="BI46" s="42" t="n">
        <v>1</v>
      </c>
      <c r="BJ46" s="42" t="n">
        <v>1</v>
      </c>
    </row>
    <row r="47">
      <c r="A47" s="6" t="n">
        <v>27</v>
      </c>
      <c r="B47" s="28">
        <f>IF(AND(AE47=1,1&lt;=$B$17),-1,"")</f>
        <v/>
      </c>
      <c r="C47" s="28">
        <f>IF(AND(AE47=1,2&lt;=$B$17),1,"")</f>
        <v/>
      </c>
      <c r="D47" s="28">
        <f>IF(AND(AE47=1,3&lt;=$B$17),-1,"")</f>
        <v/>
      </c>
      <c r="E47" s="28">
        <f>IF(AND(AE47=1,4&lt;=$B$17),1,"")</f>
        <v/>
      </c>
      <c r="F47" s="28">
        <f>IF(AND(AE47=1,5&lt;=$B$17),1,"")</f>
        <v/>
      </c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28">
        <f>IF(AND(AE47=1,COUNT(G47:Z47)&gt;0),COUNT(G47:Z47),"")</f>
        <v/>
      </c>
      <c r="AB47" s="29">
        <f>IF(ISNUMBER(AA47),AVERAGE(G47:Z47),"")</f>
        <v/>
      </c>
      <c r="AC47" s="29">
        <f>IF(ISNUMBER(AA47),SUM(G47:Z47),0)</f>
        <v/>
      </c>
      <c r="AD47" s="29">
        <f>IF(ISNUMBER(AA47),DEVSQ(G47:Z47),0)</f>
        <v/>
      </c>
      <c r="AE47" s="28">
        <f>IF(AND(ISNUMBER($B$17),$B$17&gt;=2,$B$17&lt;=5,A47&lt;=2^$B$17),1,0)</f>
        <v/>
      </c>
      <c r="AF47" s="42" t="n">
        <v>-1</v>
      </c>
      <c r="AG47" s="42" t="n">
        <v>1</v>
      </c>
      <c r="AH47" s="42" t="n">
        <v>-1</v>
      </c>
      <c r="AI47" s="42" t="n">
        <v>-1</v>
      </c>
      <c r="AJ47" s="42" t="n">
        <v>1</v>
      </c>
      <c r="AK47" s="42" t="n">
        <v>-1</v>
      </c>
      <c r="AL47" s="42" t="n">
        <v>1</v>
      </c>
      <c r="AM47" s="42" t="n">
        <v>1</v>
      </c>
      <c r="AN47" s="42" t="n">
        <v>-1</v>
      </c>
      <c r="AO47" s="42" t="n">
        <v>1</v>
      </c>
      <c r="AP47" s="42" t="n">
        <v>-1</v>
      </c>
      <c r="AQ47" s="42" t="n">
        <v>-1</v>
      </c>
      <c r="AR47" s="42" t="n">
        <v>1</v>
      </c>
      <c r="AS47" s="42" t="n">
        <v>-1</v>
      </c>
      <c r="AT47" s="42" t="n">
        <v>1</v>
      </c>
      <c r="AU47" s="42" t="n">
        <v>1</v>
      </c>
      <c r="AV47" s="42" t="n">
        <v>-1</v>
      </c>
      <c r="AW47" s="42" t="n">
        <v>1</v>
      </c>
      <c r="AX47" s="42" t="n">
        <v>-1</v>
      </c>
      <c r="AY47" s="42" t="n">
        <v>-1</v>
      </c>
      <c r="AZ47" s="42" t="n">
        <v>1</v>
      </c>
      <c r="BA47" s="42" t="n">
        <v>-1</v>
      </c>
      <c r="BB47" s="42" t="n">
        <v>1</v>
      </c>
      <c r="BC47" s="42" t="n">
        <v>1</v>
      </c>
      <c r="BD47" s="42" t="n">
        <v>-1</v>
      </c>
      <c r="BE47" s="42" t="n">
        <v>1</v>
      </c>
      <c r="BF47" s="42" t="n">
        <v>-1</v>
      </c>
      <c r="BG47" s="42" t="n">
        <v>-1</v>
      </c>
      <c r="BH47" s="42" t="n">
        <v>1</v>
      </c>
      <c r="BI47" s="42" t="n">
        <v>-1</v>
      </c>
      <c r="BJ47" s="42" t="n">
        <v>1</v>
      </c>
    </row>
    <row r="48">
      <c r="A48" s="6" t="n">
        <v>28</v>
      </c>
      <c r="B48" s="28">
        <f>IF(AND(AE48=1,1&lt;=$B$17),1,"")</f>
        <v/>
      </c>
      <c r="C48" s="28">
        <f>IF(AND(AE48=1,2&lt;=$B$17),1,"")</f>
        <v/>
      </c>
      <c r="D48" s="28">
        <f>IF(AND(AE48=1,3&lt;=$B$17),-1,"")</f>
        <v/>
      </c>
      <c r="E48" s="28">
        <f>IF(AND(AE48=1,4&lt;=$B$17),1,"")</f>
        <v/>
      </c>
      <c r="F48" s="28">
        <f>IF(AND(AE48=1,5&lt;=$B$17),1,"")</f>
        <v/>
      </c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28">
        <f>IF(AND(AE48=1,COUNT(G48:Z48)&gt;0),COUNT(G48:Z48),"")</f>
        <v/>
      </c>
      <c r="AB48" s="29">
        <f>IF(ISNUMBER(AA48),AVERAGE(G48:Z48),"")</f>
        <v/>
      </c>
      <c r="AC48" s="29">
        <f>IF(ISNUMBER(AA48),SUM(G48:Z48),0)</f>
        <v/>
      </c>
      <c r="AD48" s="29">
        <f>IF(ISNUMBER(AA48),DEVSQ(G48:Z48),0)</f>
        <v/>
      </c>
      <c r="AE48" s="28">
        <f>IF(AND(ISNUMBER($B$17),$B$17&gt;=2,$B$17&lt;=5,A48&lt;=2^$B$17),1,0)</f>
        <v/>
      </c>
      <c r="AF48" s="42" t="n">
        <v>1</v>
      </c>
      <c r="AG48" s="42" t="n">
        <v>1</v>
      </c>
      <c r="AH48" s="42" t="n">
        <v>1</v>
      </c>
      <c r="AI48" s="42" t="n">
        <v>-1</v>
      </c>
      <c r="AJ48" s="42" t="n">
        <v>-1</v>
      </c>
      <c r="AK48" s="42" t="n">
        <v>-1</v>
      </c>
      <c r="AL48" s="42" t="n">
        <v>-1</v>
      </c>
      <c r="AM48" s="42" t="n">
        <v>1</v>
      </c>
      <c r="AN48" s="42" t="n">
        <v>1</v>
      </c>
      <c r="AO48" s="42" t="n">
        <v>1</v>
      </c>
      <c r="AP48" s="42" t="n">
        <v>1</v>
      </c>
      <c r="AQ48" s="42" t="n">
        <v>-1</v>
      </c>
      <c r="AR48" s="42" t="n">
        <v>-1</v>
      </c>
      <c r="AS48" s="42" t="n">
        <v>-1</v>
      </c>
      <c r="AT48" s="42" t="n">
        <v>-1</v>
      </c>
      <c r="AU48" s="42" t="n">
        <v>1</v>
      </c>
      <c r="AV48" s="42" t="n">
        <v>1</v>
      </c>
      <c r="AW48" s="42" t="n">
        <v>1</v>
      </c>
      <c r="AX48" s="42" t="n">
        <v>1</v>
      </c>
      <c r="AY48" s="42" t="n">
        <v>-1</v>
      </c>
      <c r="AZ48" s="42" t="n">
        <v>-1</v>
      </c>
      <c r="BA48" s="42" t="n">
        <v>-1</v>
      </c>
      <c r="BB48" s="42" t="n">
        <v>-1</v>
      </c>
      <c r="BC48" s="42" t="n">
        <v>1</v>
      </c>
      <c r="BD48" s="42" t="n">
        <v>1</v>
      </c>
      <c r="BE48" s="42" t="n">
        <v>1</v>
      </c>
      <c r="BF48" s="42" t="n">
        <v>1</v>
      </c>
      <c r="BG48" s="42" t="n">
        <v>-1</v>
      </c>
      <c r="BH48" s="42" t="n">
        <v>-1</v>
      </c>
      <c r="BI48" s="42" t="n">
        <v>-1</v>
      </c>
      <c r="BJ48" s="42" t="n">
        <v>-1</v>
      </c>
    </row>
    <row r="49">
      <c r="A49" s="6" t="n">
        <v>29</v>
      </c>
      <c r="B49" s="28">
        <f>IF(AND(AE49=1,1&lt;=$B$17),-1,"")</f>
        <v/>
      </c>
      <c r="C49" s="28">
        <f>IF(AND(AE49=1,2&lt;=$B$17),-1,"")</f>
        <v/>
      </c>
      <c r="D49" s="28">
        <f>IF(AND(AE49=1,3&lt;=$B$17),1,"")</f>
        <v/>
      </c>
      <c r="E49" s="28">
        <f>IF(AND(AE49=1,4&lt;=$B$17),1,"")</f>
        <v/>
      </c>
      <c r="F49" s="28">
        <f>IF(AND(AE49=1,5&lt;=$B$17),1,"")</f>
        <v/>
      </c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28">
        <f>IF(AND(AE49=1,COUNT(G49:Z49)&gt;0),COUNT(G49:Z49),"")</f>
        <v/>
      </c>
      <c r="AB49" s="29">
        <f>IF(ISNUMBER(AA49),AVERAGE(G49:Z49),"")</f>
        <v/>
      </c>
      <c r="AC49" s="29">
        <f>IF(ISNUMBER(AA49),SUM(G49:Z49),0)</f>
        <v/>
      </c>
      <c r="AD49" s="29">
        <f>IF(ISNUMBER(AA49),DEVSQ(G49:Z49),0)</f>
        <v/>
      </c>
      <c r="AE49" s="28">
        <f>IF(AND(ISNUMBER($B$17),$B$17&gt;=2,$B$17&lt;=5,A49&lt;=2^$B$17),1,0)</f>
        <v/>
      </c>
      <c r="AF49" s="42" t="n">
        <v>-1</v>
      </c>
      <c r="AG49" s="42" t="n">
        <v>-1</v>
      </c>
      <c r="AH49" s="42" t="n">
        <v>1</v>
      </c>
      <c r="AI49" s="42" t="n">
        <v>1</v>
      </c>
      <c r="AJ49" s="42" t="n">
        <v>-1</v>
      </c>
      <c r="AK49" s="42" t="n">
        <v>-1</v>
      </c>
      <c r="AL49" s="42" t="n">
        <v>1</v>
      </c>
      <c r="AM49" s="42" t="n">
        <v>1</v>
      </c>
      <c r="AN49" s="42" t="n">
        <v>-1</v>
      </c>
      <c r="AO49" s="42" t="n">
        <v>-1</v>
      </c>
      <c r="AP49" s="42" t="n">
        <v>1</v>
      </c>
      <c r="AQ49" s="42" t="n">
        <v>1</v>
      </c>
      <c r="AR49" s="42" t="n">
        <v>-1</v>
      </c>
      <c r="AS49" s="42" t="n">
        <v>-1</v>
      </c>
      <c r="AT49" s="42" t="n">
        <v>1</v>
      </c>
      <c r="AU49" s="42" t="n">
        <v>1</v>
      </c>
      <c r="AV49" s="42" t="n">
        <v>-1</v>
      </c>
      <c r="AW49" s="42" t="n">
        <v>-1</v>
      </c>
      <c r="AX49" s="42" t="n">
        <v>1</v>
      </c>
      <c r="AY49" s="42" t="n">
        <v>1</v>
      </c>
      <c r="AZ49" s="42" t="n">
        <v>-1</v>
      </c>
      <c r="BA49" s="42" t="n">
        <v>-1</v>
      </c>
      <c r="BB49" s="42" t="n">
        <v>1</v>
      </c>
      <c r="BC49" s="42" t="n">
        <v>1</v>
      </c>
      <c r="BD49" s="42" t="n">
        <v>-1</v>
      </c>
      <c r="BE49" s="42" t="n">
        <v>-1</v>
      </c>
      <c r="BF49" s="42" t="n">
        <v>1</v>
      </c>
      <c r="BG49" s="42" t="n">
        <v>1</v>
      </c>
      <c r="BH49" s="42" t="n">
        <v>-1</v>
      </c>
      <c r="BI49" s="42" t="n">
        <v>-1</v>
      </c>
      <c r="BJ49" s="42" t="n">
        <v>1</v>
      </c>
    </row>
    <row r="50">
      <c r="A50" s="6" t="n">
        <v>30</v>
      </c>
      <c r="B50" s="28">
        <f>IF(AND(AE50=1,1&lt;=$B$17),1,"")</f>
        <v/>
      </c>
      <c r="C50" s="28">
        <f>IF(AND(AE50=1,2&lt;=$B$17),-1,"")</f>
        <v/>
      </c>
      <c r="D50" s="28">
        <f>IF(AND(AE50=1,3&lt;=$B$17),1,"")</f>
        <v/>
      </c>
      <c r="E50" s="28">
        <f>IF(AND(AE50=1,4&lt;=$B$17),1,"")</f>
        <v/>
      </c>
      <c r="F50" s="28">
        <f>IF(AND(AE50=1,5&lt;=$B$17),1,"")</f>
        <v/>
      </c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28">
        <f>IF(AND(AE50=1,COUNT(G50:Z50)&gt;0),COUNT(G50:Z50),"")</f>
        <v/>
      </c>
      <c r="AB50" s="29">
        <f>IF(ISNUMBER(AA50),AVERAGE(G50:Z50),"")</f>
        <v/>
      </c>
      <c r="AC50" s="29">
        <f>IF(ISNUMBER(AA50),SUM(G50:Z50),0)</f>
        <v/>
      </c>
      <c r="AD50" s="29">
        <f>IF(ISNUMBER(AA50),DEVSQ(G50:Z50),0)</f>
        <v/>
      </c>
      <c r="AE50" s="28">
        <f>IF(AND(ISNUMBER($B$17),$B$17&gt;=2,$B$17&lt;=5,A50&lt;=2^$B$17),1,0)</f>
        <v/>
      </c>
      <c r="AF50" s="42" t="n">
        <v>1</v>
      </c>
      <c r="AG50" s="42" t="n">
        <v>-1</v>
      </c>
      <c r="AH50" s="42" t="n">
        <v>-1</v>
      </c>
      <c r="AI50" s="42" t="n">
        <v>1</v>
      </c>
      <c r="AJ50" s="42" t="n">
        <v>1</v>
      </c>
      <c r="AK50" s="42" t="n">
        <v>-1</v>
      </c>
      <c r="AL50" s="42" t="n">
        <v>-1</v>
      </c>
      <c r="AM50" s="42" t="n">
        <v>1</v>
      </c>
      <c r="AN50" s="42" t="n">
        <v>1</v>
      </c>
      <c r="AO50" s="42" t="n">
        <v>-1</v>
      </c>
      <c r="AP50" s="42" t="n">
        <v>-1</v>
      </c>
      <c r="AQ50" s="42" t="n">
        <v>1</v>
      </c>
      <c r="AR50" s="42" t="n">
        <v>1</v>
      </c>
      <c r="AS50" s="42" t="n">
        <v>-1</v>
      </c>
      <c r="AT50" s="42" t="n">
        <v>-1</v>
      </c>
      <c r="AU50" s="42" t="n">
        <v>1</v>
      </c>
      <c r="AV50" s="42" t="n">
        <v>1</v>
      </c>
      <c r="AW50" s="42" t="n">
        <v>-1</v>
      </c>
      <c r="AX50" s="42" t="n">
        <v>-1</v>
      </c>
      <c r="AY50" s="42" t="n">
        <v>1</v>
      </c>
      <c r="AZ50" s="42" t="n">
        <v>1</v>
      </c>
      <c r="BA50" s="42" t="n">
        <v>-1</v>
      </c>
      <c r="BB50" s="42" t="n">
        <v>-1</v>
      </c>
      <c r="BC50" s="42" t="n">
        <v>1</v>
      </c>
      <c r="BD50" s="42" t="n">
        <v>1</v>
      </c>
      <c r="BE50" s="42" t="n">
        <v>-1</v>
      </c>
      <c r="BF50" s="42" t="n">
        <v>-1</v>
      </c>
      <c r="BG50" s="42" t="n">
        <v>1</v>
      </c>
      <c r="BH50" s="42" t="n">
        <v>1</v>
      </c>
      <c r="BI50" s="42" t="n">
        <v>-1</v>
      </c>
      <c r="BJ50" s="42" t="n">
        <v>-1</v>
      </c>
    </row>
    <row r="51">
      <c r="A51" s="6" t="n">
        <v>31</v>
      </c>
      <c r="B51" s="28">
        <f>IF(AND(AE51=1,1&lt;=$B$17),-1,"")</f>
        <v/>
      </c>
      <c r="C51" s="28">
        <f>IF(AND(AE51=1,2&lt;=$B$17),1,"")</f>
        <v/>
      </c>
      <c r="D51" s="28">
        <f>IF(AND(AE51=1,3&lt;=$B$17),1,"")</f>
        <v/>
      </c>
      <c r="E51" s="28">
        <f>IF(AND(AE51=1,4&lt;=$B$17),1,"")</f>
        <v/>
      </c>
      <c r="F51" s="28">
        <f>IF(AND(AE51=1,5&lt;=$B$17),1,"")</f>
        <v/>
      </c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28">
        <f>IF(AND(AE51=1,COUNT(G51:Z51)&gt;0),COUNT(G51:Z51),"")</f>
        <v/>
      </c>
      <c r="AB51" s="29">
        <f>IF(ISNUMBER(AA51),AVERAGE(G51:Z51),"")</f>
        <v/>
      </c>
      <c r="AC51" s="29">
        <f>IF(ISNUMBER(AA51),SUM(G51:Z51),0)</f>
        <v/>
      </c>
      <c r="AD51" s="29">
        <f>IF(ISNUMBER(AA51),DEVSQ(G51:Z51),0)</f>
        <v/>
      </c>
      <c r="AE51" s="28">
        <f>IF(AND(ISNUMBER($B$17),$B$17&gt;=2,$B$17&lt;=5,A51&lt;=2^$B$17),1,0)</f>
        <v/>
      </c>
      <c r="AF51" s="42" t="n">
        <v>-1</v>
      </c>
      <c r="AG51" s="42" t="n">
        <v>1</v>
      </c>
      <c r="AH51" s="42" t="n">
        <v>-1</v>
      </c>
      <c r="AI51" s="42" t="n">
        <v>1</v>
      </c>
      <c r="AJ51" s="42" t="n">
        <v>-1</v>
      </c>
      <c r="AK51" s="42" t="n">
        <v>1</v>
      </c>
      <c r="AL51" s="42" t="n">
        <v>-1</v>
      </c>
      <c r="AM51" s="42" t="n">
        <v>1</v>
      </c>
      <c r="AN51" s="42" t="n">
        <v>-1</v>
      </c>
      <c r="AO51" s="42" t="n">
        <v>1</v>
      </c>
      <c r="AP51" s="42" t="n">
        <v>-1</v>
      </c>
      <c r="AQ51" s="42" t="n">
        <v>1</v>
      </c>
      <c r="AR51" s="42" t="n">
        <v>-1</v>
      </c>
      <c r="AS51" s="42" t="n">
        <v>1</v>
      </c>
      <c r="AT51" s="42" t="n">
        <v>-1</v>
      </c>
      <c r="AU51" s="42" t="n">
        <v>1</v>
      </c>
      <c r="AV51" s="42" t="n">
        <v>-1</v>
      </c>
      <c r="AW51" s="42" t="n">
        <v>1</v>
      </c>
      <c r="AX51" s="42" t="n">
        <v>-1</v>
      </c>
      <c r="AY51" s="42" t="n">
        <v>1</v>
      </c>
      <c r="AZ51" s="42" t="n">
        <v>-1</v>
      </c>
      <c r="BA51" s="42" t="n">
        <v>1</v>
      </c>
      <c r="BB51" s="42" t="n">
        <v>-1</v>
      </c>
      <c r="BC51" s="42" t="n">
        <v>1</v>
      </c>
      <c r="BD51" s="42" t="n">
        <v>-1</v>
      </c>
      <c r="BE51" s="42" t="n">
        <v>1</v>
      </c>
      <c r="BF51" s="42" t="n">
        <v>-1</v>
      </c>
      <c r="BG51" s="42" t="n">
        <v>1</v>
      </c>
      <c r="BH51" s="42" t="n">
        <v>-1</v>
      </c>
      <c r="BI51" s="42" t="n">
        <v>1</v>
      </c>
      <c r="BJ51" s="42" t="n">
        <v>-1</v>
      </c>
    </row>
    <row r="52">
      <c r="A52" s="6" t="n">
        <v>32</v>
      </c>
      <c r="B52" s="28">
        <f>IF(AND(AE52=1,1&lt;=$B$17),1,"")</f>
        <v/>
      </c>
      <c r="C52" s="28">
        <f>IF(AND(AE52=1,2&lt;=$B$17),1,"")</f>
        <v/>
      </c>
      <c r="D52" s="28">
        <f>IF(AND(AE52=1,3&lt;=$B$17),1,"")</f>
        <v/>
      </c>
      <c r="E52" s="28">
        <f>IF(AND(AE52=1,4&lt;=$B$17),1,"")</f>
        <v/>
      </c>
      <c r="F52" s="28">
        <f>IF(AND(AE52=1,5&lt;=$B$17),1,"")</f>
        <v/>
      </c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28">
        <f>IF(AND(AE52=1,COUNT(G52:Z52)&gt;0),COUNT(G52:Z52),"")</f>
        <v/>
      </c>
      <c r="AB52" s="29">
        <f>IF(ISNUMBER(AA52),AVERAGE(G52:Z52),"")</f>
        <v/>
      </c>
      <c r="AC52" s="29">
        <f>IF(ISNUMBER(AA52),SUM(G52:Z52),0)</f>
        <v/>
      </c>
      <c r="AD52" s="29">
        <f>IF(ISNUMBER(AA52),DEVSQ(G52:Z52),0)</f>
        <v/>
      </c>
      <c r="AE52" s="28">
        <f>IF(AND(ISNUMBER($B$17),$B$17&gt;=2,$B$17&lt;=5,A52&lt;=2^$B$17),1,0)</f>
        <v/>
      </c>
      <c r="AF52" s="42" t="n">
        <v>1</v>
      </c>
      <c r="AG52" s="42" t="n">
        <v>1</v>
      </c>
      <c r="AH52" s="42" t="n">
        <v>1</v>
      </c>
      <c r="AI52" s="42" t="n">
        <v>1</v>
      </c>
      <c r="AJ52" s="42" t="n">
        <v>1</v>
      </c>
      <c r="AK52" s="42" t="n">
        <v>1</v>
      </c>
      <c r="AL52" s="42" t="n">
        <v>1</v>
      </c>
      <c r="AM52" s="42" t="n">
        <v>1</v>
      </c>
      <c r="AN52" s="42" t="n">
        <v>1</v>
      </c>
      <c r="AO52" s="42" t="n">
        <v>1</v>
      </c>
      <c r="AP52" s="42" t="n">
        <v>1</v>
      </c>
      <c r="AQ52" s="42" t="n">
        <v>1</v>
      </c>
      <c r="AR52" s="42" t="n">
        <v>1</v>
      </c>
      <c r="AS52" s="42" t="n">
        <v>1</v>
      </c>
      <c r="AT52" s="42" t="n">
        <v>1</v>
      </c>
      <c r="AU52" s="42" t="n">
        <v>1</v>
      </c>
      <c r="AV52" s="42" t="n">
        <v>1</v>
      </c>
      <c r="AW52" s="42" t="n">
        <v>1</v>
      </c>
      <c r="AX52" s="42" t="n">
        <v>1</v>
      </c>
      <c r="AY52" s="42" t="n">
        <v>1</v>
      </c>
      <c r="AZ52" s="42" t="n">
        <v>1</v>
      </c>
      <c r="BA52" s="42" t="n">
        <v>1</v>
      </c>
      <c r="BB52" s="42" t="n">
        <v>1</v>
      </c>
      <c r="BC52" s="42" t="n">
        <v>1</v>
      </c>
      <c r="BD52" s="42" t="n">
        <v>1</v>
      </c>
      <c r="BE52" s="42" t="n">
        <v>1</v>
      </c>
      <c r="BF52" s="42" t="n">
        <v>1</v>
      </c>
      <c r="BG52" s="42" t="n">
        <v>1</v>
      </c>
      <c r="BH52" s="42" t="n">
        <v>1</v>
      </c>
      <c r="BI52" s="42" t="n">
        <v>1</v>
      </c>
      <c r="BJ52" s="42" t="n">
        <v>1</v>
      </c>
    </row>
    <row r="54">
      <c r="A54" s="6" t="inlineStr">
        <is>
          <t>n = herhalingen (replicates) per run</t>
        </is>
      </c>
      <c r="B54" s="28">
        <f>IF(COUNT(AA21:AA52)&gt;0,MAX(AA21:AA52),"")</f>
        <v/>
      </c>
    </row>
    <row r="55">
      <c r="A55" s="6" t="inlineStr">
        <is>
          <t>Volledige proefopzet (runs 1 … 2^k hebben elk n responsen)?</t>
        </is>
      </c>
      <c r="B55" s="13">
        <f>IF(COUNT(AA21:AA52)=0,"",IF(AND(COUNT(AA21:AA52)=SUM(AE21:AE52),MIN(AA21:AA52)=MAX(AA21:AA52)),"ja","NEE: vul runs 1 … 2^k in, elk met hetzelfde aantal herhalingen"))</f>
        <v/>
      </c>
    </row>
    <row r="56">
      <c r="A56" s="6" t="inlineStr">
        <is>
          <t>N = 2^k · n waarnemingen</t>
        </is>
      </c>
      <c r="B56" s="28">
        <f>IF($B$55="ja",2^$B$17*$B$54,"")</f>
        <v/>
      </c>
    </row>
    <row r="57">
      <c r="A57" s="6" t="inlineStr">
        <is>
          <t>totaal gemiddelde (grand mean) = β0</t>
        </is>
      </c>
      <c r="B57" s="29">
        <f>IF($B$55="ja",SUM(AC21:AC52)/$B$56,"")</f>
        <v/>
      </c>
      <c r="C57" s="8" t="inlineStr">
        <is>
          <t>β0: Dummies p. 233 (extra, Dummies; niet te kennen)</t>
        </is>
      </c>
    </row>
    <row r="58">
      <c r="A58" s="6" t="inlineStr">
        <is>
          <t>SS zuivere fout (pure error, tussen de herhalingen)</t>
        </is>
      </c>
      <c r="B58" s="11">
        <f>IF($B$55="ja",SUM(AD21:AD52),"")</f>
        <v/>
      </c>
    </row>
    <row r="59">
      <c r="A59" s="6" t="inlineStr">
        <is>
          <t>df zuivere fout = 2^k (n − 1)</t>
        </is>
      </c>
      <c r="B59" s="28">
        <f>IF($B$55="ja",2^$B$17*($B$54-1),"")</f>
        <v/>
      </c>
    </row>
    <row r="60">
      <c r="A60" s="6" t="inlineStr">
        <is>
          <t>SS gepoolde interacties (orde ≥ B18)</t>
        </is>
      </c>
      <c r="B60" s="11">
        <f>IF($B$55="ja",IF(AND(ISNUMBER($B$18),$B$18&gt;=2),SUMIFS(F66:F96,B66:B96,"&gt;="&amp;$B$18),0),"")</f>
        <v/>
      </c>
      <c r="C60" s="8" t="inlineStr">
        <is>
          <t>DOE p. 72, 77</t>
        </is>
      </c>
    </row>
    <row r="61">
      <c r="A61" s="6" t="inlineStr">
        <is>
          <t>df gepoolde interacties</t>
        </is>
      </c>
      <c r="B61" s="28">
        <f>IF($B$55="ja",IF(AND(ISNUMBER($B$18),$B$18&gt;=2),COUNTIFS(B66:B96,"&gt;="&amp;$B$18,F66:F96,"&gt;=0"),0),"")</f>
        <v/>
      </c>
    </row>
    <row r="62">
      <c r="A62" s="6" t="inlineStr">
        <is>
          <t>σ̂² = MS_E = (SS zuivere fout + SS gepoold) / (df + df)</t>
        </is>
      </c>
      <c r="B62" s="29">
        <f>IF(AND($B$55="ja",N($B$59)+N($B$61)&gt;0),($B$58+$B$60)/($B$59+$B$61),"")</f>
        <v/>
      </c>
    </row>
    <row r="63">
      <c r="A63" s="6" t="inlineStr">
        <is>
          <t>standaardfout (standard error) s.e.(effect) = √(σ̂² / (n 2^(k−2)))</t>
        </is>
      </c>
      <c r="B63" s="29">
        <f>IF(ISNUMBER($B$62),SQRT($B$62/($B$54*2^($B$17-2))),"")</f>
        <v/>
      </c>
      <c r="C63" s="8" t="inlineStr">
        <is>
          <t>DOE p. 67</t>
        </is>
      </c>
    </row>
    <row r="65">
      <c r="A65" s="10" t="inlineStr">
        <is>
          <t>Effect</t>
        </is>
      </c>
      <c r="B65" s="10" t="inlineStr">
        <is>
          <t>orde</t>
        </is>
      </c>
      <c r="C65" s="10" t="inlineStr">
        <is>
          <t>contrast</t>
        </is>
      </c>
      <c r="D65" s="10" t="inlineStr">
        <is>
          <t>effect = contrast / (n 2^(k−1))</t>
        </is>
      </c>
      <c r="E65" s="10" t="inlineStr">
        <is>
          <t>coëfficiënt = effect / 2 (extra, Dummies; niet te kennen)</t>
        </is>
      </c>
      <c r="F65" s="10" t="inlineStr">
        <is>
          <t>SS = contrast² / (n 2^k)</t>
        </is>
      </c>
      <c r="G65" s="10" t="inlineStr">
        <is>
          <t>in het model of gepoold (pooled)</t>
        </is>
      </c>
      <c r="H65" s="10" t="inlineStr">
        <is>
          <t>F0 = SS / MS_E</t>
        </is>
      </c>
      <c r="I65" s="10" t="inlineStr">
        <is>
          <t>p-waarde</t>
        </is>
      </c>
      <c r="J65" s="10" t="inlineStr">
        <is>
          <t>Besluit bij α</t>
        </is>
      </c>
      <c r="K65" s="10" t="inlineStr">
        <is>
          <t>effect − 2 s.e.</t>
        </is>
      </c>
      <c r="L65" s="10" t="inlineStr">
        <is>
          <t>effect + 2 s.e.</t>
        </is>
      </c>
    </row>
    <row r="66">
      <c r="A66" s="20" t="inlineStr">
        <is>
          <t>A</t>
        </is>
      </c>
      <c r="B66" s="6" t="n">
        <v>1</v>
      </c>
      <c r="C66" s="11">
        <f>IF(AND($B$55="ja",1&lt;2^$B$17),SUMPRODUCT(AF21:AF52,AC21:AC52),"")</f>
        <v/>
      </c>
      <c r="D66" s="11">
        <f>IF(ISNUMBER(C66),C66/($B$54*2^($B$17-1)),"")</f>
        <v/>
      </c>
      <c r="E66" s="11">
        <f>IF(ISNUMBER(D66),D66/2,"")</f>
        <v/>
      </c>
      <c r="F66" s="11">
        <f>IF(ISNUMBER(C66),C66^2/($B$54*2^$B$17),"")</f>
        <v/>
      </c>
      <c r="G66" s="13">
        <f>IF(ISNUMBER(C66),IF(AND(ISNUMBER($B$18),$B$18&gt;=2,B66&gt;=$B$18),"gepoold in de fout","in het model"),"")</f>
        <v/>
      </c>
      <c r="H66" s="11">
        <f>IF(AND(G66="in het model",ISNUMBER($B$62),N($B$62)&gt;0),F66/$B$62,"")</f>
        <v/>
      </c>
      <c r="I66" s="29">
        <f>IF(ISNUMBER(H66),_xlfn.F.DIST.RT(H66,1,$B$59+$B$61),"")</f>
        <v/>
      </c>
      <c r="J66" s="13">
        <f>IF(ISNUMBER(I66),IF(I66&lt;$B$9,"verwerp H0","H0 niet verwerpen"),"")</f>
        <v/>
      </c>
      <c r="K66" s="11">
        <f>IF(AND(ISNUMBER(D66),ISNUMBER($B$63)),D66-2*$B$63,"")</f>
        <v/>
      </c>
      <c r="L66" s="11">
        <f>IF(AND(ISNUMBER(D66),ISNUMBER($B$63)),D66+2*$B$63,"")</f>
        <v/>
      </c>
    </row>
    <row r="67">
      <c r="A67" s="20" t="inlineStr">
        <is>
          <t>B</t>
        </is>
      </c>
      <c r="B67" s="6" t="n">
        <v>1</v>
      </c>
      <c r="C67" s="11">
        <f>IF(AND($B$55="ja",2&lt;2^$B$17),SUMPRODUCT(AG21:AG52,AC21:AC52),"")</f>
        <v/>
      </c>
      <c r="D67" s="11">
        <f>IF(ISNUMBER(C67),C67/($B$54*2^($B$17-1)),"")</f>
        <v/>
      </c>
      <c r="E67" s="11">
        <f>IF(ISNUMBER(D67),D67/2,"")</f>
        <v/>
      </c>
      <c r="F67" s="11">
        <f>IF(ISNUMBER(C67),C67^2/($B$54*2^$B$17),"")</f>
        <v/>
      </c>
      <c r="G67" s="13">
        <f>IF(ISNUMBER(C67),IF(AND(ISNUMBER($B$18),$B$18&gt;=2,B67&gt;=$B$18),"gepoold in de fout","in het model"),"")</f>
        <v/>
      </c>
      <c r="H67" s="11">
        <f>IF(AND(G67="in het model",ISNUMBER($B$62),N($B$62)&gt;0),F67/$B$62,"")</f>
        <v/>
      </c>
      <c r="I67" s="29">
        <f>IF(ISNUMBER(H67),_xlfn.F.DIST.RT(H67,1,$B$59+$B$61),"")</f>
        <v/>
      </c>
      <c r="J67" s="13">
        <f>IF(ISNUMBER(I67),IF(I67&lt;$B$9,"verwerp H0","H0 niet verwerpen"),"")</f>
        <v/>
      </c>
      <c r="K67" s="11">
        <f>IF(AND(ISNUMBER(D67),ISNUMBER($B$63)),D67-2*$B$63,"")</f>
        <v/>
      </c>
      <c r="L67" s="11">
        <f>IF(AND(ISNUMBER(D67),ISNUMBER($B$63)),D67+2*$B$63,"")</f>
        <v/>
      </c>
    </row>
    <row r="68">
      <c r="A68" s="20" t="inlineStr">
        <is>
          <t>AB</t>
        </is>
      </c>
      <c r="B68" s="6" t="n">
        <v>2</v>
      </c>
      <c r="C68" s="11">
        <f>IF(AND($B$55="ja",3&lt;2^$B$17),SUMPRODUCT(AH21:AH52,AC21:AC52),"")</f>
        <v/>
      </c>
      <c r="D68" s="11">
        <f>IF(ISNUMBER(C68),C68/($B$54*2^($B$17-1)),"")</f>
        <v/>
      </c>
      <c r="E68" s="11">
        <f>IF(ISNUMBER(D68),D68/2,"")</f>
        <v/>
      </c>
      <c r="F68" s="11">
        <f>IF(ISNUMBER(C68),C68^2/($B$54*2^$B$17),"")</f>
        <v/>
      </c>
      <c r="G68" s="13">
        <f>IF(ISNUMBER(C68),IF(AND(ISNUMBER($B$18),$B$18&gt;=2,B68&gt;=$B$18),"gepoold in de fout","in het model"),"")</f>
        <v/>
      </c>
      <c r="H68" s="11">
        <f>IF(AND(G68="in het model",ISNUMBER($B$62),N($B$62)&gt;0),F68/$B$62,"")</f>
        <v/>
      </c>
      <c r="I68" s="29">
        <f>IF(ISNUMBER(H68),_xlfn.F.DIST.RT(H68,1,$B$59+$B$61),"")</f>
        <v/>
      </c>
      <c r="J68" s="13">
        <f>IF(ISNUMBER(I68),IF(I68&lt;$B$9,"verwerp H0","H0 niet verwerpen"),"")</f>
        <v/>
      </c>
      <c r="K68" s="11">
        <f>IF(AND(ISNUMBER(D68),ISNUMBER($B$63)),D68-2*$B$63,"")</f>
        <v/>
      </c>
      <c r="L68" s="11">
        <f>IF(AND(ISNUMBER(D68),ISNUMBER($B$63)),D68+2*$B$63,"")</f>
        <v/>
      </c>
    </row>
    <row r="69">
      <c r="A69" s="20" t="inlineStr">
        <is>
          <t>C</t>
        </is>
      </c>
      <c r="B69" s="6" t="n">
        <v>1</v>
      </c>
      <c r="C69" s="11">
        <f>IF(AND($B$55="ja",4&lt;2^$B$17),SUMPRODUCT(AI21:AI52,AC21:AC52),"")</f>
        <v/>
      </c>
      <c r="D69" s="11">
        <f>IF(ISNUMBER(C69),C69/($B$54*2^($B$17-1)),"")</f>
        <v/>
      </c>
      <c r="E69" s="11">
        <f>IF(ISNUMBER(D69),D69/2,"")</f>
        <v/>
      </c>
      <c r="F69" s="11">
        <f>IF(ISNUMBER(C69),C69^2/($B$54*2^$B$17),"")</f>
        <v/>
      </c>
      <c r="G69" s="13">
        <f>IF(ISNUMBER(C69),IF(AND(ISNUMBER($B$18),$B$18&gt;=2,B69&gt;=$B$18),"gepoold in de fout","in het model"),"")</f>
        <v/>
      </c>
      <c r="H69" s="11">
        <f>IF(AND(G69="in het model",ISNUMBER($B$62),N($B$62)&gt;0),F69/$B$62,"")</f>
        <v/>
      </c>
      <c r="I69" s="29">
        <f>IF(ISNUMBER(H69),_xlfn.F.DIST.RT(H69,1,$B$59+$B$61),"")</f>
        <v/>
      </c>
      <c r="J69" s="13">
        <f>IF(ISNUMBER(I69),IF(I69&lt;$B$9,"verwerp H0","H0 niet verwerpen"),"")</f>
        <v/>
      </c>
      <c r="K69" s="11">
        <f>IF(AND(ISNUMBER(D69),ISNUMBER($B$63)),D69-2*$B$63,"")</f>
        <v/>
      </c>
      <c r="L69" s="11">
        <f>IF(AND(ISNUMBER(D69),ISNUMBER($B$63)),D69+2*$B$63,"")</f>
        <v/>
      </c>
    </row>
    <row r="70">
      <c r="A70" s="20" t="inlineStr">
        <is>
          <t>AC</t>
        </is>
      </c>
      <c r="B70" s="6" t="n">
        <v>2</v>
      </c>
      <c r="C70" s="11">
        <f>IF(AND($B$55="ja",5&lt;2^$B$17),SUMPRODUCT(AJ21:AJ52,AC21:AC52),"")</f>
        <v/>
      </c>
      <c r="D70" s="11">
        <f>IF(ISNUMBER(C70),C70/($B$54*2^($B$17-1)),"")</f>
        <v/>
      </c>
      <c r="E70" s="11">
        <f>IF(ISNUMBER(D70),D70/2,"")</f>
        <v/>
      </c>
      <c r="F70" s="11">
        <f>IF(ISNUMBER(C70),C70^2/($B$54*2^$B$17),"")</f>
        <v/>
      </c>
      <c r="G70" s="13">
        <f>IF(ISNUMBER(C70),IF(AND(ISNUMBER($B$18),$B$18&gt;=2,B70&gt;=$B$18),"gepoold in de fout","in het model"),"")</f>
        <v/>
      </c>
      <c r="H70" s="11">
        <f>IF(AND(G70="in het model",ISNUMBER($B$62),N($B$62)&gt;0),F70/$B$62,"")</f>
        <v/>
      </c>
      <c r="I70" s="29">
        <f>IF(ISNUMBER(H70),_xlfn.F.DIST.RT(H70,1,$B$59+$B$61),"")</f>
        <v/>
      </c>
      <c r="J70" s="13">
        <f>IF(ISNUMBER(I70),IF(I70&lt;$B$9,"verwerp H0","H0 niet verwerpen"),"")</f>
        <v/>
      </c>
      <c r="K70" s="11">
        <f>IF(AND(ISNUMBER(D70),ISNUMBER($B$63)),D70-2*$B$63,"")</f>
        <v/>
      </c>
      <c r="L70" s="11">
        <f>IF(AND(ISNUMBER(D70),ISNUMBER($B$63)),D70+2*$B$63,"")</f>
        <v/>
      </c>
    </row>
    <row r="71">
      <c r="A71" s="20" t="inlineStr">
        <is>
          <t>BC</t>
        </is>
      </c>
      <c r="B71" s="6" t="n">
        <v>2</v>
      </c>
      <c r="C71" s="11">
        <f>IF(AND($B$55="ja",6&lt;2^$B$17),SUMPRODUCT(AK21:AK52,AC21:AC52),"")</f>
        <v/>
      </c>
      <c r="D71" s="11">
        <f>IF(ISNUMBER(C71),C71/($B$54*2^($B$17-1)),"")</f>
        <v/>
      </c>
      <c r="E71" s="11">
        <f>IF(ISNUMBER(D71),D71/2,"")</f>
        <v/>
      </c>
      <c r="F71" s="11">
        <f>IF(ISNUMBER(C71),C71^2/($B$54*2^$B$17),"")</f>
        <v/>
      </c>
      <c r="G71" s="13">
        <f>IF(ISNUMBER(C71),IF(AND(ISNUMBER($B$18),$B$18&gt;=2,B71&gt;=$B$18),"gepoold in de fout","in het model"),"")</f>
        <v/>
      </c>
      <c r="H71" s="11">
        <f>IF(AND(G71="in het model",ISNUMBER($B$62),N($B$62)&gt;0),F71/$B$62,"")</f>
        <v/>
      </c>
      <c r="I71" s="29">
        <f>IF(ISNUMBER(H71),_xlfn.F.DIST.RT(H71,1,$B$59+$B$61),"")</f>
        <v/>
      </c>
      <c r="J71" s="13">
        <f>IF(ISNUMBER(I71),IF(I71&lt;$B$9,"verwerp H0","H0 niet verwerpen"),"")</f>
        <v/>
      </c>
      <c r="K71" s="11">
        <f>IF(AND(ISNUMBER(D71),ISNUMBER($B$63)),D71-2*$B$63,"")</f>
        <v/>
      </c>
      <c r="L71" s="11">
        <f>IF(AND(ISNUMBER(D71),ISNUMBER($B$63)),D71+2*$B$63,"")</f>
        <v/>
      </c>
    </row>
    <row r="72">
      <c r="A72" s="20" t="inlineStr">
        <is>
          <t>ABC</t>
        </is>
      </c>
      <c r="B72" s="6" t="n">
        <v>3</v>
      </c>
      <c r="C72" s="11">
        <f>IF(AND($B$55="ja",7&lt;2^$B$17),SUMPRODUCT(AL21:AL52,AC21:AC52),"")</f>
        <v/>
      </c>
      <c r="D72" s="11">
        <f>IF(ISNUMBER(C72),C72/($B$54*2^($B$17-1)),"")</f>
        <v/>
      </c>
      <c r="E72" s="11">
        <f>IF(ISNUMBER(D72),D72/2,"")</f>
        <v/>
      </c>
      <c r="F72" s="11">
        <f>IF(ISNUMBER(C72),C72^2/($B$54*2^$B$17),"")</f>
        <v/>
      </c>
      <c r="G72" s="13">
        <f>IF(ISNUMBER(C72),IF(AND(ISNUMBER($B$18),$B$18&gt;=2,B72&gt;=$B$18),"gepoold in de fout","in het model"),"")</f>
        <v/>
      </c>
      <c r="H72" s="11">
        <f>IF(AND(G72="in het model",ISNUMBER($B$62),N($B$62)&gt;0),F72/$B$62,"")</f>
        <v/>
      </c>
      <c r="I72" s="29">
        <f>IF(ISNUMBER(H72),_xlfn.F.DIST.RT(H72,1,$B$59+$B$61),"")</f>
        <v/>
      </c>
      <c r="J72" s="13">
        <f>IF(ISNUMBER(I72),IF(I72&lt;$B$9,"verwerp H0","H0 niet verwerpen"),"")</f>
        <v/>
      </c>
      <c r="K72" s="11">
        <f>IF(AND(ISNUMBER(D72),ISNUMBER($B$63)),D72-2*$B$63,"")</f>
        <v/>
      </c>
      <c r="L72" s="11">
        <f>IF(AND(ISNUMBER(D72),ISNUMBER($B$63)),D72+2*$B$63,"")</f>
        <v/>
      </c>
    </row>
    <row r="73">
      <c r="A73" s="20" t="inlineStr">
        <is>
          <t>D</t>
        </is>
      </c>
      <c r="B73" s="6" t="n">
        <v>1</v>
      </c>
      <c r="C73" s="11">
        <f>IF(AND($B$55="ja",8&lt;2^$B$17),SUMPRODUCT(AM21:AM52,AC21:AC52),"")</f>
        <v/>
      </c>
      <c r="D73" s="11">
        <f>IF(ISNUMBER(C73),C73/($B$54*2^($B$17-1)),"")</f>
        <v/>
      </c>
      <c r="E73" s="11">
        <f>IF(ISNUMBER(D73),D73/2,"")</f>
        <v/>
      </c>
      <c r="F73" s="11">
        <f>IF(ISNUMBER(C73),C73^2/($B$54*2^$B$17),"")</f>
        <v/>
      </c>
      <c r="G73" s="13">
        <f>IF(ISNUMBER(C73),IF(AND(ISNUMBER($B$18),$B$18&gt;=2,B73&gt;=$B$18),"gepoold in de fout","in het model"),"")</f>
        <v/>
      </c>
      <c r="H73" s="11">
        <f>IF(AND(G73="in het model",ISNUMBER($B$62),N($B$62)&gt;0),F73/$B$62,"")</f>
        <v/>
      </c>
      <c r="I73" s="29">
        <f>IF(ISNUMBER(H73),_xlfn.F.DIST.RT(H73,1,$B$59+$B$61),"")</f>
        <v/>
      </c>
      <c r="J73" s="13">
        <f>IF(ISNUMBER(I73),IF(I73&lt;$B$9,"verwerp H0","H0 niet verwerpen"),"")</f>
        <v/>
      </c>
      <c r="K73" s="11">
        <f>IF(AND(ISNUMBER(D73),ISNUMBER($B$63)),D73-2*$B$63,"")</f>
        <v/>
      </c>
      <c r="L73" s="11">
        <f>IF(AND(ISNUMBER(D73),ISNUMBER($B$63)),D73+2*$B$63,"")</f>
        <v/>
      </c>
    </row>
    <row r="74">
      <c r="A74" s="20" t="inlineStr">
        <is>
          <t>AD</t>
        </is>
      </c>
      <c r="B74" s="6" t="n">
        <v>2</v>
      </c>
      <c r="C74" s="11">
        <f>IF(AND($B$55="ja",9&lt;2^$B$17),SUMPRODUCT(AN21:AN52,AC21:AC52),"")</f>
        <v/>
      </c>
      <c r="D74" s="11">
        <f>IF(ISNUMBER(C74),C74/($B$54*2^($B$17-1)),"")</f>
        <v/>
      </c>
      <c r="E74" s="11">
        <f>IF(ISNUMBER(D74),D74/2,"")</f>
        <v/>
      </c>
      <c r="F74" s="11">
        <f>IF(ISNUMBER(C74),C74^2/($B$54*2^$B$17),"")</f>
        <v/>
      </c>
      <c r="G74" s="13">
        <f>IF(ISNUMBER(C74),IF(AND(ISNUMBER($B$18),$B$18&gt;=2,B74&gt;=$B$18),"gepoold in de fout","in het model"),"")</f>
        <v/>
      </c>
      <c r="H74" s="11">
        <f>IF(AND(G74="in het model",ISNUMBER($B$62),N($B$62)&gt;0),F74/$B$62,"")</f>
        <v/>
      </c>
      <c r="I74" s="29">
        <f>IF(ISNUMBER(H74),_xlfn.F.DIST.RT(H74,1,$B$59+$B$61),"")</f>
        <v/>
      </c>
      <c r="J74" s="13">
        <f>IF(ISNUMBER(I74),IF(I74&lt;$B$9,"verwerp H0","H0 niet verwerpen"),"")</f>
        <v/>
      </c>
      <c r="K74" s="11">
        <f>IF(AND(ISNUMBER(D74),ISNUMBER($B$63)),D74-2*$B$63,"")</f>
        <v/>
      </c>
      <c r="L74" s="11">
        <f>IF(AND(ISNUMBER(D74),ISNUMBER($B$63)),D74+2*$B$63,"")</f>
        <v/>
      </c>
    </row>
    <row r="75">
      <c r="A75" s="20" t="inlineStr">
        <is>
          <t>BD</t>
        </is>
      </c>
      <c r="B75" s="6" t="n">
        <v>2</v>
      </c>
      <c r="C75" s="11">
        <f>IF(AND($B$55="ja",10&lt;2^$B$17),SUMPRODUCT(AO21:AO52,AC21:AC52),"")</f>
        <v/>
      </c>
      <c r="D75" s="11">
        <f>IF(ISNUMBER(C75),C75/($B$54*2^($B$17-1)),"")</f>
        <v/>
      </c>
      <c r="E75" s="11">
        <f>IF(ISNUMBER(D75),D75/2,"")</f>
        <v/>
      </c>
      <c r="F75" s="11">
        <f>IF(ISNUMBER(C75),C75^2/($B$54*2^$B$17),"")</f>
        <v/>
      </c>
      <c r="G75" s="13">
        <f>IF(ISNUMBER(C75),IF(AND(ISNUMBER($B$18),$B$18&gt;=2,B75&gt;=$B$18),"gepoold in de fout","in het model"),"")</f>
        <v/>
      </c>
      <c r="H75" s="11">
        <f>IF(AND(G75="in het model",ISNUMBER($B$62),N($B$62)&gt;0),F75/$B$62,"")</f>
        <v/>
      </c>
      <c r="I75" s="29">
        <f>IF(ISNUMBER(H75),_xlfn.F.DIST.RT(H75,1,$B$59+$B$61),"")</f>
        <v/>
      </c>
      <c r="J75" s="13">
        <f>IF(ISNUMBER(I75),IF(I75&lt;$B$9,"verwerp H0","H0 niet verwerpen"),"")</f>
        <v/>
      </c>
      <c r="K75" s="11">
        <f>IF(AND(ISNUMBER(D75),ISNUMBER($B$63)),D75-2*$B$63,"")</f>
        <v/>
      </c>
      <c r="L75" s="11">
        <f>IF(AND(ISNUMBER(D75),ISNUMBER($B$63)),D75+2*$B$63,"")</f>
        <v/>
      </c>
    </row>
    <row r="76">
      <c r="A76" s="20" t="inlineStr">
        <is>
          <t>ABD</t>
        </is>
      </c>
      <c r="B76" s="6" t="n">
        <v>3</v>
      </c>
      <c r="C76" s="11">
        <f>IF(AND($B$55="ja",11&lt;2^$B$17),SUMPRODUCT(AP21:AP52,AC21:AC52),"")</f>
        <v/>
      </c>
      <c r="D76" s="11">
        <f>IF(ISNUMBER(C76),C76/($B$54*2^($B$17-1)),"")</f>
        <v/>
      </c>
      <c r="E76" s="11">
        <f>IF(ISNUMBER(D76),D76/2,"")</f>
        <v/>
      </c>
      <c r="F76" s="11">
        <f>IF(ISNUMBER(C76),C76^2/($B$54*2^$B$17),"")</f>
        <v/>
      </c>
      <c r="G76" s="13">
        <f>IF(ISNUMBER(C76),IF(AND(ISNUMBER($B$18),$B$18&gt;=2,B76&gt;=$B$18),"gepoold in de fout","in het model"),"")</f>
        <v/>
      </c>
      <c r="H76" s="11">
        <f>IF(AND(G76="in het model",ISNUMBER($B$62),N($B$62)&gt;0),F76/$B$62,"")</f>
        <v/>
      </c>
      <c r="I76" s="29">
        <f>IF(ISNUMBER(H76),_xlfn.F.DIST.RT(H76,1,$B$59+$B$61),"")</f>
        <v/>
      </c>
      <c r="J76" s="13">
        <f>IF(ISNUMBER(I76),IF(I76&lt;$B$9,"verwerp H0","H0 niet verwerpen"),"")</f>
        <v/>
      </c>
      <c r="K76" s="11">
        <f>IF(AND(ISNUMBER(D76),ISNUMBER($B$63)),D76-2*$B$63,"")</f>
        <v/>
      </c>
      <c r="L76" s="11">
        <f>IF(AND(ISNUMBER(D76),ISNUMBER($B$63)),D76+2*$B$63,"")</f>
        <v/>
      </c>
    </row>
    <row r="77">
      <c r="A77" s="20" t="inlineStr">
        <is>
          <t>CD</t>
        </is>
      </c>
      <c r="B77" s="6" t="n">
        <v>2</v>
      </c>
      <c r="C77" s="11">
        <f>IF(AND($B$55="ja",12&lt;2^$B$17),SUMPRODUCT(AQ21:AQ52,AC21:AC52),"")</f>
        <v/>
      </c>
      <c r="D77" s="11">
        <f>IF(ISNUMBER(C77),C77/($B$54*2^($B$17-1)),"")</f>
        <v/>
      </c>
      <c r="E77" s="11">
        <f>IF(ISNUMBER(D77),D77/2,"")</f>
        <v/>
      </c>
      <c r="F77" s="11">
        <f>IF(ISNUMBER(C77),C77^2/($B$54*2^$B$17),"")</f>
        <v/>
      </c>
      <c r="G77" s="13">
        <f>IF(ISNUMBER(C77),IF(AND(ISNUMBER($B$18),$B$18&gt;=2,B77&gt;=$B$18),"gepoold in de fout","in het model"),"")</f>
        <v/>
      </c>
      <c r="H77" s="11">
        <f>IF(AND(G77="in het model",ISNUMBER($B$62),N($B$62)&gt;0),F77/$B$62,"")</f>
        <v/>
      </c>
      <c r="I77" s="29">
        <f>IF(ISNUMBER(H77),_xlfn.F.DIST.RT(H77,1,$B$59+$B$61),"")</f>
        <v/>
      </c>
      <c r="J77" s="13">
        <f>IF(ISNUMBER(I77),IF(I77&lt;$B$9,"verwerp H0","H0 niet verwerpen"),"")</f>
        <v/>
      </c>
      <c r="K77" s="11">
        <f>IF(AND(ISNUMBER(D77),ISNUMBER($B$63)),D77-2*$B$63,"")</f>
        <v/>
      </c>
      <c r="L77" s="11">
        <f>IF(AND(ISNUMBER(D77),ISNUMBER($B$63)),D77+2*$B$63,"")</f>
        <v/>
      </c>
    </row>
    <row r="78">
      <c r="A78" s="20" t="inlineStr">
        <is>
          <t>ACD</t>
        </is>
      </c>
      <c r="B78" s="6" t="n">
        <v>3</v>
      </c>
      <c r="C78" s="11">
        <f>IF(AND($B$55="ja",13&lt;2^$B$17),SUMPRODUCT(AR21:AR52,AC21:AC52),"")</f>
        <v/>
      </c>
      <c r="D78" s="11">
        <f>IF(ISNUMBER(C78),C78/($B$54*2^($B$17-1)),"")</f>
        <v/>
      </c>
      <c r="E78" s="11">
        <f>IF(ISNUMBER(D78),D78/2,"")</f>
        <v/>
      </c>
      <c r="F78" s="11">
        <f>IF(ISNUMBER(C78),C78^2/($B$54*2^$B$17),"")</f>
        <v/>
      </c>
      <c r="G78" s="13">
        <f>IF(ISNUMBER(C78),IF(AND(ISNUMBER($B$18),$B$18&gt;=2,B78&gt;=$B$18),"gepoold in de fout","in het model"),"")</f>
        <v/>
      </c>
      <c r="H78" s="11">
        <f>IF(AND(G78="in het model",ISNUMBER($B$62),N($B$62)&gt;0),F78/$B$62,"")</f>
        <v/>
      </c>
      <c r="I78" s="29">
        <f>IF(ISNUMBER(H78),_xlfn.F.DIST.RT(H78,1,$B$59+$B$61),"")</f>
        <v/>
      </c>
      <c r="J78" s="13">
        <f>IF(ISNUMBER(I78),IF(I78&lt;$B$9,"verwerp H0","H0 niet verwerpen"),"")</f>
        <v/>
      </c>
      <c r="K78" s="11">
        <f>IF(AND(ISNUMBER(D78),ISNUMBER($B$63)),D78-2*$B$63,"")</f>
        <v/>
      </c>
      <c r="L78" s="11">
        <f>IF(AND(ISNUMBER(D78),ISNUMBER($B$63)),D78+2*$B$63,"")</f>
        <v/>
      </c>
    </row>
    <row r="79">
      <c r="A79" s="20" t="inlineStr">
        <is>
          <t>BCD</t>
        </is>
      </c>
      <c r="B79" s="6" t="n">
        <v>3</v>
      </c>
      <c r="C79" s="11">
        <f>IF(AND($B$55="ja",14&lt;2^$B$17),SUMPRODUCT(AS21:AS52,AC21:AC52),"")</f>
        <v/>
      </c>
      <c r="D79" s="11">
        <f>IF(ISNUMBER(C79),C79/($B$54*2^($B$17-1)),"")</f>
        <v/>
      </c>
      <c r="E79" s="11">
        <f>IF(ISNUMBER(D79),D79/2,"")</f>
        <v/>
      </c>
      <c r="F79" s="11">
        <f>IF(ISNUMBER(C79),C79^2/($B$54*2^$B$17),"")</f>
        <v/>
      </c>
      <c r="G79" s="13">
        <f>IF(ISNUMBER(C79),IF(AND(ISNUMBER($B$18),$B$18&gt;=2,B79&gt;=$B$18),"gepoold in de fout","in het model"),"")</f>
        <v/>
      </c>
      <c r="H79" s="11">
        <f>IF(AND(G79="in het model",ISNUMBER($B$62),N($B$62)&gt;0),F79/$B$62,"")</f>
        <v/>
      </c>
      <c r="I79" s="29">
        <f>IF(ISNUMBER(H79),_xlfn.F.DIST.RT(H79,1,$B$59+$B$61),"")</f>
        <v/>
      </c>
      <c r="J79" s="13">
        <f>IF(ISNUMBER(I79),IF(I79&lt;$B$9,"verwerp H0","H0 niet verwerpen"),"")</f>
        <v/>
      </c>
      <c r="K79" s="11">
        <f>IF(AND(ISNUMBER(D79),ISNUMBER($B$63)),D79-2*$B$63,"")</f>
        <v/>
      </c>
      <c r="L79" s="11">
        <f>IF(AND(ISNUMBER(D79),ISNUMBER($B$63)),D79+2*$B$63,"")</f>
        <v/>
      </c>
    </row>
    <row r="80">
      <c r="A80" s="20" t="inlineStr">
        <is>
          <t>ABCD</t>
        </is>
      </c>
      <c r="B80" s="6" t="n">
        <v>4</v>
      </c>
      <c r="C80" s="11">
        <f>IF(AND($B$55="ja",15&lt;2^$B$17),SUMPRODUCT(AT21:AT52,AC21:AC52),"")</f>
        <v/>
      </c>
      <c r="D80" s="11">
        <f>IF(ISNUMBER(C80),C80/($B$54*2^($B$17-1)),"")</f>
        <v/>
      </c>
      <c r="E80" s="11">
        <f>IF(ISNUMBER(D80),D80/2,"")</f>
        <v/>
      </c>
      <c r="F80" s="11">
        <f>IF(ISNUMBER(C80),C80^2/($B$54*2^$B$17),"")</f>
        <v/>
      </c>
      <c r="G80" s="13">
        <f>IF(ISNUMBER(C80),IF(AND(ISNUMBER($B$18),$B$18&gt;=2,B80&gt;=$B$18),"gepoold in de fout","in het model"),"")</f>
        <v/>
      </c>
      <c r="H80" s="11">
        <f>IF(AND(G80="in het model",ISNUMBER($B$62),N($B$62)&gt;0),F80/$B$62,"")</f>
        <v/>
      </c>
      <c r="I80" s="29">
        <f>IF(ISNUMBER(H80),_xlfn.F.DIST.RT(H80,1,$B$59+$B$61),"")</f>
        <v/>
      </c>
      <c r="J80" s="13">
        <f>IF(ISNUMBER(I80),IF(I80&lt;$B$9,"verwerp H0","H0 niet verwerpen"),"")</f>
        <v/>
      </c>
      <c r="K80" s="11">
        <f>IF(AND(ISNUMBER(D80),ISNUMBER($B$63)),D80-2*$B$63,"")</f>
        <v/>
      </c>
      <c r="L80" s="11">
        <f>IF(AND(ISNUMBER(D80),ISNUMBER($B$63)),D80+2*$B$63,"")</f>
        <v/>
      </c>
    </row>
    <row r="81">
      <c r="A81" s="20" t="inlineStr">
        <is>
          <t>E</t>
        </is>
      </c>
      <c r="B81" s="6" t="n">
        <v>1</v>
      </c>
      <c r="C81" s="11">
        <f>IF(AND($B$55="ja",16&lt;2^$B$17),SUMPRODUCT(AU21:AU52,AC21:AC52),"")</f>
        <v/>
      </c>
      <c r="D81" s="11">
        <f>IF(ISNUMBER(C81),C81/($B$54*2^($B$17-1)),"")</f>
        <v/>
      </c>
      <c r="E81" s="11">
        <f>IF(ISNUMBER(D81),D81/2,"")</f>
        <v/>
      </c>
      <c r="F81" s="11">
        <f>IF(ISNUMBER(C81),C81^2/($B$54*2^$B$17),"")</f>
        <v/>
      </c>
      <c r="G81" s="13">
        <f>IF(ISNUMBER(C81),IF(AND(ISNUMBER($B$18),$B$18&gt;=2,B81&gt;=$B$18),"gepoold in de fout","in het model"),"")</f>
        <v/>
      </c>
      <c r="H81" s="11">
        <f>IF(AND(G81="in het model",ISNUMBER($B$62),N($B$62)&gt;0),F81/$B$62,"")</f>
        <v/>
      </c>
      <c r="I81" s="29">
        <f>IF(ISNUMBER(H81),_xlfn.F.DIST.RT(H81,1,$B$59+$B$61),"")</f>
        <v/>
      </c>
      <c r="J81" s="13">
        <f>IF(ISNUMBER(I81),IF(I81&lt;$B$9,"verwerp H0","H0 niet verwerpen"),"")</f>
        <v/>
      </c>
      <c r="K81" s="11">
        <f>IF(AND(ISNUMBER(D81),ISNUMBER($B$63)),D81-2*$B$63,"")</f>
        <v/>
      </c>
      <c r="L81" s="11">
        <f>IF(AND(ISNUMBER(D81),ISNUMBER($B$63)),D81+2*$B$63,"")</f>
        <v/>
      </c>
    </row>
    <row r="82">
      <c r="A82" s="20" t="inlineStr">
        <is>
          <t>AE</t>
        </is>
      </c>
      <c r="B82" s="6" t="n">
        <v>2</v>
      </c>
      <c r="C82" s="11">
        <f>IF(AND($B$55="ja",17&lt;2^$B$17),SUMPRODUCT(AV21:AV52,AC21:AC52),"")</f>
        <v/>
      </c>
      <c r="D82" s="11">
        <f>IF(ISNUMBER(C82),C82/($B$54*2^($B$17-1)),"")</f>
        <v/>
      </c>
      <c r="E82" s="11">
        <f>IF(ISNUMBER(D82),D82/2,"")</f>
        <v/>
      </c>
      <c r="F82" s="11">
        <f>IF(ISNUMBER(C82),C82^2/($B$54*2^$B$17),"")</f>
        <v/>
      </c>
      <c r="G82" s="13">
        <f>IF(ISNUMBER(C82),IF(AND(ISNUMBER($B$18),$B$18&gt;=2,B82&gt;=$B$18),"gepoold in de fout","in het model"),"")</f>
        <v/>
      </c>
      <c r="H82" s="11">
        <f>IF(AND(G82="in het model",ISNUMBER($B$62),N($B$62)&gt;0),F82/$B$62,"")</f>
        <v/>
      </c>
      <c r="I82" s="29">
        <f>IF(ISNUMBER(H82),_xlfn.F.DIST.RT(H82,1,$B$59+$B$61),"")</f>
        <v/>
      </c>
      <c r="J82" s="13">
        <f>IF(ISNUMBER(I82),IF(I82&lt;$B$9,"verwerp H0","H0 niet verwerpen"),"")</f>
        <v/>
      </c>
      <c r="K82" s="11">
        <f>IF(AND(ISNUMBER(D82),ISNUMBER($B$63)),D82-2*$B$63,"")</f>
        <v/>
      </c>
      <c r="L82" s="11">
        <f>IF(AND(ISNUMBER(D82),ISNUMBER($B$63)),D82+2*$B$63,"")</f>
        <v/>
      </c>
    </row>
    <row r="83">
      <c r="A83" s="20" t="inlineStr">
        <is>
          <t>BE</t>
        </is>
      </c>
      <c r="B83" s="6" t="n">
        <v>2</v>
      </c>
      <c r="C83" s="11">
        <f>IF(AND($B$55="ja",18&lt;2^$B$17),SUMPRODUCT(AW21:AW52,AC21:AC52),"")</f>
        <v/>
      </c>
      <c r="D83" s="11">
        <f>IF(ISNUMBER(C83),C83/($B$54*2^($B$17-1)),"")</f>
        <v/>
      </c>
      <c r="E83" s="11">
        <f>IF(ISNUMBER(D83),D83/2,"")</f>
        <v/>
      </c>
      <c r="F83" s="11">
        <f>IF(ISNUMBER(C83),C83^2/($B$54*2^$B$17),"")</f>
        <v/>
      </c>
      <c r="G83" s="13">
        <f>IF(ISNUMBER(C83),IF(AND(ISNUMBER($B$18),$B$18&gt;=2,B83&gt;=$B$18),"gepoold in de fout","in het model"),"")</f>
        <v/>
      </c>
      <c r="H83" s="11">
        <f>IF(AND(G83="in het model",ISNUMBER($B$62),N($B$62)&gt;0),F83/$B$62,"")</f>
        <v/>
      </c>
      <c r="I83" s="29">
        <f>IF(ISNUMBER(H83),_xlfn.F.DIST.RT(H83,1,$B$59+$B$61),"")</f>
        <v/>
      </c>
      <c r="J83" s="13">
        <f>IF(ISNUMBER(I83),IF(I83&lt;$B$9,"verwerp H0","H0 niet verwerpen"),"")</f>
        <v/>
      </c>
      <c r="K83" s="11">
        <f>IF(AND(ISNUMBER(D83),ISNUMBER($B$63)),D83-2*$B$63,"")</f>
        <v/>
      </c>
      <c r="L83" s="11">
        <f>IF(AND(ISNUMBER(D83),ISNUMBER($B$63)),D83+2*$B$63,"")</f>
        <v/>
      </c>
    </row>
    <row r="84">
      <c r="A84" s="20" t="inlineStr">
        <is>
          <t>ABE</t>
        </is>
      </c>
      <c r="B84" s="6" t="n">
        <v>3</v>
      </c>
      <c r="C84" s="11">
        <f>IF(AND($B$55="ja",19&lt;2^$B$17),SUMPRODUCT(AX21:AX52,AC21:AC52),"")</f>
        <v/>
      </c>
      <c r="D84" s="11">
        <f>IF(ISNUMBER(C84),C84/($B$54*2^($B$17-1)),"")</f>
        <v/>
      </c>
      <c r="E84" s="11">
        <f>IF(ISNUMBER(D84),D84/2,"")</f>
        <v/>
      </c>
      <c r="F84" s="11">
        <f>IF(ISNUMBER(C84),C84^2/($B$54*2^$B$17),"")</f>
        <v/>
      </c>
      <c r="G84" s="13">
        <f>IF(ISNUMBER(C84),IF(AND(ISNUMBER($B$18),$B$18&gt;=2,B84&gt;=$B$18),"gepoold in de fout","in het model"),"")</f>
        <v/>
      </c>
      <c r="H84" s="11">
        <f>IF(AND(G84="in het model",ISNUMBER($B$62),N($B$62)&gt;0),F84/$B$62,"")</f>
        <v/>
      </c>
      <c r="I84" s="29">
        <f>IF(ISNUMBER(H84),_xlfn.F.DIST.RT(H84,1,$B$59+$B$61),"")</f>
        <v/>
      </c>
      <c r="J84" s="13">
        <f>IF(ISNUMBER(I84),IF(I84&lt;$B$9,"verwerp H0","H0 niet verwerpen"),"")</f>
        <v/>
      </c>
      <c r="K84" s="11">
        <f>IF(AND(ISNUMBER(D84),ISNUMBER($B$63)),D84-2*$B$63,"")</f>
        <v/>
      </c>
      <c r="L84" s="11">
        <f>IF(AND(ISNUMBER(D84),ISNUMBER($B$63)),D84+2*$B$63,"")</f>
        <v/>
      </c>
    </row>
    <row r="85">
      <c r="A85" s="20" t="inlineStr">
        <is>
          <t>CE</t>
        </is>
      </c>
      <c r="B85" s="6" t="n">
        <v>2</v>
      </c>
      <c r="C85" s="11">
        <f>IF(AND($B$55="ja",20&lt;2^$B$17),SUMPRODUCT(AY21:AY52,AC21:AC52),"")</f>
        <v/>
      </c>
      <c r="D85" s="11">
        <f>IF(ISNUMBER(C85),C85/($B$54*2^($B$17-1)),"")</f>
        <v/>
      </c>
      <c r="E85" s="11">
        <f>IF(ISNUMBER(D85),D85/2,"")</f>
        <v/>
      </c>
      <c r="F85" s="11">
        <f>IF(ISNUMBER(C85),C85^2/($B$54*2^$B$17),"")</f>
        <v/>
      </c>
      <c r="G85" s="13">
        <f>IF(ISNUMBER(C85),IF(AND(ISNUMBER($B$18),$B$18&gt;=2,B85&gt;=$B$18),"gepoold in de fout","in het model"),"")</f>
        <v/>
      </c>
      <c r="H85" s="11">
        <f>IF(AND(G85="in het model",ISNUMBER($B$62),N($B$62)&gt;0),F85/$B$62,"")</f>
        <v/>
      </c>
      <c r="I85" s="29">
        <f>IF(ISNUMBER(H85),_xlfn.F.DIST.RT(H85,1,$B$59+$B$61),"")</f>
        <v/>
      </c>
      <c r="J85" s="13">
        <f>IF(ISNUMBER(I85),IF(I85&lt;$B$9,"verwerp H0","H0 niet verwerpen"),"")</f>
        <v/>
      </c>
      <c r="K85" s="11">
        <f>IF(AND(ISNUMBER(D85),ISNUMBER($B$63)),D85-2*$B$63,"")</f>
        <v/>
      </c>
      <c r="L85" s="11">
        <f>IF(AND(ISNUMBER(D85),ISNUMBER($B$63)),D85+2*$B$63,"")</f>
        <v/>
      </c>
    </row>
    <row r="86">
      <c r="A86" s="20" t="inlineStr">
        <is>
          <t>ACE</t>
        </is>
      </c>
      <c r="B86" s="6" t="n">
        <v>3</v>
      </c>
      <c r="C86" s="11">
        <f>IF(AND($B$55="ja",21&lt;2^$B$17),SUMPRODUCT(AZ21:AZ52,AC21:AC52),"")</f>
        <v/>
      </c>
      <c r="D86" s="11">
        <f>IF(ISNUMBER(C86),C86/($B$54*2^($B$17-1)),"")</f>
        <v/>
      </c>
      <c r="E86" s="11">
        <f>IF(ISNUMBER(D86),D86/2,"")</f>
        <v/>
      </c>
      <c r="F86" s="11">
        <f>IF(ISNUMBER(C86),C86^2/($B$54*2^$B$17),"")</f>
        <v/>
      </c>
      <c r="G86" s="13">
        <f>IF(ISNUMBER(C86),IF(AND(ISNUMBER($B$18),$B$18&gt;=2,B86&gt;=$B$18),"gepoold in de fout","in het model"),"")</f>
        <v/>
      </c>
      <c r="H86" s="11">
        <f>IF(AND(G86="in het model",ISNUMBER($B$62),N($B$62)&gt;0),F86/$B$62,"")</f>
        <v/>
      </c>
      <c r="I86" s="29">
        <f>IF(ISNUMBER(H86),_xlfn.F.DIST.RT(H86,1,$B$59+$B$61),"")</f>
        <v/>
      </c>
      <c r="J86" s="13">
        <f>IF(ISNUMBER(I86),IF(I86&lt;$B$9,"verwerp H0","H0 niet verwerpen"),"")</f>
        <v/>
      </c>
      <c r="K86" s="11">
        <f>IF(AND(ISNUMBER(D86),ISNUMBER($B$63)),D86-2*$B$63,"")</f>
        <v/>
      </c>
      <c r="L86" s="11">
        <f>IF(AND(ISNUMBER(D86),ISNUMBER($B$63)),D86+2*$B$63,"")</f>
        <v/>
      </c>
    </row>
    <row r="87">
      <c r="A87" s="20" t="inlineStr">
        <is>
          <t>BCE</t>
        </is>
      </c>
      <c r="B87" s="6" t="n">
        <v>3</v>
      </c>
      <c r="C87" s="11">
        <f>IF(AND($B$55="ja",22&lt;2^$B$17),SUMPRODUCT(BA21:BA52,AC21:AC52),"")</f>
        <v/>
      </c>
      <c r="D87" s="11">
        <f>IF(ISNUMBER(C87),C87/($B$54*2^($B$17-1)),"")</f>
        <v/>
      </c>
      <c r="E87" s="11">
        <f>IF(ISNUMBER(D87),D87/2,"")</f>
        <v/>
      </c>
      <c r="F87" s="11">
        <f>IF(ISNUMBER(C87),C87^2/($B$54*2^$B$17),"")</f>
        <v/>
      </c>
      <c r="G87" s="13">
        <f>IF(ISNUMBER(C87),IF(AND(ISNUMBER($B$18),$B$18&gt;=2,B87&gt;=$B$18),"gepoold in de fout","in het model"),"")</f>
        <v/>
      </c>
      <c r="H87" s="11">
        <f>IF(AND(G87="in het model",ISNUMBER($B$62),N($B$62)&gt;0),F87/$B$62,"")</f>
        <v/>
      </c>
      <c r="I87" s="29">
        <f>IF(ISNUMBER(H87),_xlfn.F.DIST.RT(H87,1,$B$59+$B$61),"")</f>
        <v/>
      </c>
      <c r="J87" s="13">
        <f>IF(ISNUMBER(I87),IF(I87&lt;$B$9,"verwerp H0","H0 niet verwerpen"),"")</f>
        <v/>
      </c>
      <c r="K87" s="11">
        <f>IF(AND(ISNUMBER(D87),ISNUMBER($B$63)),D87-2*$B$63,"")</f>
        <v/>
      </c>
      <c r="L87" s="11">
        <f>IF(AND(ISNUMBER(D87),ISNUMBER($B$63)),D87+2*$B$63,"")</f>
        <v/>
      </c>
    </row>
    <row r="88">
      <c r="A88" s="20" t="inlineStr">
        <is>
          <t>ABCE</t>
        </is>
      </c>
      <c r="B88" s="6" t="n">
        <v>4</v>
      </c>
      <c r="C88" s="11">
        <f>IF(AND($B$55="ja",23&lt;2^$B$17),SUMPRODUCT(BB21:BB52,AC21:AC52),"")</f>
        <v/>
      </c>
      <c r="D88" s="11">
        <f>IF(ISNUMBER(C88),C88/($B$54*2^($B$17-1)),"")</f>
        <v/>
      </c>
      <c r="E88" s="11">
        <f>IF(ISNUMBER(D88),D88/2,"")</f>
        <v/>
      </c>
      <c r="F88" s="11">
        <f>IF(ISNUMBER(C88),C88^2/($B$54*2^$B$17),"")</f>
        <v/>
      </c>
      <c r="G88" s="13">
        <f>IF(ISNUMBER(C88),IF(AND(ISNUMBER($B$18),$B$18&gt;=2,B88&gt;=$B$18),"gepoold in de fout","in het model"),"")</f>
        <v/>
      </c>
      <c r="H88" s="11">
        <f>IF(AND(G88="in het model",ISNUMBER($B$62),N($B$62)&gt;0),F88/$B$62,"")</f>
        <v/>
      </c>
      <c r="I88" s="29">
        <f>IF(ISNUMBER(H88),_xlfn.F.DIST.RT(H88,1,$B$59+$B$61),"")</f>
        <v/>
      </c>
      <c r="J88" s="13">
        <f>IF(ISNUMBER(I88),IF(I88&lt;$B$9,"verwerp H0","H0 niet verwerpen"),"")</f>
        <v/>
      </c>
      <c r="K88" s="11">
        <f>IF(AND(ISNUMBER(D88),ISNUMBER($B$63)),D88-2*$B$63,"")</f>
        <v/>
      </c>
      <c r="L88" s="11">
        <f>IF(AND(ISNUMBER(D88),ISNUMBER($B$63)),D88+2*$B$63,"")</f>
        <v/>
      </c>
    </row>
    <row r="89">
      <c r="A89" s="20" t="inlineStr">
        <is>
          <t>DE</t>
        </is>
      </c>
      <c r="B89" s="6" t="n">
        <v>2</v>
      </c>
      <c r="C89" s="11">
        <f>IF(AND($B$55="ja",24&lt;2^$B$17),SUMPRODUCT(BC21:BC52,AC21:AC52),"")</f>
        <v/>
      </c>
      <c r="D89" s="11">
        <f>IF(ISNUMBER(C89),C89/($B$54*2^($B$17-1)),"")</f>
        <v/>
      </c>
      <c r="E89" s="11">
        <f>IF(ISNUMBER(D89),D89/2,"")</f>
        <v/>
      </c>
      <c r="F89" s="11">
        <f>IF(ISNUMBER(C89),C89^2/($B$54*2^$B$17),"")</f>
        <v/>
      </c>
      <c r="G89" s="13">
        <f>IF(ISNUMBER(C89),IF(AND(ISNUMBER($B$18),$B$18&gt;=2,B89&gt;=$B$18),"gepoold in de fout","in het model"),"")</f>
        <v/>
      </c>
      <c r="H89" s="11">
        <f>IF(AND(G89="in het model",ISNUMBER($B$62),N($B$62)&gt;0),F89/$B$62,"")</f>
        <v/>
      </c>
      <c r="I89" s="29">
        <f>IF(ISNUMBER(H89),_xlfn.F.DIST.RT(H89,1,$B$59+$B$61),"")</f>
        <v/>
      </c>
      <c r="J89" s="13">
        <f>IF(ISNUMBER(I89),IF(I89&lt;$B$9,"verwerp H0","H0 niet verwerpen"),"")</f>
        <v/>
      </c>
      <c r="K89" s="11">
        <f>IF(AND(ISNUMBER(D89),ISNUMBER($B$63)),D89-2*$B$63,"")</f>
        <v/>
      </c>
      <c r="L89" s="11">
        <f>IF(AND(ISNUMBER(D89),ISNUMBER($B$63)),D89+2*$B$63,"")</f>
        <v/>
      </c>
    </row>
    <row r="90">
      <c r="A90" s="20" t="inlineStr">
        <is>
          <t>ADE</t>
        </is>
      </c>
      <c r="B90" s="6" t="n">
        <v>3</v>
      </c>
      <c r="C90" s="11">
        <f>IF(AND($B$55="ja",25&lt;2^$B$17),SUMPRODUCT(BD21:BD52,AC21:AC52),"")</f>
        <v/>
      </c>
      <c r="D90" s="11">
        <f>IF(ISNUMBER(C90),C90/($B$54*2^($B$17-1)),"")</f>
        <v/>
      </c>
      <c r="E90" s="11">
        <f>IF(ISNUMBER(D90),D90/2,"")</f>
        <v/>
      </c>
      <c r="F90" s="11">
        <f>IF(ISNUMBER(C90),C90^2/($B$54*2^$B$17),"")</f>
        <v/>
      </c>
      <c r="G90" s="13">
        <f>IF(ISNUMBER(C90),IF(AND(ISNUMBER($B$18),$B$18&gt;=2,B90&gt;=$B$18),"gepoold in de fout","in het model"),"")</f>
        <v/>
      </c>
      <c r="H90" s="11">
        <f>IF(AND(G90="in het model",ISNUMBER($B$62),N($B$62)&gt;0),F90/$B$62,"")</f>
        <v/>
      </c>
      <c r="I90" s="29">
        <f>IF(ISNUMBER(H90),_xlfn.F.DIST.RT(H90,1,$B$59+$B$61),"")</f>
        <v/>
      </c>
      <c r="J90" s="13">
        <f>IF(ISNUMBER(I90),IF(I90&lt;$B$9,"verwerp H0","H0 niet verwerpen"),"")</f>
        <v/>
      </c>
      <c r="K90" s="11">
        <f>IF(AND(ISNUMBER(D90),ISNUMBER($B$63)),D90-2*$B$63,"")</f>
        <v/>
      </c>
      <c r="L90" s="11">
        <f>IF(AND(ISNUMBER(D90),ISNUMBER($B$63)),D90+2*$B$63,"")</f>
        <v/>
      </c>
    </row>
    <row r="91">
      <c r="A91" s="20" t="inlineStr">
        <is>
          <t>BDE</t>
        </is>
      </c>
      <c r="B91" s="6" t="n">
        <v>3</v>
      </c>
      <c r="C91" s="11">
        <f>IF(AND($B$55="ja",26&lt;2^$B$17),SUMPRODUCT(BE21:BE52,AC21:AC52),"")</f>
        <v/>
      </c>
      <c r="D91" s="11">
        <f>IF(ISNUMBER(C91),C91/($B$54*2^($B$17-1)),"")</f>
        <v/>
      </c>
      <c r="E91" s="11">
        <f>IF(ISNUMBER(D91),D91/2,"")</f>
        <v/>
      </c>
      <c r="F91" s="11">
        <f>IF(ISNUMBER(C91),C91^2/($B$54*2^$B$17),"")</f>
        <v/>
      </c>
      <c r="G91" s="13">
        <f>IF(ISNUMBER(C91),IF(AND(ISNUMBER($B$18),$B$18&gt;=2,B91&gt;=$B$18),"gepoold in de fout","in het model"),"")</f>
        <v/>
      </c>
      <c r="H91" s="11">
        <f>IF(AND(G91="in het model",ISNUMBER($B$62),N($B$62)&gt;0),F91/$B$62,"")</f>
        <v/>
      </c>
      <c r="I91" s="29">
        <f>IF(ISNUMBER(H91),_xlfn.F.DIST.RT(H91,1,$B$59+$B$61),"")</f>
        <v/>
      </c>
      <c r="J91" s="13">
        <f>IF(ISNUMBER(I91),IF(I91&lt;$B$9,"verwerp H0","H0 niet verwerpen"),"")</f>
        <v/>
      </c>
      <c r="K91" s="11">
        <f>IF(AND(ISNUMBER(D91),ISNUMBER($B$63)),D91-2*$B$63,"")</f>
        <v/>
      </c>
      <c r="L91" s="11">
        <f>IF(AND(ISNUMBER(D91),ISNUMBER($B$63)),D91+2*$B$63,"")</f>
        <v/>
      </c>
    </row>
    <row r="92">
      <c r="A92" s="20" t="inlineStr">
        <is>
          <t>ABDE</t>
        </is>
      </c>
      <c r="B92" s="6" t="n">
        <v>4</v>
      </c>
      <c r="C92" s="11">
        <f>IF(AND($B$55="ja",27&lt;2^$B$17),SUMPRODUCT(BF21:BF52,AC21:AC52),"")</f>
        <v/>
      </c>
      <c r="D92" s="11">
        <f>IF(ISNUMBER(C92),C92/($B$54*2^($B$17-1)),"")</f>
        <v/>
      </c>
      <c r="E92" s="11">
        <f>IF(ISNUMBER(D92),D92/2,"")</f>
        <v/>
      </c>
      <c r="F92" s="11">
        <f>IF(ISNUMBER(C92),C92^2/($B$54*2^$B$17),"")</f>
        <v/>
      </c>
      <c r="G92" s="13">
        <f>IF(ISNUMBER(C92),IF(AND(ISNUMBER($B$18),$B$18&gt;=2,B92&gt;=$B$18),"gepoold in de fout","in het model"),"")</f>
        <v/>
      </c>
      <c r="H92" s="11">
        <f>IF(AND(G92="in het model",ISNUMBER($B$62),N($B$62)&gt;0),F92/$B$62,"")</f>
        <v/>
      </c>
      <c r="I92" s="29">
        <f>IF(ISNUMBER(H92),_xlfn.F.DIST.RT(H92,1,$B$59+$B$61),"")</f>
        <v/>
      </c>
      <c r="J92" s="13">
        <f>IF(ISNUMBER(I92),IF(I92&lt;$B$9,"verwerp H0","H0 niet verwerpen"),"")</f>
        <v/>
      </c>
      <c r="K92" s="11">
        <f>IF(AND(ISNUMBER(D92),ISNUMBER($B$63)),D92-2*$B$63,"")</f>
        <v/>
      </c>
      <c r="L92" s="11">
        <f>IF(AND(ISNUMBER(D92),ISNUMBER($B$63)),D92+2*$B$63,"")</f>
        <v/>
      </c>
    </row>
    <row r="93">
      <c r="A93" s="20" t="inlineStr">
        <is>
          <t>CDE</t>
        </is>
      </c>
      <c r="B93" s="6" t="n">
        <v>3</v>
      </c>
      <c r="C93" s="11">
        <f>IF(AND($B$55="ja",28&lt;2^$B$17),SUMPRODUCT(BG21:BG52,AC21:AC52),"")</f>
        <v/>
      </c>
      <c r="D93" s="11">
        <f>IF(ISNUMBER(C93),C93/($B$54*2^($B$17-1)),"")</f>
        <v/>
      </c>
      <c r="E93" s="11">
        <f>IF(ISNUMBER(D93),D93/2,"")</f>
        <v/>
      </c>
      <c r="F93" s="11">
        <f>IF(ISNUMBER(C93),C93^2/($B$54*2^$B$17),"")</f>
        <v/>
      </c>
      <c r="G93" s="13">
        <f>IF(ISNUMBER(C93),IF(AND(ISNUMBER($B$18),$B$18&gt;=2,B93&gt;=$B$18),"gepoold in de fout","in het model"),"")</f>
        <v/>
      </c>
      <c r="H93" s="11">
        <f>IF(AND(G93="in het model",ISNUMBER($B$62),N($B$62)&gt;0),F93/$B$62,"")</f>
        <v/>
      </c>
      <c r="I93" s="29">
        <f>IF(ISNUMBER(H93),_xlfn.F.DIST.RT(H93,1,$B$59+$B$61),"")</f>
        <v/>
      </c>
      <c r="J93" s="13">
        <f>IF(ISNUMBER(I93),IF(I93&lt;$B$9,"verwerp H0","H0 niet verwerpen"),"")</f>
        <v/>
      </c>
      <c r="K93" s="11">
        <f>IF(AND(ISNUMBER(D93),ISNUMBER($B$63)),D93-2*$B$63,"")</f>
        <v/>
      </c>
      <c r="L93" s="11">
        <f>IF(AND(ISNUMBER(D93),ISNUMBER($B$63)),D93+2*$B$63,"")</f>
        <v/>
      </c>
    </row>
    <row r="94">
      <c r="A94" s="20" t="inlineStr">
        <is>
          <t>ACDE</t>
        </is>
      </c>
      <c r="B94" s="6" t="n">
        <v>4</v>
      </c>
      <c r="C94" s="11">
        <f>IF(AND($B$55="ja",29&lt;2^$B$17),SUMPRODUCT(BH21:BH52,AC21:AC52),"")</f>
        <v/>
      </c>
      <c r="D94" s="11">
        <f>IF(ISNUMBER(C94),C94/($B$54*2^($B$17-1)),"")</f>
        <v/>
      </c>
      <c r="E94" s="11">
        <f>IF(ISNUMBER(D94),D94/2,"")</f>
        <v/>
      </c>
      <c r="F94" s="11">
        <f>IF(ISNUMBER(C94),C94^2/($B$54*2^$B$17),"")</f>
        <v/>
      </c>
      <c r="G94" s="13">
        <f>IF(ISNUMBER(C94),IF(AND(ISNUMBER($B$18),$B$18&gt;=2,B94&gt;=$B$18),"gepoold in de fout","in het model"),"")</f>
        <v/>
      </c>
      <c r="H94" s="11">
        <f>IF(AND(G94="in het model",ISNUMBER($B$62),N($B$62)&gt;0),F94/$B$62,"")</f>
        <v/>
      </c>
      <c r="I94" s="29">
        <f>IF(ISNUMBER(H94),_xlfn.F.DIST.RT(H94,1,$B$59+$B$61),"")</f>
        <v/>
      </c>
      <c r="J94" s="13">
        <f>IF(ISNUMBER(I94),IF(I94&lt;$B$9,"verwerp H0","H0 niet verwerpen"),"")</f>
        <v/>
      </c>
      <c r="K94" s="11">
        <f>IF(AND(ISNUMBER(D94),ISNUMBER($B$63)),D94-2*$B$63,"")</f>
        <v/>
      </c>
      <c r="L94" s="11">
        <f>IF(AND(ISNUMBER(D94),ISNUMBER($B$63)),D94+2*$B$63,"")</f>
        <v/>
      </c>
    </row>
    <row r="95">
      <c r="A95" s="20" t="inlineStr">
        <is>
          <t>BCDE</t>
        </is>
      </c>
      <c r="B95" s="6" t="n">
        <v>4</v>
      </c>
      <c r="C95" s="11">
        <f>IF(AND($B$55="ja",30&lt;2^$B$17),SUMPRODUCT(BI21:BI52,AC21:AC52),"")</f>
        <v/>
      </c>
      <c r="D95" s="11">
        <f>IF(ISNUMBER(C95),C95/($B$54*2^($B$17-1)),"")</f>
        <v/>
      </c>
      <c r="E95" s="11">
        <f>IF(ISNUMBER(D95),D95/2,"")</f>
        <v/>
      </c>
      <c r="F95" s="11">
        <f>IF(ISNUMBER(C95),C95^2/($B$54*2^$B$17),"")</f>
        <v/>
      </c>
      <c r="G95" s="13">
        <f>IF(ISNUMBER(C95),IF(AND(ISNUMBER($B$18),$B$18&gt;=2,B95&gt;=$B$18),"gepoold in de fout","in het model"),"")</f>
        <v/>
      </c>
      <c r="H95" s="11">
        <f>IF(AND(G95="in het model",ISNUMBER($B$62),N($B$62)&gt;0),F95/$B$62,"")</f>
        <v/>
      </c>
      <c r="I95" s="29">
        <f>IF(ISNUMBER(H95),_xlfn.F.DIST.RT(H95,1,$B$59+$B$61),"")</f>
        <v/>
      </c>
      <c r="J95" s="13">
        <f>IF(ISNUMBER(I95),IF(I95&lt;$B$9,"verwerp H0","H0 niet verwerpen"),"")</f>
        <v/>
      </c>
      <c r="K95" s="11">
        <f>IF(AND(ISNUMBER(D95),ISNUMBER($B$63)),D95-2*$B$63,"")</f>
        <v/>
      </c>
      <c r="L95" s="11">
        <f>IF(AND(ISNUMBER(D95),ISNUMBER($B$63)),D95+2*$B$63,"")</f>
        <v/>
      </c>
    </row>
    <row r="96">
      <c r="A96" s="20" t="inlineStr">
        <is>
          <t>ABCDE</t>
        </is>
      </c>
      <c r="B96" s="6" t="n">
        <v>5</v>
      </c>
      <c r="C96" s="11">
        <f>IF(AND($B$55="ja",31&lt;2^$B$17),SUMPRODUCT(BJ21:BJ52,AC21:AC52),"")</f>
        <v/>
      </c>
      <c r="D96" s="11">
        <f>IF(ISNUMBER(C96),C96/($B$54*2^($B$17-1)),"")</f>
        <v/>
      </c>
      <c r="E96" s="11">
        <f>IF(ISNUMBER(D96),D96/2,"")</f>
        <v/>
      </c>
      <c r="F96" s="11">
        <f>IF(ISNUMBER(C96),C96^2/($B$54*2^$B$17),"")</f>
        <v/>
      </c>
      <c r="G96" s="13">
        <f>IF(ISNUMBER(C96),IF(AND(ISNUMBER($B$18),$B$18&gt;=2,B96&gt;=$B$18),"gepoold in de fout","in het model"),"")</f>
        <v/>
      </c>
      <c r="H96" s="11">
        <f>IF(AND(G96="in het model",ISNUMBER($B$62),N($B$62)&gt;0),F96/$B$62,"")</f>
        <v/>
      </c>
      <c r="I96" s="29">
        <f>IF(ISNUMBER(H96),_xlfn.F.DIST.RT(H96,1,$B$59+$B$61),"")</f>
        <v/>
      </c>
      <c r="J96" s="13">
        <f>IF(ISNUMBER(I96),IF(I96&lt;$B$9,"verwerp H0","H0 niet verwerpen"),"")</f>
        <v/>
      </c>
      <c r="K96" s="11">
        <f>IF(AND(ISNUMBER(D96),ISNUMBER($B$63)),D96-2*$B$63,"")</f>
        <v/>
      </c>
      <c r="L96" s="11">
        <f>IF(AND(ISNUMBER(D96),ISNUMBER($B$63)),D96+2*$B$63,"")</f>
        <v/>
      </c>
    </row>
    <row r="97">
      <c r="A97" s="8" t="inlineStr">
        <is>
          <t>Effect = gemiddelde bij +1 − gemiddelde bij −1 (DOE p. 48, 66); effect ± 2 s.e. ≈ 95 %-BI: bevat het 0, dan niet significant bij 5 % (DOE p. 68). Coëfficiënt = effect / 2, Dummies p. 233 (extra, Dummies; niet te kennen).</t>
        </is>
      </c>
    </row>
    <row r="99">
      <c r="A99" s="10" t="inlineStr">
        <is>
          <t>Bron (source)</t>
        </is>
      </c>
      <c r="B99" s="10" t="inlineStr">
        <is>
          <t>SS</t>
        </is>
      </c>
      <c r="C99" s="10" t="inlineStr">
        <is>
          <t>df</t>
        </is>
      </c>
      <c r="D99" s="10" t="inlineStr">
        <is>
          <t>MS</t>
        </is>
      </c>
      <c r="E99" s="10" t="inlineStr">
        <is>
          <t>F0</t>
        </is>
      </c>
      <c r="F99" s="10" t="inlineStr">
        <is>
          <t>p-waarde</t>
        </is>
      </c>
      <c r="G99" s="10" t="inlineStr">
        <is>
          <t>Besluit bij α</t>
        </is>
      </c>
    </row>
    <row r="100">
      <c r="A100" s="6" t="inlineStr">
        <is>
          <t>Model (alle effecten in het model)</t>
        </is>
      </c>
      <c r="B100" s="11">
        <f>IF($B$55="ja",SUM(F66:F96)-$B$60,"")</f>
        <v/>
      </c>
      <c r="C100" s="28">
        <f>IF($B$55="ja",2^$B$17-1-$B$61,"")</f>
        <v/>
      </c>
      <c r="D100" s="11">
        <f>IF(AND(ISNUMBER(B100),N(C100)&gt;0),B100/C100,"")</f>
        <v/>
      </c>
      <c r="E100" s="11">
        <f>IF(AND(ISNUMBER(D100),ISNUMBER(D101),N(D101)&gt;0),D100/D101,"")</f>
        <v/>
      </c>
      <c r="F100" s="29">
        <f>IF(ISNUMBER(E100),_xlfn.F.DIST.RT(E100,C100,C101),"")</f>
        <v/>
      </c>
      <c r="G100" s="13">
        <f>IF(ISNUMBER(F100),IF(F100&lt;$B$9,"verwerp H0","H0 niet verwerpen"),"")</f>
        <v/>
      </c>
    </row>
    <row r="101">
      <c r="A101" s="6" t="inlineStr">
        <is>
          <t>Fout (error: zuivere fout + gepoold)</t>
        </is>
      </c>
      <c r="B101" s="11">
        <f>IF($B$55="ja",$B$58+$B$60,"")</f>
        <v/>
      </c>
      <c r="C101" s="28">
        <f>IF($B$55="ja",$B$59+$B$61,"")</f>
        <v/>
      </c>
      <c r="D101" s="11">
        <f>IF(ISNUMBER($B$62),$B$62,"")</f>
        <v/>
      </c>
      <c r="E101" s="8" t="inlineStr">
        <is>
          <t>zoals de Design-Expert-output van de cursus, DOE p. 61</t>
        </is>
      </c>
    </row>
    <row r="102">
      <c r="A102" s="6" t="inlineStr">
        <is>
          <t>Totaal</t>
        </is>
      </c>
      <c r="B102" s="11">
        <f>IF($B$55="ja",SUM(F66:F96)+$B$58,"")</f>
        <v/>
      </c>
      <c r="C102" s="28">
        <f>IF($B$55="ja",$B$56-1,"")</f>
        <v/>
      </c>
    </row>
    <row r="103">
      <c r="A103" s="6" t="inlineStr">
        <is>
          <t>R² = SS_model / SS_totaal</t>
        </is>
      </c>
      <c r="B103" s="11">
        <f>IF(AND(ISNUMBER(B102),N(B102)&gt;0),B100/B102,"")</f>
        <v/>
      </c>
      <c r="C103" s="8" t="inlineStr">
        <is>
          <t>DOE p. 61</t>
        </is>
      </c>
    </row>
    <row r="104">
      <c r="A104" s="6" t="inlineStr">
        <is>
          <t>R²_adj = 1 − (1 − R²)(N − 1)/(N − p − 1), p = df van het model</t>
        </is>
      </c>
      <c r="B104" s="11">
        <f>IF(AND(ISNUMBER(B103),N(C101)&gt;0),1-(1-B103)*C102/C101,"")</f>
        <v/>
      </c>
      <c r="C104" s="8" t="inlineStr">
        <is>
          <t>zoals de outputs van de cursus (DOE p. 61; Regression p. 22, 57)</t>
        </is>
      </c>
    </row>
    <row r="105">
      <c r="A105" s="6" t="inlineStr">
        <is>
          <t>R²_adj zoals gedrukt op Regression p. 56: 1 − (1 − R²)(N − 1)/(N − p − 2)</t>
        </is>
      </c>
      <c r="B105" s="11">
        <f>IF(AND(ISNUMBER(B103),N(C101)&gt;1),1-(1-B103)*C102/(C101-1),"")</f>
        <v/>
      </c>
      <c r="C105" s="8" t="inlineStr">
        <is>
          <t>Regression p. 56 (verschilt van de outputs van de cursus)</t>
        </is>
      </c>
    </row>
  </sheetData>
  <dataValidations count="2">
    <dataValidation sqref="B17 B18" showDropDown="0" showInputMessage="0" showErrorMessage="1" allowBlank="1" errorTitle="k of orde voor poolen" error="Een geheel getal van 2 tot 5." type="whole" operator="between">
      <formula1>2</formula1>
      <formula2>5</formula2>
    </dataValidation>
    <dataValidation sqref="B9" showDropDown="0" showInputMessage="0" showErrorMessage="1" allowBlank="1" errorTitle="α" error="α ligt tussen 0 en 1." type="decimal" operator="between">
      <formula1>0.0000001</formula1>
      <formula2>0.9999999</formula2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style="26" min="2" max="2"/>
    <col width="14" customWidth="1" style="26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Enkelvoudige lineaire regressie (simple linear regression): schatting, ANOVA, R², toetsen, BI en PI</t>
        </is>
      </c>
      <c r="B1" s="6" t="n"/>
      <c r="C1" s="6" t="n"/>
    </row>
    <row r="2">
      <c r="A2" s="2" t="inlineStr">
        <is>
          <t>Bron in de cursus</t>
        </is>
      </c>
      <c r="B2" s="3" t="inlineStr">
        <is>
          <t>source/course/Les 3/20260605_de vuyst_BB_Regression.pdf p. 16-38, 56-57</t>
        </is>
      </c>
      <c r="C2" s="6" t="n"/>
    </row>
    <row r="3">
      <c r="A3" s="2" t="inlineStr">
        <is>
          <t>Gebruikte conventie</t>
        </is>
      </c>
      <c r="B3" s="3" t="inlineStr">
        <is>
          <t>Invoer α vooraf ingevuld op 0,05 (beslissing 5); BI's en t-toetsen eenzijdig en tweezijdig naast elkaar (beslissing 6); R²_adj op beide manieren getoond.</t>
        </is>
      </c>
      <c r="C3" s="6" t="n"/>
    </row>
    <row r="4">
      <c r="A4" s="2" t="inlineStr">
        <is>
          <t>Status</t>
        </is>
      </c>
      <c r="B4" s="4" t="inlineStr">
        <is>
          <t>GEVERIFIEERD (VERIFIED): getest tegen de uitgewerkte voorbeelden van de cursus S05-WE17 en S05-WE18</t>
        </is>
      </c>
      <c r="C4" s="6" t="n"/>
    </row>
    <row r="5">
      <c r="A5" s="2" t="inlineStr">
        <is>
          <t>Legende</t>
        </is>
      </c>
      <c r="B5" s="3" t="inlineStr">
        <is>
          <t>Gele cel = vul hier in (invoer).  Groene cel = resultaat, niet overtypen.  Oranje cel (Tabellen) = verschilt van een andere gedrukte bron.</t>
        </is>
      </c>
      <c r="C5" s="6" t="n"/>
    </row>
    <row r="6">
      <c r="A6" s="2" t="inlineStr">
        <is>
          <t>Controle</t>
        </is>
      </c>
      <c r="B6" s="3" t="inlineStr">
        <is>
          <t>Blijft een groene cel leeg, dan ontbreekt nog een invoer die ze nodig heeft.</t>
        </is>
      </c>
      <c r="C6" s="6" t="n"/>
    </row>
    <row r="7">
      <c r="B7" s="6" t="n"/>
      <c r="C7" s="6" t="n"/>
    </row>
    <row r="8">
      <c r="A8" s="5" t="inlineStr">
        <is>
          <t>Instellingen</t>
        </is>
      </c>
      <c r="B8" s="6" t="n"/>
      <c r="C8" s="6" t="n"/>
    </row>
    <row r="9">
      <c r="A9" s="6" t="inlineStr">
        <is>
          <t>Significantieniveau α (significance level; betrouwbaarheid = 1 − α)</t>
        </is>
      </c>
      <c r="B9" s="22" t="n">
        <v>0.05</v>
      </c>
      <c r="C9" s="8" t="inlineStr">
        <is>
          <t>de cursus heeft geen standaardwaarde; de meeste cursusvoorbeelden gebruiken 5 %; gebruik de waarde uit de vraag</t>
        </is>
      </c>
    </row>
    <row r="10">
      <c r="A10" s="6" t="inlineStr">
        <is>
          <t>x0 voor de gefitte waarde, het BI van de gemiddelde respons en het predictie-interval</t>
        </is>
      </c>
      <c r="B10" s="27" t="n"/>
      <c r="C10" s="6" t="n"/>
    </row>
    <row r="11">
      <c r="A11" s="6" t="inlineStr">
        <is>
          <t>β1,0 = helling (slope) onder H0</t>
        </is>
      </c>
      <c r="B11" s="27" t="n">
        <v>0</v>
      </c>
      <c r="C11" s="8" t="inlineStr">
        <is>
          <t>0 = toets op significantie van de regressie (Regression p. 30, 33)</t>
        </is>
      </c>
    </row>
    <row r="12">
      <c r="A12" s="6" t="inlineStr">
        <is>
          <t>β0,0 = intercept onder H0</t>
        </is>
      </c>
      <c r="B12" s="27" t="n">
        <v>0</v>
      </c>
      <c r="C12" s="8" t="inlineStr">
        <is>
          <t>Regression p. 31</t>
        </is>
      </c>
    </row>
    <row r="13">
      <c r="B13" s="6" t="n"/>
      <c r="C13" s="6" t="n"/>
    </row>
    <row r="14">
      <c r="A14" s="20" t="inlineStr">
        <is>
          <t>Zo vul je de paren (x, y) in (onderaan, vanaf rij 58)</t>
        </is>
      </c>
      <c r="B14" s="6" t="n"/>
      <c r="C14" s="6" t="n"/>
    </row>
    <row r="15">
      <c r="A15" s="8" t="inlineStr">
        <is>
          <t>• Kolom B = x (de verklarende variabele), kolom C = y (de respons); één paar per rij, alleen GETALLEN.</t>
        </is>
      </c>
      <c r="B15" s="6" t="n"/>
      <c r="C15" s="6" t="n"/>
    </row>
    <row r="16">
      <c r="A16" s="8" t="inlineStr">
        <is>
          <t>• Zoveel rijen als je wilt; plak twee kolommen uit Excel (Plakken speciaal → Waarden), x eerst.</t>
        </is>
      </c>
      <c r="B16" s="6" t="n"/>
      <c r="C16" s="6" t="n"/>
    </row>
    <row r="17">
      <c r="A17" s="8" t="inlineStr">
        <is>
          <t>• Rij 20 zegt of elke rij x én y heeft; rijen 55-56 tellen de getallen en melden tekst (die telt niet mee).</t>
        </is>
      </c>
      <c r="B17" s="6" t="n"/>
      <c r="C17" s="6" t="n"/>
    </row>
    <row r="18">
      <c r="A18" s="8" t="inlineStr">
        <is>
          <t>• Leegmaken: selecteer B en C vanaf de eerste paar-rij en druk Delete.</t>
        </is>
      </c>
      <c r="B18" s="6" t="n"/>
      <c r="C18" s="6" t="n"/>
    </row>
    <row r="19">
      <c r="B19" s="6" t="n"/>
      <c r="C19" s="6" t="n"/>
    </row>
    <row r="20">
      <c r="A20" s="6" t="inlineStr">
        <is>
          <t>Paren volledig (elke rij heeft x én y, minstens 3 rijen)?</t>
        </is>
      </c>
      <c r="B20" s="13">
        <f>IF(COUNT($B$58:$B$100000)+COUNT($C$58:$C$100000)=0,"",IF(AND(COUNT($B$58:$B$100000)=COUNT($C$58:$C$100000),SUMPRODUCT(ISNUMBER($B$58:$B$100000)*ISNUMBER($C$58:$C$100000))=COUNT($B$58:$B$100000),COUNT($B$58:$B$100000)&gt;2),"ja","NEE: elke rij heeft x én y nodig, minstens 3 rijen"))</f>
        <v/>
      </c>
      <c r="C20" s="6" t="n"/>
    </row>
    <row r="21">
      <c r="A21" s="6" t="inlineStr">
        <is>
          <t>n = aantal paren</t>
        </is>
      </c>
      <c r="B21" s="28">
        <f>IF($B$20="ja",COUNT($B$58:$B$100000),"")</f>
        <v/>
      </c>
      <c r="C21" s="6" t="n"/>
    </row>
    <row r="22">
      <c r="A22" s="6" t="inlineStr">
        <is>
          <t>x̄</t>
        </is>
      </c>
      <c r="B22" s="29">
        <f>IF($B$20="ja",AVERAGE($B$58:$B$100000),"")</f>
        <v/>
      </c>
      <c r="C22" s="6" t="n"/>
    </row>
    <row r="23">
      <c r="A23" s="6" t="inlineStr">
        <is>
          <t>ȳ</t>
        </is>
      </c>
      <c r="B23" s="29">
        <f>IF($B$20="ja",AVERAGE($C$58:$C$100000),"")</f>
        <v/>
      </c>
      <c r="C23" s="6" t="n"/>
    </row>
    <row r="24">
      <c r="A24" s="6" t="inlineStr">
        <is>
          <t>S_xx = Σ (x − x̄)²</t>
        </is>
      </c>
      <c r="B24" s="29">
        <f>IF($B$20="ja",DEVSQ($B$58:$B$100000),"")</f>
        <v/>
      </c>
      <c r="C24" s="6" t="n"/>
    </row>
    <row r="25">
      <c r="A25" s="6" t="inlineStr">
        <is>
          <t>b1 = S_xy / S_xx (helling, slope)</t>
        </is>
      </c>
      <c r="B25" s="29">
        <f>IF(AND($B$20="ja",N(B24)&gt;0),SLOPE($C$58:$C$100000,$B$58:$B$100000),"")</f>
        <v/>
      </c>
      <c r="C25" s="8" t="inlineStr">
        <is>
          <t>Regression p. 17-19</t>
        </is>
      </c>
    </row>
    <row r="26">
      <c r="A26" s="6" t="inlineStr">
        <is>
          <t>b0 = ȳ − b1 x̄ (intercept)</t>
        </is>
      </c>
      <c r="B26" s="29">
        <f>IF(ISNUMBER(B25),INTERCEPT($C$58:$C$100000,$B$58:$B$100000),"")</f>
        <v/>
      </c>
      <c r="C26" s="6" t="n"/>
    </row>
    <row r="27">
      <c r="A27" s="6" t="inlineStr">
        <is>
          <t>SS_T = Σ (y − ȳ)², totale kwadratensom (sum of squares), df n − 1</t>
        </is>
      </c>
      <c r="B27" s="29">
        <f>IF(ISNUMBER(B25),DEVSQ($C$58:$C$100000),"")</f>
        <v/>
      </c>
      <c r="C27" s="8" t="inlineStr">
        <is>
          <t>Regression p. 24-27</t>
        </is>
      </c>
    </row>
    <row r="28">
      <c r="A28" s="6" t="inlineStr">
        <is>
          <t>SS_R = Σ (ŷ − ȳ)² = b1² S_xx, df 1</t>
        </is>
      </c>
      <c r="B28" s="29">
        <f>IF(ISNUMBER(B25),B25^2*B24,"")</f>
        <v/>
      </c>
      <c r="C28" s="6" t="n"/>
    </row>
    <row r="29">
      <c r="A29" s="6" t="inlineStr">
        <is>
          <t>SS_E = Σ (y − ŷ)² = SS_T − SS_R, df n − 2</t>
        </is>
      </c>
      <c r="B29" s="29">
        <f>IF(ISNUMBER(B25),B27-B28,"")</f>
        <v/>
      </c>
      <c r="C29" s="6" t="n"/>
    </row>
    <row r="30">
      <c r="A30" s="6" t="inlineStr">
        <is>
          <t>σ̂² = MS_E = SS_E / (n − 2)</t>
        </is>
      </c>
      <c r="B30" s="29">
        <f>IF(ISNUMBER(B29),B29/(B21-2),"")</f>
        <v/>
      </c>
      <c r="C30" s="8" t="inlineStr">
        <is>
          <t>Regression p. 28</t>
        </is>
      </c>
    </row>
    <row r="31">
      <c r="A31" s="6" t="inlineStr">
        <is>
          <t>σ̂ = √MS_E (Minitab 'S')</t>
        </is>
      </c>
      <c r="B31" s="29">
        <f>IF(ISNUMBER(B30),SQRT(B30),"")</f>
        <v/>
      </c>
      <c r="C31" s="6" t="n"/>
    </row>
    <row r="32">
      <c r="A32" s="6" t="inlineStr">
        <is>
          <t>R² = SS_R / SS_T</t>
        </is>
      </c>
      <c r="B32" s="11">
        <f>IF(AND(ISNUMBER(B28),N(B27)&gt;0),B28/B27,"")</f>
        <v/>
      </c>
      <c r="C32" s="8" t="inlineStr">
        <is>
          <t>Regression p. 27</t>
        </is>
      </c>
    </row>
    <row r="33">
      <c r="A33" s="6" t="inlineStr">
        <is>
          <t>R²_adj = 1 − (1 − R²)(n − 1)/(n − 2)</t>
        </is>
      </c>
      <c r="B33" s="11">
        <f>IF(ISNUMBER(B32),1-(1-B32)*(B21-1)/(B21-2),"")</f>
        <v/>
      </c>
      <c r="C33" s="8" t="inlineStr">
        <is>
          <t>zoals de Minitab-output van de cursus (Regression p. 22)</t>
        </is>
      </c>
    </row>
    <row r="34">
      <c r="A34" s="6" t="inlineStr">
        <is>
          <t>R²_adj zoals gedrukt op Regression p. 56: 1 − (1 − R²)(n − 1)/(n − 3)</t>
        </is>
      </c>
      <c r="B34" s="11">
        <f>IF(AND(ISNUMBER(B32),N(B21)&gt;3),1-(1-B32)*(B21-1)/(B21-3),"")</f>
        <v/>
      </c>
      <c r="C34" s="8" t="inlineStr">
        <is>
          <t>Regression p. 56 met k = 1 (verschilt van de outputs van de cursus)</t>
        </is>
      </c>
    </row>
    <row r="35">
      <c r="A35" s="6" t="inlineStr">
        <is>
          <t>F0 = MS_R / MS_E, df (1, n − 2)</t>
        </is>
      </c>
      <c r="B35" s="11">
        <f>IF(AND(ISNUMBER(B30),N(B30)&gt;0),B28/B30,"")</f>
        <v/>
      </c>
      <c r="C35" s="8" t="inlineStr">
        <is>
          <t>Regression p. 33</t>
        </is>
      </c>
    </row>
    <row r="36">
      <c r="A36" s="6" t="inlineStr">
        <is>
          <t>p-waarde van F0 (H0: β1 = 0)</t>
        </is>
      </c>
      <c r="B36" s="29">
        <f>IF(ISNUMBER(B35),_xlfn.F.DIST.RT(B35,1,B21-2),"")</f>
        <v/>
      </c>
      <c r="C36" s="6" t="n"/>
      <c r="D36" s="13">
        <f>IF(ISNUMBER(B36),IF(B36&lt;$B$9,"verwerp H0","H0 niet verwerpen"),"")</f>
        <v/>
      </c>
    </row>
    <row r="37">
      <c r="A37" s="6" t="inlineStr">
        <is>
          <t>kritieke t, df n − 2: tweezijdig t(1 − α/2); eenzijdig t(1 − α) in kolom D</t>
        </is>
      </c>
      <c r="B37" s="11">
        <f>IF(AND(N(B21)&gt;2,ISNUMBER($B$9)),_xlfn.T.INV(1-$B$9/2,B21-2),"")</f>
        <v/>
      </c>
      <c r="C37" s="6" t="n"/>
      <c r="D37" s="11">
        <f>IF(AND(N(B21)&gt;2,ISNUMBER($B$9)),_xlfn.T.INV(1-$B$9,B21-2),"")</f>
        <v/>
      </c>
    </row>
    <row r="38">
      <c r="A38" s="6" t="inlineStr">
        <is>
          <t>s.e.(b1) = √(MS_E / S_xx)</t>
        </is>
      </c>
      <c r="B38" s="29">
        <f>IF(ISNUMBER(B30),SQRT(B30/B24),"")</f>
        <v/>
      </c>
      <c r="C38" s="8" t="inlineStr">
        <is>
          <t>Regression p. 29-30</t>
        </is>
      </c>
    </row>
    <row r="39">
      <c r="A39" s="6" t="inlineStr">
        <is>
          <t>s.e.(b0) = √(MS_E (1/n + x̄²/S_xx))</t>
        </is>
      </c>
      <c r="B39" s="29">
        <f>IF(ISNUMBER(B30),SQRT(B30*(1/B21+B22^2/B24)),"")</f>
        <v/>
      </c>
      <c r="C39" s="8" t="inlineStr">
        <is>
          <t>Regression p. 29, 31</t>
        </is>
      </c>
    </row>
    <row r="40">
      <c r="A40" s="6" t="inlineStr">
        <is>
          <t>ŷ0 = b0 + b1 x0</t>
        </is>
      </c>
      <c r="B40" s="29">
        <f>IF(AND(ISNUMBER(B25),ISNUMBER($B$10)),B26+B25*$B$10,"")</f>
        <v/>
      </c>
      <c r="C40" s="8" t="inlineStr">
        <is>
          <t>Regression p. 35</t>
        </is>
      </c>
    </row>
    <row r="41">
      <c r="A41" s="6" t="inlineStr">
        <is>
          <t>s.e.(ŷ0) = √(MS_E (1/n + (x0 − x̄)²/S_xx))</t>
        </is>
      </c>
      <c r="B41" s="29">
        <f>IF(ISNUMBER(B40),SQRT(B30*(1/B21+($B$10-B22)^2/B24)),"")</f>
        <v/>
      </c>
      <c r="C41" s="8" t="inlineStr">
        <is>
          <t>Regression p. 36</t>
        </is>
      </c>
    </row>
    <row r="42">
      <c r="A42" s="6" t="inlineStr">
        <is>
          <t>s.e.(e0) = √(MS_E (1 + 1/n + (x0 − x̄)²/S_xx))</t>
        </is>
      </c>
      <c r="B42" s="29">
        <f>IF(ISNUMBER(B40),SQRT(B30*(1+1/B21+($B$10-B22)^2/B24)),"")</f>
        <v/>
      </c>
      <c r="C42" s="8" t="inlineStr">
        <is>
          <t>Regression p. 38</t>
        </is>
      </c>
    </row>
    <row r="43">
      <c r="B43" s="6" t="n"/>
      <c r="C43" s="6" t="n"/>
    </row>
    <row r="44">
      <c r="A44" s="10" t="inlineStr">
        <is>
          <t>t-toets (t-test), df n − 2 (Regression p. 30-31)</t>
        </is>
      </c>
      <c r="B44" s="10" t="inlineStr">
        <is>
          <t>schatting</t>
        </is>
      </c>
      <c r="C44" s="10" t="inlineStr">
        <is>
          <t>H0-waarde</t>
        </is>
      </c>
      <c r="D44" s="10" t="inlineStr">
        <is>
          <t>t0</t>
        </is>
      </c>
      <c r="E44" s="10" t="inlineStr">
        <is>
          <t>p (HA: ≠)</t>
        </is>
      </c>
      <c r="F44" s="10" t="inlineStr">
        <is>
          <t>p (HA: &gt;)</t>
        </is>
      </c>
      <c r="G44" s="10" t="inlineStr">
        <is>
          <t>p (HA: &lt;)</t>
        </is>
      </c>
      <c r="H44" s="10" t="inlineStr">
        <is>
          <t>Besluit (≠)</t>
        </is>
      </c>
      <c r="I44" s="10" t="inlineStr">
        <is>
          <t>Besluit (&gt;)</t>
        </is>
      </c>
      <c r="J44" s="10" t="inlineStr">
        <is>
          <t>Besluit (&lt;)</t>
        </is>
      </c>
    </row>
    <row r="45">
      <c r="A45" s="6" t="inlineStr">
        <is>
          <t>helling β1</t>
        </is>
      </c>
      <c r="B45" s="29">
        <f>IF(ISNUMBER(B25),B25,"")</f>
        <v/>
      </c>
      <c r="C45" s="29">
        <f>N($B$11)</f>
        <v/>
      </c>
      <c r="D45" s="11">
        <f>IF(AND(ISNUMBER(B38),N(B38)&gt;0),(B45-C45)/B38,"")</f>
        <v/>
      </c>
      <c r="E45" s="29">
        <f>IF(ISNUMBER(D45),_xlfn.T.DIST.2T(ABS(D45),$B$21-2),"")</f>
        <v/>
      </c>
      <c r="F45" s="29">
        <f>IF(ISNUMBER(D45),_xlfn.T.DIST.RT(D45,$B$21-2),"")</f>
        <v/>
      </c>
      <c r="G45" s="29">
        <f>IF(ISNUMBER(D45),_xlfn.T.DIST(D45,$B$21-2,TRUE),"")</f>
        <v/>
      </c>
      <c r="H45" s="13">
        <f>IF(ISNUMBER(E45),IF(E45&lt;$B$9,"verwerp H0","H0 niet verwerpen"),"")</f>
        <v/>
      </c>
      <c r="I45" s="13">
        <f>IF(ISNUMBER(F45),IF(F45&lt;$B$9,"verwerp H0","H0 niet verwerpen"),"")</f>
        <v/>
      </c>
      <c r="J45" s="13">
        <f>IF(ISNUMBER(G45),IF(G45&lt;$B$9,"verwerp H0","H0 niet verwerpen"),"")</f>
        <v/>
      </c>
    </row>
    <row r="46">
      <c r="A46" s="6" t="inlineStr">
        <is>
          <t>intercept β0</t>
        </is>
      </c>
      <c r="B46" s="29">
        <f>IF(ISNUMBER(B26),B26,"")</f>
        <v/>
      </c>
      <c r="C46" s="29">
        <f>N($B$12)</f>
        <v/>
      </c>
      <c r="D46" s="11">
        <f>IF(AND(ISNUMBER(B39),N(B39)&gt;0),(B46-C46)/B39,"")</f>
        <v/>
      </c>
      <c r="E46" s="29">
        <f>IF(ISNUMBER(D46),_xlfn.T.DIST.2T(ABS(D46),$B$21-2),"")</f>
        <v/>
      </c>
      <c r="F46" s="29">
        <f>IF(ISNUMBER(D46),_xlfn.T.DIST.RT(D46,$B$21-2),"")</f>
        <v/>
      </c>
      <c r="G46" s="29">
        <f>IF(ISNUMBER(D46),_xlfn.T.DIST(D46,$B$21-2,TRUE),"")</f>
        <v/>
      </c>
      <c r="H46" s="13">
        <f>IF(ISNUMBER(E46),IF(E46&lt;$B$9,"verwerp H0","H0 niet verwerpen"),"")</f>
        <v/>
      </c>
      <c r="I46" s="13">
        <f>IF(ISNUMBER(F46),IF(F46&lt;$B$9,"verwerp H0","H0 niet verwerpen"),"")</f>
        <v/>
      </c>
      <c r="J46" s="13">
        <f>IF(ISNUMBER(G46),IF(G46&lt;$B$9,"verwerp H0","H0 niet verwerpen"),"")</f>
        <v/>
      </c>
    </row>
    <row r="47">
      <c r="B47" s="6" t="n"/>
      <c r="C47" s="6" t="n"/>
    </row>
    <row r="48">
      <c r="A48" s="10" t="inlineStr">
        <is>
          <t>Betrouwbaarheidsinterval (confidence interval, BI) 1 − α, t met n − 2 df</t>
        </is>
      </c>
      <c r="B48" s="10" t="inlineStr">
        <is>
          <t>centrum</t>
        </is>
      </c>
      <c r="C48" s="10" t="inlineStr">
        <is>
          <t>s.e.</t>
        </is>
      </c>
      <c r="D48" s="10" t="inlineStr">
        <is>
          <t>tweezijdig: van</t>
        </is>
      </c>
      <c r="E48" s="10" t="inlineStr">
        <is>
          <t>tot</t>
        </is>
      </c>
      <c r="F48" s="10" t="inlineStr">
        <is>
          <t>alleen ondergrens (minstens …)</t>
        </is>
      </c>
      <c r="G48" s="10" t="inlineStr">
        <is>
          <t>alleen bovengrens (hoogstens …)</t>
        </is>
      </c>
      <c r="H48" s="10" t="inlineStr">
        <is>
          <t>Bron in de cursus</t>
        </is>
      </c>
    </row>
    <row r="49">
      <c r="A49" s="6" t="inlineStr">
        <is>
          <t>BI voor de helling β1</t>
        </is>
      </c>
      <c r="B49" s="29">
        <f>IF(AND(ISNUMBER(B25),ISNUMBER(B38)),B25,"")</f>
        <v/>
      </c>
      <c r="C49" s="29">
        <f>IF(ISNUMBER(B49),B38,"")</f>
        <v/>
      </c>
      <c r="D49" s="29">
        <f>IF(ISNUMBER(B49),B49-_xlfn.T.INV(1-$B$9/2,$B$21-2)*C49,"")</f>
        <v/>
      </c>
      <c r="E49" s="29">
        <f>IF(ISNUMBER(B49),B49+_xlfn.T.INV(1-$B$9/2,$B$21-2)*C49,"")</f>
        <v/>
      </c>
      <c r="F49" s="29">
        <f>IF(ISNUMBER(B49),B49-_xlfn.T.INV(1-$B$9,$B$21-2)*C49,"")</f>
        <v/>
      </c>
      <c r="G49" s="29">
        <f>IF(ISNUMBER(B49),B49+_xlfn.T.INV(1-$B$9,$B$21-2)*C49,"")</f>
        <v/>
      </c>
      <c r="H49" s="8" t="inlineStr">
        <is>
          <t>Regression p. 34</t>
        </is>
      </c>
    </row>
    <row r="50">
      <c r="A50" s="6" t="inlineStr">
        <is>
          <t>BI voor het intercept β0</t>
        </is>
      </c>
      <c r="B50" s="29">
        <f>IF(AND(ISNUMBER(B26),ISNUMBER(B39)),B26,"")</f>
        <v/>
      </c>
      <c r="C50" s="29">
        <f>IF(ISNUMBER(B50),B39,"")</f>
        <v/>
      </c>
      <c r="D50" s="29">
        <f>IF(ISNUMBER(B50),B50-_xlfn.T.INV(1-$B$9/2,$B$21-2)*C50,"")</f>
        <v/>
      </c>
      <c r="E50" s="29">
        <f>IF(ISNUMBER(B50),B50+_xlfn.T.INV(1-$B$9/2,$B$21-2)*C50,"")</f>
        <v/>
      </c>
      <c r="F50" s="29">
        <f>IF(ISNUMBER(B50),B50-_xlfn.T.INV(1-$B$9,$B$21-2)*C50,"")</f>
        <v/>
      </c>
      <c r="G50" s="29">
        <f>IF(ISNUMBER(B50),B50+_xlfn.T.INV(1-$B$9,$B$21-2)*C50,"")</f>
        <v/>
      </c>
      <c r="H50" s="8" t="inlineStr">
        <is>
          <t>Regression p. 34</t>
        </is>
      </c>
    </row>
    <row r="51">
      <c r="A51" s="6" t="inlineStr">
        <is>
          <t>BI voor de gemiddelde respons (mean response) bij x0</t>
        </is>
      </c>
      <c r="B51" s="29">
        <f>IF(AND(ISNUMBER(B40),ISNUMBER(B41)),B40,"")</f>
        <v/>
      </c>
      <c r="C51" s="29">
        <f>IF(ISNUMBER(B51),B41,"")</f>
        <v/>
      </c>
      <c r="D51" s="29">
        <f>IF(ISNUMBER(B51),B51-_xlfn.T.INV(1-$B$9/2,$B$21-2)*C51,"")</f>
        <v/>
      </c>
      <c r="E51" s="29">
        <f>IF(ISNUMBER(B51),B51+_xlfn.T.INV(1-$B$9/2,$B$21-2)*C51,"")</f>
        <v/>
      </c>
      <c r="F51" s="29">
        <f>IF(ISNUMBER(B51),B51-_xlfn.T.INV(1-$B$9,$B$21-2)*C51,"")</f>
        <v/>
      </c>
      <c r="G51" s="29">
        <f>IF(ISNUMBER(B51),B51+_xlfn.T.INV(1-$B$9,$B$21-2)*C51,"")</f>
        <v/>
      </c>
      <c r="H51" s="8" t="inlineStr">
        <is>
          <t>Regression p. 36</t>
        </is>
      </c>
    </row>
    <row r="52">
      <c r="A52" s="6" t="inlineStr">
        <is>
          <t>Predictie-interval (prediction interval, PI) voor een nieuwe y bij x0</t>
        </is>
      </c>
      <c r="B52" s="29">
        <f>IF(AND(ISNUMBER(B40),ISNUMBER(B42)),B40,"")</f>
        <v/>
      </c>
      <c r="C52" s="29">
        <f>IF(ISNUMBER(B52),B42,"")</f>
        <v/>
      </c>
      <c r="D52" s="29">
        <f>IF(ISNUMBER(B52),B52-_xlfn.T.INV(1-$B$9/2,$B$21-2)*C52,"")</f>
        <v/>
      </c>
      <c r="E52" s="29">
        <f>IF(ISNUMBER(B52),B52+_xlfn.T.INV(1-$B$9/2,$B$21-2)*C52,"")</f>
        <v/>
      </c>
      <c r="F52" s="29">
        <f>IF(ISNUMBER(B52),B52-_xlfn.T.INV(1-$B$9,$B$21-2)*C52,"")</f>
        <v/>
      </c>
      <c r="G52" s="29">
        <f>IF(ISNUMBER(B52),B52+_xlfn.T.INV(1-$B$9,$B$21-2)*C52,"")</f>
        <v/>
      </c>
      <c r="H52" s="8" t="inlineStr">
        <is>
          <t>Regression p. 38</t>
        </is>
      </c>
    </row>
    <row r="53">
      <c r="A53" s="8" t="inlineStr">
        <is>
          <t>Meervoudige regressie (multiple regression, Regression p. 46-61) staat niet op dit blad.</t>
        </is>
      </c>
      <c r="B53" s="6" t="n"/>
      <c r="C53" s="6" t="n"/>
    </row>
    <row r="54">
      <c r="A54" s="5" t="inlineStr">
        <is>
          <t>De paren (x, y): x in kolom B, y in kolom C, vanaf rij 58</t>
        </is>
      </c>
      <c r="B54" s="6" t="n"/>
      <c r="C54" s="6" t="n"/>
    </row>
    <row r="55">
      <c r="A55" s="6" t="inlineStr">
        <is>
          <t>controle x (kolom B)</t>
        </is>
      </c>
      <c r="B55" s="13">
        <f>IF(COUNTA($B$58:$B$100000)=0,"leeg",COUNT($B$58:$B$100000)&amp;" getallen"&amp;IF(COUNTA($B$58:$B$100000)&gt;COUNT($B$58:$B$100000),"; LET OP: "&amp;(COUNTA($B$58:$B$100000)-COUNT($B$58:$B$100000))&amp;" cel(len) met tekst tellen NIET mee",""))</f>
        <v/>
      </c>
      <c r="C55" s="6" t="n"/>
    </row>
    <row r="56">
      <c r="A56" s="6" t="inlineStr">
        <is>
          <t>controle y (kolom C)</t>
        </is>
      </c>
      <c r="B56" s="13">
        <f>IF(COUNTA($C$58:$C$100000)=0,"leeg",COUNT($C$58:$C$100000)&amp;" getallen"&amp;IF(COUNTA($C$58:$C$100000)&gt;COUNT($C$58:$C$100000),"; LET OP: "&amp;(COUNTA($C$58:$C$100000)-COUNT($C$58:$C$100000))&amp;" cel(len) met tekst tellen NIET mee",""))</f>
        <v/>
      </c>
      <c r="C56" s="6" t="n"/>
    </row>
    <row r="57">
      <c r="A57" s="10" t="inlineStr"/>
      <c r="B57" s="10" t="inlineStr">
        <is>
          <t>x</t>
        </is>
      </c>
      <c r="C57" s="10" t="inlineStr">
        <is>
          <t>y</t>
        </is>
      </c>
    </row>
  </sheetData>
  <dataValidations count="1">
    <dataValidation sqref="B9" showDropDown="0" showInputMessage="0" showErrorMessage="1" allowBlank="1" errorTitle="α" error="α ligt tussen 0 en 1." type="decimal" operator="between">
      <formula1>0.0000001</formula1>
      <formula2>0.9999999</formula2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Q10256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6" customWidth="1" min="23" max="23"/>
    <col width="16" customWidth="1" min="24" max="24"/>
  </cols>
  <sheetData>
    <row r="1">
      <c r="A1" s="1" t="inlineStr">
        <is>
          <t>Voorwaardelijke kansen (conditional probability): kruistabel of ruwe data, gezamenlijke, marginale en voorwaardelijke verdelingen, P(gevraagd | gegeven), (on)afhankelijkheid</t>
        </is>
      </c>
    </row>
    <row r="2">
      <c r="A2" s="2" t="inlineStr">
        <is>
          <t>Bron in de cursus</t>
        </is>
      </c>
      <c r="B2" s="3" t="inlineStr">
        <is>
          <t>source/course/Les 1/20260522_naert_big data.pdf p. 17-25; 20261005_naert_web_lecture 1 notes.pdf p. 11-12; Les 2/20260529_ottoy_Test Recipes - Further Reading (Dutch).pdf p. 18-20 (χ²)</t>
        </is>
      </c>
    </row>
    <row r="3">
      <c r="A3" s="2" t="inlineStr">
        <is>
          <t>Gebruikte conventie</t>
        </is>
      </c>
      <c r="B3" s="3" t="inlineStr">
        <is>
          <t>Onafhankelijk in de tabel zelf als P(Y | X) = P(Y) voor elke rij (zoals Data p. 25); is de tabel een steekproef, dan de χ²-toets (α vooraf ingevuld op 0,05, beslissing 5). P(niet G) = 1 − P(G) is algemene kansrekening.</t>
        </is>
      </c>
    </row>
    <row r="4">
      <c r="A4" s="2" t="inlineStr">
        <is>
          <t>Status</t>
        </is>
      </c>
      <c r="B4" s="4" t="inlineStr">
        <is>
          <t>GEVERIFIEERD (VERIFIED): getest tegen het uitgewerkte cursusvoorbeeld S02-WE01 (Data p. 24-25), als kruistabel en als ruwe data; χ² tegen scipy</t>
        </is>
      </c>
    </row>
    <row r="5">
      <c r="A5" s="2" t="inlineStr">
        <is>
          <t>Legende</t>
        </is>
      </c>
      <c r="B5" s="3" t="inlineStr">
        <is>
          <t>Gele cel = vul hier in (invoer).  Groene cel = resultaat, niet overtypen.  Oranje cel (Tabellen) = verschilt van een andere gedrukte bron.</t>
        </is>
      </c>
    </row>
    <row r="6">
      <c r="A6" s="2" t="inlineStr">
        <is>
          <t>Controle</t>
        </is>
      </c>
      <c r="B6" s="3" t="inlineStr">
        <is>
          <t>Blijft een groene cel leeg, dan ontbreekt nog een invoer die ze nodig heeft.</t>
        </is>
      </c>
    </row>
    <row r="8">
      <c r="A8" s="5" t="inlineStr">
        <is>
          <t>1. Instellingen</t>
        </is>
      </c>
    </row>
    <row r="9">
      <c r="A9" s="6" t="inlineStr">
        <is>
          <t>Significantieniveau α voor de χ²-toets</t>
        </is>
      </c>
      <c r="B9" s="37" t="n">
        <v>0.05</v>
      </c>
      <c r="C9" s="8" t="inlineStr">
        <is>
          <t>de cursus heeft geen standaardwaarde; gebruik de waarde uit de vraag</t>
        </is>
      </c>
    </row>
    <row r="10">
      <c r="A10" s="6" t="inlineStr">
        <is>
          <t>Naam van X, de variabele in de rijen (tekst, bv. L)</t>
        </is>
      </c>
      <c r="B10" s="7" t="n"/>
      <c r="C10" s="6" t="inlineStr">
        <is>
          <t>gebruikt:</t>
        </is>
      </c>
      <c r="D10" s="13">
        <f>IF(TRIM(B10)="","X",TRIM(B10))</f>
        <v/>
      </c>
    </row>
    <row r="11">
      <c r="A11" s="6" t="inlineStr">
        <is>
          <t>Naam van Y, de variabele in de kolommen (tekst, bv. K)</t>
        </is>
      </c>
      <c r="B11" s="7" t="n"/>
      <c r="D11" s="13">
        <f>IF(TRIM(B11)="","Y",TRIM(B11))</f>
        <v/>
      </c>
    </row>
    <row r="12">
      <c r="D12" s="42" t="inlineStr">
        <is>
          <t>(niets gegeven)</t>
        </is>
      </c>
    </row>
    <row r="14">
      <c r="A14" s="20" t="inlineStr">
        <is>
          <t>2. Zo vul je de data in (onderaan, vanaf rij 256); kies daarna in sectie 3 wat gevraagd en wat gegeven is</t>
        </is>
      </c>
      <c r="L14" s="38" t="inlineStr">
        <is>
          <t>→ naar de data (rij 256)</t>
        </is>
      </c>
    </row>
    <row r="15">
      <c r="A15" s="8" t="inlineStr">
        <is>
          <t>• Kruistabel (aantallen): rij 256 = de namen van de kolommen (categorieën van Y, TEKST), kolom A = de namen van de rijen (categorieën van X, TEKST), daarin de aantallen (GETALLEN). Tot 20 × 20.</t>
        </is>
      </c>
    </row>
    <row r="16">
      <c r="A16" s="8" t="inlineStr">
        <is>
          <t>• Een rij of kolom 'Totaal' mag mee: ze telt niet (de totalen worden herberekend).</t>
        </is>
      </c>
    </row>
    <row r="17">
      <c r="A17" s="8" t="inlineStr">
        <is>
          <t>• Of ruwe data: één waarneming per regel, de categorie van X in kolom W en die van Y in kolom X (tekst of getal), vanaf rij 257, tot 10000 regels. Staan er ruwe data, dan telt de getypte tabel niet.</t>
        </is>
      </c>
    </row>
    <row r="18">
      <c r="A18" s="8" t="inlineStr">
        <is>
          <t>• Plakken uit een ander bestand: Plakken speciaal → Waarden. Rij 37-38 zegt welke data gebruikt worden en wat er mis is.</t>
        </is>
      </c>
    </row>
    <row r="20">
      <c r="A20" s="5" t="inlineStr">
        <is>
          <t>3. Jouw vraag: kies uit de lijsten (eerst de variabele, dan de categorie)</t>
        </is>
      </c>
    </row>
    <row r="21">
      <c r="A21" s="6" t="inlineStr">
        <is>
          <t>Gevraagd (E): variabele</t>
        </is>
      </c>
      <c r="B21" s="7" t="n"/>
      <c r="C21" s="8" t="inlineStr">
        <is>
          <t>X of Y</t>
        </is>
      </c>
    </row>
    <row r="22">
      <c r="A22" s="6" t="inlineStr">
        <is>
          <t>Gevraagd: is / is niet</t>
        </is>
      </c>
      <c r="B22" s="7" t="inlineStr">
        <is>
          <t>is</t>
        </is>
      </c>
      <c r="C22" s="8" t="inlineStr">
        <is>
          <t>'is niet' = de complementaire gebeurtenis</t>
        </is>
      </c>
    </row>
    <row r="23">
      <c r="A23" s="6" t="inlineStr">
        <is>
          <t>Gevraagd: categorie</t>
        </is>
      </c>
      <c r="B23" s="7" t="n"/>
      <c r="C23" s="8" t="inlineStr">
        <is>
          <t>de lijst volgt de gekozen variabele</t>
        </is>
      </c>
    </row>
    <row r="24">
      <c r="A24" s="6" t="inlineStr">
        <is>
          <t>Gegeven (G): variabele, of (niets gegeven)</t>
        </is>
      </c>
      <c r="B24" s="7" t="inlineStr">
        <is>
          <t>(niets gegeven)</t>
        </is>
      </c>
      <c r="C24" s="8" t="inlineStr">
        <is>
          <t>'als', 'gegeven dat', 'van de …'</t>
        </is>
      </c>
    </row>
    <row r="25">
      <c r="A25" s="6" t="inlineStr">
        <is>
          <t>Gegeven: is / is niet</t>
        </is>
      </c>
      <c r="B25" s="7" t="inlineStr">
        <is>
          <t>is</t>
        </is>
      </c>
    </row>
    <row r="26">
      <c r="A26" s="6" t="inlineStr">
        <is>
          <t>Gegeven: categorie</t>
        </is>
      </c>
      <c r="B26" s="7" t="n"/>
    </row>
    <row r="28">
      <c r="A28" s="10" t="inlineStr">
        <is>
          <t>Kans</t>
        </is>
      </c>
      <c r="B28" s="10" t="inlineStr">
        <is>
          <t>waarde</t>
        </is>
      </c>
      <c r="C28" s="10" t="inlineStr">
        <is>
          <t>teller (aantal)</t>
        </is>
      </c>
      <c r="D28" s="10" t="inlineStr">
        <is>
          <t>noemer (aantal)</t>
        </is>
      </c>
      <c r="E28" s="10" t="inlineStr">
        <is>
          <t>uitleg</t>
        </is>
      </c>
      <c r="W28" s="8" t="inlineStr">
        <is>
          <t>hulp: n(E), n(G), n(E en G)</t>
        </is>
      </c>
    </row>
    <row r="29">
      <c r="A29" s="44">
        <f>IF(AND($B$21&lt;&gt;"",$B$23&lt;&gt;""),IF(AND($B$24&lt;&gt;"",$B$24&lt;&gt;$D$12,$B$26&lt;&gt;""),"P("&amp;$B$21&amp;IF($B$22="is niet"," ≠ "," = ")&amp;$B$23&amp;" | "&amp;$B$24&amp;IF($B$25="is niet"," ≠ "," = ")&amp;$B$26&amp;") = n(E en G) / n(G)","P("&amp;$B$21&amp;IF($B$22="is niet"," ≠ "," = ")&amp;$B$23&amp;") = n(E) / N (niets gegeven)"),"kies in sectie 3 wat gevraagd is")</f>
        <v/>
      </c>
      <c r="B29" s="45">
        <f>IF(AND(AND($B$21&lt;&gt;"",$B$23&lt;&gt;""),N($V$74)&gt;0),IF(AND($B$24&lt;&gt;"",$B$24&lt;&gt;$D$12,$B$26&lt;&gt;""),IF($X$30&gt;0,$X$31/$X$30,""),$X$29/$V$74),"")</f>
        <v/>
      </c>
      <c r="C29" s="28">
        <f>IF(AND(AND($B$21&lt;&gt;"",$B$23&lt;&gt;""),N($V$74)&gt;0),IF(AND($B$24&lt;&gt;"",$B$24&lt;&gt;$D$12,$B$26&lt;&gt;""),$X$31,$X$29),"")</f>
        <v/>
      </c>
      <c r="D29" s="28">
        <f>IF(AND(AND($B$21&lt;&gt;"",$B$23&lt;&gt;""),N($V$74)&gt;0),IF(AND($B$24&lt;&gt;"",$B$24&lt;&gt;$D$12,$B$26&lt;&gt;""),$X$30,$V$74),"")</f>
        <v/>
      </c>
      <c r="E29" s="8" t="inlineStr">
        <is>
          <t>Data p. 20, 25: houd alleen de waarnemingen waar G geldt</t>
        </is>
      </c>
      <c r="X29" s="42">
        <f>SUMPRODUCT($AC$54:$AC$73,$Z$54:$Z$73)</f>
        <v/>
      </c>
    </row>
    <row r="30">
      <c r="A30" s="13">
        <f>IF(AND($B$21&lt;&gt;"",$B$23&lt;&gt;""),"P("&amp;$B$21&amp;IF($B$22="is niet"," ≠ "," = ")&amp;$B$23&amp;") = n(E) / N","")</f>
        <v/>
      </c>
      <c r="B30" s="11">
        <f>IF(AND(AND($B$21&lt;&gt;"",$B$23&lt;&gt;""),N($V$74)&gt;0),$X$29/$V$74,"")</f>
        <v/>
      </c>
      <c r="C30" s="28">
        <f>IF(AND(AND($B$21&lt;&gt;"",$B$23&lt;&gt;""),N($V$74)&gt;0),$X$29,"")</f>
        <v/>
      </c>
      <c r="D30" s="28">
        <f>IF(AND(AND($B$21&lt;&gt;"",$B$23&lt;&gt;""),N($V$74)&gt;0),$V$74,"")</f>
        <v/>
      </c>
      <c r="E30" s="8" t="inlineStr">
        <is>
          <t>marginale kans</t>
        </is>
      </c>
      <c r="X30" s="42">
        <f>SUMPRODUCT($AD$54:$AD$73,$AA$54:$AA$73)</f>
        <v/>
      </c>
    </row>
    <row r="31">
      <c r="A31" s="13">
        <f>IF(AND($B$24&lt;&gt;"",$B$24&lt;&gt;$D$12,$B$26&lt;&gt;""),"P("&amp;$B$24&amp;IF($B$25="is niet"," ≠ "," = ")&amp;$B$26&amp;") = n(G) / N","")</f>
        <v/>
      </c>
      <c r="B31" s="11">
        <f>IF(AND(AND(AND($B$21&lt;&gt;"",$B$23&lt;&gt;""),N($V$74)&gt;0),AND($B$24&lt;&gt;"",$B$24&lt;&gt;$D$12,$B$26&lt;&gt;"")),$X$30/$V$74,"")</f>
        <v/>
      </c>
      <c r="C31" s="28">
        <f>IF(AND(AND(AND($B$21&lt;&gt;"",$B$23&lt;&gt;""),N($V$74)&gt;0),AND($B$24&lt;&gt;"",$B$24&lt;&gt;$D$12,$B$26&lt;&gt;"")),$X$30,"")</f>
        <v/>
      </c>
      <c r="D31" s="28">
        <f>IF(AND(AND(AND($B$21&lt;&gt;"",$B$23&lt;&gt;""),N($V$74)&gt;0),AND($B$24&lt;&gt;"",$B$24&lt;&gt;$D$12,$B$26&lt;&gt;"")),$V$74,"")</f>
        <v/>
      </c>
      <c r="E31" s="8" t="inlineStr">
        <is>
          <t>marginale kans</t>
        </is>
      </c>
      <c r="X31" s="42">
        <f>SUMPRODUCT($AE$54:$AE$73,$AB$54:$AB$73)</f>
        <v/>
      </c>
    </row>
    <row r="32">
      <c r="A32" s="13">
        <f>IF(AND($B$24&lt;&gt;"",$B$24&lt;&gt;$D$12,$B$26&lt;&gt;""),"P("&amp;$B$21&amp;IF($B$22="is niet"," ≠ "," = ")&amp;$B$23&amp;" en "&amp;$B$24&amp;IF($B$25="is niet"," ≠ "," = ")&amp;$B$26&amp;") = n(E en G) / N","")</f>
        <v/>
      </c>
      <c r="B32" s="11">
        <f>IF(AND(AND(AND($B$21&lt;&gt;"",$B$23&lt;&gt;""),N($V$74)&gt;0),AND($B$24&lt;&gt;"",$B$24&lt;&gt;$D$12,$B$26&lt;&gt;"")),$X$31/$V$74,"")</f>
        <v/>
      </c>
      <c r="C32" s="28">
        <f>IF(AND(AND(AND($B$21&lt;&gt;"",$B$23&lt;&gt;""),N($V$74)&gt;0),AND($B$24&lt;&gt;"",$B$24&lt;&gt;$D$12,$B$26&lt;&gt;"")),$X$31,"")</f>
        <v/>
      </c>
      <c r="D32" s="28">
        <f>IF(AND(AND(AND($B$21&lt;&gt;"",$B$23&lt;&gt;""),N($V$74)&gt;0),AND($B$24&lt;&gt;"",$B$24&lt;&gt;$D$12,$B$26&lt;&gt;"")),$V$74,"")</f>
        <v/>
      </c>
      <c r="E32" s="8" t="inlineStr">
        <is>
          <t>gezamenlijke kans</t>
        </is>
      </c>
    </row>
    <row r="33">
      <c r="A33" s="13">
        <f>IF(AND($B$24&lt;&gt;"",$B$24&lt;&gt;$D$12,$B$26&lt;&gt;""),"omgekeerd: P("&amp;$B$24&amp;IF($B$25="is niet"," ≠ "," = ")&amp;$B$26&amp;" | "&amp;$B$21&amp;IF($B$22="is niet"," ≠ "," = ")&amp;$B$23&amp;") = n(E en G) / n(E)","")</f>
        <v/>
      </c>
      <c r="B33" s="11">
        <f>IF(AND(AND(AND($B$21&lt;&gt;"",$B$23&lt;&gt;""),N($V$74)&gt;0),AND($B$24&lt;&gt;"",$B$24&lt;&gt;$D$12,$B$26&lt;&gt;""),$X$29&gt;0),$X$31/$X$29,"")</f>
        <v/>
      </c>
      <c r="C33" s="28">
        <f>IF(AND(AND(AND($B$21&lt;&gt;"",$B$23&lt;&gt;""),N($V$74)&gt;0),AND($B$24&lt;&gt;"",$B$24&lt;&gt;$D$12,$B$26&lt;&gt;"")),$X$31,"")</f>
        <v/>
      </c>
      <c r="D33" s="28">
        <f>IF(AND(AND(AND($B$21&lt;&gt;"",$B$23&lt;&gt;""),N($V$74)&gt;0),AND($B$24&lt;&gt;"",$B$24&lt;&gt;$D$12,$B$26&lt;&gt;"")),$X$29,"")</f>
        <v/>
      </c>
      <c r="E33" s="8" t="inlineStr">
        <is>
          <t>andere noemer: niet dezelfde kans</t>
        </is>
      </c>
    </row>
    <row r="34">
      <c r="A34" s="13">
        <f>IF(AND($B$24&lt;&gt;"",$B$24&lt;&gt;$D$12,$B$26&lt;&gt;""),"P(E)·P(G): gelijk aan P(E en G) als E en G onafhankelijk zijn","")</f>
        <v/>
      </c>
      <c r="B34" s="11">
        <f>IF(AND(ISNUMBER(B30),ISNUMBER(B31)),B30*B31,"")</f>
        <v/>
      </c>
      <c r="C34" s="28">
        <f>""</f>
        <v/>
      </c>
      <c r="D34" s="28">
        <f>""</f>
        <v/>
      </c>
      <c r="E34" s="13">
        <f>IF(AND(ISNUMBER(B32),ISNUMBER(B34)),IF(ABS(B32-B34)&lt;=1E-12,"E en G onafhankelijk","E en G afhankelijk (P(E en G) ≠ P(E)·P(G))"),"")</f>
        <v/>
      </c>
    </row>
    <row r="36">
      <c r="A36" s="5" t="inlineStr">
        <is>
          <t>Gebruikte data</t>
        </is>
      </c>
    </row>
    <row r="37">
      <c r="A37" s="6" t="inlineStr">
        <is>
          <t>Gebruikt</t>
        </is>
      </c>
      <c r="B37" s="13">
        <f>IF($X$37=1,"ruwe data (kolommen W en X): "&amp;COUNTIFS($W$257:$W$10256,"&lt;&gt;",$X$257:$X$10256,"&lt;&gt;")&amp;" waarnemingen",IF(COUNT($B$257:$U$276)&gt;0,"de getypte kruistabel","nog geen data"))</f>
        <v/>
      </c>
      <c r="W37" s="8" t="inlineStr">
        <is>
          <t>hulp: ruwe data?</t>
        </is>
      </c>
      <c r="X37" s="42">
        <f>IF(COUNTA($W$257:$W$10256,$X$257:$X$10256)&gt;0,1,0)</f>
        <v/>
      </c>
    </row>
    <row r="38">
      <c r="A38" s="6" t="inlineStr">
        <is>
          <t>Controle</t>
        </is>
      </c>
      <c r="B38" s="13">
        <f>IF($X$37=1,IF(SUMPRODUCT(($W$257:$W$10256&lt;&gt;"")*($X$257:$X$10256=""))+SUMPRODUCT(($W$257:$W$10256="")*($X$257:$X$10256&lt;&gt;""))&gt;0,"LET OP: "&amp;SUMPRODUCT(($W$257:$W$10256&lt;&gt;"")*($X$257:$X$10256=""))+SUMPRODUCT(($W$257:$W$10256="")*($X$257:$X$10256&lt;&gt;""))&amp;" regel(s) met maar één categorie tellen niet. ","")&amp;IF(OR(MAX($Z$257:$Z$10256)&gt;20,MAX($AB$257:$AB$10256)&gt;20),"LET OP: meer dan 20 categorieën: alleen de eerste 20 tellen. ","")&amp;IF(COUNT($B$257:$U$276)&gt;0,"De getypte tabel telt niet (er staan ruwe data).",""),IF(COUNTA($B$257:$U$276)&gt;COUNT($B$257:$U$276),"LET OP: cellen met tekst tussen de aantallen tellen niet mee.",""))</f>
        <v/>
      </c>
    </row>
    <row r="40">
      <c r="A40" s="5" t="inlineStr">
        <is>
          <t>5. Zijn X en Y onafhankelijk?</t>
        </is>
      </c>
    </row>
    <row r="41">
      <c r="A41" s="6" t="inlineStr">
        <is>
          <t>grootste |P(Y | X) − P(Y)| in de tabel</t>
        </is>
      </c>
      <c r="B41" s="11">
        <f>IF(COUNT(B167:U186)&gt;0,MAX(MAX(B167:U186),-MIN(B167:U186)),"")</f>
        <v/>
      </c>
      <c r="C41" s="8" t="inlineStr">
        <is>
          <t>tabel 'P(Y | X) − P(Y)' hieronder</t>
        </is>
      </c>
    </row>
    <row r="42">
      <c r="A42" s="6" t="inlineStr">
        <is>
          <t>in de tabel zelf (zoals Data p. 25)</t>
        </is>
      </c>
      <c r="B42" s="13">
        <f>IF(ISNUMBER(B41),IF(B41&lt;=1E-12,"onafhankelijk: P(Y | X) = P(Y) voor elke rij","afhankelijk: P(Y | X) verschilt van P(Y) voor minstens één rij"),"")</f>
        <v/>
      </c>
    </row>
    <row r="43">
      <c r="A43" s="6" t="inlineStr">
        <is>
          <t>Is de tabel een steekproef? χ² = Σ (n − e)² / e</t>
        </is>
      </c>
      <c r="B43" s="11">
        <f>IF(AND(COUNTIF($V$54:$V$73,"&gt;0")&gt;=2,COUNTIF($B$74:$U$74,"&gt;0")&gt;=2),SUM(B211:U230),"")</f>
        <v/>
      </c>
      <c r="C43" s="8" t="inlineStr">
        <is>
          <t>Test Recipes p. 18-20</t>
        </is>
      </c>
    </row>
    <row r="44">
      <c r="A44" s="6" t="inlineStr">
        <is>
          <t>vrijheidsgraden (r − 1)(c − 1)</t>
        </is>
      </c>
      <c r="B44" s="28">
        <f>IF(AND(COUNTIF($V$54:$V$73,"&gt;0")&gt;=2,COUNTIF($B$74:$U$74,"&gt;0")&gt;=2),(COUNTIF($V$54:$V$73,"&gt;0")-1)*(COUNTIF($B$74:$U$74,"&gt;0")-1),"")</f>
        <v/>
      </c>
    </row>
    <row r="45">
      <c r="A45" s="6" t="inlineStr">
        <is>
          <t>kritieke waarde CHISQ.INV.RT(α; df)</t>
        </is>
      </c>
      <c r="B45" s="11">
        <f>IF(ISNUMBER(B44),_xlfn.CHISQ.INV.RT($B$9,B44),"")</f>
        <v/>
      </c>
    </row>
    <row r="46">
      <c r="A46" s="6" t="inlineStr">
        <is>
          <t>p-waarde</t>
        </is>
      </c>
      <c r="B46" s="29">
        <f>IF(ISNUMBER(B43),_xlfn.CHISQ.DIST.RT(B43,B44),"")</f>
        <v/>
      </c>
    </row>
    <row r="47">
      <c r="A47" s="6" t="inlineStr">
        <is>
          <t>besluit bij α</t>
        </is>
      </c>
      <c r="B47" s="13">
        <f>IF(ISNUMBER(B46),IF(B46&lt;$B$9,"verwerp H0: afhankelijk","H0 (onafhankelijk) niet verwerpen"),"")</f>
        <v/>
      </c>
    </row>
    <row r="48">
      <c r="A48" s="6" t="inlineStr">
        <is>
          <t>cellen met e ≤ 5 (voorwaarde e &gt; 5)</t>
        </is>
      </c>
      <c r="B48" s="28">
        <f>IF(AND(COUNTIF($V$54:$V$73,"&gt;0")&gt;=2,COUNTIF($B$74:$U$74,"&gt;0")&gt;=2),COUNTIFS(B189:U208,"&gt;0",B189:U208,"&lt;=5"),"")</f>
        <v/>
      </c>
      <c r="C48" s="8" t="inlineStr">
        <is>
          <t>Test Recipes p. 19: is dit meer dan 0, dan is de toets niet betrouwbaar</t>
        </is>
      </c>
    </row>
    <row r="49">
      <c r="A49" s="6" t="inlineStr">
        <is>
          <t>2 × 2: χ² met Yates-correctie</t>
        </is>
      </c>
      <c r="B49" s="11">
        <f>IF(AND(COUNTIF($V$54:$V$73,"&gt;0")=2,COUNTIF($B$74:$U$74,"&gt;0")=2),SUM(B233:U252),"")</f>
        <v/>
      </c>
      <c r="C49" s="8" t="inlineStr">
        <is>
          <t>Test Recipes p. 19-20</t>
        </is>
      </c>
    </row>
    <row r="50">
      <c r="A50" s="6" t="inlineStr">
        <is>
          <t>2 × 2: p-waarde met Yates</t>
        </is>
      </c>
      <c r="B50" s="29">
        <f>IF(ISNUMBER(B49),_xlfn.CHISQ.DIST.RT(B49,1),"")</f>
        <v/>
      </c>
    </row>
    <row r="52">
      <c r="A52" s="5" t="inlineStr">
        <is>
          <t>4. Tabellen (berekend)</t>
        </is>
      </c>
    </row>
    <row r="53">
      <c r="A53" s="13">
        <f>"aantallen n: "&amp;$D$10&amp;" \ "&amp;$D$11</f>
        <v/>
      </c>
      <c r="B53" s="44">
        <f>IF($X$37=1,IFERROR(INDEX($X$257:$X$10256,MATCH(1,$AC$257:$AC$10256,0)),""),IF(TRIM(B$256)="",IF(COUNT(B$257:B$276)&gt;0,"kolom 1",""),IF(OR(TRIM(B$256)="totaal",TRIM(B$256)="total"),"",TRIM(B$256))))</f>
        <v/>
      </c>
      <c r="C53" s="44">
        <f>IF($X$37=1,IFERROR(INDEX($X$257:$X$10256,MATCH(2,$AC$257:$AC$10256,0)),""),IF(TRIM(C$256)="",IF(COUNT(C$257:C$276)&gt;0,"kolom 2",""),IF(OR(TRIM(C$256)="totaal",TRIM(C$256)="total"),"",TRIM(C$256))))</f>
        <v/>
      </c>
      <c r="D53" s="44">
        <f>IF($X$37=1,IFERROR(INDEX($X$257:$X$10256,MATCH(3,$AC$257:$AC$10256,0)),""),IF(TRIM(D$256)="",IF(COUNT(D$257:D$276)&gt;0,"kolom 3",""),IF(OR(TRIM(D$256)="totaal",TRIM(D$256)="total"),"",TRIM(D$256))))</f>
        <v/>
      </c>
      <c r="E53" s="44">
        <f>IF($X$37=1,IFERROR(INDEX($X$257:$X$10256,MATCH(4,$AC$257:$AC$10256,0)),""),IF(TRIM(E$256)="",IF(COUNT(E$257:E$276)&gt;0,"kolom 4",""),IF(OR(TRIM(E$256)="totaal",TRIM(E$256)="total"),"",TRIM(E$256))))</f>
        <v/>
      </c>
      <c r="F53" s="44">
        <f>IF($X$37=1,IFERROR(INDEX($X$257:$X$10256,MATCH(5,$AC$257:$AC$10256,0)),""),IF(TRIM(F$256)="",IF(COUNT(F$257:F$276)&gt;0,"kolom 5",""),IF(OR(TRIM(F$256)="totaal",TRIM(F$256)="total"),"",TRIM(F$256))))</f>
        <v/>
      </c>
      <c r="G53" s="44">
        <f>IF($X$37=1,IFERROR(INDEX($X$257:$X$10256,MATCH(6,$AC$257:$AC$10256,0)),""),IF(TRIM(G$256)="",IF(COUNT(G$257:G$276)&gt;0,"kolom 6",""),IF(OR(TRIM(G$256)="totaal",TRIM(G$256)="total"),"",TRIM(G$256))))</f>
        <v/>
      </c>
      <c r="H53" s="44">
        <f>IF($X$37=1,IFERROR(INDEX($X$257:$X$10256,MATCH(7,$AC$257:$AC$10256,0)),""),IF(TRIM(H$256)="",IF(COUNT(H$257:H$276)&gt;0,"kolom 7",""),IF(OR(TRIM(H$256)="totaal",TRIM(H$256)="total"),"",TRIM(H$256))))</f>
        <v/>
      </c>
      <c r="I53" s="44">
        <f>IF($X$37=1,IFERROR(INDEX($X$257:$X$10256,MATCH(8,$AC$257:$AC$10256,0)),""),IF(TRIM(I$256)="",IF(COUNT(I$257:I$276)&gt;0,"kolom 8",""),IF(OR(TRIM(I$256)="totaal",TRIM(I$256)="total"),"",TRIM(I$256))))</f>
        <v/>
      </c>
      <c r="J53" s="44">
        <f>IF($X$37=1,IFERROR(INDEX($X$257:$X$10256,MATCH(9,$AC$257:$AC$10256,0)),""),IF(TRIM(J$256)="",IF(COUNT(J$257:J$276)&gt;0,"kolom 9",""),IF(OR(TRIM(J$256)="totaal",TRIM(J$256)="total"),"",TRIM(J$256))))</f>
        <v/>
      </c>
      <c r="K53" s="44">
        <f>IF($X$37=1,IFERROR(INDEX($X$257:$X$10256,MATCH(10,$AC$257:$AC$10256,0)),""),IF(TRIM(K$256)="",IF(COUNT(K$257:K$276)&gt;0,"kolom 10",""),IF(OR(TRIM(K$256)="totaal",TRIM(K$256)="total"),"",TRIM(K$256))))</f>
        <v/>
      </c>
      <c r="L53" s="44">
        <f>IF($X$37=1,IFERROR(INDEX($X$257:$X$10256,MATCH(11,$AC$257:$AC$10256,0)),""),IF(TRIM(L$256)="",IF(COUNT(L$257:L$276)&gt;0,"kolom 11",""),IF(OR(TRIM(L$256)="totaal",TRIM(L$256)="total"),"",TRIM(L$256))))</f>
        <v/>
      </c>
      <c r="M53" s="44">
        <f>IF($X$37=1,IFERROR(INDEX($X$257:$X$10256,MATCH(12,$AC$257:$AC$10256,0)),""),IF(TRIM(M$256)="",IF(COUNT(M$257:M$276)&gt;0,"kolom 12",""),IF(OR(TRIM(M$256)="totaal",TRIM(M$256)="total"),"",TRIM(M$256))))</f>
        <v/>
      </c>
      <c r="N53" s="44">
        <f>IF($X$37=1,IFERROR(INDEX($X$257:$X$10256,MATCH(13,$AC$257:$AC$10256,0)),""),IF(TRIM(N$256)="",IF(COUNT(N$257:N$276)&gt;0,"kolom 13",""),IF(OR(TRIM(N$256)="totaal",TRIM(N$256)="total"),"",TRIM(N$256))))</f>
        <v/>
      </c>
      <c r="O53" s="44">
        <f>IF($X$37=1,IFERROR(INDEX($X$257:$X$10256,MATCH(14,$AC$257:$AC$10256,0)),""),IF(TRIM(O$256)="",IF(COUNT(O$257:O$276)&gt;0,"kolom 14",""),IF(OR(TRIM(O$256)="totaal",TRIM(O$256)="total"),"",TRIM(O$256))))</f>
        <v/>
      </c>
      <c r="P53" s="44">
        <f>IF($X$37=1,IFERROR(INDEX($X$257:$X$10256,MATCH(15,$AC$257:$AC$10256,0)),""),IF(TRIM(P$256)="",IF(COUNT(P$257:P$276)&gt;0,"kolom 15",""),IF(OR(TRIM(P$256)="totaal",TRIM(P$256)="total"),"",TRIM(P$256))))</f>
        <v/>
      </c>
      <c r="Q53" s="44">
        <f>IF($X$37=1,IFERROR(INDEX($X$257:$X$10256,MATCH(16,$AC$257:$AC$10256,0)),""),IF(TRIM(Q$256)="",IF(COUNT(Q$257:Q$276)&gt;0,"kolom 16",""),IF(OR(TRIM(Q$256)="totaal",TRIM(Q$256)="total"),"",TRIM(Q$256))))</f>
        <v/>
      </c>
      <c r="R53" s="44">
        <f>IF($X$37=1,IFERROR(INDEX($X$257:$X$10256,MATCH(17,$AC$257:$AC$10256,0)),""),IF(TRIM(R$256)="",IF(COUNT(R$257:R$276)&gt;0,"kolom 17",""),IF(OR(TRIM(R$256)="totaal",TRIM(R$256)="total"),"",TRIM(R$256))))</f>
        <v/>
      </c>
      <c r="S53" s="44">
        <f>IF($X$37=1,IFERROR(INDEX($X$257:$X$10256,MATCH(18,$AC$257:$AC$10256,0)),""),IF(TRIM(S$256)="",IF(COUNT(S$257:S$276)&gt;0,"kolom 18",""),IF(OR(TRIM(S$256)="totaal",TRIM(S$256)="total"),"",TRIM(S$256))))</f>
        <v/>
      </c>
      <c r="T53" s="44">
        <f>IF($X$37=1,IFERROR(INDEX($X$257:$X$10256,MATCH(19,$AC$257:$AC$10256,0)),""),IF(TRIM(T$256)="",IF(COUNT(T$257:T$276)&gt;0,"kolom 19",""),IF(OR(TRIM(T$256)="totaal",TRIM(T$256)="total"),"",TRIM(T$256))))</f>
        <v/>
      </c>
      <c r="U53" s="44">
        <f>IF($X$37=1,IFERROR(INDEX($X$257:$X$10256,MATCH(20,$AC$257:$AC$10256,0)),""),IF(TRIM(U$256)="",IF(COUNT(U$257:U$276)&gt;0,"kolom 20",""),IF(OR(TRIM(U$256)="totaal",TRIM(U$256)="total"),"",TRIM(U$256))))</f>
        <v/>
      </c>
      <c r="V53" s="20" t="inlineStr">
        <is>
          <t>totaal</t>
        </is>
      </c>
      <c r="X53" s="8" t="inlineStr">
        <is>
          <t>hulp: keuzelijsten en maskers (niet invullen)</t>
        </is>
      </c>
    </row>
    <row r="54">
      <c r="A54" s="44">
        <f>IF($X$37=1,IFERROR(INDEX($W$257:$W$10256,MATCH(1,$AA$257:$AA$10256,0)),""),IF(TRIM($A$257)="",IF(COUNT($B$257:$U$257)&gt;0,"rij 1",""),IF(OR(TRIM($A$257)="totaal",TRIM($A$257)="total"),"",TRIM($A$257))))</f>
        <v/>
      </c>
      <c r="B54" s="28">
        <f>IF(OR($A54="",B$53=""),"",IF($X$37=1,COUNTIFS($W$257:$W$10256,$A54,$X$257:$X$10256,B$53),IF(ISNUMBER(B257),B257,0)))</f>
        <v/>
      </c>
      <c r="C54" s="28">
        <f>IF(OR($A54="",C$53=""),"",IF($X$37=1,COUNTIFS($W$257:$W$10256,$A54,$X$257:$X$10256,C$53),IF(ISNUMBER(C257),C257,0)))</f>
        <v/>
      </c>
      <c r="D54" s="28">
        <f>IF(OR($A54="",D$53=""),"",IF($X$37=1,COUNTIFS($W$257:$W$10256,$A54,$X$257:$X$10256,D$53),IF(ISNUMBER(D257),D257,0)))</f>
        <v/>
      </c>
      <c r="E54" s="28">
        <f>IF(OR($A54="",E$53=""),"",IF($X$37=1,COUNTIFS($W$257:$W$10256,$A54,$X$257:$X$10256,E$53),IF(ISNUMBER(E257),E257,0)))</f>
        <v/>
      </c>
      <c r="F54" s="28">
        <f>IF(OR($A54="",F$53=""),"",IF($X$37=1,COUNTIFS($W$257:$W$10256,$A54,$X$257:$X$10256,F$53),IF(ISNUMBER(F257),F257,0)))</f>
        <v/>
      </c>
      <c r="G54" s="28">
        <f>IF(OR($A54="",G$53=""),"",IF($X$37=1,COUNTIFS($W$257:$W$10256,$A54,$X$257:$X$10256,G$53),IF(ISNUMBER(G257),G257,0)))</f>
        <v/>
      </c>
      <c r="H54" s="28">
        <f>IF(OR($A54="",H$53=""),"",IF($X$37=1,COUNTIFS($W$257:$W$10256,$A54,$X$257:$X$10256,H$53),IF(ISNUMBER(H257),H257,0)))</f>
        <v/>
      </c>
      <c r="I54" s="28">
        <f>IF(OR($A54="",I$53=""),"",IF($X$37=1,COUNTIFS($W$257:$W$10256,$A54,$X$257:$X$10256,I$53),IF(ISNUMBER(I257),I257,0)))</f>
        <v/>
      </c>
      <c r="J54" s="28">
        <f>IF(OR($A54="",J$53=""),"",IF($X$37=1,COUNTIFS($W$257:$W$10256,$A54,$X$257:$X$10256,J$53),IF(ISNUMBER(J257),J257,0)))</f>
        <v/>
      </c>
      <c r="K54" s="28">
        <f>IF(OR($A54="",K$53=""),"",IF($X$37=1,COUNTIFS($W$257:$W$10256,$A54,$X$257:$X$10256,K$53),IF(ISNUMBER(K257),K257,0)))</f>
        <v/>
      </c>
      <c r="L54" s="28">
        <f>IF(OR($A54="",L$53=""),"",IF($X$37=1,COUNTIFS($W$257:$W$10256,$A54,$X$257:$X$10256,L$53),IF(ISNUMBER(L257),L257,0)))</f>
        <v/>
      </c>
      <c r="M54" s="28">
        <f>IF(OR($A54="",M$53=""),"",IF($X$37=1,COUNTIFS($W$257:$W$10256,$A54,$X$257:$X$10256,M$53),IF(ISNUMBER(M257),M257,0)))</f>
        <v/>
      </c>
      <c r="N54" s="28">
        <f>IF(OR($A54="",N$53=""),"",IF($X$37=1,COUNTIFS($W$257:$W$10256,$A54,$X$257:$X$10256,N$53),IF(ISNUMBER(N257),N257,0)))</f>
        <v/>
      </c>
      <c r="O54" s="28">
        <f>IF(OR($A54="",O$53=""),"",IF($X$37=1,COUNTIFS($W$257:$W$10256,$A54,$X$257:$X$10256,O$53),IF(ISNUMBER(O257),O257,0)))</f>
        <v/>
      </c>
      <c r="P54" s="28">
        <f>IF(OR($A54="",P$53=""),"",IF($X$37=1,COUNTIFS($W$257:$W$10256,$A54,$X$257:$X$10256,P$53),IF(ISNUMBER(P257),P257,0)))</f>
        <v/>
      </c>
      <c r="Q54" s="28">
        <f>IF(OR($A54="",Q$53=""),"",IF($X$37=1,COUNTIFS($W$257:$W$10256,$A54,$X$257:$X$10256,Q$53),IF(ISNUMBER(Q257),Q257,0)))</f>
        <v/>
      </c>
      <c r="R54" s="28">
        <f>IF(OR($A54="",R$53=""),"",IF($X$37=1,COUNTIFS($W$257:$W$10256,$A54,$X$257:$X$10256,R$53),IF(ISNUMBER(R257),R257,0)))</f>
        <v/>
      </c>
      <c r="S54" s="28">
        <f>IF(OR($A54="",S$53=""),"",IF($X$37=1,COUNTIFS($W$257:$W$10256,$A54,$X$257:$X$10256,S$53),IF(ISNUMBER(S257),S257,0)))</f>
        <v/>
      </c>
      <c r="T54" s="28">
        <f>IF(OR($A54="",T$53=""),"",IF($X$37=1,COUNTIFS($W$257:$W$10256,$A54,$X$257:$X$10256,T$53),IF(ISNUMBER(T257),T257,0)))</f>
        <v/>
      </c>
      <c r="U54" s="28">
        <f>IF(OR($A54="",U$53=""),"",IF($X$37=1,COUNTIFS($W$257:$W$10256,$A54,$X$257:$X$10256,U$53),IF(ISNUMBER(U257),U257,0)))</f>
        <v/>
      </c>
      <c r="V54" s="28">
        <f>IF($A54="","",SUM(B54:U54))</f>
        <v/>
      </c>
      <c r="X54" s="42">
        <f>IF($B$21=$D$10,$A54,IF($B$21=$D$11,INDEX($B$53:$U$53,1),""))</f>
        <v/>
      </c>
      <c r="Y54" s="42">
        <f>IF($B$24=$D$10,$A54,IF($B$24=$D$11,INDEX($B$53:$U$53,1),""))</f>
        <v/>
      </c>
      <c r="Z54" s="42">
        <f>IF($A54="",0,IF($B$21=$D$10,IF($B$22="is niet",IF($A54&lt;&gt;$B$23,1,0),IF($A54=$B$23,1,0)),1))</f>
        <v/>
      </c>
      <c r="AA54" s="42">
        <f>IF($A54="",0,IF(AND(AND($B$24&lt;&gt;"",$B$24&lt;&gt;$D$12,$B$26&lt;&gt;""),$B$24=$D$10),IF($B$25="is niet",IF($A54&lt;&gt;$B$26,1,0),IF($A54=$B$26,1,0)),1))</f>
        <v/>
      </c>
      <c r="AB54" s="42">
        <f>Z54*AA54</f>
        <v/>
      </c>
      <c r="AC54" s="42">
        <f>SUMPRODUCT($B54:$U54,$X$76:$AQ$76)</f>
        <v/>
      </c>
      <c r="AD54" s="42">
        <f>SUMPRODUCT($B54:$U54,$X$77:$AQ$77)</f>
        <v/>
      </c>
      <c r="AE54" s="42">
        <f>SUMPRODUCT($B54:$U54,$X$78:$AQ$78)</f>
        <v/>
      </c>
    </row>
    <row r="55">
      <c r="A55" s="44">
        <f>IF($X$37=1,IFERROR(INDEX($W$257:$W$10256,MATCH(2,$AA$257:$AA$10256,0)),""),IF(TRIM($A$258)="",IF(COUNT($B$258:$U$258)&gt;0,"rij 2",""),IF(OR(TRIM($A$258)="totaal",TRIM($A$258)="total"),"",TRIM($A$258))))</f>
        <v/>
      </c>
      <c r="B55" s="28">
        <f>IF(OR($A55="",B$53=""),"",IF($X$37=1,COUNTIFS($W$257:$W$10256,$A55,$X$257:$X$10256,B$53),IF(ISNUMBER(B258),B258,0)))</f>
        <v/>
      </c>
      <c r="C55" s="28">
        <f>IF(OR($A55="",C$53=""),"",IF($X$37=1,COUNTIFS($W$257:$W$10256,$A55,$X$257:$X$10256,C$53),IF(ISNUMBER(C258),C258,0)))</f>
        <v/>
      </c>
      <c r="D55" s="28">
        <f>IF(OR($A55="",D$53=""),"",IF($X$37=1,COUNTIFS($W$257:$W$10256,$A55,$X$257:$X$10256,D$53),IF(ISNUMBER(D258),D258,0)))</f>
        <v/>
      </c>
      <c r="E55" s="28">
        <f>IF(OR($A55="",E$53=""),"",IF($X$37=1,COUNTIFS($W$257:$W$10256,$A55,$X$257:$X$10256,E$53),IF(ISNUMBER(E258),E258,0)))</f>
        <v/>
      </c>
      <c r="F55" s="28">
        <f>IF(OR($A55="",F$53=""),"",IF($X$37=1,COUNTIFS($W$257:$W$10256,$A55,$X$257:$X$10256,F$53),IF(ISNUMBER(F258),F258,0)))</f>
        <v/>
      </c>
      <c r="G55" s="28">
        <f>IF(OR($A55="",G$53=""),"",IF($X$37=1,COUNTIFS($W$257:$W$10256,$A55,$X$257:$X$10256,G$53),IF(ISNUMBER(G258),G258,0)))</f>
        <v/>
      </c>
      <c r="H55" s="28">
        <f>IF(OR($A55="",H$53=""),"",IF($X$37=1,COUNTIFS($W$257:$W$10256,$A55,$X$257:$X$10256,H$53),IF(ISNUMBER(H258),H258,0)))</f>
        <v/>
      </c>
      <c r="I55" s="28">
        <f>IF(OR($A55="",I$53=""),"",IF($X$37=1,COUNTIFS($W$257:$W$10256,$A55,$X$257:$X$10256,I$53),IF(ISNUMBER(I258),I258,0)))</f>
        <v/>
      </c>
      <c r="J55" s="28">
        <f>IF(OR($A55="",J$53=""),"",IF($X$37=1,COUNTIFS($W$257:$W$10256,$A55,$X$257:$X$10256,J$53),IF(ISNUMBER(J258),J258,0)))</f>
        <v/>
      </c>
      <c r="K55" s="28">
        <f>IF(OR($A55="",K$53=""),"",IF($X$37=1,COUNTIFS($W$257:$W$10256,$A55,$X$257:$X$10256,K$53),IF(ISNUMBER(K258),K258,0)))</f>
        <v/>
      </c>
      <c r="L55" s="28">
        <f>IF(OR($A55="",L$53=""),"",IF($X$37=1,COUNTIFS($W$257:$W$10256,$A55,$X$257:$X$10256,L$53),IF(ISNUMBER(L258),L258,0)))</f>
        <v/>
      </c>
      <c r="M55" s="28">
        <f>IF(OR($A55="",M$53=""),"",IF($X$37=1,COUNTIFS($W$257:$W$10256,$A55,$X$257:$X$10256,M$53),IF(ISNUMBER(M258),M258,0)))</f>
        <v/>
      </c>
      <c r="N55" s="28">
        <f>IF(OR($A55="",N$53=""),"",IF($X$37=1,COUNTIFS($W$257:$W$10256,$A55,$X$257:$X$10256,N$53),IF(ISNUMBER(N258),N258,0)))</f>
        <v/>
      </c>
      <c r="O55" s="28">
        <f>IF(OR($A55="",O$53=""),"",IF($X$37=1,COUNTIFS($W$257:$W$10256,$A55,$X$257:$X$10256,O$53),IF(ISNUMBER(O258),O258,0)))</f>
        <v/>
      </c>
      <c r="P55" s="28">
        <f>IF(OR($A55="",P$53=""),"",IF($X$37=1,COUNTIFS($W$257:$W$10256,$A55,$X$257:$X$10256,P$53),IF(ISNUMBER(P258),P258,0)))</f>
        <v/>
      </c>
      <c r="Q55" s="28">
        <f>IF(OR($A55="",Q$53=""),"",IF($X$37=1,COUNTIFS($W$257:$W$10256,$A55,$X$257:$X$10256,Q$53),IF(ISNUMBER(Q258),Q258,0)))</f>
        <v/>
      </c>
      <c r="R55" s="28">
        <f>IF(OR($A55="",R$53=""),"",IF($X$37=1,COUNTIFS($W$257:$W$10256,$A55,$X$257:$X$10256,R$53),IF(ISNUMBER(R258),R258,0)))</f>
        <v/>
      </c>
      <c r="S55" s="28">
        <f>IF(OR($A55="",S$53=""),"",IF($X$37=1,COUNTIFS($W$257:$W$10256,$A55,$X$257:$X$10256,S$53),IF(ISNUMBER(S258),S258,0)))</f>
        <v/>
      </c>
      <c r="T55" s="28">
        <f>IF(OR($A55="",T$53=""),"",IF($X$37=1,COUNTIFS($W$257:$W$10256,$A55,$X$257:$X$10256,T$53),IF(ISNUMBER(T258),T258,0)))</f>
        <v/>
      </c>
      <c r="U55" s="28">
        <f>IF(OR($A55="",U$53=""),"",IF($X$37=1,COUNTIFS($W$257:$W$10256,$A55,$X$257:$X$10256,U$53),IF(ISNUMBER(U258),U258,0)))</f>
        <v/>
      </c>
      <c r="V55" s="28">
        <f>IF($A55="","",SUM(B55:U55))</f>
        <v/>
      </c>
      <c r="X55" s="42">
        <f>IF($B$21=$D$10,$A55,IF($B$21=$D$11,INDEX($B$53:$U$53,2),""))</f>
        <v/>
      </c>
      <c r="Y55" s="42">
        <f>IF($B$24=$D$10,$A55,IF($B$24=$D$11,INDEX($B$53:$U$53,2),""))</f>
        <v/>
      </c>
      <c r="Z55" s="42">
        <f>IF($A55="",0,IF($B$21=$D$10,IF($B$22="is niet",IF($A55&lt;&gt;$B$23,1,0),IF($A55=$B$23,1,0)),1))</f>
        <v/>
      </c>
      <c r="AA55" s="42">
        <f>IF($A55="",0,IF(AND(AND($B$24&lt;&gt;"",$B$24&lt;&gt;$D$12,$B$26&lt;&gt;""),$B$24=$D$10),IF($B$25="is niet",IF($A55&lt;&gt;$B$26,1,0),IF($A55=$B$26,1,0)),1))</f>
        <v/>
      </c>
      <c r="AB55" s="42">
        <f>Z55*AA55</f>
        <v/>
      </c>
      <c r="AC55" s="42">
        <f>SUMPRODUCT($B55:$U55,$X$76:$AQ$76)</f>
        <v/>
      </c>
      <c r="AD55" s="42">
        <f>SUMPRODUCT($B55:$U55,$X$77:$AQ$77)</f>
        <v/>
      </c>
      <c r="AE55" s="42">
        <f>SUMPRODUCT($B55:$U55,$X$78:$AQ$78)</f>
        <v/>
      </c>
    </row>
    <row r="56">
      <c r="A56" s="44">
        <f>IF($X$37=1,IFERROR(INDEX($W$257:$W$10256,MATCH(3,$AA$257:$AA$10256,0)),""),IF(TRIM($A$259)="",IF(COUNT($B$259:$U$259)&gt;0,"rij 3",""),IF(OR(TRIM($A$259)="totaal",TRIM($A$259)="total"),"",TRIM($A$259))))</f>
        <v/>
      </c>
      <c r="B56" s="28">
        <f>IF(OR($A56="",B$53=""),"",IF($X$37=1,COUNTIFS($W$257:$W$10256,$A56,$X$257:$X$10256,B$53),IF(ISNUMBER(B259),B259,0)))</f>
        <v/>
      </c>
      <c r="C56" s="28">
        <f>IF(OR($A56="",C$53=""),"",IF($X$37=1,COUNTIFS($W$257:$W$10256,$A56,$X$257:$X$10256,C$53),IF(ISNUMBER(C259),C259,0)))</f>
        <v/>
      </c>
      <c r="D56" s="28">
        <f>IF(OR($A56="",D$53=""),"",IF($X$37=1,COUNTIFS($W$257:$W$10256,$A56,$X$257:$X$10256,D$53),IF(ISNUMBER(D259),D259,0)))</f>
        <v/>
      </c>
      <c r="E56" s="28">
        <f>IF(OR($A56="",E$53=""),"",IF($X$37=1,COUNTIFS($W$257:$W$10256,$A56,$X$257:$X$10256,E$53),IF(ISNUMBER(E259),E259,0)))</f>
        <v/>
      </c>
      <c r="F56" s="28">
        <f>IF(OR($A56="",F$53=""),"",IF($X$37=1,COUNTIFS($W$257:$W$10256,$A56,$X$257:$X$10256,F$53),IF(ISNUMBER(F259),F259,0)))</f>
        <v/>
      </c>
      <c r="G56" s="28">
        <f>IF(OR($A56="",G$53=""),"",IF($X$37=1,COUNTIFS($W$257:$W$10256,$A56,$X$257:$X$10256,G$53),IF(ISNUMBER(G259),G259,0)))</f>
        <v/>
      </c>
      <c r="H56" s="28">
        <f>IF(OR($A56="",H$53=""),"",IF($X$37=1,COUNTIFS($W$257:$W$10256,$A56,$X$257:$X$10256,H$53),IF(ISNUMBER(H259),H259,0)))</f>
        <v/>
      </c>
      <c r="I56" s="28">
        <f>IF(OR($A56="",I$53=""),"",IF($X$37=1,COUNTIFS($W$257:$W$10256,$A56,$X$257:$X$10256,I$53),IF(ISNUMBER(I259),I259,0)))</f>
        <v/>
      </c>
      <c r="J56" s="28">
        <f>IF(OR($A56="",J$53=""),"",IF($X$37=1,COUNTIFS($W$257:$W$10256,$A56,$X$257:$X$10256,J$53),IF(ISNUMBER(J259),J259,0)))</f>
        <v/>
      </c>
      <c r="K56" s="28">
        <f>IF(OR($A56="",K$53=""),"",IF($X$37=1,COUNTIFS($W$257:$W$10256,$A56,$X$257:$X$10256,K$53),IF(ISNUMBER(K259),K259,0)))</f>
        <v/>
      </c>
      <c r="L56" s="28">
        <f>IF(OR($A56="",L$53=""),"",IF($X$37=1,COUNTIFS($W$257:$W$10256,$A56,$X$257:$X$10256,L$53),IF(ISNUMBER(L259),L259,0)))</f>
        <v/>
      </c>
      <c r="M56" s="28">
        <f>IF(OR($A56="",M$53=""),"",IF($X$37=1,COUNTIFS($W$257:$W$10256,$A56,$X$257:$X$10256,M$53),IF(ISNUMBER(M259),M259,0)))</f>
        <v/>
      </c>
      <c r="N56" s="28">
        <f>IF(OR($A56="",N$53=""),"",IF($X$37=1,COUNTIFS($W$257:$W$10256,$A56,$X$257:$X$10256,N$53),IF(ISNUMBER(N259),N259,0)))</f>
        <v/>
      </c>
      <c r="O56" s="28">
        <f>IF(OR($A56="",O$53=""),"",IF($X$37=1,COUNTIFS($W$257:$W$10256,$A56,$X$257:$X$10256,O$53),IF(ISNUMBER(O259),O259,0)))</f>
        <v/>
      </c>
      <c r="P56" s="28">
        <f>IF(OR($A56="",P$53=""),"",IF($X$37=1,COUNTIFS($W$257:$W$10256,$A56,$X$257:$X$10256,P$53),IF(ISNUMBER(P259),P259,0)))</f>
        <v/>
      </c>
      <c r="Q56" s="28">
        <f>IF(OR($A56="",Q$53=""),"",IF($X$37=1,COUNTIFS($W$257:$W$10256,$A56,$X$257:$X$10256,Q$53),IF(ISNUMBER(Q259),Q259,0)))</f>
        <v/>
      </c>
      <c r="R56" s="28">
        <f>IF(OR($A56="",R$53=""),"",IF($X$37=1,COUNTIFS($W$257:$W$10256,$A56,$X$257:$X$10256,R$53),IF(ISNUMBER(R259),R259,0)))</f>
        <v/>
      </c>
      <c r="S56" s="28">
        <f>IF(OR($A56="",S$53=""),"",IF($X$37=1,COUNTIFS($W$257:$W$10256,$A56,$X$257:$X$10256,S$53),IF(ISNUMBER(S259),S259,0)))</f>
        <v/>
      </c>
      <c r="T56" s="28">
        <f>IF(OR($A56="",T$53=""),"",IF($X$37=1,COUNTIFS($W$257:$W$10256,$A56,$X$257:$X$10256,T$53),IF(ISNUMBER(T259),T259,0)))</f>
        <v/>
      </c>
      <c r="U56" s="28">
        <f>IF(OR($A56="",U$53=""),"",IF($X$37=1,COUNTIFS($W$257:$W$10256,$A56,$X$257:$X$10256,U$53),IF(ISNUMBER(U259),U259,0)))</f>
        <v/>
      </c>
      <c r="V56" s="28">
        <f>IF($A56="","",SUM(B56:U56))</f>
        <v/>
      </c>
      <c r="X56" s="42">
        <f>IF($B$21=$D$10,$A56,IF($B$21=$D$11,INDEX($B$53:$U$53,3),""))</f>
        <v/>
      </c>
      <c r="Y56" s="42">
        <f>IF($B$24=$D$10,$A56,IF($B$24=$D$11,INDEX($B$53:$U$53,3),""))</f>
        <v/>
      </c>
      <c r="Z56" s="42">
        <f>IF($A56="",0,IF($B$21=$D$10,IF($B$22="is niet",IF($A56&lt;&gt;$B$23,1,0),IF($A56=$B$23,1,0)),1))</f>
        <v/>
      </c>
      <c r="AA56" s="42">
        <f>IF($A56="",0,IF(AND(AND($B$24&lt;&gt;"",$B$24&lt;&gt;$D$12,$B$26&lt;&gt;""),$B$24=$D$10),IF($B$25="is niet",IF($A56&lt;&gt;$B$26,1,0),IF($A56=$B$26,1,0)),1))</f>
        <v/>
      </c>
      <c r="AB56" s="42">
        <f>Z56*AA56</f>
        <v/>
      </c>
      <c r="AC56" s="42">
        <f>SUMPRODUCT($B56:$U56,$X$76:$AQ$76)</f>
        <v/>
      </c>
      <c r="AD56" s="42">
        <f>SUMPRODUCT($B56:$U56,$X$77:$AQ$77)</f>
        <v/>
      </c>
      <c r="AE56" s="42">
        <f>SUMPRODUCT($B56:$U56,$X$78:$AQ$78)</f>
        <v/>
      </c>
    </row>
    <row r="57">
      <c r="A57" s="44">
        <f>IF($X$37=1,IFERROR(INDEX($W$257:$W$10256,MATCH(4,$AA$257:$AA$10256,0)),""),IF(TRIM($A$260)="",IF(COUNT($B$260:$U$260)&gt;0,"rij 4",""),IF(OR(TRIM($A$260)="totaal",TRIM($A$260)="total"),"",TRIM($A$260))))</f>
        <v/>
      </c>
      <c r="B57" s="28">
        <f>IF(OR($A57="",B$53=""),"",IF($X$37=1,COUNTIFS($W$257:$W$10256,$A57,$X$257:$X$10256,B$53),IF(ISNUMBER(B260),B260,0)))</f>
        <v/>
      </c>
      <c r="C57" s="28">
        <f>IF(OR($A57="",C$53=""),"",IF($X$37=1,COUNTIFS($W$257:$W$10256,$A57,$X$257:$X$10256,C$53),IF(ISNUMBER(C260),C260,0)))</f>
        <v/>
      </c>
      <c r="D57" s="28">
        <f>IF(OR($A57="",D$53=""),"",IF($X$37=1,COUNTIFS($W$257:$W$10256,$A57,$X$257:$X$10256,D$53),IF(ISNUMBER(D260),D260,0)))</f>
        <v/>
      </c>
      <c r="E57" s="28">
        <f>IF(OR($A57="",E$53=""),"",IF($X$37=1,COUNTIFS($W$257:$W$10256,$A57,$X$257:$X$10256,E$53),IF(ISNUMBER(E260),E260,0)))</f>
        <v/>
      </c>
      <c r="F57" s="28">
        <f>IF(OR($A57="",F$53=""),"",IF($X$37=1,COUNTIFS($W$257:$W$10256,$A57,$X$257:$X$10256,F$53),IF(ISNUMBER(F260),F260,0)))</f>
        <v/>
      </c>
      <c r="G57" s="28">
        <f>IF(OR($A57="",G$53=""),"",IF($X$37=1,COUNTIFS($W$257:$W$10256,$A57,$X$257:$X$10256,G$53),IF(ISNUMBER(G260),G260,0)))</f>
        <v/>
      </c>
      <c r="H57" s="28">
        <f>IF(OR($A57="",H$53=""),"",IF($X$37=1,COUNTIFS($W$257:$W$10256,$A57,$X$257:$X$10256,H$53),IF(ISNUMBER(H260),H260,0)))</f>
        <v/>
      </c>
      <c r="I57" s="28">
        <f>IF(OR($A57="",I$53=""),"",IF($X$37=1,COUNTIFS($W$257:$W$10256,$A57,$X$257:$X$10256,I$53),IF(ISNUMBER(I260),I260,0)))</f>
        <v/>
      </c>
      <c r="J57" s="28">
        <f>IF(OR($A57="",J$53=""),"",IF($X$37=1,COUNTIFS($W$257:$W$10256,$A57,$X$257:$X$10256,J$53),IF(ISNUMBER(J260),J260,0)))</f>
        <v/>
      </c>
      <c r="K57" s="28">
        <f>IF(OR($A57="",K$53=""),"",IF($X$37=1,COUNTIFS($W$257:$W$10256,$A57,$X$257:$X$10256,K$53),IF(ISNUMBER(K260),K260,0)))</f>
        <v/>
      </c>
      <c r="L57" s="28">
        <f>IF(OR($A57="",L$53=""),"",IF($X$37=1,COUNTIFS($W$257:$W$10256,$A57,$X$257:$X$10256,L$53),IF(ISNUMBER(L260),L260,0)))</f>
        <v/>
      </c>
      <c r="M57" s="28">
        <f>IF(OR($A57="",M$53=""),"",IF($X$37=1,COUNTIFS($W$257:$W$10256,$A57,$X$257:$X$10256,M$53),IF(ISNUMBER(M260),M260,0)))</f>
        <v/>
      </c>
      <c r="N57" s="28">
        <f>IF(OR($A57="",N$53=""),"",IF($X$37=1,COUNTIFS($W$257:$W$10256,$A57,$X$257:$X$10256,N$53),IF(ISNUMBER(N260),N260,0)))</f>
        <v/>
      </c>
      <c r="O57" s="28">
        <f>IF(OR($A57="",O$53=""),"",IF($X$37=1,COUNTIFS($W$257:$W$10256,$A57,$X$257:$X$10256,O$53),IF(ISNUMBER(O260),O260,0)))</f>
        <v/>
      </c>
      <c r="P57" s="28">
        <f>IF(OR($A57="",P$53=""),"",IF($X$37=1,COUNTIFS($W$257:$W$10256,$A57,$X$257:$X$10256,P$53),IF(ISNUMBER(P260),P260,0)))</f>
        <v/>
      </c>
      <c r="Q57" s="28">
        <f>IF(OR($A57="",Q$53=""),"",IF($X$37=1,COUNTIFS($W$257:$W$10256,$A57,$X$257:$X$10256,Q$53),IF(ISNUMBER(Q260),Q260,0)))</f>
        <v/>
      </c>
      <c r="R57" s="28">
        <f>IF(OR($A57="",R$53=""),"",IF($X$37=1,COUNTIFS($W$257:$W$10256,$A57,$X$257:$X$10256,R$53),IF(ISNUMBER(R260),R260,0)))</f>
        <v/>
      </c>
      <c r="S57" s="28">
        <f>IF(OR($A57="",S$53=""),"",IF($X$37=1,COUNTIFS($W$257:$W$10256,$A57,$X$257:$X$10256,S$53),IF(ISNUMBER(S260),S260,0)))</f>
        <v/>
      </c>
      <c r="T57" s="28">
        <f>IF(OR($A57="",T$53=""),"",IF($X$37=1,COUNTIFS($W$257:$W$10256,$A57,$X$257:$X$10256,T$53),IF(ISNUMBER(T260),T260,0)))</f>
        <v/>
      </c>
      <c r="U57" s="28">
        <f>IF(OR($A57="",U$53=""),"",IF($X$37=1,COUNTIFS($W$257:$W$10256,$A57,$X$257:$X$10256,U$53),IF(ISNUMBER(U260),U260,0)))</f>
        <v/>
      </c>
      <c r="V57" s="28">
        <f>IF($A57="","",SUM(B57:U57))</f>
        <v/>
      </c>
      <c r="X57" s="42">
        <f>IF($B$21=$D$10,$A57,IF($B$21=$D$11,INDEX($B$53:$U$53,4),""))</f>
        <v/>
      </c>
      <c r="Y57" s="42">
        <f>IF($B$24=$D$10,$A57,IF($B$24=$D$11,INDEX($B$53:$U$53,4),""))</f>
        <v/>
      </c>
      <c r="Z57" s="42">
        <f>IF($A57="",0,IF($B$21=$D$10,IF($B$22="is niet",IF($A57&lt;&gt;$B$23,1,0),IF($A57=$B$23,1,0)),1))</f>
        <v/>
      </c>
      <c r="AA57" s="42">
        <f>IF($A57="",0,IF(AND(AND($B$24&lt;&gt;"",$B$24&lt;&gt;$D$12,$B$26&lt;&gt;""),$B$24=$D$10),IF($B$25="is niet",IF($A57&lt;&gt;$B$26,1,0),IF($A57=$B$26,1,0)),1))</f>
        <v/>
      </c>
      <c r="AB57" s="42">
        <f>Z57*AA57</f>
        <v/>
      </c>
      <c r="AC57" s="42">
        <f>SUMPRODUCT($B57:$U57,$X$76:$AQ$76)</f>
        <v/>
      </c>
      <c r="AD57" s="42">
        <f>SUMPRODUCT($B57:$U57,$X$77:$AQ$77)</f>
        <v/>
      </c>
      <c r="AE57" s="42">
        <f>SUMPRODUCT($B57:$U57,$X$78:$AQ$78)</f>
        <v/>
      </c>
    </row>
    <row r="58">
      <c r="A58" s="44">
        <f>IF($X$37=1,IFERROR(INDEX($W$257:$W$10256,MATCH(5,$AA$257:$AA$10256,0)),""),IF(TRIM($A$261)="",IF(COUNT($B$261:$U$261)&gt;0,"rij 5",""),IF(OR(TRIM($A$261)="totaal",TRIM($A$261)="total"),"",TRIM($A$261))))</f>
        <v/>
      </c>
      <c r="B58" s="28">
        <f>IF(OR($A58="",B$53=""),"",IF($X$37=1,COUNTIFS($W$257:$W$10256,$A58,$X$257:$X$10256,B$53),IF(ISNUMBER(B261),B261,0)))</f>
        <v/>
      </c>
      <c r="C58" s="28">
        <f>IF(OR($A58="",C$53=""),"",IF($X$37=1,COUNTIFS($W$257:$W$10256,$A58,$X$257:$X$10256,C$53),IF(ISNUMBER(C261),C261,0)))</f>
        <v/>
      </c>
      <c r="D58" s="28">
        <f>IF(OR($A58="",D$53=""),"",IF($X$37=1,COUNTIFS($W$257:$W$10256,$A58,$X$257:$X$10256,D$53),IF(ISNUMBER(D261),D261,0)))</f>
        <v/>
      </c>
      <c r="E58" s="28">
        <f>IF(OR($A58="",E$53=""),"",IF($X$37=1,COUNTIFS($W$257:$W$10256,$A58,$X$257:$X$10256,E$53),IF(ISNUMBER(E261),E261,0)))</f>
        <v/>
      </c>
      <c r="F58" s="28">
        <f>IF(OR($A58="",F$53=""),"",IF($X$37=1,COUNTIFS($W$257:$W$10256,$A58,$X$257:$X$10256,F$53),IF(ISNUMBER(F261),F261,0)))</f>
        <v/>
      </c>
      <c r="G58" s="28">
        <f>IF(OR($A58="",G$53=""),"",IF($X$37=1,COUNTIFS($W$257:$W$10256,$A58,$X$257:$X$10256,G$53),IF(ISNUMBER(G261),G261,0)))</f>
        <v/>
      </c>
      <c r="H58" s="28">
        <f>IF(OR($A58="",H$53=""),"",IF($X$37=1,COUNTIFS($W$257:$W$10256,$A58,$X$257:$X$10256,H$53),IF(ISNUMBER(H261),H261,0)))</f>
        <v/>
      </c>
      <c r="I58" s="28">
        <f>IF(OR($A58="",I$53=""),"",IF($X$37=1,COUNTIFS($W$257:$W$10256,$A58,$X$257:$X$10256,I$53),IF(ISNUMBER(I261),I261,0)))</f>
        <v/>
      </c>
      <c r="J58" s="28">
        <f>IF(OR($A58="",J$53=""),"",IF($X$37=1,COUNTIFS($W$257:$W$10256,$A58,$X$257:$X$10256,J$53),IF(ISNUMBER(J261),J261,0)))</f>
        <v/>
      </c>
      <c r="K58" s="28">
        <f>IF(OR($A58="",K$53=""),"",IF($X$37=1,COUNTIFS($W$257:$W$10256,$A58,$X$257:$X$10256,K$53),IF(ISNUMBER(K261),K261,0)))</f>
        <v/>
      </c>
      <c r="L58" s="28">
        <f>IF(OR($A58="",L$53=""),"",IF($X$37=1,COUNTIFS($W$257:$W$10256,$A58,$X$257:$X$10256,L$53),IF(ISNUMBER(L261),L261,0)))</f>
        <v/>
      </c>
      <c r="M58" s="28">
        <f>IF(OR($A58="",M$53=""),"",IF($X$37=1,COUNTIFS($W$257:$W$10256,$A58,$X$257:$X$10256,M$53),IF(ISNUMBER(M261),M261,0)))</f>
        <v/>
      </c>
      <c r="N58" s="28">
        <f>IF(OR($A58="",N$53=""),"",IF($X$37=1,COUNTIFS($W$257:$W$10256,$A58,$X$257:$X$10256,N$53),IF(ISNUMBER(N261),N261,0)))</f>
        <v/>
      </c>
      <c r="O58" s="28">
        <f>IF(OR($A58="",O$53=""),"",IF($X$37=1,COUNTIFS($W$257:$W$10256,$A58,$X$257:$X$10256,O$53),IF(ISNUMBER(O261),O261,0)))</f>
        <v/>
      </c>
      <c r="P58" s="28">
        <f>IF(OR($A58="",P$53=""),"",IF($X$37=1,COUNTIFS($W$257:$W$10256,$A58,$X$257:$X$10256,P$53),IF(ISNUMBER(P261),P261,0)))</f>
        <v/>
      </c>
      <c r="Q58" s="28">
        <f>IF(OR($A58="",Q$53=""),"",IF($X$37=1,COUNTIFS($W$257:$W$10256,$A58,$X$257:$X$10256,Q$53),IF(ISNUMBER(Q261),Q261,0)))</f>
        <v/>
      </c>
      <c r="R58" s="28">
        <f>IF(OR($A58="",R$53=""),"",IF($X$37=1,COUNTIFS($W$257:$W$10256,$A58,$X$257:$X$10256,R$53),IF(ISNUMBER(R261),R261,0)))</f>
        <v/>
      </c>
      <c r="S58" s="28">
        <f>IF(OR($A58="",S$53=""),"",IF($X$37=1,COUNTIFS($W$257:$W$10256,$A58,$X$257:$X$10256,S$53),IF(ISNUMBER(S261),S261,0)))</f>
        <v/>
      </c>
      <c r="T58" s="28">
        <f>IF(OR($A58="",T$53=""),"",IF($X$37=1,COUNTIFS($W$257:$W$10256,$A58,$X$257:$X$10256,T$53),IF(ISNUMBER(T261),T261,0)))</f>
        <v/>
      </c>
      <c r="U58" s="28">
        <f>IF(OR($A58="",U$53=""),"",IF($X$37=1,COUNTIFS($W$257:$W$10256,$A58,$X$257:$X$10256,U$53),IF(ISNUMBER(U261),U261,0)))</f>
        <v/>
      </c>
      <c r="V58" s="28">
        <f>IF($A58="","",SUM(B58:U58))</f>
        <v/>
      </c>
      <c r="X58" s="42">
        <f>IF($B$21=$D$10,$A58,IF($B$21=$D$11,INDEX($B$53:$U$53,5),""))</f>
        <v/>
      </c>
      <c r="Y58" s="42">
        <f>IF($B$24=$D$10,$A58,IF($B$24=$D$11,INDEX($B$53:$U$53,5),""))</f>
        <v/>
      </c>
      <c r="Z58" s="42">
        <f>IF($A58="",0,IF($B$21=$D$10,IF($B$22="is niet",IF($A58&lt;&gt;$B$23,1,0),IF($A58=$B$23,1,0)),1))</f>
        <v/>
      </c>
      <c r="AA58" s="42">
        <f>IF($A58="",0,IF(AND(AND($B$24&lt;&gt;"",$B$24&lt;&gt;$D$12,$B$26&lt;&gt;""),$B$24=$D$10),IF($B$25="is niet",IF($A58&lt;&gt;$B$26,1,0),IF($A58=$B$26,1,0)),1))</f>
        <v/>
      </c>
      <c r="AB58" s="42">
        <f>Z58*AA58</f>
        <v/>
      </c>
      <c r="AC58" s="42">
        <f>SUMPRODUCT($B58:$U58,$X$76:$AQ$76)</f>
        <v/>
      </c>
      <c r="AD58" s="42">
        <f>SUMPRODUCT($B58:$U58,$X$77:$AQ$77)</f>
        <v/>
      </c>
      <c r="AE58" s="42">
        <f>SUMPRODUCT($B58:$U58,$X$78:$AQ$78)</f>
        <v/>
      </c>
    </row>
    <row r="59">
      <c r="A59" s="44">
        <f>IF($X$37=1,IFERROR(INDEX($W$257:$W$10256,MATCH(6,$AA$257:$AA$10256,0)),""),IF(TRIM($A$262)="",IF(COUNT($B$262:$U$262)&gt;0,"rij 6",""),IF(OR(TRIM($A$262)="totaal",TRIM($A$262)="total"),"",TRIM($A$262))))</f>
        <v/>
      </c>
      <c r="B59" s="28">
        <f>IF(OR($A59="",B$53=""),"",IF($X$37=1,COUNTIFS($W$257:$W$10256,$A59,$X$257:$X$10256,B$53),IF(ISNUMBER(B262),B262,0)))</f>
        <v/>
      </c>
      <c r="C59" s="28">
        <f>IF(OR($A59="",C$53=""),"",IF($X$37=1,COUNTIFS($W$257:$W$10256,$A59,$X$257:$X$10256,C$53),IF(ISNUMBER(C262),C262,0)))</f>
        <v/>
      </c>
      <c r="D59" s="28">
        <f>IF(OR($A59="",D$53=""),"",IF($X$37=1,COUNTIFS($W$257:$W$10256,$A59,$X$257:$X$10256,D$53),IF(ISNUMBER(D262),D262,0)))</f>
        <v/>
      </c>
      <c r="E59" s="28">
        <f>IF(OR($A59="",E$53=""),"",IF($X$37=1,COUNTIFS($W$257:$W$10256,$A59,$X$257:$X$10256,E$53),IF(ISNUMBER(E262),E262,0)))</f>
        <v/>
      </c>
      <c r="F59" s="28">
        <f>IF(OR($A59="",F$53=""),"",IF($X$37=1,COUNTIFS($W$257:$W$10256,$A59,$X$257:$X$10256,F$53),IF(ISNUMBER(F262),F262,0)))</f>
        <v/>
      </c>
      <c r="G59" s="28">
        <f>IF(OR($A59="",G$53=""),"",IF($X$37=1,COUNTIFS($W$257:$W$10256,$A59,$X$257:$X$10256,G$53),IF(ISNUMBER(G262),G262,0)))</f>
        <v/>
      </c>
      <c r="H59" s="28">
        <f>IF(OR($A59="",H$53=""),"",IF($X$37=1,COUNTIFS($W$257:$W$10256,$A59,$X$257:$X$10256,H$53),IF(ISNUMBER(H262),H262,0)))</f>
        <v/>
      </c>
      <c r="I59" s="28">
        <f>IF(OR($A59="",I$53=""),"",IF($X$37=1,COUNTIFS($W$257:$W$10256,$A59,$X$257:$X$10256,I$53),IF(ISNUMBER(I262),I262,0)))</f>
        <v/>
      </c>
      <c r="J59" s="28">
        <f>IF(OR($A59="",J$53=""),"",IF($X$37=1,COUNTIFS($W$257:$W$10256,$A59,$X$257:$X$10256,J$53),IF(ISNUMBER(J262),J262,0)))</f>
        <v/>
      </c>
      <c r="K59" s="28">
        <f>IF(OR($A59="",K$53=""),"",IF($X$37=1,COUNTIFS($W$257:$W$10256,$A59,$X$257:$X$10256,K$53),IF(ISNUMBER(K262),K262,0)))</f>
        <v/>
      </c>
      <c r="L59" s="28">
        <f>IF(OR($A59="",L$53=""),"",IF($X$37=1,COUNTIFS($W$257:$W$10256,$A59,$X$257:$X$10256,L$53),IF(ISNUMBER(L262),L262,0)))</f>
        <v/>
      </c>
      <c r="M59" s="28">
        <f>IF(OR($A59="",M$53=""),"",IF($X$37=1,COUNTIFS($W$257:$W$10256,$A59,$X$257:$X$10256,M$53),IF(ISNUMBER(M262),M262,0)))</f>
        <v/>
      </c>
      <c r="N59" s="28">
        <f>IF(OR($A59="",N$53=""),"",IF($X$37=1,COUNTIFS($W$257:$W$10256,$A59,$X$257:$X$10256,N$53),IF(ISNUMBER(N262),N262,0)))</f>
        <v/>
      </c>
      <c r="O59" s="28">
        <f>IF(OR($A59="",O$53=""),"",IF($X$37=1,COUNTIFS($W$257:$W$10256,$A59,$X$257:$X$10256,O$53),IF(ISNUMBER(O262),O262,0)))</f>
        <v/>
      </c>
      <c r="P59" s="28">
        <f>IF(OR($A59="",P$53=""),"",IF($X$37=1,COUNTIFS($W$257:$W$10256,$A59,$X$257:$X$10256,P$53),IF(ISNUMBER(P262),P262,0)))</f>
        <v/>
      </c>
      <c r="Q59" s="28">
        <f>IF(OR($A59="",Q$53=""),"",IF($X$37=1,COUNTIFS($W$257:$W$10256,$A59,$X$257:$X$10256,Q$53),IF(ISNUMBER(Q262),Q262,0)))</f>
        <v/>
      </c>
      <c r="R59" s="28">
        <f>IF(OR($A59="",R$53=""),"",IF($X$37=1,COUNTIFS($W$257:$W$10256,$A59,$X$257:$X$10256,R$53),IF(ISNUMBER(R262),R262,0)))</f>
        <v/>
      </c>
      <c r="S59" s="28">
        <f>IF(OR($A59="",S$53=""),"",IF($X$37=1,COUNTIFS($W$257:$W$10256,$A59,$X$257:$X$10256,S$53),IF(ISNUMBER(S262),S262,0)))</f>
        <v/>
      </c>
      <c r="T59" s="28">
        <f>IF(OR($A59="",T$53=""),"",IF($X$37=1,COUNTIFS($W$257:$W$10256,$A59,$X$257:$X$10256,T$53),IF(ISNUMBER(T262),T262,0)))</f>
        <v/>
      </c>
      <c r="U59" s="28">
        <f>IF(OR($A59="",U$53=""),"",IF($X$37=1,COUNTIFS($W$257:$W$10256,$A59,$X$257:$X$10256,U$53),IF(ISNUMBER(U262),U262,0)))</f>
        <v/>
      </c>
      <c r="V59" s="28">
        <f>IF($A59="","",SUM(B59:U59))</f>
        <v/>
      </c>
      <c r="X59" s="42">
        <f>IF($B$21=$D$10,$A59,IF($B$21=$D$11,INDEX($B$53:$U$53,6),""))</f>
        <v/>
      </c>
      <c r="Y59" s="42">
        <f>IF($B$24=$D$10,$A59,IF($B$24=$D$11,INDEX($B$53:$U$53,6),""))</f>
        <v/>
      </c>
      <c r="Z59" s="42">
        <f>IF($A59="",0,IF($B$21=$D$10,IF($B$22="is niet",IF($A59&lt;&gt;$B$23,1,0),IF($A59=$B$23,1,0)),1))</f>
        <v/>
      </c>
      <c r="AA59" s="42">
        <f>IF($A59="",0,IF(AND(AND($B$24&lt;&gt;"",$B$24&lt;&gt;$D$12,$B$26&lt;&gt;""),$B$24=$D$10),IF($B$25="is niet",IF($A59&lt;&gt;$B$26,1,0),IF($A59=$B$26,1,0)),1))</f>
        <v/>
      </c>
      <c r="AB59" s="42">
        <f>Z59*AA59</f>
        <v/>
      </c>
      <c r="AC59" s="42">
        <f>SUMPRODUCT($B59:$U59,$X$76:$AQ$76)</f>
        <v/>
      </c>
      <c r="AD59" s="42">
        <f>SUMPRODUCT($B59:$U59,$X$77:$AQ$77)</f>
        <v/>
      </c>
      <c r="AE59" s="42">
        <f>SUMPRODUCT($B59:$U59,$X$78:$AQ$78)</f>
        <v/>
      </c>
    </row>
    <row r="60">
      <c r="A60" s="44">
        <f>IF($X$37=1,IFERROR(INDEX($W$257:$W$10256,MATCH(7,$AA$257:$AA$10256,0)),""),IF(TRIM($A$263)="",IF(COUNT($B$263:$U$263)&gt;0,"rij 7",""),IF(OR(TRIM($A$263)="totaal",TRIM($A$263)="total"),"",TRIM($A$263))))</f>
        <v/>
      </c>
      <c r="B60" s="28">
        <f>IF(OR($A60="",B$53=""),"",IF($X$37=1,COUNTIFS($W$257:$W$10256,$A60,$X$257:$X$10256,B$53),IF(ISNUMBER(B263),B263,0)))</f>
        <v/>
      </c>
      <c r="C60" s="28">
        <f>IF(OR($A60="",C$53=""),"",IF($X$37=1,COUNTIFS($W$257:$W$10256,$A60,$X$257:$X$10256,C$53),IF(ISNUMBER(C263),C263,0)))</f>
        <v/>
      </c>
      <c r="D60" s="28">
        <f>IF(OR($A60="",D$53=""),"",IF($X$37=1,COUNTIFS($W$257:$W$10256,$A60,$X$257:$X$10256,D$53),IF(ISNUMBER(D263),D263,0)))</f>
        <v/>
      </c>
      <c r="E60" s="28">
        <f>IF(OR($A60="",E$53=""),"",IF($X$37=1,COUNTIFS($W$257:$W$10256,$A60,$X$257:$X$10256,E$53),IF(ISNUMBER(E263),E263,0)))</f>
        <v/>
      </c>
      <c r="F60" s="28">
        <f>IF(OR($A60="",F$53=""),"",IF($X$37=1,COUNTIFS($W$257:$W$10256,$A60,$X$257:$X$10256,F$53),IF(ISNUMBER(F263),F263,0)))</f>
        <v/>
      </c>
      <c r="G60" s="28">
        <f>IF(OR($A60="",G$53=""),"",IF($X$37=1,COUNTIFS($W$257:$W$10256,$A60,$X$257:$X$10256,G$53),IF(ISNUMBER(G263),G263,0)))</f>
        <v/>
      </c>
      <c r="H60" s="28">
        <f>IF(OR($A60="",H$53=""),"",IF($X$37=1,COUNTIFS($W$257:$W$10256,$A60,$X$257:$X$10256,H$53),IF(ISNUMBER(H263),H263,0)))</f>
        <v/>
      </c>
      <c r="I60" s="28">
        <f>IF(OR($A60="",I$53=""),"",IF($X$37=1,COUNTIFS($W$257:$W$10256,$A60,$X$257:$X$10256,I$53),IF(ISNUMBER(I263),I263,0)))</f>
        <v/>
      </c>
      <c r="J60" s="28">
        <f>IF(OR($A60="",J$53=""),"",IF($X$37=1,COUNTIFS($W$257:$W$10256,$A60,$X$257:$X$10256,J$53),IF(ISNUMBER(J263),J263,0)))</f>
        <v/>
      </c>
      <c r="K60" s="28">
        <f>IF(OR($A60="",K$53=""),"",IF($X$37=1,COUNTIFS($W$257:$W$10256,$A60,$X$257:$X$10256,K$53),IF(ISNUMBER(K263),K263,0)))</f>
        <v/>
      </c>
      <c r="L60" s="28">
        <f>IF(OR($A60="",L$53=""),"",IF($X$37=1,COUNTIFS($W$257:$W$10256,$A60,$X$257:$X$10256,L$53),IF(ISNUMBER(L263),L263,0)))</f>
        <v/>
      </c>
      <c r="M60" s="28">
        <f>IF(OR($A60="",M$53=""),"",IF($X$37=1,COUNTIFS($W$257:$W$10256,$A60,$X$257:$X$10256,M$53),IF(ISNUMBER(M263),M263,0)))</f>
        <v/>
      </c>
      <c r="N60" s="28">
        <f>IF(OR($A60="",N$53=""),"",IF($X$37=1,COUNTIFS($W$257:$W$10256,$A60,$X$257:$X$10256,N$53),IF(ISNUMBER(N263),N263,0)))</f>
        <v/>
      </c>
      <c r="O60" s="28">
        <f>IF(OR($A60="",O$53=""),"",IF($X$37=1,COUNTIFS($W$257:$W$10256,$A60,$X$257:$X$10256,O$53),IF(ISNUMBER(O263),O263,0)))</f>
        <v/>
      </c>
      <c r="P60" s="28">
        <f>IF(OR($A60="",P$53=""),"",IF($X$37=1,COUNTIFS($W$257:$W$10256,$A60,$X$257:$X$10256,P$53),IF(ISNUMBER(P263),P263,0)))</f>
        <v/>
      </c>
      <c r="Q60" s="28">
        <f>IF(OR($A60="",Q$53=""),"",IF($X$37=1,COUNTIFS($W$257:$W$10256,$A60,$X$257:$X$10256,Q$53),IF(ISNUMBER(Q263),Q263,0)))</f>
        <v/>
      </c>
      <c r="R60" s="28">
        <f>IF(OR($A60="",R$53=""),"",IF($X$37=1,COUNTIFS($W$257:$W$10256,$A60,$X$257:$X$10256,R$53),IF(ISNUMBER(R263),R263,0)))</f>
        <v/>
      </c>
      <c r="S60" s="28">
        <f>IF(OR($A60="",S$53=""),"",IF($X$37=1,COUNTIFS($W$257:$W$10256,$A60,$X$257:$X$10256,S$53),IF(ISNUMBER(S263),S263,0)))</f>
        <v/>
      </c>
      <c r="T60" s="28">
        <f>IF(OR($A60="",T$53=""),"",IF($X$37=1,COUNTIFS($W$257:$W$10256,$A60,$X$257:$X$10256,T$53),IF(ISNUMBER(T263),T263,0)))</f>
        <v/>
      </c>
      <c r="U60" s="28">
        <f>IF(OR($A60="",U$53=""),"",IF($X$37=1,COUNTIFS($W$257:$W$10256,$A60,$X$257:$X$10256,U$53),IF(ISNUMBER(U263),U263,0)))</f>
        <v/>
      </c>
      <c r="V60" s="28">
        <f>IF($A60="","",SUM(B60:U60))</f>
        <v/>
      </c>
      <c r="X60" s="42">
        <f>IF($B$21=$D$10,$A60,IF($B$21=$D$11,INDEX($B$53:$U$53,7),""))</f>
        <v/>
      </c>
      <c r="Y60" s="42">
        <f>IF($B$24=$D$10,$A60,IF($B$24=$D$11,INDEX($B$53:$U$53,7),""))</f>
        <v/>
      </c>
      <c r="Z60" s="42">
        <f>IF($A60="",0,IF($B$21=$D$10,IF($B$22="is niet",IF($A60&lt;&gt;$B$23,1,0),IF($A60=$B$23,1,0)),1))</f>
        <v/>
      </c>
      <c r="AA60" s="42">
        <f>IF($A60="",0,IF(AND(AND($B$24&lt;&gt;"",$B$24&lt;&gt;$D$12,$B$26&lt;&gt;""),$B$24=$D$10),IF($B$25="is niet",IF($A60&lt;&gt;$B$26,1,0),IF($A60=$B$26,1,0)),1))</f>
        <v/>
      </c>
      <c r="AB60" s="42">
        <f>Z60*AA60</f>
        <v/>
      </c>
      <c r="AC60" s="42">
        <f>SUMPRODUCT($B60:$U60,$X$76:$AQ$76)</f>
        <v/>
      </c>
      <c r="AD60" s="42">
        <f>SUMPRODUCT($B60:$U60,$X$77:$AQ$77)</f>
        <v/>
      </c>
      <c r="AE60" s="42">
        <f>SUMPRODUCT($B60:$U60,$X$78:$AQ$78)</f>
        <v/>
      </c>
    </row>
    <row r="61">
      <c r="A61" s="44">
        <f>IF($X$37=1,IFERROR(INDEX($W$257:$W$10256,MATCH(8,$AA$257:$AA$10256,0)),""),IF(TRIM($A$264)="",IF(COUNT($B$264:$U$264)&gt;0,"rij 8",""),IF(OR(TRIM($A$264)="totaal",TRIM($A$264)="total"),"",TRIM($A$264))))</f>
        <v/>
      </c>
      <c r="B61" s="28">
        <f>IF(OR($A61="",B$53=""),"",IF($X$37=1,COUNTIFS($W$257:$W$10256,$A61,$X$257:$X$10256,B$53),IF(ISNUMBER(B264),B264,0)))</f>
        <v/>
      </c>
      <c r="C61" s="28">
        <f>IF(OR($A61="",C$53=""),"",IF($X$37=1,COUNTIFS($W$257:$W$10256,$A61,$X$257:$X$10256,C$53),IF(ISNUMBER(C264),C264,0)))</f>
        <v/>
      </c>
      <c r="D61" s="28">
        <f>IF(OR($A61="",D$53=""),"",IF($X$37=1,COUNTIFS($W$257:$W$10256,$A61,$X$257:$X$10256,D$53),IF(ISNUMBER(D264),D264,0)))</f>
        <v/>
      </c>
      <c r="E61" s="28">
        <f>IF(OR($A61="",E$53=""),"",IF($X$37=1,COUNTIFS($W$257:$W$10256,$A61,$X$257:$X$10256,E$53),IF(ISNUMBER(E264),E264,0)))</f>
        <v/>
      </c>
      <c r="F61" s="28">
        <f>IF(OR($A61="",F$53=""),"",IF($X$37=1,COUNTIFS($W$257:$W$10256,$A61,$X$257:$X$10256,F$53),IF(ISNUMBER(F264),F264,0)))</f>
        <v/>
      </c>
      <c r="G61" s="28">
        <f>IF(OR($A61="",G$53=""),"",IF($X$37=1,COUNTIFS($W$257:$W$10256,$A61,$X$257:$X$10256,G$53),IF(ISNUMBER(G264),G264,0)))</f>
        <v/>
      </c>
      <c r="H61" s="28">
        <f>IF(OR($A61="",H$53=""),"",IF($X$37=1,COUNTIFS($W$257:$W$10256,$A61,$X$257:$X$10256,H$53),IF(ISNUMBER(H264),H264,0)))</f>
        <v/>
      </c>
      <c r="I61" s="28">
        <f>IF(OR($A61="",I$53=""),"",IF($X$37=1,COUNTIFS($W$257:$W$10256,$A61,$X$257:$X$10256,I$53),IF(ISNUMBER(I264),I264,0)))</f>
        <v/>
      </c>
      <c r="J61" s="28">
        <f>IF(OR($A61="",J$53=""),"",IF($X$37=1,COUNTIFS($W$257:$W$10256,$A61,$X$257:$X$10256,J$53),IF(ISNUMBER(J264),J264,0)))</f>
        <v/>
      </c>
      <c r="K61" s="28">
        <f>IF(OR($A61="",K$53=""),"",IF($X$37=1,COUNTIFS($W$257:$W$10256,$A61,$X$257:$X$10256,K$53),IF(ISNUMBER(K264),K264,0)))</f>
        <v/>
      </c>
      <c r="L61" s="28">
        <f>IF(OR($A61="",L$53=""),"",IF($X$37=1,COUNTIFS($W$257:$W$10256,$A61,$X$257:$X$10256,L$53),IF(ISNUMBER(L264),L264,0)))</f>
        <v/>
      </c>
      <c r="M61" s="28">
        <f>IF(OR($A61="",M$53=""),"",IF($X$37=1,COUNTIFS($W$257:$W$10256,$A61,$X$257:$X$10256,M$53),IF(ISNUMBER(M264),M264,0)))</f>
        <v/>
      </c>
      <c r="N61" s="28">
        <f>IF(OR($A61="",N$53=""),"",IF($X$37=1,COUNTIFS($W$257:$W$10256,$A61,$X$257:$X$10256,N$53),IF(ISNUMBER(N264),N264,0)))</f>
        <v/>
      </c>
      <c r="O61" s="28">
        <f>IF(OR($A61="",O$53=""),"",IF($X$37=1,COUNTIFS($W$257:$W$10256,$A61,$X$257:$X$10256,O$53),IF(ISNUMBER(O264),O264,0)))</f>
        <v/>
      </c>
      <c r="P61" s="28">
        <f>IF(OR($A61="",P$53=""),"",IF($X$37=1,COUNTIFS($W$257:$W$10256,$A61,$X$257:$X$10256,P$53),IF(ISNUMBER(P264),P264,0)))</f>
        <v/>
      </c>
      <c r="Q61" s="28">
        <f>IF(OR($A61="",Q$53=""),"",IF($X$37=1,COUNTIFS($W$257:$W$10256,$A61,$X$257:$X$10256,Q$53),IF(ISNUMBER(Q264),Q264,0)))</f>
        <v/>
      </c>
      <c r="R61" s="28">
        <f>IF(OR($A61="",R$53=""),"",IF($X$37=1,COUNTIFS($W$257:$W$10256,$A61,$X$257:$X$10256,R$53),IF(ISNUMBER(R264),R264,0)))</f>
        <v/>
      </c>
      <c r="S61" s="28">
        <f>IF(OR($A61="",S$53=""),"",IF($X$37=1,COUNTIFS($W$257:$W$10256,$A61,$X$257:$X$10256,S$53),IF(ISNUMBER(S264),S264,0)))</f>
        <v/>
      </c>
      <c r="T61" s="28">
        <f>IF(OR($A61="",T$53=""),"",IF($X$37=1,COUNTIFS($W$257:$W$10256,$A61,$X$257:$X$10256,T$53),IF(ISNUMBER(T264),T264,0)))</f>
        <v/>
      </c>
      <c r="U61" s="28">
        <f>IF(OR($A61="",U$53=""),"",IF($X$37=1,COUNTIFS($W$257:$W$10256,$A61,$X$257:$X$10256,U$53),IF(ISNUMBER(U264),U264,0)))</f>
        <v/>
      </c>
      <c r="V61" s="28">
        <f>IF($A61="","",SUM(B61:U61))</f>
        <v/>
      </c>
      <c r="X61" s="42">
        <f>IF($B$21=$D$10,$A61,IF($B$21=$D$11,INDEX($B$53:$U$53,8),""))</f>
        <v/>
      </c>
      <c r="Y61" s="42">
        <f>IF($B$24=$D$10,$A61,IF($B$24=$D$11,INDEX($B$53:$U$53,8),""))</f>
        <v/>
      </c>
      <c r="Z61" s="42">
        <f>IF($A61="",0,IF($B$21=$D$10,IF($B$22="is niet",IF($A61&lt;&gt;$B$23,1,0),IF($A61=$B$23,1,0)),1))</f>
        <v/>
      </c>
      <c r="AA61" s="42">
        <f>IF($A61="",0,IF(AND(AND($B$24&lt;&gt;"",$B$24&lt;&gt;$D$12,$B$26&lt;&gt;""),$B$24=$D$10),IF($B$25="is niet",IF($A61&lt;&gt;$B$26,1,0),IF($A61=$B$26,1,0)),1))</f>
        <v/>
      </c>
      <c r="AB61" s="42">
        <f>Z61*AA61</f>
        <v/>
      </c>
      <c r="AC61" s="42">
        <f>SUMPRODUCT($B61:$U61,$X$76:$AQ$76)</f>
        <v/>
      </c>
      <c r="AD61" s="42">
        <f>SUMPRODUCT($B61:$U61,$X$77:$AQ$77)</f>
        <v/>
      </c>
      <c r="AE61" s="42">
        <f>SUMPRODUCT($B61:$U61,$X$78:$AQ$78)</f>
        <v/>
      </c>
    </row>
    <row r="62">
      <c r="A62" s="44">
        <f>IF($X$37=1,IFERROR(INDEX($W$257:$W$10256,MATCH(9,$AA$257:$AA$10256,0)),""),IF(TRIM($A$265)="",IF(COUNT($B$265:$U$265)&gt;0,"rij 9",""),IF(OR(TRIM($A$265)="totaal",TRIM($A$265)="total"),"",TRIM($A$265))))</f>
        <v/>
      </c>
      <c r="B62" s="28">
        <f>IF(OR($A62="",B$53=""),"",IF($X$37=1,COUNTIFS($W$257:$W$10256,$A62,$X$257:$X$10256,B$53),IF(ISNUMBER(B265),B265,0)))</f>
        <v/>
      </c>
      <c r="C62" s="28">
        <f>IF(OR($A62="",C$53=""),"",IF($X$37=1,COUNTIFS($W$257:$W$10256,$A62,$X$257:$X$10256,C$53),IF(ISNUMBER(C265),C265,0)))</f>
        <v/>
      </c>
      <c r="D62" s="28">
        <f>IF(OR($A62="",D$53=""),"",IF($X$37=1,COUNTIFS($W$257:$W$10256,$A62,$X$257:$X$10256,D$53),IF(ISNUMBER(D265),D265,0)))</f>
        <v/>
      </c>
      <c r="E62" s="28">
        <f>IF(OR($A62="",E$53=""),"",IF($X$37=1,COUNTIFS($W$257:$W$10256,$A62,$X$257:$X$10256,E$53),IF(ISNUMBER(E265),E265,0)))</f>
        <v/>
      </c>
      <c r="F62" s="28">
        <f>IF(OR($A62="",F$53=""),"",IF($X$37=1,COUNTIFS($W$257:$W$10256,$A62,$X$257:$X$10256,F$53),IF(ISNUMBER(F265),F265,0)))</f>
        <v/>
      </c>
      <c r="G62" s="28">
        <f>IF(OR($A62="",G$53=""),"",IF($X$37=1,COUNTIFS($W$257:$W$10256,$A62,$X$257:$X$10256,G$53),IF(ISNUMBER(G265),G265,0)))</f>
        <v/>
      </c>
      <c r="H62" s="28">
        <f>IF(OR($A62="",H$53=""),"",IF($X$37=1,COUNTIFS($W$257:$W$10256,$A62,$X$257:$X$10256,H$53),IF(ISNUMBER(H265),H265,0)))</f>
        <v/>
      </c>
      <c r="I62" s="28">
        <f>IF(OR($A62="",I$53=""),"",IF($X$37=1,COUNTIFS($W$257:$W$10256,$A62,$X$257:$X$10256,I$53),IF(ISNUMBER(I265),I265,0)))</f>
        <v/>
      </c>
      <c r="J62" s="28">
        <f>IF(OR($A62="",J$53=""),"",IF($X$37=1,COUNTIFS($W$257:$W$10256,$A62,$X$257:$X$10256,J$53),IF(ISNUMBER(J265),J265,0)))</f>
        <v/>
      </c>
      <c r="K62" s="28">
        <f>IF(OR($A62="",K$53=""),"",IF($X$37=1,COUNTIFS($W$257:$W$10256,$A62,$X$257:$X$10256,K$53),IF(ISNUMBER(K265),K265,0)))</f>
        <v/>
      </c>
      <c r="L62" s="28">
        <f>IF(OR($A62="",L$53=""),"",IF($X$37=1,COUNTIFS($W$257:$W$10256,$A62,$X$257:$X$10256,L$53),IF(ISNUMBER(L265),L265,0)))</f>
        <v/>
      </c>
      <c r="M62" s="28">
        <f>IF(OR($A62="",M$53=""),"",IF($X$37=1,COUNTIFS($W$257:$W$10256,$A62,$X$257:$X$10256,M$53),IF(ISNUMBER(M265),M265,0)))</f>
        <v/>
      </c>
      <c r="N62" s="28">
        <f>IF(OR($A62="",N$53=""),"",IF($X$37=1,COUNTIFS($W$257:$W$10256,$A62,$X$257:$X$10256,N$53),IF(ISNUMBER(N265),N265,0)))</f>
        <v/>
      </c>
      <c r="O62" s="28">
        <f>IF(OR($A62="",O$53=""),"",IF($X$37=1,COUNTIFS($W$257:$W$10256,$A62,$X$257:$X$10256,O$53),IF(ISNUMBER(O265),O265,0)))</f>
        <v/>
      </c>
      <c r="P62" s="28">
        <f>IF(OR($A62="",P$53=""),"",IF($X$37=1,COUNTIFS($W$257:$W$10256,$A62,$X$257:$X$10256,P$53),IF(ISNUMBER(P265),P265,0)))</f>
        <v/>
      </c>
      <c r="Q62" s="28">
        <f>IF(OR($A62="",Q$53=""),"",IF($X$37=1,COUNTIFS($W$257:$W$10256,$A62,$X$257:$X$10256,Q$53),IF(ISNUMBER(Q265),Q265,0)))</f>
        <v/>
      </c>
      <c r="R62" s="28">
        <f>IF(OR($A62="",R$53=""),"",IF($X$37=1,COUNTIFS($W$257:$W$10256,$A62,$X$257:$X$10256,R$53),IF(ISNUMBER(R265),R265,0)))</f>
        <v/>
      </c>
      <c r="S62" s="28">
        <f>IF(OR($A62="",S$53=""),"",IF($X$37=1,COUNTIFS($W$257:$W$10256,$A62,$X$257:$X$10256,S$53),IF(ISNUMBER(S265),S265,0)))</f>
        <v/>
      </c>
      <c r="T62" s="28">
        <f>IF(OR($A62="",T$53=""),"",IF($X$37=1,COUNTIFS($W$257:$W$10256,$A62,$X$257:$X$10256,T$53),IF(ISNUMBER(T265),T265,0)))</f>
        <v/>
      </c>
      <c r="U62" s="28">
        <f>IF(OR($A62="",U$53=""),"",IF($X$37=1,COUNTIFS($W$257:$W$10256,$A62,$X$257:$X$10256,U$53),IF(ISNUMBER(U265),U265,0)))</f>
        <v/>
      </c>
      <c r="V62" s="28">
        <f>IF($A62="","",SUM(B62:U62))</f>
        <v/>
      </c>
      <c r="X62" s="42">
        <f>IF($B$21=$D$10,$A62,IF($B$21=$D$11,INDEX($B$53:$U$53,9),""))</f>
        <v/>
      </c>
      <c r="Y62" s="42">
        <f>IF($B$24=$D$10,$A62,IF($B$24=$D$11,INDEX($B$53:$U$53,9),""))</f>
        <v/>
      </c>
      <c r="Z62" s="42">
        <f>IF($A62="",0,IF($B$21=$D$10,IF($B$22="is niet",IF($A62&lt;&gt;$B$23,1,0),IF($A62=$B$23,1,0)),1))</f>
        <v/>
      </c>
      <c r="AA62" s="42">
        <f>IF($A62="",0,IF(AND(AND($B$24&lt;&gt;"",$B$24&lt;&gt;$D$12,$B$26&lt;&gt;""),$B$24=$D$10),IF($B$25="is niet",IF($A62&lt;&gt;$B$26,1,0),IF($A62=$B$26,1,0)),1))</f>
        <v/>
      </c>
      <c r="AB62" s="42">
        <f>Z62*AA62</f>
        <v/>
      </c>
      <c r="AC62" s="42">
        <f>SUMPRODUCT($B62:$U62,$X$76:$AQ$76)</f>
        <v/>
      </c>
      <c r="AD62" s="42">
        <f>SUMPRODUCT($B62:$U62,$X$77:$AQ$77)</f>
        <v/>
      </c>
      <c r="AE62" s="42">
        <f>SUMPRODUCT($B62:$U62,$X$78:$AQ$78)</f>
        <v/>
      </c>
    </row>
    <row r="63">
      <c r="A63" s="44">
        <f>IF($X$37=1,IFERROR(INDEX($W$257:$W$10256,MATCH(10,$AA$257:$AA$10256,0)),""),IF(TRIM($A$266)="",IF(COUNT($B$266:$U$266)&gt;0,"rij 10",""),IF(OR(TRIM($A$266)="totaal",TRIM($A$266)="total"),"",TRIM($A$266))))</f>
        <v/>
      </c>
      <c r="B63" s="28">
        <f>IF(OR($A63="",B$53=""),"",IF($X$37=1,COUNTIFS($W$257:$W$10256,$A63,$X$257:$X$10256,B$53),IF(ISNUMBER(B266),B266,0)))</f>
        <v/>
      </c>
      <c r="C63" s="28">
        <f>IF(OR($A63="",C$53=""),"",IF($X$37=1,COUNTIFS($W$257:$W$10256,$A63,$X$257:$X$10256,C$53),IF(ISNUMBER(C266),C266,0)))</f>
        <v/>
      </c>
      <c r="D63" s="28">
        <f>IF(OR($A63="",D$53=""),"",IF($X$37=1,COUNTIFS($W$257:$W$10256,$A63,$X$257:$X$10256,D$53),IF(ISNUMBER(D266),D266,0)))</f>
        <v/>
      </c>
      <c r="E63" s="28">
        <f>IF(OR($A63="",E$53=""),"",IF($X$37=1,COUNTIFS($W$257:$W$10256,$A63,$X$257:$X$10256,E$53),IF(ISNUMBER(E266),E266,0)))</f>
        <v/>
      </c>
      <c r="F63" s="28">
        <f>IF(OR($A63="",F$53=""),"",IF($X$37=1,COUNTIFS($W$257:$W$10256,$A63,$X$257:$X$10256,F$53),IF(ISNUMBER(F266),F266,0)))</f>
        <v/>
      </c>
      <c r="G63" s="28">
        <f>IF(OR($A63="",G$53=""),"",IF($X$37=1,COUNTIFS($W$257:$W$10256,$A63,$X$257:$X$10256,G$53),IF(ISNUMBER(G266),G266,0)))</f>
        <v/>
      </c>
      <c r="H63" s="28">
        <f>IF(OR($A63="",H$53=""),"",IF($X$37=1,COUNTIFS($W$257:$W$10256,$A63,$X$257:$X$10256,H$53),IF(ISNUMBER(H266),H266,0)))</f>
        <v/>
      </c>
      <c r="I63" s="28">
        <f>IF(OR($A63="",I$53=""),"",IF($X$37=1,COUNTIFS($W$257:$W$10256,$A63,$X$257:$X$10256,I$53),IF(ISNUMBER(I266),I266,0)))</f>
        <v/>
      </c>
      <c r="J63" s="28">
        <f>IF(OR($A63="",J$53=""),"",IF($X$37=1,COUNTIFS($W$257:$W$10256,$A63,$X$257:$X$10256,J$53),IF(ISNUMBER(J266),J266,0)))</f>
        <v/>
      </c>
      <c r="K63" s="28">
        <f>IF(OR($A63="",K$53=""),"",IF($X$37=1,COUNTIFS($W$257:$W$10256,$A63,$X$257:$X$10256,K$53),IF(ISNUMBER(K266),K266,0)))</f>
        <v/>
      </c>
      <c r="L63" s="28">
        <f>IF(OR($A63="",L$53=""),"",IF($X$37=1,COUNTIFS($W$257:$W$10256,$A63,$X$257:$X$10256,L$53),IF(ISNUMBER(L266),L266,0)))</f>
        <v/>
      </c>
      <c r="M63" s="28">
        <f>IF(OR($A63="",M$53=""),"",IF($X$37=1,COUNTIFS($W$257:$W$10256,$A63,$X$257:$X$10256,M$53),IF(ISNUMBER(M266),M266,0)))</f>
        <v/>
      </c>
      <c r="N63" s="28">
        <f>IF(OR($A63="",N$53=""),"",IF($X$37=1,COUNTIFS($W$257:$W$10256,$A63,$X$257:$X$10256,N$53),IF(ISNUMBER(N266),N266,0)))</f>
        <v/>
      </c>
      <c r="O63" s="28">
        <f>IF(OR($A63="",O$53=""),"",IF($X$37=1,COUNTIFS($W$257:$W$10256,$A63,$X$257:$X$10256,O$53),IF(ISNUMBER(O266),O266,0)))</f>
        <v/>
      </c>
      <c r="P63" s="28">
        <f>IF(OR($A63="",P$53=""),"",IF($X$37=1,COUNTIFS($W$257:$W$10256,$A63,$X$257:$X$10256,P$53),IF(ISNUMBER(P266),P266,0)))</f>
        <v/>
      </c>
      <c r="Q63" s="28">
        <f>IF(OR($A63="",Q$53=""),"",IF($X$37=1,COUNTIFS($W$257:$W$10256,$A63,$X$257:$X$10256,Q$53),IF(ISNUMBER(Q266),Q266,0)))</f>
        <v/>
      </c>
      <c r="R63" s="28">
        <f>IF(OR($A63="",R$53=""),"",IF($X$37=1,COUNTIFS($W$257:$W$10256,$A63,$X$257:$X$10256,R$53),IF(ISNUMBER(R266),R266,0)))</f>
        <v/>
      </c>
      <c r="S63" s="28">
        <f>IF(OR($A63="",S$53=""),"",IF($X$37=1,COUNTIFS($W$257:$W$10256,$A63,$X$257:$X$10256,S$53),IF(ISNUMBER(S266),S266,0)))</f>
        <v/>
      </c>
      <c r="T63" s="28">
        <f>IF(OR($A63="",T$53=""),"",IF($X$37=1,COUNTIFS($W$257:$W$10256,$A63,$X$257:$X$10256,T$53),IF(ISNUMBER(T266),T266,0)))</f>
        <v/>
      </c>
      <c r="U63" s="28">
        <f>IF(OR($A63="",U$53=""),"",IF($X$37=1,COUNTIFS($W$257:$W$10256,$A63,$X$257:$X$10256,U$53),IF(ISNUMBER(U266),U266,0)))</f>
        <v/>
      </c>
      <c r="V63" s="28">
        <f>IF($A63="","",SUM(B63:U63))</f>
        <v/>
      </c>
      <c r="X63" s="42">
        <f>IF($B$21=$D$10,$A63,IF($B$21=$D$11,INDEX($B$53:$U$53,10),""))</f>
        <v/>
      </c>
      <c r="Y63" s="42">
        <f>IF($B$24=$D$10,$A63,IF($B$24=$D$11,INDEX($B$53:$U$53,10),""))</f>
        <v/>
      </c>
      <c r="Z63" s="42">
        <f>IF($A63="",0,IF($B$21=$D$10,IF($B$22="is niet",IF($A63&lt;&gt;$B$23,1,0),IF($A63=$B$23,1,0)),1))</f>
        <v/>
      </c>
      <c r="AA63" s="42">
        <f>IF($A63="",0,IF(AND(AND($B$24&lt;&gt;"",$B$24&lt;&gt;$D$12,$B$26&lt;&gt;""),$B$24=$D$10),IF($B$25="is niet",IF($A63&lt;&gt;$B$26,1,0),IF($A63=$B$26,1,0)),1))</f>
        <v/>
      </c>
      <c r="AB63" s="42">
        <f>Z63*AA63</f>
        <v/>
      </c>
      <c r="AC63" s="42">
        <f>SUMPRODUCT($B63:$U63,$X$76:$AQ$76)</f>
        <v/>
      </c>
      <c r="AD63" s="42">
        <f>SUMPRODUCT($B63:$U63,$X$77:$AQ$77)</f>
        <v/>
      </c>
      <c r="AE63" s="42">
        <f>SUMPRODUCT($B63:$U63,$X$78:$AQ$78)</f>
        <v/>
      </c>
    </row>
    <row r="64">
      <c r="A64" s="44">
        <f>IF($X$37=1,IFERROR(INDEX($W$257:$W$10256,MATCH(11,$AA$257:$AA$10256,0)),""),IF(TRIM($A$267)="",IF(COUNT($B$267:$U$267)&gt;0,"rij 11",""),IF(OR(TRIM($A$267)="totaal",TRIM($A$267)="total"),"",TRIM($A$267))))</f>
        <v/>
      </c>
      <c r="B64" s="28">
        <f>IF(OR($A64="",B$53=""),"",IF($X$37=1,COUNTIFS($W$257:$W$10256,$A64,$X$257:$X$10256,B$53),IF(ISNUMBER(B267),B267,0)))</f>
        <v/>
      </c>
      <c r="C64" s="28">
        <f>IF(OR($A64="",C$53=""),"",IF($X$37=1,COUNTIFS($W$257:$W$10256,$A64,$X$257:$X$10256,C$53),IF(ISNUMBER(C267),C267,0)))</f>
        <v/>
      </c>
      <c r="D64" s="28">
        <f>IF(OR($A64="",D$53=""),"",IF($X$37=1,COUNTIFS($W$257:$W$10256,$A64,$X$257:$X$10256,D$53),IF(ISNUMBER(D267),D267,0)))</f>
        <v/>
      </c>
      <c r="E64" s="28">
        <f>IF(OR($A64="",E$53=""),"",IF($X$37=1,COUNTIFS($W$257:$W$10256,$A64,$X$257:$X$10256,E$53),IF(ISNUMBER(E267),E267,0)))</f>
        <v/>
      </c>
      <c r="F64" s="28">
        <f>IF(OR($A64="",F$53=""),"",IF($X$37=1,COUNTIFS($W$257:$W$10256,$A64,$X$257:$X$10256,F$53),IF(ISNUMBER(F267),F267,0)))</f>
        <v/>
      </c>
      <c r="G64" s="28">
        <f>IF(OR($A64="",G$53=""),"",IF($X$37=1,COUNTIFS($W$257:$W$10256,$A64,$X$257:$X$10256,G$53),IF(ISNUMBER(G267),G267,0)))</f>
        <v/>
      </c>
      <c r="H64" s="28">
        <f>IF(OR($A64="",H$53=""),"",IF($X$37=1,COUNTIFS($W$257:$W$10256,$A64,$X$257:$X$10256,H$53),IF(ISNUMBER(H267),H267,0)))</f>
        <v/>
      </c>
      <c r="I64" s="28">
        <f>IF(OR($A64="",I$53=""),"",IF($X$37=1,COUNTIFS($W$257:$W$10256,$A64,$X$257:$X$10256,I$53),IF(ISNUMBER(I267),I267,0)))</f>
        <v/>
      </c>
      <c r="J64" s="28">
        <f>IF(OR($A64="",J$53=""),"",IF($X$37=1,COUNTIFS($W$257:$W$10256,$A64,$X$257:$X$10256,J$53),IF(ISNUMBER(J267),J267,0)))</f>
        <v/>
      </c>
      <c r="K64" s="28">
        <f>IF(OR($A64="",K$53=""),"",IF($X$37=1,COUNTIFS($W$257:$W$10256,$A64,$X$257:$X$10256,K$53),IF(ISNUMBER(K267),K267,0)))</f>
        <v/>
      </c>
      <c r="L64" s="28">
        <f>IF(OR($A64="",L$53=""),"",IF($X$37=1,COUNTIFS($W$257:$W$10256,$A64,$X$257:$X$10256,L$53),IF(ISNUMBER(L267),L267,0)))</f>
        <v/>
      </c>
      <c r="M64" s="28">
        <f>IF(OR($A64="",M$53=""),"",IF($X$37=1,COUNTIFS($W$257:$W$10256,$A64,$X$257:$X$10256,M$53),IF(ISNUMBER(M267),M267,0)))</f>
        <v/>
      </c>
      <c r="N64" s="28">
        <f>IF(OR($A64="",N$53=""),"",IF($X$37=1,COUNTIFS($W$257:$W$10256,$A64,$X$257:$X$10256,N$53),IF(ISNUMBER(N267),N267,0)))</f>
        <v/>
      </c>
      <c r="O64" s="28">
        <f>IF(OR($A64="",O$53=""),"",IF($X$37=1,COUNTIFS($W$257:$W$10256,$A64,$X$257:$X$10256,O$53),IF(ISNUMBER(O267),O267,0)))</f>
        <v/>
      </c>
      <c r="P64" s="28">
        <f>IF(OR($A64="",P$53=""),"",IF($X$37=1,COUNTIFS($W$257:$W$10256,$A64,$X$257:$X$10256,P$53),IF(ISNUMBER(P267),P267,0)))</f>
        <v/>
      </c>
      <c r="Q64" s="28">
        <f>IF(OR($A64="",Q$53=""),"",IF($X$37=1,COUNTIFS($W$257:$W$10256,$A64,$X$257:$X$10256,Q$53),IF(ISNUMBER(Q267),Q267,0)))</f>
        <v/>
      </c>
      <c r="R64" s="28">
        <f>IF(OR($A64="",R$53=""),"",IF($X$37=1,COUNTIFS($W$257:$W$10256,$A64,$X$257:$X$10256,R$53),IF(ISNUMBER(R267),R267,0)))</f>
        <v/>
      </c>
      <c r="S64" s="28">
        <f>IF(OR($A64="",S$53=""),"",IF($X$37=1,COUNTIFS($W$257:$W$10256,$A64,$X$257:$X$10256,S$53),IF(ISNUMBER(S267),S267,0)))</f>
        <v/>
      </c>
      <c r="T64" s="28">
        <f>IF(OR($A64="",T$53=""),"",IF($X$37=1,COUNTIFS($W$257:$W$10256,$A64,$X$257:$X$10256,T$53),IF(ISNUMBER(T267),T267,0)))</f>
        <v/>
      </c>
      <c r="U64" s="28">
        <f>IF(OR($A64="",U$53=""),"",IF($X$37=1,COUNTIFS($W$257:$W$10256,$A64,$X$257:$X$10256,U$53),IF(ISNUMBER(U267),U267,0)))</f>
        <v/>
      </c>
      <c r="V64" s="28">
        <f>IF($A64="","",SUM(B64:U64))</f>
        <v/>
      </c>
      <c r="X64" s="42">
        <f>IF($B$21=$D$10,$A64,IF($B$21=$D$11,INDEX($B$53:$U$53,11),""))</f>
        <v/>
      </c>
      <c r="Y64" s="42">
        <f>IF($B$24=$D$10,$A64,IF($B$24=$D$11,INDEX($B$53:$U$53,11),""))</f>
        <v/>
      </c>
      <c r="Z64" s="42">
        <f>IF($A64="",0,IF($B$21=$D$10,IF($B$22="is niet",IF($A64&lt;&gt;$B$23,1,0),IF($A64=$B$23,1,0)),1))</f>
        <v/>
      </c>
      <c r="AA64" s="42">
        <f>IF($A64="",0,IF(AND(AND($B$24&lt;&gt;"",$B$24&lt;&gt;$D$12,$B$26&lt;&gt;""),$B$24=$D$10),IF($B$25="is niet",IF($A64&lt;&gt;$B$26,1,0),IF($A64=$B$26,1,0)),1))</f>
        <v/>
      </c>
      <c r="AB64" s="42">
        <f>Z64*AA64</f>
        <v/>
      </c>
      <c r="AC64" s="42">
        <f>SUMPRODUCT($B64:$U64,$X$76:$AQ$76)</f>
        <v/>
      </c>
      <c r="AD64" s="42">
        <f>SUMPRODUCT($B64:$U64,$X$77:$AQ$77)</f>
        <v/>
      </c>
      <c r="AE64" s="42">
        <f>SUMPRODUCT($B64:$U64,$X$78:$AQ$78)</f>
        <v/>
      </c>
    </row>
    <row r="65">
      <c r="A65" s="44">
        <f>IF($X$37=1,IFERROR(INDEX($W$257:$W$10256,MATCH(12,$AA$257:$AA$10256,0)),""),IF(TRIM($A$268)="",IF(COUNT($B$268:$U$268)&gt;0,"rij 12",""),IF(OR(TRIM($A$268)="totaal",TRIM($A$268)="total"),"",TRIM($A$268))))</f>
        <v/>
      </c>
      <c r="B65" s="28">
        <f>IF(OR($A65="",B$53=""),"",IF($X$37=1,COUNTIFS($W$257:$W$10256,$A65,$X$257:$X$10256,B$53),IF(ISNUMBER(B268),B268,0)))</f>
        <v/>
      </c>
      <c r="C65" s="28">
        <f>IF(OR($A65="",C$53=""),"",IF($X$37=1,COUNTIFS($W$257:$W$10256,$A65,$X$257:$X$10256,C$53),IF(ISNUMBER(C268),C268,0)))</f>
        <v/>
      </c>
      <c r="D65" s="28">
        <f>IF(OR($A65="",D$53=""),"",IF($X$37=1,COUNTIFS($W$257:$W$10256,$A65,$X$257:$X$10256,D$53),IF(ISNUMBER(D268),D268,0)))</f>
        <v/>
      </c>
      <c r="E65" s="28">
        <f>IF(OR($A65="",E$53=""),"",IF($X$37=1,COUNTIFS($W$257:$W$10256,$A65,$X$257:$X$10256,E$53),IF(ISNUMBER(E268),E268,0)))</f>
        <v/>
      </c>
      <c r="F65" s="28">
        <f>IF(OR($A65="",F$53=""),"",IF($X$37=1,COUNTIFS($W$257:$W$10256,$A65,$X$257:$X$10256,F$53),IF(ISNUMBER(F268),F268,0)))</f>
        <v/>
      </c>
      <c r="G65" s="28">
        <f>IF(OR($A65="",G$53=""),"",IF($X$37=1,COUNTIFS($W$257:$W$10256,$A65,$X$257:$X$10256,G$53),IF(ISNUMBER(G268),G268,0)))</f>
        <v/>
      </c>
      <c r="H65" s="28">
        <f>IF(OR($A65="",H$53=""),"",IF($X$37=1,COUNTIFS($W$257:$W$10256,$A65,$X$257:$X$10256,H$53),IF(ISNUMBER(H268),H268,0)))</f>
        <v/>
      </c>
      <c r="I65" s="28">
        <f>IF(OR($A65="",I$53=""),"",IF($X$37=1,COUNTIFS($W$257:$W$10256,$A65,$X$257:$X$10256,I$53),IF(ISNUMBER(I268),I268,0)))</f>
        <v/>
      </c>
      <c r="J65" s="28">
        <f>IF(OR($A65="",J$53=""),"",IF($X$37=1,COUNTIFS($W$257:$W$10256,$A65,$X$257:$X$10256,J$53),IF(ISNUMBER(J268),J268,0)))</f>
        <v/>
      </c>
      <c r="K65" s="28">
        <f>IF(OR($A65="",K$53=""),"",IF($X$37=1,COUNTIFS($W$257:$W$10256,$A65,$X$257:$X$10256,K$53),IF(ISNUMBER(K268),K268,0)))</f>
        <v/>
      </c>
      <c r="L65" s="28">
        <f>IF(OR($A65="",L$53=""),"",IF($X$37=1,COUNTIFS($W$257:$W$10256,$A65,$X$257:$X$10256,L$53),IF(ISNUMBER(L268),L268,0)))</f>
        <v/>
      </c>
      <c r="M65" s="28">
        <f>IF(OR($A65="",M$53=""),"",IF($X$37=1,COUNTIFS($W$257:$W$10256,$A65,$X$257:$X$10256,M$53),IF(ISNUMBER(M268),M268,0)))</f>
        <v/>
      </c>
      <c r="N65" s="28">
        <f>IF(OR($A65="",N$53=""),"",IF($X$37=1,COUNTIFS($W$257:$W$10256,$A65,$X$257:$X$10256,N$53),IF(ISNUMBER(N268),N268,0)))</f>
        <v/>
      </c>
      <c r="O65" s="28">
        <f>IF(OR($A65="",O$53=""),"",IF($X$37=1,COUNTIFS($W$257:$W$10256,$A65,$X$257:$X$10256,O$53),IF(ISNUMBER(O268),O268,0)))</f>
        <v/>
      </c>
      <c r="P65" s="28">
        <f>IF(OR($A65="",P$53=""),"",IF($X$37=1,COUNTIFS($W$257:$W$10256,$A65,$X$257:$X$10256,P$53),IF(ISNUMBER(P268),P268,0)))</f>
        <v/>
      </c>
      <c r="Q65" s="28">
        <f>IF(OR($A65="",Q$53=""),"",IF($X$37=1,COUNTIFS($W$257:$W$10256,$A65,$X$257:$X$10256,Q$53),IF(ISNUMBER(Q268),Q268,0)))</f>
        <v/>
      </c>
      <c r="R65" s="28">
        <f>IF(OR($A65="",R$53=""),"",IF($X$37=1,COUNTIFS($W$257:$W$10256,$A65,$X$257:$X$10256,R$53),IF(ISNUMBER(R268),R268,0)))</f>
        <v/>
      </c>
      <c r="S65" s="28">
        <f>IF(OR($A65="",S$53=""),"",IF($X$37=1,COUNTIFS($W$257:$W$10256,$A65,$X$257:$X$10256,S$53),IF(ISNUMBER(S268),S268,0)))</f>
        <v/>
      </c>
      <c r="T65" s="28">
        <f>IF(OR($A65="",T$53=""),"",IF($X$37=1,COUNTIFS($W$257:$W$10256,$A65,$X$257:$X$10256,T$53),IF(ISNUMBER(T268),T268,0)))</f>
        <v/>
      </c>
      <c r="U65" s="28">
        <f>IF(OR($A65="",U$53=""),"",IF($X$37=1,COUNTIFS($W$257:$W$10256,$A65,$X$257:$X$10256,U$53),IF(ISNUMBER(U268),U268,0)))</f>
        <v/>
      </c>
      <c r="V65" s="28">
        <f>IF($A65="","",SUM(B65:U65))</f>
        <v/>
      </c>
      <c r="X65" s="42">
        <f>IF($B$21=$D$10,$A65,IF($B$21=$D$11,INDEX($B$53:$U$53,12),""))</f>
        <v/>
      </c>
      <c r="Y65" s="42">
        <f>IF($B$24=$D$10,$A65,IF($B$24=$D$11,INDEX($B$53:$U$53,12),""))</f>
        <v/>
      </c>
      <c r="Z65" s="42">
        <f>IF($A65="",0,IF($B$21=$D$10,IF($B$22="is niet",IF($A65&lt;&gt;$B$23,1,0),IF($A65=$B$23,1,0)),1))</f>
        <v/>
      </c>
      <c r="AA65" s="42">
        <f>IF($A65="",0,IF(AND(AND($B$24&lt;&gt;"",$B$24&lt;&gt;$D$12,$B$26&lt;&gt;""),$B$24=$D$10),IF($B$25="is niet",IF($A65&lt;&gt;$B$26,1,0),IF($A65=$B$26,1,0)),1))</f>
        <v/>
      </c>
      <c r="AB65" s="42">
        <f>Z65*AA65</f>
        <v/>
      </c>
      <c r="AC65" s="42">
        <f>SUMPRODUCT($B65:$U65,$X$76:$AQ$76)</f>
        <v/>
      </c>
      <c r="AD65" s="42">
        <f>SUMPRODUCT($B65:$U65,$X$77:$AQ$77)</f>
        <v/>
      </c>
      <c r="AE65" s="42">
        <f>SUMPRODUCT($B65:$U65,$X$78:$AQ$78)</f>
        <v/>
      </c>
    </row>
    <row r="66">
      <c r="A66" s="44">
        <f>IF($X$37=1,IFERROR(INDEX($W$257:$W$10256,MATCH(13,$AA$257:$AA$10256,0)),""),IF(TRIM($A$269)="",IF(COUNT($B$269:$U$269)&gt;0,"rij 13",""),IF(OR(TRIM($A$269)="totaal",TRIM($A$269)="total"),"",TRIM($A$269))))</f>
        <v/>
      </c>
      <c r="B66" s="28">
        <f>IF(OR($A66="",B$53=""),"",IF($X$37=1,COUNTIFS($W$257:$W$10256,$A66,$X$257:$X$10256,B$53),IF(ISNUMBER(B269),B269,0)))</f>
        <v/>
      </c>
      <c r="C66" s="28">
        <f>IF(OR($A66="",C$53=""),"",IF($X$37=1,COUNTIFS($W$257:$W$10256,$A66,$X$257:$X$10256,C$53),IF(ISNUMBER(C269),C269,0)))</f>
        <v/>
      </c>
      <c r="D66" s="28">
        <f>IF(OR($A66="",D$53=""),"",IF($X$37=1,COUNTIFS($W$257:$W$10256,$A66,$X$257:$X$10256,D$53),IF(ISNUMBER(D269),D269,0)))</f>
        <v/>
      </c>
      <c r="E66" s="28">
        <f>IF(OR($A66="",E$53=""),"",IF($X$37=1,COUNTIFS($W$257:$W$10256,$A66,$X$257:$X$10256,E$53),IF(ISNUMBER(E269),E269,0)))</f>
        <v/>
      </c>
      <c r="F66" s="28">
        <f>IF(OR($A66="",F$53=""),"",IF($X$37=1,COUNTIFS($W$257:$W$10256,$A66,$X$257:$X$10256,F$53),IF(ISNUMBER(F269),F269,0)))</f>
        <v/>
      </c>
      <c r="G66" s="28">
        <f>IF(OR($A66="",G$53=""),"",IF($X$37=1,COUNTIFS($W$257:$W$10256,$A66,$X$257:$X$10256,G$53),IF(ISNUMBER(G269),G269,0)))</f>
        <v/>
      </c>
      <c r="H66" s="28">
        <f>IF(OR($A66="",H$53=""),"",IF($X$37=1,COUNTIFS($W$257:$W$10256,$A66,$X$257:$X$10256,H$53),IF(ISNUMBER(H269),H269,0)))</f>
        <v/>
      </c>
      <c r="I66" s="28">
        <f>IF(OR($A66="",I$53=""),"",IF($X$37=1,COUNTIFS($W$257:$W$10256,$A66,$X$257:$X$10256,I$53),IF(ISNUMBER(I269),I269,0)))</f>
        <v/>
      </c>
      <c r="J66" s="28">
        <f>IF(OR($A66="",J$53=""),"",IF($X$37=1,COUNTIFS($W$257:$W$10256,$A66,$X$257:$X$10256,J$53),IF(ISNUMBER(J269),J269,0)))</f>
        <v/>
      </c>
      <c r="K66" s="28">
        <f>IF(OR($A66="",K$53=""),"",IF($X$37=1,COUNTIFS($W$257:$W$10256,$A66,$X$257:$X$10256,K$53),IF(ISNUMBER(K269),K269,0)))</f>
        <v/>
      </c>
      <c r="L66" s="28">
        <f>IF(OR($A66="",L$53=""),"",IF($X$37=1,COUNTIFS($W$257:$W$10256,$A66,$X$257:$X$10256,L$53),IF(ISNUMBER(L269),L269,0)))</f>
        <v/>
      </c>
      <c r="M66" s="28">
        <f>IF(OR($A66="",M$53=""),"",IF($X$37=1,COUNTIFS($W$257:$W$10256,$A66,$X$257:$X$10256,M$53),IF(ISNUMBER(M269),M269,0)))</f>
        <v/>
      </c>
      <c r="N66" s="28">
        <f>IF(OR($A66="",N$53=""),"",IF($X$37=1,COUNTIFS($W$257:$W$10256,$A66,$X$257:$X$10256,N$53),IF(ISNUMBER(N269),N269,0)))</f>
        <v/>
      </c>
      <c r="O66" s="28">
        <f>IF(OR($A66="",O$53=""),"",IF($X$37=1,COUNTIFS($W$257:$W$10256,$A66,$X$257:$X$10256,O$53),IF(ISNUMBER(O269),O269,0)))</f>
        <v/>
      </c>
      <c r="P66" s="28">
        <f>IF(OR($A66="",P$53=""),"",IF($X$37=1,COUNTIFS($W$257:$W$10256,$A66,$X$257:$X$10256,P$53),IF(ISNUMBER(P269),P269,0)))</f>
        <v/>
      </c>
      <c r="Q66" s="28">
        <f>IF(OR($A66="",Q$53=""),"",IF($X$37=1,COUNTIFS($W$257:$W$10256,$A66,$X$257:$X$10256,Q$53),IF(ISNUMBER(Q269),Q269,0)))</f>
        <v/>
      </c>
      <c r="R66" s="28">
        <f>IF(OR($A66="",R$53=""),"",IF($X$37=1,COUNTIFS($W$257:$W$10256,$A66,$X$257:$X$10256,R$53),IF(ISNUMBER(R269),R269,0)))</f>
        <v/>
      </c>
      <c r="S66" s="28">
        <f>IF(OR($A66="",S$53=""),"",IF($X$37=1,COUNTIFS($W$257:$W$10256,$A66,$X$257:$X$10256,S$53),IF(ISNUMBER(S269),S269,0)))</f>
        <v/>
      </c>
      <c r="T66" s="28">
        <f>IF(OR($A66="",T$53=""),"",IF($X$37=1,COUNTIFS($W$257:$W$10256,$A66,$X$257:$X$10256,T$53),IF(ISNUMBER(T269),T269,0)))</f>
        <v/>
      </c>
      <c r="U66" s="28">
        <f>IF(OR($A66="",U$53=""),"",IF($X$37=1,COUNTIFS($W$257:$W$10256,$A66,$X$257:$X$10256,U$53),IF(ISNUMBER(U269),U269,0)))</f>
        <v/>
      </c>
      <c r="V66" s="28">
        <f>IF($A66="","",SUM(B66:U66))</f>
        <v/>
      </c>
      <c r="X66" s="42">
        <f>IF($B$21=$D$10,$A66,IF($B$21=$D$11,INDEX($B$53:$U$53,13),""))</f>
        <v/>
      </c>
      <c r="Y66" s="42">
        <f>IF($B$24=$D$10,$A66,IF($B$24=$D$11,INDEX($B$53:$U$53,13),""))</f>
        <v/>
      </c>
      <c r="Z66" s="42">
        <f>IF($A66="",0,IF($B$21=$D$10,IF($B$22="is niet",IF($A66&lt;&gt;$B$23,1,0),IF($A66=$B$23,1,0)),1))</f>
        <v/>
      </c>
      <c r="AA66" s="42">
        <f>IF($A66="",0,IF(AND(AND($B$24&lt;&gt;"",$B$24&lt;&gt;$D$12,$B$26&lt;&gt;""),$B$24=$D$10),IF($B$25="is niet",IF($A66&lt;&gt;$B$26,1,0),IF($A66=$B$26,1,0)),1))</f>
        <v/>
      </c>
      <c r="AB66" s="42">
        <f>Z66*AA66</f>
        <v/>
      </c>
      <c r="AC66" s="42">
        <f>SUMPRODUCT($B66:$U66,$X$76:$AQ$76)</f>
        <v/>
      </c>
      <c r="AD66" s="42">
        <f>SUMPRODUCT($B66:$U66,$X$77:$AQ$77)</f>
        <v/>
      </c>
      <c r="AE66" s="42">
        <f>SUMPRODUCT($B66:$U66,$X$78:$AQ$78)</f>
        <v/>
      </c>
    </row>
    <row r="67">
      <c r="A67" s="44">
        <f>IF($X$37=1,IFERROR(INDEX($W$257:$W$10256,MATCH(14,$AA$257:$AA$10256,0)),""),IF(TRIM($A$270)="",IF(COUNT($B$270:$U$270)&gt;0,"rij 14",""),IF(OR(TRIM($A$270)="totaal",TRIM($A$270)="total"),"",TRIM($A$270))))</f>
        <v/>
      </c>
      <c r="B67" s="28">
        <f>IF(OR($A67="",B$53=""),"",IF($X$37=1,COUNTIFS($W$257:$W$10256,$A67,$X$257:$X$10256,B$53),IF(ISNUMBER(B270),B270,0)))</f>
        <v/>
      </c>
      <c r="C67" s="28">
        <f>IF(OR($A67="",C$53=""),"",IF($X$37=1,COUNTIFS($W$257:$W$10256,$A67,$X$257:$X$10256,C$53),IF(ISNUMBER(C270),C270,0)))</f>
        <v/>
      </c>
      <c r="D67" s="28">
        <f>IF(OR($A67="",D$53=""),"",IF($X$37=1,COUNTIFS($W$257:$W$10256,$A67,$X$257:$X$10256,D$53),IF(ISNUMBER(D270),D270,0)))</f>
        <v/>
      </c>
      <c r="E67" s="28">
        <f>IF(OR($A67="",E$53=""),"",IF($X$37=1,COUNTIFS($W$257:$W$10256,$A67,$X$257:$X$10256,E$53),IF(ISNUMBER(E270),E270,0)))</f>
        <v/>
      </c>
      <c r="F67" s="28">
        <f>IF(OR($A67="",F$53=""),"",IF($X$37=1,COUNTIFS($W$257:$W$10256,$A67,$X$257:$X$10256,F$53),IF(ISNUMBER(F270),F270,0)))</f>
        <v/>
      </c>
      <c r="G67" s="28">
        <f>IF(OR($A67="",G$53=""),"",IF($X$37=1,COUNTIFS($W$257:$W$10256,$A67,$X$257:$X$10256,G$53),IF(ISNUMBER(G270),G270,0)))</f>
        <v/>
      </c>
      <c r="H67" s="28">
        <f>IF(OR($A67="",H$53=""),"",IF($X$37=1,COUNTIFS($W$257:$W$10256,$A67,$X$257:$X$10256,H$53),IF(ISNUMBER(H270),H270,0)))</f>
        <v/>
      </c>
      <c r="I67" s="28">
        <f>IF(OR($A67="",I$53=""),"",IF($X$37=1,COUNTIFS($W$257:$W$10256,$A67,$X$257:$X$10256,I$53),IF(ISNUMBER(I270),I270,0)))</f>
        <v/>
      </c>
      <c r="J67" s="28">
        <f>IF(OR($A67="",J$53=""),"",IF($X$37=1,COUNTIFS($W$257:$W$10256,$A67,$X$257:$X$10256,J$53),IF(ISNUMBER(J270),J270,0)))</f>
        <v/>
      </c>
      <c r="K67" s="28">
        <f>IF(OR($A67="",K$53=""),"",IF($X$37=1,COUNTIFS($W$257:$W$10256,$A67,$X$257:$X$10256,K$53),IF(ISNUMBER(K270),K270,0)))</f>
        <v/>
      </c>
      <c r="L67" s="28">
        <f>IF(OR($A67="",L$53=""),"",IF($X$37=1,COUNTIFS($W$257:$W$10256,$A67,$X$257:$X$10256,L$53),IF(ISNUMBER(L270),L270,0)))</f>
        <v/>
      </c>
      <c r="M67" s="28">
        <f>IF(OR($A67="",M$53=""),"",IF($X$37=1,COUNTIFS($W$257:$W$10256,$A67,$X$257:$X$10256,M$53),IF(ISNUMBER(M270),M270,0)))</f>
        <v/>
      </c>
      <c r="N67" s="28">
        <f>IF(OR($A67="",N$53=""),"",IF($X$37=1,COUNTIFS($W$257:$W$10256,$A67,$X$257:$X$10256,N$53),IF(ISNUMBER(N270),N270,0)))</f>
        <v/>
      </c>
      <c r="O67" s="28">
        <f>IF(OR($A67="",O$53=""),"",IF($X$37=1,COUNTIFS($W$257:$W$10256,$A67,$X$257:$X$10256,O$53),IF(ISNUMBER(O270),O270,0)))</f>
        <v/>
      </c>
      <c r="P67" s="28">
        <f>IF(OR($A67="",P$53=""),"",IF($X$37=1,COUNTIFS($W$257:$W$10256,$A67,$X$257:$X$10256,P$53),IF(ISNUMBER(P270),P270,0)))</f>
        <v/>
      </c>
      <c r="Q67" s="28">
        <f>IF(OR($A67="",Q$53=""),"",IF($X$37=1,COUNTIFS($W$257:$W$10256,$A67,$X$257:$X$10256,Q$53),IF(ISNUMBER(Q270),Q270,0)))</f>
        <v/>
      </c>
      <c r="R67" s="28">
        <f>IF(OR($A67="",R$53=""),"",IF($X$37=1,COUNTIFS($W$257:$W$10256,$A67,$X$257:$X$10256,R$53),IF(ISNUMBER(R270),R270,0)))</f>
        <v/>
      </c>
      <c r="S67" s="28">
        <f>IF(OR($A67="",S$53=""),"",IF($X$37=1,COUNTIFS($W$257:$W$10256,$A67,$X$257:$X$10256,S$53),IF(ISNUMBER(S270),S270,0)))</f>
        <v/>
      </c>
      <c r="T67" s="28">
        <f>IF(OR($A67="",T$53=""),"",IF($X$37=1,COUNTIFS($W$257:$W$10256,$A67,$X$257:$X$10256,T$53),IF(ISNUMBER(T270),T270,0)))</f>
        <v/>
      </c>
      <c r="U67" s="28">
        <f>IF(OR($A67="",U$53=""),"",IF($X$37=1,COUNTIFS($W$257:$W$10256,$A67,$X$257:$X$10256,U$53),IF(ISNUMBER(U270),U270,0)))</f>
        <v/>
      </c>
      <c r="V67" s="28">
        <f>IF($A67="","",SUM(B67:U67))</f>
        <v/>
      </c>
      <c r="X67" s="42">
        <f>IF($B$21=$D$10,$A67,IF($B$21=$D$11,INDEX($B$53:$U$53,14),""))</f>
        <v/>
      </c>
      <c r="Y67" s="42">
        <f>IF($B$24=$D$10,$A67,IF($B$24=$D$11,INDEX($B$53:$U$53,14),""))</f>
        <v/>
      </c>
      <c r="Z67" s="42">
        <f>IF($A67="",0,IF($B$21=$D$10,IF($B$22="is niet",IF($A67&lt;&gt;$B$23,1,0),IF($A67=$B$23,1,0)),1))</f>
        <v/>
      </c>
      <c r="AA67" s="42">
        <f>IF($A67="",0,IF(AND(AND($B$24&lt;&gt;"",$B$24&lt;&gt;$D$12,$B$26&lt;&gt;""),$B$24=$D$10),IF($B$25="is niet",IF($A67&lt;&gt;$B$26,1,0),IF($A67=$B$26,1,0)),1))</f>
        <v/>
      </c>
      <c r="AB67" s="42">
        <f>Z67*AA67</f>
        <v/>
      </c>
      <c r="AC67" s="42">
        <f>SUMPRODUCT($B67:$U67,$X$76:$AQ$76)</f>
        <v/>
      </c>
      <c r="AD67" s="42">
        <f>SUMPRODUCT($B67:$U67,$X$77:$AQ$77)</f>
        <v/>
      </c>
      <c r="AE67" s="42">
        <f>SUMPRODUCT($B67:$U67,$X$78:$AQ$78)</f>
        <v/>
      </c>
    </row>
    <row r="68">
      <c r="A68" s="44">
        <f>IF($X$37=1,IFERROR(INDEX($W$257:$W$10256,MATCH(15,$AA$257:$AA$10256,0)),""),IF(TRIM($A$271)="",IF(COUNT($B$271:$U$271)&gt;0,"rij 15",""),IF(OR(TRIM($A$271)="totaal",TRIM($A$271)="total"),"",TRIM($A$271))))</f>
        <v/>
      </c>
      <c r="B68" s="28">
        <f>IF(OR($A68="",B$53=""),"",IF($X$37=1,COUNTIFS($W$257:$W$10256,$A68,$X$257:$X$10256,B$53),IF(ISNUMBER(B271),B271,0)))</f>
        <v/>
      </c>
      <c r="C68" s="28">
        <f>IF(OR($A68="",C$53=""),"",IF($X$37=1,COUNTIFS($W$257:$W$10256,$A68,$X$257:$X$10256,C$53),IF(ISNUMBER(C271),C271,0)))</f>
        <v/>
      </c>
      <c r="D68" s="28">
        <f>IF(OR($A68="",D$53=""),"",IF($X$37=1,COUNTIFS($W$257:$W$10256,$A68,$X$257:$X$10256,D$53),IF(ISNUMBER(D271),D271,0)))</f>
        <v/>
      </c>
      <c r="E68" s="28">
        <f>IF(OR($A68="",E$53=""),"",IF($X$37=1,COUNTIFS($W$257:$W$10256,$A68,$X$257:$X$10256,E$53),IF(ISNUMBER(E271),E271,0)))</f>
        <v/>
      </c>
      <c r="F68" s="28">
        <f>IF(OR($A68="",F$53=""),"",IF($X$37=1,COUNTIFS($W$257:$W$10256,$A68,$X$257:$X$10256,F$53),IF(ISNUMBER(F271),F271,0)))</f>
        <v/>
      </c>
      <c r="G68" s="28">
        <f>IF(OR($A68="",G$53=""),"",IF($X$37=1,COUNTIFS($W$257:$W$10256,$A68,$X$257:$X$10256,G$53),IF(ISNUMBER(G271),G271,0)))</f>
        <v/>
      </c>
      <c r="H68" s="28">
        <f>IF(OR($A68="",H$53=""),"",IF($X$37=1,COUNTIFS($W$257:$W$10256,$A68,$X$257:$X$10256,H$53),IF(ISNUMBER(H271),H271,0)))</f>
        <v/>
      </c>
      <c r="I68" s="28">
        <f>IF(OR($A68="",I$53=""),"",IF($X$37=1,COUNTIFS($W$257:$W$10256,$A68,$X$257:$X$10256,I$53),IF(ISNUMBER(I271),I271,0)))</f>
        <v/>
      </c>
      <c r="J68" s="28">
        <f>IF(OR($A68="",J$53=""),"",IF($X$37=1,COUNTIFS($W$257:$W$10256,$A68,$X$257:$X$10256,J$53),IF(ISNUMBER(J271),J271,0)))</f>
        <v/>
      </c>
      <c r="K68" s="28">
        <f>IF(OR($A68="",K$53=""),"",IF($X$37=1,COUNTIFS($W$257:$W$10256,$A68,$X$257:$X$10256,K$53),IF(ISNUMBER(K271),K271,0)))</f>
        <v/>
      </c>
      <c r="L68" s="28">
        <f>IF(OR($A68="",L$53=""),"",IF($X$37=1,COUNTIFS($W$257:$W$10256,$A68,$X$257:$X$10256,L$53),IF(ISNUMBER(L271),L271,0)))</f>
        <v/>
      </c>
      <c r="M68" s="28">
        <f>IF(OR($A68="",M$53=""),"",IF($X$37=1,COUNTIFS($W$257:$W$10256,$A68,$X$257:$X$10256,M$53),IF(ISNUMBER(M271),M271,0)))</f>
        <v/>
      </c>
      <c r="N68" s="28">
        <f>IF(OR($A68="",N$53=""),"",IF($X$37=1,COUNTIFS($W$257:$W$10256,$A68,$X$257:$X$10256,N$53),IF(ISNUMBER(N271),N271,0)))</f>
        <v/>
      </c>
      <c r="O68" s="28">
        <f>IF(OR($A68="",O$53=""),"",IF($X$37=1,COUNTIFS($W$257:$W$10256,$A68,$X$257:$X$10256,O$53),IF(ISNUMBER(O271),O271,0)))</f>
        <v/>
      </c>
      <c r="P68" s="28">
        <f>IF(OR($A68="",P$53=""),"",IF($X$37=1,COUNTIFS($W$257:$W$10256,$A68,$X$257:$X$10256,P$53),IF(ISNUMBER(P271),P271,0)))</f>
        <v/>
      </c>
      <c r="Q68" s="28">
        <f>IF(OR($A68="",Q$53=""),"",IF($X$37=1,COUNTIFS($W$257:$W$10256,$A68,$X$257:$X$10256,Q$53),IF(ISNUMBER(Q271),Q271,0)))</f>
        <v/>
      </c>
      <c r="R68" s="28">
        <f>IF(OR($A68="",R$53=""),"",IF($X$37=1,COUNTIFS($W$257:$W$10256,$A68,$X$257:$X$10256,R$53),IF(ISNUMBER(R271),R271,0)))</f>
        <v/>
      </c>
      <c r="S68" s="28">
        <f>IF(OR($A68="",S$53=""),"",IF($X$37=1,COUNTIFS($W$257:$W$10256,$A68,$X$257:$X$10256,S$53),IF(ISNUMBER(S271),S271,0)))</f>
        <v/>
      </c>
      <c r="T68" s="28">
        <f>IF(OR($A68="",T$53=""),"",IF($X$37=1,COUNTIFS($W$257:$W$10256,$A68,$X$257:$X$10256,T$53),IF(ISNUMBER(T271),T271,0)))</f>
        <v/>
      </c>
      <c r="U68" s="28">
        <f>IF(OR($A68="",U$53=""),"",IF($X$37=1,COUNTIFS($W$257:$W$10256,$A68,$X$257:$X$10256,U$53),IF(ISNUMBER(U271),U271,0)))</f>
        <v/>
      </c>
      <c r="V68" s="28">
        <f>IF($A68="","",SUM(B68:U68))</f>
        <v/>
      </c>
      <c r="X68" s="42">
        <f>IF($B$21=$D$10,$A68,IF($B$21=$D$11,INDEX($B$53:$U$53,15),""))</f>
        <v/>
      </c>
      <c r="Y68" s="42">
        <f>IF($B$24=$D$10,$A68,IF($B$24=$D$11,INDEX($B$53:$U$53,15),""))</f>
        <v/>
      </c>
      <c r="Z68" s="42">
        <f>IF($A68="",0,IF($B$21=$D$10,IF($B$22="is niet",IF($A68&lt;&gt;$B$23,1,0),IF($A68=$B$23,1,0)),1))</f>
        <v/>
      </c>
      <c r="AA68" s="42">
        <f>IF($A68="",0,IF(AND(AND($B$24&lt;&gt;"",$B$24&lt;&gt;$D$12,$B$26&lt;&gt;""),$B$24=$D$10),IF($B$25="is niet",IF($A68&lt;&gt;$B$26,1,0),IF($A68=$B$26,1,0)),1))</f>
        <v/>
      </c>
      <c r="AB68" s="42">
        <f>Z68*AA68</f>
        <v/>
      </c>
      <c r="AC68" s="42">
        <f>SUMPRODUCT($B68:$U68,$X$76:$AQ$76)</f>
        <v/>
      </c>
      <c r="AD68" s="42">
        <f>SUMPRODUCT($B68:$U68,$X$77:$AQ$77)</f>
        <v/>
      </c>
      <c r="AE68" s="42">
        <f>SUMPRODUCT($B68:$U68,$X$78:$AQ$78)</f>
        <v/>
      </c>
    </row>
    <row r="69">
      <c r="A69" s="44">
        <f>IF($X$37=1,IFERROR(INDEX($W$257:$W$10256,MATCH(16,$AA$257:$AA$10256,0)),""),IF(TRIM($A$272)="",IF(COUNT($B$272:$U$272)&gt;0,"rij 16",""),IF(OR(TRIM($A$272)="totaal",TRIM($A$272)="total"),"",TRIM($A$272))))</f>
        <v/>
      </c>
      <c r="B69" s="28">
        <f>IF(OR($A69="",B$53=""),"",IF($X$37=1,COUNTIFS($W$257:$W$10256,$A69,$X$257:$X$10256,B$53),IF(ISNUMBER(B272),B272,0)))</f>
        <v/>
      </c>
      <c r="C69" s="28">
        <f>IF(OR($A69="",C$53=""),"",IF($X$37=1,COUNTIFS($W$257:$W$10256,$A69,$X$257:$X$10256,C$53),IF(ISNUMBER(C272),C272,0)))</f>
        <v/>
      </c>
      <c r="D69" s="28">
        <f>IF(OR($A69="",D$53=""),"",IF($X$37=1,COUNTIFS($W$257:$W$10256,$A69,$X$257:$X$10256,D$53),IF(ISNUMBER(D272),D272,0)))</f>
        <v/>
      </c>
      <c r="E69" s="28">
        <f>IF(OR($A69="",E$53=""),"",IF($X$37=1,COUNTIFS($W$257:$W$10256,$A69,$X$257:$X$10256,E$53),IF(ISNUMBER(E272),E272,0)))</f>
        <v/>
      </c>
      <c r="F69" s="28">
        <f>IF(OR($A69="",F$53=""),"",IF($X$37=1,COUNTIFS($W$257:$W$10256,$A69,$X$257:$X$10256,F$53),IF(ISNUMBER(F272),F272,0)))</f>
        <v/>
      </c>
      <c r="G69" s="28">
        <f>IF(OR($A69="",G$53=""),"",IF($X$37=1,COUNTIFS($W$257:$W$10256,$A69,$X$257:$X$10256,G$53),IF(ISNUMBER(G272),G272,0)))</f>
        <v/>
      </c>
      <c r="H69" s="28">
        <f>IF(OR($A69="",H$53=""),"",IF($X$37=1,COUNTIFS($W$257:$W$10256,$A69,$X$257:$X$10256,H$53),IF(ISNUMBER(H272),H272,0)))</f>
        <v/>
      </c>
      <c r="I69" s="28">
        <f>IF(OR($A69="",I$53=""),"",IF($X$37=1,COUNTIFS($W$257:$W$10256,$A69,$X$257:$X$10256,I$53),IF(ISNUMBER(I272),I272,0)))</f>
        <v/>
      </c>
      <c r="J69" s="28">
        <f>IF(OR($A69="",J$53=""),"",IF($X$37=1,COUNTIFS($W$257:$W$10256,$A69,$X$257:$X$10256,J$53),IF(ISNUMBER(J272),J272,0)))</f>
        <v/>
      </c>
      <c r="K69" s="28">
        <f>IF(OR($A69="",K$53=""),"",IF($X$37=1,COUNTIFS($W$257:$W$10256,$A69,$X$257:$X$10256,K$53),IF(ISNUMBER(K272),K272,0)))</f>
        <v/>
      </c>
      <c r="L69" s="28">
        <f>IF(OR($A69="",L$53=""),"",IF($X$37=1,COUNTIFS($W$257:$W$10256,$A69,$X$257:$X$10256,L$53),IF(ISNUMBER(L272),L272,0)))</f>
        <v/>
      </c>
      <c r="M69" s="28">
        <f>IF(OR($A69="",M$53=""),"",IF($X$37=1,COUNTIFS($W$257:$W$10256,$A69,$X$257:$X$10256,M$53),IF(ISNUMBER(M272),M272,0)))</f>
        <v/>
      </c>
      <c r="N69" s="28">
        <f>IF(OR($A69="",N$53=""),"",IF($X$37=1,COUNTIFS($W$257:$W$10256,$A69,$X$257:$X$10256,N$53),IF(ISNUMBER(N272),N272,0)))</f>
        <v/>
      </c>
      <c r="O69" s="28">
        <f>IF(OR($A69="",O$53=""),"",IF($X$37=1,COUNTIFS($W$257:$W$10256,$A69,$X$257:$X$10256,O$53),IF(ISNUMBER(O272),O272,0)))</f>
        <v/>
      </c>
      <c r="P69" s="28">
        <f>IF(OR($A69="",P$53=""),"",IF($X$37=1,COUNTIFS($W$257:$W$10256,$A69,$X$257:$X$10256,P$53),IF(ISNUMBER(P272),P272,0)))</f>
        <v/>
      </c>
      <c r="Q69" s="28">
        <f>IF(OR($A69="",Q$53=""),"",IF($X$37=1,COUNTIFS($W$257:$W$10256,$A69,$X$257:$X$10256,Q$53),IF(ISNUMBER(Q272),Q272,0)))</f>
        <v/>
      </c>
      <c r="R69" s="28">
        <f>IF(OR($A69="",R$53=""),"",IF($X$37=1,COUNTIFS($W$257:$W$10256,$A69,$X$257:$X$10256,R$53),IF(ISNUMBER(R272),R272,0)))</f>
        <v/>
      </c>
      <c r="S69" s="28">
        <f>IF(OR($A69="",S$53=""),"",IF($X$37=1,COUNTIFS($W$257:$W$10256,$A69,$X$257:$X$10256,S$53),IF(ISNUMBER(S272),S272,0)))</f>
        <v/>
      </c>
      <c r="T69" s="28">
        <f>IF(OR($A69="",T$53=""),"",IF($X$37=1,COUNTIFS($W$257:$W$10256,$A69,$X$257:$X$10256,T$53),IF(ISNUMBER(T272),T272,0)))</f>
        <v/>
      </c>
      <c r="U69" s="28">
        <f>IF(OR($A69="",U$53=""),"",IF($X$37=1,COUNTIFS($W$257:$W$10256,$A69,$X$257:$X$10256,U$53),IF(ISNUMBER(U272),U272,0)))</f>
        <v/>
      </c>
      <c r="V69" s="28">
        <f>IF($A69="","",SUM(B69:U69))</f>
        <v/>
      </c>
      <c r="X69" s="42">
        <f>IF($B$21=$D$10,$A69,IF($B$21=$D$11,INDEX($B$53:$U$53,16),""))</f>
        <v/>
      </c>
      <c r="Y69" s="42">
        <f>IF($B$24=$D$10,$A69,IF($B$24=$D$11,INDEX($B$53:$U$53,16),""))</f>
        <v/>
      </c>
      <c r="Z69" s="42">
        <f>IF($A69="",0,IF($B$21=$D$10,IF($B$22="is niet",IF($A69&lt;&gt;$B$23,1,0),IF($A69=$B$23,1,0)),1))</f>
        <v/>
      </c>
      <c r="AA69" s="42">
        <f>IF($A69="",0,IF(AND(AND($B$24&lt;&gt;"",$B$24&lt;&gt;$D$12,$B$26&lt;&gt;""),$B$24=$D$10),IF($B$25="is niet",IF($A69&lt;&gt;$B$26,1,0),IF($A69=$B$26,1,0)),1))</f>
        <v/>
      </c>
      <c r="AB69" s="42">
        <f>Z69*AA69</f>
        <v/>
      </c>
      <c r="AC69" s="42">
        <f>SUMPRODUCT($B69:$U69,$X$76:$AQ$76)</f>
        <v/>
      </c>
      <c r="AD69" s="42">
        <f>SUMPRODUCT($B69:$U69,$X$77:$AQ$77)</f>
        <v/>
      </c>
      <c r="AE69" s="42">
        <f>SUMPRODUCT($B69:$U69,$X$78:$AQ$78)</f>
        <v/>
      </c>
    </row>
    <row r="70">
      <c r="A70" s="44">
        <f>IF($X$37=1,IFERROR(INDEX($W$257:$W$10256,MATCH(17,$AA$257:$AA$10256,0)),""),IF(TRIM($A$273)="",IF(COUNT($B$273:$U$273)&gt;0,"rij 17",""),IF(OR(TRIM($A$273)="totaal",TRIM($A$273)="total"),"",TRIM($A$273))))</f>
        <v/>
      </c>
      <c r="B70" s="28">
        <f>IF(OR($A70="",B$53=""),"",IF($X$37=1,COUNTIFS($W$257:$W$10256,$A70,$X$257:$X$10256,B$53),IF(ISNUMBER(B273),B273,0)))</f>
        <v/>
      </c>
      <c r="C70" s="28">
        <f>IF(OR($A70="",C$53=""),"",IF($X$37=1,COUNTIFS($W$257:$W$10256,$A70,$X$257:$X$10256,C$53),IF(ISNUMBER(C273),C273,0)))</f>
        <v/>
      </c>
      <c r="D70" s="28">
        <f>IF(OR($A70="",D$53=""),"",IF($X$37=1,COUNTIFS($W$257:$W$10256,$A70,$X$257:$X$10256,D$53),IF(ISNUMBER(D273),D273,0)))</f>
        <v/>
      </c>
      <c r="E70" s="28">
        <f>IF(OR($A70="",E$53=""),"",IF($X$37=1,COUNTIFS($W$257:$W$10256,$A70,$X$257:$X$10256,E$53),IF(ISNUMBER(E273),E273,0)))</f>
        <v/>
      </c>
      <c r="F70" s="28">
        <f>IF(OR($A70="",F$53=""),"",IF($X$37=1,COUNTIFS($W$257:$W$10256,$A70,$X$257:$X$10256,F$53),IF(ISNUMBER(F273),F273,0)))</f>
        <v/>
      </c>
      <c r="G70" s="28">
        <f>IF(OR($A70="",G$53=""),"",IF($X$37=1,COUNTIFS($W$257:$W$10256,$A70,$X$257:$X$10256,G$53),IF(ISNUMBER(G273),G273,0)))</f>
        <v/>
      </c>
      <c r="H70" s="28">
        <f>IF(OR($A70="",H$53=""),"",IF($X$37=1,COUNTIFS($W$257:$W$10256,$A70,$X$257:$X$10256,H$53),IF(ISNUMBER(H273),H273,0)))</f>
        <v/>
      </c>
      <c r="I70" s="28">
        <f>IF(OR($A70="",I$53=""),"",IF($X$37=1,COUNTIFS($W$257:$W$10256,$A70,$X$257:$X$10256,I$53),IF(ISNUMBER(I273),I273,0)))</f>
        <v/>
      </c>
      <c r="J70" s="28">
        <f>IF(OR($A70="",J$53=""),"",IF($X$37=1,COUNTIFS($W$257:$W$10256,$A70,$X$257:$X$10256,J$53),IF(ISNUMBER(J273),J273,0)))</f>
        <v/>
      </c>
      <c r="K70" s="28">
        <f>IF(OR($A70="",K$53=""),"",IF($X$37=1,COUNTIFS($W$257:$W$10256,$A70,$X$257:$X$10256,K$53),IF(ISNUMBER(K273),K273,0)))</f>
        <v/>
      </c>
      <c r="L70" s="28">
        <f>IF(OR($A70="",L$53=""),"",IF($X$37=1,COUNTIFS($W$257:$W$10256,$A70,$X$257:$X$10256,L$53),IF(ISNUMBER(L273),L273,0)))</f>
        <v/>
      </c>
      <c r="M70" s="28">
        <f>IF(OR($A70="",M$53=""),"",IF($X$37=1,COUNTIFS($W$257:$W$10256,$A70,$X$257:$X$10256,M$53),IF(ISNUMBER(M273),M273,0)))</f>
        <v/>
      </c>
      <c r="N70" s="28">
        <f>IF(OR($A70="",N$53=""),"",IF($X$37=1,COUNTIFS($W$257:$W$10256,$A70,$X$257:$X$10256,N$53),IF(ISNUMBER(N273),N273,0)))</f>
        <v/>
      </c>
      <c r="O70" s="28">
        <f>IF(OR($A70="",O$53=""),"",IF($X$37=1,COUNTIFS($W$257:$W$10256,$A70,$X$257:$X$10256,O$53),IF(ISNUMBER(O273),O273,0)))</f>
        <v/>
      </c>
      <c r="P70" s="28">
        <f>IF(OR($A70="",P$53=""),"",IF($X$37=1,COUNTIFS($W$257:$W$10256,$A70,$X$257:$X$10256,P$53),IF(ISNUMBER(P273),P273,0)))</f>
        <v/>
      </c>
      <c r="Q70" s="28">
        <f>IF(OR($A70="",Q$53=""),"",IF($X$37=1,COUNTIFS($W$257:$W$10256,$A70,$X$257:$X$10256,Q$53),IF(ISNUMBER(Q273),Q273,0)))</f>
        <v/>
      </c>
      <c r="R70" s="28">
        <f>IF(OR($A70="",R$53=""),"",IF($X$37=1,COUNTIFS($W$257:$W$10256,$A70,$X$257:$X$10256,R$53),IF(ISNUMBER(R273),R273,0)))</f>
        <v/>
      </c>
      <c r="S70" s="28">
        <f>IF(OR($A70="",S$53=""),"",IF($X$37=1,COUNTIFS($W$257:$W$10256,$A70,$X$257:$X$10256,S$53),IF(ISNUMBER(S273),S273,0)))</f>
        <v/>
      </c>
      <c r="T70" s="28">
        <f>IF(OR($A70="",T$53=""),"",IF($X$37=1,COUNTIFS($W$257:$W$10256,$A70,$X$257:$X$10256,T$53),IF(ISNUMBER(T273),T273,0)))</f>
        <v/>
      </c>
      <c r="U70" s="28">
        <f>IF(OR($A70="",U$53=""),"",IF($X$37=1,COUNTIFS($W$257:$W$10256,$A70,$X$257:$X$10256,U$53),IF(ISNUMBER(U273),U273,0)))</f>
        <v/>
      </c>
      <c r="V70" s="28">
        <f>IF($A70="","",SUM(B70:U70))</f>
        <v/>
      </c>
      <c r="X70" s="42">
        <f>IF($B$21=$D$10,$A70,IF($B$21=$D$11,INDEX($B$53:$U$53,17),""))</f>
        <v/>
      </c>
      <c r="Y70" s="42">
        <f>IF($B$24=$D$10,$A70,IF($B$24=$D$11,INDEX($B$53:$U$53,17),""))</f>
        <v/>
      </c>
      <c r="Z70" s="42">
        <f>IF($A70="",0,IF($B$21=$D$10,IF($B$22="is niet",IF($A70&lt;&gt;$B$23,1,0),IF($A70=$B$23,1,0)),1))</f>
        <v/>
      </c>
      <c r="AA70" s="42">
        <f>IF($A70="",0,IF(AND(AND($B$24&lt;&gt;"",$B$24&lt;&gt;$D$12,$B$26&lt;&gt;""),$B$24=$D$10),IF($B$25="is niet",IF($A70&lt;&gt;$B$26,1,0),IF($A70=$B$26,1,0)),1))</f>
        <v/>
      </c>
      <c r="AB70" s="42">
        <f>Z70*AA70</f>
        <v/>
      </c>
      <c r="AC70" s="42">
        <f>SUMPRODUCT($B70:$U70,$X$76:$AQ$76)</f>
        <v/>
      </c>
      <c r="AD70" s="42">
        <f>SUMPRODUCT($B70:$U70,$X$77:$AQ$77)</f>
        <v/>
      </c>
      <c r="AE70" s="42">
        <f>SUMPRODUCT($B70:$U70,$X$78:$AQ$78)</f>
        <v/>
      </c>
    </row>
    <row r="71">
      <c r="A71" s="44">
        <f>IF($X$37=1,IFERROR(INDEX($W$257:$W$10256,MATCH(18,$AA$257:$AA$10256,0)),""),IF(TRIM($A$274)="",IF(COUNT($B$274:$U$274)&gt;0,"rij 18",""),IF(OR(TRIM($A$274)="totaal",TRIM($A$274)="total"),"",TRIM($A$274))))</f>
        <v/>
      </c>
      <c r="B71" s="28">
        <f>IF(OR($A71="",B$53=""),"",IF($X$37=1,COUNTIFS($W$257:$W$10256,$A71,$X$257:$X$10256,B$53),IF(ISNUMBER(B274),B274,0)))</f>
        <v/>
      </c>
      <c r="C71" s="28">
        <f>IF(OR($A71="",C$53=""),"",IF($X$37=1,COUNTIFS($W$257:$W$10256,$A71,$X$257:$X$10256,C$53),IF(ISNUMBER(C274),C274,0)))</f>
        <v/>
      </c>
      <c r="D71" s="28">
        <f>IF(OR($A71="",D$53=""),"",IF($X$37=1,COUNTIFS($W$257:$W$10256,$A71,$X$257:$X$10256,D$53),IF(ISNUMBER(D274),D274,0)))</f>
        <v/>
      </c>
      <c r="E71" s="28">
        <f>IF(OR($A71="",E$53=""),"",IF($X$37=1,COUNTIFS($W$257:$W$10256,$A71,$X$257:$X$10256,E$53),IF(ISNUMBER(E274),E274,0)))</f>
        <v/>
      </c>
      <c r="F71" s="28">
        <f>IF(OR($A71="",F$53=""),"",IF($X$37=1,COUNTIFS($W$257:$W$10256,$A71,$X$257:$X$10256,F$53),IF(ISNUMBER(F274),F274,0)))</f>
        <v/>
      </c>
      <c r="G71" s="28">
        <f>IF(OR($A71="",G$53=""),"",IF($X$37=1,COUNTIFS($W$257:$W$10256,$A71,$X$257:$X$10256,G$53),IF(ISNUMBER(G274),G274,0)))</f>
        <v/>
      </c>
      <c r="H71" s="28">
        <f>IF(OR($A71="",H$53=""),"",IF($X$37=1,COUNTIFS($W$257:$W$10256,$A71,$X$257:$X$10256,H$53),IF(ISNUMBER(H274),H274,0)))</f>
        <v/>
      </c>
      <c r="I71" s="28">
        <f>IF(OR($A71="",I$53=""),"",IF($X$37=1,COUNTIFS($W$257:$W$10256,$A71,$X$257:$X$10256,I$53),IF(ISNUMBER(I274),I274,0)))</f>
        <v/>
      </c>
      <c r="J71" s="28">
        <f>IF(OR($A71="",J$53=""),"",IF($X$37=1,COUNTIFS($W$257:$W$10256,$A71,$X$257:$X$10256,J$53),IF(ISNUMBER(J274),J274,0)))</f>
        <v/>
      </c>
      <c r="K71" s="28">
        <f>IF(OR($A71="",K$53=""),"",IF($X$37=1,COUNTIFS($W$257:$W$10256,$A71,$X$257:$X$10256,K$53),IF(ISNUMBER(K274),K274,0)))</f>
        <v/>
      </c>
      <c r="L71" s="28">
        <f>IF(OR($A71="",L$53=""),"",IF($X$37=1,COUNTIFS($W$257:$W$10256,$A71,$X$257:$X$10256,L$53),IF(ISNUMBER(L274),L274,0)))</f>
        <v/>
      </c>
      <c r="M71" s="28">
        <f>IF(OR($A71="",M$53=""),"",IF($X$37=1,COUNTIFS($W$257:$W$10256,$A71,$X$257:$X$10256,M$53),IF(ISNUMBER(M274),M274,0)))</f>
        <v/>
      </c>
      <c r="N71" s="28">
        <f>IF(OR($A71="",N$53=""),"",IF($X$37=1,COUNTIFS($W$257:$W$10256,$A71,$X$257:$X$10256,N$53),IF(ISNUMBER(N274),N274,0)))</f>
        <v/>
      </c>
      <c r="O71" s="28">
        <f>IF(OR($A71="",O$53=""),"",IF($X$37=1,COUNTIFS($W$257:$W$10256,$A71,$X$257:$X$10256,O$53),IF(ISNUMBER(O274),O274,0)))</f>
        <v/>
      </c>
      <c r="P71" s="28">
        <f>IF(OR($A71="",P$53=""),"",IF($X$37=1,COUNTIFS($W$257:$W$10256,$A71,$X$257:$X$10256,P$53),IF(ISNUMBER(P274),P274,0)))</f>
        <v/>
      </c>
      <c r="Q71" s="28">
        <f>IF(OR($A71="",Q$53=""),"",IF($X$37=1,COUNTIFS($W$257:$W$10256,$A71,$X$257:$X$10256,Q$53),IF(ISNUMBER(Q274),Q274,0)))</f>
        <v/>
      </c>
      <c r="R71" s="28">
        <f>IF(OR($A71="",R$53=""),"",IF($X$37=1,COUNTIFS($W$257:$W$10256,$A71,$X$257:$X$10256,R$53),IF(ISNUMBER(R274),R274,0)))</f>
        <v/>
      </c>
      <c r="S71" s="28">
        <f>IF(OR($A71="",S$53=""),"",IF($X$37=1,COUNTIFS($W$257:$W$10256,$A71,$X$257:$X$10256,S$53),IF(ISNUMBER(S274),S274,0)))</f>
        <v/>
      </c>
      <c r="T71" s="28">
        <f>IF(OR($A71="",T$53=""),"",IF($X$37=1,COUNTIFS($W$257:$W$10256,$A71,$X$257:$X$10256,T$53),IF(ISNUMBER(T274),T274,0)))</f>
        <v/>
      </c>
      <c r="U71" s="28">
        <f>IF(OR($A71="",U$53=""),"",IF($X$37=1,COUNTIFS($W$257:$W$10256,$A71,$X$257:$X$10256,U$53),IF(ISNUMBER(U274),U274,0)))</f>
        <v/>
      </c>
      <c r="V71" s="28">
        <f>IF($A71="","",SUM(B71:U71))</f>
        <v/>
      </c>
      <c r="X71" s="42">
        <f>IF($B$21=$D$10,$A71,IF($B$21=$D$11,INDEX($B$53:$U$53,18),""))</f>
        <v/>
      </c>
      <c r="Y71" s="42">
        <f>IF($B$24=$D$10,$A71,IF($B$24=$D$11,INDEX($B$53:$U$53,18),""))</f>
        <v/>
      </c>
      <c r="Z71" s="42">
        <f>IF($A71="",0,IF($B$21=$D$10,IF($B$22="is niet",IF($A71&lt;&gt;$B$23,1,0),IF($A71=$B$23,1,0)),1))</f>
        <v/>
      </c>
      <c r="AA71" s="42">
        <f>IF($A71="",0,IF(AND(AND($B$24&lt;&gt;"",$B$24&lt;&gt;$D$12,$B$26&lt;&gt;""),$B$24=$D$10),IF($B$25="is niet",IF($A71&lt;&gt;$B$26,1,0),IF($A71=$B$26,1,0)),1))</f>
        <v/>
      </c>
      <c r="AB71" s="42">
        <f>Z71*AA71</f>
        <v/>
      </c>
      <c r="AC71" s="42">
        <f>SUMPRODUCT($B71:$U71,$X$76:$AQ$76)</f>
        <v/>
      </c>
      <c r="AD71" s="42">
        <f>SUMPRODUCT($B71:$U71,$X$77:$AQ$77)</f>
        <v/>
      </c>
      <c r="AE71" s="42">
        <f>SUMPRODUCT($B71:$U71,$X$78:$AQ$78)</f>
        <v/>
      </c>
    </row>
    <row r="72">
      <c r="A72" s="44">
        <f>IF($X$37=1,IFERROR(INDEX($W$257:$W$10256,MATCH(19,$AA$257:$AA$10256,0)),""),IF(TRIM($A$275)="",IF(COUNT($B$275:$U$275)&gt;0,"rij 19",""),IF(OR(TRIM($A$275)="totaal",TRIM($A$275)="total"),"",TRIM($A$275))))</f>
        <v/>
      </c>
      <c r="B72" s="28">
        <f>IF(OR($A72="",B$53=""),"",IF($X$37=1,COUNTIFS($W$257:$W$10256,$A72,$X$257:$X$10256,B$53),IF(ISNUMBER(B275),B275,0)))</f>
        <v/>
      </c>
      <c r="C72" s="28">
        <f>IF(OR($A72="",C$53=""),"",IF($X$37=1,COUNTIFS($W$257:$W$10256,$A72,$X$257:$X$10256,C$53),IF(ISNUMBER(C275),C275,0)))</f>
        <v/>
      </c>
      <c r="D72" s="28">
        <f>IF(OR($A72="",D$53=""),"",IF($X$37=1,COUNTIFS($W$257:$W$10256,$A72,$X$257:$X$10256,D$53),IF(ISNUMBER(D275),D275,0)))</f>
        <v/>
      </c>
      <c r="E72" s="28">
        <f>IF(OR($A72="",E$53=""),"",IF($X$37=1,COUNTIFS($W$257:$W$10256,$A72,$X$257:$X$10256,E$53),IF(ISNUMBER(E275),E275,0)))</f>
        <v/>
      </c>
      <c r="F72" s="28">
        <f>IF(OR($A72="",F$53=""),"",IF($X$37=1,COUNTIFS($W$257:$W$10256,$A72,$X$257:$X$10256,F$53),IF(ISNUMBER(F275),F275,0)))</f>
        <v/>
      </c>
      <c r="G72" s="28">
        <f>IF(OR($A72="",G$53=""),"",IF($X$37=1,COUNTIFS($W$257:$W$10256,$A72,$X$257:$X$10256,G$53),IF(ISNUMBER(G275),G275,0)))</f>
        <v/>
      </c>
      <c r="H72" s="28">
        <f>IF(OR($A72="",H$53=""),"",IF($X$37=1,COUNTIFS($W$257:$W$10256,$A72,$X$257:$X$10256,H$53),IF(ISNUMBER(H275),H275,0)))</f>
        <v/>
      </c>
      <c r="I72" s="28">
        <f>IF(OR($A72="",I$53=""),"",IF($X$37=1,COUNTIFS($W$257:$W$10256,$A72,$X$257:$X$10256,I$53),IF(ISNUMBER(I275),I275,0)))</f>
        <v/>
      </c>
      <c r="J72" s="28">
        <f>IF(OR($A72="",J$53=""),"",IF($X$37=1,COUNTIFS($W$257:$W$10256,$A72,$X$257:$X$10256,J$53),IF(ISNUMBER(J275),J275,0)))</f>
        <v/>
      </c>
      <c r="K72" s="28">
        <f>IF(OR($A72="",K$53=""),"",IF($X$37=1,COUNTIFS($W$257:$W$10256,$A72,$X$257:$X$10256,K$53),IF(ISNUMBER(K275),K275,0)))</f>
        <v/>
      </c>
      <c r="L72" s="28">
        <f>IF(OR($A72="",L$53=""),"",IF($X$37=1,COUNTIFS($W$257:$W$10256,$A72,$X$257:$X$10256,L$53),IF(ISNUMBER(L275),L275,0)))</f>
        <v/>
      </c>
      <c r="M72" s="28">
        <f>IF(OR($A72="",M$53=""),"",IF($X$37=1,COUNTIFS($W$257:$W$10256,$A72,$X$257:$X$10256,M$53),IF(ISNUMBER(M275),M275,0)))</f>
        <v/>
      </c>
      <c r="N72" s="28">
        <f>IF(OR($A72="",N$53=""),"",IF($X$37=1,COUNTIFS($W$257:$W$10256,$A72,$X$257:$X$10256,N$53),IF(ISNUMBER(N275),N275,0)))</f>
        <v/>
      </c>
      <c r="O72" s="28">
        <f>IF(OR($A72="",O$53=""),"",IF($X$37=1,COUNTIFS($W$257:$W$10256,$A72,$X$257:$X$10256,O$53),IF(ISNUMBER(O275),O275,0)))</f>
        <v/>
      </c>
      <c r="P72" s="28">
        <f>IF(OR($A72="",P$53=""),"",IF($X$37=1,COUNTIFS($W$257:$W$10256,$A72,$X$257:$X$10256,P$53),IF(ISNUMBER(P275),P275,0)))</f>
        <v/>
      </c>
      <c r="Q72" s="28">
        <f>IF(OR($A72="",Q$53=""),"",IF($X$37=1,COUNTIFS($W$257:$W$10256,$A72,$X$257:$X$10256,Q$53),IF(ISNUMBER(Q275),Q275,0)))</f>
        <v/>
      </c>
      <c r="R72" s="28">
        <f>IF(OR($A72="",R$53=""),"",IF($X$37=1,COUNTIFS($W$257:$W$10256,$A72,$X$257:$X$10256,R$53),IF(ISNUMBER(R275),R275,0)))</f>
        <v/>
      </c>
      <c r="S72" s="28">
        <f>IF(OR($A72="",S$53=""),"",IF($X$37=1,COUNTIFS($W$257:$W$10256,$A72,$X$257:$X$10256,S$53),IF(ISNUMBER(S275),S275,0)))</f>
        <v/>
      </c>
      <c r="T72" s="28">
        <f>IF(OR($A72="",T$53=""),"",IF($X$37=1,COUNTIFS($W$257:$W$10256,$A72,$X$257:$X$10256,T$53),IF(ISNUMBER(T275),T275,0)))</f>
        <v/>
      </c>
      <c r="U72" s="28">
        <f>IF(OR($A72="",U$53=""),"",IF($X$37=1,COUNTIFS($W$257:$W$10256,$A72,$X$257:$X$10256,U$53),IF(ISNUMBER(U275),U275,0)))</f>
        <v/>
      </c>
      <c r="V72" s="28">
        <f>IF($A72="","",SUM(B72:U72))</f>
        <v/>
      </c>
      <c r="X72" s="42">
        <f>IF($B$21=$D$10,$A72,IF($B$21=$D$11,INDEX($B$53:$U$53,19),""))</f>
        <v/>
      </c>
      <c r="Y72" s="42">
        <f>IF($B$24=$D$10,$A72,IF($B$24=$D$11,INDEX($B$53:$U$53,19),""))</f>
        <v/>
      </c>
      <c r="Z72" s="42">
        <f>IF($A72="",0,IF($B$21=$D$10,IF($B$22="is niet",IF($A72&lt;&gt;$B$23,1,0),IF($A72=$B$23,1,0)),1))</f>
        <v/>
      </c>
      <c r="AA72" s="42">
        <f>IF($A72="",0,IF(AND(AND($B$24&lt;&gt;"",$B$24&lt;&gt;$D$12,$B$26&lt;&gt;""),$B$24=$D$10),IF($B$25="is niet",IF($A72&lt;&gt;$B$26,1,0),IF($A72=$B$26,1,0)),1))</f>
        <v/>
      </c>
      <c r="AB72" s="42">
        <f>Z72*AA72</f>
        <v/>
      </c>
      <c r="AC72" s="42">
        <f>SUMPRODUCT($B72:$U72,$X$76:$AQ$76)</f>
        <v/>
      </c>
      <c r="AD72" s="42">
        <f>SUMPRODUCT($B72:$U72,$X$77:$AQ$77)</f>
        <v/>
      </c>
      <c r="AE72" s="42">
        <f>SUMPRODUCT($B72:$U72,$X$78:$AQ$78)</f>
        <v/>
      </c>
    </row>
    <row r="73">
      <c r="A73" s="44">
        <f>IF($X$37=1,IFERROR(INDEX($W$257:$W$10256,MATCH(20,$AA$257:$AA$10256,0)),""),IF(TRIM($A$276)="",IF(COUNT($B$276:$U$276)&gt;0,"rij 20",""),IF(OR(TRIM($A$276)="totaal",TRIM($A$276)="total"),"",TRIM($A$276))))</f>
        <v/>
      </c>
      <c r="B73" s="28">
        <f>IF(OR($A73="",B$53=""),"",IF($X$37=1,COUNTIFS($W$257:$W$10256,$A73,$X$257:$X$10256,B$53),IF(ISNUMBER(B276),B276,0)))</f>
        <v/>
      </c>
      <c r="C73" s="28">
        <f>IF(OR($A73="",C$53=""),"",IF($X$37=1,COUNTIFS($W$257:$W$10256,$A73,$X$257:$X$10256,C$53),IF(ISNUMBER(C276),C276,0)))</f>
        <v/>
      </c>
      <c r="D73" s="28">
        <f>IF(OR($A73="",D$53=""),"",IF($X$37=1,COUNTIFS($W$257:$W$10256,$A73,$X$257:$X$10256,D$53),IF(ISNUMBER(D276),D276,0)))</f>
        <v/>
      </c>
      <c r="E73" s="28">
        <f>IF(OR($A73="",E$53=""),"",IF($X$37=1,COUNTIFS($W$257:$W$10256,$A73,$X$257:$X$10256,E$53),IF(ISNUMBER(E276),E276,0)))</f>
        <v/>
      </c>
      <c r="F73" s="28">
        <f>IF(OR($A73="",F$53=""),"",IF($X$37=1,COUNTIFS($W$257:$W$10256,$A73,$X$257:$X$10256,F$53),IF(ISNUMBER(F276),F276,0)))</f>
        <v/>
      </c>
      <c r="G73" s="28">
        <f>IF(OR($A73="",G$53=""),"",IF($X$37=1,COUNTIFS($W$257:$W$10256,$A73,$X$257:$X$10256,G$53),IF(ISNUMBER(G276),G276,0)))</f>
        <v/>
      </c>
      <c r="H73" s="28">
        <f>IF(OR($A73="",H$53=""),"",IF($X$37=1,COUNTIFS($W$257:$W$10256,$A73,$X$257:$X$10256,H$53),IF(ISNUMBER(H276),H276,0)))</f>
        <v/>
      </c>
      <c r="I73" s="28">
        <f>IF(OR($A73="",I$53=""),"",IF($X$37=1,COUNTIFS($W$257:$W$10256,$A73,$X$257:$X$10256,I$53),IF(ISNUMBER(I276),I276,0)))</f>
        <v/>
      </c>
      <c r="J73" s="28">
        <f>IF(OR($A73="",J$53=""),"",IF($X$37=1,COUNTIFS($W$257:$W$10256,$A73,$X$257:$X$10256,J$53),IF(ISNUMBER(J276),J276,0)))</f>
        <v/>
      </c>
      <c r="K73" s="28">
        <f>IF(OR($A73="",K$53=""),"",IF($X$37=1,COUNTIFS($W$257:$W$10256,$A73,$X$257:$X$10256,K$53),IF(ISNUMBER(K276),K276,0)))</f>
        <v/>
      </c>
      <c r="L73" s="28">
        <f>IF(OR($A73="",L$53=""),"",IF($X$37=1,COUNTIFS($W$257:$W$10256,$A73,$X$257:$X$10256,L$53),IF(ISNUMBER(L276),L276,0)))</f>
        <v/>
      </c>
      <c r="M73" s="28">
        <f>IF(OR($A73="",M$53=""),"",IF($X$37=1,COUNTIFS($W$257:$W$10256,$A73,$X$257:$X$10256,M$53),IF(ISNUMBER(M276),M276,0)))</f>
        <v/>
      </c>
      <c r="N73" s="28">
        <f>IF(OR($A73="",N$53=""),"",IF($X$37=1,COUNTIFS($W$257:$W$10256,$A73,$X$257:$X$10256,N$53),IF(ISNUMBER(N276),N276,0)))</f>
        <v/>
      </c>
      <c r="O73" s="28">
        <f>IF(OR($A73="",O$53=""),"",IF($X$37=1,COUNTIFS($W$257:$W$10256,$A73,$X$257:$X$10256,O$53),IF(ISNUMBER(O276),O276,0)))</f>
        <v/>
      </c>
      <c r="P73" s="28">
        <f>IF(OR($A73="",P$53=""),"",IF($X$37=1,COUNTIFS($W$257:$W$10256,$A73,$X$257:$X$10256,P$53),IF(ISNUMBER(P276),P276,0)))</f>
        <v/>
      </c>
      <c r="Q73" s="28">
        <f>IF(OR($A73="",Q$53=""),"",IF($X$37=1,COUNTIFS($W$257:$W$10256,$A73,$X$257:$X$10256,Q$53),IF(ISNUMBER(Q276),Q276,0)))</f>
        <v/>
      </c>
      <c r="R73" s="28">
        <f>IF(OR($A73="",R$53=""),"",IF($X$37=1,COUNTIFS($W$257:$W$10256,$A73,$X$257:$X$10256,R$53),IF(ISNUMBER(R276),R276,0)))</f>
        <v/>
      </c>
      <c r="S73" s="28">
        <f>IF(OR($A73="",S$53=""),"",IF($X$37=1,COUNTIFS($W$257:$W$10256,$A73,$X$257:$X$10256,S$53),IF(ISNUMBER(S276),S276,0)))</f>
        <v/>
      </c>
      <c r="T73" s="28">
        <f>IF(OR($A73="",T$53=""),"",IF($X$37=1,COUNTIFS($W$257:$W$10256,$A73,$X$257:$X$10256,T$53),IF(ISNUMBER(T276),T276,0)))</f>
        <v/>
      </c>
      <c r="U73" s="28">
        <f>IF(OR($A73="",U$53=""),"",IF($X$37=1,COUNTIFS($W$257:$W$10256,$A73,$X$257:$X$10256,U$53),IF(ISNUMBER(U276),U276,0)))</f>
        <v/>
      </c>
      <c r="V73" s="28">
        <f>IF($A73="","",SUM(B73:U73))</f>
        <v/>
      </c>
      <c r="X73" s="42">
        <f>IF($B$21=$D$10,$A73,IF($B$21=$D$11,INDEX($B$53:$U$53,20),""))</f>
        <v/>
      </c>
      <c r="Y73" s="42">
        <f>IF($B$24=$D$10,$A73,IF($B$24=$D$11,INDEX($B$53:$U$53,20),""))</f>
        <v/>
      </c>
      <c r="Z73" s="42">
        <f>IF($A73="",0,IF($B$21=$D$10,IF($B$22="is niet",IF($A73&lt;&gt;$B$23,1,0),IF($A73=$B$23,1,0)),1))</f>
        <v/>
      </c>
      <c r="AA73" s="42">
        <f>IF($A73="",0,IF(AND(AND($B$24&lt;&gt;"",$B$24&lt;&gt;$D$12,$B$26&lt;&gt;""),$B$24=$D$10),IF($B$25="is niet",IF($A73&lt;&gt;$B$26,1,0),IF($A73=$B$26,1,0)),1))</f>
        <v/>
      </c>
      <c r="AB73" s="42">
        <f>Z73*AA73</f>
        <v/>
      </c>
      <c r="AC73" s="42">
        <f>SUMPRODUCT($B73:$U73,$X$76:$AQ$76)</f>
        <v/>
      </c>
      <c r="AD73" s="42">
        <f>SUMPRODUCT($B73:$U73,$X$77:$AQ$77)</f>
        <v/>
      </c>
      <c r="AE73" s="42">
        <f>SUMPRODUCT($B73:$U73,$X$78:$AQ$78)</f>
        <v/>
      </c>
    </row>
    <row r="74">
      <c r="A74" s="20" t="inlineStr">
        <is>
          <t>totaal</t>
        </is>
      </c>
      <c r="B74" s="28">
        <f>IF(B$53="","",SUM(B54:B73))</f>
        <v/>
      </c>
      <c r="C74" s="28">
        <f>IF(C$53="","",SUM(C54:C73))</f>
        <v/>
      </c>
      <c r="D74" s="28">
        <f>IF(D$53="","",SUM(D54:D73))</f>
        <v/>
      </c>
      <c r="E74" s="28">
        <f>IF(E$53="","",SUM(E54:E73))</f>
        <v/>
      </c>
      <c r="F74" s="28">
        <f>IF(F$53="","",SUM(F54:F73))</f>
        <v/>
      </c>
      <c r="G74" s="28">
        <f>IF(G$53="","",SUM(G54:G73))</f>
        <v/>
      </c>
      <c r="H74" s="28">
        <f>IF(H$53="","",SUM(H54:H73))</f>
        <v/>
      </c>
      <c r="I74" s="28">
        <f>IF(I$53="","",SUM(I54:I73))</f>
        <v/>
      </c>
      <c r="J74" s="28">
        <f>IF(J$53="","",SUM(J54:J73))</f>
        <v/>
      </c>
      <c r="K74" s="28">
        <f>IF(K$53="","",SUM(K54:K73))</f>
        <v/>
      </c>
      <c r="L74" s="28">
        <f>IF(L$53="","",SUM(L54:L73))</f>
        <v/>
      </c>
      <c r="M74" s="28">
        <f>IF(M$53="","",SUM(M54:M73))</f>
        <v/>
      </c>
      <c r="N74" s="28">
        <f>IF(N$53="","",SUM(N54:N73))</f>
        <v/>
      </c>
      <c r="O74" s="28">
        <f>IF(O$53="","",SUM(O54:O73))</f>
        <v/>
      </c>
      <c r="P74" s="28">
        <f>IF(P$53="","",SUM(P54:P73))</f>
        <v/>
      </c>
      <c r="Q74" s="28">
        <f>IF(Q$53="","",SUM(Q54:Q73))</f>
        <v/>
      </c>
      <c r="R74" s="28">
        <f>IF(R$53="","",SUM(R54:R73))</f>
        <v/>
      </c>
      <c r="S74" s="28">
        <f>IF(S$53="","",SUM(S54:S73))</f>
        <v/>
      </c>
      <c r="T74" s="28">
        <f>IF(T$53="","",SUM(T54:T73))</f>
        <v/>
      </c>
      <c r="U74" s="28">
        <f>IF(U$53="","",SUM(U54:U73))</f>
        <v/>
      </c>
      <c r="V74" s="28">
        <f>SUM($V$54:$V$73)</f>
        <v/>
      </c>
    </row>
    <row r="76">
      <c r="A76" s="44">
        <f>"gezamenlijke kansen P(X, Y) = n / N; rechts P(X), onderaan P(Y) (de marginale verdelingen)"</f>
        <v/>
      </c>
      <c r="B76" s="44">
        <f>B$53</f>
        <v/>
      </c>
      <c r="C76" s="44">
        <f>C$53</f>
        <v/>
      </c>
      <c r="D76" s="44">
        <f>D$53</f>
        <v/>
      </c>
      <c r="E76" s="44">
        <f>E$53</f>
        <v/>
      </c>
      <c r="F76" s="44">
        <f>F$53</f>
        <v/>
      </c>
      <c r="G76" s="44">
        <f>G$53</f>
        <v/>
      </c>
      <c r="H76" s="44">
        <f>H$53</f>
        <v/>
      </c>
      <c r="I76" s="44">
        <f>I$53</f>
        <v/>
      </c>
      <c r="J76" s="44">
        <f>J$53</f>
        <v/>
      </c>
      <c r="K76" s="44">
        <f>K$53</f>
        <v/>
      </c>
      <c r="L76" s="44">
        <f>L$53</f>
        <v/>
      </c>
      <c r="M76" s="44">
        <f>M$53</f>
        <v/>
      </c>
      <c r="N76" s="44">
        <f>N$53</f>
        <v/>
      </c>
      <c r="O76" s="44">
        <f>O$53</f>
        <v/>
      </c>
      <c r="P76" s="44">
        <f>P$53</f>
        <v/>
      </c>
      <c r="Q76" s="44">
        <f>Q$53</f>
        <v/>
      </c>
      <c r="R76" s="44">
        <f>R$53</f>
        <v/>
      </c>
      <c r="S76" s="44">
        <f>S$53</f>
        <v/>
      </c>
      <c r="T76" s="44">
        <f>T$53</f>
        <v/>
      </c>
      <c r="U76" s="44">
        <f>U$53</f>
        <v/>
      </c>
      <c r="V76" s="20" t="inlineStr">
        <is>
          <t>P(X)</t>
        </is>
      </c>
      <c r="X76" s="42">
        <f>IF(B$53="",0,IF($B$21=$D$11,IF($B$22="is niet",IF(B$53&lt;&gt;$B$23,1,0),IF(B$53=$B$23,1,0)),1))</f>
        <v/>
      </c>
      <c r="Y76" s="42">
        <f>IF(C$53="",0,IF($B$21=$D$11,IF($B$22="is niet",IF(C$53&lt;&gt;$B$23,1,0),IF(C$53=$B$23,1,0)),1))</f>
        <v/>
      </c>
      <c r="Z76" s="42">
        <f>IF(D$53="",0,IF($B$21=$D$11,IF($B$22="is niet",IF(D$53&lt;&gt;$B$23,1,0),IF(D$53=$B$23,1,0)),1))</f>
        <v/>
      </c>
      <c r="AA76" s="42">
        <f>IF(E$53="",0,IF($B$21=$D$11,IF($B$22="is niet",IF(E$53&lt;&gt;$B$23,1,0),IF(E$53=$B$23,1,0)),1))</f>
        <v/>
      </c>
      <c r="AB76" s="42">
        <f>IF(F$53="",0,IF($B$21=$D$11,IF($B$22="is niet",IF(F$53&lt;&gt;$B$23,1,0),IF(F$53=$B$23,1,0)),1))</f>
        <v/>
      </c>
      <c r="AC76" s="42">
        <f>IF(G$53="",0,IF($B$21=$D$11,IF($B$22="is niet",IF(G$53&lt;&gt;$B$23,1,0),IF(G$53=$B$23,1,0)),1))</f>
        <v/>
      </c>
      <c r="AD76" s="42">
        <f>IF(H$53="",0,IF($B$21=$D$11,IF($B$22="is niet",IF(H$53&lt;&gt;$B$23,1,0),IF(H$53=$B$23,1,0)),1))</f>
        <v/>
      </c>
      <c r="AE76" s="42">
        <f>IF(I$53="",0,IF($B$21=$D$11,IF($B$22="is niet",IF(I$53&lt;&gt;$B$23,1,0),IF(I$53=$B$23,1,0)),1))</f>
        <v/>
      </c>
      <c r="AF76" s="42">
        <f>IF(J$53="",0,IF($B$21=$D$11,IF($B$22="is niet",IF(J$53&lt;&gt;$B$23,1,0),IF(J$53=$B$23,1,0)),1))</f>
        <v/>
      </c>
      <c r="AG76" s="42">
        <f>IF(K$53="",0,IF($B$21=$D$11,IF($B$22="is niet",IF(K$53&lt;&gt;$B$23,1,0),IF(K$53=$B$23,1,0)),1))</f>
        <v/>
      </c>
      <c r="AH76" s="42">
        <f>IF(L$53="",0,IF($B$21=$D$11,IF($B$22="is niet",IF(L$53&lt;&gt;$B$23,1,0),IF(L$53=$B$23,1,0)),1))</f>
        <v/>
      </c>
      <c r="AI76" s="42">
        <f>IF(M$53="",0,IF($B$21=$D$11,IF($B$22="is niet",IF(M$53&lt;&gt;$B$23,1,0),IF(M$53=$B$23,1,0)),1))</f>
        <v/>
      </c>
      <c r="AJ76" s="42">
        <f>IF(N$53="",0,IF($B$21=$D$11,IF($B$22="is niet",IF(N$53&lt;&gt;$B$23,1,0),IF(N$53=$B$23,1,0)),1))</f>
        <v/>
      </c>
      <c r="AK76" s="42">
        <f>IF(O$53="",0,IF($B$21=$D$11,IF($B$22="is niet",IF(O$53&lt;&gt;$B$23,1,0),IF(O$53=$B$23,1,0)),1))</f>
        <v/>
      </c>
      <c r="AL76" s="42">
        <f>IF(P$53="",0,IF($B$21=$D$11,IF($B$22="is niet",IF(P$53&lt;&gt;$B$23,1,0),IF(P$53=$B$23,1,0)),1))</f>
        <v/>
      </c>
      <c r="AM76" s="42">
        <f>IF(Q$53="",0,IF($B$21=$D$11,IF($B$22="is niet",IF(Q$53&lt;&gt;$B$23,1,0),IF(Q$53=$B$23,1,0)),1))</f>
        <v/>
      </c>
      <c r="AN76" s="42">
        <f>IF(R$53="",0,IF($B$21=$D$11,IF($B$22="is niet",IF(R$53&lt;&gt;$B$23,1,0),IF(R$53=$B$23,1,0)),1))</f>
        <v/>
      </c>
      <c r="AO76" s="42">
        <f>IF(S$53="",0,IF($B$21=$D$11,IF($B$22="is niet",IF(S$53&lt;&gt;$B$23,1,0),IF(S$53=$B$23,1,0)),1))</f>
        <v/>
      </c>
      <c r="AP76" s="42">
        <f>IF(T$53="",0,IF($B$21=$D$11,IF($B$22="is niet",IF(T$53&lt;&gt;$B$23,1,0),IF(T$53=$B$23,1,0)),1))</f>
        <v/>
      </c>
      <c r="AQ76" s="42">
        <f>IF(U$53="",0,IF($B$21=$D$11,IF($B$22="is niet",IF(U$53&lt;&gt;$B$23,1,0),IF(U$53=$B$23,1,0)),1))</f>
        <v/>
      </c>
    </row>
    <row r="77">
      <c r="A77" s="44">
        <f>$A54</f>
        <v/>
      </c>
      <c r="B77" s="11">
        <f>IF(AND(ISNUMBER(B54),N($V$74)&gt;0),B54/$V$74,"")</f>
        <v/>
      </c>
      <c r="C77" s="11">
        <f>IF(AND(ISNUMBER(C54),N($V$74)&gt;0),C54/$V$74,"")</f>
        <v/>
      </c>
      <c r="D77" s="11">
        <f>IF(AND(ISNUMBER(D54),N($V$74)&gt;0),D54/$V$74,"")</f>
        <v/>
      </c>
      <c r="E77" s="11">
        <f>IF(AND(ISNUMBER(E54),N($V$74)&gt;0),E54/$V$74,"")</f>
        <v/>
      </c>
      <c r="F77" s="11">
        <f>IF(AND(ISNUMBER(F54),N($V$74)&gt;0),F54/$V$74,"")</f>
        <v/>
      </c>
      <c r="G77" s="11">
        <f>IF(AND(ISNUMBER(G54),N($V$74)&gt;0),G54/$V$74,"")</f>
        <v/>
      </c>
      <c r="H77" s="11">
        <f>IF(AND(ISNUMBER(H54),N($V$74)&gt;0),H54/$V$74,"")</f>
        <v/>
      </c>
      <c r="I77" s="11">
        <f>IF(AND(ISNUMBER(I54),N($V$74)&gt;0),I54/$V$74,"")</f>
        <v/>
      </c>
      <c r="J77" s="11">
        <f>IF(AND(ISNUMBER(J54),N($V$74)&gt;0),J54/$V$74,"")</f>
        <v/>
      </c>
      <c r="K77" s="11">
        <f>IF(AND(ISNUMBER(K54),N($V$74)&gt;0),K54/$V$74,"")</f>
        <v/>
      </c>
      <c r="L77" s="11">
        <f>IF(AND(ISNUMBER(L54),N($V$74)&gt;0),L54/$V$74,"")</f>
        <v/>
      </c>
      <c r="M77" s="11">
        <f>IF(AND(ISNUMBER(M54),N($V$74)&gt;0),M54/$V$74,"")</f>
        <v/>
      </c>
      <c r="N77" s="11">
        <f>IF(AND(ISNUMBER(N54),N($V$74)&gt;0),N54/$V$74,"")</f>
        <v/>
      </c>
      <c r="O77" s="11">
        <f>IF(AND(ISNUMBER(O54),N($V$74)&gt;0),O54/$V$74,"")</f>
        <v/>
      </c>
      <c r="P77" s="11">
        <f>IF(AND(ISNUMBER(P54),N($V$74)&gt;0),P54/$V$74,"")</f>
        <v/>
      </c>
      <c r="Q77" s="11">
        <f>IF(AND(ISNUMBER(Q54),N($V$74)&gt;0),Q54/$V$74,"")</f>
        <v/>
      </c>
      <c r="R77" s="11">
        <f>IF(AND(ISNUMBER(R54),N($V$74)&gt;0),R54/$V$74,"")</f>
        <v/>
      </c>
      <c r="S77" s="11">
        <f>IF(AND(ISNUMBER(S54),N($V$74)&gt;0),S54/$V$74,"")</f>
        <v/>
      </c>
      <c r="T77" s="11">
        <f>IF(AND(ISNUMBER(T54),N($V$74)&gt;0),T54/$V$74,"")</f>
        <v/>
      </c>
      <c r="U77" s="11">
        <f>IF(AND(ISNUMBER(U54),N($V$74)&gt;0),U54/$V$74,"")</f>
        <v/>
      </c>
      <c r="V77" s="11">
        <f>IF(AND(ISNUMBER($V54),N($V$74)&gt;0),$V54/$V$74,"")</f>
        <v/>
      </c>
      <c r="X77" s="42">
        <f>IF(B$53="",0,IF(AND(AND($B$24&lt;&gt;"",$B$24&lt;&gt;$D$12,$B$26&lt;&gt;""),$B$24=$D$11),IF($B$25="is niet",IF(B$53&lt;&gt;$B$26,1,0),IF(B$53=$B$26,1,0)),1))</f>
        <v/>
      </c>
      <c r="Y77" s="42">
        <f>IF(C$53="",0,IF(AND(AND($B$24&lt;&gt;"",$B$24&lt;&gt;$D$12,$B$26&lt;&gt;""),$B$24=$D$11),IF($B$25="is niet",IF(C$53&lt;&gt;$B$26,1,0),IF(C$53=$B$26,1,0)),1))</f>
        <v/>
      </c>
      <c r="Z77" s="42">
        <f>IF(D$53="",0,IF(AND(AND($B$24&lt;&gt;"",$B$24&lt;&gt;$D$12,$B$26&lt;&gt;""),$B$24=$D$11),IF($B$25="is niet",IF(D$53&lt;&gt;$B$26,1,0),IF(D$53=$B$26,1,0)),1))</f>
        <v/>
      </c>
      <c r="AA77" s="42">
        <f>IF(E$53="",0,IF(AND(AND($B$24&lt;&gt;"",$B$24&lt;&gt;$D$12,$B$26&lt;&gt;""),$B$24=$D$11),IF($B$25="is niet",IF(E$53&lt;&gt;$B$26,1,0),IF(E$53=$B$26,1,0)),1))</f>
        <v/>
      </c>
      <c r="AB77" s="42">
        <f>IF(F$53="",0,IF(AND(AND($B$24&lt;&gt;"",$B$24&lt;&gt;$D$12,$B$26&lt;&gt;""),$B$24=$D$11),IF($B$25="is niet",IF(F$53&lt;&gt;$B$26,1,0),IF(F$53=$B$26,1,0)),1))</f>
        <v/>
      </c>
      <c r="AC77" s="42">
        <f>IF(G$53="",0,IF(AND(AND($B$24&lt;&gt;"",$B$24&lt;&gt;$D$12,$B$26&lt;&gt;""),$B$24=$D$11),IF($B$25="is niet",IF(G$53&lt;&gt;$B$26,1,0),IF(G$53=$B$26,1,0)),1))</f>
        <v/>
      </c>
      <c r="AD77" s="42">
        <f>IF(H$53="",0,IF(AND(AND($B$24&lt;&gt;"",$B$24&lt;&gt;$D$12,$B$26&lt;&gt;""),$B$24=$D$11),IF($B$25="is niet",IF(H$53&lt;&gt;$B$26,1,0),IF(H$53=$B$26,1,0)),1))</f>
        <v/>
      </c>
      <c r="AE77" s="42">
        <f>IF(I$53="",0,IF(AND(AND($B$24&lt;&gt;"",$B$24&lt;&gt;$D$12,$B$26&lt;&gt;""),$B$24=$D$11),IF($B$25="is niet",IF(I$53&lt;&gt;$B$26,1,0),IF(I$53=$B$26,1,0)),1))</f>
        <v/>
      </c>
      <c r="AF77" s="42">
        <f>IF(J$53="",0,IF(AND(AND($B$24&lt;&gt;"",$B$24&lt;&gt;$D$12,$B$26&lt;&gt;""),$B$24=$D$11),IF($B$25="is niet",IF(J$53&lt;&gt;$B$26,1,0),IF(J$53=$B$26,1,0)),1))</f>
        <v/>
      </c>
      <c r="AG77" s="42">
        <f>IF(K$53="",0,IF(AND(AND($B$24&lt;&gt;"",$B$24&lt;&gt;$D$12,$B$26&lt;&gt;""),$B$24=$D$11),IF($B$25="is niet",IF(K$53&lt;&gt;$B$26,1,0),IF(K$53=$B$26,1,0)),1))</f>
        <v/>
      </c>
      <c r="AH77" s="42">
        <f>IF(L$53="",0,IF(AND(AND($B$24&lt;&gt;"",$B$24&lt;&gt;$D$12,$B$26&lt;&gt;""),$B$24=$D$11),IF($B$25="is niet",IF(L$53&lt;&gt;$B$26,1,0),IF(L$53=$B$26,1,0)),1))</f>
        <v/>
      </c>
      <c r="AI77" s="42">
        <f>IF(M$53="",0,IF(AND(AND($B$24&lt;&gt;"",$B$24&lt;&gt;$D$12,$B$26&lt;&gt;""),$B$24=$D$11),IF($B$25="is niet",IF(M$53&lt;&gt;$B$26,1,0),IF(M$53=$B$26,1,0)),1))</f>
        <v/>
      </c>
      <c r="AJ77" s="42">
        <f>IF(N$53="",0,IF(AND(AND($B$24&lt;&gt;"",$B$24&lt;&gt;$D$12,$B$26&lt;&gt;""),$B$24=$D$11),IF($B$25="is niet",IF(N$53&lt;&gt;$B$26,1,0),IF(N$53=$B$26,1,0)),1))</f>
        <v/>
      </c>
      <c r="AK77" s="42">
        <f>IF(O$53="",0,IF(AND(AND($B$24&lt;&gt;"",$B$24&lt;&gt;$D$12,$B$26&lt;&gt;""),$B$24=$D$11),IF($B$25="is niet",IF(O$53&lt;&gt;$B$26,1,0),IF(O$53=$B$26,1,0)),1))</f>
        <v/>
      </c>
      <c r="AL77" s="42">
        <f>IF(P$53="",0,IF(AND(AND($B$24&lt;&gt;"",$B$24&lt;&gt;$D$12,$B$26&lt;&gt;""),$B$24=$D$11),IF($B$25="is niet",IF(P$53&lt;&gt;$B$26,1,0),IF(P$53=$B$26,1,0)),1))</f>
        <v/>
      </c>
      <c r="AM77" s="42">
        <f>IF(Q$53="",0,IF(AND(AND($B$24&lt;&gt;"",$B$24&lt;&gt;$D$12,$B$26&lt;&gt;""),$B$24=$D$11),IF($B$25="is niet",IF(Q$53&lt;&gt;$B$26,1,0),IF(Q$53=$B$26,1,0)),1))</f>
        <v/>
      </c>
      <c r="AN77" s="42">
        <f>IF(R$53="",0,IF(AND(AND($B$24&lt;&gt;"",$B$24&lt;&gt;$D$12,$B$26&lt;&gt;""),$B$24=$D$11),IF($B$25="is niet",IF(R$53&lt;&gt;$B$26,1,0),IF(R$53=$B$26,1,0)),1))</f>
        <v/>
      </c>
      <c r="AO77" s="42">
        <f>IF(S$53="",0,IF(AND(AND($B$24&lt;&gt;"",$B$24&lt;&gt;$D$12,$B$26&lt;&gt;""),$B$24=$D$11),IF($B$25="is niet",IF(S$53&lt;&gt;$B$26,1,0),IF(S$53=$B$26,1,0)),1))</f>
        <v/>
      </c>
      <c r="AP77" s="42">
        <f>IF(T$53="",0,IF(AND(AND($B$24&lt;&gt;"",$B$24&lt;&gt;$D$12,$B$26&lt;&gt;""),$B$24=$D$11),IF($B$25="is niet",IF(T$53&lt;&gt;$B$26,1,0),IF(T$53=$B$26,1,0)),1))</f>
        <v/>
      </c>
      <c r="AQ77" s="42">
        <f>IF(U$53="",0,IF(AND(AND($B$24&lt;&gt;"",$B$24&lt;&gt;$D$12,$B$26&lt;&gt;""),$B$24=$D$11),IF($B$25="is niet",IF(U$53&lt;&gt;$B$26,1,0),IF(U$53=$B$26,1,0)),1))</f>
        <v/>
      </c>
    </row>
    <row r="78">
      <c r="A78" s="44">
        <f>$A55</f>
        <v/>
      </c>
      <c r="B78" s="11">
        <f>IF(AND(ISNUMBER(B55),N($V$74)&gt;0),B55/$V$74,"")</f>
        <v/>
      </c>
      <c r="C78" s="11">
        <f>IF(AND(ISNUMBER(C55),N($V$74)&gt;0),C55/$V$74,"")</f>
        <v/>
      </c>
      <c r="D78" s="11">
        <f>IF(AND(ISNUMBER(D55),N($V$74)&gt;0),D55/$V$74,"")</f>
        <v/>
      </c>
      <c r="E78" s="11">
        <f>IF(AND(ISNUMBER(E55),N($V$74)&gt;0),E55/$V$74,"")</f>
        <v/>
      </c>
      <c r="F78" s="11">
        <f>IF(AND(ISNUMBER(F55),N($V$74)&gt;0),F55/$V$74,"")</f>
        <v/>
      </c>
      <c r="G78" s="11">
        <f>IF(AND(ISNUMBER(G55),N($V$74)&gt;0),G55/$V$74,"")</f>
        <v/>
      </c>
      <c r="H78" s="11">
        <f>IF(AND(ISNUMBER(H55),N($V$74)&gt;0),H55/$V$74,"")</f>
        <v/>
      </c>
      <c r="I78" s="11">
        <f>IF(AND(ISNUMBER(I55),N($V$74)&gt;0),I55/$V$74,"")</f>
        <v/>
      </c>
      <c r="J78" s="11">
        <f>IF(AND(ISNUMBER(J55),N($V$74)&gt;0),J55/$V$74,"")</f>
        <v/>
      </c>
      <c r="K78" s="11">
        <f>IF(AND(ISNUMBER(K55),N($V$74)&gt;0),K55/$V$74,"")</f>
        <v/>
      </c>
      <c r="L78" s="11">
        <f>IF(AND(ISNUMBER(L55),N($V$74)&gt;0),L55/$V$74,"")</f>
        <v/>
      </c>
      <c r="M78" s="11">
        <f>IF(AND(ISNUMBER(M55),N($V$74)&gt;0),M55/$V$74,"")</f>
        <v/>
      </c>
      <c r="N78" s="11">
        <f>IF(AND(ISNUMBER(N55),N($V$74)&gt;0),N55/$V$74,"")</f>
        <v/>
      </c>
      <c r="O78" s="11">
        <f>IF(AND(ISNUMBER(O55),N($V$74)&gt;0),O55/$V$74,"")</f>
        <v/>
      </c>
      <c r="P78" s="11">
        <f>IF(AND(ISNUMBER(P55),N($V$74)&gt;0),P55/$V$74,"")</f>
        <v/>
      </c>
      <c r="Q78" s="11">
        <f>IF(AND(ISNUMBER(Q55),N($V$74)&gt;0),Q55/$V$74,"")</f>
        <v/>
      </c>
      <c r="R78" s="11">
        <f>IF(AND(ISNUMBER(R55),N($V$74)&gt;0),R55/$V$74,"")</f>
        <v/>
      </c>
      <c r="S78" s="11">
        <f>IF(AND(ISNUMBER(S55),N($V$74)&gt;0),S55/$V$74,"")</f>
        <v/>
      </c>
      <c r="T78" s="11">
        <f>IF(AND(ISNUMBER(T55),N($V$74)&gt;0),T55/$V$74,"")</f>
        <v/>
      </c>
      <c r="U78" s="11">
        <f>IF(AND(ISNUMBER(U55),N($V$74)&gt;0),U55/$V$74,"")</f>
        <v/>
      </c>
      <c r="V78" s="11">
        <f>IF(AND(ISNUMBER($V55),N($V$74)&gt;0),$V55/$V$74,"")</f>
        <v/>
      </c>
      <c r="X78" s="42">
        <f>X76*X77</f>
        <v/>
      </c>
      <c r="Y78" s="42">
        <f>Y76*Y77</f>
        <v/>
      </c>
      <c r="Z78" s="42">
        <f>Z76*Z77</f>
        <v/>
      </c>
      <c r="AA78" s="42">
        <f>AA76*AA77</f>
        <v/>
      </c>
      <c r="AB78" s="42">
        <f>AB76*AB77</f>
        <v/>
      </c>
      <c r="AC78" s="42">
        <f>AC76*AC77</f>
        <v/>
      </c>
      <c r="AD78" s="42">
        <f>AD76*AD77</f>
        <v/>
      </c>
      <c r="AE78" s="42">
        <f>AE76*AE77</f>
        <v/>
      </c>
      <c r="AF78" s="42">
        <f>AF76*AF77</f>
        <v/>
      </c>
      <c r="AG78" s="42">
        <f>AG76*AG77</f>
        <v/>
      </c>
      <c r="AH78" s="42">
        <f>AH76*AH77</f>
        <v/>
      </c>
      <c r="AI78" s="42">
        <f>AI76*AI77</f>
        <v/>
      </c>
      <c r="AJ78" s="42">
        <f>AJ76*AJ77</f>
        <v/>
      </c>
      <c r="AK78" s="42">
        <f>AK76*AK77</f>
        <v/>
      </c>
      <c r="AL78" s="42">
        <f>AL76*AL77</f>
        <v/>
      </c>
      <c r="AM78" s="42">
        <f>AM76*AM77</f>
        <v/>
      </c>
      <c r="AN78" s="42">
        <f>AN76*AN77</f>
        <v/>
      </c>
      <c r="AO78" s="42">
        <f>AO76*AO77</f>
        <v/>
      </c>
      <c r="AP78" s="42">
        <f>AP76*AP77</f>
        <v/>
      </c>
      <c r="AQ78" s="42">
        <f>AQ76*AQ77</f>
        <v/>
      </c>
    </row>
    <row r="79">
      <c r="A79" s="44">
        <f>$A56</f>
        <v/>
      </c>
      <c r="B79" s="11">
        <f>IF(AND(ISNUMBER(B56),N($V$74)&gt;0),B56/$V$74,"")</f>
        <v/>
      </c>
      <c r="C79" s="11">
        <f>IF(AND(ISNUMBER(C56),N($V$74)&gt;0),C56/$V$74,"")</f>
        <v/>
      </c>
      <c r="D79" s="11">
        <f>IF(AND(ISNUMBER(D56),N($V$74)&gt;0),D56/$V$74,"")</f>
        <v/>
      </c>
      <c r="E79" s="11">
        <f>IF(AND(ISNUMBER(E56),N($V$74)&gt;0),E56/$V$74,"")</f>
        <v/>
      </c>
      <c r="F79" s="11">
        <f>IF(AND(ISNUMBER(F56),N($V$74)&gt;0),F56/$V$74,"")</f>
        <v/>
      </c>
      <c r="G79" s="11">
        <f>IF(AND(ISNUMBER(G56),N($V$74)&gt;0),G56/$V$74,"")</f>
        <v/>
      </c>
      <c r="H79" s="11">
        <f>IF(AND(ISNUMBER(H56),N($V$74)&gt;0),H56/$V$74,"")</f>
        <v/>
      </c>
      <c r="I79" s="11">
        <f>IF(AND(ISNUMBER(I56),N($V$74)&gt;0),I56/$V$74,"")</f>
        <v/>
      </c>
      <c r="J79" s="11">
        <f>IF(AND(ISNUMBER(J56),N($V$74)&gt;0),J56/$V$74,"")</f>
        <v/>
      </c>
      <c r="K79" s="11">
        <f>IF(AND(ISNUMBER(K56),N($V$74)&gt;0),K56/$V$74,"")</f>
        <v/>
      </c>
      <c r="L79" s="11">
        <f>IF(AND(ISNUMBER(L56),N($V$74)&gt;0),L56/$V$74,"")</f>
        <v/>
      </c>
      <c r="M79" s="11">
        <f>IF(AND(ISNUMBER(M56),N($V$74)&gt;0),M56/$V$74,"")</f>
        <v/>
      </c>
      <c r="N79" s="11">
        <f>IF(AND(ISNUMBER(N56),N($V$74)&gt;0),N56/$V$74,"")</f>
        <v/>
      </c>
      <c r="O79" s="11">
        <f>IF(AND(ISNUMBER(O56),N($V$74)&gt;0),O56/$V$74,"")</f>
        <v/>
      </c>
      <c r="P79" s="11">
        <f>IF(AND(ISNUMBER(P56),N($V$74)&gt;0),P56/$V$74,"")</f>
        <v/>
      </c>
      <c r="Q79" s="11">
        <f>IF(AND(ISNUMBER(Q56),N($V$74)&gt;0),Q56/$V$74,"")</f>
        <v/>
      </c>
      <c r="R79" s="11">
        <f>IF(AND(ISNUMBER(R56),N($V$74)&gt;0),R56/$V$74,"")</f>
        <v/>
      </c>
      <c r="S79" s="11">
        <f>IF(AND(ISNUMBER(S56),N($V$74)&gt;0),S56/$V$74,"")</f>
        <v/>
      </c>
      <c r="T79" s="11">
        <f>IF(AND(ISNUMBER(T56),N($V$74)&gt;0),T56/$V$74,"")</f>
        <v/>
      </c>
      <c r="U79" s="11">
        <f>IF(AND(ISNUMBER(U56),N($V$74)&gt;0),U56/$V$74,"")</f>
        <v/>
      </c>
      <c r="V79" s="11">
        <f>IF(AND(ISNUMBER($V56),N($V$74)&gt;0),$V56/$V$74,"")</f>
        <v/>
      </c>
    </row>
    <row r="80">
      <c r="A80" s="44">
        <f>$A57</f>
        <v/>
      </c>
      <c r="B80" s="11">
        <f>IF(AND(ISNUMBER(B57),N($V$74)&gt;0),B57/$V$74,"")</f>
        <v/>
      </c>
      <c r="C80" s="11">
        <f>IF(AND(ISNUMBER(C57),N($V$74)&gt;0),C57/$V$74,"")</f>
        <v/>
      </c>
      <c r="D80" s="11">
        <f>IF(AND(ISNUMBER(D57),N($V$74)&gt;0),D57/$V$74,"")</f>
        <v/>
      </c>
      <c r="E80" s="11">
        <f>IF(AND(ISNUMBER(E57),N($V$74)&gt;0),E57/$V$74,"")</f>
        <v/>
      </c>
      <c r="F80" s="11">
        <f>IF(AND(ISNUMBER(F57),N($V$74)&gt;0),F57/$V$74,"")</f>
        <v/>
      </c>
      <c r="G80" s="11">
        <f>IF(AND(ISNUMBER(G57),N($V$74)&gt;0),G57/$V$74,"")</f>
        <v/>
      </c>
      <c r="H80" s="11">
        <f>IF(AND(ISNUMBER(H57),N($V$74)&gt;0),H57/$V$74,"")</f>
        <v/>
      </c>
      <c r="I80" s="11">
        <f>IF(AND(ISNUMBER(I57),N($V$74)&gt;0),I57/$V$74,"")</f>
        <v/>
      </c>
      <c r="J80" s="11">
        <f>IF(AND(ISNUMBER(J57),N($V$74)&gt;0),J57/$V$74,"")</f>
        <v/>
      </c>
      <c r="K80" s="11">
        <f>IF(AND(ISNUMBER(K57),N($V$74)&gt;0),K57/$V$74,"")</f>
        <v/>
      </c>
      <c r="L80" s="11">
        <f>IF(AND(ISNUMBER(L57),N($V$74)&gt;0),L57/$V$74,"")</f>
        <v/>
      </c>
      <c r="M80" s="11">
        <f>IF(AND(ISNUMBER(M57),N($V$74)&gt;0),M57/$V$74,"")</f>
        <v/>
      </c>
      <c r="N80" s="11">
        <f>IF(AND(ISNUMBER(N57),N($V$74)&gt;0),N57/$V$74,"")</f>
        <v/>
      </c>
      <c r="O80" s="11">
        <f>IF(AND(ISNUMBER(O57),N($V$74)&gt;0),O57/$V$74,"")</f>
        <v/>
      </c>
      <c r="P80" s="11">
        <f>IF(AND(ISNUMBER(P57),N($V$74)&gt;0),P57/$V$74,"")</f>
        <v/>
      </c>
      <c r="Q80" s="11">
        <f>IF(AND(ISNUMBER(Q57),N($V$74)&gt;0),Q57/$V$74,"")</f>
        <v/>
      </c>
      <c r="R80" s="11">
        <f>IF(AND(ISNUMBER(R57),N($V$74)&gt;0),R57/$V$74,"")</f>
        <v/>
      </c>
      <c r="S80" s="11">
        <f>IF(AND(ISNUMBER(S57),N($V$74)&gt;0),S57/$V$74,"")</f>
        <v/>
      </c>
      <c r="T80" s="11">
        <f>IF(AND(ISNUMBER(T57),N($V$74)&gt;0),T57/$V$74,"")</f>
        <v/>
      </c>
      <c r="U80" s="11">
        <f>IF(AND(ISNUMBER(U57),N($V$74)&gt;0),U57/$V$74,"")</f>
        <v/>
      </c>
      <c r="V80" s="11">
        <f>IF(AND(ISNUMBER($V57),N($V$74)&gt;0),$V57/$V$74,"")</f>
        <v/>
      </c>
    </row>
    <row r="81">
      <c r="A81" s="44">
        <f>$A58</f>
        <v/>
      </c>
      <c r="B81" s="11">
        <f>IF(AND(ISNUMBER(B58),N($V$74)&gt;0),B58/$V$74,"")</f>
        <v/>
      </c>
      <c r="C81" s="11">
        <f>IF(AND(ISNUMBER(C58),N($V$74)&gt;0),C58/$V$74,"")</f>
        <v/>
      </c>
      <c r="D81" s="11">
        <f>IF(AND(ISNUMBER(D58),N($V$74)&gt;0),D58/$V$74,"")</f>
        <v/>
      </c>
      <c r="E81" s="11">
        <f>IF(AND(ISNUMBER(E58),N($V$74)&gt;0),E58/$V$74,"")</f>
        <v/>
      </c>
      <c r="F81" s="11">
        <f>IF(AND(ISNUMBER(F58),N($V$74)&gt;0),F58/$V$74,"")</f>
        <v/>
      </c>
      <c r="G81" s="11">
        <f>IF(AND(ISNUMBER(G58),N($V$74)&gt;0),G58/$V$74,"")</f>
        <v/>
      </c>
      <c r="H81" s="11">
        <f>IF(AND(ISNUMBER(H58),N($V$74)&gt;0),H58/$V$74,"")</f>
        <v/>
      </c>
      <c r="I81" s="11">
        <f>IF(AND(ISNUMBER(I58),N($V$74)&gt;0),I58/$V$74,"")</f>
        <v/>
      </c>
      <c r="J81" s="11">
        <f>IF(AND(ISNUMBER(J58),N($V$74)&gt;0),J58/$V$74,"")</f>
        <v/>
      </c>
      <c r="K81" s="11">
        <f>IF(AND(ISNUMBER(K58),N($V$74)&gt;0),K58/$V$74,"")</f>
        <v/>
      </c>
      <c r="L81" s="11">
        <f>IF(AND(ISNUMBER(L58),N($V$74)&gt;0),L58/$V$74,"")</f>
        <v/>
      </c>
      <c r="M81" s="11">
        <f>IF(AND(ISNUMBER(M58),N($V$74)&gt;0),M58/$V$74,"")</f>
        <v/>
      </c>
      <c r="N81" s="11">
        <f>IF(AND(ISNUMBER(N58),N($V$74)&gt;0),N58/$V$74,"")</f>
        <v/>
      </c>
      <c r="O81" s="11">
        <f>IF(AND(ISNUMBER(O58),N($V$74)&gt;0),O58/$V$74,"")</f>
        <v/>
      </c>
      <c r="P81" s="11">
        <f>IF(AND(ISNUMBER(P58),N($V$74)&gt;0),P58/$V$74,"")</f>
        <v/>
      </c>
      <c r="Q81" s="11">
        <f>IF(AND(ISNUMBER(Q58),N($V$74)&gt;0),Q58/$V$74,"")</f>
        <v/>
      </c>
      <c r="R81" s="11">
        <f>IF(AND(ISNUMBER(R58),N($V$74)&gt;0),R58/$V$74,"")</f>
        <v/>
      </c>
      <c r="S81" s="11">
        <f>IF(AND(ISNUMBER(S58),N($V$74)&gt;0),S58/$V$74,"")</f>
        <v/>
      </c>
      <c r="T81" s="11">
        <f>IF(AND(ISNUMBER(T58),N($V$74)&gt;0),T58/$V$74,"")</f>
        <v/>
      </c>
      <c r="U81" s="11">
        <f>IF(AND(ISNUMBER(U58),N($V$74)&gt;0),U58/$V$74,"")</f>
        <v/>
      </c>
      <c r="V81" s="11">
        <f>IF(AND(ISNUMBER($V58),N($V$74)&gt;0),$V58/$V$74,"")</f>
        <v/>
      </c>
    </row>
    <row r="82">
      <c r="A82" s="44">
        <f>$A59</f>
        <v/>
      </c>
      <c r="B82" s="11">
        <f>IF(AND(ISNUMBER(B59),N($V$74)&gt;0),B59/$V$74,"")</f>
        <v/>
      </c>
      <c r="C82" s="11">
        <f>IF(AND(ISNUMBER(C59),N($V$74)&gt;0),C59/$V$74,"")</f>
        <v/>
      </c>
      <c r="D82" s="11">
        <f>IF(AND(ISNUMBER(D59),N($V$74)&gt;0),D59/$V$74,"")</f>
        <v/>
      </c>
      <c r="E82" s="11">
        <f>IF(AND(ISNUMBER(E59),N($V$74)&gt;0),E59/$V$74,"")</f>
        <v/>
      </c>
      <c r="F82" s="11">
        <f>IF(AND(ISNUMBER(F59),N($V$74)&gt;0),F59/$V$74,"")</f>
        <v/>
      </c>
      <c r="G82" s="11">
        <f>IF(AND(ISNUMBER(G59),N($V$74)&gt;0),G59/$V$74,"")</f>
        <v/>
      </c>
      <c r="H82" s="11">
        <f>IF(AND(ISNUMBER(H59),N($V$74)&gt;0),H59/$V$74,"")</f>
        <v/>
      </c>
      <c r="I82" s="11">
        <f>IF(AND(ISNUMBER(I59),N($V$74)&gt;0),I59/$V$74,"")</f>
        <v/>
      </c>
      <c r="J82" s="11">
        <f>IF(AND(ISNUMBER(J59),N($V$74)&gt;0),J59/$V$74,"")</f>
        <v/>
      </c>
      <c r="K82" s="11">
        <f>IF(AND(ISNUMBER(K59),N($V$74)&gt;0),K59/$V$74,"")</f>
        <v/>
      </c>
      <c r="L82" s="11">
        <f>IF(AND(ISNUMBER(L59),N($V$74)&gt;0),L59/$V$74,"")</f>
        <v/>
      </c>
      <c r="M82" s="11">
        <f>IF(AND(ISNUMBER(M59),N($V$74)&gt;0),M59/$V$74,"")</f>
        <v/>
      </c>
      <c r="N82" s="11">
        <f>IF(AND(ISNUMBER(N59),N($V$74)&gt;0),N59/$V$74,"")</f>
        <v/>
      </c>
      <c r="O82" s="11">
        <f>IF(AND(ISNUMBER(O59),N($V$74)&gt;0),O59/$V$74,"")</f>
        <v/>
      </c>
      <c r="P82" s="11">
        <f>IF(AND(ISNUMBER(P59),N($V$74)&gt;0),P59/$V$74,"")</f>
        <v/>
      </c>
      <c r="Q82" s="11">
        <f>IF(AND(ISNUMBER(Q59),N($V$74)&gt;0),Q59/$V$74,"")</f>
        <v/>
      </c>
      <c r="R82" s="11">
        <f>IF(AND(ISNUMBER(R59),N($V$74)&gt;0),R59/$V$74,"")</f>
        <v/>
      </c>
      <c r="S82" s="11">
        <f>IF(AND(ISNUMBER(S59),N($V$74)&gt;0),S59/$V$74,"")</f>
        <v/>
      </c>
      <c r="T82" s="11">
        <f>IF(AND(ISNUMBER(T59),N($V$74)&gt;0),T59/$V$74,"")</f>
        <v/>
      </c>
      <c r="U82" s="11">
        <f>IF(AND(ISNUMBER(U59),N($V$74)&gt;0),U59/$V$74,"")</f>
        <v/>
      </c>
      <c r="V82" s="11">
        <f>IF(AND(ISNUMBER($V59),N($V$74)&gt;0),$V59/$V$74,"")</f>
        <v/>
      </c>
    </row>
    <row r="83">
      <c r="A83" s="44">
        <f>$A60</f>
        <v/>
      </c>
      <c r="B83" s="11">
        <f>IF(AND(ISNUMBER(B60),N($V$74)&gt;0),B60/$V$74,"")</f>
        <v/>
      </c>
      <c r="C83" s="11">
        <f>IF(AND(ISNUMBER(C60),N($V$74)&gt;0),C60/$V$74,"")</f>
        <v/>
      </c>
      <c r="D83" s="11">
        <f>IF(AND(ISNUMBER(D60),N($V$74)&gt;0),D60/$V$74,"")</f>
        <v/>
      </c>
      <c r="E83" s="11">
        <f>IF(AND(ISNUMBER(E60),N($V$74)&gt;0),E60/$V$74,"")</f>
        <v/>
      </c>
      <c r="F83" s="11">
        <f>IF(AND(ISNUMBER(F60),N($V$74)&gt;0),F60/$V$74,"")</f>
        <v/>
      </c>
      <c r="G83" s="11">
        <f>IF(AND(ISNUMBER(G60),N($V$74)&gt;0),G60/$V$74,"")</f>
        <v/>
      </c>
      <c r="H83" s="11">
        <f>IF(AND(ISNUMBER(H60),N($V$74)&gt;0),H60/$V$74,"")</f>
        <v/>
      </c>
      <c r="I83" s="11">
        <f>IF(AND(ISNUMBER(I60),N($V$74)&gt;0),I60/$V$74,"")</f>
        <v/>
      </c>
      <c r="J83" s="11">
        <f>IF(AND(ISNUMBER(J60),N($V$74)&gt;0),J60/$V$74,"")</f>
        <v/>
      </c>
      <c r="K83" s="11">
        <f>IF(AND(ISNUMBER(K60),N($V$74)&gt;0),K60/$V$74,"")</f>
        <v/>
      </c>
      <c r="L83" s="11">
        <f>IF(AND(ISNUMBER(L60),N($V$74)&gt;0),L60/$V$74,"")</f>
        <v/>
      </c>
      <c r="M83" s="11">
        <f>IF(AND(ISNUMBER(M60),N($V$74)&gt;0),M60/$V$74,"")</f>
        <v/>
      </c>
      <c r="N83" s="11">
        <f>IF(AND(ISNUMBER(N60),N($V$74)&gt;0),N60/$V$74,"")</f>
        <v/>
      </c>
      <c r="O83" s="11">
        <f>IF(AND(ISNUMBER(O60),N($V$74)&gt;0),O60/$V$74,"")</f>
        <v/>
      </c>
      <c r="P83" s="11">
        <f>IF(AND(ISNUMBER(P60),N($V$74)&gt;0),P60/$V$74,"")</f>
        <v/>
      </c>
      <c r="Q83" s="11">
        <f>IF(AND(ISNUMBER(Q60),N($V$74)&gt;0),Q60/$V$74,"")</f>
        <v/>
      </c>
      <c r="R83" s="11">
        <f>IF(AND(ISNUMBER(R60),N($V$74)&gt;0),R60/$V$74,"")</f>
        <v/>
      </c>
      <c r="S83" s="11">
        <f>IF(AND(ISNUMBER(S60),N($V$74)&gt;0),S60/$V$74,"")</f>
        <v/>
      </c>
      <c r="T83" s="11">
        <f>IF(AND(ISNUMBER(T60),N($V$74)&gt;0),T60/$V$74,"")</f>
        <v/>
      </c>
      <c r="U83" s="11">
        <f>IF(AND(ISNUMBER(U60),N($V$74)&gt;0),U60/$V$74,"")</f>
        <v/>
      </c>
      <c r="V83" s="11">
        <f>IF(AND(ISNUMBER($V60),N($V$74)&gt;0),$V60/$V$74,"")</f>
        <v/>
      </c>
    </row>
    <row r="84">
      <c r="A84" s="44">
        <f>$A61</f>
        <v/>
      </c>
      <c r="B84" s="11">
        <f>IF(AND(ISNUMBER(B61),N($V$74)&gt;0),B61/$V$74,"")</f>
        <v/>
      </c>
      <c r="C84" s="11">
        <f>IF(AND(ISNUMBER(C61),N($V$74)&gt;0),C61/$V$74,"")</f>
        <v/>
      </c>
      <c r="D84" s="11">
        <f>IF(AND(ISNUMBER(D61),N($V$74)&gt;0),D61/$V$74,"")</f>
        <v/>
      </c>
      <c r="E84" s="11">
        <f>IF(AND(ISNUMBER(E61),N($V$74)&gt;0),E61/$V$74,"")</f>
        <v/>
      </c>
      <c r="F84" s="11">
        <f>IF(AND(ISNUMBER(F61),N($V$74)&gt;0),F61/$V$74,"")</f>
        <v/>
      </c>
      <c r="G84" s="11">
        <f>IF(AND(ISNUMBER(G61),N($V$74)&gt;0),G61/$V$74,"")</f>
        <v/>
      </c>
      <c r="H84" s="11">
        <f>IF(AND(ISNUMBER(H61),N($V$74)&gt;0),H61/$V$74,"")</f>
        <v/>
      </c>
      <c r="I84" s="11">
        <f>IF(AND(ISNUMBER(I61),N($V$74)&gt;0),I61/$V$74,"")</f>
        <v/>
      </c>
      <c r="J84" s="11">
        <f>IF(AND(ISNUMBER(J61),N($V$74)&gt;0),J61/$V$74,"")</f>
        <v/>
      </c>
      <c r="K84" s="11">
        <f>IF(AND(ISNUMBER(K61),N($V$74)&gt;0),K61/$V$74,"")</f>
        <v/>
      </c>
      <c r="L84" s="11">
        <f>IF(AND(ISNUMBER(L61),N($V$74)&gt;0),L61/$V$74,"")</f>
        <v/>
      </c>
      <c r="M84" s="11">
        <f>IF(AND(ISNUMBER(M61),N($V$74)&gt;0),M61/$V$74,"")</f>
        <v/>
      </c>
      <c r="N84" s="11">
        <f>IF(AND(ISNUMBER(N61),N($V$74)&gt;0),N61/$V$74,"")</f>
        <v/>
      </c>
      <c r="O84" s="11">
        <f>IF(AND(ISNUMBER(O61),N($V$74)&gt;0),O61/$V$74,"")</f>
        <v/>
      </c>
      <c r="P84" s="11">
        <f>IF(AND(ISNUMBER(P61),N($V$74)&gt;0),P61/$V$74,"")</f>
        <v/>
      </c>
      <c r="Q84" s="11">
        <f>IF(AND(ISNUMBER(Q61),N($V$74)&gt;0),Q61/$V$74,"")</f>
        <v/>
      </c>
      <c r="R84" s="11">
        <f>IF(AND(ISNUMBER(R61),N($V$74)&gt;0),R61/$V$74,"")</f>
        <v/>
      </c>
      <c r="S84" s="11">
        <f>IF(AND(ISNUMBER(S61),N($V$74)&gt;0),S61/$V$74,"")</f>
        <v/>
      </c>
      <c r="T84" s="11">
        <f>IF(AND(ISNUMBER(T61),N($V$74)&gt;0),T61/$V$74,"")</f>
        <v/>
      </c>
      <c r="U84" s="11">
        <f>IF(AND(ISNUMBER(U61),N($V$74)&gt;0),U61/$V$74,"")</f>
        <v/>
      </c>
      <c r="V84" s="11">
        <f>IF(AND(ISNUMBER($V61),N($V$74)&gt;0),$V61/$V$74,"")</f>
        <v/>
      </c>
    </row>
    <row r="85">
      <c r="A85" s="44">
        <f>$A62</f>
        <v/>
      </c>
      <c r="B85" s="11">
        <f>IF(AND(ISNUMBER(B62),N($V$74)&gt;0),B62/$V$74,"")</f>
        <v/>
      </c>
      <c r="C85" s="11">
        <f>IF(AND(ISNUMBER(C62),N($V$74)&gt;0),C62/$V$74,"")</f>
        <v/>
      </c>
      <c r="D85" s="11">
        <f>IF(AND(ISNUMBER(D62),N($V$74)&gt;0),D62/$V$74,"")</f>
        <v/>
      </c>
      <c r="E85" s="11">
        <f>IF(AND(ISNUMBER(E62),N($V$74)&gt;0),E62/$V$74,"")</f>
        <v/>
      </c>
      <c r="F85" s="11">
        <f>IF(AND(ISNUMBER(F62),N($V$74)&gt;0),F62/$V$74,"")</f>
        <v/>
      </c>
      <c r="G85" s="11">
        <f>IF(AND(ISNUMBER(G62),N($V$74)&gt;0),G62/$V$74,"")</f>
        <v/>
      </c>
      <c r="H85" s="11">
        <f>IF(AND(ISNUMBER(H62),N($V$74)&gt;0),H62/$V$74,"")</f>
        <v/>
      </c>
      <c r="I85" s="11">
        <f>IF(AND(ISNUMBER(I62),N($V$74)&gt;0),I62/$V$74,"")</f>
        <v/>
      </c>
      <c r="J85" s="11">
        <f>IF(AND(ISNUMBER(J62),N($V$74)&gt;0),J62/$V$74,"")</f>
        <v/>
      </c>
      <c r="K85" s="11">
        <f>IF(AND(ISNUMBER(K62),N($V$74)&gt;0),K62/$V$74,"")</f>
        <v/>
      </c>
      <c r="L85" s="11">
        <f>IF(AND(ISNUMBER(L62),N($V$74)&gt;0),L62/$V$74,"")</f>
        <v/>
      </c>
      <c r="M85" s="11">
        <f>IF(AND(ISNUMBER(M62),N($V$74)&gt;0),M62/$V$74,"")</f>
        <v/>
      </c>
      <c r="N85" s="11">
        <f>IF(AND(ISNUMBER(N62),N($V$74)&gt;0),N62/$V$74,"")</f>
        <v/>
      </c>
      <c r="O85" s="11">
        <f>IF(AND(ISNUMBER(O62),N($V$74)&gt;0),O62/$V$74,"")</f>
        <v/>
      </c>
      <c r="P85" s="11">
        <f>IF(AND(ISNUMBER(P62),N($V$74)&gt;0),P62/$V$74,"")</f>
        <v/>
      </c>
      <c r="Q85" s="11">
        <f>IF(AND(ISNUMBER(Q62),N($V$74)&gt;0),Q62/$V$74,"")</f>
        <v/>
      </c>
      <c r="R85" s="11">
        <f>IF(AND(ISNUMBER(R62),N($V$74)&gt;0),R62/$V$74,"")</f>
        <v/>
      </c>
      <c r="S85" s="11">
        <f>IF(AND(ISNUMBER(S62),N($V$74)&gt;0),S62/$V$74,"")</f>
        <v/>
      </c>
      <c r="T85" s="11">
        <f>IF(AND(ISNUMBER(T62),N($V$74)&gt;0),T62/$V$74,"")</f>
        <v/>
      </c>
      <c r="U85" s="11">
        <f>IF(AND(ISNUMBER(U62),N($V$74)&gt;0),U62/$V$74,"")</f>
        <v/>
      </c>
      <c r="V85" s="11">
        <f>IF(AND(ISNUMBER($V62),N($V$74)&gt;0),$V62/$V$74,"")</f>
        <v/>
      </c>
    </row>
    <row r="86">
      <c r="A86" s="44">
        <f>$A63</f>
        <v/>
      </c>
      <c r="B86" s="11">
        <f>IF(AND(ISNUMBER(B63),N($V$74)&gt;0),B63/$V$74,"")</f>
        <v/>
      </c>
      <c r="C86" s="11">
        <f>IF(AND(ISNUMBER(C63),N($V$74)&gt;0),C63/$V$74,"")</f>
        <v/>
      </c>
      <c r="D86" s="11">
        <f>IF(AND(ISNUMBER(D63),N($V$74)&gt;0),D63/$V$74,"")</f>
        <v/>
      </c>
      <c r="E86" s="11">
        <f>IF(AND(ISNUMBER(E63),N($V$74)&gt;0),E63/$V$74,"")</f>
        <v/>
      </c>
      <c r="F86" s="11">
        <f>IF(AND(ISNUMBER(F63),N($V$74)&gt;0),F63/$V$74,"")</f>
        <v/>
      </c>
      <c r="G86" s="11">
        <f>IF(AND(ISNUMBER(G63),N($V$74)&gt;0),G63/$V$74,"")</f>
        <v/>
      </c>
      <c r="H86" s="11">
        <f>IF(AND(ISNUMBER(H63),N($V$74)&gt;0),H63/$V$74,"")</f>
        <v/>
      </c>
      <c r="I86" s="11">
        <f>IF(AND(ISNUMBER(I63),N($V$74)&gt;0),I63/$V$74,"")</f>
        <v/>
      </c>
      <c r="J86" s="11">
        <f>IF(AND(ISNUMBER(J63),N($V$74)&gt;0),J63/$V$74,"")</f>
        <v/>
      </c>
      <c r="K86" s="11">
        <f>IF(AND(ISNUMBER(K63),N($V$74)&gt;0),K63/$V$74,"")</f>
        <v/>
      </c>
      <c r="L86" s="11">
        <f>IF(AND(ISNUMBER(L63),N($V$74)&gt;0),L63/$V$74,"")</f>
        <v/>
      </c>
      <c r="M86" s="11">
        <f>IF(AND(ISNUMBER(M63),N($V$74)&gt;0),M63/$V$74,"")</f>
        <v/>
      </c>
      <c r="N86" s="11">
        <f>IF(AND(ISNUMBER(N63),N($V$74)&gt;0),N63/$V$74,"")</f>
        <v/>
      </c>
      <c r="O86" s="11">
        <f>IF(AND(ISNUMBER(O63),N($V$74)&gt;0),O63/$V$74,"")</f>
        <v/>
      </c>
      <c r="P86" s="11">
        <f>IF(AND(ISNUMBER(P63),N($V$74)&gt;0),P63/$V$74,"")</f>
        <v/>
      </c>
      <c r="Q86" s="11">
        <f>IF(AND(ISNUMBER(Q63),N($V$74)&gt;0),Q63/$V$74,"")</f>
        <v/>
      </c>
      <c r="R86" s="11">
        <f>IF(AND(ISNUMBER(R63),N($V$74)&gt;0),R63/$V$74,"")</f>
        <v/>
      </c>
      <c r="S86" s="11">
        <f>IF(AND(ISNUMBER(S63),N($V$74)&gt;0),S63/$V$74,"")</f>
        <v/>
      </c>
      <c r="T86" s="11">
        <f>IF(AND(ISNUMBER(T63),N($V$74)&gt;0),T63/$V$74,"")</f>
        <v/>
      </c>
      <c r="U86" s="11">
        <f>IF(AND(ISNUMBER(U63),N($V$74)&gt;0),U63/$V$74,"")</f>
        <v/>
      </c>
      <c r="V86" s="11">
        <f>IF(AND(ISNUMBER($V63),N($V$74)&gt;0),$V63/$V$74,"")</f>
        <v/>
      </c>
    </row>
    <row r="87">
      <c r="A87" s="44">
        <f>$A64</f>
        <v/>
      </c>
      <c r="B87" s="11">
        <f>IF(AND(ISNUMBER(B64),N($V$74)&gt;0),B64/$V$74,"")</f>
        <v/>
      </c>
      <c r="C87" s="11">
        <f>IF(AND(ISNUMBER(C64),N($V$74)&gt;0),C64/$V$74,"")</f>
        <v/>
      </c>
      <c r="D87" s="11">
        <f>IF(AND(ISNUMBER(D64),N($V$74)&gt;0),D64/$V$74,"")</f>
        <v/>
      </c>
      <c r="E87" s="11">
        <f>IF(AND(ISNUMBER(E64),N($V$74)&gt;0),E64/$V$74,"")</f>
        <v/>
      </c>
      <c r="F87" s="11">
        <f>IF(AND(ISNUMBER(F64),N($V$74)&gt;0),F64/$V$74,"")</f>
        <v/>
      </c>
      <c r="G87" s="11">
        <f>IF(AND(ISNUMBER(G64),N($V$74)&gt;0),G64/$V$74,"")</f>
        <v/>
      </c>
      <c r="H87" s="11">
        <f>IF(AND(ISNUMBER(H64),N($V$74)&gt;0),H64/$V$74,"")</f>
        <v/>
      </c>
      <c r="I87" s="11">
        <f>IF(AND(ISNUMBER(I64),N($V$74)&gt;0),I64/$V$74,"")</f>
        <v/>
      </c>
      <c r="J87" s="11">
        <f>IF(AND(ISNUMBER(J64),N($V$74)&gt;0),J64/$V$74,"")</f>
        <v/>
      </c>
      <c r="K87" s="11">
        <f>IF(AND(ISNUMBER(K64),N($V$74)&gt;0),K64/$V$74,"")</f>
        <v/>
      </c>
      <c r="L87" s="11">
        <f>IF(AND(ISNUMBER(L64),N($V$74)&gt;0),L64/$V$74,"")</f>
        <v/>
      </c>
      <c r="M87" s="11">
        <f>IF(AND(ISNUMBER(M64),N($V$74)&gt;0),M64/$V$74,"")</f>
        <v/>
      </c>
      <c r="N87" s="11">
        <f>IF(AND(ISNUMBER(N64),N($V$74)&gt;0),N64/$V$74,"")</f>
        <v/>
      </c>
      <c r="O87" s="11">
        <f>IF(AND(ISNUMBER(O64),N($V$74)&gt;0),O64/$V$74,"")</f>
        <v/>
      </c>
      <c r="P87" s="11">
        <f>IF(AND(ISNUMBER(P64),N($V$74)&gt;0),P64/$V$74,"")</f>
        <v/>
      </c>
      <c r="Q87" s="11">
        <f>IF(AND(ISNUMBER(Q64),N($V$74)&gt;0),Q64/$V$74,"")</f>
        <v/>
      </c>
      <c r="R87" s="11">
        <f>IF(AND(ISNUMBER(R64),N($V$74)&gt;0),R64/$V$74,"")</f>
        <v/>
      </c>
      <c r="S87" s="11">
        <f>IF(AND(ISNUMBER(S64),N($V$74)&gt;0),S64/$V$74,"")</f>
        <v/>
      </c>
      <c r="T87" s="11">
        <f>IF(AND(ISNUMBER(T64),N($V$74)&gt;0),T64/$V$74,"")</f>
        <v/>
      </c>
      <c r="U87" s="11">
        <f>IF(AND(ISNUMBER(U64),N($V$74)&gt;0),U64/$V$74,"")</f>
        <v/>
      </c>
      <c r="V87" s="11">
        <f>IF(AND(ISNUMBER($V64),N($V$74)&gt;0),$V64/$V$74,"")</f>
        <v/>
      </c>
    </row>
    <row r="88">
      <c r="A88" s="44">
        <f>$A65</f>
        <v/>
      </c>
      <c r="B88" s="11">
        <f>IF(AND(ISNUMBER(B65),N($V$74)&gt;0),B65/$V$74,"")</f>
        <v/>
      </c>
      <c r="C88" s="11">
        <f>IF(AND(ISNUMBER(C65),N($V$74)&gt;0),C65/$V$74,"")</f>
        <v/>
      </c>
      <c r="D88" s="11">
        <f>IF(AND(ISNUMBER(D65),N($V$74)&gt;0),D65/$V$74,"")</f>
        <v/>
      </c>
      <c r="E88" s="11">
        <f>IF(AND(ISNUMBER(E65),N($V$74)&gt;0),E65/$V$74,"")</f>
        <v/>
      </c>
      <c r="F88" s="11">
        <f>IF(AND(ISNUMBER(F65),N($V$74)&gt;0),F65/$V$74,"")</f>
        <v/>
      </c>
      <c r="G88" s="11">
        <f>IF(AND(ISNUMBER(G65),N($V$74)&gt;0),G65/$V$74,"")</f>
        <v/>
      </c>
      <c r="H88" s="11">
        <f>IF(AND(ISNUMBER(H65),N($V$74)&gt;0),H65/$V$74,"")</f>
        <v/>
      </c>
      <c r="I88" s="11">
        <f>IF(AND(ISNUMBER(I65),N($V$74)&gt;0),I65/$V$74,"")</f>
        <v/>
      </c>
      <c r="J88" s="11">
        <f>IF(AND(ISNUMBER(J65),N($V$74)&gt;0),J65/$V$74,"")</f>
        <v/>
      </c>
      <c r="K88" s="11">
        <f>IF(AND(ISNUMBER(K65),N($V$74)&gt;0),K65/$V$74,"")</f>
        <v/>
      </c>
      <c r="L88" s="11">
        <f>IF(AND(ISNUMBER(L65),N($V$74)&gt;0),L65/$V$74,"")</f>
        <v/>
      </c>
      <c r="M88" s="11">
        <f>IF(AND(ISNUMBER(M65),N($V$74)&gt;0),M65/$V$74,"")</f>
        <v/>
      </c>
      <c r="N88" s="11">
        <f>IF(AND(ISNUMBER(N65),N($V$74)&gt;0),N65/$V$74,"")</f>
        <v/>
      </c>
      <c r="O88" s="11">
        <f>IF(AND(ISNUMBER(O65),N($V$74)&gt;0),O65/$V$74,"")</f>
        <v/>
      </c>
      <c r="P88" s="11">
        <f>IF(AND(ISNUMBER(P65),N($V$74)&gt;0),P65/$V$74,"")</f>
        <v/>
      </c>
      <c r="Q88" s="11">
        <f>IF(AND(ISNUMBER(Q65),N($V$74)&gt;0),Q65/$V$74,"")</f>
        <v/>
      </c>
      <c r="R88" s="11">
        <f>IF(AND(ISNUMBER(R65),N($V$74)&gt;0),R65/$V$74,"")</f>
        <v/>
      </c>
      <c r="S88" s="11">
        <f>IF(AND(ISNUMBER(S65),N($V$74)&gt;0),S65/$V$74,"")</f>
        <v/>
      </c>
      <c r="T88" s="11">
        <f>IF(AND(ISNUMBER(T65),N($V$74)&gt;0),T65/$V$74,"")</f>
        <v/>
      </c>
      <c r="U88" s="11">
        <f>IF(AND(ISNUMBER(U65),N($V$74)&gt;0),U65/$V$74,"")</f>
        <v/>
      </c>
      <c r="V88" s="11">
        <f>IF(AND(ISNUMBER($V65),N($V$74)&gt;0),$V65/$V$74,"")</f>
        <v/>
      </c>
    </row>
    <row r="89">
      <c r="A89" s="44">
        <f>$A66</f>
        <v/>
      </c>
      <c r="B89" s="11">
        <f>IF(AND(ISNUMBER(B66),N($V$74)&gt;0),B66/$V$74,"")</f>
        <v/>
      </c>
      <c r="C89" s="11">
        <f>IF(AND(ISNUMBER(C66),N($V$74)&gt;0),C66/$V$74,"")</f>
        <v/>
      </c>
      <c r="D89" s="11">
        <f>IF(AND(ISNUMBER(D66),N($V$74)&gt;0),D66/$V$74,"")</f>
        <v/>
      </c>
      <c r="E89" s="11">
        <f>IF(AND(ISNUMBER(E66),N($V$74)&gt;0),E66/$V$74,"")</f>
        <v/>
      </c>
      <c r="F89" s="11">
        <f>IF(AND(ISNUMBER(F66),N($V$74)&gt;0),F66/$V$74,"")</f>
        <v/>
      </c>
      <c r="G89" s="11">
        <f>IF(AND(ISNUMBER(G66),N($V$74)&gt;0),G66/$V$74,"")</f>
        <v/>
      </c>
      <c r="H89" s="11">
        <f>IF(AND(ISNUMBER(H66),N($V$74)&gt;0),H66/$V$74,"")</f>
        <v/>
      </c>
      <c r="I89" s="11">
        <f>IF(AND(ISNUMBER(I66),N($V$74)&gt;0),I66/$V$74,"")</f>
        <v/>
      </c>
      <c r="J89" s="11">
        <f>IF(AND(ISNUMBER(J66),N($V$74)&gt;0),J66/$V$74,"")</f>
        <v/>
      </c>
      <c r="K89" s="11">
        <f>IF(AND(ISNUMBER(K66),N($V$74)&gt;0),K66/$V$74,"")</f>
        <v/>
      </c>
      <c r="L89" s="11">
        <f>IF(AND(ISNUMBER(L66),N($V$74)&gt;0),L66/$V$74,"")</f>
        <v/>
      </c>
      <c r="M89" s="11">
        <f>IF(AND(ISNUMBER(M66),N($V$74)&gt;0),M66/$V$74,"")</f>
        <v/>
      </c>
      <c r="N89" s="11">
        <f>IF(AND(ISNUMBER(N66),N($V$74)&gt;0),N66/$V$74,"")</f>
        <v/>
      </c>
      <c r="O89" s="11">
        <f>IF(AND(ISNUMBER(O66),N($V$74)&gt;0),O66/$V$74,"")</f>
        <v/>
      </c>
      <c r="P89" s="11">
        <f>IF(AND(ISNUMBER(P66),N($V$74)&gt;0),P66/$V$74,"")</f>
        <v/>
      </c>
      <c r="Q89" s="11">
        <f>IF(AND(ISNUMBER(Q66),N($V$74)&gt;0),Q66/$V$74,"")</f>
        <v/>
      </c>
      <c r="R89" s="11">
        <f>IF(AND(ISNUMBER(R66),N($V$74)&gt;0),R66/$V$74,"")</f>
        <v/>
      </c>
      <c r="S89" s="11">
        <f>IF(AND(ISNUMBER(S66),N($V$74)&gt;0),S66/$V$74,"")</f>
        <v/>
      </c>
      <c r="T89" s="11">
        <f>IF(AND(ISNUMBER(T66),N($V$74)&gt;0),T66/$V$74,"")</f>
        <v/>
      </c>
      <c r="U89" s="11">
        <f>IF(AND(ISNUMBER(U66),N($V$74)&gt;0),U66/$V$74,"")</f>
        <v/>
      </c>
      <c r="V89" s="11">
        <f>IF(AND(ISNUMBER($V66),N($V$74)&gt;0),$V66/$V$74,"")</f>
        <v/>
      </c>
    </row>
    <row r="90">
      <c r="A90" s="44">
        <f>$A67</f>
        <v/>
      </c>
      <c r="B90" s="11">
        <f>IF(AND(ISNUMBER(B67),N($V$74)&gt;0),B67/$V$74,"")</f>
        <v/>
      </c>
      <c r="C90" s="11">
        <f>IF(AND(ISNUMBER(C67),N($V$74)&gt;0),C67/$V$74,"")</f>
        <v/>
      </c>
      <c r="D90" s="11">
        <f>IF(AND(ISNUMBER(D67),N($V$74)&gt;0),D67/$V$74,"")</f>
        <v/>
      </c>
      <c r="E90" s="11">
        <f>IF(AND(ISNUMBER(E67),N($V$74)&gt;0),E67/$V$74,"")</f>
        <v/>
      </c>
      <c r="F90" s="11">
        <f>IF(AND(ISNUMBER(F67),N($V$74)&gt;0),F67/$V$74,"")</f>
        <v/>
      </c>
      <c r="G90" s="11">
        <f>IF(AND(ISNUMBER(G67),N($V$74)&gt;0),G67/$V$74,"")</f>
        <v/>
      </c>
      <c r="H90" s="11">
        <f>IF(AND(ISNUMBER(H67),N($V$74)&gt;0),H67/$V$74,"")</f>
        <v/>
      </c>
      <c r="I90" s="11">
        <f>IF(AND(ISNUMBER(I67),N($V$74)&gt;0),I67/$V$74,"")</f>
        <v/>
      </c>
      <c r="J90" s="11">
        <f>IF(AND(ISNUMBER(J67),N($V$74)&gt;0),J67/$V$74,"")</f>
        <v/>
      </c>
      <c r="K90" s="11">
        <f>IF(AND(ISNUMBER(K67),N($V$74)&gt;0),K67/$V$74,"")</f>
        <v/>
      </c>
      <c r="L90" s="11">
        <f>IF(AND(ISNUMBER(L67),N($V$74)&gt;0),L67/$V$74,"")</f>
        <v/>
      </c>
      <c r="M90" s="11">
        <f>IF(AND(ISNUMBER(M67),N($V$74)&gt;0),M67/$V$74,"")</f>
        <v/>
      </c>
      <c r="N90" s="11">
        <f>IF(AND(ISNUMBER(N67),N($V$74)&gt;0),N67/$V$74,"")</f>
        <v/>
      </c>
      <c r="O90" s="11">
        <f>IF(AND(ISNUMBER(O67),N($V$74)&gt;0),O67/$V$74,"")</f>
        <v/>
      </c>
      <c r="P90" s="11">
        <f>IF(AND(ISNUMBER(P67),N($V$74)&gt;0),P67/$V$74,"")</f>
        <v/>
      </c>
      <c r="Q90" s="11">
        <f>IF(AND(ISNUMBER(Q67),N($V$74)&gt;0),Q67/$V$74,"")</f>
        <v/>
      </c>
      <c r="R90" s="11">
        <f>IF(AND(ISNUMBER(R67),N($V$74)&gt;0),R67/$V$74,"")</f>
        <v/>
      </c>
      <c r="S90" s="11">
        <f>IF(AND(ISNUMBER(S67),N($V$74)&gt;0),S67/$V$74,"")</f>
        <v/>
      </c>
      <c r="T90" s="11">
        <f>IF(AND(ISNUMBER(T67),N($V$74)&gt;0),T67/$V$74,"")</f>
        <v/>
      </c>
      <c r="U90" s="11">
        <f>IF(AND(ISNUMBER(U67),N($V$74)&gt;0),U67/$V$74,"")</f>
        <v/>
      </c>
      <c r="V90" s="11">
        <f>IF(AND(ISNUMBER($V67),N($V$74)&gt;0),$V67/$V$74,"")</f>
        <v/>
      </c>
    </row>
    <row r="91">
      <c r="A91" s="44">
        <f>$A68</f>
        <v/>
      </c>
      <c r="B91" s="11">
        <f>IF(AND(ISNUMBER(B68),N($V$74)&gt;0),B68/$V$74,"")</f>
        <v/>
      </c>
      <c r="C91" s="11">
        <f>IF(AND(ISNUMBER(C68),N($V$74)&gt;0),C68/$V$74,"")</f>
        <v/>
      </c>
      <c r="D91" s="11">
        <f>IF(AND(ISNUMBER(D68),N($V$74)&gt;0),D68/$V$74,"")</f>
        <v/>
      </c>
      <c r="E91" s="11">
        <f>IF(AND(ISNUMBER(E68),N($V$74)&gt;0),E68/$V$74,"")</f>
        <v/>
      </c>
      <c r="F91" s="11">
        <f>IF(AND(ISNUMBER(F68),N($V$74)&gt;0),F68/$V$74,"")</f>
        <v/>
      </c>
      <c r="G91" s="11">
        <f>IF(AND(ISNUMBER(G68),N($V$74)&gt;0),G68/$V$74,"")</f>
        <v/>
      </c>
      <c r="H91" s="11">
        <f>IF(AND(ISNUMBER(H68),N($V$74)&gt;0),H68/$V$74,"")</f>
        <v/>
      </c>
      <c r="I91" s="11">
        <f>IF(AND(ISNUMBER(I68),N($V$74)&gt;0),I68/$V$74,"")</f>
        <v/>
      </c>
      <c r="J91" s="11">
        <f>IF(AND(ISNUMBER(J68),N($V$74)&gt;0),J68/$V$74,"")</f>
        <v/>
      </c>
      <c r="K91" s="11">
        <f>IF(AND(ISNUMBER(K68),N($V$74)&gt;0),K68/$V$74,"")</f>
        <v/>
      </c>
      <c r="L91" s="11">
        <f>IF(AND(ISNUMBER(L68),N($V$74)&gt;0),L68/$V$74,"")</f>
        <v/>
      </c>
      <c r="M91" s="11">
        <f>IF(AND(ISNUMBER(M68),N($V$74)&gt;0),M68/$V$74,"")</f>
        <v/>
      </c>
      <c r="N91" s="11">
        <f>IF(AND(ISNUMBER(N68),N($V$74)&gt;0),N68/$V$74,"")</f>
        <v/>
      </c>
      <c r="O91" s="11">
        <f>IF(AND(ISNUMBER(O68),N($V$74)&gt;0),O68/$V$74,"")</f>
        <v/>
      </c>
      <c r="P91" s="11">
        <f>IF(AND(ISNUMBER(P68),N($V$74)&gt;0),P68/$V$74,"")</f>
        <v/>
      </c>
      <c r="Q91" s="11">
        <f>IF(AND(ISNUMBER(Q68),N($V$74)&gt;0),Q68/$V$74,"")</f>
        <v/>
      </c>
      <c r="R91" s="11">
        <f>IF(AND(ISNUMBER(R68),N($V$74)&gt;0),R68/$V$74,"")</f>
        <v/>
      </c>
      <c r="S91" s="11">
        <f>IF(AND(ISNUMBER(S68),N($V$74)&gt;0),S68/$V$74,"")</f>
        <v/>
      </c>
      <c r="T91" s="11">
        <f>IF(AND(ISNUMBER(T68),N($V$74)&gt;0),T68/$V$74,"")</f>
        <v/>
      </c>
      <c r="U91" s="11">
        <f>IF(AND(ISNUMBER(U68),N($V$74)&gt;0),U68/$V$74,"")</f>
        <v/>
      </c>
      <c r="V91" s="11">
        <f>IF(AND(ISNUMBER($V68),N($V$74)&gt;0),$V68/$V$74,"")</f>
        <v/>
      </c>
    </row>
    <row r="92">
      <c r="A92" s="44">
        <f>$A69</f>
        <v/>
      </c>
      <c r="B92" s="11">
        <f>IF(AND(ISNUMBER(B69),N($V$74)&gt;0),B69/$V$74,"")</f>
        <v/>
      </c>
      <c r="C92" s="11">
        <f>IF(AND(ISNUMBER(C69),N($V$74)&gt;0),C69/$V$74,"")</f>
        <v/>
      </c>
      <c r="D92" s="11">
        <f>IF(AND(ISNUMBER(D69),N($V$74)&gt;0),D69/$V$74,"")</f>
        <v/>
      </c>
      <c r="E92" s="11">
        <f>IF(AND(ISNUMBER(E69),N($V$74)&gt;0),E69/$V$74,"")</f>
        <v/>
      </c>
      <c r="F92" s="11">
        <f>IF(AND(ISNUMBER(F69),N($V$74)&gt;0),F69/$V$74,"")</f>
        <v/>
      </c>
      <c r="G92" s="11">
        <f>IF(AND(ISNUMBER(G69),N($V$74)&gt;0),G69/$V$74,"")</f>
        <v/>
      </c>
      <c r="H92" s="11">
        <f>IF(AND(ISNUMBER(H69),N($V$74)&gt;0),H69/$V$74,"")</f>
        <v/>
      </c>
      <c r="I92" s="11">
        <f>IF(AND(ISNUMBER(I69),N($V$74)&gt;0),I69/$V$74,"")</f>
        <v/>
      </c>
      <c r="J92" s="11">
        <f>IF(AND(ISNUMBER(J69),N($V$74)&gt;0),J69/$V$74,"")</f>
        <v/>
      </c>
      <c r="K92" s="11">
        <f>IF(AND(ISNUMBER(K69),N($V$74)&gt;0),K69/$V$74,"")</f>
        <v/>
      </c>
      <c r="L92" s="11">
        <f>IF(AND(ISNUMBER(L69),N($V$74)&gt;0),L69/$V$74,"")</f>
        <v/>
      </c>
      <c r="M92" s="11">
        <f>IF(AND(ISNUMBER(M69),N($V$74)&gt;0),M69/$V$74,"")</f>
        <v/>
      </c>
      <c r="N92" s="11">
        <f>IF(AND(ISNUMBER(N69),N($V$74)&gt;0),N69/$V$74,"")</f>
        <v/>
      </c>
      <c r="O92" s="11">
        <f>IF(AND(ISNUMBER(O69),N($V$74)&gt;0),O69/$V$74,"")</f>
        <v/>
      </c>
      <c r="P92" s="11">
        <f>IF(AND(ISNUMBER(P69),N($V$74)&gt;0),P69/$V$74,"")</f>
        <v/>
      </c>
      <c r="Q92" s="11">
        <f>IF(AND(ISNUMBER(Q69),N($V$74)&gt;0),Q69/$V$74,"")</f>
        <v/>
      </c>
      <c r="R92" s="11">
        <f>IF(AND(ISNUMBER(R69),N($V$74)&gt;0),R69/$V$74,"")</f>
        <v/>
      </c>
      <c r="S92" s="11">
        <f>IF(AND(ISNUMBER(S69),N($V$74)&gt;0),S69/$V$74,"")</f>
        <v/>
      </c>
      <c r="T92" s="11">
        <f>IF(AND(ISNUMBER(T69),N($V$74)&gt;0),T69/$V$74,"")</f>
        <v/>
      </c>
      <c r="U92" s="11">
        <f>IF(AND(ISNUMBER(U69),N($V$74)&gt;0),U69/$V$74,"")</f>
        <v/>
      </c>
      <c r="V92" s="11">
        <f>IF(AND(ISNUMBER($V69),N($V$74)&gt;0),$V69/$V$74,"")</f>
        <v/>
      </c>
    </row>
    <row r="93">
      <c r="A93" s="44">
        <f>$A70</f>
        <v/>
      </c>
      <c r="B93" s="11">
        <f>IF(AND(ISNUMBER(B70),N($V$74)&gt;0),B70/$V$74,"")</f>
        <v/>
      </c>
      <c r="C93" s="11">
        <f>IF(AND(ISNUMBER(C70),N($V$74)&gt;0),C70/$V$74,"")</f>
        <v/>
      </c>
      <c r="D93" s="11">
        <f>IF(AND(ISNUMBER(D70),N($V$74)&gt;0),D70/$V$74,"")</f>
        <v/>
      </c>
      <c r="E93" s="11">
        <f>IF(AND(ISNUMBER(E70),N($V$74)&gt;0),E70/$V$74,"")</f>
        <v/>
      </c>
      <c r="F93" s="11">
        <f>IF(AND(ISNUMBER(F70),N($V$74)&gt;0),F70/$V$74,"")</f>
        <v/>
      </c>
      <c r="G93" s="11">
        <f>IF(AND(ISNUMBER(G70),N($V$74)&gt;0),G70/$V$74,"")</f>
        <v/>
      </c>
      <c r="H93" s="11">
        <f>IF(AND(ISNUMBER(H70),N($V$74)&gt;0),H70/$V$74,"")</f>
        <v/>
      </c>
      <c r="I93" s="11">
        <f>IF(AND(ISNUMBER(I70),N($V$74)&gt;0),I70/$V$74,"")</f>
        <v/>
      </c>
      <c r="J93" s="11">
        <f>IF(AND(ISNUMBER(J70),N($V$74)&gt;0),J70/$V$74,"")</f>
        <v/>
      </c>
      <c r="K93" s="11">
        <f>IF(AND(ISNUMBER(K70),N($V$74)&gt;0),K70/$V$74,"")</f>
        <v/>
      </c>
      <c r="L93" s="11">
        <f>IF(AND(ISNUMBER(L70),N($V$74)&gt;0),L70/$V$74,"")</f>
        <v/>
      </c>
      <c r="M93" s="11">
        <f>IF(AND(ISNUMBER(M70),N($V$74)&gt;0),M70/$V$74,"")</f>
        <v/>
      </c>
      <c r="N93" s="11">
        <f>IF(AND(ISNUMBER(N70),N($V$74)&gt;0),N70/$V$74,"")</f>
        <v/>
      </c>
      <c r="O93" s="11">
        <f>IF(AND(ISNUMBER(O70),N($V$74)&gt;0),O70/$V$74,"")</f>
        <v/>
      </c>
      <c r="P93" s="11">
        <f>IF(AND(ISNUMBER(P70),N($V$74)&gt;0),P70/$V$74,"")</f>
        <v/>
      </c>
      <c r="Q93" s="11">
        <f>IF(AND(ISNUMBER(Q70),N($V$74)&gt;0),Q70/$V$74,"")</f>
        <v/>
      </c>
      <c r="R93" s="11">
        <f>IF(AND(ISNUMBER(R70),N($V$74)&gt;0),R70/$V$74,"")</f>
        <v/>
      </c>
      <c r="S93" s="11">
        <f>IF(AND(ISNUMBER(S70),N($V$74)&gt;0),S70/$V$74,"")</f>
        <v/>
      </c>
      <c r="T93" s="11">
        <f>IF(AND(ISNUMBER(T70),N($V$74)&gt;0),T70/$V$74,"")</f>
        <v/>
      </c>
      <c r="U93" s="11">
        <f>IF(AND(ISNUMBER(U70),N($V$74)&gt;0),U70/$V$74,"")</f>
        <v/>
      </c>
      <c r="V93" s="11">
        <f>IF(AND(ISNUMBER($V70),N($V$74)&gt;0),$V70/$V$74,"")</f>
        <v/>
      </c>
    </row>
    <row r="94">
      <c r="A94" s="44">
        <f>$A71</f>
        <v/>
      </c>
      <c r="B94" s="11">
        <f>IF(AND(ISNUMBER(B71),N($V$74)&gt;0),B71/$V$74,"")</f>
        <v/>
      </c>
      <c r="C94" s="11">
        <f>IF(AND(ISNUMBER(C71),N($V$74)&gt;0),C71/$V$74,"")</f>
        <v/>
      </c>
      <c r="D94" s="11">
        <f>IF(AND(ISNUMBER(D71),N($V$74)&gt;0),D71/$V$74,"")</f>
        <v/>
      </c>
      <c r="E94" s="11">
        <f>IF(AND(ISNUMBER(E71),N($V$74)&gt;0),E71/$V$74,"")</f>
        <v/>
      </c>
      <c r="F94" s="11">
        <f>IF(AND(ISNUMBER(F71),N($V$74)&gt;0),F71/$V$74,"")</f>
        <v/>
      </c>
      <c r="G94" s="11">
        <f>IF(AND(ISNUMBER(G71),N($V$74)&gt;0),G71/$V$74,"")</f>
        <v/>
      </c>
      <c r="H94" s="11">
        <f>IF(AND(ISNUMBER(H71),N($V$74)&gt;0),H71/$V$74,"")</f>
        <v/>
      </c>
      <c r="I94" s="11">
        <f>IF(AND(ISNUMBER(I71),N($V$74)&gt;0),I71/$V$74,"")</f>
        <v/>
      </c>
      <c r="J94" s="11">
        <f>IF(AND(ISNUMBER(J71),N($V$74)&gt;0),J71/$V$74,"")</f>
        <v/>
      </c>
      <c r="K94" s="11">
        <f>IF(AND(ISNUMBER(K71),N($V$74)&gt;0),K71/$V$74,"")</f>
        <v/>
      </c>
      <c r="L94" s="11">
        <f>IF(AND(ISNUMBER(L71),N($V$74)&gt;0),L71/$V$74,"")</f>
        <v/>
      </c>
      <c r="M94" s="11">
        <f>IF(AND(ISNUMBER(M71),N($V$74)&gt;0),M71/$V$74,"")</f>
        <v/>
      </c>
      <c r="N94" s="11">
        <f>IF(AND(ISNUMBER(N71),N($V$74)&gt;0),N71/$V$74,"")</f>
        <v/>
      </c>
      <c r="O94" s="11">
        <f>IF(AND(ISNUMBER(O71),N($V$74)&gt;0),O71/$V$74,"")</f>
        <v/>
      </c>
      <c r="P94" s="11">
        <f>IF(AND(ISNUMBER(P71),N($V$74)&gt;0),P71/$V$74,"")</f>
        <v/>
      </c>
      <c r="Q94" s="11">
        <f>IF(AND(ISNUMBER(Q71),N($V$74)&gt;0),Q71/$V$74,"")</f>
        <v/>
      </c>
      <c r="R94" s="11">
        <f>IF(AND(ISNUMBER(R71),N($V$74)&gt;0),R71/$V$74,"")</f>
        <v/>
      </c>
      <c r="S94" s="11">
        <f>IF(AND(ISNUMBER(S71),N($V$74)&gt;0),S71/$V$74,"")</f>
        <v/>
      </c>
      <c r="T94" s="11">
        <f>IF(AND(ISNUMBER(T71),N($V$74)&gt;0),T71/$V$74,"")</f>
        <v/>
      </c>
      <c r="U94" s="11">
        <f>IF(AND(ISNUMBER(U71),N($V$74)&gt;0),U71/$V$74,"")</f>
        <v/>
      </c>
      <c r="V94" s="11">
        <f>IF(AND(ISNUMBER($V71),N($V$74)&gt;0),$V71/$V$74,"")</f>
        <v/>
      </c>
    </row>
    <row r="95">
      <c r="A95" s="44">
        <f>$A72</f>
        <v/>
      </c>
      <c r="B95" s="11">
        <f>IF(AND(ISNUMBER(B72),N($V$74)&gt;0),B72/$V$74,"")</f>
        <v/>
      </c>
      <c r="C95" s="11">
        <f>IF(AND(ISNUMBER(C72),N($V$74)&gt;0),C72/$V$74,"")</f>
        <v/>
      </c>
      <c r="D95" s="11">
        <f>IF(AND(ISNUMBER(D72),N($V$74)&gt;0),D72/$V$74,"")</f>
        <v/>
      </c>
      <c r="E95" s="11">
        <f>IF(AND(ISNUMBER(E72),N($V$74)&gt;0),E72/$V$74,"")</f>
        <v/>
      </c>
      <c r="F95" s="11">
        <f>IF(AND(ISNUMBER(F72),N($V$74)&gt;0),F72/$V$74,"")</f>
        <v/>
      </c>
      <c r="G95" s="11">
        <f>IF(AND(ISNUMBER(G72),N($V$74)&gt;0),G72/$V$74,"")</f>
        <v/>
      </c>
      <c r="H95" s="11">
        <f>IF(AND(ISNUMBER(H72),N($V$74)&gt;0),H72/$V$74,"")</f>
        <v/>
      </c>
      <c r="I95" s="11">
        <f>IF(AND(ISNUMBER(I72),N($V$74)&gt;0),I72/$V$74,"")</f>
        <v/>
      </c>
      <c r="J95" s="11">
        <f>IF(AND(ISNUMBER(J72),N($V$74)&gt;0),J72/$V$74,"")</f>
        <v/>
      </c>
      <c r="K95" s="11">
        <f>IF(AND(ISNUMBER(K72),N($V$74)&gt;0),K72/$V$74,"")</f>
        <v/>
      </c>
      <c r="L95" s="11">
        <f>IF(AND(ISNUMBER(L72),N($V$74)&gt;0),L72/$V$74,"")</f>
        <v/>
      </c>
      <c r="M95" s="11">
        <f>IF(AND(ISNUMBER(M72),N($V$74)&gt;0),M72/$V$74,"")</f>
        <v/>
      </c>
      <c r="N95" s="11">
        <f>IF(AND(ISNUMBER(N72),N($V$74)&gt;0),N72/$V$74,"")</f>
        <v/>
      </c>
      <c r="O95" s="11">
        <f>IF(AND(ISNUMBER(O72),N($V$74)&gt;0),O72/$V$74,"")</f>
        <v/>
      </c>
      <c r="P95" s="11">
        <f>IF(AND(ISNUMBER(P72),N($V$74)&gt;0),P72/$V$74,"")</f>
        <v/>
      </c>
      <c r="Q95" s="11">
        <f>IF(AND(ISNUMBER(Q72),N($V$74)&gt;0),Q72/$V$74,"")</f>
        <v/>
      </c>
      <c r="R95" s="11">
        <f>IF(AND(ISNUMBER(R72),N($V$74)&gt;0),R72/$V$74,"")</f>
        <v/>
      </c>
      <c r="S95" s="11">
        <f>IF(AND(ISNUMBER(S72),N($V$74)&gt;0),S72/$V$74,"")</f>
        <v/>
      </c>
      <c r="T95" s="11">
        <f>IF(AND(ISNUMBER(T72),N($V$74)&gt;0),T72/$V$74,"")</f>
        <v/>
      </c>
      <c r="U95" s="11">
        <f>IF(AND(ISNUMBER(U72),N($V$74)&gt;0),U72/$V$74,"")</f>
        <v/>
      </c>
      <c r="V95" s="11">
        <f>IF(AND(ISNUMBER($V72),N($V$74)&gt;0),$V72/$V$74,"")</f>
        <v/>
      </c>
    </row>
    <row r="96">
      <c r="A96" s="44">
        <f>$A73</f>
        <v/>
      </c>
      <c r="B96" s="11">
        <f>IF(AND(ISNUMBER(B73),N($V$74)&gt;0),B73/$V$74,"")</f>
        <v/>
      </c>
      <c r="C96" s="11">
        <f>IF(AND(ISNUMBER(C73),N($V$74)&gt;0),C73/$V$74,"")</f>
        <v/>
      </c>
      <c r="D96" s="11">
        <f>IF(AND(ISNUMBER(D73),N($V$74)&gt;0),D73/$V$74,"")</f>
        <v/>
      </c>
      <c r="E96" s="11">
        <f>IF(AND(ISNUMBER(E73),N($V$74)&gt;0),E73/$V$74,"")</f>
        <v/>
      </c>
      <c r="F96" s="11">
        <f>IF(AND(ISNUMBER(F73),N($V$74)&gt;0),F73/$V$74,"")</f>
        <v/>
      </c>
      <c r="G96" s="11">
        <f>IF(AND(ISNUMBER(G73),N($V$74)&gt;0),G73/$V$74,"")</f>
        <v/>
      </c>
      <c r="H96" s="11">
        <f>IF(AND(ISNUMBER(H73),N($V$74)&gt;0),H73/$V$74,"")</f>
        <v/>
      </c>
      <c r="I96" s="11">
        <f>IF(AND(ISNUMBER(I73),N($V$74)&gt;0),I73/$V$74,"")</f>
        <v/>
      </c>
      <c r="J96" s="11">
        <f>IF(AND(ISNUMBER(J73),N($V$74)&gt;0),J73/$V$74,"")</f>
        <v/>
      </c>
      <c r="K96" s="11">
        <f>IF(AND(ISNUMBER(K73),N($V$74)&gt;0),K73/$V$74,"")</f>
        <v/>
      </c>
      <c r="L96" s="11">
        <f>IF(AND(ISNUMBER(L73),N($V$74)&gt;0),L73/$V$74,"")</f>
        <v/>
      </c>
      <c r="M96" s="11">
        <f>IF(AND(ISNUMBER(M73),N($V$74)&gt;0),M73/$V$74,"")</f>
        <v/>
      </c>
      <c r="N96" s="11">
        <f>IF(AND(ISNUMBER(N73),N($V$74)&gt;0),N73/$V$74,"")</f>
        <v/>
      </c>
      <c r="O96" s="11">
        <f>IF(AND(ISNUMBER(O73),N($V$74)&gt;0),O73/$V$74,"")</f>
        <v/>
      </c>
      <c r="P96" s="11">
        <f>IF(AND(ISNUMBER(P73),N($V$74)&gt;0),P73/$V$74,"")</f>
        <v/>
      </c>
      <c r="Q96" s="11">
        <f>IF(AND(ISNUMBER(Q73),N($V$74)&gt;0),Q73/$V$74,"")</f>
        <v/>
      </c>
      <c r="R96" s="11">
        <f>IF(AND(ISNUMBER(R73),N($V$74)&gt;0),R73/$V$74,"")</f>
        <v/>
      </c>
      <c r="S96" s="11">
        <f>IF(AND(ISNUMBER(S73),N($V$74)&gt;0),S73/$V$74,"")</f>
        <v/>
      </c>
      <c r="T96" s="11">
        <f>IF(AND(ISNUMBER(T73),N($V$74)&gt;0),T73/$V$74,"")</f>
        <v/>
      </c>
      <c r="U96" s="11">
        <f>IF(AND(ISNUMBER(U73),N($V$74)&gt;0),U73/$V$74,"")</f>
        <v/>
      </c>
      <c r="V96" s="11">
        <f>IF(AND(ISNUMBER($V73),N($V$74)&gt;0),$V73/$V$74,"")</f>
        <v/>
      </c>
    </row>
    <row r="97">
      <c r="A97" s="20" t="inlineStr">
        <is>
          <t>P(Y)</t>
        </is>
      </c>
      <c r="B97" s="11">
        <f>IF(AND(ISNUMBER(B$74),N($V$74)&gt;0),B$74/$V$74,"")</f>
        <v/>
      </c>
      <c r="C97" s="11">
        <f>IF(AND(ISNUMBER(C$74),N($V$74)&gt;0),C$74/$V$74,"")</f>
        <v/>
      </c>
      <c r="D97" s="11">
        <f>IF(AND(ISNUMBER(D$74),N($V$74)&gt;0),D$74/$V$74,"")</f>
        <v/>
      </c>
      <c r="E97" s="11">
        <f>IF(AND(ISNUMBER(E$74),N($V$74)&gt;0),E$74/$V$74,"")</f>
        <v/>
      </c>
      <c r="F97" s="11">
        <f>IF(AND(ISNUMBER(F$74),N($V$74)&gt;0),F$74/$V$74,"")</f>
        <v/>
      </c>
      <c r="G97" s="11">
        <f>IF(AND(ISNUMBER(G$74),N($V$74)&gt;0),G$74/$V$74,"")</f>
        <v/>
      </c>
      <c r="H97" s="11">
        <f>IF(AND(ISNUMBER(H$74),N($V$74)&gt;0),H$74/$V$74,"")</f>
        <v/>
      </c>
      <c r="I97" s="11">
        <f>IF(AND(ISNUMBER(I$74),N($V$74)&gt;0),I$74/$V$74,"")</f>
        <v/>
      </c>
      <c r="J97" s="11">
        <f>IF(AND(ISNUMBER(J$74),N($V$74)&gt;0),J$74/$V$74,"")</f>
        <v/>
      </c>
      <c r="K97" s="11">
        <f>IF(AND(ISNUMBER(K$74),N($V$74)&gt;0),K$74/$V$74,"")</f>
        <v/>
      </c>
      <c r="L97" s="11">
        <f>IF(AND(ISNUMBER(L$74),N($V$74)&gt;0),L$74/$V$74,"")</f>
        <v/>
      </c>
      <c r="M97" s="11">
        <f>IF(AND(ISNUMBER(M$74),N($V$74)&gt;0),M$74/$V$74,"")</f>
        <v/>
      </c>
      <c r="N97" s="11">
        <f>IF(AND(ISNUMBER(N$74),N($V$74)&gt;0),N$74/$V$74,"")</f>
        <v/>
      </c>
      <c r="O97" s="11">
        <f>IF(AND(ISNUMBER(O$74),N($V$74)&gt;0),O$74/$V$74,"")</f>
        <v/>
      </c>
      <c r="P97" s="11">
        <f>IF(AND(ISNUMBER(P$74),N($V$74)&gt;0),P$74/$V$74,"")</f>
        <v/>
      </c>
      <c r="Q97" s="11">
        <f>IF(AND(ISNUMBER(Q$74),N($V$74)&gt;0),Q$74/$V$74,"")</f>
        <v/>
      </c>
      <c r="R97" s="11">
        <f>IF(AND(ISNUMBER(R$74),N($V$74)&gt;0),R$74/$V$74,"")</f>
        <v/>
      </c>
      <c r="S97" s="11">
        <f>IF(AND(ISNUMBER(S$74),N($V$74)&gt;0),S$74/$V$74,"")</f>
        <v/>
      </c>
      <c r="T97" s="11">
        <f>IF(AND(ISNUMBER(T$74),N($V$74)&gt;0),T$74/$V$74,"")</f>
        <v/>
      </c>
      <c r="U97" s="11">
        <f>IF(AND(ISNUMBER(U$74),N($V$74)&gt;0),U$74/$V$74,"")</f>
        <v/>
      </c>
    </row>
    <row r="99">
      <c r="A99" s="44">
        <f>"P(Y | X) = n / rijtotaal (elke rij is een verdeling); onderaan P(Y) om te vergelijken"</f>
        <v/>
      </c>
      <c r="B99" s="44">
        <f>B$53</f>
        <v/>
      </c>
      <c r="C99" s="44">
        <f>C$53</f>
        <v/>
      </c>
      <c r="D99" s="44">
        <f>D$53</f>
        <v/>
      </c>
      <c r="E99" s="44">
        <f>E$53</f>
        <v/>
      </c>
      <c r="F99" s="44">
        <f>F$53</f>
        <v/>
      </c>
      <c r="G99" s="44">
        <f>G$53</f>
        <v/>
      </c>
      <c r="H99" s="44">
        <f>H$53</f>
        <v/>
      </c>
      <c r="I99" s="44">
        <f>I$53</f>
        <v/>
      </c>
      <c r="J99" s="44">
        <f>J$53</f>
        <v/>
      </c>
      <c r="K99" s="44">
        <f>K$53</f>
        <v/>
      </c>
      <c r="L99" s="44">
        <f>L$53</f>
        <v/>
      </c>
      <c r="M99" s="44">
        <f>M$53</f>
        <v/>
      </c>
      <c r="N99" s="44">
        <f>N$53</f>
        <v/>
      </c>
      <c r="O99" s="44">
        <f>O$53</f>
        <v/>
      </c>
      <c r="P99" s="44">
        <f>P$53</f>
        <v/>
      </c>
      <c r="Q99" s="44">
        <f>Q$53</f>
        <v/>
      </c>
      <c r="R99" s="44">
        <f>R$53</f>
        <v/>
      </c>
      <c r="S99" s="44">
        <f>S$53</f>
        <v/>
      </c>
      <c r="T99" s="44">
        <f>T$53</f>
        <v/>
      </c>
      <c r="U99" s="44">
        <f>U$53</f>
        <v/>
      </c>
    </row>
    <row r="100">
      <c r="A100" s="44">
        <f>$A54</f>
        <v/>
      </c>
      <c r="B100" s="11">
        <f>IF(AND(ISNUMBER(B54),N($V54)&gt;0),B54/$V54,"")</f>
        <v/>
      </c>
      <c r="C100" s="11">
        <f>IF(AND(ISNUMBER(C54),N($V54)&gt;0),C54/$V54,"")</f>
        <v/>
      </c>
      <c r="D100" s="11">
        <f>IF(AND(ISNUMBER(D54),N($V54)&gt;0),D54/$V54,"")</f>
        <v/>
      </c>
      <c r="E100" s="11">
        <f>IF(AND(ISNUMBER(E54),N($V54)&gt;0),E54/$V54,"")</f>
        <v/>
      </c>
      <c r="F100" s="11">
        <f>IF(AND(ISNUMBER(F54),N($V54)&gt;0),F54/$V54,"")</f>
        <v/>
      </c>
      <c r="G100" s="11">
        <f>IF(AND(ISNUMBER(G54),N($V54)&gt;0),G54/$V54,"")</f>
        <v/>
      </c>
      <c r="H100" s="11">
        <f>IF(AND(ISNUMBER(H54),N($V54)&gt;0),H54/$V54,"")</f>
        <v/>
      </c>
      <c r="I100" s="11">
        <f>IF(AND(ISNUMBER(I54),N($V54)&gt;0),I54/$V54,"")</f>
        <v/>
      </c>
      <c r="J100" s="11">
        <f>IF(AND(ISNUMBER(J54),N($V54)&gt;0),J54/$V54,"")</f>
        <v/>
      </c>
      <c r="K100" s="11">
        <f>IF(AND(ISNUMBER(K54),N($V54)&gt;0),K54/$V54,"")</f>
        <v/>
      </c>
      <c r="L100" s="11">
        <f>IF(AND(ISNUMBER(L54),N($V54)&gt;0),L54/$V54,"")</f>
        <v/>
      </c>
      <c r="M100" s="11">
        <f>IF(AND(ISNUMBER(M54),N($V54)&gt;0),M54/$V54,"")</f>
        <v/>
      </c>
      <c r="N100" s="11">
        <f>IF(AND(ISNUMBER(N54),N($V54)&gt;0),N54/$V54,"")</f>
        <v/>
      </c>
      <c r="O100" s="11">
        <f>IF(AND(ISNUMBER(O54),N($V54)&gt;0),O54/$V54,"")</f>
        <v/>
      </c>
      <c r="P100" s="11">
        <f>IF(AND(ISNUMBER(P54),N($V54)&gt;0),P54/$V54,"")</f>
        <v/>
      </c>
      <c r="Q100" s="11">
        <f>IF(AND(ISNUMBER(Q54),N($V54)&gt;0),Q54/$V54,"")</f>
        <v/>
      </c>
      <c r="R100" s="11">
        <f>IF(AND(ISNUMBER(R54),N($V54)&gt;0),R54/$V54,"")</f>
        <v/>
      </c>
      <c r="S100" s="11">
        <f>IF(AND(ISNUMBER(S54),N($V54)&gt;0),S54/$V54,"")</f>
        <v/>
      </c>
      <c r="T100" s="11">
        <f>IF(AND(ISNUMBER(T54),N($V54)&gt;0),T54/$V54,"")</f>
        <v/>
      </c>
      <c r="U100" s="11">
        <f>IF(AND(ISNUMBER(U54),N($V54)&gt;0),U54/$V54,"")</f>
        <v/>
      </c>
    </row>
    <row r="101">
      <c r="A101" s="44">
        <f>$A55</f>
        <v/>
      </c>
      <c r="B101" s="11">
        <f>IF(AND(ISNUMBER(B55),N($V55)&gt;0),B55/$V55,"")</f>
        <v/>
      </c>
      <c r="C101" s="11">
        <f>IF(AND(ISNUMBER(C55),N($V55)&gt;0),C55/$V55,"")</f>
        <v/>
      </c>
      <c r="D101" s="11">
        <f>IF(AND(ISNUMBER(D55),N($V55)&gt;0),D55/$V55,"")</f>
        <v/>
      </c>
      <c r="E101" s="11">
        <f>IF(AND(ISNUMBER(E55),N($V55)&gt;0),E55/$V55,"")</f>
        <v/>
      </c>
      <c r="F101" s="11">
        <f>IF(AND(ISNUMBER(F55),N($V55)&gt;0),F55/$V55,"")</f>
        <v/>
      </c>
      <c r="G101" s="11">
        <f>IF(AND(ISNUMBER(G55),N($V55)&gt;0),G55/$V55,"")</f>
        <v/>
      </c>
      <c r="H101" s="11">
        <f>IF(AND(ISNUMBER(H55),N($V55)&gt;0),H55/$V55,"")</f>
        <v/>
      </c>
      <c r="I101" s="11">
        <f>IF(AND(ISNUMBER(I55),N($V55)&gt;0),I55/$V55,"")</f>
        <v/>
      </c>
      <c r="J101" s="11">
        <f>IF(AND(ISNUMBER(J55),N($V55)&gt;0),J55/$V55,"")</f>
        <v/>
      </c>
      <c r="K101" s="11">
        <f>IF(AND(ISNUMBER(K55),N($V55)&gt;0),K55/$V55,"")</f>
        <v/>
      </c>
      <c r="L101" s="11">
        <f>IF(AND(ISNUMBER(L55),N($V55)&gt;0),L55/$V55,"")</f>
        <v/>
      </c>
      <c r="M101" s="11">
        <f>IF(AND(ISNUMBER(M55),N($V55)&gt;0),M55/$V55,"")</f>
        <v/>
      </c>
      <c r="N101" s="11">
        <f>IF(AND(ISNUMBER(N55),N($V55)&gt;0),N55/$V55,"")</f>
        <v/>
      </c>
      <c r="O101" s="11">
        <f>IF(AND(ISNUMBER(O55),N($V55)&gt;0),O55/$V55,"")</f>
        <v/>
      </c>
      <c r="P101" s="11">
        <f>IF(AND(ISNUMBER(P55),N($V55)&gt;0),P55/$V55,"")</f>
        <v/>
      </c>
      <c r="Q101" s="11">
        <f>IF(AND(ISNUMBER(Q55),N($V55)&gt;0),Q55/$V55,"")</f>
        <v/>
      </c>
      <c r="R101" s="11">
        <f>IF(AND(ISNUMBER(R55),N($V55)&gt;0),R55/$V55,"")</f>
        <v/>
      </c>
      <c r="S101" s="11">
        <f>IF(AND(ISNUMBER(S55),N($V55)&gt;0),S55/$V55,"")</f>
        <v/>
      </c>
      <c r="T101" s="11">
        <f>IF(AND(ISNUMBER(T55),N($V55)&gt;0),T55/$V55,"")</f>
        <v/>
      </c>
      <c r="U101" s="11">
        <f>IF(AND(ISNUMBER(U55),N($V55)&gt;0),U55/$V55,"")</f>
        <v/>
      </c>
    </row>
    <row r="102">
      <c r="A102" s="44">
        <f>$A56</f>
        <v/>
      </c>
      <c r="B102" s="11">
        <f>IF(AND(ISNUMBER(B56),N($V56)&gt;0),B56/$V56,"")</f>
        <v/>
      </c>
      <c r="C102" s="11">
        <f>IF(AND(ISNUMBER(C56),N($V56)&gt;0),C56/$V56,"")</f>
        <v/>
      </c>
      <c r="D102" s="11">
        <f>IF(AND(ISNUMBER(D56),N($V56)&gt;0),D56/$V56,"")</f>
        <v/>
      </c>
      <c r="E102" s="11">
        <f>IF(AND(ISNUMBER(E56),N($V56)&gt;0),E56/$V56,"")</f>
        <v/>
      </c>
      <c r="F102" s="11">
        <f>IF(AND(ISNUMBER(F56),N($V56)&gt;0),F56/$V56,"")</f>
        <v/>
      </c>
      <c r="G102" s="11">
        <f>IF(AND(ISNUMBER(G56),N($V56)&gt;0),G56/$V56,"")</f>
        <v/>
      </c>
      <c r="H102" s="11">
        <f>IF(AND(ISNUMBER(H56),N($V56)&gt;0),H56/$V56,"")</f>
        <v/>
      </c>
      <c r="I102" s="11">
        <f>IF(AND(ISNUMBER(I56),N($V56)&gt;0),I56/$V56,"")</f>
        <v/>
      </c>
      <c r="J102" s="11">
        <f>IF(AND(ISNUMBER(J56),N($V56)&gt;0),J56/$V56,"")</f>
        <v/>
      </c>
      <c r="K102" s="11">
        <f>IF(AND(ISNUMBER(K56),N($V56)&gt;0),K56/$V56,"")</f>
        <v/>
      </c>
      <c r="L102" s="11">
        <f>IF(AND(ISNUMBER(L56),N($V56)&gt;0),L56/$V56,"")</f>
        <v/>
      </c>
      <c r="M102" s="11">
        <f>IF(AND(ISNUMBER(M56),N($V56)&gt;0),M56/$V56,"")</f>
        <v/>
      </c>
      <c r="N102" s="11">
        <f>IF(AND(ISNUMBER(N56),N($V56)&gt;0),N56/$V56,"")</f>
        <v/>
      </c>
      <c r="O102" s="11">
        <f>IF(AND(ISNUMBER(O56),N($V56)&gt;0),O56/$V56,"")</f>
        <v/>
      </c>
      <c r="P102" s="11">
        <f>IF(AND(ISNUMBER(P56),N($V56)&gt;0),P56/$V56,"")</f>
        <v/>
      </c>
      <c r="Q102" s="11">
        <f>IF(AND(ISNUMBER(Q56),N($V56)&gt;0),Q56/$V56,"")</f>
        <v/>
      </c>
      <c r="R102" s="11">
        <f>IF(AND(ISNUMBER(R56),N($V56)&gt;0),R56/$V56,"")</f>
        <v/>
      </c>
      <c r="S102" s="11">
        <f>IF(AND(ISNUMBER(S56),N($V56)&gt;0),S56/$V56,"")</f>
        <v/>
      </c>
      <c r="T102" s="11">
        <f>IF(AND(ISNUMBER(T56),N($V56)&gt;0),T56/$V56,"")</f>
        <v/>
      </c>
      <c r="U102" s="11">
        <f>IF(AND(ISNUMBER(U56),N($V56)&gt;0),U56/$V56,"")</f>
        <v/>
      </c>
    </row>
    <row r="103">
      <c r="A103" s="44">
        <f>$A57</f>
        <v/>
      </c>
      <c r="B103" s="11">
        <f>IF(AND(ISNUMBER(B57),N($V57)&gt;0),B57/$V57,"")</f>
        <v/>
      </c>
      <c r="C103" s="11">
        <f>IF(AND(ISNUMBER(C57),N($V57)&gt;0),C57/$V57,"")</f>
        <v/>
      </c>
      <c r="D103" s="11">
        <f>IF(AND(ISNUMBER(D57),N($V57)&gt;0),D57/$V57,"")</f>
        <v/>
      </c>
      <c r="E103" s="11">
        <f>IF(AND(ISNUMBER(E57),N($V57)&gt;0),E57/$V57,"")</f>
        <v/>
      </c>
      <c r="F103" s="11">
        <f>IF(AND(ISNUMBER(F57),N($V57)&gt;0),F57/$V57,"")</f>
        <v/>
      </c>
      <c r="G103" s="11">
        <f>IF(AND(ISNUMBER(G57),N($V57)&gt;0),G57/$V57,"")</f>
        <v/>
      </c>
      <c r="H103" s="11">
        <f>IF(AND(ISNUMBER(H57),N($V57)&gt;0),H57/$V57,"")</f>
        <v/>
      </c>
      <c r="I103" s="11">
        <f>IF(AND(ISNUMBER(I57),N($V57)&gt;0),I57/$V57,"")</f>
        <v/>
      </c>
      <c r="J103" s="11">
        <f>IF(AND(ISNUMBER(J57),N($V57)&gt;0),J57/$V57,"")</f>
        <v/>
      </c>
      <c r="K103" s="11">
        <f>IF(AND(ISNUMBER(K57),N($V57)&gt;0),K57/$V57,"")</f>
        <v/>
      </c>
      <c r="L103" s="11">
        <f>IF(AND(ISNUMBER(L57),N($V57)&gt;0),L57/$V57,"")</f>
        <v/>
      </c>
      <c r="M103" s="11">
        <f>IF(AND(ISNUMBER(M57),N($V57)&gt;0),M57/$V57,"")</f>
        <v/>
      </c>
      <c r="N103" s="11">
        <f>IF(AND(ISNUMBER(N57),N($V57)&gt;0),N57/$V57,"")</f>
        <v/>
      </c>
      <c r="O103" s="11">
        <f>IF(AND(ISNUMBER(O57),N($V57)&gt;0),O57/$V57,"")</f>
        <v/>
      </c>
      <c r="P103" s="11">
        <f>IF(AND(ISNUMBER(P57),N($V57)&gt;0),P57/$V57,"")</f>
        <v/>
      </c>
      <c r="Q103" s="11">
        <f>IF(AND(ISNUMBER(Q57),N($V57)&gt;0),Q57/$V57,"")</f>
        <v/>
      </c>
      <c r="R103" s="11">
        <f>IF(AND(ISNUMBER(R57),N($V57)&gt;0),R57/$V57,"")</f>
        <v/>
      </c>
      <c r="S103" s="11">
        <f>IF(AND(ISNUMBER(S57),N($V57)&gt;0),S57/$V57,"")</f>
        <v/>
      </c>
      <c r="T103" s="11">
        <f>IF(AND(ISNUMBER(T57),N($V57)&gt;0),T57/$V57,"")</f>
        <v/>
      </c>
      <c r="U103" s="11">
        <f>IF(AND(ISNUMBER(U57),N($V57)&gt;0),U57/$V57,"")</f>
        <v/>
      </c>
    </row>
    <row r="104">
      <c r="A104" s="44">
        <f>$A58</f>
        <v/>
      </c>
      <c r="B104" s="11">
        <f>IF(AND(ISNUMBER(B58),N($V58)&gt;0),B58/$V58,"")</f>
        <v/>
      </c>
      <c r="C104" s="11">
        <f>IF(AND(ISNUMBER(C58),N($V58)&gt;0),C58/$V58,"")</f>
        <v/>
      </c>
      <c r="D104" s="11">
        <f>IF(AND(ISNUMBER(D58),N($V58)&gt;0),D58/$V58,"")</f>
        <v/>
      </c>
      <c r="E104" s="11">
        <f>IF(AND(ISNUMBER(E58),N($V58)&gt;0),E58/$V58,"")</f>
        <v/>
      </c>
      <c r="F104" s="11">
        <f>IF(AND(ISNUMBER(F58),N($V58)&gt;0),F58/$V58,"")</f>
        <v/>
      </c>
      <c r="G104" s="11">
        <f>IF(AND(ISNUMBER(G58),N($V58)&gt;0),G58/$V58,"")</f>
        <v/>
      </c>
      <c r="H104" s="11">
        <f>IF(AND(ISNUMBER(H58),N($V58)&gt;0),H58/$V58,"")</f>
        <v/>
      </c>
      <c r="I104" s="11">
        <f>IF(AND(ISNUMBER(I58),N($V58)&gt;0),I58/$V58,"")</f>
        <v/>
      </c>
      <c r="J104" s="11">
        <f>IF(AND(ISNUMBER(J58),N($V58)&gt;0),J58/$V58,"")</f>
        <v/>
      </c>
      <c r="K104" s="11">
        <f>IF(AND(ISNUMBER(K58),N($V58)&gt;0),K58/$V58,"")</f>
        <v/>
      </c>
      <c r="L104" s="11">
        <f>IF(AND(ISNUMBER(L58),N($V58)&gt;0),L58/$V58,"")</f>
        <v/>
      </c>
      <c r="M104" s="11">
        <f>IF(AND(ISNUMBER(M58),N($V58)&gt;0),M58/$V58,"")</f>
        <v/>
      </c>
      <c r="N104" s="11">
        <f>IF(AND(ISNUMBER(N58),N($V58)&gt;0),N58/$V58,"")</f>
        <v/>
      </c>
      <c r="O104" s="11">
        <f>IF(AND(ISNUMBER(O58),N($V58)&gt;0),O58/$V58,"")</f>
        <v/>
      </c>
      <c r="P104" s="11">
        <f>IF(AND(ISNUMBER(P58),N($V58)&gt;0),P58/$V58,"")</f>
        <v/>
      </c>
      <c r="Q104" s="11">
        <f>IF(AND(ISNUMBER(Q58),N($V58)&gt;0),Q58/$V58,"")</f>
        <v/>
      </c>
      <c r="R104" s="11">
        <f>IF(AND(ISNUMBER(R58),N($V58)&gt;0),R58/$V58,"")</f>
        <v/>
      </c>
      <c r="S104" s="11">
        <f>IF(AND(ISNUMBER(S58),N($V58)&gt;0),S58/$V58,"")</f>
        <v/>
      </c>
      <c r="T104" s="11">
        <f>IF(AND(ISNUMBER(T58),N($V58)&gt;0),T58/$V58,"")</f>
        <v/>
      </c>
      <c r="U104" s="11">
        <f>IF(AND(ISNUMBER(U58),N($V58)&gt;0),U58/$V58,"")</f>
        <v/>
      </c>
    </row>
    <row r="105">
      <c r="A105" s="44">
        <f>$A59</f>
        <v/>
      </c>
      <c r="B105" s="11">
        <f>IF(AND(ISNUMBER(B59),N($V59)&gt;0),B59/$V59,"")</f>
        <v/>
      </c>
      <c r="C105" s="11">
        <f>IF(AND(ISNUMBER(C59),N($V59)&gt;0),C59/$V59,"")</f>
        <v/>
      </c>
      <c r="D105" s="11">
        <f>IF(AND(ISNUMBER(D59),N($V59)&gt;0),D59/$V59,"")</f>
        <v/>
      </c>
      <c r="E105" s="11">
        <f>IF(AND(ISNUMBER(E59),N($V59)&gt;0),E59/$V59,"")</f>
        <v/>
      </c>
      <c r="F105" s="11">
        <f>IF(AND(ISNUMBER(F59),N($V59)&gt;0),F59/$V59,"")</f>
        <v/>
      </c>
      <c r="G105" s="11">
        <f>IF(AND(ISNUMBER(G59),N($V59)&gt;0),G59/$V59,"")</f>
        <v/>
      </c>
      <c r="H105" s="11">
        <f>IF(AND(ISNUMBER(H59),N($V59)&gt;0),H59/$V59,"")</f>
        <v/>
      </c>
      <c r="I105" s="11">
        <f>IF(AND(ISNUMBER(I59),N($V59)&gt;0),I59/$V59,"")</f>
        <v/>
      </c>
      <c r="J105" s="11">
        <f>IF(AND(ISNUMBER(J59),N($V59)&gt;0),J59/$V59,"")</f>
        <v/>
      </c>
      <c r="K105" s="11">
        <f>IF(AND(ISNUMBER(K59),N($V59)&gt;0),K59/$V59,"")</f>
        <v/>
      </c>
      <c r="L105" s="11">
        <f>IF(AND(ISNUMBER(L59),N($V59)&gt;0),L59/$V59,"")</f>
        <v/>
      </c>
      <c r="M105" s="11">
        <f>IF(AND(ISNUMBER(M59),N($V59)&gt;0),M59/$V59,"")</f>
        <v/>
      </c>
      <c r="N105" s="11">
        <f>IF(AND(ISNUMBER(N59),N($V59)&gt;0),N59/$V59,"")</f>
        <v/>
      </c>
      <c r="O105" s="11">
        <f>IF(AND(ISNUMBER(O59),N($V59)&gt;0),O59/$V59,"")</f>
        <v/>
      </c>
      <c r="P105" s="11">
        <f>IF(AND(ISNUMBER(P59),N($V59)&gt;0),P59/$V59,"")</f>
        <v/>
      </c>
      <c r="Q105" s="11">
        <f>IF(AND(ISNUMBER(Q59),N($V59)&gt;0),Q59/$V59,"")</f>
        <v/>
      </c>
      <c r="R105" s="11">
        <f>IF(AND(ISNUMBER(R59),N($V59)&gt;0),R59/$V59,"")</f>
        <v/>
      </c>
      <c r="S105" s="11">
        <f>IF(AND(ISNUMBER(S59),N($V59)&gt;0),S59/$V59,"")</f>
        <v/>
      </c>
      <c r="T105" s="11">
        <f>IF(AND(ISNUMBER(T59),N($V59)&gt;0),T59/$V59,"")</f>
        <v/>
      </c>
      <c r="U105" s="11">
        <f>IF(AND(ISNUMBER(U59),N($V59)&gt;0),U59/$V59,"")</f>
        <v/>
      </c>
    </row>
    <row r="106">
      <c r="A106" s="44">
        <f>$A60</f>
        <v/>
      </c>
      <c r="B106" s="11">
        <f>IF(AND(ISNUMBER(B60),N($V60)&gt;0),B60/$V60,"")</f>
        <v/>
      </c>
      <c r="C106" s="11">
        <f>IF(AND(ISNUMBER(C60),N($V60)&gt;0),C60/$V60,"")</f>
        <v/>
      </c>
      <c r="D106" s="11">
        <f>IF(AND(ISNUMBER(D60),N($V60)&gt;0),D60/$V60,"")</f>
        <v/>
      </c>
      <c r="E106" s="11">
        <f>IF(AND(ISNUMBER(E60),N($V60)&gt;0),E60/$V60,"")</f>
        <v/>
      </c>
      <c r="F106" s="11">
        <f>IF(AND(ISNUMBER(F60),N($V60)&gt;0),F60/$V60,"")</f>
        <v/>
      </c>
      <c r="G106" s="11">
        <f>IF(AND(ISNUMBER(G60),N($V60)&gt;0),G60/$V60,"")</f>
        <v/>
      </c>
      <c r="H106" s="11">
        <f>IF(AND(ISNUMBER(H60),N($V60)&gt;0),H60/$V60,"")</f>
        <v/>
      </c>
      <c r="I106" s="11">
        <f>IF(AND(ISNUMBER(I60),N($V60)&gt;0),I60/$V60,"")</f>
        <v/>
      </c>
      <c r="J106" s="11">
        <f>IF(AND(ISNUMBER(J60),N($V60)&gt;0),J60/$V60,"")</f>
        <v/>
      </c>
      <c r="K106" s="11">
        <f>IF(AND(ISNUMBER(K60),N($V60)&gt;0),K60/$V60,"")</f>
        <v/>
      </c>
      <c r="L106" s="11">
        <f>IF(AND(ISNUMBER(L60),N($V60)&gt;0),L60/$V60,"")</f>
        <v/>
      </c>
      <c r="M106" s="11">
        <f>IF(AND(ISNUMBER(M60),N($V60)&gt;0),M60/$V60,"")</f>
        <v/>
      </c>
      <c r="N106" s="11">
        <f>IF(AND(ISNUMBER(N60),N($V60)&gt;0),N60/$V60,"")</f>
        <v/>
      </c>
      <c r="O106" s="11">
        <f>IF(AND(ISNUMBER(O60),N($V60)&gt;0),O60/$V60,"")</f>
        <v/>
      </c>
      <c r="P106" s="11">
        <f>IF(AND(ISNUMBER(P60),N($V60)&gt;0),P60/$V60,"")</f>
        <v/>
      </c>
      <c r="Q106" s="11">
        <f>IF(AND(ISNUMBER(Q60),N($V60)&gt;0),Q60/$V60,"")</f>
        <v/>
      </c>
      <c r="R106" s="11">
        <f>IF(AND(ISNUMBER(R60),N($V60)&gt;0),R60/$V60,"")</f>
        <v/>
      </c>
      <c r="S106" s="11">
        <f>IF(AND(ISNUMBER(S60),N($V60)&gt;0),S60/$V60,"")</f>
        <v/>
      </c>
      <c r="T106" s="11">
        <f>IF(AND(ISNUMBER(T60),N($V60)&gt;0),T60/$V60,"")</f>
        <v/>
      </c>
      <c r="U106" s="11">
        <f>IF(AND(ISNUMBER(U60),N($V60)&gt;0),U60/$V60,"")</f>
        <v/>
      </c>
    </row>
    <row r="107">
      <c r="A107" s="44">
        <f>$A61</f>
        <v/>
      </c>
      <c r="B107" s="11">
        <f>IF(AND(ISNUMBER(B61),N($V61)&gt;0),B61/$V61,"")</f>
        <v/>
      </c>
      <c r="C107" s="11">
        <f>IF(AND(ISNUMBER(C61),N($V61)&gt;0),C61/$V61,"")</f>
        <v/>
      </c>
      <c r="D107" s="11">
        <f>IF(AND(ISNUMBER(D61),N($V61)&gt;0),D61/$V61,"")</f>
        <v/>
      </c>
      <c r="E107" s="11">
        <f>IF(AND(ISNUMBER(E61),N($V61)&gt;0),E61/$V61,"")</f>
        <v/>
      </c>
      <c r="F107" s="11">
        <f>IF(AND(ISNUMBER(F61),N($V61)&gt;0),F61/$V61,"")</f>
        <v/>
      </c>
      <c r="G107" s="11">
        <f>IF(AND(ISNUMBER(G61),N($V61)&gt;0),G61/$V61,"")</f>
        <v/>
      </c>
      <c r="H107" s="11">
        <f>IF(AND(ISNUMBER(H61),N($V61)&gt;0),H61/$V61,"")</f>
        <v/>
      </c>
      <c r="I107" s="11">
        <f>IF(AND(ISNUMBER(I61),N($V61)&gt;0),I61/$V61,"")</f>
        <v/>
      </c>
      <c r="J107" s="11">
        <f>IF(AND(ISNUMBER(J61),N($V61)&gt;0),J61/$V61,"")</f>
        <v/>
      </c>
      <c r="K107" s="11">
        <f>IF(AND(ISNUMBER(K61),N($V61)&gt;0),K61/$V61,"")</f>
        <v/>
      </c>
      <c r="L107" s="11">
        <f>IF(AND(ISNUMBER(L61),N($V61)&gt;0),L61/$V61,"")</f>
        <v/>
      </c>
      <c r="M107" s="11">
        <f>IF(AND(ISNUMBER(M61),N($V61)&gt;0),M61/$V61,"")</f>
        <v/>
      </c>
      <c r="N107" s="11">
        <f>IF(AND(ISNUMBER(N61),N($V61)&gt;0),N61/$V61,"")</f>
        <v/>
      </c>
      <c r="O107" s="11">
        <f>IF(AND(ISNUMBER(O61),N($V61)&gt;0),O61/$V61,"")</f>
        <v/>
      </c>
      <c r="P107" s="11">
        <f>IF(AND(ISNUMBER(P61),N($V61)&gt;0),P61/$V61,"")</f>
        <v/>
      </c>
      <c r="Q107" s="11">
        <f>IF(AND(ISNUMBER(Q61),N($V61)&gt;0),Q61/$V61,"")</f>
        <v/>
      </c>
      <c r="R107" s="11">
        <f>IF(AND(ISNUMBER(R61),N($V61)&gt;0),R61/$V61,"")</f>
        <v/>
      </c>
      <c r="S107" s="11">
        <f>IF(AND(ISNUMBER(S61),N($V61)&gt;0),S61/$V61,"")</f>
        <v/>
      </c>
      <c r="T107" s="11">
        <f>IF(AND(ISNUMBER(T61),N($V61)&gt;0),T61/$V61,"")</f>
        <v/>
      </c>
      <c r="U107" s="11">
        <f>IF(AND(ISNUMBER(U61),N($V61)&gt;0),U61/$V61,"")</f>
        <v/>
      </c>
    </row>
    <row r="108">
      <c r="A108" s="44">
        <f>$A62</f>
        <v/>
      </c>
      <c r="B108" s="11">
        <f>IF(AND(ISNUMBER(B62),N($V62)&gt;0),B62/$V62,"")</f>
        <v/>
      </c>
      <c r="C108" s="11">
        <f>IF(AND(ISNUMBER(C62),N($V62)&gt;0),C62/$V62,"")</f>
        <v/>
      </c>
      <c r="D108" s="11">
        <f>IF(AND(ISNUMBER(D62),N($V62)&gt;0),D62/$V62,"")</f>
        <v/>
      </c>
      <c r="E108" s="11">
        <f>IF(AND(ISNUMBER(E62),N($V62)&gt;0),E62/$V62,"")</f>
        <v/>
      </c>
      <c r="F108" s="11">
        <f>IF(AND(ISNUMBER(F62),N($V62)&gt;0),F62/$V62,"")</f>
        <v/>
      </c>
      <c r="G108" s="11">
        <f>IF(AND(ISNUMBER(G62),N($V62)&gt;0),G62/$V62,"")</f>
        <v/>
      </c>
      <c r="H108" s="11">
        <f>IF(AND(ISNUMBER(H62),N($V62)&gt;0),H62/$V62,"")</f>
        <v/>
      </c>
      <c r="I108" s="11">
        <f>IF(AND(ISNUMBER(I62),N($V62)&gt;0),I62/$V62,"")</f>
        <v/>
      </c>
      <c r="J108" s="11">
        <f>IF(AND(ISNUMBER(J62),N($V62)&gt;0),J62/$V62,"")</f>
        <v/>
      </c>
      <c r="K108" s="11">
        <f>IF(AND(ISNUMBER(K62),N($V62)&gt;0),K62/$V62,"")</f>
        <v/>
      </c>
      <c r="L108" s="11">
        <f>IF(AND(ISNUMBER(L62),N($V62)&gt;0),L62/$V62,"")</f>
        <v/>
      </c>
      <c r="M108" s="11">
        <f>IF(AND(ISNUMBER(M62),N($V62)&gt;0),M62/$V62,"")</f>
        <v/>
      </c>
      <c r="N108" s="11">
        <f>IF(AND(ISNUMBER(N62),N($V62)&gt;0),N62/$V62,"")</f>
        <v/>
      </c>
      <c r="O108" s="11">
        <f>IF(AND(ISNUMBER(O62),N($V62)&gt;0),O62/$V62,"")</f>
        <v/>
      </c>
      <c r="P108" s="11">
        <f>IF(AND(ISNUMBER(P62),N($V62)&gt;0),P62/$V62,"")</f>
        <v/>
      </c>
      <c r="Q108" s="11">
        <f>IF(AND(ISNUMBER(Q62),N($V62)&gt;0),Q62/$V62,"")</f>
        <v/>
      </c>
      <c r="R108" s="11">
        <f>IF(AND(ISNUMBER(R62),N($V62)&gt;0),R62/$V62,"")</f>
        <v/>
      </c>
      <c r="S108" s="11">
        <f>IF(AND(ISNUMBER(S62),N($V62)&gt;0),S62/$V62,"")</f>
        <v/>
      </c>
      <c r="T108" s="11">
        <f>IF(AND(ISNUMBER(T62),N($V62)&gt;0),T62/$V62,"")</f>
        <v/>
      </c>
      <c r="U108" s="11">
        <f>IF(AND(ISNUMBER(U62),N($V62)&gt;0),U62/$V62,"")</f>
        <v/>
      </c>
    </row>
    <row r="109">
      <c r="A109" s="44">
        <f>$A63</f>
        <v/>
      </c>
      <c r="B109" s="11">
        <f>IF(AND(ISNUMBER(B63),N($V63)&gt;0),B63/$V63,"")</f>
        <v/>
      </c>
      <c r="C109" s="11">
        <f>IF(AND(ISNUMBER(C63),N($V63)&gt;0),C63/$V63,"")</f>
        <v/>
      </c>
      <c r="D109" s="11">
        <f>IF(AND(ISNUMBER(D63),N($V63)&gt;0),D63/$V63,"")</f>
        <v/>
      </c>
      <c r="E109" s="11">
        <f>IF(AND(ISNUMBER(E63),N($V63)&gt;0),E63/$V63,"")</f>
        <v/>
      </c>
      <c r="F109" s="11">
        <f>IF(AND(ISNUMBER(F63),N($V63)&gt;0),F63/$V63,"")</f>
        <v/>
      </c>
      <c r="G109" s="11">
        <f>IF(AND(ISNUMBER(G63),N($V63)&gt;0),G63/$V63,"")</f>
        <v/>
      </c>
      <c r="H109" s="11">
        <f>IF(AND(ISNUMBER(H63),N($V63)&gt;0),H63/$V63,"")</f>
        <v/>
      </c>
      <c r="I109" s="11">
        <f>IF(AND(ISNUMBER(I63),N($V63)&gt;0),I63/$V63,"")</f>
        <v/>
      </c>
      <c r="J109" s="11">
        <f>IF(AND(ISNUMBER(J63),N($V63)&gt;0),J63/$V63,"")</f>
        <v/>
      </c>
      <c r="K109" s="11">
        <f>IF(AND(ISNUMBER(K63),N($V63)&gt;0),K63/$V63,"")</f>
        <v/>
      </c>
      <c r="L109" s="11">
        <f>IF(AND(ISNUMBER(L63),N($V63)&gt;0),L63/$V63,"")</f>
        <v/>
      </c>
      <c r="M109" s="11">
        <f>IF(AND(ISNUMBER(M63),N($V63)&gt;0),M63/$V63,"")</f>
        <v/>
      </c>
      <c r="N109" s="11">
        <f>IF(AND(ISNUMBER(N63),N($V63)&gt;0),N63/$V63,"")</f>
        <v/>
      </c>
      <c r="O109" s="11">
        <f>IF(AND(ISNUMBER(O63),N($V63)&gt;0),O63/$V63,"")</f>
        <v/>
      </c>
      <c r="P109" s="11">
        <f>IF(AND(ISNUMBER(P63),N($V63)&gt;0),P63/$V63,"")</f>
        <v/>
      </c>
      <c r="Q109" s="11">
        <f>IF(AND(ISNUMBER(Q63),N($V63)&gt;0),Q63/$V63,"")</f>
        <v/>
      </c>
      <c r="R109" s="11">
        <f>IF(AND(ISNUMBER(R63),N($V63)&gt;0),R63/$V63,"")</f>
        <v/>
      </c>
      <c r="S109" s="11">
        <f>IF(AND(ISNUMBER(S63),N($V63)&gt;0),S63/$V63,"")</f>
        <v/>
      </c>
      <c r="T109" s="11">
        <f>IF(AND(ISNUMBER(T63),N($V63)&gt;0),T63/$V63,"")</f>
        <v/>
      </c>
      <c r="U109" s="11">
        <f>IF(AND(ISNUMBER(U63),N($V63)&gt;0),U63/$V63,"")</f>
        <v/>
      </c>
    </row>
    <row r="110">
      <c r="A110" s="44">
        <f>$A64</f>
        <v/>
      </c>
      <c r="B110" s="11">
        <f>IF(AND(ISNUMBER(B64),N($V64)&gt;0),B64/$V64,"")</f>
        <v/>
      </c>
      <c r="C110" s="11">
        <f>IF(AND(ISNUMBER(C64),N($V64)&gt;0),C64/$V64,"")</f>
        <v/>
      </c>
      <c r="D110" s="11">
        <f>IF(AND(ISNUMBER(D64),N($V64)&gt;0),D64/$V64,"")</f>
        <v/>
      </c>
      <c r="E110" s="11">
        <f>IF(AND(ISNUMBER(E64),N($V64)&gt;0),E64/$V64,"")</f>
        <v/>
      </c>
      <c r="F110" s="11">
        <f>IF(AND(ISNUMBER(F64),N($V64)&gt;0),F64/$V64,"")</f>
        <v/>
      </c>
      <c r="G110" s="11">
        <f>IF(AND(ISNUMBER(G64),N($V64)&gt;0),G64/$V64,"")</f>
        <v/>
      </c>
      <c r="H110" s="11">
        <f>IF(AND(ISNUMBER(H64),N($V64)&gt;0),H64/$V64,"")</f>
        <v/>
      </c>
      <c r="I110" s="11">
        <f>IF(AND(ISNUMBER(I64),N($V64)&gt;0),I64/$V64,"")</f>
        <v/>
      </c>
      <c r="J110" s="11">
        <f>IF(AND(ISNUMBER(J64),N($V64)&gt;0),J64/$V64,"")</f>
        <v/>
      </c>
      <c r="K110" s="11">
        <f>IF(AND(ISNUMBER(K64),N($V64)&gt;0),K64/$V64,"")</f>
        <v/>
      </c>
      <c r="L110" s="11">
        <f>IF(AND(ISNUMBER(L64),N($V64)&gt;0),L64/$V64,"")</f>
        <v/>
      </c>
      <c r="M110" s="11">
        <f>IF(AND(ISNUMBER(M64),N($V64)&gt;0),M64/$V64,"")</f>
        <v/>
      </c>
      <c r="N110" s="11">
        <f>IF(AND(ISNUMBER(N64),N($V64)&gt;0),N64/$V64,"")</f>
        <v/>
      </c>
      <c r="O110" s="11">
        <f>IF(AND(ISNUMBER(O64),N($V64)&gt;0),O64/$V64,"")</f>
        <v/>
      </c>
      <c r="P110" s="11">
        <f>IF(AND(ISNUMBER(P64),N($V64)&gt;0),P64/$V64,"")</f>
        <v/>
      </c>
      <c r="Q110" s="11">
        <f>IF(AND(ISNUMBER(Q64),N($V64)&gt;0),Q64/$V64,"")</f>
        <v/>
      </c>
      <c r="R110" s="11">
        <f>IF(AND(ISNUMBER(R64),N($V64)&gt;0),R64/$V64,"")</f>
        <v/>
      </c>
      <c r="S110" s="11">
        <f>IF(AND(ISNUMBER(S64),N($V64)&gt;0),S64/$V64,"")</f>
        <v/>
      </c>
      <c r="T110" s="11">
        <f>IF(AND(ISNUMBER(T64),N($V64)&gt;0),T64/$V64,"")</f>
        <v/>
      </c>
      <c r="U110" s="11">
        <f>IF(AND(ISNUMBER(U64),N($V64)&gt;0),U64/$V64,"")</f>
        <v/>
      </c>
    </row>
    <row r="111">
      <c r="A111" s="44">
        <f>$A65</f>
        <v/>
      </c>
      <c r="B111" s="11">
        <f>IF(AND(ISNUMBER(B65),N($V65)&gt;0),B65/$V65,"")</f>
        <v/>
      </c>
      <c r="C111" s="11">
        <f>IF(AND(ISNUMBER(C65),N($V65)&gt;0),C65/$V65,"")</f>
        <v/>
      </c>
      <c r="D111" s="11">
        <f>IF(AND(ISNUMBER(D65),N($V65)&gt;0),D65/$V65,"")</f>
        <v/>
      </c>
      <c r="E111" s="11">
        <f>IF(AND(ISNUMBER(E65),N($V65)&gt;0),E65/$V65,"")</f>
        <v/>
      </c>
      <c r="F111" s="11">
        <f>IF(AND(ISNUMBER(F65),N($V65)&gt;0),F65/$V65,"")</f>
        <v/>
      </c>
      <c r="G111" s="11">
        <f>IF(AND(ISNUMBER(G65),N($V65)&gt;0),G65/$V65,"")</f>
        <v/>
      </c>
      <c r="H111" s="11">
        <f>IF(AND(ISNUMBER(H65),N($V65)&gt;0),H65/$V65,"")</f>
        <v/>
      </c>
      <c r="I111" s="11">
        <f>IF(AND(ISNUMBER(I65),N($V65)&gt;0),I65/$V65,"")</f>
        <v/>
      </c>
      <c r="J111" s="11">
        <f>IF(AND(ISNUMBER(J65),N($V65)&gt;0),J65/$V65,"")</f>
        <v/>
      </c>
      <c r="K111" s="11">
        <f>IF(AND(ISNUMBER(K65),N($V65)&gt;0),K65/$V65,"")</f>
        <v/>
      </c>
      <c r="L111" s="11">
        <f>IF(AND(ISNUMBER(L65),N($V65)&gt;0),L65/$V65,"")</f>
        <v/>
      </c>
      <c r="M111" s="11">
        <f>IF(AND(ISNUMBER(M65),N($V65)&gt;0),M65/$V65,"")</f>
        <v/>
      </c>
      <c r="N111" s="11">
        <f>IF(AND(ISNUMBER(N65),N($V65)&gt;0),N65/$V65,"")</f>
        <v/>
      </c>
      <c r="O111" s="11">
        <f>IF(AND(ISNUMBER(O65),N($V65)&gt;0),O65/$V65,"")</f>
        <v/>
      </c>
      <c r="P111" s="11">
        <f>IF(AND(ISNUMBER(P65),N($V65)&gt;0),P65/$V65,"")</f>
        <v/>
      </c>
      <c r="Q111" s="11">
        <f>IF(AND(ISNUMBER(Q65),N($V65)&gt;0),Q65/$V65,"")</f>
        <v/>
      </c>
      <c r="R111" s="11">
        <f>IF(AND(ISNUMBER(R65),N($V65)&gt;0),R65/$V65,"")</f>
        <v/>
      </c>
      <c r="S111" s="11">
        <f>IF(AND(ISNUMBER(S65),N($V65)&gt;0),S65/$V65,"")</f>
        <v/>
      </c>
      <c r="T111" s="11">
        <f>IF(AND(ISNUMBER(T65),N($V65)&gt;0),T65/$V65,"")</f>
        <v/>
      </c>
      <c r="U111" s="11">
        <f>IF(AND(ISNUMBER(U65),N($V65)&gt;0),U65/$V65,"")</f>
        <v/>
      </c>
    </row>
    <row r="112">
      <c r="A112" s="44">
        <f>$A66</f>
        <v/>
      </c>
      <c r="B112" s="11">
        <f>IF(AND(ISNUMBER(B66),N($V66)&gt;0),B66/$V66,"")</f>
        <v/>
      </c>
      <c r="C112" s="11">
        <f>IF(AND(ISNUMBER(C66),N($V66)&gt;0),C66/$V66,"")</f>
        <v/>
      </c>
      <c r="D112" s="11">
        <f>IF(AND(ISNUMBER(D66),N($V66)&gt;0),D66/$V66,"")</f>
        <v/>
      </c>
      <c r="E112" s="11">
        <f>IF(AND(ISNUMBER(E66),N($V66)&gt;0),E66/$V66,"")</f>
        <v/>
      </c>
      <c r="F112" s="11">
        <f>IF(AND(ISNUMBER(F66),N($V66)&gt;0),F66/$V66,"")</f>
        <v/>
      </c>
      <c r="G112" s="11">
        <f>IF(AND(ISNUMBER(G66),N($V66)&gt;0),G66/$V66,"")</f>
        <v/>
      </c>
      <c r="H112" s="11">
        <f>IF(AND(ISNUMBER(H66),N($V66)&gt;0),H66/$V66,"")</f>
        <v/>
      </c>
      <c r="I112" s="11">
        <f>IF(AND(ISNUMBER(I66),N($V66)&gt;0),I66/$V66,"")</f>
        <v/>
      </c>
      <c r="J112" s="11">
        <f>IF(AND(ISNUMBER(J66),N($V66)&gt;0),J66/$V66,"")</f>
        <v/>
      </c>
      <c r="K112" s="11">
        <f>IF(AND(ISNUMBER(K66),N($V66)&gt;0),K66/$V66,"")</f>
        <v/>
      </c>
      <c r="L112" s="11">
        <f>IF(AND(ISNUMBER(L66),N($V66)&gt;0),L66/$V66,"")</f>
        <v/>
      </c>
      <c r="M112" s="11">
        <f>IF(AND(ISNUMBER(M66),N($V66)&gt;0),M66/$V66,"")</f>
        <v/>
      </c>
      <c r="N112" s="11">
        <f>IF(AND(ISNUMBER(N66),N($V66)&gt;0),N66/$V66,"")</f>
        <v/>
      </c>
      <c r="O112" s="11">
        <f>IF(AND(ISNUMBER(O66),N($V66)&gt;0),O66/$V66,"")</f>
        <v/>
      </c>
      <c r="P112" s="11">
        <f>IF(AND(ISNUMBER(P66),N($V66)&gt;0),P66/$V66,"")</f>
        <v/>
      </c>
      <c r="Q112" s="11">
        <f>IF(AND(ISNUMBER(Q66),N($V66)&gt;0),Q66/$V66,"")</f>
        <v/>
      </c>
      <c r="R112" s="11">
        <f>IF(AND(ISNUMBER(R66),N($V66)&gt;0),R66/$V66,"")</f>
        <v/>
      </c>
      <c r="S112" s="11">
        <f>IF(AND(ISNUMBER(S66),N($V66)&gt;0),S66/$V66,"")</f>
        <v/>
      </c>
      <c r="T112" s="11">
        <f>IF(AND(ISNUMBER(T66),N($V66)&gt;0),T66/$V66,"")</f>
        <v/>
      </c>
      <c r="U112" s="11">
        <f>IF(AND(ISNUMBER(U66),N($V66)&gt;0),U66/$V66,"")</f>
        <v/>
      </c>
    </row>
    <row r="113">
      <c r="A113" s="44">
        <f>$A67</f>
        <v/>
      </c>
      <c r="B113" s="11">
        <f>IF(AND(ISNUMBER(B67),N($V67)&gt;0),B67/$V67,"")</f>
        <v/>
      </c>
      <c r="C113" s="11">
        <f>IF(AND(ISNUMBER(C67),N($V67)&gt;0),C67/$V67,"")</f>
        <v/>
      </c>
      <c r="D113" s="11">
        <f>IF(AND(ISNUMBER(D67),N($V67)&gt;0),D67/$V67,"")</f>
        <v/>
      </c>
      <c r="E113" s="11">
        <f>IF(AND(ISNUMBER(E67),N($V67)&gt;0),E67/$V67,"")</f>
        <v/>
      </c>
      <c r="F113" s="11">
        <f>IF(AND(ISNUMBER(F67),N($V67)&gt;0),F67/$V67,"")</f>
        <v/>
      </c>
      <c r="G113" s="11">
        <f>IF(AND(ISNUMBER(G67),N($V67)&gt;0),G67/$V67,"")</f>
        <v/>
      </c>
      <c r="H113" s="11">
        <f>IF(AND(ISNUMBER(H67),N($V67)&gt;0),H67/$V67,"")</f>
        <v/>
      </c>
      <c r="I113" s="11">
        <f>IF(AND(ISNUMBER(I67),N($V67)&gt;0),I67/$V67,"")</f>
        <v/>
      </c>
      <c r="J113" s="11">
        <f>IF(AND(ISNUMBER(J67),N($V67)&gt;0),J67/$V67,"")</f>
        <v/>
      </c>
      <c r="K113" s="11">
        <f>IF(AND(ISNUMBER(K67),N($V67)&gt;0),K67/$V67,"")</f>
        <v/>
      </c>
      <c r="L113" s="11">
        <f>IF(AND(ISNUMBER(L67),N($V67)&gt;0),L67/$V67,"")</f>
        <v/>
      </c>
      <c r="M113" s="11">
        <f>IF(AND(ISNUMBER(M67),N($V67)&gt;0),M67/$V67,"")</f>
        <v/>
      </c>
      <c r="N113" s="11">
        <f>IF(AND(ISNUMBER(N67),N($V67)&gt;0),N67/$V67,"")</f>
        <v/>
      </c>
      <c r="O113" s="11">
        <f>IF(AND(ISNUMBER(O67),N($V67)&gt;0),O67/$V67,"")</f>
        <v/>
      </c>
      <c r="P113" s="11">
        <f>IF(AND(ISNUMBER(P67),N($V67)&gt;0),P67/$V67,"")</f>
        <v/>
      </c>
      <c r="Q113" s="11">
        <f>IF(AND(ISNUMBER(Q67),N($V67)&gt;0),Q67/$V67,"")</f>
        <v/>
      </c>
      <c r="R113" s="11">
        <f>IF(AND(ISNUMBER(R67),N($V67)&gt;0),R67/$V67,"")</f>
        <v/>
      </c>
      <c r="S113" s="11">
        <f>IF(AND(ISNUMBER(S67),N($V67)&gt;0),S67/$V67,"")</f>
        <v/>
      </c>
      <c r="T113" s="11">
        <f>IF(AND(ISNUMBER(T67),N($V67)&gt;0),T67/$V67,"")</f>
        <v/>
      </c>
      <c r="U113" s="11">
        <f>IF(AND(ISNUMBER(U67),N($V67)&gt;0),U67/$V67,"")</f>
        <v/>
      </c>
    </row>
    <row r="114">
      <c r="A114" s="44">
        <f>$A68</f>
        <v/>
      </c>
      <c r="B114" s="11">
        <f>IF(AND(ISNUMBER(B68),N($V68)&gt;0),B68/$V68,"")</f>
        <v/>
      </c>
      <c r="C114" s="11">
        <f>IF(AND(ISNUMBER(C68),N($V68)&gt;0),C68/$V68,"")</f>
        <v/>
      </c>
      <c r="D114" s="11">
        <f>IF(AND(ISNUMBER(D68),N($V68)&gt;0),D68/$V68,"")</f>
        <v/>
      </c>
      <c r="E114" s="11">
        <f>IF(AND(ISNUMBER(E68),N($V68)&gt;0),E68/$V68,"")</f>
        <v/>
      </c>
      <c r="F114" s="11">
        <f>IF(AND(ISNUMBER(F68),N($V68)&gt;0),F68/$V68,"")</f>
        <v/>
      </c>
      <c r="G114" s="11">
        <f>IF(AND(ISNUMBER(G68),N($V68)&gt;0),G68/$V68,"")</f>
        <v/>
      </c>
      <c r="H114" s="11">
        <f>IF(AND(ISNUMBER(H68),N($V68)&gt;0),H68/$V68,"")</f>
        <v/>
      </c>
      <c r="I114" s="11">
        <f>IF(AND(ISNUMBER(I68),N($V68)&gt;0),I68/$V68,"")</f>
        <v/>
      </c>
      <c r="J114" s="11">
        <f>IF(AND(ISNUMBER(J68),N($V68)&gt;0),J68/$V68,"")</f>
        <v/>
      </c>
      <c r="K114" s="11">
        <f>IF(AND(ISNUMBER(K68),N($V68)&gt;0),K68/$V68,"")</f>
        <v/>
      </c>
      <c r="L114" s="11">
        <f>IF(AND(ISNUMBER(L68),N($V68)&gt;0),L68/$V68,"")</f>
        <v/>
      </c>
      <c r="M114" s="11">
        <f>IF(AND(ISNUMBER(M68),N($V68)&gt;0),M68/$V68,"")</f>
        <v/>
      </c>
      <c r="N114" s="11">
        <f>IF(AND(ISNUMBER(N68),N($V68)&gt;0),N68/$V68,"")</f>
        <v/>
      </c>
      <c r="O114" s="11">
        <f>IF(AND(ISNUMBER(O68),N($V68)&gt;0),O68/$V68,"")</f>
        <v/>
      </c>
      <c r="P114" s="11">
        <f>IF(AND(ISNUMBER(P68),N($V68)&gt;0),P68/$V68,"")</f>
        <v/>
      </c>
      <c r="Q114" s="11">
        <f>IF(AND(ISNUMBER(Q68),N($V68)&gt;0),Q68/$V68,"")</f>
        <v/>
      </c>
      <c r="R114" s="11">
        <f>IF(AND(ISNUMBER(R68),N($V68)&gt;0),R68/$V68,"")</f>
        <v/>
      </c>
      <c r="S114" s="11">
        <f>IF(AND(ISNUMBER(S68),N($V68)&gt;0),S68/$V68,"")</f>
        <v/>
      </c>
      <c r="T114" s="11">
        <f>IF(AND(ISNUMBER(T68),N($V68)&gt;0),T68/$V68,"")</f>
        <v/>
      </c>
      <c r="U114" s="11">
        <f>IF(AND(ISNUMBER(U68),N($V68)&gt;0),U68/$V68,"")</f>
        <v/>
      </c>
    </row>
    <row r="115">
      <c r="A115" s="44">
        <f>$A69</f>
        <v/>
      </c>
      <c r="B115" s="11">
        <f>IF(AND(ISNUMBER(B69),N($V69)&gt;0),B69/$V69,"")</f>
        <v/>
      </c>
      <c r="C115" s="11">
        <f>IF(AND(ISNUMBER(C69),N($V69)&gt;0),C69/$V69,"")</f>
        <v/>
      </c>
      <c r="D115" s="11">
        <f>IF(AND(ISNUMBER(D69),N($V69)&gt;0),D69/$V69,"")</f>
        <v/>
      </c>
      <c r="E115" s="11">
        <f>IF(AND(ISNUMBER(E69),N($V69)&gt;0),E69/$V69,"")</f>
        <v/>
      </c>
      <c r="F115" s="11">
        <f>IF(AND(ISNUMBER(F69),N($V69)&gt;0),F69/$V69,"")</f>
        <v/>
      </c>
      <c r="G115" s="11">
        <f>IF(AND(ISNUMBER(G69),N($V69)&gt;0),G69/$V69,"")</f>
        <v/>
      </c>
      <c r="H115" s="11">
        <f>IF(AND(ISNUMBER(H69),N($V69)&gt;0),H69/$V69,"")</f>
        <v/>
      </c>
      <c r="I115" s="11">
        <f>IF(AND(ISNUMBER(I69),N($V69)&gt;0),I69/$V69,"")</f>
        <v/>
      </c>
      <c r="J115" s="11">
        <f>IF(AND(ISNUMBER(J69),N($V69)&gt;0),J69/$V69,"")</f>
        <v/>
      </c>
      <c r="K115" s="11">
        <f>IF(AND(ISNUMBER(K69),N($V69)&gt;0),K69/$V69,"")</f>
        <v/>
      </c>
      <c r="L115" s="11">
        <f>IF(AND(ISNUMBER(L69),N($V69)&gt;0),L69/$V69,"")</f>
        <v/>
      </c>
      <c r="M115" s="11">
        <f>IF(AND(ISNUMBER(M69),N($V69)&gt;0),M69/$V69,"")</f>
        <v/>
      </c>
      <c r="N115" s="11">
        <f>IF(AND(ISNUMBER(N69),N($V69)&gt;0),N69/$V69,"")</f>
        <v/>
      </c>
      <c r="O115" s="11">
        <f>IF(AND(ISNUMBER(O69),N($V69)&gt;0),O69/$V69,"")</f>
        <v/>
      </c>
      <c r="P115" s="11">
        <f>IF(AND(ISNUMBER(P69),N($V69)&gt;0),P69/$V69,"")</f>
        <v/>
      </c>
      <c r="Q115" s="11">
        <f>IF(AND(ISNUMBER(Q69),N($V69)&gt;0),Q69/$V69,"")</f>
        <v/>
      </c>
      <c r="R115" s="11">
        <f>IF(AND(ISNUMBER(R69),N($V69)&gt;0),R69/$V69,"")</f>
        <v/>
      </c>
      <c r="S115" s="11">
        <f>IF(AND(ISNUMBER(S69),N($V69)&gt;0),S69/$V69,"")</f>
        <v/>
      </c>
      <c r="T115" s="11">
        <f>IF(AND(ISNUMBER(T69),N($V69)&gt;0),T69/$V69,"")</f>
        <v/>
      </c>
      <c r="U115" s="11">
        <f>IF(AND(ISNUMBER(U69),N($V69)&gt;0),U69/$V69,"")</f>
        <v/>
      </c>
    </row>
    <row r="116">
      <c r="A116" s="44">
        <f>$A70</f>
        <v/>
      </c>
      <c r="B116" s="11">
        <f>IF(AND(ISNUMBER(B70),N($V70)&gt;0),B70/$V70,"")</f>
        <v/>
      </c>
      <c r="C116" s="11">
        <f>IF(AND(ISNUMBER(C70),N($V70)&gt;0),C70/$V70,"")</f>
        <v/>
      </c>
      <c r="D116" s="11">
        <f>IF(AND(ISNUMBER(D70),N($V70)&gt;0),D70/$V70,"")</f>
        <v/>
      </c>
      <c r="E116" s="11">
        <f>IF(AND(ISNUMBER(E70),N($V70)&gt;0),E70/$V70,"")</f>
        <v/>
      </c>
      <c r="F116" s="11">
        <f>IF(AND(ISNUMBER(F70),N($V70)&gt;0),F70/$V70,"")</f>
        <v/>
      </c>
      <c r="G116" s="11">
        <f>IF(AND(ISNUMBER(G70),N($V70)&gt;0),G70/$V70,"")</f>
        <v/>
      </c>
      <c r="H116" s="11">
        <f>IF(AND(ISNUMBER(H70),N($V70)&gt;0),H70/$V70,"")</f>
        <v/>
      </c>
      <c r="I116" s="11">
        <f>IF(AND(ISNUMBER(I70),N($V70)&gt;0),I70/$V70,"")</f>
        <v/>
      </c>
      <c r="J116" s="11">
        <f>IF(AND(ISNUMBER(J70),N($V70)&gt;0),J70/$V70,"")</f>
        <v/>
      </c>
      <c r="K116" s="11">
        <f>IF(AND(ISNUMBER(K70),N($V70)&gt;0),K70/$V70,"")</f>
        <v/>
      </c>
      <c r="L116" s="11">
        <f>IF(AND(ISNUMBER(L70),N($V70)&gt;0),L70/$V70,"")</f>
        <v/>
      </c>
      <c r="M116" s="11">
        <f>IF(AND(ISNUMBER(M70),N($V70)&gt;0),M70/$V70,"")</f>
        <v/>
      </c>
      <c r="N116" s="11">
        <f>IF(AND(ISNUMBER(N70),N($V70)&gt;0),N70/$V70,"")</f>
        <v/>
      </c>
      <c r="O116" s="11">
        <f>IF(AND(ISNUMBER(O70),N($V70)&gt;0),O70/$V70,"")</f>
        <v/>
      </c>
      <c r="P116" s="11">
        <f>IF(AND(ISNUMBER(P70),N($V70)&gt;0),P70/$V70,"")</f>
        <v/>
      </c>
      <c r="Q116" s="11">
        <f>IF(AND(ISNUMBER(Q70),N($V70)&gt;0),Q70/$V70,"")</f>
        <v/>
      </c>
      <c r="R116" s="11">
        <f>IF(AND(ISNUMBER(R70),N($V70)&gt;0),R70/$V70,"")</f>
        <v/>
      </c>
      <c r="S116" s="11">
        <f>IF(AND(ISNUMBER(S70),N($V70)&gt;0),S70/$V70,"")</f>
        <v/>
      </c>
      <c r="T116" s="11">
        <f>IF(AND(ISNUMBER(T70),N($V70)&gt;0),T70/$V70,"")</f>
        <v/>
      </c>
      <c r="U116" s="11">
        <f>IF(AND(ISNUMBER(U70),N($V70)&gt;0),U70/$V70,"")</f>
        <v/>
      </c>
    </row>
    <row r="117">
      <c r="A117" s="44">
        <f>$A71</f>
        <v/>
      </c>
      <c r="B117" s="11">
        <f>IF(AND(ISNUMBER(B71),N($V71)&gt;0),B71/$V71,"")</f>
        <v/>
      </c>
      <c r="C117" s="11">
        <f>IF(AND(ISNUMBER(C71),N($V71)&gt;0),C71/$V71,"")</f>
        <v/>
      </c>
      <c r="D117" s="11">
        <f>IF(AND(ISNUMBER(D71),N($V71)&gt;0),D71/$V71,"")</f>
        <v/>
      </c>
      <c r="E117" s="11">
        <f>IF(AND(ISNUMBER(E71),N($V71)&gt;0),E71/$V71,"")</f>
        <v/>
      </c>
      <c r="F117" s="11">
        <f>IF(AND(ISNUMBER(F71),N($V71)&gt;0),F71/$V71,"")</f>
        <v/>
      </c>
      <c r="G117" s="11">
        <f>IF(AND(ISNUMBER(G71),N($V71)&gt;0),G71/$V71,"")</f>
        <v/>
      </c>
      <c r="H117" s="11">
        <f>IF(AND(ISNUMBER(H71),N($V71)&gt;0),H71/$V71,"")</f>
        <v/>
      </c>
      <c r="I117" s="11">
        <f>IF(AND(ISNUMBER(I71),N($V71)&gt;0),I71/$V71,"")</f>
        <v/>
      </c>
      <c r="J117" s="11">
        <f>IF(AND(ISNUMBER(J71),N($V71)&gt;0),J71/$V71,"")</f>
        <v/>
      </c>
      <c r="K117" s="11">
        <f>IF(AND(ISNUMBER(K71),N($V71)&gt;0),K71/$V71,"")</f>
        <v/>
      </c>
      <c r="L117" s="11">
        <f>IF(AND(ISNUMBER(L71),N($V71)&gt;0),L71/$V71,"")</f>
        <v/>
      </c>
      <c r="M117" s="11">
        <f>IF(AND(ISNUMBER(M71),N($V71)&gt;0),M71/$V71,"")</f>
        <v/>
      </c>
      <c r="N117" s="11">
        <f>IF(AND(ISNUMBER(N71),N($V71)&gt;0),N71/$V71,"")</f>
        <v/>
      </c>
      <c r="O117" s="11">
        <f>IF(AND(ISNUMBER(O71),N($V71)&gt;0),O71/$V71,"")</f>
        <v/>
      </c>
      <c r="P117" s="11">
        <f>IF(AND(ISNUMBER(P71),N($V71)&gt;0),P71/$V71,"")</f>
        <v/>
      </c>
      <c r="Q117" s="11">
        <f>IF(AND(ISNUMBER(Q71),N($V71)&gt;0),Q71/$V71,"")</f>
        <v/>
      </c>
      <c r="R117" s="11">
        <f>IF(AND(ISNUMBER(R71),N($V71)&gt;0),R71/$V71,"")</f>
        <v/>
      </c>
      <c r="S117" s="11">
        <f>IF(AND(ISNUMBER(S71),N($V71)&gt;0),S71/$V71,"")</f>
        <v/>
      </c>
      <c r="T117" s="11">
        <f>IF(AND(ISNUMBER(T71),N($V71)&gt;0),T71/$V71,"")</f>
        <v/>
      </c>
      <c r="U117" s="11">
        <f>IF(AND(ISNUMBER(U71),N($V71)&gt;0),U71/$V71,"")</f>
        <v/>
      </c>
    </row>
    <row r="118">
      <c r="A118" s="44">
        <f>$A72</f>
        <v/>
      </c>
      <c r="B118" s="11">
        <f>IF(AND(ISNUMBER(B72),N($V72)&gt;0),B72/$V72,"")</f>
        <v/>
      </c>
      <c r="C118" s="11">
        <f>IF(AND(ISNUMBER(C72),N($V72)&gt;0),C72/$V72,"")</f>
        <v/>
      </c>
      <c r="D118" s="11">
        <f>IF(AND(ISNUMBER(D72),N($V72)&gt;0),D72/$V72,"")</f>
        <v/>
      </c>
      <c r="E118" s="11">
        <f>IF(AND(ISNUMBER(E72),N($V72)&gt;0),E72/$V72,"")</f>
        <v/>
      </c>
      <c r="F118" s="11">
        <f>IF(AND(ISNUMBER(F72),N($V72)&gt;0),F72/$V72,"")</f>
        <v/>
      </c>
      <c r="G118" s="11">
        <f>IF(AND(ISNUMBER(G72),N($V72)&gt;0),G72/$V72,"")</f>
        <v/>
      </c>
      <c r="H118" s="11">
        <f>IF(AND(ISNUMBER(H72),N($V72)&gt;0),H72/$V72,"")</f>
        <v/>
      </c>
      <c r="I118" s="11">
        <f>IF(AND(ISNUMBER(I72),N($V72)&gt;0),I72/$V72,"")</f>
        <v/>
      </c>
      <c r="J118" s="11">
        <f>IF(AND(ISNUMBER(J72),N($V72)&gt;0),J72/$V72,"")</f>
        <v/>
      </c>
      <c r="K118" s="11">
        <f>IF(AND(ISNUMBER(K72),N($V72)&gt;0),K72/$V72,"")</f>
        <v/>
      </c>
      <c r="L118" s="11">
        <f>IF(AND(ISNUMBER(L72),N($V72)&gt;0),L72/$V72,"")</f>
        <v/>
      </c>
      <c r="M118" s="11">
        <f>IF(AND(ISNUMBER(M72),N($V72)&gt;0),M72/$V72,"")</f>
        <v/>
      </c>
      <c r="N118" s="11">
        <f>IF(AND(ISNUMBER(N72),N($V72)&gt;0),N72/$V72,"")</f>
        <v/>
      </c>
      <c r="O118" s="11">
        <f>IF(AND(ISNUMBER(O72),N($V72)&gt;0),O72/$V72,"")</f>
        <v/>
      </c>
      <c r="P118" s="11">
        <f>IF(AND(ISNUMBER(P72),N($V72)&gt;0),P72/$V72,"")</f>
        <v/>
      </c>
      <c r="Q118" s="11">
        <f>IF(AND(ISNUMBER(Q72),N($V72)&gt;0),Q72/$V72,"")</f>
        <v/>
      </c>
      <c r="R118" s="11">
        <f>IF(AND(ISNUMBER(R72),N($V72)&gt;0),R72/$V72,"")</f>
        <v/>
      </c>
      <c r="S118" s="11">
        <f>IF(AND(ISNUMBER(S72),N($V72)&gt;0),S72/$V72,"")</f>
        <v/>
      </c>
      <c r="T118" s="11">
        <f>IF(AND(ISNUMBER(T72),N($V72)&gt;0),T72/$V72,"")</f>
        <v/>
      </c>
      <c r="U118" s="11">
        <f>IF(AND(ISNUMBER(U72),N($V72)&gt;0),U72/$V72,"")</f>
        <v/>
      </c>
    </row>
    <row r="119">
      <c r="A119" s="44">
        <f>$A73</f>
        <v/>
      </c>
      <c r="B119" s="11">
        <f>IF(AND(ISNUMBER(B73),N($V73)&gt;0),B73/$V73,"")</f>
        <v/>
      </c>
      <c r="C119" s="11">
        <f>IF(AND(ISNUMBER(C73),N($V73)&gt;0),C73/$V73,"")</f>
        <v/>
      </c>
      <c r="D119" s="11">
        <f>IF(AND(ISNUMBER(D73),N($V73)&gt;0),D73/$V73,"")</f>
        <v/>
      </c>
      <c r="E119" s="11">
        <f>IF(AND(ISNUMBER(E73),N($V73)&gt;0),E73/$V73,"")</f>
        <v/>
      </c>
      <c r="F119" s="11">
        <f>IF(AND(ISNUMBER(F73),N($V73)&gt;0),F73/$V73,"")</f>
        <v/>
      </c>
      <c r="G119" s="11">
        <f>IF(AND(ISNUMBER(G73),N($V73)&gt;0),G73/$V73,"")</f>
        <v/>
      </c>
      <c r="H119" s="11">
        <f>IF(AND(ISNUMBER(H73),N($V73)&gt;0),H73/$V73,"")</f>
        <v/>
      </c>
      <c r="I119" s="11">
        <f>IF(AND(ISNUMBER(I73),N($V73)&gt;0),I73/$V73,"")</f>
        <v/>
      </c>
      <c r="J119" s="11">
        <f>IF(AND(ISNUMBER(J73),N($V73)&gt;0),J73/$V73,"")</f>
        <v/>
      </c>
      <c r="K119" s="11">
        <f>IF(AND(ISNUMBER(K73),N($V73)&gt;0),K73/$V73,"")</f>
        <v/>
      </c>
      <c r="L119" s="11">
        <f>IF(AND(ISNUMBER(L73),N($V73)&gt;0),L73/$V73,"")</f>
        <v/>
      </c>
      <c r="M119" s="11">
        <f>IF(AND(ISNUMBER(M73),N($V73)&gt;0),M73/$V73,"")</f>
        <v/>
      </c>
      <c r="N119" s="11">
        <f>IF(AND(ISNUMBER(N73),N($V73)&gt;0),N73/$V73,"")</f>
        <v/>
      </c>
      <c r="O119" s="11">
        <f>IF(AND(ISNUMBER(O73),N($V73)&gt;0),O73/$V73,"")</f>
        <v/>
      </c>
      <c r="P119" s="11">
        <f>IF(AND(ISNUMBER(P73),N($V73)&gt;0),P73/$V73,"")</f>
        <v/>
      </c>
      <c r="Q119" s="11">
        <f>IF(AND(ISNUMBER(Q73),N($V73)&gt;0),Q73/$V73,"")</f>
        <v/>
      </c>
      <c r="R119" s="11">
        <f>IF(AND(ISNUMBER(R73),N($V73)&gt;0),R73/$V73,"")</f>
        <v/>
      </c>
      <c r="S119" s="11">
        <f>IF(AND(ISNUMBER(S73),N($V73)&gt;0),S73/$V73,"")</f>
        <v/>
      </c>
      <c r="T119" s="11">
        <f>IF(AND(ISNUMBER(T73),N($V73)&gt;0),T73/$V73,"")</f>
        <v/>
      </c>
      <c r="U119" s="11">
        <f>IF(AND(ISNUMBER(U73),N($V73)&gt;0),U73/$V73,"")</f>
        <v/>
      </c>
    </row>
    <row r="120">
      <c r="A120" s="20" t="inlineStr">
        <is>
          <t>P(Y)</t>
        </is>
      </c>
      <c r="B120" s="11">
        <f>IF(AND(ISNUMBER(B$74),N($V$74)&gt;0),B$74/$V$74,"")</f>
        <v/>
      </c>
      <c r="C120" s="11">
        <f>IF(AND(ISNUMBER(C$74),N($V$74)&gt;0),C$74/$V$74,"")</f>
        <v/>
      </c>
      <c r="D120" s="11">
        <f>IF(AND(ISNUMBER(D$74),N($V$74)&gt;0),D$74/$V$74,"")</f>
        <v/>
      </c>
      <c r="E120" s="11">
        <f>IF(AND(ISNUMBER(E$74),N($V$74)&gt;0),E$74/$V$74,"")</f>
        <v/>
      </c>
      <c r="F120" s="11">
        <f>IF(AND(ISNUMBER(F$74),N($V$74)&gt;0),F$74/$V$74,"")</f>
        <v/>
      </c>
      <c r="G120" s="11">
        <f>IF(AND(ISNUMBER(G$74),N($V$74)&gt;0),G$74/$V$74,"")</f>
        <v/>
      </c>
      <c r="H120" s="11">
        <f>IF(AND(ISNUMBER(H$74),N($V$74)&gt;0),H$74/$V$74,"")</f>
        <v/>
      </c>
      <c r="I120" s="11">
        <f>IF(AND(ISNUMBER(I$74),N($V$74)&gt;0),I$74/$V$74,"")</f>
        <v/>
      </c>
      <c r="J120" s="11">
        <f>IF(AND(ISNUMBER(J$74),N($V$74)&gt;0),J$74/$V$74,"")</f>
        <v/>
      </c>
      <c r="K120" s="11">
        <f>IF(AND(ISNUMBER(K$74),N($V$74)&gt;0),K$74/$V$74,"")</f>
        <v/>
      </c>
      <c r="L120" s="11">
        <f>IF(AND(ISNUMBER(L$74),N($V$74)&gt;0),L$74/$V$74,"")</f>
        <v/>
      </c>
      <c r="M120" s="11">
        <f>IF(AND(ISNUMBER(M$74),N($V$74)&gt;0),M$74/$V$74,"")</f>
        <v/>
      </c>
      <c r="N120" s="11">
        <f>IF(AND(ISNUMBER(N$74),N($V$74)&gt;0),N$74/$V$74,"")</f>
        <v/>
      </c>
      <c r="O120" s="11">
        <f>IF(AND(ISNUMBER(O$74),N($V$74)&gt;0),O$74/$V$74,"")</f>
        <v/>
      </c>
      <c r="P120" s="11">
        <f>IF(AND(ISNUMBER(P$74),N($V$74)&gt;0),P$74/$V$74,"")</f>
        <v/>
      </c>
      <c r="Q120" s="11">
        <f>IF(AND(ISNUMBER(Q$74),N($V$74)&gt;0),Q$74/$V$74,"")</f>
        <v/>
      </c>
      <c r="R120" s="11">
        <f>IF(AND(ISNUMBER(R$74),N($V$74)&gt;0),R$74/$V$74,"")</f>
        <v/>
      </c>
      <c r="S120" s="11">
        <f>IF(AND(ISNUMBER(S$74),N($V$74)&gt;0),S$74/$V$74,"")</f>
        <v/>
      </c>
      <c r="T120" s="11">
        <f>IF(AND(ISNUMBER(T$74),N($V$74)&gt;0),T$74/$V$74,"")</f>
        <v/>
      </c>
      <c r="U120" s="11">
        <f>IF(AND(ISNUMBER(U$74),N($V$74)&gt;0),U$74/$V$74,"")</f>
        <v/>
      </c>
    </row>
    <row r="122">
      <c r="A122" s="44">
        <f>"P(X | Y) = n / kolomtotaal (elke kolom is een verdeling); rechts P(X) om te vergelijken"</f>
        <v/>
      </c>
      <c r="B122" s="44">
        <f>B$53</f>
        <v/>
      </c>
      <c r="C122" s="44">
        <f>C$53</f>
        <v/>
      </c>
      <c r="D122" s="44">
        <f>D$53</f>
        <v/>
      </c>
      <c r="E122" s="44">
        <f>E$53</f>
        <v/>
      </c>
      <c r="F122" s="44">
        <f>F$53</f>
        <v/>
      </c>
      <c r="G122" s="44">
        <f>G$53</f>
        <v/>
      </c>
      <c r="H122" s="44">
        <f>H$53</f>
        <v/>
      </c>
      <c r="I122" s="44">
        <f>I$53</f>
        <v/>
      </c>
      <c r="J122" s="44">
        <f>J$53</f>
        <v/>
      </c>
      <c r="K122" s="44">
        <f>K$53</f>
        <v/>
      </c>
      <c r="L122" s="44">
        <f>L$53</f>
        <v/>
      </c>
      <c r="M122" s="44">
        <f>M$53</f>
        <v/>
      </c>
      <c r="N122" s="44">
        <f>N$53</f>
        <v/>
      </c>
      <c r="O122" s="44">
        <f>O$53</f>
        <v/>
      </c>
      <c r="P122" s="44">
        <f>P$53</f>
        <v/>
      </c>
      <c r="Q122" s="44">
        <f>Q$53</f>
        <v/>
      </c>
      <c r="R122" s="44">
        <f>R$53</f>
        <v/>
      </c>
      <c r="S122" s="44">
        <f>S$53</f>
        <v/>
      </c>
      <c r="T122" s="44">
        <f>T$53</f>
        <v/>
      </c>
      <c r="U122" s="44">
        <f>U$53</f>
        <v/>
      </c>
      <c r="V122" s="20" t="inlineStr">
        <is>
          <t>P(X)</t>
        </is>
      </c>
    </row>
    <row r="123">
      <c r="A123" s="44">
        <f>$A54</f>
        <v/>
      </c>
      <c r="B123" s="11">
        <f>IF(AND(ISNUMBER(B54),N(B$74)&gt;0),B54/B$74,"")</f>
        <v/>
      </c>
      <c r="C123" s="11">
        <f>IF(AND(ISNUMBER(C54),N(C$74)&gt;0),C54/C$74,"")</f>
        <v/>
      </c>
      <c r="D123" s="11">
        <f>IF(AND(ISNUMBER(D54),N(D$74)&gt;0),D54/D$74,"")</f>
        <v/>
      </c>
      <c r="E123" s="11">
        <f>IF(AND(ISNUMBER(E54),N(E$74)&gt;0),E54/E$74,"")</f>
        <v/>
      </c>
      <c r="F123" s="11">
        <f>IF(AND(ISNUMBER(F54),N(F$74)&gt;0),F54/F$74,"")</f>
        <v/>
      </c>
      <c r="G123" s="11">
        <f>IF(AND(ISNUMBER(G54),N(G$74)&gt;0),G54/G$74,"")</f>
        <v/>
      </c>
      <c r="H123" s="11">
        <f>IF(AND(ISNUMBER(H54),N(H$74)&gt;0),H54/H$74,"")</f>
        <v/>
      </c>
      <c r="I123" s="11">
        <f>IF(AND(ISNUMBER(I54),N(I$74)&gt;0),I54/I$74,"")</f>
        <v/>
      </c>
      <c r="J123" s="11">
        <f>IF(AND(ISNUMBER(J54),N(J$74)&gt;0),J54/J$74,"")</f>
        <v/>
      </c>
      <c r="K123" s="11">
        <f>IF(AND(ISNUMBER(K54),N(K$74)&gt;0),K54/K$74,"")</f>
        <v/>
      </c>
      <c r="L123" s="11">
        <f>IF(AND(ISNUMBER(L54),N(L$74)&gt;0),L54/L$74,"")</f>
        <v/>
      </c>
      <c r="M123" s="11">
        <f>IF(AND(ISNUMBER(M54),N(M$74)&gt;0),M54/M$74,"")</f>
        <v/>
      </c>
      <c r="N123" s="11">
        <f>IF(AND(ISNUMBER(N54),N(N$74)&gt;0),N54/N$74,"")</f>
        <v/>
      </c>
      <c r="O123" s="11">
        <f>IF(AND(ISNUMBER(O54),N(O$74)&gt;0),O54/O$74,"")</f>
        <v/>
      </c>
      <c r="P123" s="11">
        <f>IF(AND(ISNUMBER(P54),N(P$74)&gt;0),P54/P$74,"")</f>
        <v/>
      </c>
      <c r="Q123" s="11">
        <f>IF(AND(ISNUMBER(Q54),N(Q$74)&gt;0),Q54/Q$74,"")</f>
        <v/>
      </c>
      <c r="R123" s="11">
        <f>IF(AND(ISNUMBER(R54),N(R$74)&gt;0),R54/R$74,"")</f>
        <v/>
      </c>
      <c r="S123" s="11">
        <f>IF(AND(ISNUMBER(S54),N(S$74)&gt;0),S54/S$74,"")</f>
        <v/>
      </c>
      <c r="T123" s="11">
        <f>IF(AND(ISNUMBER(T54),N(T$74)&gt;0),T54/T$74,"")</f>
        <v/>
      </c>
      <c r="U123" s="11">
        <f>IF(AND(ISNUMBER(U54),N(U$74)&gt;0),U54/U$74,"")</f>
        <v/>
      </c>
      <c r="V123" s="11">
        <f>IF(AND(ISNUMBER($V54),N($V$74)&gt;0),$V54/$V$74,"")</f>
        <v/>
      </c>
    </row>
    <row r="124">
      <c r="A124" s="44">
        <f>$A55</f>
        <v/>
      </c>
      <c r="B124" s="11">
        <f>IF(AND(ISNUMBER(B55),N(B$74)&gt;0),B55/B$74,"")</f>
        <v/>
      </c>
      <c r="C124" s="11">
        <f>IF(AND(ISNUMBER(C55),N(C$74)&gt;0),C55/C$74,"")</f>
        <v/>
      </c>
      <c r="D124" s="11">
        <f>IF(AND(ISNUMBER(D55),N(D$74)&gt;0),D55/D$74,"")</f>
        <v/>
      </c>
      <c r="E124" s="11">
        <f>IF(AND(ISNUMBER(E55),N(E$74)&gt;0),E55/E$74,"")</f>
        <v/>
      </c>
      <c r="F124" s="11">
        <f>IF(AND(ISNUMBER(F55),N(F$74)&gt;0),F55/F$74,"")</f>
        <v/>
      </c>
      <c r="G124" s="11">
        <f>IF(AND(ISNUMBER(G55),N(G$74)&gt;0),G55/G$74,"")</f>
        <v/>
      </c>
      <c r="H124" s="11">
        <f>IF(AND(ISNUMBER(H55),N(H$74)&gt;0),H55/H$74,"")</f>
        <v/>
      </c>
      <c r="I124" s="11">
        <f>IF(AND(ISNUMBER(I55),N(I$74)&gt;0),I55/I$74,"")</f>
        <v/>
      </c>
      <c r="J124" s="11">
        <f>IF(AND(ISNUMBER(J55),N(J$74)&gt;0),J55/J$74,"")</f>
        <v/>
      </c>
      <c r="K124" s="11">
        <f>IF(AND(ISNUMBER(K55),N(K$74)&gt;0),K55/K$74,"")</f>
        <v/>
      </c>
      <c r="L124" s="11">
        <f>IF(AND(ISNUMBER(L55),N(L$74)&gt;0),L55/L$74,"")</f>
        <v/>
      </c>
      <c r="M124" s="11">
        <f>IF(AND(ISNUMBER(M55),N(M$74)&gt;0),M55/M$74,"")</f>
        <v/>
      </c>
      <c r="N124" s="11">
        <f>IF(AND(ISNUMBER(N55),N(N$74)&gt;0),N55/N$74,"")</f>
        <v/>
      </c>
      <c r="O124" s="11">
        <f>IF(AND(ISNUMBER(O55),N(O$74)&gt;0),O55/O$74,"")</f>
        <v/>
      </c>
      <c r="P124" s="11">
        <f>IF(AND(ISNUMBER(P55),N(P$74)&gt;0),P55/P$74,"")</f>
        <v/>
      </c>
      <c r="Q124" s="11">
        <f>IF(AND(ISNUMBER(Q55),N(Q$74)&gt;0),Q55/Q$74,"")</f>
        <v/>
      </c>
      <c r="R124" s="11">
        <f>IF(AND(ISNUMBER(R55),N(R$74)&gt;0),R55/R$74,"")</f>
        <v/>
      </c>
      <c r="S124" s="11">
        <f>IF(AND(ISNUMBER(S55),N(S$74)&gt;0),S55/S$74,"")</f>
        <v/>
      </c>
      <c r="T124" s="11">
        <f>IF(AND(ISNUMBER(T55),N(T$74)&gt;0),T55/T$74,"")</f>
        <v/>
      </c>
      <c r="U124" s="11">
        <f>IF(AND(ISNUMBER(U55),N(U$74)&gt;0),U55/U$74,"")</f>
        <v/>
      </c>
      <c r="V124" s="11">
        <f>IF(AND(ISNUMBER($V55),N($V$74)&gt;0),$V55/$V$74,"")</f>
        <v/>
      </c>
    </row>
    <row r="125">
      <c r="A125" s="44">
        <f>$A56</f>
        <v/>
      </c>
      <c r="B125" s="11">
        <f>IF(AND(ISNUMBER(B56),N(B$74)&gt;0),B56/B$74,"")</f>
        <v/>
      </c>
      <c r="C125" s="11">
        <f>IF(AND(ISNUMBER(C56),N(C$74)&gt;0),C56/C$74,"")</f>
        <v/>
      </c>
      <c r="D125" s="11">
        <f>IF(AND(ISNUMBER(D56),N(D$74)&gt;0),D56/D$74,"")</f>
        <v/>
      </c>
      <c r="E125" s="11">
        <f>IF(AND(ISNUMBER(E56),N(E$74)&gt;0),E56/E$74,"")</f>
        <v/>
      </c>
      <c r="F125" s="11">
        <f>IF(AND(ISNUMBER(F56),N(F$74)&gt;0),F56/F$74,"")</f>
        <v/>
      </c>
      <c r="G125" s="11">
        <f>IF(AND(ISNUMBER(G56),N(G$74)&gt;0),G56/G$74,"")</f>
        <v/>
      </c>
      <c r="H125" s="11">
        <f>IF(AND(ISNUMBER(H56),N(H$74)&gt;0),H56/H$74,"")</f>
        <v/>
      </c>
      <c r="I125" s="11">
        <f>IF(AND(ISNUMBER(I56),N(I$74)&gt;0),I56/I$74,"")</f>
        <v/>
      </c>
      <c r="J125" s="11">
        <f>IF(AND(ISNUMBER(J56),N(J$74)&gt;0),J56/J$74,"")</f>
        <v/>
      </c>
      <c r="K125" s="11">
        <f>IF(AND(ISNUMBER(K56),N(K$74)&gt;0),K56/K$74,"")</f>
        <v/>
      </c>
      <c r="L125" s="11">
        <f>IF(AND(ISNUMBER(L56),N(L$74)&gt;0),L56/L$74,"")</f>
        <v/>
      </c>
      <c r="M125" s="11">
        <f>IF(AND(ISNUMBER(M56),N(M$74)&gt;0),M56/M$74,"")</f>
        <v/>
      </c>
      <c r="N125" s="11">
        <f>IF(AND(ISNUMBER(N56),N(N$74)&gt;0),N56/N$74,"")</f>
        <v/>
      </c>
      <c r="O125" s="11">
        <f>IF(AND(ISNUMBER(O56),N(O$74)&gt;0),O56/O$74,"")</f>
        <v/>
      </c>
      <c r="P125" s="11">
        <f>IF(AND(ISNUMBER(P56),N(P$74)&gt;0),P56/P$74,"")</f>
        <v/>
      </c>
      <c r="Q125" s="11">
        <f>IF(AND(ISNUMBER(Q56),N(Q$74)&gt;0),Q56/Q$74,"")</f>
        <v/>
      </c>
      <c r="R125" s="11">
        <f>IF(AND(ISNUMBER(R56),N(R$74)&gt;0),R56/R$74,"")</f>
        <v/>
      </c>
      <c r="S125" s="11">
        <f>IF(AND(ISNUMBER(S56),N(S$74)&gt;0),S56/S$74,"")</f>
        <v/>
      </c>
      <c r="T125" s="11">
        <f>IF(AND(ISNUMBER(T56),N(T$74)&gt;0),T56/T$74,"")</f>
        <v/>
      </c>
      <c r="U125" s="11">
        <f>IF(AND(ISNUMBER(U56),N(U$74)&gt;0),U56/U$74,"")</f>
        <v/>
      </c>
      <c r="V125" s="11">
        <f>IF(AND(ISNUMBER($V56),N($V$74)&gt;0),$V56/$V$74,"")</f>
        <v/>
      </c>
    </row>
    <row r="126">
      <c r="A126" s="44">
        <f>$A57</f>
        <v/>
      </c>
      <c r="B126" s="11">
        <f>IF(AND(ISNUMBER(B57),N(B$74)&gt;0),B57/B$74,"")</f>
        <v/>
      </c>
      <c r="C126" s="11">
        <f>IF(AND(ISNUMBER(C57),N(C$74)&gt;0),C57/C$74,"")</f>
        <v/>
      </c>
      <c r="D126" s="11">
        <f>IF(AND(ISNUMBER(D57),N(D$74)&gt;0),D57/D$74,"")</f>
        <v/>
      </c>
      <c r="E126" s="11">
        <f>IF(AND(ISNUMBER(E57),N(E$74)&gt;0),E57/E$74,"")</f>
        <v/>
      </c>
      <c r="F126" s="11">
        <f>IF(AND(ISNUMBER(F57),N(F$74)&gt;0),F57/F$74,"")</f>
        <v/>
      </c>
      <c r="G126" s="11">
        <f>IF(AND(ISNUMBER(G57),N(G$74)&gt;0),G57/G$74,"")</f>
        <v/>
      </c>
      <c r="H126" s="11">
        <f>IF(AND(ISNUMBER(H57),N(H$74)&gt;0),H57/H$74,"")</f>
        <v/>
      </c>
      <c r="I126" s="11">
        <f>IF(AND(ISNUMBER(I57),N(I$74)&gt;0),I57/I$74,"")</f>
        <v/>
      </c>
      <c r="J126" s="11">
        <f>IF(AND(ISNUMBER(J57),N(J$74)&gt;0),J57/J$74,"")</f>
        <v/>
      </c>
      <c r="K126" s="11">
        <f>IF(AND(ISNUMBER(K57),N(K$74)&gt;0),K57/K$74,"")</f>
        <v/>
      </c>
      <c r="L126" s="11">
        <f>IF(AND(ISNUMBER(L57),N(L$74)&gt;0),L57/L$74,"")</f>
        <v/>
      </c>
      <c r="M126" s="11">
        <f>IF(AND(ISNUMBER(M57),N(M$74)&gt;0),M57/M$74,"")</f>
        <v/>
      </c>
      <c r="N126" s="11">
        <f>IF(AND(ISNUMBER(N57),N(N$74)&gt;0),N57/N$74,"")</f>
        <v/>
      </c>
      <c r="O126" s="11">
        <f>IF(AND(ISNUMBER(O57),N(O$74)&gt;0),O57/O$74,"")</f>
        <v/>
      </c>
      <c r="P126" s="11">
        <f>IF(AND(ISNUMBER(P57),N(P$74)&gt;0),P57/P$74,"")</f>
        <v/>
      </c>
      <c r="Q126" s="11">
        <f>IF(AND(ISNUMBER(Q57),N(Q$74)&gt;0),Q57/Q$74,"")</f>
        <v/>
      </c>
      <c r="R126" s="11">
        <f>IF(AND(ISNUMBER(R57),N(R$74)&gt;0),R57/R$74,"")</f>
        <v/>
      </c>
      <c r="S126" s="11">
        <f>IF(AND(ISNUMBER(S57),N(S$74)&gt;0),S57/S$74,"")</f>
        <v/>
      </c>
      <c r="T126" s="11">
        <f>IF(AND(ISNUMBER(T57),N(T$74)&gt;0),T57/T$74,"")</f>
        <v/>
      </c>
      <c r="U126" s="11">
        <f>IF(AND(ISNUMBER(U57),N(U$74)&gt;0),U57/U$74,"")</f>
        <v/>
      </c>
      <c r="V126" s="11">
        <f>IF(AND(ISNUMBER($V57),N($V$74)&gt;0),$V57/$V$74,"")</f>
        <v/>
      </c>
    </row>
    <row r="127">
      <c r="A127" s="44">
        <f>$A58</f>
        <v/>
      </c>
      <c r="B127" s="11">
        <f>IF(AND(ISNUMBER(B58),N(B$74)&gt;0),B58/B$74,"")</f>
        <v/>
      </c>
      <c r="C127" s="11">
        <f>IF(AND(ISNUMBER(C58),N(C$74)&gt;0),C58/C$74,"")</f>
        <v/>
      </c>
      <c r="D127" s="11">
        <f>IF(AND(ISNUMBER(D58),N(D$74)&gt;0),D58/D$74,"")</f>
        <v/>
      </c>
      <c r="E127" s="11">
        <f>IF(AND(ISNUMBER(E58),N(E$74)&gt;0),E58/E$74,"")</f>
        <v/>
      </c>
      <c r="F127" s="11">
        <f>IF(AND(ISNUMBER(F58),N(F$74)&gt;0),F58/F$74,"")</f>
        <v/>
      </c>
      <c r="G127" s="11">
        <f>IF(AND(ISNUMBER(G58),N(G$74)&gt;0),G58/G$74,"")</f>
        <v/>
      </c>
      <c r="H127" s="11">
        <f>IF(AND(ISNUMBER(H58),N(H$74)&gt;0),H58/H$74,"")</f>
        <v/>
      </c>
      <c r="I127" s="11">
        <f>IF(AND(ISNUMBER(I58),N(I$74)&gt;0),I58/I$74,"")</f>
        <v/>
      </c>
      <c r="J127" s="11">
        <f>IF(AND(ISNUMBER(J58),N(J$74)&gt;0),J58/J$74,"")</f>
        <v/>
      </c>
      <c r="K127" s="11">
        <f>IF(AND(ISNUMBER(K58),N(K$74)&gt;0),K58/K$74,"")</f>
        <v/>
      </c>
      <c r="L127" s="11">
        <f>IF(AND(ISNUMBER(L58),N(L$74)&gt;0),L58/L$74,"")</f>
        <v/>
      </c>
      <c r="M127" s="11">
        <f>IF(AND(ISNUMBER(M58),N(M$74)&gt;0),M58/M$74,"")</f>
        <v/>
      </c>
      <c r="N127" s="11">
        <f>IF(AND(ISNUMBER(N58),N(N$74)&gt;0),N58/N$74,"")</f>
        <v/>
      </c>
      <c r="O127" s="11">
        <f>IF(AND(ISNUMBER(O58),N(O$74)&gt;0),O58/O$74,"")</f>
        <v/>
      </c>
      <c r="P127" s="11">
        <f>IF(AND(ISNUMBER(P58),N(P$74)&gt;0),P58/P$74,"")</f>
        <v/>
      </c>
      <c r="Q127" s="11">
        <f>IF(AND(ISNUMBER(Q58),N(Q$74)&gt;0),Q58/Q$74,"")</f>
        <v/>
      </c>
      <c r="R127" s="11">
        <f>IF(AND(ISNUMBER(R58),N(R$74)&gt;0),R58/R$74,"")</f>
        <v/>
      </c>
      <c r="S127" s="11">
        <f>IF(AND(ISNUMBER(S58),N(S$74)&gt;0),S58/S$74,"")</f>
        <v/>
      </c>
      <c r="T127" s="11">
        <f>IF(AND(ISNUMBER(T58),N(T$74)&gt;0),T58/T$74,"")</f>
        <v/>
      </c>
      <c r="U127" s="11">
        <f>IF(AND(ISNUMBER(U58),N(U$74)&gt;0),U58/U$74,"")</f>
        <v/>
      </c>
      <c r="V127" s="11">
        <f>IF(AND(ISNUMBER($V58),N($V$74)&gt;0),$V58/$V$74,"")</f>
        <v/>
      </c>
    </row>
    <row r="128">
      <c r="A128" s="44">
        <f>$A59</f>
        <v/>
      </c>
      <c r="B128" s="11">
        <f>IF(AND(ISNUMBER(B59),N(B$74)&gt;0),B59/B$74,"")</f>
        <v/>
      </c>
      <c r="C128" s="11">
        <f>IF(AND(ISNUMBER(C59),N(C$74)&gt;0),C59/C$74,"")</f>
        <v/>
      </c>
      <c r="D128" s="11">
        <f>IF(AND(ISNUMBER(D59),N(D$74)&gt;0),D59/D$74,"")</f>
        <v/>
      </c>
      <c r="E128" s="11">
        <f>IF(AND(ISNUMBER(E59),N(E$74)&gt;0),E59/E$74,"")</f>
        <v/>
      </c>
      <c r="F128" s="11">
        <f>IF(AND(ISNUMBER(F59),N(F$74)&gt;0),F59/F$74,"")</f>
        <v/>
      </c>
      <c r="G128" s="11">
        <f>IF(AND(ISNUMBER(G59),N(G$74)&gt;0),G59/G$74,"")</f>
        <v/>
      </c>
      <c r="H128" s="11">
        <f>IF(AND(ISNUMBER(H59),N(H$74)&gt;0),H59/H$74,"")</f>
        <v/>
      </c>
      <c r="I128" s="11">
        <f>IF(AND(ISNUMBER(I59),N(I$74)&gt;0),I59/I$74,"")</f>
        <v/>
      </c>
      <c r="J128" s="11">
        <f>IF(AND(ISNUMBER(J59),N(J$74)&gt;0),J59/J$74,"")</f>
        <v/>
      </c>
      <c r="K128" s="11">
        <f>IF(AND(ISNUMBER(K59),N(K$74)&gt;0),K59/K$74,"")</f>
        <v/>
      </c>
      <c r="L128" s="11">
        <f>IF(AND(ISNUMBER(L59),N(L$74)&gt;0),L59/L$74,"")</f>
        <v/>
      </c>
      <c r="M128" s="11">
        <f>IF(AND(ISNUMBER(M59),N(M$74)&gt;0),M59/M$74,"")</f>
        <v/>
      </c>
      <c r="N128" s="11">
        <f>IF(AND(ISNUMBER(N59),N(N$74)&gt;0),N59/N$74,"")</f>
        <v/>
      </c>
      <c r="O128" s="11">
        <f>IF(AND(ISNUMBER(O59),N(O$74)&gt;0),O59/O$74,"")</f>
        <v/>
      </c>
      <c r="P128" s="11">
        <f>IF(AND(ISNUMBER(P59),N(P$74)&gt;0),P59/P$74,"")</f>
        <v/>
      </c>
      <c r="Q128" s="11">
        <f>IF(AND(ISNUMBER(Q59),N(Q$74)&gt;0),Q59/Q$74,"")</f>
        <v/>
      </c>
      <c r="R128" s="11">
        <f>IF(AND(ISNUMBER(R59),N(R$74)&gt;0),R59/R$74,"")</f>
        <v/>
      </c>
      <c r="S128" s="11">
        <f>IF(AND(ISNUMBER(S59),N(S$74)&gt;0),S59/S$74,"")</f>
        <v/>
      </c>
      <c r="T128" s="11">
        <f>IF(AND(ISNUMBER(T59),N(T$74)&gt;0),T59/T$74,"")</f>
        <v/>
      </c>
      <c r="U128" s="11">
        <f>IF(AND(ISNUMBER(U59),N(U$74)&gt;0),U59/U$74,"")</f>
        <v/>
      </c>
      <c r="V128" s="11">
        <f>IF(AND(ISNUMBER($V59),N($V$74)&gt;0),$V59/$V$74,"")</f>
        <v/>
      </c>
    </row>
    <row r="129">
      <c r="A129" s="44">
        <f>$A60</f>
        <v/>
      </c>
      <c r="B129" s="11">
        <f>IF(AND(ISNUMBER(B60),N(B$74)&gt;0),B60/B$74,"")</f>
        <v/>
      </c>
      <c r="C129" s="11">
        <f>IF(AND(ISNUMBER(C60),N(C$74)&gt;0),C60/C$74,"")</f>
        <v/>
      </c>
      <c r="D129" s="11">
        <f>IF(AND(ISNUMBER(D60),N(D$74)&gt;0),D60/D$74,"")</f>
        <v/>
      </c>
      <c r="E129" s="11">
        <f>IF(AND(ISNUMBER(E60),N(E$74)&gt;0),E60/E$74,"")</f>
        <v/>
      </c>
      <c r="F129" s="11">
        <f>IF(AND(ISNUMBER(F60),N(F$74)&gt;0),F60/F$74,"")</f>
        <v/>
      </c>
      <c r="G129" s="11">
        <f>IF(AND(ISNUMBER(G60),N(G$74)&gt;0),G60/G$74,"")</f>
        <v/>
      </c>
      <c r="H129" s="11">
        <f>IF(AND(ISNUMBER(H60),N(H$74)&gt;0),H60/H$74,"")</f>
        <v/>
      </c>
      <c r="I129" s="11">
        <f>IF(AND(ISNUMBER(I60),N(I$74)&gt;0),I60/I$74,"")</f>
        <v/>
      </c>
      <c r="J129" s="11">
        <f>IF(AND(ISNUMBER(J60),N(J$74)&gt;0),J60/J$74,"")</f>
        <v/>
      </c>
      <c r="K129" s="11">
        <f>IF(AND(ISNUMBER(K60),N(K$74)&gt;0),K60/K$74,"")</f>
        <v/>
      </c>
      <c r="L129" s="11">
        <f>IF(AND(ISNUMBER(L60),N(L$74)&gt;0),L60/L$74,"")</f>
        <v/>
      </c>
      <c r="M129" s="11">
        <f>IF(AND(ISNUMBER(M60),N(M$74)&gt;0),M60/M$74,"")</f>
        <v/>
      </c>
      <c r="N129" s="11">
        <f>IF(AND(ISNUMBER(N60),N(N$74)&gt;0),N60/N$74,"")</f>
        <v/>
      </c>
      <c r="O129" s="11">
        <f>IF(AND(ISNUMBER(O60),N(O$74)&gt;0),O60/O$74,"")</f>
        <v/>
      </c>
      <c r="P129" s="11">
        <f>IF(AND(ISNUMBER(P60),N(P$74)&gt;0),P60/P$74,"")</f>
        <v/>
      </c>
      <c r="Q129" s="11">
        <f>IF(AND(ISNUMBER(Q60),N(Q$74)&gt;0),Q60/Q$74,"")</f>
        <v/>
      </c>
      <c r="R129" s="11">
        <f>IF(AND(ISNUMBER(R60),N(R$74)&gt;0),R60/R$74,"")</f>
        <v/>
      </c>
      <c r="S129" s="11">
        <f>IF(AND(ISNUMBER(S60),N(S$74)&gt;0),S60/S$74,"")</f>
        <v/>
      </c>
      <c r="T129" s="11">
        <f>IF(AND(ISNUMBER(T60),N(T$74)&gt;0),T60/T$74,"")</f>
        <v/>
      </c>
      <c r="U129" s="11">
        <f>IF(AND(ISNUMBER(U60),N(U$74)&gt;0),U60/U$74,"")</f>
        <v/>
      </c>
      <c r="V129" s="11">
        <f>IF(AND(ISNUMBER($V60),N($V$74)&gt;0),$V60/$V$74,"")</f>
        <v/>
      </c>
    </row>
    <row r="130">
      <c r="A130" s="44">
        <f>$A61</f>
        <v/>
      </c>
      <c r="B130" s="11">
        <f>IF(AND(ISNUMBER(B61),N(B$74)&gt;0),B61/B$74,"")</f>
        <v/>
      </c>
      <c r="C130" s="11">
        <f>IF(AND(ISNUMBER(C61),N(C$74)&gt;0),C61/C$74,"")</f>
        <v/>
      </c>
      <c r="D130" s="11">
        <f>IF(AND(ISNUMBER(D61),N(D$74)&gt;0),D61/D$74,"")</f>
        <v/>
      </c>
      <c r="E130" s="11">
        <f>IF(AND(ISNUMBER(E61),N(E$74)&gt;0),E61/E$74,"")</f>
        <v/>
      </c>
      <c r="F130" s="11">
        <f>IF(AND(ISNUMBER(F61),N(F$74)&gt;0),F61/F$74,"")</f>
        <v/>
      </c>
      <c r="G130" s="11">
        <f>IF(AND(ISNUMBER(G61),N(G$74)&gt;0),G61/G$74,"")</f>
        <v/>
      </c>
      <c r="H130" s="11">
        <f>IF(AND(ISNUMBER(H61),N(H$74)&gt;0),H61/H$74,"")</f>
        <v/>
      </c>
      <c r="I130" s="11">
        <f>IF(AND(ISNUMBER(I61),N(I$74)&gt;0),I61/I$74,"")</f>
        <v/>
      </c>
      <c r="J130" s="11">
        <f>IF(AND(ISNUMBER(J61),N(J$74)&gt;0),J61/J$74,"")</f>
        <v/>
      </c>
      <c r="K130" s="11">
        <f>IF(AND(ISNUMBER(K61),N(K$74)&gt;0),K61/K$74,"")</f>
        <v/>
      </c>
      <c r="L130" s="11">
        <f>IF(AND(ISNUMBER(L61),N(L$74)&gt;0),L61/L$74,"")</f>
        <v/>
      </c>
      <c r="M130" s="11">
        <f>IF(AND(ISNUMBER(M61),N(M$74)&gt;0),M61/M$74,"")</f>
        <v/>
      </c>
      <c r="N130" s="11">
        <f>IF(AND(ISNUMBER(N61),N(N$74)&gt;0),N61/N$74,"")</f>
        <v/>
      </c>
      <c r="O130" s="11">
        <f>IF(AND(ISNUMBER(O61),N(O$74)&gt;0),O61/O$74,"")</f>
        <v/>
      </c>
      <c r="P130" s="11">
        <f>IF(AND(ISNUMBER(P61),N(P$74)&gt;0),P61/P$74,"")</f>
        <v/>
      </c>
      <c r="Q130" s="11">
        <f>IF(AND(ISNUMBER(Q61),N(Q$74)&gt;0),Q61/Q$74,"")</f>
        <v/>
      </c>
      <c r="R130" s="11">
        <f>IF(AND(ISNUMBER(R61),N(R$74)&gt;0),R61/R$74,"")</f>
        <v/>
      </c>
      <c r="S130" s="11">
        <f>IF(AND(ISNUMBER(S61),N(S$74)&gt;0),S61/S$74,"")</f>
        <v/>
      </c>
      <c r="T130" s="11">
        <f>IF(AND(ISNUMBER(T61),N(T$74)&gt;0),T61/T$74,"")</f>
        <v/>
      </c>
      <c r="U130" s="11">
        <f>IF(AND(ISNUMBER(U61),N(U$74)&gt;0),U61/U$74,"")</f>
        <v/>
      </c>
      <c r="V130" s="11">
        <f>IF(AND(ISNUMBER($V61),N($V$74)&gt;0),$V61/$V$74,"")</f>
        <v/>
      </c>
    </row>
    <row r="131">
      <c r="A131" s="44">
        <f>$A62</f>
        <v/>
      </c>
      <c r="B131" s="11">
        <f>IF(AND(ISNUMBER(B62),N(B$74)&gt;0),B62/B$74,"")</f>
        <v/>
      </c>
      <c r="C131" s="11">
        <f>IF(AND(ISNUMBER(C62),N(C$74)&gt;0),C62/C$74,"")</f>
        <v/>
      </c>
      <c r="D131" s="11">
        <f>IF(AND(ISNUMBER(D62),N(D$74)&gt;0),D62/D$74,"")</f>
        <v/>
      </c>
      <c r="E131" s="11">
        <f>IF(AND(ISNUMBER(E62),N(E$74)&gt;0),E62/E$74,"")</f>
        <v/>
      </c>
      <c r="F131" s="11">
        <f>IF(AND(ISNUMBER(F62),N(F$74)&gt;0),F62/F$74,"")</f>
        <v/>
      </c>
      <c r="G131" s="11">
        <f>IF(AND(ISNUMBER(G62),N(G$74)&gt;0),G62/G$74,"")</f>
        <v/>
      </c>
      <c r="H131" s="11">
        <f>IF(AND(ISNUMBER(H62),N(H$74)&gt;0),H62/H$74,"")</f>
        <v/>
      </c>
      <c r="I131" s="11">
        <f>IF(AND(ISNUMBER(I62),N(I$74)&gt;0),I62/I$74,"")</f>
        <v/>
      </c>
      <c r="J131" s="11">
        <f>IF(AND(ISNUMBER(J62),N(J$74)&gt;0),J62/J$74,"")</f>
        <v/>
      </c>
      <c r="K131" s="11">
        <f>IF(AND(ISNUMBER(K62),N(K$74)&gt;0),K62/K$74,"")</f>
        <v/>
      </c>
      <c r="L131" s="11">
        <f>IF(AND(ISNUMBER(L62),N(L$74)&gt;0),L62/L$74,"")</f>
        <v/>
      </c>
      <c r="M131" s="11">
        <f>IF(AND(ISNUMBER(M62),N(M$74)&gt;0),M62/M$74,"")</f>
        <v/>
      </c>
      <c r="N131" s="11">
        <f>IF(AND(ISNUMBER(N62),N(N$74)&gt;0),N62/N$74,"")</f>
        <v/>
      </c>
      <c r="O131" s="11">
        <f>IF(AND(ISNUMBER(O62),N(O$74)&gt;0),O62/O$74,"")</f>
        <v/>
      </c>
      <c r="P131" s="11">
        <f>IF(AND(ISNUMBER(P62),N(P$74)&gt;0),P62/P$74,"")</f>
        <v/>
      </c>
      <c r="Q131" s="11">
        <f>IF(AND(ISNUMBER(Q62),N(Q$74)&gt;0),Q62/Q$74,"")</f>
        <v/>
      </c>
      <c r="R131" s="11">
        <f>IF(AND(ISNUMBER(R62),N(R$74)&gt;0),R62/R$74,"")</f>
        <v/>
      </c>
      <c r="S131" s="11">
        <f>IF(AND(ISNUMBER(S62),N(S$74)&gt;0),S62/S$74,"")</f>
        <v/>
      </c>
      <c r="T131" s="11">
        <f>IF(AND(ISNUMBER(T62),N(T$74)&gt;0),T62/T$74,"")</f>
        <v/>
      </c>
      <c r="U131" s="11">
        <f>IF(AND(ISNUMBER(U62),N(U$74)&gt;0),U62/U$74,"")</f>
        <v/>
      </c>
      <c r="V131" s="11">
        <f>IF(AND(ISNUMBER($V62),N($V$74)&gt;0),$V62/$V$74,"")</f>
        <v/>
      </c>
    </row>
    <row r="132">
      <c r="A132" s="44">
        <f>$A63</f>
        <v/>
      </c>
      <c r="B132" s="11">
        <f>IF(AND(ISNUMBER(B63),N(B$74)&gt;0),B63/B$74,"")</f>
        <v/>
      </c>
      <c r="C132" s="11">
        <f>IF(AND(ISNUMBER(C63),N(C$74)&gt;0),C63/C$74,"")</f>
        <v/>
      </c>
      <c r="D132" s="11">
        <f>IF(AND(ISNUMBER(D63),N(D$74)&gt;0),D63/D$74,"")</f>
        <v/>
      </c>
      <c r="E132" s="11">
        <f>IF(AND(ISNUMBER(E63),N(E$74)&gt;0),E63/E$74,"")</f>
        <v/>
      </c>
      <c r="F132" s="11">
        <f>IF(AND(ISNUMBER(F63),N(F$74)&gt;0),F63/F$74,"")</f>
        <v/>
      </c>
      <c r="G132" s="11">
        <f>IF(AND(ISNUMBER(G63),N(G$74)&gt;0),G63/G$74,"")</f>
        <v/>
      </c>
      <c r="H132" s="11">
        <f>IF(AND(ISNUMBER(H63),N(H$74)&gt;0),H63/H$74,"")</f>
        <v/>
      </c>
      <c r="I132" s="11">
        <f>IF(AND(ISNUMBER(I63),N(I$74)&gt;0),I63/I$74,"")</f>
        <v/>
      </c>
      <c r="J132" s="11">
        <f>IF(AND(ISNUMBER(J63),N(J$74)&gt;0),J63/J$74,"")</f>
        <v/>
      </c>
      <c r="K132" s="11">
        <f>IF(AND(ISNUMBER(K63),N(K$74)&gt;0),K63/K$74,"")</f>
        <v/>
      </c>
      <c r="L132" s="11">
        <f>IF(AND(ISNUMBER(L63),N(L$74)&gt;0),L63/L$74,"")</f>
        <v/>
      </c>
      <c r="M132" s="11">
        <f>IF(AND(ISNUMBER(M63),N(M$74)&gt;0),M63/M$74,"")</f>
        <v/>
      </c>
      <c r="N132" s="11">
        <f>IF(AND(ISNUMBER(N63),N(N$74)&gt;0),N63/N$74,"")</f>
        <v/>
      </c>
      <c r="O132" s="11">
        <f>IF(AND(ISNUMBER(O63),N(O$74)&gt;0),O63/O$74,"")</f>
        <v/>
      </c>
      <c r="P132" s="11">
        <f>IF(AND(ISNUMBER(P63),N(P$74)&gt;0),P63/P$74,"")</f>
        <v/>
      </c>
      <c r="Q132" s="11">
        <f>IF(AND(ISNUMBER(Q63),N(Q$74)&gt;0),Q63/Q$74,"")</f>
        <v/>
      </c>
      <c r="R132" s="11">
        <f>IF(AND(ISNUMBER(R63),N(R$74)&gt;0),R63/R$74,"")</f>
        <v/>
      </c>
      <c r="S132" s="11">
        <f>IF(AND(ISNUMBER(S63),N(S$74)&gt;0),S63/S$74,"")</f>
        <v/>
      </c>
      <c r="T132" s="11">
        <f>IF(AND(ISNUMBER(T63),N(T$74)&gt;0),T63/T$74,"")</f>
        <v/>
      </c>
      <c r="U132" s="11">
        <f>IF(AND(ISNUMBER(U63),N(U$74)&gt;0),U63/U$74,"")</f>
        <v/>
      </c>
      <c r="V132" s="11">
        <f>IF(AND(ISNUMBER($V63),N($V$74)&gt;0),$V63/$V$74,"")</f>
        <v/>
      </c>
    </row>
    <row r="133">
      <c r="A133" s="44">
        <f>$A64</f>
        <v/>
      </c>
      <c r="B133" s="11">
        <f>IF(AND(ISNUMBER(B64),N(B$74)&gt;0),B64/B$74,"")</f>
        <v/>
      </c>
      <c r="C133" s="11">
        <f>IF(AND(ISNUMBER(C64),N(C$74)&gt;0),C64/C$74,"")</f>
        <v/>
      </c>
      <c r="D133" s="11">
        <f>IF(AND(ISNUMBER(D64),N(D$74)&gt;0),D64/D$74,"")</f>
        <v/>
      </c>
      <c r="E133" s="11">
        <f>IF(AND(ISNUMBER(E64),N(E$74)&gt;0),E64/E$74,"")</f>
        <v/>
      </c>
      <c r="F133" s="11">
        <f>IF(AND(ISNUMBER(F64),N(F$74)&gt;0),F64/F$74,"")</f>
        <v/>
      </c>
      <c r="G133" s="11">
        <f>IF(AND(ISNUMBER(G64),N(G$74)&gt;0),G64/G$74,"")</f>
        <v/>
      </c>
      <c r="H133" s="11">
        <f>IF(AND(ISNUMBER(H64),N(H$74)&gt;0),H64/H$74,"")</f>
        <v/>
      </c>
      <c r="I133" s="11">
        <f>IF(AND(ISNUMBER(I64),N(I$74)&gt;0),I64/I$74,"")</f>
        <v/>
      </c>
      <c r="J133" s="11">
        <f>IF(AND(ISNUMBER(J64),N(J$74)&gt;0),J64/J$74,"")</f>
        <v/>
      </c>
      <c r="K133" s="11">
        <f>IF(AND(ISNUMBER(K64),N(K$74)&gt;0),K64/K$74,"")</f>
        <v/>
      </c>
      <c r="L133" s="11">
        <f>IF(AND(ISNUMBER(L64),N(L$74)&gt;0),L64/L$74,"")</f>
        <v/>
      </c>
      <c r="M133" s="11">
        <f>IF(AND(ISNUMBER(M64),N(M$74)&gt;0),M64/M$74,"")</f>
        <v/>
      </c>
      <c r="N133" s="11">
        <f>IF(AND(ISNUMBER(N64),N(N$74)&gt;0),N64/N$74,"")</f>
        <v/>
      </c>
      <c r="O133" s="11">
        <f>IF(AND(ISNUMBER(O64),N(O$74)&gt;0),O64/O$74,"")</f>
        <v/>
      </c>
      <c r="P133" s="11">
        <f>IF(AND(ISNUMBER(P64),N(P$74)&gt;0),P64/P$74,"")</f>
        <v/>
      </c>
      <c r="Q133" s="11">
        <f>IF(AND(ISNUMBER(Q64),N(Q$74)&gt;0),Q64/Q$74,"")</f>
        <v/>
      </c>
      <c r="R133" s="11">
        <f>IF(AND(ISNUMBER(R64),N(R$74)&gt;0),R64/R$74,"")</f>
        <v/>
      </c>
      <c r="S133" s="11">
        <f>IF(AND(ISNUMBER(S64),N(S$74)&gt;0),S64/S$74,"")</f>
        <v/>
      </c>
      <c r="T133" s="11">
        <f>IF(AND(ISNUMBER(T64),N(T$74)&gt;0),T64/T$74,"")</f>
        <v/>
      </c>
      <c r="U133" s="11">
        <f>IF(AND(ISNUMBER(U64),N(U$74)&gt;0),U64/U$74,"")</f>
        <v/>
      </c>
      <c r="V133" s="11">
        <f>IF(AND(ISNUMBER($V64),N($V$74)&gt;0),$V64/$V$74,"")</f>
        <v/>
      </c>
    </row>
    <row r="134">
      <c r="A134" s="44">
        <f>$A65</f>
        <v/>
      </c>
      <c r="B134" s="11">
        <f>IF(AND(ISNUMBER(B65),N(B$74)&gt;0),B65/B$74,"")</f>
        <v/>
      </c>
      <c r="C134" s="11">
        <f>IF(AND(ISNUMBER(C65),N(C$74)&gt;0),C65/C$74,"")</f>
        <v/>
      </c>
      <c r="D134" s="11">
        <f>IF(AND(ISNUMBER(D65),N(D$74)&gt;0),D65/D$74,"")</f>
        <v/>
      </c>
      <c r="E134" s="11">
        <f>IF(AND(ISNUMBER(E65),N(E$74)&gt;0),E65/E$74,"")</f>
        <v/>
      </c>
      <c r="F134" s="11">
        <f>IF(AND(ISNUMBER(F65),N(F$74)&gt;0),F65/F$74,"")</f>
        <v/>
      </c>
      <c r="G134" s="11">
        <f>IF(AND(ISNUMBER(G65),N(G$74)&gt;0),G65/G$74,"")</f>
        <v/>
      </c>
      <c r="H134" s="11">
        <f>IF(AND(ISNUMBER(H65),N(H$74)&gt;0),H65/H$74,"")</f>
        <v/>
      </c>
      <c r="I134" s="11">
        <f>IF(AND(ISNUMBER(I65),N(I$74)&gt;0),I65/I$74,"")</f>
        <v/>
      </c>
      <c r="J134" s="11">
        <f>IF(AND(ISNUMBER(J65),N(J$74)&gt;0),J65/J$74,"")</f>
        <v/>
      </c>
      <c r="K134" s="11">
        <f>IF(AND(ISNUMBER(K65),N(K$74)&gt;0),K65/K$74,"")</f>
        <v/>
      </c>
      <c r="L134" s="11">
        <f>IF(AND(ISNUMBER(L65),N(L$74)&gt;0),L65/L$74,"")</f>
        <v/>
      </c>
      <c r="M134" s="11">
        <f>IF(AND(ISNUMBER(M65),N(M$74)&gt;0),M65/M$74,"")</f>
        <v/>
      </c>
      <c r="N134" s="11">
        <f>IF(AND(ISNUMBER(N65),N(N$74)&gt;0),N65/N$74,"")</f>
        <v/>
      </c>
      <c r="O134" s="11">
        <f>IF(AND(ISNUMBER(O65),N(O$74)&gt;0),O65/O$74,"")</f>
        <v/>
      </c>
      <c r="P134" s="11">
        <f>IF(AND(ISNUMBER(P65),N(P$74)&gt;0),P65/P$74,"")</f>
        <v/>
      </c>
      <c r="Q134" s="11">
        <f>IF(AND(ISNUMBER(Q65),N(Q$74)&gt;0),Q65/Q$74,"")</f>
        <v/>
      </c>
      <c r="R134" s="11">
        <f>IF(AND(ISNUMBER(R65),N(R$74)&gt;0),R65/R$74,"")</f>
        <v/>
      </c>
      <c r="S134" s="11">
        <f>IF(AND(ISNUMBER(S65),N(S$74)&gt;0),S65/S$74,"")</f>
        <v/>
      </c>
      <c r="T134" s="11">
        <f>IF(AND(ISNUMBER(T65),N(T$74)&gt;0),T65/T$74,"")</f>
        <v/>
      </c>
      <c r="U134" s="11">
        <f>IF(AND(ISNUMBER(U65),N(U$74)&gt;0),U65/U$74,"")</f>
        <v/>
      </c>
      <c r="V134" s="11">
        <f>IF(AND(ISNUMBER($V65),N($V$74)&gt;0),$V65/$V$74,"")</f>
        <v/>
      </c>
    </row>
    <row r="135">
      <c r="A135" s="44">
        <f>$A66</f>
        <v/>
      </c>
      <c r="B135" s="11">
        <f>IF(AND(ISNUMBER(B66),N(B$74)&gt;0),B66/B$74,"")</f>
        <v/>
      </c>
      <c r="C135" s="11">
        <f>IF(AND(ISNUMBER(C66),N(C$74)&gt;0),C66/C$74,"")</f>
        <v/>
      </c>
      <c r="D135" s="11">
        <f>IF(AND(ISNUMBER(D66),N(D$74)&gt;0),D66/D$74,"")</f>
        <v/>
      </c>
      <c r="E135" s="11">
        <f>IF(AND(ISNUMBER(E66),N(E$74)&gt;0),E66/E$74,"")</f>
        <v/>
      </c>
      <c r="F135" s="11">
        <f>IF(AND(ISNUMBER(F66),N(F$74)&gt;0),F66/F$74,"")</f>
        <v/>
      </c>
      <c r="G135" s="11">
        <f>IF(AND(ISNUMBER(G66),N(G$74)&gt;0),G66/G$74,"")</f>
        <v/>
      </c>
      <c r="H135" s="11">
        <f>IF(AND(ISNUMBER(H66),N(H$74)&gt;0),H66/H$74,"")</f>
        <v/>
      </c>
      <c r="I135" s="11">
        <f>IF(AND(ISNUMBER(I66),N(I$74)&gt;0),I66/I$74,"")</f>
        <v/>
      </c>
      <c r="J135" s="11">
        <f>IF(AND(ISNUMBER(J66),N(J$74)&gt;0),J66/J$74,"")</f>
        <v/>
      </c>
      <c r="K135" s="11">
        <f>IF(AND(ISNUMBER(K66),N(K$74)&gt;0),K66/K$74,"")</f>
        <v/>
      </c>
      <c r="L135" s="11">
        <f>IF(AND(ISNUMBER(L66),N(L$74)&gt;0),L66/L$74,"")</f>
        <v/>
      </c>
      <c r="M135" s="11">
        <f>IF(AND(ISNUMBER(M66),N(M$74)&gt;0),M66/M$74,"")</f>
        <v/>
      </c>
      <c r="N135" s="11">
        <f>IF(AND(ISNUMBER(N66),N(N$74)&gt;0),N66/N$74,"")</f>
        <v/>
      </c>
      <c r="O135" s="11">
        <f>IF(AND(ISNUMBER(O66),N(O$74)&gt;0),O66/O$74,"")</f>
        <v/>
      </c>
      <c r="P135" s="11">
        <f>IF(AND(ISNUMBER(P66),N(P$74)&gt;0),P66/P$74,"")</f>
        <v/>
      </c>
      <c r="Q135" s="11">
        <f>IF(AND(ISNUMBER(Q66),N(Q$74)&gt;0),Q66/Q$74,"")</f>
        <v/>
      </c>
      <c r="R135" s="11">
        <f>IF(AND(ISNUMBER(R66),N(R$74)&gt;0),R66/R$74,"")</f>
        <v/>
      </c>
      <c r="S135" s="11">
        <f>IF(AND(ISNUMBER(S66),N(S$74)&gt;0),S66/S$74,"")</f>
        <v/>
      </c>
      <c r="T135" s="11">
        <f>IF(AND(ISNUMBER(T66),N(T$74)&gt;0),T66/T$74,"")</f>
        <v/>
      </c>
      <c r="U135" s="11">
        <f>IF(AND(ISNUMBER(U66),N(U$74)&gt;0),U66/U$74,"")</f>
        <v/>
      </c>
      <c r="V135" s="11">
        <f>IF(AND(ISNUMBER($V66),N($V$74)&gt;0),$V66/$V$74,"")</f>
        <v/>
      </c>
    </row>
    <row r="136">
      <c r="A136" s="44">
        <f>$A67</f>
        <v/>
      </c>
      <c r="B136" s="11">
        <f>IF(AND(ISNUMBER(B67),N(B$74)&gt;0),B67/B$74,"")</f>
        <v/>
      </c>
      <c r="C136" s="11">
        <f>IF(AND(ISNUMBER(C67),N(C$74)&gt;0),C67/C$74,"")</f>
        <v/>
      </c>
      <c r="D136" s="11">
        <f>IF(AND(ISNUMBER(D67),N(D$74)&gt;0),D67/D$74,"")</f>
        <v/>
      </c>
      <c r="E136" s="11">
        <f>IF(AND(ISNUMBER(E67),N(E$74)&gt;0),E67/E$74,"")</f>
        <v/>
      </c>
      <c r="F136" s="11">
        <f>IF(AND(ISNUMBER(F67),N(F$74)&gt;0),F67/F$74,"")</f>
        <v/>
      </c>
      <c r="G136" s="11">
        <f>IF(AND(ISNUMBER(G67),N(G$74)&gt;0),G67/G$74,"")</f>
        <v/>
      </c>
      <c r="H136" s="11">
        <f>IF(AND(ISNUMBER(H67),N(H$74)&gt;0),H67/H$74,"")</f>
        <v/>
      </c>
      <c r="I136" s="11">
        <f>IF(AND(ISNUMBER(I67),N(I$74)&gt;0),I67/I$74,"")</f>
        <v/>
      </c>
      <c r="J136" s="11">
        <f>IF(AND(ISNUMBER(J67),N(J$74)&gt;0),J67/J$74,"")</f>
        <v/>
      </c>
      <c r="K136" s="11">
        <f>IF(AND(ISNUMBER(K67),N(K$74)&gt;0),K67/K$74,"")</f>
        <v/>
      </c>
      <c r="L136" s="11">
        <f>IF(AND(ISNUMBER(L67),N(L$74)&gt;0),L67/L$74,"")</f>
        <v/>
      </c>
      <c r="M136" s="11">
        <f>IF(AND(ISNUMBER(M67),N(M$74)&gt;0),M67/M$74,"")</f>
        <v/>
      </c>
      <c r="N136" s="11">
        <f>IF(AND(ISNUMBER(N67),N(N$74)&gt;0),N67/N$74,"")</f>
        <v/>
      </c>
      <c r="O136" s="11">
        <f>IF(AND(ISNUMBER(O67),N(O$74)&gt;0),O67/O$74,"")</f>
        <v/>
      </c>
      <c r="P136" s="11">
        <f>IF(AND(ISNUMBER(P67),N(P$74)&gt;0),P67/P$74,"")</f>
        <v/>
      </c>
      <c r="Q136" s="11">
        <f>IF(AND(ISNUMBER(Q67),N(Q$74)&gt;0),Q67/Q$74,"")</f>
        <v/>
      </c>
      <c r="R136" s="11">
        <f>IF(AND(ISNUMBER(R67),N(R$74)&gt;0),R67/R$74,"")</f>
        <v/>
      </c>
      <c r="S136" s="11">
        <f>IF(AND(ISNUMBER(S67),N(S$74)&gt;0),S67/S$74,"")</f>
        <v/>
      </c>
      <c r="T136" s="11">
        <f>IF(AND(ISNUMBER(T67),N(T$74)&gt;0),T67/T$74,"")</f>
        <v/>
      </c>
      <c r="U136" s="11">
        <f>IF(AND(ISNUMBER(U67),N(U$74)&gt;0),U67/U$74,"")</f>
        <v/>
      </c>
      <c r="V136" s="11">
        <f>IF(AND(ISNUMBER($V67),N($V$74)&gt;0),$V67/$V$74,"")</f>
        <v/>
      </c>
    </row>
    <row r="137">
      <c r="A137" s="44">
        <f>$A68</f>
        <v/>
      </c>
      <c r="B137" s="11">
        <f>IF(AND(ISNUMBER(B68),N(B$74)&gt;0),B68/B$74,"")</f>
        <v/>
      </c>
      <c r="C137" s="11">
        <f>IF(AND(ISNUMBER(C68),N(C$74)&gt;0),C68/C$74,"")</f>
        <v/>
      </c>
      <c r="D137" s="11">
        <f>IF(AND(ISNUMBER(D68),N(D$74)&gt;0),D68/D$74,"")</f>
        <v/>
      </c>
      <c r="E137" s="11">
        <f>IF(AND(ISNUMBER(E68),N(E$74)&gt;0),E68/E$74,"")</f>
        <v/>
      </c>
      <c r="F137" s="11">
        <f>IF(AND(ISNUMBER(F68),N(F$74)&gt;0),F68/F$74,"")</f>
        <v/>
      </c>
      <c r="G137" s="11">
        <f>IF(AND(ISNUMBER(G68),N(G$74)&gt;0),G68/G$74,"")</f>
        <v/>
      </c>
      <c r="H137" s="11">
        <f>IF(AND(ISNUMBER(H68),N(H$74)&gt;0),H68/H$74,"")</f>
        <v/>
      </c>
      <c r="I137" s="11">
        <f>IF(AND(ISNUMBER(I68),N(I$74)&gt;0),I68/I$74,"")</f>
        <v/>
      </c>
      <c r="J137" s="11">
        <f>IF(AND(ISNUMBER(J68),N(J$74)&gt;0),J68/J$74,"")</f>
        <v/>
      </c>
      <c r="K137" s="11">
        <f>IF(AND(ISNUMBER(K68),N(K$74)&gt;0),K68/K$74,"")</f>
        <v/>
      </c>
      <c r="L137" s="11">
        <f>IF(AND(ISNUMBER(L68),N(L$74)&gt;0),L68/L$74,"")</f>
        <v/>
      </c>
      <c r="M137" s="11">
        <f>IF(AND(ISNUMBER(M68),N(M$74)&gt;0),M68/M$74,"")</f>
        <v/>
      </c>
      <c r="N137" s="11">
        <f>IF(AND(ISNUMBER(N68),N(N$74)&gt;0),N68/N$74,"")</f>
        <v/>
      </c>
      <c r="O137" s="11">
        <f>IF(AND(ISNUMBER(O68),N(O$74)&gt;0),O68/O$74,"")</f>
        <v/>
      </c>
      <c r="P137" s="11">
        <f>IF(AND(ISNUMBER(P68),N(P$74)&gt;0),P68/P$74,"")</f>
        <v/>
      </c>
      <c r="Q137" s="11">
        <f>IF(AND(ISNUMBER(Q68),N(Q$74)&gt;0),Q68/Q$74,"")</f>
        <v/>
      </c>
      <c r="R137" s="11">
        <f>IF(AND(ISNUMBER(R68),N(R$74)&gt;0),R68/R$74,"")</f>
        <v/>
      </c>
      <c r="S137" s="11">
        <f>IF(AND(ISNUMBER(S68),N(S$74)&gt;0),S68/S$74,"")</f>
        <v/>
      </c>
      <c r="T137" s="11">
        <f>IF(AND(ISNUMBER(T68),N(T$74)&gt;0),T68/T$74,"")</f>
        <v/>
      </c>
      <c r="U137" s="11">
        <f>IF(AND(ISNUMBER(U68),N(U$74)&gt;0),U68/U$74,"")</f>
        <v/>
      </c>
      <c r="V137" s="11">
        <f>IF(AND(ISNUMBER($V68),N($V$74)&gt;0),$V68/$V$74,"")</f>
        <v/>
      </c>
    </row>
    <row r="138">
      <c r="A138" s="44">
        <f>$A69</f>
        <v/>
      </c>
      <c r="B138" s="11">
        <f>IF(AND(ISNUMBER(B69),N(B$74)&gt;0),B69/B$74,"")</f>
        <v/>
      </c>
      <c r="C138" s="11">
        <f>IF(AND(ISNUMBER(C69),N(C$74)&gt;0),C69/C$74,"")</f>
        <v/>
      </c>
      <c r="D138" s="11">
        <f>IF(AND(ISNUMBER(D69),N(D$74)&gt;0),D69/D$74,"")</f>
        <v/>
      </c>
      <c r="E138" s="11">
        <f>IF(AND(ISNUMBER(E69),N(E$74)&gt;0),E69/E$74,"")</f>
        <v/>
      </c>
      <c r="F138" s="11">
        <f>IF(AND(ISNUMBER(F69),N(F$74)&gt;0),F69/F$74,"")</f>
        <v/>
      </c>
      <c r="G138" s="11">
        <f>IF(AND(ISNUMBER(G69),N(G$74)&gt;0),G69/G$74,"")</f>
        <v/>
      </c>
      <c r="H138" s="11">
        <f>IF(AND(ISNUMBER(H69),N(H$74)&gt;0),H69/H$74,"")</f>
        <v/>
      </c>
      <c r="I138" s="11">
        <f>IF(AND(ISNUMBER(I69),N(I$74)&gt;0),I69/I$74,"")</f>
        <v/>
      </c>
      <c r="J138" s="11">
        <f>IF(AND(ISNUMBER(J69),N(J$74)&gt;0),J69/J$74,"")</f>
        <v/>
      </c>
      <c r="K138" s="11">
        <f>IF(AND(ISNUMBER(K69),N(K$74)&gt;0),K69/K$74,"")</f>
        <v/>
      </c>
      <c r="L138" s="11">
        <f>IF(AND(ISNUMBER(L69),N(L$74)&gt;0),L69/L$74,"")</f>
        <v/>
      </c>
      <c r="M138" s="11">
        <f>IF(AND(ISNUMBER(M69),N(M$74)&gt;0),M69/M$74,"")</f>
        <v/>
      </c>
      <c r="N138" s="11">
        <f>IF(AND(ISNUMBER(N69),N(N$74)&gt;0),N69/N$74,"")</f>
        <v/>
      </c>
      <c r="O138" s="11">
        <f>IF(AND(ISNUMBER(O69),N(O$74)&gt;0),O69/O$74,"")</f>
        <v/>
      </c>
      <c r="P138" s="11">
        <f>IF(AND(ISNUMBER(P69),N(P$74)&gt;0),P69/P$74,"")</f>
        <v/>
      </c>
      <c r="Q138" s="11">
        <f>IF(AND(ISNUMBER(Q69),N(Q$74)&gt;0),Q69/Q$74,"")</f>
        <v/>
      </c>
      <c r="R138" s="11">
        <f>IF(AND(ISNUMBER(R69),N(R$74)&gt;0),R69/R$74,"")</f>
        <v/>
      </c>
      <c r="S138" s="11">
        <f>IF(AND(ISNUMBER(S69),N(S$74)&gt;0),S69/S$74,"")</f>
        <v/>
      </c>
      <c r="T138" s="11">
        <f>IF(AND(ISNUMBER(T69),N(T$74)&gt;0),T69/T$74,"")</f>
        <v/>
      </c>
      <c r="U138" s="11">
        <f>IF(AND(ISNUMBER(U69),N(U$74)&gt;0),U69/U$74,"")</f>
        <v/>
      </c>
      <c r="V138" s="11">
        <f>IF(AND(ISNUMBER($V69),N($V$74)&gt;0),$V69/$V$74,"")</f>
        <v/>
      </c>
    </row>
    <row r="139">
      <c r="A139" s="44">
        <f>$A70</f>
        <v/>
      </c>
      <c r="B139" s="11">
        <f>IF(AND(ISNUMBER(B70),N(B$74)&gt;0),B70/B$74,"")</f>
        <v/>
      </c>
      <c r="C139" s="11">
        <f>IF(AND(ISNUMBER(C70),N(C$74)&gt;0),C70/C$74,"")</f>
        <v/>
      </c>
      <c r="D139" s="11">
        <f>IF(AND(ISNUMBER(D70),N(D$74)&gt;0),D70/D$74,"")</f>
        <v/>
      </c>
      <c r="E139" s="11">
        <f>IF(AND(ISNUMBER(E70),N(E$74)&gt;0),E70/E$74,"")</f>
        <v/>
      </c>
      <c r="F139" s="11">
        <f>IF(AND(ISNUMBER(F70),N(F$74)&gt;0),F70/F$74,"")</f>
        <v/>
      </c>
      <c r="G139" s="11">
        <f>IF(AND(ISNUMBER(G70),N(G$74)&gt;0),G70/G$74,"")</f>
        <v/>
      </c>
      <c r="H139" s="11">
        <f>IF(AND(ISNUMBER(H70),N(H$74)&gt;0),H70/H$74,"")</f>
        <v/>
      </c>
      <c r="I139" s="11">
        <f>IF(AND(ISNUMBER(I70),N(I$74)&gt;0),I70/I$74,"")</f>
        <v/>
      </c>
      <c r="J139" s="11">
        <f>IF(AND(ISNUMBER(J70),N(J$74)&gt;0),J70/J$74,"")</f>
        <v/>
      </c>
      <c r="K139" s="11">
        <f>IF(AND(ISNUMBER(K70),N(K$74)&gt;0),K70/K$74,"")</f>
        <v/>
      </c>
      <c r="L139" s="11">
        <f>IF(AND(ISNUMBER(L70),N(L$74)&gt;0),L70/L$74,"")</f>
        <v/>
      </c>
      <c r="M139" s="11">
        <f>IF(AND(ISNUMBER(M70),N(M$74)&gt;0),M70/M$74,"")</f>
        <v/>
      </c>
      <c r="N139" s="11">
        <f>IF(AND(ISNUMBER(N70),N(N$74)&gt;0),N70/N$74,"")</f>
        <v/>
      </c>
      <c r="O139" s="11">
        <f>IF(AND(ISNUMBER(O70),N(O$74)&gt;0),O70/O$74,"")</f>
        <v/>
      </c>
      <c r="P139" s="11">
        <f>IF(AND(ISNUMBER(P70),N(P$74)&gt;0),P70/P$74,"")</f>
        <v/>
      </c>
      <c r="Q139" s="11">
        <f>IF(AND(ISNUMBER(Q70),N(Q$74)&gt;0),Q70/Q$74,"")</f>
        <v/>
      </c>
      <c r="R139" s="11">
        <f>IF(AND(ISNUMBER(R70),N(R$74)&gt;0),R70/R$74,"")</f>
        <v/>
      </c>
      <c r="S139" s="11">
        <f>IF(AND(ISNUMBER(S70),N(S$74)&gt;0),S70/S$74,"")</f>
        <v/>
      </c>
      <c r="T139" s="11">
        <f>IF(AND(ISNUMBER(T70),N(T$74)&gt;0),T70/T$74,"")</f>
        <v/>
      </c>
      <c r="U139" s="11">
        <f>IF(AND(ISNUMBER(U70),N(U$74)&gt;0),U70/U$74,"")</f>
        <v/>
      </c>
      <c r="V139" s="11">
        <f>IF(AND(ISNUMBER($V70),N($V$74)&gt;0),$V70/$V$74,"")</f>
        <v/>
      </c>
    </row>
    <row r="140">
      <c r="A140" s="44">
        <f>$A71</f>
        <v/>
      </c>
      <c r="B140" s="11">
        <f>IF(AND(ISNUMBER(B71),N(B$74)&gt;0),B71/B$74,"")</f>
        <v/>
      </c>
      <c r="C140" s="11">
        <f>IF(AND(ISNUMBER(C71),N(C$74)&gt;0),C71/C$74,"")</f>
        <v/>
      </c>
      <c r="D140" s="11">
        <f>IF(AND(ISNUMBER(D71),N(D$74)&gt;0),D71/D$74,"")</f>
        <v/>
      </c>
      <c r="E140" s="11">
        <f>IF(AND(ISNUMBER(E71),N(E$74)&gt;0),E71/E$74,"")</f>
        <v/>
      </c>
      <c r="F140" s="11">
        <f>IF(AND(ISNUMBER(F71),N(F$74)&gt;0),F71/F$74,"")</f>
        <v/>
      </c>
      <c r="G140" s="11">
        <f>IF(AND(ISNUMBER(G71),N(G$74)&gt;0),G71/G$74,"")</f>
        <v/>
      </c>
      <c r="H140" s="11">
        <f>IF(AND(ISNUMBER(H71),N(H$74)&gt;0),H71/H$74,"")</f>
        <v/>
      </c>
      <c r="I140" s="11">
        <f>IF(AND(ISNUMBER(I71),N(I$74)&gt;0),I71/I$74,"")</f>
        <v/>
      </c>
      <c r="J140" s="11">
        <f>IF(AND(ISNUMBER(J71),N(J$74)&gt;0),J71/J$74,"")</f>
        <v/>
      </c>
      <c r="K140" s="11">
        <f>IF(AND(ISNUMBER(K71),N(K$74)&gt;0),K71/K$74,"")</f>
        <v/>
      </c>
      <c r="L140" s="11">
        <f>IF(AND(ISNUMBER(L71),N(L$74)&gt;0),L71/L$74,"")</f>
        <v/>
      </c>
      <c r="M140" s="11">
        <f>IF(AND(ISNUMBER(M71),N(M$74)&gt;0),M71/M$74,"")</f>
        <v/>
      </c>
      <c r="N140" s="11">
        <f>IF(AND(ISNUMBER(N71),N(N$74)&gt;0),N71/N$74,"")</f>
        <v/>
      </c>
      <c r="O140" s="11">
        <f>IF(AND(ISNUMBER(O71),N(O$74)&gt;0),O71/O$74,"")</f>
        <v/>
      </c>
      <c r="P140" s="11">
        <f>IF(AND(ISNUMBER(P71),N(P$74)&gt;0),P71/P$74,"")</f>
        <v/>
      </c>
      <c r="Q140" s="11">
        <f>IF(AND(ISNUMBER(Q71),N(Q$74)&gt;0),Q71/Q$74,"")</f>
        <v/>
      </c>
      <c r="R140" s="11">
        <f>IF(AND(ISNUMBER(R71),N(R$74)&gt;0),R71/R$74,"")</f>
        <v/>
      </c>
      <c r="S140" s="11">
        <f>IF(AND(ISNUMBER(S71),N(S$74)&gt;0),S71/S$74,"")</f>
        <v/>
      </c>
      <c r="T140" s="11">
        <f>IF(AND(ISNUMBER(T71),N(T$74)&gt;0),T71/T$74,"")</f>
        <v/>
      </c>
      <c r="U140" s="11">
        <f>IF(AND(ISNUMBER(U71),N(U$74)&gt;0),U71/U$74,"")</f>
        <v/>
      </c>
      <c r="V140" s="11">
        <f>IF(AND(ISNUMBER($V71),N($V$74)&gt;0),$V71/$V$74,"")</f>
        <v/>
      </c>
    </row>
    <row r="141">
      <c r="A141" s="44">
        <f>$A72</f>
        <v/>
      </c>
      <c r="B141" s="11">
        <f>IF(AND(ISNUMBER(B72),N(B$74)&gt;0),B72/B$74,"")</f>
        <v/>
      </c>
      <c r="C141" s="11">
        <f>IF(AND(ISNUMBER(C72),N(C$74)&gt;0),C72/C$74,"")</f>
        <v/>
      </c>
      <c r="D141" s="11">
        <f>IF(AND(ISNUMBER(D72),N(D$74)&gt;0),D72/D$74,"")</f>
        <v/>
      </c>
      <c r="E141" s="11">
        <f>IF(AND(ISNUMBER(E72),N(E$74)&gt;0),E72/E$74,"")</f>
        <v/>
      </c>
      <c r="F141" s="11">
        <f>IF(AND(ISNUMBER(F72),N(F$74)&gt;0),F72/F$74,"")</f>
        <v/>
      </c>
      <c r="G141" s="11">
        <f>IF(AND(ISNUMBER(G72),N(G$74)&gt;0),G72/G$74,"")</f>
        <v/>
      </c>
      <c r="H141" s="11">
        <f>IF(AND(ISNUMBER(H72),N(H$74)&gt;0),H72/H$74,"")</f>
        <v/>
      </c>
      <c r="I141" s="11">
        <f>IF(AND(ISNUMBER(I72),N(I$74)&gt;0),I72/I$74,"")</f>
        <v/>
      </c>
      <c r="J141" s="11">
        <f>IF(AND(ISNUMBER(J72),N(J$74)&gt;0),J72/J$74,"")</f>
        <v/>
      </c>
      <c r="K141" s="11">
        <f>IF(AND(ISNUMBER(K72),N(K$74)&gt;0),K72/K$74,"")</f>
        <v/>
      </c>
      <c r="L141" s="11">
        <f>IF(AND(ISNUMBER(L72),N(L$74)&gt;0),L72/L$74,"")</f>
        <v/>
      </c>
      <c r="M141" s="11">
        <f>IF(AND(ISNUMBER(M72),N(M$74)&gt;0),M72/M$74,"")</f>
        <v/>
      </c>
      <c r="N141" s="11">
        <f>IF(AND(ISNUMBER(N72),N(N$74)&gt;0),N72/N$74,"")</f>
        <v/>
      </c>
      <c r="O141" s="11">
        <f>IF(AND(ISNUMBER(O72),N(O$74)&gt;0),O72/O$74,"")</f>
        <v/>
      </c>
      <c r="P141" s="11">
        <f>IF(AND(ISNUMBER(P72),N(P$74)&gt;0),P72/P$74,"")</f>
        <v/>
      </c>
      <c r="Q141" s="11">
        <f>IF(AND(ISNUMBER(Q72),N(Q$74)&gt;0),Q72/Q$74,"")</f>
        <v/>
      </c>
      <c r="R141" s="11">
        <f>IF(AND(ISNUMBER(R72),N(R$74)&gt;0),R72/R$74,"")</f>
        <v/>
      </c>
      <c r="S141" s="11">
        <f>IF(AND(ISNUMBER(S72),N(S$74)&gt;0),S72/S$74,"")</f>
        <v/>
      </c>
      <c r="T141" s="11">
        <f>IF(AND(ISNUMBER(T72),N(T$74)&gt;0),T72/T$74,"")</f>
        <v/>
      </c>
      <c r="U141" s="11">
        <f>IF(AND(ISNUMBER(U72),N(U$74)&gt;0),U72/U$74,"")</f>
        <v/>
      </c>
      <c r="V141" s="11">
        <f>IF(AND(ISNUMBER($V72),N($V$74)&gt;0),$V72/$V$74,"")</f>
        <v/>
      </c>
    </row>
    <row r="142">
      <c r="A142" s="44">
        <f>$A73</f>
        <v/>
      </c>
      <c r="B142" s="11">
        <f>IF(AND(ISNUMBER(B73),N(B$74)&gt;0),B73/B$74,"")</f>
        <v/>
      </c>
      <c r="C142" s="11">
        <f>IF(AND(ISNUMBER(C73),N(C$74)&gt;0),C73/C$74,"")</f>
        <v/>
      </c>
      <c r="D142" s="11">
        <f>IF(AND(ISNUMBER(D73),N(D$74)&gt;0),D73/D$74,"")</f>
        <v/>
      </c>
      <c r="E142" s="11">
        <f>IF(AND(ISNUMBER(E73),N(E$74)&gt;0),E73/E$74,"")</f>
        <v/>
      </c>
      <c r="F142" s="11">
        <f>IF(AND(ISNUMBER(F73),N(F$74)&gt;0),F73/F$74,"")</f>
        <v/>
      </c>
      <c r="G142" s="11">
        <f>IF(AND(ISNUMBER(G73),N(G$74)&gt;0),G73/G$74,"")</f>
        <v/>
      </c>
      <c r="H142" s="11">
        <f>IF(AND(ISNUMBER(H73),N(H$74)&gt;0),H73/H$74,"")</f>
        <v/>
      </c>
      <c r="I142" s="11">
        <f>IF(AND(ISNUMBER(I73),N(I$74)&gt;0),I73/I$74,"")</f>
        <v/>
      </c>
      <c r="J142" s="11">
        <f>IF(AND(ISNUMBER(J73),N(J$74)&gt;0),J73/J$74,"")</f>
        <v/>
      </c>
      <c r="K142" s="11">
        <f>IF(AND(ISNUMBER(K73),N(K$74)&gt;0),K73/K$74,"")</f>
        <v/>
      </c>
      <c r="L142" s="11">
        <f>IF(AND(ISNUMBER(L73),N(L$74)&gt;0),L73/L$74,"")</f>
        <v/>
      </c>
      <c r="M142" s="11">
        <f>IF(AND(ISNUMBER(M73),N(M$74)&gt;0),M73/M$74,"")</f>
        <v/>
      </c>
      <c r="N142" s="11">
        <f>IF(AND(ISNUMBER(N73),N(N$74)&gt;0),N73/N$74,"")</f>
        <v/>
      </c>
      <c r="O142" s="11">
        <f>IF(AND(ISNUMBER(O73),N(O$74)&gt;0),O73/O$74,"")</f>
        <v/>
      </c>
      <c r="P142" s="11">
        <f>IF(AND(ISNUMBER(P73),N(P$74)&gt;0),P73/P$74,"")</f>
        <v/>
      </c>
      <c r="Q142" s="11">
        <f>IF(AND(ISNUMBER(Q73),N(Q$74)&gt;0),Q73/Q$74,"")</f>
        <v/>
      </c>
      <c r="R142" s="11">
        <f>IF(AND(ISNUMBER(R73),N(R$74)&gt;0),R73/R$74,"")</f>
        <v/>
      </c>
      <c r="S142" s="11">
        <f>IF(AND(ISNUMBER(S73),N(S$74)&gt;0),S73/S$74,"")</f>
        <v/>
      </c>
      <c r="T142" s="11">
        <f>IF(AND(ISNUMBER(T73),N(T$74)&gt;0),T73/T$74,"")</f>
        <v/>
      </c>
      <c r="U142" s="11">
        <f>IF(AND(ISNUMBER(U73),N(U$74)&gt;0),U73/U$74,"")</f>
        <v/>
      </c>
      <c r="V142" s="11">
        <f>IF(AND(ISNUMBER($V73),N($V$74)&gt;0),$V73/$V$74,"")</f>
        <v/>
      </c>
    </row>
    <row r="144">
      <c r="A144" s="44">
        <f>"P(X)·P(Y): zo zou P(X, Y) zijn als X en Y onafhankelijk waren"</f>
        <v/>
      </c>
      <c r="B144" s="44">
        <f>B$53</f>
        <v/>
      </c>
      <c r="C144" s="44">
        <f>C$53</f>
        <v/>
      </c>
      <c r="D144" s="44">
        <f>D$53</f>
        <v/>
      </c>
      <c r="E144" s="44">
        <f>E$53</f>
        <v/>
      </c>
      <c r="F144" s="44">
        <f>F$53</f>
        <v/>
      </c>
      <c r="G144" s="44">
        <f>G$53</f>
        <v/>
      </c>
      <c r="H144" s="44">
        <f>H$53</f>
        <v/>
      </c>
      <c r="I144" s="44">
        <f>I$53</f>
        <v/>
      </c>
      <c r="J144" s="44">
        <f>J$53</f>
        <v/>
      </c>
      <c r="K144" s="44">
        <f>K$53</f>
        <v/>
      </c>
      <c r="L144" s="44">
        <f>L$53</f>
        <v/>
      </c>
      <c r="M144" s="44">
        <f>M$53</f>
        <v/>
      </c>
      <c r="N144" s="44">
        <f>N$53</f>
        <v/>
      </c>
      <c r="O144" s="44">
        <f>O$53</f>
        <v/>
      </c>
      <c r="P144" s="44">
        <f>P$53</f>
        <v/>
      </c>
      <c r="Q144" s="44">
        <f>Q$53</f>
        <v/>
      </c>
      <c r="R144" s="44">
        <f>R$53</f>
        <v/>
      </c>
      <c r="S144" s="44">
        <f>S$53</f>
        <v/>
      </c>
      <c r="T144" s="44">
        <f>T$53</f>
        <v/>
      </c>
      <c r="U144" s="44">
        <f>U$53</f>
        <v/>
      </c>
    </row>
    <row r="145">
      <c r="A145" s="44">
        <f>$A54</f>
        <v/>
      </c>
      <c r="B145" s="11">
        <f>IF(AND(ISNUMBER(B54),N($V$74)&gt;0),($V54/$V$74)*(B$74/$V$74),"")</f>
        <v/>
      </c>
      <c r="C145" s="11">
        <f>IF(AND(ISNUMBER(C54),N($V$74)&gt;0),($V54/$V$74)*(C$74/$V$74),"")</f>
        <v/>
      </c>
      <c r="D145" s="11">
        <f>IF(AND(ISNUMBER(D54),N($V$74)&gt;0),($V54/$V$74)*(D$74/$V$74),"")</f>
        <v/>
      </c>
      <c r="E145" s="11">
        <f>IF(AND(ISNUMBER(E54),N($V$74)&gt;0),($V54/$V$74)*(E$74/$V$74),"")</f>
        <v/>
      </c>
      <c r="F145" s="11">
        <f>IF(AND(ISNUMBER(F54),N($V$74)&gt;0),($V54/$V$74)*(F$74/$V$74),"")</f>
        <v/>
      </c>
      <c r="G145" s="11">
        <f>IF(AND(ISNUMBER(G54),N($V$74)&gt;0),($V54/$V$74)*(G$74/$V$74),"")</f>
        <v/>
      </c>
      <c r="H145" s="11">
        <f>IF(AND(ISNUMBER(H54),N($V$74)&gt;0),($V54/$V$74)*(H$74/$V$74),"")</f>
        <v/>
      </c>
      <c r="I145" s="11">
        <f>IF(AND(ISNUMBER(I54),N($V$74)&gt;0),($V54/$V$74)*(I$74/$V$74),"")</f>
        <v/>
      </c>
      <c r="J145" s="11">
        <f>IF(AND(ISNUMBER(J54),N($V$74)&gt;0),($V54/$V$74)*(J$74/$V$74),"")</f>
        <v/>
      </c>
      <c r="K145" s="11">
        <f>IF(AND(ISNUMBER(K54),N($V$74)&gt;0),($V54/$V$74)*(K$74/$V$74),"")</f>
        <v/>
      </c>
      <c r="L145" s="11">
        <f>IF(AND(ISNUMBER(L54),N($V$74)&gt;0),($V54/$V$74)*(L$74/$V$74),"")</f>
        <v/>
      </c>
      <c r="M145" s="11">
        <f>IF(AND(ISNUMBER(M54),N($V$74)&gt;0),($V54/$V$74)*(M$74/$V$74),"")</f>
        <v/>
      </c>
      <c r="N145" s="11">
        <f>IF(AND(ISNUMBER(N54),N($V$74)&gt;0),($V54/$V$74)*(N$74/$V$74),"")</f>
        <v/>
      </c>
      <c r="O145" s="11">
        <f>IF(AND(ISNUMBER(O54),N($V$74)&gt;0),($V54/$V$74)*(O$74/$V$74),"")</f>
        <v/>
      </c>
      <c r="P145" s="11">
        <f>IF(AND(ISNUMBER(P54),N($V$74)&gt;0),($V54/$V$74)*(P$74/$V$74),"")</f>
        <v/>
      </c>
      <c r="Q145" s="11">
        <f>IF(AND(ISNUMBER(Q54),N($V$74)&gt;0),($V54/$V$74)*(Q$74/$V$74),"")</f>
        <v/>
      </c>
      <c r="R145" s="11">
        <f>IF(AND(ISNUMBER(R54),N($V$74)&gt;0),($V54/$V$74)*(R$74/$V$74),"")</f>
        <v/>
      </c>
      <c r="S145" s="11">
        <f>IF(AND(ISNUMBER(S54),N($V$74)&gt;0),($V54/$V$74)*(S$74/$V$74),"")</f>
        <v/>
      </c>
      <c r="T145" s="11">
        <f>IF(AND(ISNUMBER(T54),N($V$74)&gt;0),($V54/$V$74)*(T$74/$V$74),"")</f>
        <v/>
      </c>
      <c r="U145" s="11">
        <f>IF(AND(ISNUMBER(U54),N($V$74)&gt;0),($V54/$V$74)*(U$74/$V$74),"")</f>
        <v/>
      </c>
    </row>
    <row r="146">
      <c r="A146" s="44">
        <f>$A55</f>
        <v/>
      </c>
      <c r="B146" s="11">
        <f>IF(AND(ISNUMBER(B55),N($V$74)&gt;0),($V55/$V$74)*(B$74/$V$74),"")</f>
        <v/>
      </c>
      <c r="C146" s="11">
        <f>IF(AND(ISNUMBER(C55),N($V$74)&gt;0),($V55/$V$74)*(C$74/$V$74),"")</f>
        <v/>
      </c>
      <c r="D146" s="11">
        <f>IF(AND(ISNUMBER(D55),N($V$74)&gt;0),($V55/$V$74)*(D$74/$V$74),"")</f>
        <v/>
      </c>
      <c r="E146" s="11">
        <f>IF(AND(ISNUMBER(E55),N($V$74)&gt;0),($V55/$V$74)*(E$74/$V$74),"")</f>
        <v/>
      </c>
      <c r="F146" s="11">
        <f>IF(AND(ISNUMBER(F55),N($V$74)&gt;0),($V55/$V$74)*(F$74/$V$74),"")</f>
        <v/>
      </c>
      <c r="G146" s="11">
        <f>IF(AND(ISNUMBER(G55),N($V$74)&gt;0),($V55/$V$74)*(G$74/$V$74),"")</f>
        <v/>
      </c>
      <c r="H146" s="11">
        <f>IF(AND(ISNUMBER(H55),N($V$74)&gt;0),($V55/$V$74)*(H$74/$V$74),"")</f>
        <v/>
      </c>
      <c r="I146" s="11">
        <f>IF(AND(ISNUMBER(I55),N($V$74)&gt;0),($V55/$V$74)*(I$74/$V$74),"")</f>
        <v/>
      </c>
      <c r="J146" s="11">
        <f>IF(AND(ISNUMBER(J55),N($V$74)&gt;0),($V55/$V$74)*(J$74/$V$74),"")</f>
        <v/>
      </c>
      <c r="K146" s="11">
        <f>IF(AND(ISNUMBER(K55),N($V$74)&gt;0),($V55/$V$74)*(K$74/$V$74),"")</f>
        <v/>
      </c>
      <c r="L146" s="11">
        <f>IF(AND(ISNUMBER(L55),N($V$74)&gt;0),($V55/$V$74)*(L$74/$V$74),"")</f>
        <v/>
      </c>
      <c r="M146" s="11">
        <f>IF(AND(ISNUMBER(M55),N($V$74)&gt;0),($V55/$V$74)*(M$74/$V$74),"")</f>
        <v/>
      </c>
      <c r="N146" s="11">
        <f>IF(AND(ISNUMBER(N55),N($V$74)&gt;0),($V55/$V$74)*(N$74/$V$74),"")</f>
        <v/>
      </c>
      <c r="O146" s="11">
        <f>IF(AND(ISNUMBER(O55),N($V$74)&gt;0),($V55/$V$74)*(O$74/$V$74),"")</f>
        <v/>
      </c>
      <c r="P146" s="11">
        <f>IF(AND(ISNUMBER(P55),N($V$74)&gt;0),($V55/$V$74)*(P$74/$V$74),"")</f>
        <v/>
      </c>
      <c r="Q146" s="11">
        <f>IF(AND(ISNUMBER(Q55),N($V$74)&gt;0),($V55/$V$74)*(Q$74/$V$74),"")</f>
        <v/>
      </c>
      <c r="R146" s="11">
        <f>IF(AND(ISNUMBER(R55),N($V$74)&gt;0),($V55/$V$74)*(R$74/$V$74),"")</f>
        <v/>
      </c>
      <c r="S146" s="11">
        <f>IF(AND(ISNUMBER(S55),N($V$74)&gt;0),($V55/$V$74)*(S$74/$V$74),"")</f>
        <v/>
      </c>
      <c r="T146" s="11">
        <f>IF(AND(ISNUMBER(T55),N($V$74)&gt;0),($V55/$V$74)*(T$74/$V$74),"")</f>
        <v/>
      </c>
      <c r="U146" s="11">
        <f>IF(AND(ISNUMBER(U55),N($V$74)&gt;0),($V55/$V$74)*(U$74/$V$74),"")</f>
        <v/>
      </c>
    </row>
    <row r="147">
      <c r="A147" s="44">
        <f>$A56</f>
        <v/>
      </c>
      <c r="B147" s="11">
        <f>IF(AND(ISNUMBER(B56),N($V$74)&gt;0),($V56/$V$74)*(B$74/$V$74),"")</f>
        <v/>
      </c>
      <c r="C147" s="11">
        <f>IF(AND(ISNUMBER(C56),N($V$74)&gt;0),($V56/$V$74)*(C$74/$V$74),"")</f>
        <v/>
      </c>
      <c r="D147" s="11">
        <f>IF(AND(ISNUMBER(D56),N($V$74)&gt;0),($V56/$V$74)*(D$74/$V$74),"")</f>
        <v/>
      </c>
      <c r="E147" s="11">
        <f>IF(AND(ISNUMBER(E56),N($V$74)&gt;0),($V56/$V$74)*(E$74/$V$74),"")</f>
        <v/>
      </c>
      <c r="F147" s="11">
        <f>IF(AND(ISNUMBER(F56),N($V$74)&gt;0),($V56/$V$74)*(F$74/$V$74),"")</f>
        <v/>
      </c>
      <c r="G147" s="11">
        <f>IF(AND(ISNUMBER(G56),N($V$74)&gt;0),($V56/$V$74)*(G$74/$V$74),"")</f>
        <v/>
      </c>
      <c r="H147" s="11">
        <f>IF(AND(ISNUMBER(H56),N($V$74)&gt;0),($V56/$V$74)*(H$74/$V$74),"")</f>
        <v/>
      </c>
      <c r="I147" s="11">
        <f>IF(AND(ISNUMBER(I56),N($V$74)&gt;0),($V56/$V$74)*(I$74/$V$74),"")</f>
        <v/>
      </c>
      <c r="J147" s="11">
        <f>IF(AND(ISNUMBER(J56),N($V$74)&gt;0),($V56/$V$74)*(J$74/$V$74),"")</f>
        <v/>
      </c>
      <c r="K147" s="11">
        <f>IF(AND(ISNUMBER(K56),N($V$74)&gt;0),($V56/$V$74)*(K$74/$V$74),"")</f>
        <v/>
      </c>
      <c r="L147" s="11">
        <f>IF(AND(ISNUMBER(L56),N($V$74)&gt;0),($V56/$V$74)*(L$74/$V$74),"")</f>
        <v/>
      </c>
      <c r="M147" s="11">
        <f>IF(AND(ISNUMBER(M56),N($V$74)&gt;0),($V56/$V$74)*(M$74/$V$74),"")</f>
        <v/>
      </c>
      <c r="N147" s="11">
        <f>IF(AND(ISNUMBER(N56),N($V$74)&gt;0),($V56/$V$74)*(N$74/$V$74),"")</f>
        <v/>
      </c>
      <c r="O147" s="11">
        <f>IF(AND(ISNUMBER(O56),N($V$74)&gt;0),($V56/$V$74)*(O$74/$V$74),"")</f>
        <v/>
      </c>
      <c r="P147" s="11">
        <f>IF(AND(ISNUMBER(P56),N($V$74)&gt;0),($V56/$V$74)*(P$74/$V$74),"")</f>
        <v/>
      </c>
      <c r="Q147" s="11">
        <f>IF(AND(ISNUMBER(Q56),N($V$74)&gt;0),($V56/$V$74)*(Q$74/$V$74),"")</f>
        <v/>
      </c>
      <c r="R147" s="11">
        <f>IF(AND(ISNUMBER(R56),N($V$74)&gt;0),($V56/$V$74)*(R$74/$V$74),"")</f>
        <v/>
      </c>
      <c r="S147" s="11">
        <f>IF(AND(ISNUMBER(S56),N($V$74)&gt;0),($V56/$V$74)*(S$74/$V$74),"")</f>
        <v/>
      </c>
      <c r="T147" s="11">
        <f>IF(AND(ISNUMBER(T56),N($V$74)&gt;0),($V56/$V$74)*(T$74/$V$74),"")</f>
        <v/>
      </c>
      <c r="U147" s="11">
        <f>IF(AND(ISNUMBER(U56),N($V$74)&gt;0),($V56/$V$74)*(U$74/$V$74),"")</f>
        <v/>
      </c>
    </row>
    <row r="148">
      <c r="A148" s="44">
        <f>$A57</f>
        <v/>
      </c>
      <c r="B148" s="11">
        <f>IF(AND(ISNUMBER(B57),N($V$74)&gt;0),($V57/$V$74)*(B$74/$V$74),"")</f>
        <v/>
      </c>
      <c r="C148" s="11">
        <f>IF(AND(ISNUMBER(C57),N($V$74)&gt;0),($V57/$V$74)*(C$74/$V$74),"")</f>
        <v/>
      </c>
      <c r="D148" s="11">
        <f>IF(AND(ISNUMBER(D57),N($V$74)&gt;0),($V57/$V$74)*(D$74/$V$74),"")</f>
        <v/>
      </c>
      <c r="E148" s="11">
        <f>IF(AND(ISNUMBER(E57),N($V$74)&gt;0),($V57/$V$74)*(E$74/$V$74),"")</f>
        <v/>
      </c>
      <c r="F148" s="11">
        <f>IF(AND(ISNUMBER(F57),N($V$74)&gt;0),($V57/$V$74)*(F$74/$V$74),"")</f>
        <v/>
      </c>
      <c r="G148" s="11">
        <f>IF(AND(ISNUMBER(G57),N($V$74)&gt;0),($V57/$V$74)*(G$74/$V$74),"")</f>
        <v/>
      </c>
      <c r="H148" s="11">
        <f>IF(AND(ISNUMBER(H57),N($V$74)&gt;0),($V57/$V$74)*(H$74/$V$74),"")</f>
        <v/>
      </c>
      <c r="I148" s="11">
        <f>IF(AND(ISNUMBER(I57),N($V$74)&gt;0),($V57/$V$74)*(I$74/$V$74),"")</f>
        <v/>
      </c>
      <c r="J148" s="11">
        <f>IF(AND(ISNUMBER(J57),N($V$74)&gt;0),($V57/$V$74)*(J$74/$V$74),"")</f>
        <v/>
      </c>
      <c r="K148" s="11">
        <f>IF(AND(ISNUMBER(K57),N($V$74)&gt;0),($V57/$V$74)*(K$74/$V$74),"")</f>
        <v/>
      </c>
      <c r="L148" s="11">
        <f>IF(AND(ISNUMBER(L57),N($V$74)&gt;0),($V57/$V$74)*(L$74/$V$74),"")</f>
        <v/>
      </c>
      <c r="M148" s="11">
        <f>IF(AND(ISNUMBER(M57),N($V$74)&gt;0),($V57/$V$74)*(M$74/$V$74),"")</f>
        <v/>
      </c>
      <c r="N148" s="11">
        <f>IF(AND(ISNUMBER(N57),N($V$74)&gt;0),($V57/$V$74)*(N$74/$V$74),"")</f>
        <v/>
      </c>
      <c r="O148" s="11">
        <f>IF(AND(ISNUMBER(O57),N($V$74)&gt;0),($V57/$V$74)*(O$74/$V$74),"")</f>
        <v/>
      </c>
      <c r="P148" s="11">
        <f>IF(AND(ISNUMBER(P57),N($V$74)&gt;0),($V57/$V$74)*(P$74/$V$74),"")</f>
        <v/>
      </c>
      <c r="Q148" s="11">
        <f>IF(AND(ISNUMBER(Q57),N($V$74)&gt;0),($V57/$V$74)*(Q$74/$V$74),"")</f>
        <v/>
      </c>
      <c r="R148" s="11">
        <f>IF(AND(ISNUMBER(R57),N($V$74)&gt;0),($V57/$V$74)*(R$74/$V$74),"")</f>
        <v/>
      </c>
      <c r="S148" s="11">
        <f>IF(AND(ISNUMBER(S57),N($V$74)&gt;0),($V57/$V$74)*(S$74/$V$74),"")</f>
        <v/>
      </c>
      <c r="T148" s="11">
        <f>IF(AND(ISNUMBER(T57),N($V$74)&gt;0),($V57/$V$74)*(T$74/$V$74),"")</f>
        <v/>
      </c>
      <c r="U148" s="11">
        <f>IF(AND(ISNUMBER(U57),N($V$74)&gt;0),($V57/$V$74)*(U$74/$V$74),"")</f>
        <v/>
      </c>
    </row>
    <row r="149">
      <c r="A149" s="44">
        <f>$A58</f>
        <v/>
      </c>
      <c r="B149" s="11">
        <f>IF(AND(ISNUMBER(B58),N($V$74)&gt;0),($V58/$V$74)*(B$74/$V$74),"")</f>
        <v/>
      </c>
      <c r="C149" s="11">
        <f>IF(AND(ISNUMBER(C58),N($V$74)&gt;0),($V58/$V$74)*(C$74/$V$74),"")</f>
        <v/>
      </c>
      <c r="D149" s="11">
        <f>IF(AND(ISNUMBER(D58),N($V$74)&gt;0),($V58/$V$74)*(D$74/$V$74),"")</f>
        <v/>
      </c>
      <c r="E149" s="11">
        <f>IF(AND(ISNUMBER(E58),N($V$74)&gt;0),($V58/$V$74)*(E$74/$V$74),"")</f>
        <v/>
      </c>
      <c r="F149" s="11">
        <f>IF(AND(ISNUMBER(F58),N($V$74)&gt;0),($V58/$V$74)*(F$74/$V$74),"")</f>
        <v/>
      </c>
      <c r="G149" s="11">
        <f>IF(AND(ISNUMBER(G58),N($V$74)&gt;0),($V58/$V$74)*(G$74/$V$74),"")</f>
        <v/>
      </c>
      <c r="H149" s="11">
        <f>IF(AND(ISNUMBER(H58),N($V$74)&gt;0),($V58/$V$74)*(H$74/$V$74),"")</f>
        <v/>
      </c>
      <c r="I149" s="11">
        <f>IF(AND(ISNUMBER(I58),N($V$74)&gt;0),($V58/$V$74)*(I$74/$V$74),"")</f>
        <v/>
      </c>
      <c r="J149" s="11">
        <f>IF(AND(ISNUMBER(J58),N($V$74)&gt;0),($V58/$V$74)*(J$74/$V$74),"")</f>
        <v/>
      </c>
      <c r="K149" s="11">
        <f>IF(AND(ISNUMBER(K58),N($V$74)&gt;0),($V58/$V$74)*(K$74/$V$74),"")</f>
        <v/>
      </c>
      <c r="L149" s="11">
        <f>IF(AND(ISNUMBER(L58),N($V$74)&gt;0),($V58/$V$74)*(L$74/$V$74),"")</f>
        <v/>
      </c>
      <c r="M149" s="11">
        <f>IF(AND(ISNUMBER(M58),N($V$74)&gt;0),($V58/$V$74)*(M$74/$V$74),"")</f>
        <v/>
      </c>
      <c r="N149" s="11">
        <f>IF(AND(ISNUMBER(N58),N($V$74)&gt;0),($V58/$V$74)*(N$74/$V$74),"")</f>
        <v/>
      </c>
      <c r="O149" s="11">
        <f>IF(AND(ISNUMBER(O58),N($V$74)&gt;0),($V58/$V$74)*(O$74/$V$74),"")</f>
        <v/>
      </c>
      <c r="P149" s="11">
        <f>IF(AND(ISNUMBER(P58),N($V$74)&gt;0),($V58/$V$74)*(P$74/$V$74),"")</f>
        <v/>
      </c>
      <c r="Q149" s="11">
        <f>IF(AND(ISNUMBER(Q58),N($V$74)&gt;0),($V58/$V$74)*(Q$74/$V$74),"")</f>
        <v/>
      </c>
      <c r="R149" s="11">
        <f>IF(AND(ISNUMBER(R58),N($V$74)&gt;0),($V58/$V$74)*(R$74/$V$74),"")</f>
        <v/>
      </c>
      <c r="S149" s="11">
        <f>IF(AND(ISNUMBER(S58),N($V$74)&gt;0),($V58/$V$74)*(S$74/$V$74),"")</f>
        <v/>
      </c>
      <c r="T149" s="11">
        <f>IF(AND(ISNUMBER(T58),N($V$74)&gt;0),($V58/$V$74)*(T$74/$V$74),"")</f>
        <v/>
      </c>
      <c r="U149" s="11">
        <f>IF(AND(ISNUMBER(U58),N($V$74)&gt;0),($V58/$V$74)*(U$74/$V$74),"")</f>
        <v/>
      </c>
    </row>
    <row r="150">
      <c r="A150" s="44">
        <f>$A59</f>
        <v/>
      </c>
      <c r="B150" s="11">
        <f>IF(AND(ISNUMBER(B59),N($V$74)&gt;0),($V59/$V$74)*(B$74/$V$74),"")</f>
        <v/>
      </c>
      <c r="C150" s="11">
        <f>IF(AND(ISNUMBER(C59),N($V$74)&gt;0),($V59/$V$74)*(C$74/$V$74),"")</f>
        <v/>
      </c>
      <c r="D150" s="11">
        <f>IF(AND(ISNUMBER(D59),N($V$74)&gt;0),($V59/$V$74)*(D$74/$V$74),"")</f>
        <v/>
      </c>
      <c r="E150" s="11">
        <f>IF(AND(ISNUMBER(E59),N($V$74)&gt;0),($V59/$V$74)*(E$74/$V$74),"")</f>
        <v/>
      </c>
      <c r="F150" s="11">
        <f>IF(AND(ISNUMBER(F59),N($V$74)&gt;0),($V59/$V$74)*(F$74/$V$74),"")</f>
        <v/>
      </c>
      <c r="G150" s="11">
        <f>IF(AND(ISNUMBER(G59),N($V$74)&gt;0),($V59/$V$74)*(G$74/$V$74),"")</f>
        <v/>
      </c>
      <c r="H150" s="11">
        <f>IF(AND(ISNUMBER(H59),N($V$74)&gt;0),($V59/$V$74)*(H$74/$V$74),"")</f>
        <v/>
      </c>
      <c r="I150" s="11">
        <f>IF(AND(ISNUMBER(I59),N($V$74)&gt;0),($V59/$V$74)*(I$74/$V$74),"")</f>
        <v/>
      </c>
      <c r="J150" s="11">
        <f>IF(AND(ISNUMBER(J59),N($V$74)&gt;0),($V59/$V$74)*(J$74/$V$74),"")</f>
        <v/>
      </c>
      <c r="K150" s="11">
        <f>IF(AND(ISNUMBER(K59),N($V$74)&gt;0),($V59/$V$74)*(K$74/$V$74),"")</f>
        <v/>
      </c>
      <c r="L150" s="11">
        <f>IF(AND(ISNUMBER(L59),N($V$74)&gt;0),($V59/$V$74)*(L$74/$V$74),"")</f>
        <v/>
      </c>
      <c r="M150" s="11">
        <f>IF(AND(ISNUMBER(M59),N($V$74)&gt;0),($V59/$V$74)*(M$74/$V$74),"")</f>
        <v/>
      </c>
      <c r="N150" s="11">
        <f>IF(AND(ISNUMBER(N59),N($V$74)&gt;0),($V59/$V$74)*(N$74/$V$74),"")</f>
        <v/>
      </c>
      <c r="O150" s="11">
        <f>IF(AND(ISNUMBER(O59),N($V$74)&gt;0),($V59/$V$74)*(O$74/$V$74),"")</f>
        <v/>
      </c>
      <c r="P150" s="11">
        <f>IF(AND(ISNUMBER(P59),N($V$74)&gt;0),($V59/$V$74)*(P$74/$V$74),"")</f>
        <v/>
      </c>
      <c r="Q150" s="11">
        <f>IF(AND(ISNUMBER(Q59),N($V$74)&gt;0),($V59/$V$74)*(Q$74/$V$74),"")</f>
        <v/>
      </c>
      <c r="R150" s="11">
        <f>IF(AND(ISNUMBER(R59),N($V$74)&gt;0),($V59/$V$74)*(R$74/$V$74),"")</f>
        <v/>
      </c>
      <c r="S150" s="11">
        <f>IF(AND(ISNUMBER(S59),N($V$74)&gt;0),($V59/$V$74)*(S$74/$V$74),"")</f>
        <v/>
      </c>
      <c r="T150" s="11">
        <f>IF(AND(ISNUMBER(T59),N($V$74)&gt;0),($V59/$V$74)*(T$74/$V$74),"")</f>
        <v/>
      </c>
      <c r="U150" s="11">
        <f>IF(AND(ISNUMBER(U59),N($V$74)&gt;0),($V59/$V$74)*(U$74/$V$74),"")</f>
        <v/>
      </c>
    </row>
    <row r="151">
      <c r="A151" s="44">
        <f>$A60</f>
        <v/>
      </c>
      <c r="B151" s="11">
        <f>IF(AND(ISNUMBER(B60),N($V$74)&gt;0),($V60/$V$74)*(B$74/$V$74),"")</f>
        <v/>
      </c>
      <c r="C151" s="11">
        <f>IF(AND(ISNUMBER(C60),N($V$74)&gt;0),($V60/$V$74)*(C$74/$V$74),"")</f>
        <v/>
      </c>
      <c r="D151" s="11">
        <f>IF(AND(ISNUMBER(D60),N($V$74)&gt;0),($V60/$V$74)*(D$74/$V$74),"")</f>
        <v/>
      </c>
      <c r="E151" s="11">
        <f>IF(AND(ISNUMBER(E60),N($V$74)&gt;0),($V60/$V$74)*(E$74/$V$74),"")</f>
        <v/>
      </c>
      <c r="F151" s="11">
        <f>IF(AND(ISNUMBER(F60),N($V$74)&gt;0),($V60/$V$74)*(F$74/$V$74),"")</f>
        <v/>
      </c>
      <c r="G151" s="11">
        <f>IF(AND(ISNUMBER(G60),N($V$74)&gt;0),($V60/$V$74)*(G$74/$V$74),"")</f>
        <v/>
      </c>
      <c r="H151" s="11">
        <f>IF(AND(ISNUMBER(H60),N($V$74)&gt;0),($V60/$V$74)*(H$74/$V$74),"")</f>
        <v/>
      </c>
      <c r="I151" s="11">
        <f>IF(AND(ISNUMBER(I60),N($V$74)&gt;0),($V60/$V$74)*(I$74/$V$74),"")</f>
        <v/>
      </c>
      <c r="J151" s="11">
        <f>IF(AND(ISNUMBER(J60),N($V$74)&gt;0),($V60/$V$74)*(J$74/$V$74),"")</f>
        <v/>
      </c>
      <c r="K151" s="11">
        <f>IF(AND(ISNUMBER(K60),N($V$74)&gt;0),($V60/$V$74)*(K$74/$V$74),"")</f>
        <v/>
      </c>
      <c r="L151" s="11">
        <f>IF(AND(ISNUMBER(L60),N($V$74)&gt;0),($V60/$V$74)*(L$74/$V$74),"")</f>
        <v/>
      </c>
      <c r="M151" s="11">
        <f>IF(AND(ISNUMBER(M60),N($V$74)&gt;0),($V60/$V$74)*(M$74/$V$74),"")</f>
        <v/>
      </c>
      <c r="N151" s="11">
        <f>IF(AND(ISNUMBER(N60),N($V$74)&gt;0),($V60/$V$74)*(N$74/$V$74),"")</f>
        <v/>
      </c>
      <c r="O151" s="11">
        <f>IF(AND(ISNUMBER(O60),N($V$74)&gt;0),($V60/$V$74)*(O$74/$V$74),"")</f>
        <v/>
      </c>
      <c r="P151" s="11">
        <f>IF(AND(ISNUMBER(P60),N($V$74)&gt;0),($V60/$V$74)*(P$74/$V$74),"")</f>
        <v/>
      </c>
      <c r="Q151" s="11">
        <f>IF(AND(ISNUMBER(Q60),N($V$74)&gt;0),($V60/$V$74)*(Q$74/$V$74),"")</f>
        <v/>
      </c>
      <c r="R151" s="11">
        <f>IF(AND(ISNUMBER(R60),N($V$74)&gt;0),($V60/$V$74)*(R$74/$V$74),"")</f>
        <v/>
      </c>
      <c r="S151" s="11">
        <f>IF(AND(ISNUMBER(S60),N($V$74)&gt;0),($V60/$V$74)*(S$74/$V$74),"")</f>
        <v/>
      </c>
      <c r="T151" s="11">
        <f>IF(AND(ISNUMBER(T60),N($V$74)&gt;0),($V60/$V$74)*(T$74/$V$74),"")</f>
        <v/>
      </c>
      <c r="U151" s="11">
        <f>IF(AND(ISNUMBER(U60),N($V$74)&gt;0),($V60/$V$74)*(U$74/$V$74),"")</f>
        <v/>
      </c>
    </row>
    <row r="152">
      <c r="A152" s="44">
        <f>$A61</f>
        <v/>
      </c>
      <c r="B152" s="11">
        <f>IF(AND(ISNUMBER(B61),N($V$74)&gt;0),($V61/$V$74)*(B$74/$V$74),"")</f>
        <v/>
      </c>
      <c r="C152" s="11">
        <f>IF(AND(ISNUMBER(C61),N($V$74)&gt;0),($V61/$V$74)*(C$74/$V$74),"")</f>
        <v/>
      </c>
      <c r="D152" s="11">
        <f>IF(AND(ISNUMBER(D61),N($V$74)&gt;0),($V61/$V$74)*(D$74/$V$74),"")</f>
        <v/>
      </c>
      <c r="E152" s="11">
        <f>IF(AND(ISNUMBER(E61),N($V$74)&gt;0),($V61/$V$74)*(E$74/$V$74),"")</f>
        <v/>
      </c>
      <c r="F152" s="11">
        <f>IF(AND(ISNUMBER(F61),N($V$74)&gt;0),($V61/$V$74)*(F$74/$V$74),"")</f>
        <v/>
      </c>
      <c r="G152" s="11">
        <f>IF(AND(ISNUMBER(G61),N($V$74)&gt;0),($V61/$V$74)*(G$74/$V$74),"")</f>
        <v/>
      </c>
      <c r="H152" s="11">
        <f>IF(AND(ISNUMBER(H61),N($V$74)&gt;0),($V61/$V$74)*(H$74/$V$74),"")</f>
        <v/>
      </c>
      <c r="I152" s="11">
        <f>IF(AND(ISNUMBER(I61),N($V$74)&gt;0),($V61/$V$74)*(I$74/$V$74),"")</f>
        <v/>
      </c>
      <c r="J152" s="11">
        <f>IF(AND(ISNUMBER(J61),N($V$74)&gt;0),($V61/$V$74)*(J$74/$V$74),"")</f>
        <v/>
      </c>
      <c r="K152" s="11">
        <f>IF(AND(ISNUMBER(K61),N($V$74)&gt;0),($V61/$V$74)*(K$74/$V$74),"")</f>
        <v/>
      </c>
      <c r="L152" s="11">
        <f>IF(AND(ISNUMBER(L61),N($V$74)&gt;0),($V61/$V$74)*(L$74/$V$74),"")</f>
        <v/>
      </c>
      <c r="M152" s="11">
        <f>IF(AND(ISNUMBER(M61),N($V$74)&gt;0),($V61/$V$74)*(M$74/$V$74),"")</f>
        <v/>
      </c>
      <c r="N152" s="11">
        <f>IF(AND(ISNUMBER(N61),N($V$74)&gt;0),($V61/$V$74)*(N$74/$V$74),"")</f>
        <v/>
      </c>
      <c r="O152" s="11">
        <f>IF(AND(ISNUMBER(O61),N($V$74)&gt;0),($V61/$V$74)*(O$74/$V$74),"")</f>
        <v/>
      </c>
      <c r="P152" s="11">
        <f>IF(AND(ISNUMBER(P61),N($V$74)&gt;0),($V61/$V$74)*(P$74/$V$74),"")</f>
        <v/>
      </c>
      <c r="Q152" s="11">
        <f>IF(AND(ISNUMBER(Q61),N($V$74)&gt;0),($V61/$V$74)*(Q$74/$V$74),"")</f>
        <v/>
      </c>
      <c r="R152" s="11">
        <f>IF(AND(ISNUMBER(R61),N($V$74)&gt;0),($V61/$V$74)*(R$74/$V$74),"")</f>
        <v/>
      </c>
      <c r="S152" s="11">
        <f>IF(AND(ISNUMBER(S61),N($V$74)&gt;0),($V61/$V$74)*(S$74/$V$74),"")</f>
        <v/>
      </c>
      <c r="T152" s="11">
        <f>IF(AND(ISNUMBER(T61),N($V$74)&gt;0),($V61/$V$74)*(T$74/$V$74),"")</f>
        <v/>
      </c>
      <c r="U152" s="11">
        <f>IF(AND(ISNUMBER(U61),N($V$74)&gt;0),($V61/$V$74)*(U$74/$V$74),"")</f>
        <v/>
      </c>
    </row>
    <row r="153">
      <c r="A153" s="44">
        <f>$A62</f>
        <v/>
      </c>
      <c r="B153" s="11">
        <f>IF(AND(ISNUMBER(B62),N($V$74)&gt;0),($V62/$V$74)*(B$74/$V$74),"")</f>
        <v/>
      </c>
      <c r="C153" s="11">
        <f>IF(AND(ISNUMBER(C62),N($V$74)&gt;0),($V62/$V$74)*(C$74/$V$74),"")</f>
        <v/>
      </c>
      <c r="D153" s="11">
        <f>IF(AND(ISNUMBER(D62),N($V$74)&gt;0),($V62/$V$74)*(D$74/$V$74),"")</f>
        <v/>
      </c>
      <c r="E153" s="11">
        <f>IF(AND(ISNUMBER(E62),N($V$74)&gt;0),($V62/$V$74)*(E$74/$V$74),"")</f>
        <v/>
      </c>
      <c r="F153" s="11">
        <f>IF(AND(ISNUMBER(F62),N($V$74)&gt;0),($V62/$V$74)*(F$74/$V$74),"")</f>
        <v/>
      </c>
      <c r="G153" s="11">
        <f>IF(AND(ISNUMBER(G62),N($V$74)&gt;0),($V62/$V$74)*(G$74/$V$74),"")</f>
        <v/>
      </c>
      <c r="H153" s="11">
        <f>IF(AND(ISNUMBER(H62),N($V$74)&gt;0),($V62/$V$74)*(H$74/$V$74),"")</f>
        <v/>
      </c>
      <c r="I153" s="11">
        <f>IF(AND(ISNUMBER(I62),N($V$74)&gt;0),($V62/$V$74)*(I$74/$V$74),"")</f>
        <v/>
      </c>
      <c r="J153" s="11">
        <f>IF(AND(ISNUMBER(J62),N($V$74)&gt;0),($V62/$V$74)*(J$74/$V$74),"")</f>
        <v/>
      </c>
      <c r="K153" s="11">
        <f>IF(AND(ISNUMBER(K62),N($V$74)&gt;0),($V62/$V$74)*(K$74/$V$74),"")</f>
        <v/>
      </c>
      <c r="L153" s="11">
        <f>IF(AND(ISNUMBER(L62),N($V$74)&gt;0),($V62/$V$74)*(L$74/$V$74),"")</f>
        <v/>
      </c>
      <c r="M153" s="11">
        <f>IF(AND(ISNUMBER(M62),N($V$74)&gt;0),($V62/$V$74)*(M$74/$V$74),"")</f>
        <v/>
      </c>
      <c r="N153" s="11">
        <f>IF(AND(ISNUMBER(N62),N($V$74)&gt;0),($V62/$V$74)*(N$74/$V$74),"")</f>
        <v/>
      </c>
      <c r="O153" s="11">
        <f>IF(AND(ISNUMBER(O62),N($V$74)&gt;0),($V62/$V$74)*(O$74/$V$74),"")</f>
        <v/>
      </c>
      <c r="P153" s="11">
        <f>IF(AND(ISNUMBER(P62),N($V$74)&gt;0),($V62/$V$74)*(P$74/$V$74),"")</f>
        <v/>
      </c>
      <c r="Q153" s="11">
        <f>IF(AND(ISNUMBER(Q62),N($V$74)&gt;0),($V62/$V$74)*(Q$74/$V$74),"")</f>
        <v/>
      </c>
      <c r="R153" s="11">
        <f>IF(AND(ISNUMBER(R62),N($V$74)&gt;0),($V62/$V$74)*(R$74/$V$74),"")</f>
        <v/>
      </c>
      <c r="S153" s="11">
        <f>IF(AND(ISNUMBER(S62),N($V$74)&gt;0),($V62/$V$74)*(S$74/$V$74),"")</f>
        <v/>
      </c>
      <c r="T153" s="11">
        <f>IF(AND(ISNUMBER(T62),N($V$74)&gt;0),($V62/$V$74)*(T$74/$V$74),"")</f>
        <v/>
      </c>
      <c r="U153" s="11">
        <f>IF(AND(ISNUMBER(U62),N($V$74)&gt;0),($V62/$V$74)*(U$74/$V$74),"")</f>
        <v/>
      </c>
    </row>
    <row r="154">
      <c r="A154" s="44">
        <f>$A63</f>
        <v/>
      </c>
      <c r="B154" s="11">
        <f>IF(AND(ISNUMBER(B63),N($V$74)&gt;0),($V63/$V$74)*(B$74/$V$74),"")</f>
        <v/>
      </c>
      <c r="C154" s="11">
        <f>IF(AND(ISNUMBER(C63),N($V$74)&gt;0),($V63/$V$74)*(C$74/$V$74),"")</f>
        <v/>
      </c>
      <c r="D154" s="11">
        <f>IF(AND(ISNUMBER(D63),N($V$74)&gt;0),($V63/$V$74)*(D$74/$V$74),"")</f>
        <v/>
      </c>
      <c r="E154" s="11">
        <f>IF(AND(ISNUMBER(E63),N($V$74)&gt;0),($V63/$V$74)*(E$74/$V$74),"")</f>
        <v/>
      </c>
      <c r="F154" s="11">
        <f>IF(AND(ISNUMBER(F63),N($V$74)&gt;0),($V63/$V$74)*(F$74/$V$74),"")</f>
        <v/>
      </c>
      <c r="G154" s="11">
        <f>IF(AND(ISNUMBER(G63),N($V$74)&gt;0),($V63/$V$74)*(G$74/$V$74),"")</f>
        <v/>
      </c>
      <c r="H154" s="11">
        <f>IF(AND(ISNUMBER(H63),N($V$74)&gt;0),($V63/$V$74)*(H$74/$V$74),"")</f>
        <v/>
      </c>
      <c r="I154" s="11">
        <f>IF(AND(ISNUMBER(I63),N($V$74)&gt;0),($V63/$V$74)*(I$74/$V$74),"")</f>
        <v/>
      </c>
      <c r="J154" s="11">
        <f>IF(AND(ISNUMBER(J63),N($V$74)&gt;0),($V63/$V$74)*(J$74/$V$74),"")</f>
        <v/>
      </c>
      <c r="K154" s="11">
        <f>IF(AND(ISNUMBER(K63),N($V$74)&gt;0),($V63/$V$74)*(K$74/$V$74),"")</f>
        <v/>
      </c>
      <c r="L154" s="11">
        <f>IF(AND(ISNUMBER(L63),N($V$74)&gt;0),($V63/$V$74)*(L$74/$V$74),"")</f>
        <v/>
      </c>
      <c r="M154" s="11">
        <f>IF(AND(ISNUMBER(M63),N($V$74)&gt;0),($V63/$V$74)*(M$74/$V$74),"")</f>
        <v/>
      </c>
      <c r="N154" s="11">
        <f>IF(AND(ISNUMBER(N63),N($V$74)&gt;0),($V63/$V$74)*(N$74/$V$74),"")</f>
        <v/>
      </c>
      <c r="O154" s="11">
        <f>IF(AND(ISNUMBER(O63),N($V$74)&gt;0),($V63/$V$74)*(O$74/$V$74),"")</f>
        <v/>
      </c>
      <c r="P154" s="11">
        <f>IF(AND(ISNUMBER(P63),N($V$74)&gt;0),($V63/$V$74)*(P$74/$V$74),"")</f>
        <v/>
      </c>
      <c r="Q154" s="11">
        <f>IF(AND(ISNUMBER(Q63),N($V$74)&gt;0),($V63/$V$74)*(Q$74/$V$74),"")</f>
        <v/>
      </c>
      <c r="R154" s="11">
        <f>IF(AND(ISNUMBER(R63),N($V$74)&gt;0),($V63/$V$74)*(R$74/$V$74),"")</f>
        <v/>
      </c>
      <c r="S154" s="11">
        <f>IF(AND(ISNUMBER(S63),N($V$74)&gt;0),($V63/$V$74)*(S$74/$V$74),"")</f>
        <v/>
      </c>
      <c r="T154" s="11">
        <f>IF(AND(ISNUMBER(T63),N($V$74)&gt;0),($V63/$V$74)*(T$74/$V$74),"")</f>
        <v/>
      </c>
      <c r="U154" s="11">
        <f>IF(AND(ISNUMBER(U63),N($V$74)&gt;0),($V63/$V$74)*(U$74/$V$74),"")</f>
        <v/>
      </c>
    </row>
    <row r="155">
      <c r="A155" s="44">
        <f>$A64</f>
        <v/>
      </c>
      <c r="B155" s="11">
        <f>IF(AND(ISNUMBER(B64),N($V$74)&gt;0),($V64/$V$74)*(B$74/$V$74),"")</f>
        <v/>
      </c>
      <c r="C155" s="11">
        <f>IF(AND(ISNUMBER(C64),N($V$74)&gt;0),($V64/$V$74)*(C$74/$V$74),"")</f>
        <v/>
      </c>
      <c r="D155" s="11">
        <f>IF(AND(ISNUMBER(D64),N($V$74)&gt;0),($V64/$V$74)*(D$74/$V$74),"")</f>
        <v/>
      </c>
      <c r="E155" s="11">
        <f>IF(AND(ISNUMBER(E64),N($V$74)&gt;0),($V64/$V$74)*(E$74/$V$74),"")</f>
        <v/>
      </c>
      <c r="F155" s="11">
        <f>IF(AND(ISNUMBER(F64),N($V$74)&gt;0),($V64/$V$74)*(F$74/$V$74),"")</f>
        <v/>
      </c>
      <c r="G155" s="11">
        <f>IF(AND(ISNUMBER(G64),N($V$74)&gt;0),($V64/$V$74)*(G$74/$V$74),"")</f>
        <v/>
      </c>
      <c r="H155" s="11">
        <f>IF(AND(ISNUMBER(H64),N($V$74)&gt;0),($V64/$V$74)*(H$74/$V$74),"")</f>
        <v/>
      </c>
      <c r="I155" s="11">
        <f>IF(AND(ISNUMBER(I64),N($V$74)&gt;0),($V64/$V$74)*(I$74/$V$74),"")</f>
        <v/>
      </c>
      <c r="J155" s="11">
        <f>IF(AND(ISNUMBER(J64),N($V$74)&gt;0),($V64/$V$74)*(J$74/$V$74),"")</f>
        <v/>
      </c>
      <c r="K155" s="11">
        <f>IF(AND(ISNUMBER(K64),N($V$74)&gt;0),($V64/$V$74)*(K$74/$V$74),"")</f>
        <v/>
      </c>
      <c r="L155" s="11">
        <f>IF(AND(ISNUMBER(L64),N($V$74)&gt;0),($V64/$V$74)*(L$74/$V$74),"")</f>
        <v/>
      </c>
      <c r="M155" s="11">
        <f>IF(AND(ISNUMBER(M64),N($V$74)&gt;0),($V64/$V$74)*(M$74/$V$74),"")</f>
        <v/>
      </c>
      <c r="N155" s="11">
        <f>IF(AND(ISNUMBER(N64),N($V$74)&gt;0),($V64/$V$74)*(N$74/$V$74),"")</f>
        <v/>
      </c>
      <c r="O155" s="11">
        <f>IF(AND(ISNUMBER(O64),N($V$74)&gt;0),($V64/$V$74)*(O$74/$V$74),"")</f>
        <v/>
      </c>
      <c r="P155" s="11">
        <f>IF(AND(ISNUMBER(P64),N($V$74)&gt;0),($V64/$V$74)*(P$74/$V$74),"")</f>
        <v/>
      </c>
      <c r="Q155" s="11">
        <f>IF(AND(ISNUMBER(Q64),N($V$74)&gt;0),($V64/$V$74)*(Q$74/$V$74),"")</f>
        <v/>
      </c>
      <c r="R155" s="11">
        <f>IF(AND(ISNUMBER(R64),N($V$74)&gt;0),($V64/$V$74)*(R$74/$V$74),"")</f>
        <v/>
      </c>
      <c r="S155" s="11">
        <f>IF(AND(ISNUMBER(S64),N($V$74)&gt;0),($V64/$V$74)*(S$74/$V$74),"")</f>
        <v/>
      </c>
      <c r="T155" s="11">
        <f>IF(AND(ISNUMBER(T64),N($V$74)&gt;0),($V64/$V$74)*(T$74/$V$74),"")</f>
        <v/>
      </c>
      <c r="U155" s="11">
        <f>IF(AND(ISNUMBER(U64),N($V$74)&gt;0),($V64/$V$74)*(U$74/$V$74),"")</f>
        <v/>
      </c>
    </row>
    <row r="156">
      <c r="A156" s="44">
        <f>$A65</f>
        <v/>
      </c>
      <c r="B156" s="11">
        <f>IF(AND(ISNUMBER(B65),N($V$74)&gt;0),($V65/$V$74)*(B$74/$V$74),"")</f>
        <v/>
      </c>
      <c r="C156" s="11">
        <f>IF(AND(ISNUMBER(C65),N($V$74)&gt;0),($V65/$V$74)*(C$74/$V$74),"")</f>
        <v/>
      </c>
      <c r="D156" s="11">
        <f>IF(AND(ISNUMBER(D65),N($V$74)&gt;0),($V65/$V$74)*(D$74/$V$74),"")</f>
        <v/>
      </c>
      <c r="E156" s="11">
        <f>IF(AND(ISNUMBER(E65),N($V$74)&gt;0),($V65/$V$74)*(E$74/$V$74),"")</f>
        <v/>
      </c>
      <c r="F156" s="11">
        <f>IF(AND(ISNUMBER(F65),N($V$74)&gt;0),($V65/$V$74)*(F$74/$V$74),"")</f>
        <v/>
      </c>
      <c r="G156" s="11">
        <f>IF(AND(ISNUMBER(G65),N($V$74)&gt;0),($V65/$V$74)*(G$74/$V$74),"")</f>
        <v/>
      </c>
      <c r="H156" s="11">
        <f>IF(AND(ISNUMBER(H65),N($V$74)&gt;0),($V65/$V$74)*(H$74/$V$74),"")</f>
        <v/>
      </c>
      <c r="I156" s="11">
        <f>IF(AND(ISNUMBER(I65),N($V$74)&gt;0),($V65/$V$74)*(I$74/$V$74),"")</f>
        <v/>
      </c>
      <c r="J156" s="11">
        <f>IF(AND(ISNUMBER(J65),N($V$74)&gt;0),($V65/$V$74)*(J$74/$V$74),"")</f>
        <v/>
      </c>
      <c r="K156" s="11">
        <f>IF(AND(ISNUMBER(K65),N($V$74)&gt;0),($V65/$V$74)*(K$74/$V$74),"")</f>
        <v/>
      </c>
      <c r="L156" s="11">
        <f>IF(AND(ISNUMBER(L65),N($V$74)&gt;0),($V65/$V$74)*(L$74/$V$74),"")</f>
        <v/>
      </c>
      <c r="M156" s="11">
        <f>IF(AND(ISNUMBER(M65),N($V$74)&gt;0),($V65/$V$74)*(M$74/$V$74),"")</f>
        <v/>
      </c>
      <c r="N156" s="11">
        <f>IF(AND(ISNUMBER(N65),N($V$74)&gt;0),($V65/$V$74)*(N$74/$V$74),"")</f>
        <v/>
      </c>
      <c r="O156" s="11">
        <f>IF(AND(ISNUMBER(O65),N($V$74)&gt;0),($V65/$V$74)*(O$74/$V$74),"")</f>
        <v/>
      </c>
      <c r="P156" s="11">
        <f>IF(AND(ISNUMBER(P65),N($V$74)&gt;0),($V65/$V$74)*(P$74/$V$74),"")</f>
        <v/>
      </c>
      <c r="Q156" s="11">
        <f>IF(AND(ISNUMBER(Q65),N($V$74)&gt;0),($V65/$V$74)*(Q$74/$V$74),"")</f>
        <v/>
      </c>
      <c r="R156" s="11">
        <f>IF(AND(ISNUMBER(R65),N($V$74)&gt;0),($V65/$V$74)*(R$74/$V$74),"")</f>
        <v/>
      </c>
      <c r="S156" s="11">
        <f>IF(AND(ISNUMBER(S65),N($V$74)&gt;0),($V65/$V$74)*(S$74/$V$74),"")</f>
        <v/>
      </c>
      <c r="T156" s="11">
        <f>IF(AND(ISNUMBER(T65),N($V$74)&gt;0),($V65/$V$74)*(T$74/$V$74),"")</f>
        <v/>
      </c>
      <c r="U156" s="11">
        <f>IF(AND(ISNUMBER(U65),N($V$74)&gt;0),($V65/$V$74)*(U$74/$V$74),"")</f>
        <v/>
      </c>
    </row>
    <row r="157">
      <c r="A157" s="44">
        <f>$A66</f>
        <v/>
      </c>
      <c r="B157" s="11">
        <f>IF(AND(ISNUMBER(B66),N($V$74)&gt;0),($V66/$V$74)*(B$74/$V$74),"")</f>
        <v/>
      </c>
      <c r="C157" s="11">
        <f>IF(AND(ISNUMBER(C66),N($V$74)&gt;0),($V66/$V$74)*(C$74/$V$74),"")</f>
        <v/>
      </c>
      <c r="D157" s="11">
        <f>IF(AND(ISNUMBER(D66),N($V$74)&gt;0),($V66/$V$74)*(D$74/$V$74),"")</f>
        <v/>
      </c>
      <c r="E157" s="11">
        <f>IF(AND(ISNUMBER(E66),N($V$74)&gt;0),($V66/$V$74)*(E$74/$V$74),"")</f>
        <v/>
      </c>
      <c r="F157" s="11">
        <f>IF(AND(ISNUMBER(F66),N($V$74)&gt;0),($V66/$V$74)*(F$74/$V$74),"")</f>
        <v/>
      </c>
      <c r="G157" s="11">
        <f>IF(AND(ISNUMBER(G66),N($V$74)&gt;0),($V66/$V$74)*(G$74/$V$74),"")</f>
        <v/>
      </c>
      <c r="H157" s="11">
        <f>IF(AND(ISNUMBER(H66),N($V$74)&gt;0),($V66/$V$74)*(H$74/$V$74),"")</f>
        <v/>
      </c>
      <c r="I157" s="11">
        <f>IF(AND(ISNUMBER(I66),N($V$74)&gt;0),($V66/$V$74)*(I$74/$V$74),"")</f>
        <v/>
      </c>
      <c r="J157" s="11">
        <f>IF(AND(ISNUMBER(J66),N($V$74)&gt;0),($V66/$V$74)*(J$74/$V$74),"")</f>
        <v/>
      </c>
      <c r="K157" s="11">
        <f>IF(AND(ISNUMBER(K66),N($V$74)&gt;0),($V66/$V$74)*(K$74/$V$74),"")</f>
        <v/>
      </c>
      <c r="L157" s="11">
        <f>IF(AND(ISNUMBER(L66),N($V$74)&gt;0),($V66/$V$74)*(L$74/$V$74),"")</f>
        <v/>
      </c>
      <c r="M157" s="11">
        <f>IF(AND(ISNUMBER(M66),N($V$74)&gt;0),($V66/$V$74)*(M$74/$V$74),"")</f>
        <v/>
      </c>
      <c r="N157" s="11">
        <f>IF(AND(ISNUMBER(N66),N($V$74)&gt;0),($V66/$V$74)*(N$74/$V$74),"")</f>
        <v/>
      </c>
      <c r="O157" s="11">
        <f>IF(AND(ISNUMBER(O66),N($V$74)&gt;0),($V66/$V$74)*(O$74/$V$74),"")</f>
        <v/>
      </c>
      <c r="P157" s="11">
        <f>IF(AND(ISNUMBER(P66),N($V$74)&gt;0),($V66/$V$74)*(P$74/$V$74),"")</f>
        <v/>
      </c>
      <c r="Q157" s="11">
        <f>IF(AND(ISNUMBER(Q66),N($V$74)&gt;0),($V66/$V$74)*(Q$74/$V$74),"")</f>
        <v/>
      </c>
      <c r="R157" s="11">
        <f>IF(AND(ISNUMBER(R66),N($V$74)&gt;0),($V66/$V$74)*(R$74/$V$74),"")</f>
        <v/>
      </c>
      <c r="S157" s="11">
        <f>IF(AND(ISNUMBER(S66),N($V$74)&gt;0),($V66/$V$74)*(S$74/$V$74),"")</f>
        <v/>
      </c>
      <c r="T157" s="11">
        <f>IF(AND(ISNUMBER(T66),N($V$74)&gt;0),($V66/$V$74)*(T$74/$V$74),"")</f>
        <v/>
      </c>
      <c r="U157" s="11">
        <f>IF(AND(ISNUMBER(U66),N($V$74)&gt;0),($V66/$V$74)*(U$74/$V$74),"")</f>
        <v/>
      </c>
    </row>
    <row r="158">
      <c r="A158" s="44">
        <f>$A67</f>
        <v/>
      </c>
      <c r="B158" s="11">
        <f>IF(AND(ISNUMBER(B67),N($V$74)&gt;0),($V67/$V$74)*(B$74/$V$74),"")</f>
        <v/>
      </c>
      <c r="C158" s="11">
        <f>IF(AND(ISNUMBER(C67),N($V$74)&gt;0),($V67/$V$74)*(C$74/$V$74),"")</f>
        <v/>
      </c>
      <c r="D158" s="11">
        <f>IF(AND(ISNUMBER(D67),N($V$74)&gt;0),($V67/$V$74)*(D$74/$V$74),"")</f>
        <v/>
      </c>
      <c r="E158" s="11">
        <f>IF(AND(ISNUMBER(E67),N($V$74)&gt;0),($V67/$V$74)*(E$74/$V$74),"")</f>
        <v/>
      </c>
      <c r="F158" s="11">
        <f>IF(AND(ISNUMBER(F67),N($V$74)&gt;0),($V67/$V$74)*(F$74/$V$74),"")</f>
        <v/>
      </c>
      <c r="G158" s="11">
        <f>IF(AND(ISNUMBER(G67),N($V$74)&gt;0),($V67/$V$74)*(G$74/$V$74),"")</f>
        <v/>
      </c>
      <c r="H158" s="11">
        <f>IF(AND(ISNUMBER(H67),N($V$74)&gt;0),($V67/$V$74)*(H$74/$V$74),"")</f>
        <v/>
      </c>
      <c r="I158" s="11">
        <f>IF(AND(ISNUMBER(I67),N($V$74)&gt;0),($V67/$V$74)*(I$74/$V$74),"")</f>
        <v/>
      </c>
      <c r="J158" s="11">
        <f>IF(AND(ISNUMBER(J67),N($V$74)&gt;0),($V67/$V$74)*(J$74/$V$74),"")</f>
        <v/>
      </c>
      <c r="K158" s="11">
        <f>IF(AND(ISNUMBER(K67),N($V$74)&gt;0),($V67/$V$74)*(K$74/$V$74),"")</f>
        <v/>
      </c>
      <c r="L158" s="11">
        <f>IF(AND(ISNUMBER(L67),N($V$74)&gt;0),($V67/$V$74)*(L$74/$V$74),"")</f>
        <v/>
      </c>
      <c r="M158" s="11">
        <f>IF(AND(ISNUMBER(M67),N($V$74)&gt;0),($V67/$V$74)*(M$74/$V$74),"")</f>
        <v/>
      </c>
      <c r="N158" s="11">
        <f>IF(AND(ISNUMBER(N67),N($V$74)&gt;0),($V67/$V$74)*(N$74/$V$74),"")</f>
        <v/>
      </c>
      <c r="O158" s="11">
        <f>IF(AND(ISNUMBER(O67),N($V$74)&gt;0),($V67/$V$74)*(O$74/$V$74),"")</f>
        <v/>
      </c>
      <c r="P158" s="11">
        <f>IF(AND(ISNUMBER(P67),N($V$74)&gt;0),($V67/$V$74)*(P$74/$V$74),"")</f>
        <v/>
      </c>
      <c r="Q158" s="11">
        <f>IF(AND(ISNUMBER(Q67),N($V$74)&gt;0),($V67/$V$74)*(Q$74/$V$74),"")</f>
        <v/>
      </c>
      <c r="R158" s="11">
        <f>IF(AND(ISNUMBER(R67),N($V$74)&gt;0),($V67/$V$74)*(R$74/$V$74),"")</f>
        <v/>
      </c>
      <c r="S158" s="11">
        <f>IF(AND(ISNUMBER(S67),N($V$74)&gt;0),($V67/$V$74)*(S$74/$V$74),"")</f>
        <v/>
      </c>
      <c r="T158" s="11">
        <f>IF(AND(ISNUMBER(T67),N($V$74)&gt;0),($V67/$V$74)*(T$74/$V$74),"")</f>
        <v/>
      </c>
      <c r="U158" s="11">
        <f>IF(AND(ISNUMBER(U67),N($V$74)&gt;0),($V67/$V$74)*(U$74/$V$74),"")</f>
        <v/>
      </c>
    </row>
    <row r="159">
      <c r="A159" s="44">
        <f>$A68</f>
        <v/>
      </c>
      <c r="B159" s="11">
        <f>IF(AND(ISNUMBER(B68),N($V$74)&gt;0),($V68/$V$74)*(B$74/$V$74),"")</f>
        <v/>
      </c>
      <c r="C159" s="11">
        <f>IF(AND(ISNUMBER(C68),N($V$74)&gt;0),($V68/$V$74)*(C$74/$V$74),"")</f>
        <v/>
      </c>
      <c r="D159" s="11">
        <f>IF(AND(ISNUMBER(D68),N($V$74)&gt;0),($V68/$V$74)*(D$74/$V$74),"")</f>
        <v/>
      </c>
      <c r="E159" s="11">
        <f>IF(AND(ISNUMBER(E68),N($V$74)&gt;0),($V68/$V$74)*(E$74/$V$74),"")</f>
        <v/>
      </c>
      <c r="F159" s="11">
        <f>IF(AND(ISNUMBER(F68),N($V$74)&gt;0),($V68/$V$74)*(F$74/$V$74),"")</f>
        <v/>
      </c>
      <c r="G159" s="11">
        <f>IF(AND(ISNUMBER(G68),N($V$74)&gt;0),($V68/$V$74)*(G$74/$V$74),"")</f>
        <v/>
      </c>
      <c r="H159" s="11">
        <f>IF(AND(ISNUMBER(H68),N($V$74)&gt;0),($V68/$V$74)*(H$74/$V$74),"")</f>
        <v/>
      </c>
      <c r="I159" s="11">
        <f>IF(AND(ISNUMBER(I68),N($V$74)&gt;0),($V68/$V$74)*(I$74/$V$74),"")</f>
        <v/>
      </c>
      <c r="J159" s="11">
        <f>IF(AND(ISNUMBER(J68),N($V$74)&gt;0),($V68/$V$74)*(J$74/$V$74),"")</f>
        <v/>
      </c>
      <c r="K159" s="11">
        <f>IF(AND(ISNUMBER(K68),N($V$74)&gt;0),($V68/$V$74)*(K$74/$V$74),"")</f>
        <v/>
      </c>
      <c r="L159" s="11">
        <f>IF(AND(ISNUMBER(L68),N($V$74)&gt;0),($V68/$V$74)*(L$74/$V$74),"")</f>
        <v/>
      </c>
      <c r="M159" s="11">
        <f>IF(AND(ISNUMBER(M68),N($V$74)&gt;0),($V68/$V$74)*(M$74/$V$74),"")</f>
        <v/>
      </c>
      <c r="N159" s="11">
        <f>IF(AND(ISNUMBER(N68),N($V$74)&gt;0),($V68/$V$74)*(N$74/$V$74),"")</f>
        <v/>
      </c>
      <c r="O159" s="11">
        <f>IF(AND(ISNUMBER(O68),N($V$74)&gt;0),($V68/$V$74)*(O$74/$V$74),"")</f>
        <v/>
      </c>
      <c r="P159" s="11">
        <f>IF(AND(ISNUMBER(P68),N($V$74)&gt;0),($V68/$V$74)*(P$74/$V$74),"")</f>
        <v/>
      </c>
      <c r="Q159" s="11">
        <f>IF(AND(ISNUMBER(Q68),N($V$74)&gt;0),($V68/$V$74)*(Q$74/$V$74),"")</f>
        <v/>
      </c>
      <c r="R159" s="11">
        <f>IF(AND(ISNUMBER(R68),N($V$74)&gt;0),($V68/$V$74)*(R$74/$V$74),"")</f>
        <v/>
      </c>
      <c r="S159" s="11">
        <f>IF(AND(ISNUMBER(S68),N($V$74)&gt;0),($V68/$V$74)*(S$74/$V$74),"")</f>
        <v/>
      </c>
      <c r="T159" s="11">
        <f>IF(AND(ISNUMBER(T68),N($V$74)&gt;0),($V68/$V$74)*(T$74/$V$74),"")</f>
        <v/>
      </c>
      <c r="U159" s="11">
        <f>IF(AND(ISNUMBER(U68),N($V$74)&gt;0),($V68/$V$74)*(U$74/$V$74),"")</f>
        <v/>
      </c>
    </row>
    <row r="160">
      <c r="A160" s="44">
        <f>$A69</f>
        <v/>
      </c>
      <c r="B160" s="11">
        <f>IF(AND(ISNUMBER(B69),N($V$74)&gt;0),($V69/$V$74)*(B$74/$V$74),"")</f>
        <v/>
      </c>
      <c r="C160" s="11">
        <f>IF(AND(ISNUMBER(C69),N($V$74)&gt;0),($V69/$V$74)*(C$74/$V$74),"")</f>
        <v/>
      </c>
      <c r="D160" s="11">
        <f>IF(AND(ISNUMBER(D69),N($V$74)&gt;0),($V69/$V$74)*(D$74/$V$74),"")</f>
        <v/>
      </c>
      <c r="E160" s="11">
        <f>IF(AND(ISNUMBER(E69),N($V$74)&gt;0),($V69/$V$74)*(E$74/$V$74),"")</f>
        <v/>
      </c>
      <c r="F160" s="11">
        <f>IF(AND(ISNUMBER(F69),N($V$74)&gt;0),($V69/$V$74)*(F$74/$V$74),"")</f>
        <v/>
      </c>
      <c r="G160" s="11">
        <f>IF(AND(ISNUMBER(G69),N($V$74)&gt;0),($V69/$V$74)*(G$74/$V$74),"")</f>
        <v/>
      </c>
      <c r="H160" s="11">
        <f>IF(AND(ISNUMBER(H69),N($V$74)&gt;0),($V69/$V$74)*(H$74/$V$74),"")</f>
        <v/>
      </c>
      <c r="I160" s="11">
        <f>IF(AND(ISNUMBER(I69),N($V$74)&gt;0),($V69/$V$74)*(I$74/$V$74),"")</f>
        <v/>
      </c>
      <c r="J160" s="11">
        <f>IF(AND(ISNUMBER(J69),N($V$74)&gt;0),($V69/$V$74)*(J$74/$V$74),"")</f>
        <v/>
      </c>
      <c r="K160" s="11">
        <f>IF(AND(ISNUMBER(K69),N($V$74)&gt;0),($V69/$V$74)*(K$74/$V$74),"")</f>
        <v/>
      </c>
      <c r="L160" s="11">
        <f>IF(AND(ISNUMBER(L69),N($V$74)&gt;0),($V69/$V$74)*(L$74/$V$74),"")</f>
        <v/>
      </c>
      <c r="M160" s="11">
        <f>IF(AND(ISNUMBER(M69),N($V$74)&gt;0),($V69/$V$74)*(M$74/$V$74),"")</f>
        <v/>
      </c>
      <c r="N160" s="11">
        <f>IF(AND(ISNUMBER(N69),N($V$74)&gt;0),($V69/$V$74)*(N$74/$V$74),"")</f>
        <v/>
      </c>
      <c r="O160" s="11">
        <f>IF(AND(ISNUMBER(O69),N($V$74)&gt;0),($V69/$V$74)*(O$74/$V$74),"")</f>
        <v/>
      </c>
      <c r="P160" s="11">
        <f>IF(AND(ISNUMBER(P69),N($V$74)&gt;0),($V69/$V$74)*(P$74/$V$74),"")</f>
        <v/>
      </c>
      <c r="Q160" s="11">
        <f>IF(AND(ISNUMBER(Q69),N($V$74)&gt;0),($V69/$V$74)*(Q$74/$V$74),"")</f>
        <v/>
      </c>
      <c r="R160" s="11">
        <f>IF(AND(ISNUMBER(R69),N($V$74)&gt;0),($V69/$V$74)*(R$74/$V$74),"")</f>
        <v/>
      </c>
      <c r="S160" s="11">
        <f>IF(AND(ISNUMBER(S69),N($V$74)&gt;0),($V69/$V$74)*(S$74/$V$74),"")</f>
        <v/>
      </c>
      <c r="T160" s="11">
        <f>IF(AND(ISNUMBER(T69),N($V$74)&gt;0),($V69/$V$74)*(T$74/$V$74),"")</f>
        <v/>
      </c>
      <c r="U160" s="11">
        <f>IF(AND(ISNUMBER(U69),N($V$74)&gt;0),($V69/$V$74)*(U$74/$V$74),"")</f>
        <v/>
      </c>
    </row>
    <row r="161">
      <c r="A161" s="44">
        <f>$A70</f>
        <v/>
      </c>
      <c r="B161" s="11">
        <f>IF(AND(ISNUMBER(B70),N($V$74)&gt;0),($V70/$V$74)*(B$74/$V$74),"")</f>
        <v/>
      </c>
      <c r="C161" s="11">
        <f>IF(AND(ISNUMBER(C70),N($V$74)&gt;0),($V70/$V$74)*(C$74/$V$74),"")</f>
        <v/>
      </c>
      <c r="D161" s="11">
        <f>IF(AND(ISNUMBER(D70),N($V$74)&gt;0),($V70/$V$74)*(D$74/$V$74),"")</f>
        <v/>
      </c>
      <c r="E161" s="11">
        <f>IF(AND(ISNUMBER(E70),N($V$74)&gt;0),($V70/$V$74)*(E$74/$V$74),"")</f>
        <v/>
      </c>
      <c r="F161" s="11">
        <f>IF(AND(ISNUMBER(F70),N($V$74)&gt;0),($V70/$V$74)*(F$74/$V$74),"")</f>
        <v/>
      </c>
      <c r="G161" s="11">
        <f>IF(AND(ISNUMBER(G70),N($V$74)&gt;0),($V70/$V$74)*(G$74/$V$74),"")</f>
        <v/>
      </c>
      <c r="H161" s="11">
        <f>IF(AND(ISNUMBER(H70),N($V$74)&gt;0),($V70/$V$74)*(H$74/$V$74),"")</f>
        <v/>
      </c>
      <c r="I161" s="11">
        <f>IF(AND(ISNUMBER(I70),N($V$74)&gt;0),($V70/$V$74)*(I$74/$V$74),"")</f>
        <v/>
      </c>
      <c r="J161" s="11">
        <f>IF(AND(ISNUMBER(J70),N($V$74)&gt;0),($V70/$V$74)*(J$74/$V$74),"")</f>
        <v/>
      </c>
      <c r="K161" s="11">
        <f>IF(AND(ISNUMBER(K70),N($V$74)&gt;0),($V70/$V$74)*(K$74/$V$74),"")</f>
        <v/>
      </c>
      <c r="L161" s="11">
        <f>IF(AND(ISNUMBER(L70),N($V$74)&gt;0),($V70/$V$74)*(L$74/$V$74),"")</f>
        <v/>
      </c>
      <c r="M161" s="11">
        <f>IF(AND(ISNUMBER(M70),N($V$74)&gt;0),($V70/$V$74)*(M$74/$V$74),"")</f>
        <v/>
      </c>
      <c r="N161" s="11">
        <f>IF(AND(ISNUMBER(N70),N($V$74)&gt;0),($V70/$V$74)*(N$74/$V$74),"")</f>
        <v/>
      </c>
      <c r="O161" s="11">
        <f>IF(AND(ISNUMBER(O70),N($V$74)&gt;0),($V70/$V$74)*(O$74/$V$74),"")</f>
        <v/>
      </c>
      <c r="P161" s="11">
        <f>IF(AND(ISNUMBER(P70),N($V$74)&gt;0),($V70/$V$74)*(P$74/$V$74),"")</f>
        <v/>
      </c>
      <c r="Q161" s="11">
        <f>IF(AND(ISNUMBER(Q70),N($V$74)&gt;0),($V70/$V$74)*(Q$74/$V$74),"")</f>
        <v/>
      </c>
      <c r="R161" s="11">
        <f>IF(AND(ISNUMBER(R70),N($V$74)&gt;0),($V70/$V$74)*(R$74/$V$74),"")</f>
        <v/>
      </c>
      <c r="S161" s="11">
        <f>IF(AND(ISNUMBER(S70),N($V$74)&gt;0),($V70/$V$74)*(S$74/$V$74),"")</f>
        <v/>
      </c>
      <c r="T161" s="11">
        <f>IF(AND(ISNUMBER(T70),N($V$74)&gt;0),($V70/$V$74)*(T$74/$V$74),"")</f>
        <v/>
      </c>
      <c r="U161" s="11">
        <f>IF(AND(ISNUMBER(U70),N($V$74)&gt;0),($V70/$V$74)*(U$74/$V$74),"")</f>
        <v/>
      </c>
    </row>
    <row r="162">
      <c r="A162" s="44">
        <f>$A71</f>
        <v/>
      </c>
      <c r="B162" s="11">
        <f>IF(AND(ISNUMBER(B71),N($V$74)&gt;0),($V71/$V$74)*(B$74/$V$74),"")</f>
        <v/>
      </c>
      <c r="C162" s="11">
        <f>IF(AND(ISNUMBER(C71),N($V$74)&gt;0),($V71/$V$74)*(C$74/$V$74),"")</f>
        <v/>
      </c>
      <c r="D162" s="11">
        <f>IF(AND(ISNUMBER(D71),N($V$74)&gt;0),($V71/$V$74)*(D$74/$V$74),"")</f>
        <v/>
      </c>
      <c r="E162" s="11">
        <f>IF(AND(ISNUMBER(E71),N($V$74)&gt;0),($V71/$V$74)*(E$74/$V$74),"")</f>
        <v/>
      </c>
      <c r="F162" s="11">
        <f>IF(AND(ISNUMBER(F71),N($V$74)&gt;0),($V71/$V$74)*(F$74/$V$74),"")</f>
        <v/>
      </c>
      <c r="G162" s="11">
        <f>IF(AND(ISNUMBER(G71),N($V$74)&gt;0),($V71/$V$74)*(G$74/$V$74),"")</f>
        <v/>
      </c>
      <c r="H162" s="11">
        <f>IF(AND(ISNUMBER(H71),N($V$74)&gt;0),($V71/$V$74)*(H$74/$V$74),"")</f>
        <v/>
      </c>
      <c r="I162" s="11">
        <f>IF(AND(ISNUMBER(I71),N($V$74)&gt;0),($V71/$V$74)*(I$74/$V$74),"")</f>
        <v/>
      </c>
      <c r="J162" s="11">
        <f>IF(AND(ISNUMBER(J71),N($V$74)&gt;0),($V71/$V$74)*(J$74/$V$74),"")</f>
        <v/>
      </c>
      <c r="K162" s="11">
        <f>IF(AND(ISNUMBER(K71),N($V$74)&gt;0),($V71/$V$74)*(K$74/$V$74),"")</f>
        <v/>
      </c>
      <c r="L162" s="11">
        <f>IF(AND(ISNUMBER(L71),N($V$74)&gt;0),($V71/$V$74)*(L$74/$V$74),"")</f>
        <v/>
      </c>
      <c r="M162" s="11">
        <f>IF(AND(ISNUMBER(M71),N($V$74)&gt;0),($V71/$V$74)*(M$74/$V$74),"")</f>
        <v/>
      </c>
      <c r="N162" s="11">
        <f>IF(AND(ISNUMBER(N71),N($V$74)&gt;0),($V71/$V$74)*(N$74/$V$74),"")</f>
        <v/>
      </c>
      <c r="O162" s="11">
        <f>IF(AND(ISNUMBER(O71),N($V$74)&gt;0),($V71/$V$74)*(O$74/$V$74),"")</f>
        <v/>
      </c>
      <c r="P162" s="11">
        <f>IF(AND(ISNUMBER(P71),N($V$74)&gt;0),($V71/$V$74)*(P$74/$V$74),"")</f>
        <v/>
      </c>
      <c r="Q162" s="11">
        <f>IF(AND(ISNUMBER(Q71),N($V$74)&gt;0),($V71/$V$74)*(Q$74/$V$74),"")</f>
        <v/>
      </c>
      <c r="R162" s="11">
        <f>IF(AND(ISNUMBER(R71),N($V$74)&gt;0),($V71/$V$74)*(R$74/$V$74),"")</f>
        <v/>
      </c>
      <c r="S162" s="11">
        <f>IF(AND(ISNUMBER(S71),N($V$74)&gt;0),($V71/$V$74)*(S$74/$V$74),"")</f>
        <v/>
      </c>
      <c r="T162" s="11">
        <f>IF(AND(ISNUMBER(T71),N($V$74)&gt;0),($V71/$V$74)*(T$74/$V$74),"")</f>
        <v/>
      </c>
      <c r="U162" s="11">
        <f>IF(AND(ISNUMBER(U71),N($V$74)&gt;0),($V71/$V$74)*(U$74/$V$74),"")</f>
        <v/>
      </c>
    </row>
    <row r="163">
      <c r="A163" s="44">
        <f>$A72</f>
        <v/>
      </c>
      <c r="B163" s="11">
        <f>IF(AND(ISNUMBER(B72),N($V$74)&gt;0),($V72/$V$74)*(B$74/$V$74),"")</f>
        <v/>
      </c>
      <c r="C163" s="11">
        <f>IF(AND(ISNUMBER(C72),N($V$74)&gt;0),($V72/$V$74)*(C$74/$V$74),"")</f>
        <v/>
      </c>
      <c r="D163" s="11">
        <f>IF(AND(ISNUMBER(D72),N($V$74)&gt;0),($V72/$V$74)*(D$74/$V$74),"")</f>
        <v/>
      </c>
      <c r="E163" s="11">
        <f>IF(AND(ISNUMBER(E72),N($V$74)&gt;0),($V72/$V$74)*(E$74/$V$74),"")</f>
        <v/>
      </c>
      <c r="F163" s="11">
        <f>IF(AND(ISNUMBER(F72),N($V$74)&gt;0),($V72/$V$74)*(F$74/$V$74),"")</f>
        <v/>
      </c>
      <c r="G163" s="11">
        <f>IF(AND(ISNUMBER(G72),N($V$74)&gt;0),($V72/$V$74)*(G$74/$V$74),"")</f>
        <v/>
      </c>
      <c r="H163" s="11">
        <f>IF(AND(ISNUMBER(H72),N($V$74)&gt;0),($V72/$V$74)*(H$74/$V$74),"")</f>
        <v/>
      </c>
      <c r="I163" s="11">
        <f>IF(AND(ISNUMBER(I72),N($V$74)&gt;0),($V72/$V$74)*(I$74/$V$74),"")</f>
        <v/>
      </c>
      <c r="J163" s="11">
        <f>IF(AND(ISNUMBER(J72),N($V$74)&gt;0),($V72/$V$74)*(J$74/$V$74),"")</f>
        <v/>
      </c>
      <c r="K163" s="11">
        <f>IF(AND(ISNUMBER(K72),N($V$74)&gt;0),($V72/$V$74)*(K$74/$V$74),"")</f>
        <v/>
      </c>
      <c r="L163" s="11">
        <f>IF(AND(ISNUMBER(L72),N($V$74)&gt;0),($V72/$V$74)*(L$74/$V$74),"")</f>
        <v/>
      </c>
      <c r="M163" s="11">
        <f>IF(AND(ISNUMBER(M72),N($V$74)&gt;0),($V72/$V$74)*(M$74/$V$74),"")</f>
        <v/>
      </c>
      <c r="N163" s="11">
        <f>IF(AND(ISNUMBER(N72),N($V$74)&gt;0),($V72/$V$74)*(N$74/$V$74),"")</f>
        <v/>
      </c>
      <c r="O163" s="11">
        <f>IF(AND(ISNUMBER(O72),N($V$74)&gt;0),($V72/$V$74)*(O$74/$V$74),"")</f>
        <v/>
      </c>
      <c r="P163" s="11">
        <f>IF(AND(ISNUMBER(P72),N($V$74)&gt;0),($V72/$V$74)*(P$74/$V$74),"")</f>
        <v/>
      </c>
      <c r="Q163" s="11">
        <f>IF(AND(ISNUMBER(Q72),N($V$74)&gt;0),($V72/$V$74)*(Q$74/$V$74),"")</f>
        <v/>
      </c>
      <c r="R163" s="11">
        <f>IF(AND(ISNUMBER(R72),N($V$74)&gt;0),($V72/$V$74)*(R$74/$V$74),"")</f>
        <v/>
      </c>
      <c r="S163" s="11">
        <f>IF(AND(ISNUMBER(S72),N($V$74)&gt;0),($V72/$V$74)*(S$74/$V$74),"")</f>
        <v/>
      </c>
      <c r="T163" s="11">
        <f>IF(AND(ISNUMBER(T72),N($V$74)&gt;0),($V72/$V$74)*(T$74/$V$74),"")</f>
        <v/>
      </c>
      <c r="U163" s="11">
        <f>IF(AND(ISNUMBER(U72),N($V$74)&gt;0),($V72/$V$74)*(U$74/$V$74),"")</f>
        <v/>
      </c>
    </row>
    <row r="164">
      <c r="A164" s="44">
        <f>$A73</f>
        <v/>
      </c>
      <c r="B164" s="11">
        <f>IF(AND(ISNUMBER(B73),N($V$74)&gt;0),($V73/$V$74)*(B$74/$V$74),"")</f>
        <v/>
      </c>
      <c r="C164" s="11">
        <f>IF(AND(ISNUMBER(C73),N($V$74)&gt;0),($V73/$V$74)*(C$74/$V$74),"")</f>
        <v/>
      </c>
      <c r="D164" s="11">
        <f>IF(AND(ISNUMBER(D73),N($V$74)&gt;0),($V73/$V$74)*(D$74/$V$74),"")</f>
        <v/>
      </c>
      <c r="E164" s="11">
        <f>IF(AND(ISNUMBER(E73),N($V$74)&gt;0),($V73/$V$74)*(E$74/$V$74),"")</f>
        <v/>
      </c>
      <c r="F164" s="11">
        <f>IF(AND(ISNUMBER(F73),N($V$74)&gt;0),($V73/$V$74)*(F$74/$V$74),"")</f>
        <v/>
      </c>
      <c r="G164" s="11">
        <f>IF(AND(ISNUMBER(G73),N($V$74)&gt;0),($V73/$V$74)*(G$74/$V$74),"")</f>
        <v/>
      </c>
      <c r="H164" s="11">
        <f>IF(AND(ISNUMBER(H73),N($V$74)&gt;0),($V73/$V$74)*(H$74/$V$74),"")</f>
        <v/>
      </c>
      <c r="I164" s="11">
        <f>IF(AND(ISNUMBER(I73),N($V$74)&gt;0),($V73/$V$74)*(I$74/$V$74),"")</f>
        <v/>
      </c>
      <c r="J164" s="11">
        <f>IF(AND(ISNUMBER(J73),N($V$74)&gt;0),($V73/$V$74)*(J$74/$V$74),"")</f>
        <v/>
      </c>
      <c r="K164" s="11">
        <f>IF(AND(ISNUMBER(K73),N($V$74)&gt;0),($V73/$V$74)*(K$74/$V$74),"")</f>
        <v/>
      </c>
      <c r="L164" s="11">
        <f>IF(AND(ISNUMBER(L73),N($V$74)&gt;0),($V73/$V$74)*(L$74/$V$74),"")</f>
        <v/>
      </c>
      <c r="M164" s="11">
        <f>IF(AND(ISNUMBER(M73),N($V$74)&gt;0),($V73/$V$74)*(M$74/$V$74),"")</f>
        <v/>
      </c>
      <c r="N164" s="11">
        <f>IF(AND(ISNUMBER(N73),N($V$74)&gt;0),($V73/$V$74)*(N$74/$V$74),"")</f>
        <v/>
      </c>
      <c r="O164" s="11">
        <f>IF(AND(ISNUMBER(O73),N($V$74)&gt;0),($V73/$V$74)*(O$74/$V$74),"")</f>
        <v/>
      </c>
      <c r="P164" s="11">
        <f>IF(AND(ISNUMBER(P73),N($V$74)&gt;0),($V73/$V$74)*(P$74/$V$74),"")</f>
        <v/>
      </c>
      <c r="Q164" s="11">
        <f>IF(AND(ISNUMBER(Q73),N($V$74)&gt;0),($V73/$V$74)*(Q$74/$V$74),"")</f>
        <v/>
      </c>
      <c r="R164" s="11">
        <f>IF(AND(ISNUMBER(R73),N($V$74)&gt;0),($V73/$V$74)*(R$74/$V$74),"")</f>
        <v/>
      </c>
      <c r="S164" s="11">
        <f>IF(AND(ISNUMBER(S73),N($V$74)&gt;0),($V73/$V$74)*(S$74/$V$74),"")</f>
        <v/>
      </c>
      <c r="T164" s="11">
        <f>IF(AND(ISNUMBER(T73),N($V$74)&gt;0),($V73/$V$74)*(T$74/$V$74),"")</f>
        <v/>
      </c>
      <c r="U164" s="11">
        <f>IF(AND(ISNUMBER(U73),N($V$74)&gt;0),($V73/$V$74)*(U$74/$V$74),"")</f>
        <v/>
      </c>
    </row>
    <row r="166">
      <c r="A166" s="44">
        <f>"P(Y | X) − P(Y): overal 0 = onafhankelijk (Data p. 22, 25)"</f>
        <v/>
      </c>
      <c r="B166" s="44">
        <f>B$53</f>
        <v/>
      </c>
      <c r="C166" s="44">
        <f>C$53</f>
        <v/>
      </c>
      <c r="D166" s="44">
        <f>D$53</f>
        <v/>
      </c>
      <c r="E166" s="44">
        <f>E$53</f>
        <v/>
      </c>
      <c r="F166" s="44">
        <f>F$53</f>
        <v/>
      </c>
      <c r="G166" s="44">
        <f>G$53</f>
        <v/>
      </c>
      <c r="H166" s="44">
        <f>H$53</f>
        <v/>
      </c>
      <c r="I166" s="44">
        <f>I$53</f>
        <v/>
      </c>
      <c r="J166" s="44">
        <f>J$53</f>
        <v/>
      </c>
      <c r="K166" s="44">
        <f>K$53</f>
        <v/>
      </c>
      <c r="L166" s="44">
        <f>L$53</f>
        <v/>
      </c>
      <c r="M166" s="44">
        <f>M$53</f>
        <v/>
      </c>
      <c r="N166" s="44">
        <f>N$53</f>
        <v/>
      </c>
      <c r="O166" s="44">
        <f>O$53</f>
        <v/>
      </c>
      <c r="P166" s="44">
        <f>P$53</f>
        <v/>
      </c>
      <c r="Q166" s="44">
        <f>Q$53</f>
        <v/>
      </c>
      <c r="R166" s="44">
        <f>R$53</f>
        <v/>
      </c>
      <c r="S166" s="44">
        <f>S$53</f>
        <v/>
      </c>
      <c r="T166" s="44">
        <f>T$53</f>
        <v/>
      </c>
      <c r="U166" s="44">
        <f>U$53</f>
        <v/>
      </c>
    </row>
    <row r="167">
      <c r="A167" s="44">
        <f>$A54</f>
        <v/>
      </c>
      <c r="B167" s="11">
        <f>IF(AND(ISNUMBER(B100),ISNUMBER(B$120)),B100-B$120,"")</f>
        <v/>
      </c>
      <c r="C167" s="11">
        <f>IF(AND(ISNUMBER(C100),ISNUMBER(C$120)),C100-C$120,"")</f>
        <v/>
      </c>
      <c r="D167" s="11">
        <f>IF(AND(ISNUMBER(D100),ISNUMBER(D$120)),D100-D$120,"")</f>
        <v/>
      </c>
      <c r="E167" s="11">
        <f>IF(AND(ISNUMBER(E100),ISNUMBER(E$120)),E100-E$120,"")</f>
        <v/>
      </c>
      <c r="F167" s="11">
        <f>IF(AND(ISNUMBER(F100),ISNUMBER(F$120)),F100-F$120,"")</f>
        <v/>
      </c>
      <c r="G167" s="11">
        <f>IF(AND(ISNUMBER(G100),ISNUMBER(G$120)),G100-G$120,"")</f>
        <v/>
      </c>
      <c r="H167" s="11">
        <f>IF(AND(ISNUMBER(H100),ISNUMBER(H$120)),H100-H$120,"")</f>
        <v/>
      </c>
      <c r="I167" s="11">
        <f>IF(AND(ISNUMBER(I100),ISNUMBER(I$120)),I100-I$120,"")</f>
        <v/>
      </c>
      <c r="J167" s="11">
        <f>IF(AND(ISNUMBER(J100),ISNUMBER(J$120)),J100-J$120,"")</f>
        <v/>
      </c>
      <c r="K167" s="11">
        <f>IF(AND(ISNUMBER(K100),ISNUMBER(K$120)),K100-K$120,"")</f>
        <v/>
      </c>
      <c r="L167" s="11">
        <f>IF(AND(ISNUMBER(L100),ISNUMBER(L$120)),L100-L$120,"")</f>
        <v/>
      </c>
      <c r="M167" s="11">
        <f>IF(AND(ISNUMBER(M100),ISNUMBER(M$120)),M100-M$120,"")</f>
        <v/>
      </c>
      <c r="N167" s="11">
        <f>IF(AND(ISNUMBER(N100),ISNUMBER(N$120)),N100-N$120,"")</f>
        <v/>
      </c>
      <c r="O167" s="11">
        <f>IF(AND(ISNUMBER(O100),ISNUMBER(O$120)),O100-O$120,"")</f>
        <v/>
      </c>
      <c r="P167" s="11">
        <f>IF(AND(ISNUMBER(P100),ISNUMBER(P$120)),P100-P$120,"")</f>
        <v/>
      </c>
      <c r="Q167" s="11">
        <f>IF(AND(ISNUMBER(Q100),ISNUMBER(Q$120)),Q100-Q$120,"")</f>
        <v/>
      </c>
      <c r="R167" s="11">
        <f>IF(AND(ISNUMBER(R100),ISNUMBER(R$120)),R100-R$120,"")</f>
        <v/>
      </c>
      <c r="S167" s="11">
        <f>IF(AND(ISNUMBER(S100),ISNUMBER(S$120)),S100-S$120,"")</f>
        <v/>
      </c>
      <c r="T167" s="11">
        <f>IF(AND(ISNUMBER(T100),ISNUMBER(T$120)),T100-T$120,"")</f>
        <v/>
      </c>
      <c r="U167" s="11">
        <f>IF(AND(ISNUMBER(U100),ISNUMBER(U$120)),U100-U$120,"")</f>
        <v/>
      </c>
    </row>
    <row r="168">
      <c r="A168" s="44">
        <f>$A55</f>
        <v/>
      </c>
      <c r="B168" s="11">
        <f>IF(AND(ISNUMBER(B101),ISNUMBER(B$120)),B101-B$120,"")</f>
        <v/>
      </c>
      <c r="C168" s="11">
        <f>IF(AND(ISNUMBER(C101),ISNUMBER(C$120)),C101-C$120,"")</f>
        <v/>
      </c>
      <c r="D168" s="11">
        <f>IF(AND(ISNUMBER(D101),ISNUMBER(D$120)),D101-D$120,"")</f>
        <v/>
      </c>
      <c r="E168" s="11">
        <f>IF(AND(ISNUMBER(E101),ISNUMBER(E$120)),E101-E$120,"")</f>
        <v/>
      </c>
      <c r="F168" s="11">
        <f>IF(AND(ISNUMBER(F101),ISNUMBER(F$120)),F101-F$120,"")</f>
        <v/>
      </c>
      <c r="G168" s="11">
        <f>IF(AND(ISNUMBER(G101),ISNUMBER(G$120)),G101-G$120,"")</f>
        <v/>
      </c>
      <c r="H168" s="11">
        <f>IF(AND(ISNUMBER(H101),ISNUMBER(H$120)),H101-H$120,"")</f>
        <v/>
      </c>
      <c r="I168" s="11">
        <f>IF(AND(ISNUMBER(I101),ISNUMBER(I$120)),I101-I$120,"")</f>
        <v/>
      </c>
      <c r="J168" s="11">
        <f>IF(AND(ISNUMBER(J101),ISNUMBER(J$120)),J101-J$120,"")</f>
        <v/>
      </c>
      <c r="K168" s="11">
        <f>IF(AND(ISNUMBER(K101),ISNUMBER(K$120)),K101-K$120,"")</f>
        <v/>
      </c>
      <c r="L168" s="11">
        <f>IF(AND(ISNUMBER(L101),ISNUMBER(L$120)),L101-L$120,"")</f>
        <v/>
      </c>
      <c r="M168" s="11">
        <f>IF(AND(ISNUMBER(M101),ISNUMBER(M$120)),M101-M$120,"")</f>
        <v/>
      </c>
      <c r="N168" s="11">
        <f>IF(AND(ISNUMBER(N101),ISNUMBER(N$120)),N101-N$120,"")</f>
        <v/>
      </c>
      <c r="O168" s="11">
        <f>IF(AND(ISNUMBER(O101),ISNUMBER(O$120)),O101-O$120,"")</f>
        <v/>
      </c>
      <c r="P168" s="11">
        <f>IF(AND(ISNUMBER(P101),ISNUMBER(P$120)),P101-P$120,"")</f>
        <v/>
      </c>
      <c r="Q168" s="11">
        <f>IF(AND(ISNUMBER(Q101),ISNUMBER(Q$120)),Q101-Q$120,"")</f>
        <v/>
      </c>
      <c r="R168" s="11">
        <f>IF(AND(ISNUMBER(R101),ISNUMBER(R$120)),R101-R$120,"")</f>
        <v/>
      </c>
      <c r="S168" s="11">
        <f>IF(AND(ISNUMBER(S101),ISNUMBER(S$120)),S101-S$120,"")</f>
        <v/>
      </c>
      <c r="T168" s="11">
        <f>IF(AND(ISNUMBER(T101),ISNUMBER(T$120)),T101-T$120,"")</f>
        <v/>
      </c>
      <c r="U168" s="11">
        <f>IF(AND(ISNUMBER(U101),ISNUMBER(U$120)),U101-U$120,"")</f>
        <v/>
      </c>
    </row>
    <row r="169">
      <c r="A169" s="44">
        <f>$A56</f>
        <v/>
      </c>
      <c r="B169" s="11">
        <f>IF(AND(ISNUMBER(B102),ISNUMBER(B$120)),B102-B$120,"")</f>
        <v/>
      </c>
      <c r="C169" s="11">
        <f>IF(AND(ISNUMBER(C102),ISNUMBER(C$120)),C102-C$120,"")</f>
        <v/>
      </c>
      <c r="D169" s="11">
        <f>IF(AND(ISNUMBER(D102),ISNUMBER(D$120)),D102-D$120,"")</f>
        <v/>
      </c>
      <c r="E169" s="11">
        <f>IF(AND(ISNUMBER(E102),ISNUMBER(E$120)),E102-E$120,"")</f>
        <v/>
      </c>
      <c r="F169" s="11">
        <f>IF(AND(ISNUMBER(F102),ISNUMBER(F$120)),F102-F$120,"")</f>
        <v/>
      </c>
      <c r="G169" s="11">
        <f>IF(AND(ISNUMBER(G102),ISNUMBER(G$120)),G102-G$120,"")</f>
        <v/>
      </c>
      <c r="H169" s="11">
        <f>IF(AND(ISNUMBER(H102),ISNUMBER(H$120)),H102-H$120,"")</f>
        <v/>
      </c>
      <c r="I169" s="11">
        <f>IF(AND(ISNUMBER(I102),ISNUMBER(I$120)),I102-I$120,"")</f>
        <v/>
      </c>
      <c r="J169" s="11">
        <f>IF(AND(ISNUMBER(J102),ISNUMBER(J$120)),J102-J$120,"")</f>
        <v/>
      </c>
      <c r="K169" s="11">
        <f>IF(AND(ISNUMBER(K102),ISNUMBER(K$120)),K102-K$120,"")</f>
        <v/>
      </c>
      <c r="L169" s="11">
        <f>IF(AND(ISNUMBER(L102),ISNUMBER(L$120)),L102-L$120,"")</f>
        <v/>
      </c>
      <c r="M169" s="11">
        <f>IF(AND(ISNUMBER(M102),ISNUMBER(M$120)),M102-M$120,"")</f>
        <v/>
      </c>
      <c r="N169" s="11">
        <f>IF(AND(ISNUMBER(N102),ISNUMBER(N$120)),N102-N$120,"")</f>
        <v/>
      </c>
      <c r="O169" s="11">
        <f>IF(AND(ISNUMBER(O102),ISNUMBER(O$120)),O102-O$120,"")</f>
        <v/>
      </c>
      <c r="P169" s="11">
        <f>IF(AND(ISNUMBER(P102),ISNUMBER(P$120)),P102-P$120,"")</f>
        <v/>
      </c>
      <c r="Q169" s="11">
        <f>IF(AND(ISNUMBER(Q102),ISNUMBER(Q$120)),Q102-Q$120,"")</f>
        <v/>
      </c>
      <c r="R169" s="11">
        <f>IF(AND(ISNUMBER(R102),ISNUMBER(R$120)),R102-R$120,"")</f>
        <v/>
      </c>
      <c r="S169" s="11">
        <f>IF(AND(ISNUMBER(S102),ISNUMBER(S$120)),S102-S$120,"")</f>
        <v/>
      </c>
      <c r="T169" s="11">
        <f>IF(AND(ISNUMBER(T102),ISNUMBER(T$120)),T102-T$120,"")</f>
        <v/>
      </c>
      <c r="U169" s="11">
        <f>IF(AND(ISNUMBER(U102),ISNUMBER(U$120)),U102-U$120,"")</f>
        <v/>
      </c>
    </row>
    <row r="170">
      <c r="A170" s="44">
        <f>$A57</f>
        <v/>
      </c>
      <c r="B170" s="11">
        <f>IF(AND(ISNUMBER(B103),ISNUMBER(B$120)),B103-B$120,"")</f>
        <v/>
      </c>
      <c r="C170" s="11">
        <f>IF(AND(ISNUMBER(C103),ISNUMBER(C$120)),C103-C$120,"")</f>
        <v/>
      </c>
      <c r="D170" s="11">
        <f>IF(AND(ISNUMBER(D103),ISNUMBER(D$120)),D103-D$120,"")</f>
        <v/>
      </c>
      <c r="E170" s="11">
        <f>IF(AND(ISNUMBER(E103),ISNUMBER(E$120)),E103-E$120,"")</f>
        <v/>
      </c>
      <c r="F170" s="11">
        <f>IF(AND(ISNUMBER(F103),ISNUMBER(F$120)),F103-F$120,"")</f>
        <v/>
      </c>
      <c r="G170" s="11">
        <f>IF(AND(ISNUMBER(G103),ISNUMBER(G$120)),G103-G$120,"")</f>
        <v/>
      </c>
      <c r="H170" s="11">
        <f>IF(AND(ISNUMBER(H103),ISNUMBER(H$120)),H103-H$120,"")</f>
        <v/>
      </c>
      <c r="I170" s="11">
        <f>IF(AND(ISNUMBER(I103),ISNUMBER(I$120)),I103-I$120,"")</f>
        <v/>
      </c>
      <c r="J170" s="11">
        <f>IF(AND(ISNUMBER(J103),ISNUMBER(J$120)),J103-J$120,"")</f>
        <v/>
      </c>
      <c r="K170" s="11">
        <f>IF(AND(ISNUMBER(K103),ISNUMBER(K$120)),K103-K$120,"")</f>
        <v/>
      </c>
      <c r="L170" s="11">
        <f>IF(AND(ISNUMBER(L103),ISNUMBER(L$120)),L103-L$120,"")</f>
        <v/>
      </c>
      <c r="M170" s="11">
        <f>IF(AND(ISNUMBER(M103),ISNUMBER(M$120)),M103-M$120,"")</f>
        <v/>
      </c>
      <c r="N170" s="11">
        <f>IF(AND(ISNUMBER(N103),ISNUMBER(N$120)),N103-N$120,"")</f>
        <v/>
      </c>
      <c r="O170" s="11">
        <f>IF(AND(ISNUMBER(O103),ISNUMBER(O$120)),O103-O$120,"")</f>
        <v/>
      </c>
      <c r="P170" s="11">
        <f>IF(AND(ISNUMBER(P103),ISNUMBER(P$120)),P103-P$120,"")</f>
        <v/>
      </c>
      <c r="Q170" s="11">
        <f>IF(AND(ISNUMBER(Q103),ISNUMBER(Q$120)),Q103-Q$120,"")</f>
        <v/>
      </c>
      <c r="R170" s="11">
        <f>IF(AND(ISNUMBER(R103),ISNUMBER(R$120)),R103-R$120,"")</f>
        <v/>
      </c>
      <c r="S170" s="11">
        <f>IF(AND(ISNUMBER(S103),ISNUMBER(S$120)),S103-S$120,"")</f>
        <v/>
      </c>
      <c r="T170" s="11">
        <f>IF(AND(ISNUMBER(T103),ISNUMBER(T$120)),T103-T$120,"")</f>
        <v/>
      </c>
      <c r="U170" s="11">
        <f>IF(AND(ISNUMBER(U103),ISNUMBER(U$120)),U103-U$120,"")</f>
        <v/>
      </c>
    </row>
    <row r="171">
      <c r="A171" s="44">
        <f>$A58</f>
        <v/>
      </c>
      <c r="B171" s="11">
        <f>IF(AND(ISNUMBER(B104),ISNUMBER(B$120)),B104-B$120,"")</f>
        <v/>
      </c>
      <c r="C171" s="11">
        <f>IF(AND(ISNUMBER(C104),ISNUMBER(C$120)),C104-C$120,"")</f>
        <v/>
      </c>
      <c r="D171" s="11">
        <f>IF(AND(ISNUMBER(D104),ISNUMBER(D$120)),D104-D$120,"")</f>
        <v/>
      </c>
      <c r="E171" s="11">
        <f>IF(AND(ISNUMBER(E104),ISNUMBER(E$120)),E104-E$120,"")</f>
        <v/>
      </c>
      <c r="F171" s="11">
        <f>IF(AND(ISNUMBER(F104),ISNUMBER(F$120)),F104-F$120,"")</f>
        <v/>
      </c>
      <c r="G171" s="11">
        <f>IF(AND(ISNUMBER(G104),ISNUMBER(G$120)),G104-G$120,"")</f>
        <v/>
      </c>
      <c r="H171" s="11">
        <f>IF(AND(ISNUMBER(H104),ISNUMBER(H$120)),H104-H$120,"")</f>
        <v/>
      </c>
      <c r="I171" s="11">
        <f>IF(AND(ISNUMBER(I104),ISNUMBER(I$120)),I104-I$120,"")</f>
        <v/>
      </c>
      <c r="J171" s="11">
        <f>IF(AND(ISNUMBER(J104),ISNUMBER(J$120)),J104-J$120,"")</f>
        <v/>
      </c>
      <c r="K171" s="11">
        <f>IF(AND(ISNUMBER(K104),ISNUMBER(K$120)),K104-K$120,"")</f>
        <v/>
      </c>
      <c r="L171" s="11">
        <f>IF(AND(ISNUMBER(L104),ISNUMBER(L$120)),L104-L$120,"")</f>
        <v/>
      </c>
      <c r="M171" s="11">
        <f>IF(AND(ISNUMBER(M104),ISNUMBER(M$120)),M104-M$120,"")</f>
        <v/>
      </c>
      <c r="N171" s="11">
        <f>IF(AND(ISNUMBER(N104),ISNUMBER(N$120)),N104-N$120,"")</f>
        <v/>
      </c>
      <c r="O171" s="11">
        <f>IF(AND(ISNUMBER(O104),ISNUMBER(O$120)),O104-O$120,"")</f>
        <v/>
      </c>
      <c r="P171" s="11">
        <f>IF(AND(ISNUMBER(P104),ISNUMBER(P$120)),P104-P$120,"")</f>
        <v/>
      </c>
      <c r="Q171" s="11">
        <f>IF(AND(ISNUMBER(Q104),ISNUMBER(Q$120)),Q104-Q$120,"")</f>
        <v/>
      </c>
      <c r="R171" s="11">
        <f>IF(AND(ISNUMBER(R104),ISNUMBER(R$120)),R104-R$120,"")</f>
        <v/>
      </c>
      <c r="S171" s="11">
        <f>IF(AND(ISNUMBER(S104),ISNUMBER(S$120)),S104-S$120,"")</f>
        <v/>
      </c>
      <c r="T171" s="11">
        <f>IF(AND(ISNUMBER(T104),ISNUMBER(T$120)),T104-T$120,"")</f>
        <v/>
      </c>
      <c r="U171" s="11">
        <f>IF(AND(ISNUMBER(U104),ISNUMBER(U$120)),U104-U$120,"")</f>
        <v/>
      </c>
    </row>
    <row r="172">
      <c r="A172" s="44">
        <f>$A59</f>
        <v/>
      </c>
      <c r="B172" s="11">
        <f>IF(AND(ISNUMBER(B105),ISNUMBER(B$120)),B105-B$120,"")</f>
        <v/>
      </c>
      <c r="C172" s="11">
        <f>IF(AND(ISNUMBER(C105),ISNUMBER(C$120)),C105-C$120,"")</f>
        <v/>
      </c>
      <c r="D172" s="11">
        <f>IF(AND(ISNUMBER(D105),ISNUMBER(D$120)),D105-D$120,"")</f>
        <v/>
      </c>
      <c r="E172" s="11">
        <f>IF(AND(ISNUMBER(E105),ISNUMBER(E$120)),E105-E$120,"")</f>
        <v/>
      </c>
      <c r="F172" s="11">
        <f>IF(AND(ISNUMBER(F105),ISNUMBER(F$120)),F105-F$120,"")</f>
        <v/>
      </c>
      <c r="G172" s="11">
        <f>IF(AND(ISNUMBER(G105),ISNUMBER(G$120)),G105-G$120,"")</f>
        <v/>
      </c>
      <c r="H172" s="11">
        <f>IF(AND(ISNUMBER(H105),ISNUMBER(H$120)),H105-H$120,"")</f>
        <v/>
      </c>
      <c r="I172" s="11">
        <f>IF(AND(ISNUMBER(I105),ISNUMBER(I$120)),I105-I$120,"")</f>
        <v/>
      </c>
      <c r="J172" s="11">
        <f>IF(AND(ISNUMBER(J105),ISNUMBER(J$120)),J105-J$120,"")</f>
        <v/>
      </c>
      <c r="K172" s="11">
        <f>IF(AND(ISNUMBER(K105),ISNUMBER(K$120)),K105-K$120,"")</f>
        <v/>
      </c>
      <c r="L172" s="11">
        <f>IF(AND(ISNUMBER(L105),ISNUMBER(L$120)),L105-L$120,"")</f>
        <v/>
      </c>
      <c r="M172" s="11">
        <f>IF(AND(ISNUMBER(M105),ISNUMBER(M$120)),M105-M$120,"")</f>
        <v/>
      </c>
      <c r="N172" s="11">
        <f>IF(AND(ISNUMBER(N105),ISNUMBER(N$120)),N105-N$120,"")</f>
        <v/>
      </c>
      <c r="O172" s="11">
        <f>IF(AND(ISNUMBER(O105),ISNUMBER(O$120)),O105-O$120,"")</f>
        <v/>
      </c>
      <c r="P172" s="11">
        <f>IF(AND(ISNUMBER(P105),ISNUMBER(P$120)),P105-P$120,"")</f>
        <v/>
      </c>
      <c r="Q172" s="11">
        <f>IF(AND(ISNUMBER(Q105),ISNUMBER(Q$120)),Q105-Q$120,"")</f>
        <v/>
      </c>
      <c r="R172" s="11">
        <f>IF(AND(ISNUMBER(R105),ISNUMBER(R$120)),R105-R$120,"")</f>
        <v/>
      </c>
      <c r="S172" s="11">
        <f>IF(AND(ISNUMBER(S105),ISNUMBER(S$120)),S105-S$120,"")</f>
        <v/>
      </c>
      <c r="T172" s="11">
        <f>IF(AND(ISNUMBER(T105),ISNUMBER(T$120)),T105-T$120,"")</f>
        <v/>
      </c>
      <c r="U172" s="11">
        <f>IF(AND(ISNUMBER(U105),ISNUMBER(U$120)),U105-U$120,"")</f>
        <v/>
      </c>
    </row>
    <row r="173">
      <c r="A173" s="44">
        <f>$A60</f>
        <v/>
      </c>
      <c r="B173" s="11">
        <f>IF(AND(ISNUMBER(B106),ISNUMBER(B$120)),B106-B$120,"")</f>
        <v/>
      </c>
      <c r="C173" s="11">
        <f>IF(AND(ISNUMBER(C106),ISNUMBER(C$120)),C106-C$120,"")</f>
        <v/>
      </c>
      <c r="D173" s="11">
        <f>IF(AND(ISNUMBER(D106),ISNUMBER(D$120)),D106-D$120,"")</f>
        <v/>
      </c>
      <c r="E173" s="11">
        <f>IF(AND(ISNUMBER(E106),ISNUMBER(E$120)),E106-E$120,"")</f>
        <v/>
      </c>
      <c r="F173" s="11">
        <f>IF(AND(ISNUMBER(F106),ISNUMBER(F$120)),F106-F$120,"")</f>
        <v/>
      </c>
      <c r="G173" s="11">
        <f>IF(AND(ISNUMBER(G106),ISNUMBER(G$120)),G106-G$120,"")</f>
        <v/>
      </c>
      <c r="H173" s="11">
        <f>IF(AND(ISNUMBER(H106),ISNUMBER(H$120)),H106-H$120,"")</f>
        <v/>
      </c>
      <c r="I173" s="11">
        <f>IF(AND(ISNUMBER(I106),ISNUMBER(I$120)),I106-I$120,"")</f>
        <v/>
      </c>
      <c r="J173" s="11">
        <f>IF(AND(ISNUMBER(J106),ISNUMBER(J$120)),J106-J$120,"")</f>
        <v/>
      </c>
      <c r="K173" s="11">
        <f>IF(AND(ISNUMBER(K106),ISNUMBER(K$120)),K106-K$120,"")</f>
        <v/>
      </c>
      <c r="L173" s="11">
        <f>IF(AND(ISNUMBER(L106),ISNUMBER(L$120)),L106-L$120,"")</f>
        <v/>
      </c>
      <c r="M173" s="11">
        <f>IF(AND(ISNUMBER(M106),ISNUMBER(M$120)),M106-M$120,"")</f>
        <v/>
      </c>
      <c r="N173" s="11">
        <f>IF(AND(ISNUMBER(N106),ISNUMBER(N$120)),N106-N$120,"")</f>
        <v/>
      </c>
      <c r="O173" s="11">
        <f>IF(AND(ISNUMBER(O106),ISNUMBER(O$120)),O106-O$120,"")</f>
        <v/>
      </c>
      <c r="P173" s="11">
        <f>IF(AND(ISNUMBER(P106),ISNUMBER(P$120)),P106-P$120,"")</f>
        <v/>
      </c>
      <c r="Q173" s="11">
        <f>IF(AND(ISNUMBER(Q106),ISNUMBER(Q$120)),Q106-Q$120,"")</f>
        <v/>
      </c>
      <c r="R173" s="11">
        <f>IF(AND(ISNUMBER(R106),ISNUMBER(R$120)),R106-R$120,"")</f>
        <v/>
      </c>
      <c r="S173" s="11">
        <f>IF(AND(ISNUMBER(S106),ISNUMBER(S$120)),S106-S$120,"")</f>
        <v/>
      </c>
      <c r="T173" s="11">
        <f>IF(AND(ISNUMBER(T106),ISNUMBER(T$120)),T106-T$120,"")</f>
        <v/>
      </c>
      <c r="U173" s="11">
        <f>IF(AND(ISNUMBER(U106),ISNUMBER(U$120)),U106-U$120,"")</f>
        <v/>
      </c>
    </row>
    <row r="174">
      <c r="A174" s="44">
        <f>$A61</f>
        <v/>
      </c>
      <c r="B174" s="11">
        <f>IF(AND(ISNUMBER(B107),ISNUMBER(B$120)),B107-B$120,"")</f>
        <v/>
      </c>
      <c r="C174" s="11">
        <f>IF(AND(ISNUMBER(C107),ISNUMBER(C$120)),C107-C$120,"")</f>
        <v/>
      </c>
      <c r="D174" s="11">
        <f>IF(AND(ISNUMBER(D107),ISNUMBER(D$120)),D107-D$120,"")</f>
        <v/>
      </c>
      <c r="E174" s="11">
        <f>IF(AND(ISNUMBER(E107),ISNUMBER(E$120)),E107-E$120,"")</f>
        <v/>
      </c>
      <c r="F174" s="11">
        <f>IF(AND(ISNUMBER(F107),ISNUMBER(F$120)),F107-F$120,"")</f>
        <v/>
      </c>
      <c r="G174" s="11">
        <f>IF(AND(ISNUMBER(G107),ISNUMBER(G$120)),G107-G$120,"")</f>
        <v/>
      </c>
      <c r="H174" s="11">
        <f>IF(AND(ISNUMBER(H107),ISNUMBER(H$120)),H107-H$120,"")</f>
        <v/>
      </c>
      <c r="I174" s="11">
        <f>IF(AND(ISNUMBER(I107),ISNUMBER(I$120)),I107-I$120,"")</f>
        <v/>
      </c>
      <c r="J174" s="11">
        <f>IF(AND(ISNUMBER(J107),ISNUMBER(J$120)),J107-J$120,"")</f>
        <v/>
      </c>
      <c r="K174" s="11">
        <f>IF(AND(ISNUMBER(K107),ISNUMBER(K$120)),K107-K$120,"")</f>
        <v/>
      </c>
      <c r="L174" s="11">
        <f>IF(AND(ISNUMBER(L107),ISNUMBER(L$120)),L107-L$120,"")</f>
        <v/>
      </c>
      <c r="M174" s="11">
        <f>IF(AND(ISNUMBER(M107),ISNUMBER(M$120)),M107-M$120,"")</f>
        <v/>
      </c>
      <c r="N174" s="11">
        <f>IF(AND(ISNUMBER(N107),ISNUMBER(N$120)),N107-N$120,"")</f>
        <v/>
      </c>
      <c r="O174" s="11">
        <f>IF(AND(ISNUMBER(O107),ISNUMBER(O$120)),O107-O$120,"")</f>
        <v/>
      </c>
      <c r="P174" s="11">
        <f>IF(AND(ISNUMBER(P107),ISNUMBER(P$120)),P107-P$120,"")</f>
        <v/>
      </c>
      <c r="Q174" s="11">
        <f>IF(AND(ISNUMBER(Q107),ISNUMBER(Q$120)),Q107-Q$120,"")</f>
        <v/>
      </c>
      <c r="R174" s="11">
        <f>IF(AND(ISNUMBER(R107),ISNUMBER(R$120)),R107-R$120,"")</f>
        <v/>
      </c>
      <c r="S174" s="11">
        <f>IF(AND(ISNUMBER(S107),ISNUMBER(S$120)),S107-S$120,"")</f>
        <v/>
      </c>
      <c r="T174" s="11">
        <f>IF(AND(ISNUMBER(T107),ISNUMBER(T$120)),T107-T$120,"")</f>
        <v/>
      </c>
      <c r="U174" s="11">
        <f>IF(AND(ISNUMBER(U107),ISNUMBER(U$120)),U107-U$120,"")</f>
        <v/>
      </c>
    </row>
    <row r="175">
      <c r="A175" s="44">
        <f>$A62</f>
        <v/>
      </c>
      <c r="B175" s="11">
        <f>IF(AND(ISNUMBER(B108),ISNUMBER(B$120)),B108-B$120,"")</f>
        <v/>
      </c>
      <c r="C175" s="11">
        <f>IF(AND(ISNUMBER(C108),ISNUMBER(C$120)),C108-C$120,"")</f>
        <v/>
      </c>
      <c r="D175" s="11">
        <f>IF(AND(ISNUMBER(D108),ISNUMBER(D$120)),D108-D$120,"")</f>
        <v/>
      </c>
      <c r="E175" s="11">
        <f>IF(AND(ISNUMBER(E108),ISNUMBER(E$120)),E108-E$120,"")</f>
        <v/>
      </c>
      <c r="F175" s="11">
        <f>IF(AND(ISNUMBER(F108),ISNUMBER(F$120)),F108-F$120,"")</f>
        <v/>
      </c>
      <c r="G175" s="11">
        <f>IF(AND(ISNUMBER(G108),ISNUMBER(G$120)),G108-G$120,"")</f>
        <v/>
      </c>
      <c r="H175" s="11">
        <f>IF(AND(ISNUMBER(H108),ISNUMBER(H$120)),H108-H$120,"")</f>
        <v/>
      </c>
      <c r="I175" s="11">
        <f>IF(AND(ISNUMBER(I108),ISNUMBER(I$120)),I108-I$120,"")</f>
        <v/>
      </c>
      <c r="J175" s="11">
        <f>IF(AND(ISNUMBER(J108),ISNUMBER(J$120)),J108-J$120,"")</f>
        <v/>
      </c>
      <c r="K175" s="11">
        <f>IF(AND(ISNUMBER(K108),ISNUMBER(K$120)),K108-K$120,"")</f>
        <v/>
      </c>
      <c r="L175" s="11">
        <f>IF(AND(ISNUMBER(L108),ISNUMBER(L$120)),L108-L$120,"")</f>
        <v/>
      </c>
      <c r="M175" s="11">
        <f>IF(AND(ISNUMBER(M108),ISNUMBER(M$120)),M108-M$120,"")</f>
        <v/>
      </c>
      <c r="N175" s="11">
        <f>IF(AND(ISNUMBER(N108),ISNUMBER(N$120)),N108-N$120,"")</f>
        <v/>
      </c>
      <c r="O175" s="11">
        <f>IF(AND(ISNUMBER(O108),ISNUMBER(O$120)),O108-O$120,"")</f>
        <v/>
      </c>
      <c r="P175" s="11">
        <f>IF(AND(ISNUMBER(P108),ISNUMBER(P$120)),P108-P$120,"")</f>
        <v/>
      </c>
      <c r="Q175" s="11">
        <f>IF(AND(ISNUMBER(Q108),ISNUMBER(Q$120)),Q108-Q$120,"")</f>
        <v/>
      </c>
      <c r="R175" s="11">
        <f>IF(AND(ISNUMBER(R108),ISNUMBER(R$120)),R108-R$120,"")</f>
        <v/>
      </c>
      <c r="S175" s="11">
        <f>IF(AND(ISNUMBER(S108),ISNUMBER(S$120)),S108-S$120,"")</f>
        <v/>
      </c>
      <c r="T175" s="11">
        <f>IF(AND(ISNUMBER(T108),ISNUMBER(T$120)),T108-T$120,"")</f>
        <v/>
      </c>
      <c r="U175" s="11">
        <f>IF(AND(ISNUMBER(U108),ISNUMBER(U$120)),U108-U$120,"")</f>
        <v/>
      </c>
    </row>
    <row r="176">
      <c r="A176" s="44">
        <f>$A63</f>
        <v/>
      </c>
      <c r="B176" s="11">
        <f>IF(AND(ISNUMBER(B109),ISNUMBER(B$120)),B109-B$120,"")</f>
        <v/>
      </c>
      <c r="C176" s="11">
        <f>IF(AND(ISNUMBER(C109),ISNUMBER(C$120)),C109-C$120,"")</f>
        <v/>
      </c>
      <c r="D176" s="11">
        <f>IF(AND(ISNUMBER(D109),ISNUMBER(D$120)),D109-D$120,"")</f>
        <v/>
      </c>
      <c r="E176" s="11">
        <f>IF(AND(ISNUMBER(E109),ISNUMBER(E$120)),E109-E$120,"")</f>
        <v/>
      </c>
      <c r="F176" s="11">
        <f>IF(AND(ISNUMBER(F109),ISNUMBER(F$120)),F109-F$120,"")</f>
        <v/>
      </c>
      <c r="G176" s="11">
        <f>IF(AND(ISNUMBER(G109),ISNUMBER(G$120)),G109-G$120,"")</f>
        <v/>
      </c>
      <c r="H176" s="11">
        <f>IF(AND(ISNUMBER(H109),ISNUMBER(H$120)),H109-H$120,"")</f>
        <v/>
      </c>
      <c r="I176" s="11">
        <f>IF(AND(ISNUMBER(I109),ISNUMBER(I$120)),I109-I$120,"")</f>
        <v/>
      </c>
      <c r="J176" s="11">
        <f>IF(AND(ISNUMBER(J109),ISNUMBER(J$120)),J109-J$120,"")</f>
        <v/>
      </c>
      <c r="K176" s="11">
        <f>IF(AND(ISNUMBER(K109),ISNUMBER(K$120)),K109-K$120,"")</f>
        <v/>
      </c>
      <c r="L176" s="11">
        <f>IF(AND(ISNUMBER(L109),ISNUMBER(L$120)),L109-L$120,"")</f>
        <v/>
      </c>
      <c r="M176" s="11">
        <f>IF(AND(ISNUMBER(M109),ISNUMBER(M$120)),M109-M$120,"")</f>
        <v/>
      </c>
      <c r="N176" s="11">
        <f>IF(AND(ISNUMBER(N109),ISNUMBER(N$120)),N109-N$120,"")</f>
        <v/>
      </c>
      <c r="O176" s="11">
        <f>IF(AND(ISNUMBER(O109),ISNUMBER(O$120)),O109-O$120,"")</f>
        <v/>
      </c>
      <c r="P176" s="11">
        <f>IF(AND(ISNUMBER(P109),ISNUMBER(P$120)),P109-P$120,"")</f>
        <v/>
      </c>
      <c r="Q176" s="11">
        <f>IF(AND(ISNUMBER(Q109),ISNUMBER(Q$120)),Q109-Q$120,"")</f>
        <v/>
      </c>
      <c r="R176" s="11">
        <f>IF(AND(ISNUMBER(R109),ISNUMBER(R$120)),R109-R$120,"")</f>
        <v/>
      </c>
      <c r="S176" s="11">
        <f>IF(AND(ISNUMBER(S109),ISNUMBER(S$120)),S109-S$120,"")</f>
        <v/>
      </c>
      <c r="T176" s="11">
        <f>IF(AND(ISNUMBER(T109),ISNUMBER(T$120)),T109-T$120,"")</f>
        <v/>
      </c>
      <c r="U176" s="11">
        <f>IF(AND(ISNUMBER(U109),ISNUMBER(U$120)),U109-U$120,"")</f>
        <v/>
      </c>
    </row>
    <row r="177">
      <c r="A177" s="44">
        <f>$A64</f>
        <v/>
      </c>
      <c r="B177" s="11">
        <f>IF(AND(ISNUMBER(B110),ISNUMBER(B$120)),B110-B$120,"")</f>
        <v/>
      </c>
      <c r="C177" s="11">
        <f>IF(AND(ISNUMBER(C110),ISNUMBER(C$120)),C110-C$120,"")</f>
        <v/>
      </c>
      <c r="D177" s="11">
        <f>IF(AND(ISNUMBER(D110),ISNUMBER(D$120)),D110-D$120,"")</f>
        <v/>
      </c>
      <c r="E177" s="11">
        <f>IF(AND(ISNUMBER(E110),ISNUMBER(E$120)),E110-E$120,"")</f>
        <v/>
      </c>
      <c r="F177" s="11">
        <f>IF(AND(ISNUMBER(F110),ISNUMBER(F$120)),F110-F$120,"")</f>
        <v/>
      </c>
      <c r="G177" s="11">
        <f>IF(AND(ISNUMBER(G110),ISNUMBER(G$120)),G110-G$120,"")</f>
        <v/>
      </c>
      <c r="H177" s="11">
        <f>IF(AND(ISNUMBER(H110),ISNUMBER(H$120)),H110-H$120,"")</f>
        <v/>
      </c>
      <c r="I177" s="11">
        <f>IF(AND(ISNUMBER(I110),ISNUMBER(I$120)),I110-I$120,"")</f>
        <v/>
      </c>
      <c r="J177" s="11">
        <f>IF(AND(ISNUMBER(J110),ISNUMBER(J$120)),J110-J$120,"")</f>
        <v/>
      </c>
      <c r="K177" s="11">
        <f>IF(AND(ISNUMBER(K110),ISNUMBER(K$120)),K110-K$120,"")</f>
        <v/>
      </c>
      <c r="L177" s="11">
        <f>IF(AND(ISNUMBER(L110),ISNUMBER(L$120)),L110-L$120,"")</f>
        <v/>
      </c>
      <c r="M177" s="11">
        <f>IF(AND(ISNUMBER(M110),ISNUMBER(M$120)),M110-M$120,"")</f>
        <v/>
      </c>
      <c r="N177" s="11">
        <f>IF(AND(ISNUMBER(N110),ISNUMBER(N$120)),N110-N$120,"")</f>
        <v/>
      </c>
      <c r="O177" s="11">
        <f>IF(AND(ISNUMBER(O110),ISNUMBER(O$120)),O110-O$120,"")</f>
        <v/>
      </c>
      <c r="P177" s="11">
        <f>IF(AND(ISNUMBER(P110),ISNUMBER(P$120)),P110-P$120,"")</f>
        <v/>
      </c>
      <c r="Q177" s="11">
        <f>IF(AND(ISNUMBER(Q110),ISNUMBER(Q$120)),Q110-Q$120,"")</f>
        <v/>
      </c>
      <c r="R177" s="11">
        <f>IF(AND(ISNUMBER(R110),ISNUMBER(R$120)),R110-R$120,"")</f>
        <v/>
      </c>
      <c r="S177" s="11">
        <f>IF(AND(ISNUMBER(S110),ISNUMBER(S$120)),S110-S$120,"")</f>
        <v/>
      </c>
      <c r="T177" s="11">
        <f>IF(AND(ISNUMBER(T110),ISNUMBER(T$120)),T110-T$120,"")</f>
        <v/>
      </c>
      <c r="U177" s="11">
        <f>IF(AND(ISNUMBER(U110),ISNUMBER(U$120)),U110-U$120,"")</f>
        <v/>
      </c>
    </row>
    <row r="178">
      <c r="A178" s="44">
        <f>$A65</f>
        <v/>
      </c>
      <c r="B178" s="11">
        <f>IF(AND(ISNUMBER(B111),ISNUMBER(B$120)),B111-B$120,"")</f>
        <v/>
      </c>
      <c r="C178" s="11">
        <f>IF(AND(ISNUMBER(C111),ISNUMBER(C$120)),C111-C$120,"")</f>
        <v/>
      </c>
      <c r="D178" s="11">
        <f>IF(AND(ISNUMBER(D111),ISNUMBER(D$120)),D111-D$120,"")</f>
        <v/>
      </c>
      <c r="E178" s="11">
        <f>IF(AND(ISNUMBER(E111),ISNUMBER(E$120)),E111-E$120,"")</f>
        <v/>
      </c>
      <c r="F178" s="11">
        <f>IF(AND(ISNUMBER(F111),ISNUMBER(F$120)),F111-F$120,"")</f>
        <v/>
      </c>
      <c r="G178" s="11">
        <f>IF(AND(ISNUMBER(G111),ISNUMBER(G$120)),G111-G$120,"")</f>
        <v/>
      </c>
      <c r="H178" s="11">
        <f>IF(AND(ISNUMBER(H111),ISNUMBER(H$120)),H111-H$120,"")</f>
        <v/>
      </c>
      <c r="I178" s="11">
        <f>IF(AND(ISNUMBER(I111),ISNUMBER(I$120)),I111-I$120,"")</f>
        <v/>
      </c>
      <c r="J178" s="11">
        <f>IF(AND(ISNUMBER(J111),ISNUMBER(J$120)),J111-J$120,"")</f>
        <v/>
      </c>
      <c r="K178" s="11">
        <f>IF(AND(ISNUMBER(K111),ISNUMBER(K$120)),K111-K$120,"")</f>
        <v/>
      </c>
      <c r="L178" s="11">
        <f>IF(AND(ISNUMBER(L111),ISNUMBER(L$120)),L111-L$120,"")</f>
        <v/>
      </c>
      <c r="M178" s="11">
        <f>IF(AND(ISNUMBER(M111),ISNUMBER(M$120)),M111-M$120,"")</f>
        <v/>
      </c>
      <c r="N178" s="11">
        <f>IF(AND(ISNUMBER(N111),ISNUMBER(N$120)),N111-N$120,"")</f>
        <v/>
      </c>
      <c r="O178" s="11">
        <f>IF(AND(ISNUMBER(O111),ISNUMBER(O$120)),O111-O$120,"")</f>
        <v/>
      </c>
      <c r="P178" s="11">
        <f>IF(AND(ISNUMBER(P111),ISNUMBER(P$120)),P111-P$120,"")</f>
        <v/>
      </c>
      <c r="Q178" s="11">
        <f>IF(AND(ISNUMBER(Q111),ISNUMBER(Q$120)),Q111-Q$120,"")</f>
        <v/>
      </c>
      <c r="R178" s="11">
        <f>IF(AND(ISNUMBER(R111),ISNUMBER(R$120)),R111-R$120,"")</f>
        <v/>
      </c>
      <c r="S178" s="11">
        <f>IF(AND(ISNUMBER(S111),ISNUMBER(S$120)),S111-S$120,"")</f>
        <v/>
      </c>
      <c r="T178" s="11">
        <f>IF(AND(ISNUMBER(T111),ISNUMBER(T$120)),T111-T$120,"")</f>
        <v/>
      </c>
      <c r="U178" s="11">
        <f>IF(AND(ISNUMBER(U111),ISNUMBER(U$120)),U111-U$120,"")</f>
        <v/>
      </c>
    </row>
    <row r="179">
      <c r="A179" s="44">
        <f>$A66</f>
        <v/>
      </c>
      <c r="B179" s="11">
        <f>IF(AND(ISNUMBER(B112),ISNUMBER(B$120)),B112-B$120,"")</f>
        <v/>
      </c>
      <c r="C179" s="11">
        <f>IF(AND(ISNUMBER(C112),ISNUMBER(C$120)),C112-C$120,"")</f>
        <v/>
      </c>
      <c r="D179" s="11">
        <f>IF(AND(ISNUMBER(D112),ISNUMBER(D$120)),D112-D$120,"")</f>
        <v/>
      </c>
      <c r="E179" s="11">
        <f>IF(AND(ISNUMBER(E112),ISNUMBER(E$120)),E112-E$120,"")</f>
        <v/>
      </c>
      <c r="F179" s="11">
        <f>IF(AND(ISNUMBER(F112),ISNUMBER(F$120)),F112-F$120,"")</f>
        <v/>
      </c>
      <c r="G179" s="11">
        <f>IF(AND(ISNUMBER(G112),ISNUMBER(G$120)),G112-G$120,"")</f>
        <v/>
      </c>
      <c r="H179" s="11">
        <f>IF(AND(ISNUMBER(H112),ISNUMBER(H$120)),H112-H$120,"")</f>
        <v/>
      </c>
      <c r="I179" s="11">
        <f>IF(AND(ISNUMBER(I112),ISNUMBER(I$120)),I112-I$120,"")</f>
        <v/>
      </c>
      <c r="J179" s="11">
        <f>IF(AND(ISNUMBER(J112),ISNUMBER(J$120)),J112-J$120,"")</f>
        <v/>
      </c>
      <c r="K179" s="11">
        <f>IF(AND(ISNUMBER(K112),ISNUMBER(K$120)),K112-K$120,"")</f>
        <v/>
      </c>
      <c r="L179" s="11">
        <f>IF(AND(ISNUMBER(L112),ISNUMBER(L$120)),L112-L$120,"")</f>
        <v/>
      </c>
      <c r="M179" s="11">
        <f>IF(AND(ISNUMBER(M112),ISNUMBER(M$120)),M112-M$120,"")</f>
        <v/>
      </c>
      <c r="N179" s="11">
        <f>IF(AND(ISNUMBER(N112),ISNUMBER(N$120)),N112-N$120,"")</f>
        <v/>
      </c>
      <c r="O179" s="11">
        <f>IF(AND(ISNUMBER(O112),ISNUMBER(O$120)),O112-O$120,"")</f>
        <v/>
      </c>
      <c r="P179" s="11">
        <f>IF(AND(ISNUMBER(P112),ISNUMBER(P$120)),P112-P$120,"")</f>
        <v/>
      </c>
      <c r="Q179" s="11">
        <f>IF(AND(ISNUMBER(Q112),ISNUMBER(Q$120)),Q112-Q$120,"")</f>
        <v/>
      </c>
      <c r="R179" s="11">
        <f>IF(AND(ISNUMBER(R112),ISNUMBER(R$120)),R112-R$120,"")</f>
        <v/>
      </c>
      <c r="S179" s="11">
        <f>IF(AND(ISNUMBER(S112),ISNUMBER(S$120)),S112-S$120,"")</f>
        <v/>
      </c>
      <c r="T179" s="11">
        <f>IF(AND(ISNUMBER(T112),ISNUMBER(T$120)),T112-T$120,"")</f>
        <v/>
      </c>
      <c r="U179" s="11">
        <f>IF(AND(ISNUMBER(U112),ISNUMBER(U$120)),U112-U$120,"")</f>
        <v/>
      </c>
    </row>
    <row r="180">
      <c r="A180" s="44">
        <f>$A67</f>
        <v/>
      </c>
      <c r="B180" s="11">
        <f>IF(AND(ISNUMBER(B113),ISNUMBER(B$120)),B113-B$120,"")</f>
        <v/>
      </c>
      <c r="C180" s="11">
        <f>IF(AND(ISNUMBER(C113),ISNUMBER(C$120)),C113-C$120,"")</f>
        <v/>
      </c>
      <c r="D180" s="11">
        <f>IF(AND(ISNUMBER(D113),ISNUMBER(D$120)),D113-D$120,"")</f>
        <v/>
      </c>
      <c r="E180" s="11">
        <f>IF(AND(ISNUMBER(E113),ISNUMBER(E$120)),E113-E$120,"")</f>
        <v/>
      </c>
      <c r="F180" s="11">
        <f>IF(AND(ISNUMBER(F113),ISNUMBER(F$120)),F113-F$120,"")</f>
        <v/>
      </c>
      <c r="G180" s="11">
        <f>IF(AND(ISNUMBER(G113),ISNUMBER(G$120)),G113-G$120,"")</f>
        <v/>
      </c>
      <c r="H180" s="11">
        <f>IF(AND(ISNUMBER(H113),ISNUMBER(H$120)),H113-H$120,"")</f>
        <v/>
      </c>
      <c r="I180" s="11">
        <f>IF(AND(ISNUMBER(I113),ISNUMBER(I$120)),I113-I$120,"")</f>
        <v/>
      </c>
      <c r="J180" s="11">
        <f>IF(AND(ISNUMBER(J113),ISNUMBER(J$120)),J113-J$120,"")</f>
        <v/>
      </c>
      <c r="K180" s="11">
        <f>IF(AND(ISNUMBER(K113),ISNUMBER(K$120)),K113-K$120,"")</f>
        <v/>
      </c>
      <c r="L180" s="11">
        <f>IF(AND(ISNUMBER(L113),ISNUMBER(L$120)),L113-L$120,"")</f>
        <v/>
      </c>
      <c r="M180" s="11">
        <f>IF(AND(ISNUMBER(M113),ISNUMBER(M$120)),M113-M$120,"")</f>
        <v/>
      </c>
      <c r="N180" s="11">
        <f>IF(AND(ISNUMBER(N113),ISNUMBER(N$120)),N113-N$120,"")</f>
        <v/>
      </c>
      <c r="O180" s="11">
        <f>IF(AND(ISNUMBER(O113),ISNUMBER(O$120)),O113-O$120,"")</f>
        <v/>
      </c>
      <c r="P180" s="11">
        <f>IF(AND(ISNUMBER(P113),ISNUMBER(P$120)),P113-P$120,"")</f>
        <v/>
      </c>
      <c r="Q180" s="11">
        <f>IF(AND(ISNUMBER(Q113),ISNUMBER(Q$120)),Q113-Q$120,"")</f>
        <v/>
      </c>
      <c r="R180" s="11">
        <f>IF(AND(ISNUMBER(R113),ISNUMBER(R$120)),R113-R$120,"")</f>
        <v/>
      </c>
      <c r="S180" s="11">
        <f>IF(AND(ISNUMBER(S113),ISNUMBER(S$120)),S113-S$120,"")</f>
        <v/>
      </c>
      <c r="T180" s="11">
        <f>IF(AND(ISNUMBER(T113),ISNUMBER(T$120)),T113-T$120,"")</f>
        <v/>
      </c>
      <c r="U180" s="11">
        <f>IF(AND(ISNUMBER(U113),ISNUMBER(U$120)),U113-U$120,"")</f>
        <v/>
      </c>
    </row>
    <row r="181">
      <c r="A181" s="44">
        <f>$A68</f>
        <v/>
      </c>
      <c r="B181" s="11">
        <f>IF(AND(ISNUMBER(B114),ISNUMBER(B$120)),B114-B$120,"")</f>
        <v/>
      </c>
      <c r="C181" s="11">
        <f>IF(AND(ISNUMBER(C114),ISNUMBER(C$120)),C114-C$120,"")</f>
        <v/>
      </c>
      <c r="D181" s="11">
        <f>IF(AND(ISNUMBER(D114),ISNUMBER(D$120)),D114-D$120,"")</f>
        <v/>
      </c>
      <c r="E181" s="11">
        <f>IF(AND(ISNUMBER(E114),ISNUMBER(E$120)),E114-E$120,"")</f>
        <v/>
      </c>
      <c r="F181" s="11">
        <f>IF(AND(ISNUMBER(F114),ISNUMBER(F$120)),F114-F$120,"")</f>
        <v/>
      </c>
      <c r="G181" s="11">
        <f>IF(AND(ISNUMBER(G114),ISNUMBER(G$120)),G114-G$120,"")</f>
        <v/>
      </c>
      <c r="H181" s="11">
        <f>IF(AND(ISNUMBER(H114),ISNUMBER(H$120)),H114-H$120,"")</f>
        <v/>
      </c>
      <c r="I181" s="11">
        <f>IF(AND(ISNUMBER(I114),ISNUMBER(I$120)),I114-I$120,"")</f>
        <v/>
      </c>
      <c r="J181" s="11">
        <f>IF(AND(ISNUMBER(J114),ISNUMBER(J$120)),J114-J$120,"")</f>
        <v/>
      </c>
      <c r="K181" s="11">
        <f>IF(AND(ISNUMBER(K114),ISNUMBER(K$120)),K114-K$120,"")</f>
        <v/>
      </c>
      <c r="L181" s="11">
        <f>IF(AND(ISNUMBER(L114),ISNUMBER(L$120)),L114-L$120,"")</f>
        <v/>
      </c>
      <c r="M181" s="11">
        <f>IF(AND(ISNUMBER(M114),ISNUMBER(M$120)),M114-M$120,"")</f>
        <v/>
      </c>
      <c r="N181" s="11">
        <f>IF(AND(ISNUMBER(N114),ISNUMBER(N$120)),N114-N$120,"")</f>
        <v/>
      </c>
      <c r="O181" s="11">
        <f>IF(AND(ISNUMBER(O114),ISNUMBER(O$120)),O114-O$120,"")</f>
        <v/>
      </c>
      <c r="P181" s="11">
        <f>IF(AND(ISNUMBER(P114),ISNUMBER(P$120)),P114-P$120,"")</f>
        <v/>
      </c>
      <c r="Q181" s="11">
        <f>IF(AND(ISNUMBER(Q114),ISNUMBER(Q$120)),Q114-Q$120,"")</f>
        <v/>
      </c>
      <c r="R181" s="11">
        <f>IF(AND(ISNUMBER(R114),ISNUMBER(R$120)),R114-R$120,"")</f>
        <v/>
      </c>
      <c r="S181" s="11">
        <f>IF(AND(ISNUMBER(S114),ISNUMBER(S$120)),S114-S$120,"")</f>
        <v/>
      </c>
      <c r="T181" s="11">
        <f>IF(AND(ISNUMBER(T114),ISNUMBER(T$120)),T114-T$120,"")</f>
        <v/>
      </c>
      <c r="U181" s="11">
        <f>IF(AND(ISNUMBER(U114),ISNUMBER(U$120)),U114-U$120,"")</f>
        <v/>
      </c>
    </row>
    <row r="182">
      <c r="A182" s="44">
        <f>$A69</f>
        <v/>
      </c>
      <c r="B182" s="11">
        <f>IF(AND(ISNUMBER(B115),ISNUMBER(B$120)),B115-B$120,"")</f>
        <v/>
      </c>
      <c r="C182" s="11">
        <f>IF(AND(ISNUMBER(C115),ISNUMBER(C$120)),C115-C$120,"")</f>
        <v/>
      </c>
      <c r="D182" s="11">
        <f>IF(AND(ISNUMBER(D115),ISNUMBER(D$120)),D115-D$120,"")</f>
        <v/>
      </c>
      <c r="E182" s="11">
        <f>IF(AND(ISNUMBER(E115),ISNUMBER(E$120)),E115-E$120,"")</f>
        <v/>
      </c>
      <c r="F182" s="11">
        <f>IF(AND(ISNUMBER(F115),ISNUMBER(F$120)),F115-F$120,"")</f>
        <v/>
      </c>
      <c r="G182" s="11">
        <f>IF(AND(ISNUMBER(G115),ISNUMBER(G$120)),G115-G$120,"")</f>
        <v/>
      </c>
      <c r="H182" s="11">
        <f>IF(AND(ISNUMBER(H115),ISNUMBER(H$120)),H115-H$120,"")</f>
        <v/>
      </c>
      <c r="I182" s="11">
        <f>IF(AND(ISNUMBER(I115),ISNUMBER(I$120)),I115-I$120,"")</f>
        <v/>
      </c>
      <c r="J182" s="11">
        <f>IF(AND(ISNUMBER(J115),ISNUMBER(J$120)),J115-J$120,"")</f>
        <v/>
      </c>
      <c r="K182" s="11">
        <f>IF(AND(ISNUMBER(K115),ISNUMBER(K$120)),K115-K$120,"")</f>
        <v/>
      </c>
      <c r="L182" s="11">
        <f>IF(AND(ISNUMBER(L115),ISNUMBER(L$120)),L115-L$120,"")</f>
        <v/>
      </c>
      <c r="M182" s="11">
        <f>IF(AND(ISNUMBER(M115),ISNUMBER(M$120)),M115-M$120,"")</f>
        <v/>
      </c>
      <c r="N182" s="11">
        <f>IF(AND(ISNUMBER(N115),ISNUMBER(N$120)),N115-N$120,"")</f>
        <v/>
      </c>
      <c r="O182" s="11">
        <f>IF(AND(ISNUMBER(O115),ISNUMBER(O$120)),O115-O$120,"")</f>
        <v/>
      </c>
      <c r="P182" s="11">
        <f>IF(AND(ISNUMBER(P115),ISNUMBER(P$120)),P115-P$120,"")</f>
        <v/>
      </c>
      <c r="Q182" s="11">
        <f>IF(AND(ISNUMBER(Q115),ISNUMBER(Q$120)),Q115-Q$120,"")</f>
        <v/>
      </c>
      <c r="R182" s="11">
        <f>IF(AND(ISNUMBER(R115),ISNUMBER(R$120)),R115-R$120,"")</f>
        <v/>
      </c>
      <c r="S182" s="11">
        <f>IF(AND(ISNUMBER(S115),ISNUMBER(S$120)),S115-S$120,"")</f>
        <v/>
      </c>
      <c r="T182" s="11">
        <f>IF(AND(ISNUMBER(T115),ISNUMBER(T$120)),T115-T$120,"")</f>
        <v/>
      </c>
      <c r="U182" s="11">
        <f>IF(AND(ISNUMBER(U115),ISNUMBER(U$120)),U115-U$120,"")</f>
        <v/>
      </c>
    </row>
    <row r="183">
      <c r="A183" s="44">
        <f>$A70</f>
        <v/>
      </c>
      <c r="B183" s="11">
        <f>IF(AND(ISNUMBER(B116),ISNUMBER(B$120)),B116-B$120,"")</f>
        <v/>
      </c>
      <c r="C183" s="11">
        <f>IF(AND(ISNUMBER(C116),ISNUMBER(C$120)),C116-C$120,"")</f>
        <v/>
      </c>
      <c r="D183" s="11">
        <f>IF(AND(ISNUMBER(D116),ISNUMBER(D$120)),D116-D$120,"")</f>
        <v/>
      </c>
      <c r="E183" s="11">
        <f>IF(AND(ISNUMBER(E116),ISNUMBER(E$120)),E116-E$120,"")</f>
        <v/>
      </c>
      <c r="F183" s="11">
        <f>IF(AND(ISNUMBER(F116),ISNUMBER(F$120)),F116-F$120,"")</f>
        <v/>
      </c>
      <c r="G183" s="11">
        <f>IF(AND(ISNUMBER(G116),ISNUMBER(G$120)),G116-G$120,"")</f>
        <v/>
      </c>
      <c r="H183" s="11">
        <f>IF(AND(ISNUMBER(H116),ISNUMBER(H$120)),H116-H$120,"")</f>
        <v/>
      </c>
      <c r="I183" s="11">
        <f>IF(AND(ISNUMBER(I116),ISNUMBER(I$120)),I116-I$120,"")</f>
        <v/>
      </c>
      <c r="J183" s="11">
        <f>IF(AND(ISNUMBER(J116),ISNUMBER(J$120)),J116-J$120,"")</f>
        <v/>
      </c>
      <c r="K183" s="11">
        <f>IF(AND(ISNUMBER(K116),ISNUMBER(K$120)),K116-K$120,"")</f>
        <v/>
      </c>
      <c r="L183" s="11">
        <f>IF(AND(ISNUMBER(L116),ISNUMBER(L$120)),L116-L$120,"")</f>
        <v/>
      </c>
      <c r="M183" s="11">
        <f>IF(AND(ISNUMBER(M116),ISNUMBER(M$120)),M116-M$120,"")</f>
        <v/>
      </c>
      <c r="N183" s="11">
        <f>IF(AND(ISNUMBER(N116),ISNUMBER(N$120)),N116-N$120,"")</f>
        <v/>
      </c>
      <c r="O183" s="11">
        <f>IF(AND(ISNUMBER(O116),ISNUMBER(O$120)),O116-O$120,"")</f>
        <v/>
      </c>
      <c r="P183" s="11">
        <f>IF(AND(ISNUMBER(P116),ISNUMBER(P$120)),P116-P$120,"")</f>
        <v/>
      </c>
      <c r="Q183" s="11">
        <f>IF(AND(ISNUMBER(Q116),ISNUMBER(Q$120)),Q116-Q$120,"")</f>
        <v/>
      </c>
      <c r="R183" s="11">
        <f>IF(AND(ISNUMBER(R116),ISNUMBER(R$120)),R116-R$120,"")</f>
        <v/>
      </c>
      <c r="S183" s="11">
        <f>IF(AND(ISNUMBER(S116),ISNUMBER(S$120)),S116-S$120,"")</f>
        <v/>
      </c>
      <c r="T183" s="11">
        <f>IF(AND(ISNUMBER(T116),ISNUMBER(T$120)),T116-T$120,"")</f>
        <v/>
      </c>
      <c r="U183" s="11">
        <f>IF(AND(ISNUMBER(U116),ISNUMBER(U$120)),U116-U$120,"")</f>
        <v/>
      </c>
    </row>
    <row r="184">
      <c r="A184" s="44">
        <f>$A71</f>
        <v/>
      </c>
      <c r="B184" s="11">
        <f>IF(AND(ISNUMBER(B117),ISNUMBER(B$120)),B117-B$120,"")</f>
        <v/>
      </c>
      <c r="C184" s="11">
        <f>IF(AND(ISNUMBER(C117),ISNUMBER(C$120)),C117-C$120,"")</f>
        <v/>
      </c>
      <c r="D184" s="11">
        <f>IF(AND(ISNUMBER(D117),ISNUMBER(D$120)),D117-D$120,"")</f>
        <v/>
      </c>
      <c r="E184" s="11">
        <f>IF(AND(ISNUMBER(E117),ISNUMBER(E$120)),E117-E$120,"")</f>
        <v/>
      </c>
      <c r="F184" s="11">
        <f>IF(AND(ISNUMBER(F117),ISNUMBER(F$120)),F117-F$120,"")</f>
        <v/>
      </c>
      <c r="G184" s="11">
        <f>IF(AND(ISNUMBER(G117),ISNUMBER(G$120)),G117-G$120,"")</f>
        <v/>
      </c>
      <c r="H184" s="11">
        <f>IF(AND(ISNUMBER(H117),ISNUMBER(H$120)),H117-H$120,"")</f>
        <v/>
      </c>
      <c r="I184" s="11">
        <f>IF(AND(ISNUMBER(I117),ISNUMBER(I$120)),I117-I$120,"")</f>
        <v/>
      </c>
      <c r="J184" s="11">
        <f>IF(AND(ISNUMBER(J117),ISNUMBER(J$120)),J117-J$120,"")</f>
        <v/>
      </c>
      <c r="K184" s="11">
        <f>IF(AND(ISNUMBER(K117),ISNUMBER(K$120)),K117-K$120,"")</f>
        <v/>
      </c>
      <c r="L184" s="11">
        <f>IF(AND(ISNUMBER(L117),ISNUMBER(L$120)),L117-L$120,"")</f>
        <v/>
      </c>
      <c r="M184" s="11">
        <f>IF(AND(ISNUMBER(M117),ISNUMBER(M$120)),M117-M$120,"")</f>
        <v/>
      </c>
      <c r="N184" s="11">
        <f>IF(AND(ISNUMBER(N117),ISNUMBER(N$120)),N117-N$120,"")</f>
        <v/>
      </c>
      <c r="O184" s="11">
        <f>IF(AND(ISNUMBER(O117),ISNUMBER(O$120)),O117-O$120,"")</f>
        <v/>
      </c>
      <c r="P184" s="11">
        <f>IF(AND(ISNUMBER(P117),ISNUMBER(P$120)),P117-P$120,"")</f>
        <v/>
      </c>
      <c r="Q184" s="11">
        <f>IF(AND(ISNUMBER(Q117),ISNUMBER(Q$120)),Q117-Q$120,"")</f>
        <v/>
      </c>
      <c r="R184" s="11">
        <f>IF(AND(ISNUMBER(R117),ISNUMBER(R$120)),R117-R$120,"")</f>
        <v/>
      </c>
      <c r="S184" s="11">
        <f>IF(AND(ISNUMBER(S117),ISNUMBER(S$120)),S117-S$120,"")</f>
        <v/>
      </c>
      <c r="T184" s="11">
        <f>IF(AND(ISNUMBER(T117),ISNUMBER(T$120)),T117-T$120,"")</f>
        <v/>
      </c>
      <c r="U184" s="11">
        <f>IF(AND(ISNUMBER(U117),ISNUMBER(U$120)),U117-U$120,"")</f>
        <v/>
      </c>
    </row>
    <row r="185">
      <c r="A185" s="44">
        <f>$A72</f>
        <v/>
      </c>
      <c r="B185" s="11">
        <f>IF(AND(ISNUMBER(B118),ISNUMBER(B$120)),B118-B$120,"")</f>
        <v/>
      </c>
      <c r="C185" s="11">
        <f>IF(AND(ISNUMBER(C118),ISNUMBER(C$120)),C118-C$120,"")</f>
        <v/>
      </c>
      <c r="D185" s="11">
        <f>IF(AND(ISNUMBER(D118),ISNUMBER(D$120)),D118-D$120,"")</f>
        <v/>
      </c>
      <c r="E185" s="11">
        <f>IF(AND(ISNUMBER(E118),ISNUMBER(E$120)),E118-E$120,"")</f>
        <v/>
      </c>
      <c r="F185" s="11">
        <f>IF(AND(ISNUMBER(F118),ISNUMBER(F$120)),F118-F$120,"")</f>
        <v/>
      </c>
      <c r="G185" s="11">
        <f>IF(AND(ISNUMBER(G118),ISNUMBER(G$120)),G118-G$120,"")</f>
        <v/>
      </c>
      <c r="H185" s="11">
        <f>IF(AND(ISNUMBER(H118),ISNUMBER(H$120)),H118-H$120,"")</f>
        <v/>
      </c>
      <c r="I185" s="11">
        <f>IF(AND(ISNUMBER(I118),ISNUMBER(I$120)),I118-I$120,"")</f>
        <v/>
      </c>
      <c r="J185" s="11">
        <f>IF(AND(ISNUMBER(J118),ISNUMBER(J$120)),J118-J$120,"")</f>
        <v/>
      </c>
      <c r="K185" s="11">
        <f>IF(AND(ISNUMBER(K118),ISNUMBER(K$120)),K118-K$120,"")</f>
        <v/>
      </c>
      <c r="L185" s="11">
        <f>IF(AND(ISNUMBER(L118),ISNUMBER(L$120)),L118-L$120,"")</f>
        <v/>
      </c>
      <c r="M185" s="11">
        <f>IF(AND(ISNUMBER(M118),ISNUMBER(M$120)),M118-M$120,"")</f>
        <v/>
      </c>
      <c r="N185" s="11">
        <f>IF(AND(ISNUMBER(N118),ISNUMBER(N$120)),N118-N$120,"")</f>
        <v/>
      </c>
      <c r="O185" s="11">
        <f>IF(AND(ISNUMBER(O118),ISNUMBER(O$120)),O118-O$120,"")</f>
        <v/>
      </c>
      <c r="P185" s="11">
        <f>IF(AND(ISNUMBER(P118),ISNUMBER(P$120)),P118-P$120,"")</f>
        <v/>
      </c>
      <c r="Q185" s="11">
        <f>IF(AND(ISNUMBER(Q118),ISNUMBER(Q$120)),Q118-Q$120,"")</f>
        <v/>
      </c>
      <c r="R185" s="11">
        <f>IF(AND(ISNUMBER(R118),ISNUMBER(R$120)),R118-R$120,"")</f>
        <v/>
      </c>
      <c r="S185" s="11">
        <f>IF(AND(ISNUMBER(S118),ISNUMBER(S$120)),S118-S$120,"")</f>
        <v/>
      </c>
      <c r="T185" s="11">
        <f>IF(AND(ISNUMBER(T118),ISNUMBER(T$120)),T118-T$120,"")</f>
        <v/>
      </c>
      <c r="U185" s="11">
        <f>IF(AND(ISNUMBER(U118),ISNUMBER(U$120)),U118-U$120,"")</f>
        <v/>
      </c>
    </row>
    <row r="186">
      <c r="A186" s="44">
        <f>$A73</f>
        <v/>
      </c>
      <c r="B186" s="11">
        <f>IF(AND(ISNUMBER(B119),ISNUMBER(B$120)),B119-B$120,"")</f>
        <v/>
      </c>
      <c r="C186" s="11">
        <f>IF(AND(ISNUMBER(C119),ISNUMBER(C$120)),C119-C$120,"")</f>
        <v/>
      </c>
      <c r="D186" s="11">
        <f>IF(AND(ISNUMBER(D119),ISNUMBER(D$120)),D119-D$120,"")</f>
        <v/>
      </c>
      <c r="E186" s="11">
        <f>IF(AND(ISNUMBER(E119),ISNUMBER(E$120)),E119-E$120,"")</f>
        <v/>
      </c>
      <c r="F186" s="11">
        <f>IF(AND(ISNUMBER(F119),ISNUMBER(F$120)),F119-F$120,"")</f>
        <v/>
      </c>
      <c r="G186" s="11">
        <f>IF(AND(ISNUMBER(G119),ISNUMBER(G$120)),G119-G$120,"")</f>
        <v/>
      </c>
      <c r="H186" s="11">
        <f>IF(AND(ISNUMBER(H119),ISNUMBER(H$120)),H119-H$120,"")</f>
        <v/>
      </c>
      <c r="I186" s="11">
        <f>IF(AND(ISNUMBER(I119),ISNUMBER(I$120)),I119-I$120,"")</f>
        <v/>
      </c>
      <c r="J186" s="11">
        <f>IF(AND(ISNUMBER(J119),ISNUMBER(J$120)),J119-J$120,"")</f>
        <v/>
      </c>
      <c r="K186" s="11">
        <f>IF(AND(ISNUMBER(K119),ISNUMBER(K$120)),K119-K$120,"")</f>
        <v/>
      </c>
      <c r="L186" s="11">
        <f>IF(AND(ISNUMBER(L119),ISNUMBER(L$120)),L119-L$120,"")</f>
        <v/>
      </c>
      <c r="M186" s="11">
        <f>IF(AND(ISNUMBER(M119),ISNUMBER(M$120)),M119-M$120,"")</f>
        <v/>
      </c>
      <c r="N186" s="11">
        <f>IF(AND(ISNUMBER(N119),ISNUMBER(N$120)),N119-N$120,"")</f>
        <v/>
      </c>
      <c r="O186" s="11">
        <f>IF(AND(ISNUMBER(O119),ISNUMBER(O$120)),O119-O$120,"")</f>
        <v/>
      </c>
      <c r="P186" s="11">
        <f>IF(AND(ISNUMBER(P119),ISNUMBER(P$120)),P119-P$120,"")</f>
        <v/>
      </c>
      <c r="Q186" s="11">
        <f>IF(AND(ISNUMBER(Q119),ISNUMBER(Q$120)),Q119-Q$120,"")</f>
        <v/>
      </c>
      <c r="R186" s="11">
        <f>IF(AND(ISNUMBER(R119),ISNUMBER(R$120)),R119-R$120,"")</f>
        <v/>
      </c>
      <c r="S186" s="11">
        <f>IF(AND(ISNUMBER(S119),ISNUMBER(S$120)),S119-S$120,"")</f>
        <v/>
      </c>
      <c r="T186" s="11">
        <f>IF(AND(ISNUMBER(T119),ISNUMBER(T$120)),T119-T$120,"")</f>
        <v/>
      </c>
      <c r="U186" s="11">
        <f>IF(AND(ISNUMBER(U119),ISNUMBER(U$120)),U119-U$120,"")</f>
        <v/>
      </c>
    </row>
    <row r="188">
      <c r="A188" s="44">
        <f>"verwachte aantallen e = rijtotaal · kolomtotaal / N (χ²-toets, Test Recipes p. 18-20)"</f>
        <v/>
      </c>
      <c r="B188" s="44">
        <f>B$53</f>
        <v/>
      </c>
      <c r="C188" s="44">
        <f>C$53</f>
        <v/>
      </c>
      <c r="D188" s="44">
        <f>D$53</f>
        <v/>
      </c>
      <c r="E188" s="44">
        <f>E$53</f>
        <v/>
      </c>
      <c r="F188" s="44">
        <f>F$53</f>
        <v/>
      </c>
      <c r="G188" s="44">
        <f>G$53</f>
        <v/>
      </c>
      <c r="H188" s="44">
        <f>H$53</f>
        <v/>
      </c>
      <c r="I188" s="44">
        <f>I$53</f>
        <v/>
      </c>
      <c r="J188" s="44">
        <f>J$53</f>
        <v/>
      </c>
      <c r="K188" s="44">
        <f>K$53</f>
        <v/>
      </c>
      <c r="L188" s="44">
        <f>L$53</f>
        <v/>
      </c>
      <c r="M188" s="44">
        <f>M$53</f>
        <v/>
      </c>
      <c r="N188" s="44">
        <f>N$53</f>
        <v/>
      </c>
      <c r="O188" s="44">
        <f>O$53</f>
        <v/>
      </c>
      <c r="P188" s="44">
        <f>P$53</f>
        <v/>
      </c>
      <c r="Q188" s="44">
        <f>Q$53</f>
        <v/>
      </c>
      <c r="R188" s="44">
        <f>R$53</f>
        <v/>
      </c>
      <c r="S188" s="44">
        <f>S$53</f>
        <v/>
      </c>
      <c r="T188" s="44">
        <f>T$53</f>
        <v/>
      </c>
      <c r="U188" s="44">
        <f>U$53</f>
        <v/>
      </c>
    </row>
    <row r="189">
      <c r="A189" s="44">
        <f>$A54</f>
        <v/>
      </c>
      <c r="B189" s="11">
        <f>IF(AND(ISNUMBER(B54),N($V54)&gt;0,N(B$74)&gt;0),$V54*B$74/$V$74,"")</f>
        <v/>
      </c>
      <c r="C189" s="11">
        <f>IF(AND(ISNUMBER(C54),N($V54)&gt;0,N(C$74)&gt;0),$V54*C$74/$V$74,"")</f>
        <v/>
      </c>
      <c r="D189" s="11">
        <f>IF(AND(ISNUMBER(D54),N($V54)&gt;0,N(D$74)&gt;0),$V54*D$74/$V$74,"")</f>
        <v/>
      </c>
      <c r="E189" s="11">
        <f>IF(AND(ISNUMBER(E54),N($V54)&gt;0,N(E$74)&gt;0),$V54*E$74/$V$74,"")</f>
        <v/>
      </c>
      <c r="F189" s="11">
        <f>IF(AND(ISNUMBER(F54),N($V54)&gt;0,N(F$74)&gt;0),$V54*F$74/$V$74,"")</f>
        <v/>
      </c>
      <c r="G189" s="11">
        <f>IF(AND(ISNUMBER(G54),N($V54)&gt;0,N(G$74)&gt;0),$V54*G$74/$V$74,"")</f>
        <v/>
      </c>
      <c r="H189" s="11">
        <f>IF(AND(ISNUMBER(H54),N($V54)&gt;0,N(H$74)&gt;0),$V54*H$74/$V$74,"")</f>
        <v/>
      </c>
      <c r="I189" s="11">
        <f>IF(AND(ISNUMBER(I54),N($V54)&gt;0,N(I$74)&gt;0),$V54*I$74/$V$74,"")</f>
        <v/>
      </c>
      <c r="J189" s="11">
        <f>IF(AND(ISNUMBER(J54),N($V54)&gt;0,N(J$74)&gt;0),$V54*J$74/$V$74,"")</f>
        <v/>
      </c>
      <c r="K189" s="11">
        <f>IF(AND(ISNUMBER(K54),N($V54)&gt;0,N(K$74)&gt;0),$V54*K$74/$V$74,"")</f>
        <v/>
      </c>
      <c r="L189" s="11">
        <f>IF(AND(ISNUMBER(L54),N($V54)&gt;0,N(L$74)&gt;0),$V54*L$74/$V$74,"")</f>
        <v/>
      </c>
      <c r="M189" s="11">
        <f>IF(AND(ISNUMBER(M54),N($V54)&gt;0,N(M$74)&gt;0),$V54*M$74/$V$74,"")</f>
        <v/>
      </c>
      <c r="N189" s="11">
        <f>IF(AND(ISNUMBER(N54),N($V54)&gt;0,N(N$74)&gt;0),$V54*N$74/$V$74,"")</f>
        <v/>
      </c>
      <c r="O189" s="11">
        <f>IF(AND(ISNUMBER(O54),N($V54)&gt;0,N(O$74)&gt;0),$V54*O$74/$V$74,"")</f>
        <v/>
      </c>
      <c r="P189" s="11">
        <f>IF(AND(ISNUMBER(P54),N($V54)&gt;0,N(P$74)&gt;0),$V54*P$74/$V$74,"")</f>
        <v/>
      </c>
      <c r="Q189" s="11">
        <f>IF(AND(ISNUMBER(Q54),N($V54)&gt;0,N(Q$74)&gt;0),$V54*Q$74/$V$74,"")</f>
        <v/>
      </c>
      <c r="R189" s="11">
        <f>IF(AND(ISNUMBER(R54),N($V54)&gt;0,N(R$74)&gt;0),$V54*R$74/$V$74,"")</f>
        <v/>
      </c>
      <c r="S189" s="11">
        <f>IF(AND(ISNUMBER(S54),N($V54)&gt;0,N(S$74)&gt;0),$V54*S$74/$V$74,"")</f>
        <v/>
      </c>
      <c r="T189" s="11">
        <f>IF(AND(ISNUMBER(T54),N($V54)&gt;0,N(T$74)&gt;0),$V54*T$74/$V$74,"")</f>
        <v/>
      </c>
      <c r="U189" s="11">
        <f>IF(AND(ISNUMBER(U54),N($V54)&gt;0,N(U$74)&gt;0),$V54*U$74/$V$74,"")</f>
        <v/>
      </c>
    </row>
    <row r="190">
      <c r="A190" s="44">
        <f>$A55</f>
        <v/>
      </c>
      <c r="B190" s="11">
        <f>IF(AND(ISNUMBER(B55),N($V55)&gt;0,N(B$74)&gt;0),$V55*B$74/$V$74,"")</f>
        <v/>
      </c>
      <c r="C190" s="11">
        <f>IF(AND(ISNUMBER(C55),N($V55)&gt;0,N(C$74)&gt;0),$V55*C$74/$V$74,"")</f>
        <v/>
      </c>
      <c r="D190" s="11">
        <f>IF(AND(ISNUMBER(D55),N($V55)&gt;0,N(D$74)&gt;0),$V55*D$74/$V$74,"")</f>
        <v/>
      </c>
      <c r="E190" s="11">
        <f>IF(AND(ISNUMBER(E55),N($V55)&gt;0,N(E$74)&gt;0),$V55*E$74/$V$74,"")</f>
        <v/>
      </c>
      <c r="F190" s="11">
        <f>IF(AND(ISNUMBER(F55),N($V55)&gt;0,N(F$74)&gt;0),$V55*F$74/$V$74,"")</f>
        <v/>
      </c>
      <c r="G190" s="11">
        <f>IF(AND(ISNUMBER(G55),N($V55)&gt;0,N(G$74)&gt;0),$V55*G$74/$V$74,"")</f>
        <v/>
      </c>
      <c r="H190" s="11">
        <f>IF(AND(ISNUMBER(H55),N($V55)&gt;0,N(H$74)&gt;0),$V55*H$74/$V$74,"")</f>
        <v/>
      </c>
      <c r="I190" s="11">
        <f>IF(AND(ISNUMBER(I55),N($V55)&gt;0,N(I$74)&gt;0),$V55*I$74/$V$74,"")</f>
        <v/>
      </c>
      <c r="J190" s="11">
        <f>IF(AND(ISNUMBER(J55),N($V55)&gt;0,N(J$74)&gt;0),$V55*J$74/$V$74,"")</f>
        <v/>
      </c>
      <c r="K190" s="11">
        <f>IF(AND(ISNUMBER(K55),N($V55)&gt;0,N(K$74)&gt;0),$V55*K$74/$V$74,"")</f>
        <v/>
      </c>
      <c r="L190" s="11">
        <f>IF(AND(ISNUMBER(L55),N($V55)&gt;0,N(L$74)&gt;0),$V55*L$74/$V$74,"")</f>
        <v/>
      </c>
      <c r="M190" s="11">
        <f>IF(AND(ISNUMBER(M55),N($V55)&gt;0,N(M$74)&gt;0),$V55*M$74/$V$74,"")</f>
        <v/>
      </c>
      <c r="N190" s="11">
        <f>IF(AND(ISNUMBER(N55),N($V55)&gt;0,N(N$74)&gt;0),$V55*N$74/$V$74,"")</f>
        <v/>
      </c>
      <c r="O190" s="11">
        <f>IF(AND(ISNUMBER(O55),N($V55)&gt;0,N(O$74)&gt;0),$V55*O$74/$V$74,"")</f>
        <v/>
      </c>
      <c r="P190" s="11">
        <f>IF(AND(ISNUMBER(P55),N($V55)&gt;0,N(P$74)&gt;0),$V55*P$74/$V$74,"")</f>
        <v/>
      </c>
      <c r="Q190" s="11">
        <f>IF(AND(ISNUMBER(Q55),N($V55)&gt;0,N(Q$74)&gt;0),$V55*Q$74/$V$74,"")</f>
        <v/>
      </c>
      <c r="R190" s="11">
        <f>IF(AND(ISNUMBER(R55),N($V55)&gt;0,N(R$74)&gt;0),$V55*R$74/$V$74,"")</f>
        <v/>
      </c>
      <c r="S190" s="11">
        <f>IF(AND(ISNUMBER(S55),N($V55)&gt;0,N(S$74)&gt;0),$V55*S$74/$V$74,"")</f>
        <v/>
      </c>
      <c r="T190" s="11">
        <f>IF(AND(ISNUMBER(T55),N($V55)&gt;0,N(T$74)&gt;0),$V55*T$74/$V$74,"")</f>
        <v/>
      </c>
      <c r="U190" s="11">
        <f>IF(AND(ISNUMBER(U55),N($V55)&gt;0,N(U$74)&gt;0),$V55*U$74/$V$74,"")</f>
        <v/>
      </c>
    </row>
    <row r="191">
      <c r="A191" s="44">
        <f>$A56</f>
        <v/>
      </c>
      <c r="B191" s="11">
        <f>IF(AND(ISNUMBER(B56),N($V56)&gt;0,N(B$74)&gt;0),$V56*B$74/$V$74,"")</f>
        <v/>
      </c>
      <c r="C191" s="11">
        <f>IF(AND(ISNUMBER(C56),N($V56)&gt;0,N(C$74)&gt;0),$V56*C$74/$V$74,"")</f>
        <v/>
      </c>
      <c r="D191" s="11">
        <f>IF(AND(ISNUMBER(D56),N($V56)&gt;0,N(D$74)&gt;0),$V56*D$74/$V$74,"")</f>
        <v/>
      </c>
      <c r="E191" s="11">
        <f>IF(AND(ISNUMBER(E56),N($V56)&gt;0,N(E$74)&gt;0),$V56*E$74/$V$74,"")</f>
        <v/>
      </c>
      <c r="F191" s="11">
        <f>IF(AND(ISNUMBER(F56),N($V56)&gt;0,N(F$74)&gt;0),$V56*F$74/$V$74,"")</f>
        <v/>
      </c>
      <c r="G191" s="11">
        <f>IF(AND(ISNUMBER(G56),N($V56)&gt;0,N(G$74)&gt;0),$V56*G$74/$V$74,"")</f>
        <v/>
      </c>
      <c r="H191" s="11">
        <f>IF(AND(ISNUMBER(H56),N($V56)&gt;0,N(H$74)&gt;0),$V56*H$74/$V$74,"")</f>
        <v/>
      </c>
      <c r="I191" s="11">
        <f>IF(AND(ISNUMBER(I56),N($V56)&gt;0,N(I$74)&gt;0),$V56*I$74/$V$74,"")</f>
        <v/>
      </c>
      <c r="J191" s="11">
        <f>IF(AND(ISNUMBER(J56),N($V56)&gt;0,N(J$74)&gt;0),$V56*J$74/$V$74,"")</f>
        <v/>
      </c>
      <c r="K191" s="11">
        <f>IF(AND(ISNUMBER(K56),N($V56)&gt;0,N(K$74)&gt;0),$V56*K$74/$V$74,"")</f>
        <v/>
      </c>
      <c r="L191" s="11">
        <f>IF(AND(ISNUMBER(L56),N($V56)&gt;0,N(L$74)&gt;0),$V56*L$74/$V$74,"")</f>
        <v/>
      </c>
      <c r="M191" s="11">
        <f>IF(AND(ISNUMBER(M56),N($V56)&gt;0,N(M$74)&gt;0),$V56*M$74/$V$74,"")</f>
        <v/>
      </c>
      <c r="N191" s="11">
        <f>IF(AND(ISNUMBER(N56),N($V56)&gt;0,N(N$74)&gt;0),$V56*N$74/$V$74,"")</f>
        <v/>
      </c>
      <c r="O191" s="11">
        <f>IF(AND(ISNUMBER(O56),N($V56)&gt;0,N(O$74)&gt;0),$V56*O$74/$V$74,"")</f>
        <v/>
      </c>
      <c r="P191" s="11">
        <f>IF(AND(ISNUMBER(P56),N($V56)&gt;0,N(P$74)&gt;0),$V56*P$74/$V$74,"")</f>
        <v/>
      </c>
      <c r="Q191" s="11">
        <f>IF(AND(ISNUMBER(Q56),N($V56)&gt;0,N(Q$74)&gt;0),$V56*Q$74/$V$74,"")</f>
        <v/>
      </c>
      <c r="R191" s="11">
        <f>IF(AND(ISNUMBER(R56),N($V56)&gt;0,N(R$74)&gt;0),$V56*R$74/$V$74,"")</f>
        <v/>
      </c>
      <c r="S191" s="11">
        <f>IF(AND(ISNUMBER(S56),N($V56)&gt;0,N(S$74)&gt;0),$V56*S$74/$V$74,"")</f>
        <v/>
      </c>
      <c r="T191" s="11">
        <f>IF(AND(ISNUMBER(T56),N($V56)&gt;0,N(T$74)&gt;0),$V56*T$74/$V$74,"")</f>
        <v/>
      </c>
      <c r="U191" s="11">
        <f>IF(AND(ISNUMBER(U56),N($V56)&gt;0,N(U$74)&gt;0),$V56*U$74/$V$74,"")</f>
        <v/>
      </c>
    </row>
    <row r="192">
      <c r="A192" s="44">
        <f>$A57</f>
        <v/>
      </c>
      <c r="B192" s="11">
        <f>IF(AND(ISNUMBER(B57),N($V57)&gt;0,N(B$74)&gt;0),$V57*B$74/$V$74,"")</f>
        <v/>
      </c>
      <c r="C192" s="11">
        <f>IF(AND(ISNUMBER(C57),N($V57)&gt;0,N(C$74)&gt;0),$V57*C$74/$V$74,"")</f>
        <v/>
      </c>
      <c r="D192" s="11">
        <f>IF(AND(ISNUMBER(D57),N($V57)&gt;0,N(D$74)&gt;0),$V57*D$74/$V$74,"")</f>
        <v/>
      </c>
      <c r="E192" s="11">
        <f>IF(AND(ISNUMBER(E57),N($V57)&gt;0,N(E$74)&gt;0),$V57*E$74/$V$74,"")</f>
        <v/>
      </c>
      <c r="F192" s="11">
        <f>IF(AND(ISNUMBER(F57),N($V57)&gt;0,N(F$74)&gt;0),$V57*F$74/$V$74,"")</f>
        <v/>
      </c>
      <c r="G192" s="11">
        <f>IF(AND(ISNUMBER(G57),N($V57)&gt;0,N(G$74)&gt;0),$V57*G$74/$V$74,"")</f>
        <v/>
      </c>
      <c r="H192" s="11">
        <f>IF(AND(ISNUMBER(H57),N($V57)&gt;0,N(H$74)&gt;0),$V57*H$74/$V$74,"")</f>
        <v/>
      </c>
      <c r="I192" s="11">
        <f>IF(AND(ISNUMBER(I57),N($V57)&gt;0,N(I$74)&gt;0),$V57*I$74/$V$74,"")</f>
        <v/>
      </c>
      <c r="J192" s="11">
        <f>IF(AND(ISNUMBER(J57),N($V57)&gt;0,N(J$74)&gt;0),$V57*J$74/$V$74,"")</f>
        <v/>
      </c>
      <c r="K192" s="11">
        <f>IF(AND(ISNUMBER(K57),N($V57)&gt;0,N(K$74)&gt;0),$V57*K$74/$V$74,"")</f>
        <v/>
      </c>
      <c r="L192" s="11">
        <f>IF(AND(ISNUMBER(L57),N($V57)&gt;0,N(L$74)&gt;0),$V57*L$74/$V$74,"")</f>
        <v/>
      </c>
      <c r="M192" s="11">
        <f>IF(AND(ISNUMBER(M57),N($V57)&gt;0,N(M$74)&gt;0),$V57*M$74/$V$74,"")</f>
        <v/>
      </c>
      <c r="N192" s="11">
        <f>IF(AND(ISNUMBER(N57),N($V57)&gt;0,N(N$74)&gt;0),$V57*N$74/$V$74,"")</f>
        <v/>
      </c>
      <c r="O192" s="11">
        <f>IF(AND(ISNUMBER(O57),N($V57)&gt;0,N(O$74)&gt;0),$V57*O$74/$V$74,"")</f>
        <v/>
      </c>
      <c r="P192" s="11">
        <f>IF(AND(ISNUMBER(P57),N($V57)&gt;0,N(P$74)&gt;0),$V57*P$74/$V$74,"")</f>
        <v/>
      </c>
      <c r="Q192" s="11">
        <f>IF(AND(ISNUMBER(Q57),N($V57)&gt;0,N(Q$74)&gt;0),$V57*Q$74/$V$74,"")</f>
        <v/>
      </c>
      <c r="R192" s="11">
        <f>IF(AND(ISNUMBER(R57),N($V57)&gt;0,N(R$74)&gt;0),$V57*R$74/$V$74,"")</f>
        <v/>
      </c>
      <c r="S192" s="11">
        <f>IF(AND(ISNUMBER(S57),N($V57)&gt;0,N(S$74)&gt;0),$V57*S$74/$V$74,"")</f>
        <v/>
      </c>
      <c r="T192" s="11">
        <f>IF(AND(ISNUMBER(T57),N($V57)&gt;0,N(T$74)&gt;0),$V57*T$74/$V$74,"")</f>
        <v/>
      </c>
      <c r="U192" s="11">
        <f>IF(AND(ISNUMBER(U57),N($V57)&gt;0,N(U$74)&gt;0),$V57*U$74/$V$74,"")</f>
        <v/>
      </c>
    </row>
    <row r="193">
      <c r="A193" s="44">
        <f>$A58</f>
        <v/>
      </c>
      <c r="B193" s="11">
        <f>IF(AND(ISNUMBER(B58),N($V58)&gt;0,N(B$74)&gt;0),$V58*B$74/$V$74,"")</f>
        <v/>
      </c>
      <c r="C193" s="11">
        <f>IF(AND(ISNUMBER(C58),N($V58)&gt;0,N(C$74)&gt;0),$V58*C$74/$V$74,"")</f>
        <v/>
      </c>
      <c r="D193" s="11">
        <f>IF(AND(ISNUMBER(D58),N($V58)&gt;0,N(D$74)&gt;0),$V58*D$74/$V$74,"")</f>
        <v/>
      </c>
      <c r="E193" s="11">
        <f>IF(AND(ISNUMBER(E58),N($V58)&gt;0,N(E$74)&gt;0),$V58*E$74/$V$74,"")</f>
        <v/>
      </c>
      <c r="F193" s="11">
        <f>IF(AND(ISNUMBER(F58),N($V58)&gt;0,N(F$74)&gt;0),$V58*F$74/$V$74,"")</f>
        <v/>
      </c>
      <c r="G193" s="11">
        <f>IF(AND(ISNUMBER(G58),N($V58)&gt;0,N(G$74)&gt;0),$V58*G$74/$V$74,"")</f>
        <v/>
      </c>
      <c r="H193" s="11">
        <f>IF(AND(ISNUMBER(H58),N($V58)&gt;0,N(H$74)&gt;0),$V58*H$74/$V$74,"")</f>
        <v/>
      </c>
      <c r="I193" s="11">
        <f>IF(AND(ISNUMBER(I58),N($V58)&gt;0,N(I$74)&gt;0),$V58*I$74/$V$74,"")</f>
        <v/>
      </c>
      <c r="J193" s="11">
        <f>IF(AND(ISNUMBER(J58),N($V58)&gt;0,N(J$74)&gt;0),$V58*J$74/$V$74,"")</f>
        <v/>
      </c>
      <c r="K193" s="11">
        <f>IF(AND(ISNUMBER(K58),N($V58)&gt;0,N(K$74)&gt;0),$V58*K$74/$V$74,"")</f>
        <v/>
      </c>
      <c r="L193" s="11">
        <f>IF(AND(ISNUMBER(L58),N($V58)&gt;0,N(L$74)&gt;0),$V58*L$74/$V$74,"")</f>
        <v/>
      </c>
      <c r="M193" s="11">
        <f>IF(AND(ISNUMBER(M58),N($V58)&gt;0,N(M$74)&gt;0),$V58*M$74/$V$74,"")</f>
        <v/>
      </c>
      <c r="N193" s="11">
        <f>IF(AND(ISNUMBER(N58),N($V58)&gt;0,N(N$74)&gt;0),$V58*N$74/$V$74,"")</f>
        <v/>
      </c>
      <c r="O193" s="11">
        <f>IF(AND(ISNUMBER(O58),N($V58)&gt;0,N(O$74)&gt;0),$V58*O$74/$V$74,"")</f>
        <v/>
      </c>
      <c r="P193" s="11">
        <f>IF(AND(ISNUMBER(P58),N($V58)&gt;0,N(P$74)&gt;0),$V58*P$74/$V$74,"")</f>
        <v/>
      </c>
      <c r="Q193" s="11">
        <f>IF(AND(ISNUMBER(Q58),N($V58)&gt;0,N(Q$74)&gt;0),$V58*Q$74/$V$74,"")</f>
        <v/>
      </c>
      <c r="R193" s="11">
        <f>IF(AND(ISNUMBER(R58),N($V58)&gt;0,N(R$74)&gt;0),$V58*R$74/$V$74,"")</f>
        <v/>
      </c>
      <c r="S193" s="11">
        <f>IF(AND(ISNUMBER(S58),N($V58)&gt;0,N(S$74)&gt;0),$V58*S$74/$V$74,"")</f>
        <v/>
      </c>
      <c r="T193" s="11">
        <f>IF(AND(ISNUMBER(T58),N($V58)&gt;0,N(T$74)&gt;0),$V58*T$74/$V$74,"")</f>
        <v/>
      </c>
      <c r="U193" s="11">
        <f>IF(AND(ISNUMBER(U58),N($V58)&gt;0,N(U$74)&gt;0),$V58*U$74/$V$74,"")</f>
        <v/>
      </c>
    </row>
    <row r="194">
      <c r="A194" s="44">
        <f>$A59</f>
        <v/>
      </c>
      <c r="B194" s="11">
        <f>IF(AND(ISNUMBER(B59),N($V59)&gt;0,N(B$74)&gt;0),$V59*B$74/$V$74,"")</f>
        <v/>
      </c>
      <c r="C194" s="11">
        <f>IF(AND(ISNUMBER(C59),N($V59)&gt;0,N(C$74)&gt;0),$V59*C$74/$V$74,"")</f>
        <v/>
      </c>
      <c r="D194" s="11">
        <f>IF(AND(ISNUMBER(D59),N($V59)&gt;0,N(D$74)&gt;0),$V59*D$74/$V$74,"")</f>
        <v/>
      </c>
      <c r="E194" s="11">
        <f>IF(AND(ISNUMBER(E59),N($V59)&gt;0,N(E$74)&gt;0),$V59*E$74/$V$74,"")</f>
        <v/>
      </c>
      <c r="F194" s="11">
        <f>IF(AND(ISNUMBER(F59),N($V59)&gt;0,N(F$74)&gt;0),$V59*F$74/$V$74,"")</f>
        <v/>
      </c>
      <c r="G194" s="11">
        <f>IF(AND(ISNUMBER(G59),N($V59)&gt;0,N(G$74)&gt;0),$V59*G$74/$V$74,"")</f>
        <v/>
      </c>
      <c r="H194" s="11">
        <f>IF(AND(ISNUMBER(H59),N($V59)&gt;0,N(H$74)&gt;0),$V59*H$74/$V$74,"")</f>
        <v/>
      </c>
      <c r="I194" s="11">
        <f>IF(AND(ISNUMBER(I59),N($V59)&gt;0,N(I$74)&gt;0),$V59*I$74/$V$74,"")</f>
        <v/>
      </c>
      <c r="J194" s="11">
        <f>IF(AND(ISNUMBER(J59),N($V59)&gt;0,N(J$74)&gt;0),$V59*J$74/$V$74,"")</f>
        <v/>
      </c>
      <c r="K194" s="11">
        <f>IF(AND(ISNUMBER(K59),N($V59)&gt;0,N(K$74)&gt;0),$V59*K$74/$V$74,"")</f>
        <v/>
      </c>
      <c r="L194" s="11">
        <f>IF(AND(ISNUMBER(L59),N($V59)&gt;0,N(L$74)&gt;0),$V59*L$74/$V$74,"")</f>
        <v/>
      </c>
      <c r="M194" s="11">
        <f>IF(AND(ISNUMBER(M59),N($V59)&gt;0,N(M$74)&gt;0),$V59*M$74/$V$74,"")</f>
        <v/>
      </c>
      <c r="N194" s="11">
        <f>IF(AND(ISNUMBER(N59),N($V59)&gt;0,N(N$74)&gt;0),$V59*N$74/$V$74,"")</f>
        <v/>
      </c>
      <c r="O194" s="11">
        <f>IF(AND(ISNUMBER(O59),N($V59)&gt;0,N(O$74)&gt;0),$V59*O$74/$V$74,"")</f>
        <v/>
      </c>
      <c r="P194" s="11">
        <f>IF(AND(ISNUMBER(P59),N($V59)&gt;0,N(P$74)&gt;0),$V59*P$74/$V$74,"")</f>
        <v/>
      </c>
      <c r="Q194" s="11">
        <f>IF(AND(ISNUMBER(Q59),N($V59)&gt;0,N(Q$74)&gt;0),$V59*Q$74/$V$74,"")</f>
        <v/>
      </c>
      <c r="R194" s="11">
        <f>IF(AND(ISNUMBER(R59),N($V59)&gt;0,N(R$74)&gt;0),$V59*R$74/$V$74,"")</f>
        <v/>
      </c>
      <c r="S194" s="11">
        <f>IF(AND(ISNUMBER(S59),N($V59)&gt;0,N(S$74)&gt;0),$V59*S$74/$V$74,"")</f>
        <v/>
      </c>
      <c r="T194" s="11">
        <f>IF(AND(ISNUMBER(T59),N($V59)&gt;0,N(T$74)&gt;0),$V59*T$74/$V$74,"")</f>
        <v/>
      </c>
      <c r="U194" s="11">
        <f>IF(AND(ISNUMBER(U59),N($V59)&gt;0,N(U$74)&gt;0),$V59*U$74/$V$74,"")</f>
        <v/>
      </c>
    </row>
    <row r="195">
      <c r="A195" s="44">
        <f>$A60</f>
        <v/>
      </c>
      <c r="B195" s="11">
        <f>IF(AND(ISNUMBER(B60),N($V60)&gt;0,N(B$74)&gt;0),$V60*B$74/$V$74,"")</f>
        <v/>
      </c>
      <c r="C195" s="11">
        <f>IF(AND(ISNUMBER(C60),N($V60)&gt;0,N(C$74)&gt;0),$V60*C$74/$V$74,"")</f>
        <v/>
      </c>
      <c r="D195" s="11">
        <f>IF(AND(ISNUMBER(D60),N($V60)&gt;0,N(D$74)&gt;0),$V60*D$74/$V$74,"")</f>
        <v/>
      </c>
      <c r="E195" s="11">
        <f>IF(AND(ISNUMBER(E60),N($V60)&gt;0,N(E$74)&gt;0),$V60*E$74/$V$74,"")</f>
        <v/>
      </c>
      <c r="F195" s="11">
        <f>IF(AND(ISNUMBER(F60),N($V60)&gt;0,N(F$74)&gt;0),$V60*F$74/$V$74,"")</f>
        <v/>
      </c>
      <c r="G195" s="11">
        <f>IF(AND(ISNUMBER(G60),N($V60)&gt;0,N(G$74)&gt;0),$V60*G$74/$V$74,"")</f>
        <v/>
      </c>
      <c r="H195" s="11">
        <f>IF(AND(ISNUMBER(H60),N($V60)&gt;0,N(H$74)&gt;0),$V60*H$74/$V$74,"")</f>
        <v/>
      </c>
      <c r="I195" s="11">
        <f>IF(AND(ISNUMBER(I60),N($V60)&gt;0,N(I$74)&gt;0),$V60*I$74/$V$74,"")</f>
        <v/>
      </c>
      <c r="J195" s="11">
        <f>IF(AND(ISNUMBER(J60),N($V60)&gt;0,N(J$74)&gt;0),$V60*J$74/$V$74,"")</f>
        <v/>
      </c>
      <c r="K195" s="11">
        <f>IF(AND(ISNUMBER(K60),N($V60)&gt;0,N(K$74)&gt;0),$V60*K$74/$V$74,"")</f>
        <v/>
      </c>
      <c r="L195" s="11">
        <f>IF(AND(ISNUMBER(L60),N($V60)&gt;0,N(L$74)&gt;0),$V60*L$74/$V$74,"")</f>
        <v/>
      </c>
      <c r="M195" s="11">
        <f>IF(AND(ISNUMBER(M60),N($V60)&gt;0,N(M$74)&gt;0),$V60*M$74/$V$74,"")</f>
        <v/>
      </c>
      <c r="N195" s="11">
        <f>IF(AND(ISNUMBER(N60),N($V60)&gt;0,N(N$74)&gt;0),$V60*N$74/$V$74,"")</f>
        <v/>
      </c>
      <c r="O195" s="11">
        <f>IF(AND(ISNUMBER(O60),N($V60)&gt;0,N(O$74)&gt;0),$V60*O$74/$V$74,"")</f>
        <v/>
      </c>
      <c r="P195" s="11">
        <f>IF(AND(ISNUMBER(P60),N($V60)&gt;0,N(P$74)&gt;0),$V60*P$74/$V$74,"")</f>
        <v/>
      </c>
      <c r="Q195" s="11">
        <f>IF(AND(ISNUMBER(Q60),N($V60)&gt;0,N(Q$74)&gt;0),$V60*Q$74/$V$74,"")</f>
        <v/>
      </c>
      <c r="R195" s="11">
        <f>IF(AND(ISNUMBER(R60),N($V60)&gt;0,N(R$74)&gt;0),$V60*R$74/$V$74,"")</f>
        <v/>
      </c>
      <c r="S195" s="11">
        <f>IF(AND(ISNUMBER(S60),N($V60)&gt;0,N(S$74)&gt;0),$V60*S$74/$V$74,"")</f>
        <v/>
      </c>
      <c r="T195" s="11">
        <f>IF(AND(ISNUMBER(T60),N($V60)&gt;0,N(T$74)&gt;0),$V60*T$74/$V$74,"")</f>
        <v/>
      </c>
      <c r="U195" s="11">
        <f>IF(AND(ISNUMBER(U60),N($V60)&gt;0,N(U$74)&gt;0),$V60*U$74/$V$74,"")</f>
        <v/>
      </c>
    </row>
    <row r="196">
      <c r="A196" s="44">
        <f>$A61</f>
        <v/>
      </c>
      <c r="B196" s="11">
        <f>IF(AND(ISNUMBER(B61),N($V61)&gt;0,N(B$74)&gt;0),$V61*B$74/$V$74,"")</f>
        <v/>
      </c>
      <c r="C196" s="11">
        <f>IF(AND(ISNUMBER(C61),N($V61)&gt;0,N(C$74)&gt;0),$V61*C$74/$V$74,"")</f>
        <v/>
      </c>
      <c r="D196" s="11">
        <f>IF(AND(ISNUMBER(D61),N($V61)&gt;0,N(D$74)&gt;0),$V61*D$74/$V$74,"")</f>
        <v/>
      </c>
      <c r="E196" s="11">
        <f>IF(AND(ISNUMBER(E61),N($V61)&gt;0,N(E$74)&gt;0),$V61*E$74/$V$74,"")</f>
        <v/>
      </c>
      <c r="F196" s="11">
        <f>IF(AND(ISNUMBER(F61),N($V61)&gt;0,N(F$74)&gt;0),$V61*F$74/$V$74,"")</f>
        <v/>
      </c>
      <c r="G196" s="11">
        <f>IF(AND(ISNUMBER(G61),N($V61)&gt;0,N(G$74)&gt;0),$V61*G$74/$V$74,"")</f>
        <v/>
      </c>
      <c r="H196" s="11">
        <f>IF(AND(ISNUMBER(H61),N($V61)&gt;0,N(H$74)&gt;0),$V61*H$74/$V$74,"")</f>
        <v/>
      </c>
      <c r="I196" s="11">
        <f>IF(AND(ISNUMBER(I61),N($V61)&gt;0,N(I$74)&gt;0),$V61*I$74/$V$74,"")</f>
        <v/>
      </c>
      <c r="J196" s="11">
        <f>IF(AND(ISNUMBER(J61),N($V61)&gt;0,N(J$74)&gt;0),$V61*J$74/$V$74,"")</f>
        <v/>
      </c>
      <c r="K196" s="11">
        <f>IF(AND(ISNUMBER(K61),N($V61)&gt;0,N(K$74)&gt;0),$V61*K$74/$V$74,"")</f>
        <v/>
      </c>
      <c r="L196" s="11">
        <f>IF(AND(ISNUMBER(L61),N($V61)&gt;0,N(L$74)&gt;0),$V61*L$74/$V$74,"")</f>
        <v/>
      </c>
      <c r="M196" s="11">
        <f>IF(AND(ISNUMBER(M61),N($V61)&gt;0,N(M$74)&gt;0),$V61*M$74/$V$74,"")</f>
        <v/>
      </c>
      <c r="N196" s="11">
        <f>IF(AND(ISNUMBER(N61),N($V61)&gt;0,N(N$74)&gt;0),$V61*N$74/$V$74,"")</f>
        <v/>
      </c>
      <c r="O196" s="11">
        <f>IF(AND(ISNUMBER(O61),N($V61)&gt;0,N(O$74)&gt;0),$V61*O$74/$V$74,"")</f>
        <v/>
      </c>
      <c r="P196" s="11">
        <f>IF(AND(ISNUMBER(P61),N($V61)&gt;0,N(P$74)&gt;0),$V61*P$74/$V$74,"")</f>
        <v/>
      </c>
      <c r="Q196" s="11">
        <f>IF(AND(ISNUMBER(Q61),N($V61)&gt;0,N(Q$74)&gt;0),$V61*Q$74/$V$74,"")</f>
        <v/>
      </c>
      <c r="R196" s="11">
        <f>IF(AND(ISNUMBER(R61),N($V61)&gt;0,N(R$74)&gt;0),$V61*R$74/$V$74,"")</f>
        <v/>
      </c>
      <c r="S196" s="11">
        <f>IF(AND(ISNUMBER(S61),N($V61)&gt;0,N(S$74)&gt;0),$V61*S$74/$V$74,"")</f>
        <v/>
      </c>
      <c r="T196" s="11">
        <f>IF(AND(ISNUMBER(T61),N($V61)&gt;0,N(T$74)&gt;0),$V61*T$74/$V$74,"")</f>
        <v/>
      </c>
      <c r="U196" s="11">
        <f>IF(AND(ISNUMBER(U61),N($V61)&gt;0,N(U$74)&gt;0),$V61*U$74/$V$74,"")</f>
        <v/>
      </c>
    </row>
    <row r="197">
      <c r="A197" s="44">
        <f>$A62</f>
        <v/>
      </c>
      <c r="B197" s="11">
        <f>IF(AND(ISNUMBER(B62),N($V62)&gt;0,N(B$74)&gt;0),$V62*B$74/$V$74,"")</f>
        <v/>
      </c>
      <c r="C197" s="11">
        <f>IF(AND(ISNUMBER(C62),N($V62)&gt;0,N(C$74)&gt;0),$V62*C$74/$V$74,"")</f>
        <v/>
      </c>
      <c r="D197" s="11">
        <f>IF(AND(ISNUMBER(D62),N($V62)&gt;0,N(D$74)&gt;0),$V62*D$74/$V$74,"")</f>
        <v/>
      </c>
      <c r="E197" s="11">
        <f>IF(AND(ISNUMBER(E62),N($V62)&gt;0,N(E$74)&gt;0),$V62*E$74/$V$74,"")</f>
        <v/>
      </c>
      <c r="F197" s="11">
        <f>IF(AND(ISNUMBER(F62),N($V62)&gt;0,N(F$74)&gt;0),$V62*F$74/$V$74,"")</f>
        <v/>
      </c>
      <c r="G197" s="11">
        <f>IF(AND(ISNUMBER(G62),N($V62)&gt;0,N(G$74)&gt;0),$V62*G$74/$V$74,"")</f>
        <v/>
      </c>
      <c r="H197" s="11">
        <f>IF(AND(ISNUMBER(H62),N($V62)&gt;0,N(H$74)&gt;0),$V62*H$74/$V$74,"")</f>
        <v/>
      </c>
      <c r="I197" s="11">
        <f>IF(AND(ISNUMBER(I62),N($V62)&gt;0,N(I$74)&gt;0),$V62*I$74/$V$74,"")</f>
        <v/>
      </c>
      <c r="J197" s="11">
        <f>IF(AND(ISNUMBER(J62),N($V62)&gt;0,N(J$74)&gt;0),$V62*J$74/$V$74,"")</f>
        <v/>
      </c>
      <c r="K197" s="11">
        <f>IF(AND(ISNUMBER(K62),N($V62)&gt;0,N(K$74)&gt;0),$V62*K$74/$V$74,"")</f>
        <v/>
      </c>
      <c r="L197" s="11">
        <f>IF(AND(ISNUMBER(L62),N($V62)&gt;0,N(L$74)&gt;0),$V62*L$74/$V$74,"")</f>
        <v/>
      </c>
      <c r="M197" s="11">
        <f>IF(AND(ISNUMBER(M62),N($V62)&gt;0,N(M$74)&gt;0),$V62*M$74/$V$74,"")</f>
        <v/>
      </c>
      <c r="N197" s="11">
        <f>IF(AND(ISNUMBER(N62),N($V62)&gt;0,N(N$74)&gt;0),$V62*N$74/$V$74,"")</f>
        <v/>
      </c>
      <c r="O197" s="11">
        <f>IF(AND(ISNUMBER(O62),N($V62)&gt;0,N(O$74)&gt;0),$V62*O$74/$V$74,"")</f>
        <v/>
      </c>
      <c r="P197" s="11">
        <f>IF(AND(ISNUMBER(P62),N($V62)&gt;0,N(P$74)&gt;0),$V62*P$74/$V$74,"")</f>
        <v/>
      </c>
      <c r="Q197" s="11">
        <f>IF(AND(ISNUMBER(Q62),N($V62)&gt;0,N(Q$74)&gt;0),$V62*Q$74/$V$74,"")</f>
        <v/>
      </c>
      <c r="R197" s="11">
        <f>IF(AND(ISNUMBER(R62),N($V62)&gt;0,N(R$74)&gt;0),$V62*R$74/$V$74,"")</f>
        <v/>
      </c>
      <c r="S197" s="11">
        <f>IF(AND(ISNUMBER(S62),N($V62)&gt;0,N(S$74)&gt;0),$V62*S$74/$V$74,"")</f>
        <v/>
      </c>
      <c r="T197" s="11">
        <f>IF(AND(ISNUMBER(T62),N($V62)&gt;0,N(T$74)&gt;0),$V62*T$74/$V$74,"")</f>
        <v/>
      </c>
      <c r="U197" s="11">
        <f>IF(AND(ISNUMBER(U62),N($V62)&gt;0,N(U$74)&gt;0),$V62*U$74/$V$74,"")</f>
        <v/>
      </c>
    </row>
    <row r="198">
      <c r="A198" s="44">
        <f>$A63</f>
        <v/>
      </c>
      <c r="B198" s="11">
        <f>IF(AND(ISNUMBER(B63),N($V63)&gt;0,N(B$74)&gt;0),$V63*B$74/$V$74,"")</f>
        <v/>
      </c>
      <c r="C198" s="11">
        <f>IF(AND(ISNUMBER(C63),N($V63)&gt;0,N(C$74)&gt;0),$V63*C$74/$V$74,"")</f>
        <v/>
      </c>
      <c r="D198" s="11">
        <f>IF(AND(ISNUMBER(D63),N($V63)&gt;0,N(D$74)&gt;0),$V63*D$74/$V$74,"")</f>
        <v/>
      </c>
      <c r="E198" s="11">
        <f>IF(AND(ISNUMBER(E63),N($V63)&gt;0,N(E$74)&gt;0),$V63*E$74/$V$74,"")</f>
        <v/>
      </c>
      <c r="F198" s="11">
        <f>IF(AND(ISNUMBER(F63),N($V63)&gt;0,N(F$74)&gt;0),$V63*F$74/$V$74,"")</f>
        <v/>
      </c>
      <c r="G198" s="11">
        <f>IF(AND(ISNUMBER(G63),N($V63)&gt;0,N(G$74)&gt;0),$V63*G$74/$V$74,"")</f>
        <v/>
      </c>
      <c r="H198" s="11">
        <f>IF(AND(ISNUMBER(H63),N($V63)&gt;0,N(H$74)&gt;0),$V63*H$74/$V$74,"")</f>
        <v/>
      </c>
      <c r="I198" s="11">
        <f>IF(AND(ISNUMBER(I63),N($V63)&gt;0,N(I$74)&gt;0),$V63*I$74/$V$74,"")</f>
        <v/>
      </c>
      <c r="J198" s="11">
        <f>IF(AND(ISNUMBER(J63),N($V63)&gt;0,N(J$74)&gt;0),$V63*J$74/$V$74,"")</f>
        <v/>
      </c>
      <c r="K198" s="11">
        <f>IF(AND(ISNUMBER(K63),N($V63)&gt;0,N(K$74)&gt;0),$V63*K$74/$V$74,"")</f>
        <v/>
      </c>
      <c r="L198" s="11">
        <f>IF(AND(ISNUMBER(L63),N($V63)&gt;0,N(L$74)&gt;0),$V63*L$74/$V$74,"")</f>
        <v/>
      </c>
      <c r="M198" s="11">
        <f>IF(AND(ISNUMBER(M63),N($V63)&gt;0,N(M$74)&gt;0),$V63*M$74/$V$74,"")</f>
        <v/>
      </c>
      <c r="N198" s="11">
        <f>IF(AND(ISNUMBER(N63),N($V63)&gt;0,N(N$74)&gt;0),$V63*N$74/$V$74,"")</f>
        <v/>
      </c>
      <c r="O198" s="11">
        <f>IF(AND(ISNUMBER(O63),N($V63)&gt;0,N(O$74)&gt;0),$V63*O$74/$V$74,"")</f>
        <v/>
      </c>
      <c r="P198" s="11">
        <f>IF(AND(ISNUMBER(P63),N($V63)&gt;0,N(P$74)&gt;0),$V63*P$74/$V$74,"")</f>
        <v/>
      </c>
      <c r="Q198" s="11">
        <f>IF(AND(ISNUMBER(Q63),N($V63)&gt;0,N(Q$74)&gt;0),$V63*Q$74/$V$74,"")</f>
        <v/>
      </c>
      <c r="R198" s="11">
        <f>IF(AND(ISNUMBER(R63),N($V63)&gt;0,N(R$74)&gt;0),$V63*R$74/$V$74,"")</f>
        <v/>
      </c>
      <c r="S198" s="11">
        <f>IF(AND(ISNUMBER(S63),N($V63)&gt;0,N(S$74)&gt;0),$V63*S$74/$V$74,"")</f>
        <v/>
      </c>
      <c r="T198" s="11">
        <f>IF(AND(ISNUMBER(T63),N($V63)&gt;0,N(T$74)&gt;0),$V63*T$74/$V$74,"")</f>
        <v/>
      </c>
      <c r="U198" s="11">
        <f>IF(AND(ISNUMBER(U63),N($V63)&gt;0,N(U$74)&gt;0),$V63*U$74/$V$74,"")</f>
        <v/>
      </c>
    </row>
    <row r="199">
      <c r="A199" s="44">
        <f>$A64</f>
        <v/>
      </c>
      <c r="B199" s="11">
        <f>IF(AND(ISNUMBER(B64),N($V64)&gt;0,N(B$74)&gt;0),$V64*B$74/$V$74,"")</f>
        <v/>
      </c>
      <c r="C199" s="11">
        <f>IF(AND(ISNUMBER(C64),N($V64)&gt;0,N(C$74)&gt;0),$V64*C$74/$V$74,"")</f>
        <v/>
      </c>
      <c r="D199" s="11">
        <f>IF(AND(ISNUMBER(D64),N($V64)&gt;0,N(D$74)&gt;0),$V64*D$74/$V$74,"")</f>
        <v/>
      </c>
      <c r="E199" s="11">
        <f>IF(AND(ISNUMBER(E64),N($V64)&gt;0,N(E$74)&gt;0),$V64*E$74/$V$74,"")</f>
        <v/>
      </c>
      <c r="F199" s="11">
        <f>IF(AND(ISNUMBER(F64),N($V64)&gt;0,N(F$74)&gt;0),$V64*F$74/$V$74,"")</f>
        <v/>
      </c>
      <c r="G199" s="11">
        <f>IF(AND(ISNUMBER(G64),N($V64)&gt;0,N(G$74)&gt;0),$V64*G$74/$V$74,"")</f>
        <v/>
      </c>
      <c r="H199" s="11">
        <f>IF(AND(ISNUMBER(H64),N($V64)&gt;0,N(H$74)&gt;0),$V64*H$74/$V$74,"")</f>
        <v/>
      </c>
      <c r="I199" s="11">
        <f>IF(AND(ISNUMBER(I64),N($V64)&gt;0,N(I$74)&gt;0),$V64*I$74/$V$74,"")</f>
        <v/>
      </c>
      <c r="J199" s="11">
        <f>IF(AND(ISNUMBER(J64),N($V64)&gt;0,N(J$74)&gt;0),$V64*J$74/$V$74,"")</f>
        <v/>
      </c>
      <c r="K199" s="11">
        <f>IF(AND(ISNUMBER(K64),N($V64)&gt;0,N(K$74)&gt;0),$V64*K$74/$V$74,"")</f>
        <v/>
      </c>
      <c r="L199" s="11">
        <f>IF(AND(ISNUMBER(L64),N($V64)&gt;0,N(L$74)&gt;0),$V64*L$74/$V$74,"")</f>
        <v/>
      </c>
      <c r="M199" s="11">
        <f>IF(AND(ISNUMBER(M64),N($V64)&gt;0,N(M$74)&gt;0),$V64*M$74/$V$74,"")</f>
        <v/>
      </c>
      <c r="N199" s="11">
        <f>IF(AND(ISNUMBER(N64),N($V64)&gt;0,N(N$74)&gt;0),$V64*N$74/$V$74,"")</f>
        <v/>
      </c>
      <c r="O199" s="11">
        <f>IF(AND(ISNUMBER(O64),N($V64)&gt;0,N(O$74)&gt;0),$V64*O$74/$V$74,"")</f>
        <v/>
      </c>
      <c r="P199" s="11">
        <f>IF(AND(ISNUMBER(P64),N($V64)&gt;0,N(P$74)&gt;0),$V64*P$74/$V$74,"")</f>
        <v/>
      </c>
      <c r="Q199" s="11">
        <f>IF(AND(ISNUMBER(Q64),N($V64)&gt;0,N(Q$74)&gt;0),$V64*Q$74/$V$74,"")</f>
        <v/>
      </c>
      <c r="R199" s="11">
        <f>IF(AND(ISNUMBER(R64),N($V64)&gt;0,N(R$74)&gt;0),$V64*R$74/$V$74,"")</f>
        <v/>
      </c>
      <c r="S199" s="11">
        <f>IF(AND(ISNUMBER(S64),N($V64)&gt;0,N(S$74)&gt;0),$V64*S$74/$V$74,"")</f>
        <v/>
      </c>
      <c r="T199" s="11">
        <f>IF(AND(ISNUMBER(T64),N($V64)&gt;0,N(T$74)&gt;0),$V64*T$74/$V$74,"")</f>
        <v/>
      </c>
      <c r="U199" s="11">
        <f>IF(AND(ISNUMBER(U64),N($V64)&gt;0,N(U$74)&gt;0),$V64*U$74/$V$74,"")</f>
        <v/>
      </c>
    </row>
    <row r="200">
      <c r="A200" s="44">
        <f>$A65</f>
        <v/>
      </c>
      <c r="B200" s="11">
        <f>IF(AND(ISNUMBER(B65),N($V65)&gt;0,N(B$74)&gt;0),$V65*B$74/$V$74,"")</f>
        <v/>
      </c>
      <c r="C200" s="11">
        <f>IF(AND(ISNUMBER(C65),N($V65)&gt;0,N(C$74)&gt;0),$V65*C$74/$V$74,"")</f>
        <v/>
      </c>
      <c r="D200" s="11">
        <f>IF(AND(ISNUMBER(D65),N($V65)&gt;0,N(D$74)&gt;0),$V65*D$74/$V$74,"")</f>
        <v/>
      </c>
      <c r="E200" s="11">
        <f>IF(AND(ISNUMBER(E65),N($V65)&gt;0,N(E$74)&gt;0),$V65*E$74/$V$74,"")</f>
        <v/>
      </c>
      <c r="F200" s="11">
        <f>IF(AND(ISNUMBER(F65),N($V65)&gt;0,N(F$74)&gt;0),$V65*F$74/$V$74,"")</f>
        <v/>
      </c>
      <c r="G200" s="11">
        <f>IF(AND(ISNUMBER(G65),N($V65)&gt;0,N(G$74)&gt;0),$V65*G$74/$V$74,"")</f>
        <v/>
      </c>
      <c r="H200" s="11">
        <f>IF(AND(ISNUMBER(H65),N($V65)&gt;0,N(H$74)&gt;0),$V65*H$74/$V$74,"")</f>
        <v/>
      </c>
      <c r="I200" s="11">
        <f>IF(AND(ISNUMBER(I65),N($V65)&gt;0,N(I$74)&gt;0),$V65*I$74/$V$74,"")</f>
        <v/>
      </c>
      <c r="J200" s="11">
        <f>IF(AND(ISNUMBER(J65),N($V65)&gt;0,N(J$74)&gt;0),$V65*J$74/$V$74,"")</f>
        <v/>
      </c>
      <c r="K200" s="11">
        <f>IF(AND(ISNUMBER(K65),N($V65)&gt;0,N(K$74)&gt;0),$V65*K$74/$V$74,"")</f>
        <v/>
      </c>
      <c r="L200" s="11">
        <f>IF(AND(ISNUMBER(L65),N($V65)&gt;0,N(L$74)&gt;0),$V65*L$74/$V$74,"")</f>
        <v/>
      </c>
      <c r="M200" s="11">
        <f>IF(AND(ISNUMBER(M65),N($V65)&gt;0,N(M$74)&gt;0),$V65*M$74/$V$74,"")</f>
        <v/>
      </c>
      <c r="N200" s="11">
        <f>IF(AND(ISNUMBER(N65),N($V65)&gt;0,N(N$74)&gt;0),$V65*N$74/$V$74,"")</f>
        <v/>
      </c>
      <c r="O200" s="11">
        <f>IF(AND(ISNUMBER(O65),N($V65)&gt;0,N(O$74)&gt;0),$V65*O$74/$V$74,"")</f>
        <v/>
      </c>
      <c r="P200" s="11">
        <f>IF(AND(ISNUMBER(P65),N($V65)&gt;0,N(P$74)&gt;0),$V65*P$74/$V$74,"")</f>
        <v/>
      </c>
      <c r="Q200" s="11">
        <f>IF(AND(ISNUMBER(Q65),N($V65)&gt;0,N(Q$74)&gt;0),$V65*Q$74/$V$74,"")</f>
        <v/>
      </c>
      <c r="R200" s="11">
        <f>IF(AND(ISNUMBER(R65),N($V65)&gt;0,N(R$74)&gt;0),$V65*R$74/$V$74,"")</f>
        <v/>
      </c>
      <c r="S200" s="11">
        <f>IF(AND(ISNUMBER(S65),N($V65)&gt;0,N(S$74)&gt;0),$V65*S$74/$V$74,"")</f>
        <v/>
      </c>
      <c r="T200" s="11">
        <f>IF(AND(ISNUMBER(T65),N($V65)&gt;0,N(T$74)&gt;0),$V65*T$74/$V$74,"")</f>
        <v/>
      </c>
      <c r="U200" s="11">
        <f>IF(AND(ISNUMBER(U65),N($V65)&gt;0,N(U$74)&gt;0),$V65*U$74/$V$74,"")</f>
        <v/>
      </c>
    </row>
    <row r="201">
      <c r="A201" s="44">
        <f>$A66</f>
        <v/>
      </c>
      <c r="B201" s="11">
        <f>IF(AND(ISNUMBER(B66),N($V66)&gt;0,N(B$74)&gt;0),$V66*B$74/$V$74,"")</f>
        <v/>
      </c>
      <c r="C201" s="11">
        <f>IF(AND(ISNUMBER(C66),N($V66)&gt;0,N(C$74)&gt;0),$V66*C$74/$V$74,"")</f>
        <v/>
      </c>
      <c r="D201" s="11">
        <f>IF(AND(ISNUMBER(D66),N($V66)&gt;0,N(D$74)&gt;0),$V66*D$74/$V$74,"")</f>
        <v/>
      </c>
      <c r="E201" s="11">
        <f>IF(AND(ISNUMBER(E66),N($V66)&gt;0,N(E$74)&gt;0),$V66*E$74/$V$74,"")</f>
        <v/>
      </c>
      <c r="F201" s="11">
        <f>IF(AND(ISNUMBER(F66),N($V66)&gt;0,N(F$74)&gt;0),$V66*F$74/$V$74,"")</f>
        <v/>
      </c>
      <c r="G201" s="11">
        <f>IF(AND(ISNUMBER(G66),N($V66)&gt;0,N(G$74)&gt;0),$V66*G$74/$V$74,"")</f>
        <v/>
      </c>
      <c r="H201" s="11">
        <f>IF(AND(ISNUMBER(H66),N($V66)&gt;0,N(H$74)&gt;0),$V66*H$74/$V$74,"")</f>
        <v/>
      </c>
      <c r="I201" s="11">
        <f>IF(AND(ISNUMBER(I66),N($V66)&gt;0,N(I$74)&gt;0),$V66*I$74/$V$74,"")</f>
        <v/>
      </c>
      <c r="J201" s="11">
        <f>IF(AND(ISNUMBER(J66),N($V66)&gt;0,N(J$74)&gt;0),$V66*J$74/$V$74,"")</f>
        <v/>
      </c>
      <c r="K201" s="11">
        <f>IF(AND(ISNUMBER(K66),N($V66)&gt;0,N(K$74)&gt;0),$V66*K$74/$V$74,"")</f>
        <v/>
      </c>
      <c r="L201" s="11">
        <f>IF(AND(ISNUMBER(L66),N($V66)&gt;0,N(L$74)&gt;0),$V66*L$74/$V$74,"")</f>
        <v/>
      </c>
      <c r="M201" s="11">
        <f>IF(AND(ISNUMBER(M66),N($V66)&gt;0,N(M$74)&gt;0),$V66*M$74/$V$74,"")</f>
        <v/>
      </c>
      <c r="N201" s="11">
        <f>IF(AND(ISNUMBER(N66),N($V66)&gt;0,N(N$74)&gt;0),$V66*N$74/$V$74,"")</f>
        <v/>
      </c>
      <c r="O201" s="11">
        <f>IF(AND(ISNUMBER(O66),N($V66)&gt;0,N(O$74)&gt;0),$V66*O$74/$V$74,"")</f>
        <v/>
      </c>
      <c r="P201" s="11">
        <f>IF(AND(ISNUMBER(P66),N($V66)&gt;0,N(P$74)&gt;0),$V66*P$74/$V$74,"")</f>
        <v/>
      </c>
      <c r="Q201" s="11">
        <f>IF(AND(ISNUMBER(Q66),N($V66)&gt;0,N(Q$74)&gt;0),$V66*Q$74/$V$74,"")</f>
        <v/>
      </c>
      <c r="R201" s="11">
        <f>IF(AND(ISNUMBER(R66),N($V66)&gt;0,N(R$74)&gt;0),$V66*R$74/$V$74,"")</f>
        <v/>
      </c>
      <c r="S201" s="11">
        <f>IF(AND(ISNUMBER(S66),N($V66)&gt;0,N(S$74)&gt;0),$V66*S$74/$V$74,"")</f>
        <v/>
      </c>
      <c r="T201" s="11">
        <f>IF(AND(ISNUMBER(T66),N($V66)&gt;0,N(T$74)&gt;0),$V66*T$74/$V$74,"")</f>
        <v/>
      </c>
      <c r="U201" s="11">
        <f>IF(AND(ISNUMBER(U66),N($V66)&gt;0,N(U$74)&gt;0),$V66*U$74/$V$74,"")</f>
        <v/>
      </c>
    </row>
    <row r="202">
      <c r="A202" s="44">
        <f>$A67</f>
        <v/>
      </c>
      <c r="B202" s="11">
        <f>IF(AND(ISNUMBER(B67),N($V67)&gt;0,N(B$74)&gt;0),$V67*B$74/$V$74,"")</f>
        <v/>
      </c>
      <c r="C202" s="11">
        <f>IF(AND(ISNUMBER(C67),N($V67)&gt;0,N(C$74)&gt;0),$V67*C$74/$V$74,"")</f>
        <v/>
      </c>
      <c r="D202" s="11">
        <f>IF(AND(ISNUMBER(D67),N($V67)&gt;0,N(D$74)&gt;0),$V67*D$74/$V$74,"")</f>
        <v/>
      </c>
      <c r="E202" s="11">
        <f>IF(AND(ISNUMBER(E67),N($V67)&gt;0,N(E$74)&gt;0),$V67*E$74/$V$74,"")</f>
        <v/>
      </c>
      <c r="F202" s="11">
        <f>IF(AND(ISNUMBER(F67),N($V67)&gt;0,N(F$74)&gt;0),$V67*F$74/$V$74,"")</f>
        <v/>
      </c>
      <c r="G202" s="11">
        <f>IF(AND(ISNUMBER(G67),N($V67)&gt;0,N(G$74)&gt;0),$V67*G$74/$V$74,"")</f>
        <v/>
      </c>
      <c r="H202" s="11">
        <f>IF(AND(ISNUMBER(H67),N($V67)&gt;0,N(H$74)&gt;0),$V67*H$74/$V$74,"")</f>
        <v/>
      </c>
      <c r="I202" s="11">
        <f>IF(AND(ISNUMBER(I67),N($V67)&gt;0,N(I$74)&gt;0),$V67*I$74/$V$74,"")</f>
        <v/>
      </c>
      <c r="J202" s="11">
        <f>IF(AND(ISNUMBER(J67),N($V67)&gt;0,N(J$74)&gt;0),$V67*J$74/$V$74,"")</f>
        <v/>
      </c>
      <c r="K202" s="11">
        <f>IF(AND(ISNUMBER(K67),N($V67)&gt;0,N(K$74)&gt;0),$V67*K$74/$V$74,"")</f>
        <v/>
      </c>
      <c r="L202" s="11">
        <f>IF(AND(ISNUMBER(L67),N($V67)&gt;0,N(L$74)&gt;0),$V67*L$74/$V$74,"")</f>
        <v/>
      </c>
      <c r="M202" s="11">
        <f>IF(AND(ISNUMBER(M67),N($V67)&gt;0,N(M$74)&gt;0),$V67*M$74/$V$74,"")</f>
        <v/>
      </c>
      <c r="N202" s="11">
        <f>IF(AND(ISNUMBER(N67),N($V67)&gt;0,N(N$74)&gt;0),$V67*N$74/$V$74,"")</f>
        <v/>
      </c>
      <c r="O202" s="11">
        <f>IF(AND(ISNUMBER(O67),N($V67)&gt;0,N(O$74)&gt;0),$V67*O$74/$V$74,"")</f>
        <v/>
      </c>
      <c r="P202" s="11">
        <f>IF(AND(ISNUMBER(P67),N($V67)&gt;0,N(P$74)&gt;0),$V67*P$74/$V$74,"")</f>
        <v/>
      </c>
      <c r="Q202" s="11">
        <f>IF(AND(ISNUMBER(Q67),N($V67)&gt;0,N(Q$74)&gt;0),$V67*Q$74/$V$74,"")</f>
        <v/>
      </c>
      <c r="R202" s="11">
        <f>IF(AND(ISNUMBER(R67),N($V67)&gt;0,N(R$74)&gt;0),$V67*R$74/$V$74,"")</f>
        <v/>
      </c>
      <c r="S202" s="11">
        <f>IF(AND(ISNUMBER(S67),N($V67)&gt;0,N(S$74)&gt;0),$V67*S$74/$V$74,"")</f>
        <v/>
      </c>
      <c r="T202" s="11">
        <f>IF(AND(ISNUMBER(T67),N($V67)&gt;0,N(T$74)&gt;0),$V67*T$74/$V$74,"")</f>
        <v/>
      </c>
      <c r="U202" s="11">
        <f>IF(AND(ISNUMBER(U67),N($V67)&gt;0,N(U$74)&gt;0),$V67*U$74/$V$74,"")</f>
        <v/>
      </c>
    </row>
    <row r="203">
      <c r="A203" s="44">
        <f>$A68</f>
        <v/>
      </c>
      <c r="B203" s="11">
        <f>IF(AND(ISNUMBER(B68),N($V68)&gt;0,N(B$74)&gt;0),$V68*B$74/$V$74,"")</f>
        <v/>
      </c>
      <c r="C203" s="11">
        <f>IF(AND(ISNUMBER(C68),N($V68)&gt;0,N(C$74)&gt;0),$V68*C$74/$V$74,"")</f>
        <v/>
      </c>
      <c r="D203" s="11">
        <f>IF(AND(ISNUMBER(D68),N($V68)&gt;0,N(D$74)&gt;0),$V68*D$74/$V$74,"")</f>
        <v/>
      </c>
      <c r="E203" s="11">
        <f>IF(AND(ISNUMBER(E68),N($V68)&gt;0,N(E$74)&gt;0),$V68*E$74/$V$74,"")</f>
        <v/>
      </c>
      <c r="F203" s="11">
        <f>IF(AND(ISNUMBER(F68),N($V68)&gt;0,N(F$74)&gt;0),$V68*F$74/$V$74,"")</f>
        <v/>
      </c>
      <c r="G203" s="11">
        <f>IF(AND(ISNUMBER(G68),N($V68)&gt;0,N(G$74)&gt;0),$V68*G$74/$V$74,"")</f>
        <v/>
      </c>
      <c r="H203" s="11">
        <f>IF(AND(ISNUMBER(H68),N($V68)&gt;0,N(H$74)&gt;0),$V68*H$74/$V$74,"")</f>
        <v/>
      </c>
      <c r="I203" s="11">
        <f>IF(AND(ISNUMBER(I68),N($V68)&gt;0,N(I$74)&gt;0),$V68*I$74/$V$74,"")</f>
        <v/>
      </c>
      <c r="J203" s="11">
        <f>IF(AND(ISNUMBER(J68),N($V68)&gt;0,N(J$74)&gt;0),$V68*J$74/$V$74,"")</f>
        <v/>
      </c>
      <c r="K203" s="11">
        <f>IF(AND(ISNUMBER(K68),N($V68)&gt;0,N(K$74)&gt;0),$V68*K$74/$V$74,"")</f>
        <v/>
      </c>
      <c r="L203" s="11">
        <f>IF(AND(ISNUMBER(L68),N($V68)&gt;0,N(L$74)&gt;0),$V68*L$74/$V$74,"")</f>
        <v/>
      </c>
      <c r="M203" s="11">
        <f>IF(AND(ISNUMBER(M68),N($V68)&gt;0,N(M$74)&gt;0),$V68*M$74/$V$74,"")</f>
        <v/>
      </c>
      <c r="N203" s="11">
        <f>IF(AND(ISNUMBER(N68),N($V68)&gt;0,N(N$74)&gt;0),$V68*N$74/$V$74,"")</f>
        <v/>
      </c>
      <c r="O203" s="11">
        <f>IF(AND(ISNUMBER(O68),N($V68)&gt;0,N(O$74)&gt;0),$V68*O$74/$V$74,"")</f>
        <v/>
      </c>
      <c r="P203" s="11">
        <f>IF(AND(ISNUMBER(P68),N($V68)&gt;0,N(P$74)&gt;0),$V68*P$74/$V$74,"")</f>
        <v/>
      </c>
      <c r="Q203" s="11">
        <f>IF(AND(ISNUMBER(Q68),N($V68)&gt;0,N(Q$74)&gt;0),$V68*Q$74/$V$74,"")</f>
        <v/>
      </c>
      <c r="R203" s="11">
        <f>IF(AND(ISNUMBER(R68),N($V68)&gt;0,N(R$74)&gt;0),$V68*R$74/$V$74,"")</f>
        <v/>
      </c>
      <c r="S203" s="11">
        <f>IF(AND(ISNUMBER(S68),N($V68)&gt;0,N(S$74)&gt;0),$V68*S$74/$V$74,"")</f>
        <v/>
      </c>
      <c r="T203" s="11">
        <f>IF(AND(ISNUMBER(T68),N($V68)&gt;0,N(T$74)&gt;0),$V68*T$74/$V$74,"")</f>
        <v/>
      </c>
      <c r="U203" s="11">
        <f>IF(AND(ISNUMBER(U68),N($V68)&gt;0,N(U$74)&gt;0),$V68*U$74/$V$74,"")</f>
        <v/>
      </c>
    </row>
    <row r="204">
      <c r="A204" s="44">
        <f>$A69</f>
        <v/>
      </c>
      <c r="B204" s="11">
        <f>IF(AND(ISNUMBER(B69),N($V69)&gt;0,N(B$74)&gt;0),$V69*B$74/$V$74,"")</f>
        <v/>
      </c>
      <c r="C204" s="11">
        <f>IF(AND(ISNUMBER(C69),N($V69)&gt;0,N(C$74)&gt;0),$V69*C$74/$V$74,"")</f>
        <v/>
      </c>
      <c r="D204" s="11">
        <f>IF(AND(ISNUMBER(D69),N($V69)&gt;0,N(D$74)&gt;0),$V69*D$74/$V$74,"")</f>
        <v/>
      </c>
      <c r="E204" s="11">
        <f>IF(AND(ISNUMBER(E69),N($V69)&gt;0,N(E$74)&gt;0),$V69*E$74/$V$74,"")</f>
        <v/>
      </c>
      <c r="F204" s="11">
        <f>IF(AND(ISNUMBER(F69),N($V69)&gt;0,N(F$74)&gt;0),$V69*F$74/$V$74,"")</f>
        <v/>
      </c>
      <c r="G204" s="11">
        <f>IF(AND(ISNUMBER(G69),N($V69)&gt;0,N(G$74)&gt;0),$V69*G$74/$V$74,"")</f>
        <v/>
      </c>
      <c r="H204" s="11">
        <f>IF(AND(ISNUMBER(H69),N($V69)&gt;0,N(H$74)&gt;0),$V69*H$74/$V$74,"")</f>
        <v/>
      </c>
      <c r="I204" s="11">
        <f>IF(AND(ISNUMBER(I69),N($V69)&gt;0,N(I$74)&gt;0),$V69*I$74/$V$74,"")</f>
        <v/>
      </c>
      <c r="J204" s="11">
        <f>IF(AND(ISNUMBER(J69),N($V69)&gt;0,N(J$74)&gt;0),$V69*J$74/$V$74,"")</f>
        <v/>
      </c>
      <c r="K204" s="11">
        <f>IF(AND(ISNUMBER(K69),N($V69)&gt;0,N(K$74)&gt;0),$V69*K$74/$V$74,"")</f>
        <v/>
      </c>
      <c r="L204" s="11">
        <f>IF(AND(ISNUMBER(L69),N($V69)&gt;0,N(L$74)&gt;0),$V69*L$74/$V$74,"")</f>
        <v/>
      </c>
      <c r="M204" s="11">
        <f>IF(AND(ISNUMBER(M69),N($V69)&gt;0,N(M$74)&gt;0),$V69*M$74/$V$74,"")</f>
        <v/>
      </c>
      <c r="N204" s="11">
        <f>IF(AND(ISNUMBER(N69),N($V69)&gt;0,N(N$74)&gt;0),$V69*N$74/$V$74,"")</f>
        <v/>
      </c>
      <c r="O204" s="11">
        <f>IF(AND(ISNUMBER(O69),N($V69)&gt;0,N(O$74)&gt;0),$V69*O$74/$V$74,"")</f>
        <v/>
      </c>
      <c r="P204" s="11">
        <f>IF(AND(ISNUMBER(P69),N($V69)&gt;0,N(P$74)&gt;0),$V69*P$74/$V$74,"")</f>
        <v/>
      </c>
      <c r="Q204" s="11">
        <f>IF(AND(ISNUMBER(Q69),N($V69)&gt;0,N(Q$74)&gt;0),$V69*Q$74/$V$74,"")</f>
        <v/>
      </c>
      <c r="R204" s="11">
        <f>IF(AND(ISNUMBER(R69),N($V69)&gt;0,N(R$74)&gt;0),$V69*R$74/$V$74,"")</f>
        <v/>
      </c>
      <c r="S204" s="11">
        <f>IF(AND(ISNUMBER(S69),N($V69)&gt;0,N(S$74)&gt;0),$V69*S$74/$V$74,"")</f>
        <v/>
      </c>
      <c r="T204" s="11">
        <f>IF(AND(ISNUMBER(T69),N($V69)&gt;0,N(T$74)&gt;0),$V69*T$74/$V$74,"")</f>
        <v/>
      </c>
      <c r="U204" s="11">
        <f>IF(AND(ISNUMBER(U69),N($V69)&gt;0,N(U$74)&gt;0),$V69*U$74/$V$74,"")</f>
        <v/>
      </c>
    </row>
    <row r="205">
      <c r="A205" s="44">
        <f>$A70</f>
        <v/>
      </c>
      <c r="B205" s="11">
        <f>IF(AND(ISNUMBER(B70),N($V70)&gt;0,N(B$74)&gt;0),$V70*B$74/$V$74,"")</f>
        <v/>
      </c>
      <c r="C205" s="11">
        <f>IF(AND(ISNUMBER(C70),N($V70)&gt;0,N(C$74)&gt;0),$V70*C$74/$V$74,"")</f>
        <v/>
      </c>
      <c r="D205" s="11">
        <f>IF(AND(ISNUMBER(D70),N($V70)&gt;0,N(D$74)&gt;0),$V70*D$74/$V$74,"")</f>
        <v/>
      </c>
      <c r="E205" s="11">
        <f>IF(AND(ISNUMBER(E70),N($V70)&gt;0,N(E$74)&gt;0),$V70*E$74/$V$74,"")</f>
        <v/>
      </c>
      <c r="F205" s="11">
        <f>IF(AND(ISNUMBER(F70),N($V70)&gt;0,N(F$74)&gt;0),$V70*F$74/$V$74,"")</f>
        <v/>
      </c>
      <c r="G205" s="11">
        <f>IF(AND(ISNUMBER(G70),N($V70)&gt;0,N(G$74)&gt;0),$V70*G$74/$V$74,"")</f>
        <v/>
      </c>
      <c r="H205" s="11">
        <f>IF(AND(ISNUMBER(H70),N($V70)&gt;0,N(H$74)&gt;0),$V70*H$74/$V$74,"")</f>
        <v/>
      </c>
      <c r="I205" s="11">
        <f>IF(AND(ISNUMBER(I70),N($V70)&gt;0,N(I$74)&gt;0),$V70*I$74/$V$74,"")</f>
        <v/>
      </c>
      <c r="J205" s="11">
        <f>IF(AND(ISNUMBER(J70),N($V70)&gt;0,N(J$74)&gt;0),$V70*J$74/$V$74,"")</f>
        <v/>
      </c>
      <c r="K205" s="11">
        <f>IF(AND(ISNUMBER(K70),N($V70)&gt;0,N(K$74)&gt;0),$V70*K$74/$V$74,"")</f>
        <v/>
      </c>
      <c r="L205" s="11">
        <f>IF(AND(ISNUMBER(L70),N($V70)&gt;0,N(L$74)&gt;0),$V70*L$74/$V$74,"")</f>
        <v/>
      </c>
      <c r="M205" s="11">
        <f>IF(AND(ISNUMBER(M70),N($V70)&gt;0,N(M$74)&gt;0),$V70*M$74/$V$74,"")</f>
        <v/>
      </c>
      <c r="N205" s="11">
        <f>IF(AND(ISNUMBER(N70),N($V70)&gt;0,N(N$74)&gt;0),$V70*N$74/$V$74,"")</f>
        <v/>
      </c>
      <c r="O205" s="11">
        <f>IF(AND(ISNUMBER(O70),N($V70)&gt;0,N(O$74)&gt;0),$V70*O$74/$V$74,"")</f>
        <v/>
      </c>
      <c r="P205" s="11">
        <f>IF(AND(ISNUMBER(P70),N($V70)&gt;0,N(P$74)&gt;0),$V70*P$74/$V$74,"")</f>
        <v/>
      </c>
      <c r="Q205" s="11">
        <f>IF(AND(ISNUMBER(Q70),N($V70)&gt;0,N(Q$74)&gt;0),$V70*Q$74/$V$74,"")</f>
        <v/>
      </c>
      <c r="R205" s="11">
        <f>IF(AND(ISNUMBER(R70),N($V70)&gt;0,N(R$74)&gt;0),$V70*R$74/$V$74,"")</f>
        <v/>
      </c>
      <c r="S205" s="11">
        <f>IF(AND(ISNUMBER(S70),N($V70)&gt;0,N(S$74)&gt;0),$V70*S$74/$V$74,"")</f>
        <v/>
      </c>
      <c r="T205" s="11">
        <f>IF(AND(ISNUMBER(T70),N($V70)&gt;0,N(T$74)&gt;0),$V70*T$74/$V$74,"")</f>
        <v/>
      </c>
      <c r="U205" s="11">
        <f>IF(AND(ISNUMBER(U70),N($V70)&gt;0,N(U$74)&gt;0),$V70*U$74/$V$74,"")</f>
        <v/>
      </c>
    </row>
    <row r="206">
      <c r="A206" s="44">
        <f>$A71</f>
        <v/>
      </c>
      <c r="B206" s="11">
        <f>IF(AND(ISNUMBER(B71),N($V71)&gt;0,N(B$74)&gt;0),$V71*B$74/$V$74,"")</f>
        <v/>
      </c>
      <c r="C206" s="11">
        <f>IF(AND(ISNUMBER(C71),N($V71)&gt;0,N(C$74)&gt;0),$V71*C$74/$V$74,"")</f>
        <v/>
      </c>
      <c r="D206" s="11">
        <f>IF(AND(ISNUMBER(D71),N($V71)&gt;0,N(D$74)&gt;0),$V71*D$74/$V$74,"")</f>
        <v/>
      </c>
      <c r="E206" s="11">
        <f>IF(AND(ISNUMBER(E71),N($V71)&gt;0,N(E$74)&gt;0),$V71*E$74/$V$74,"")</f>
        <v/>
      </c>
      <c r="F206" s="11">
        <f>IF(AND(ISNUMBER(F71),N($V71)&gt;0,N(F$74)&gt;0),$V71*F$74/$V$74,"")</f>
        <v/>
      </c>
      <c r="G206" s="11">
        <f>IF(AND(ISNUMBER(G71),N($V71)&gt;0,N(G$74)&gt;0),$V71*G$74/$V$74,"")</f>
        <v/>
      </c>
      <c r="H206" s="11">
        <f>IF(AND(ISNUMBER(H71),N($V71)&gt;0,N(H$74)&gt;0),$V71*H$74/$V$74,"")</f>
        <v/>
      </c>
      <c r="I206" s="11">
        <f>IF(AND(ISNUMBER(I71),N($V71)&gt;0,N(I$74)&gt;0),$V71*I$74/$V$74,"")</f>
        <v/>
      </c>
      <c r="J206" s="11">
        <f>IF(AND(ISNUMBER(J71),N($V71)&gt;0,N(J$74)&gt;0),$V71*J$74/$V$74,"")</f>
        <v/>
      </c>
      <c r="K206" s="11">
        <f>IF(AND(ISNUMBER(K71),N($V71)&gt;0,N(K$74)&gt;0),$V71*K$74/$V$74,"")</f>
        <v/>
      </c>
      <c r="L206" s="11">
        <f>IF(AND(ISNUMBER(L71),N($V71)&gt;0,N(L$74)&gt;0),$V71*L$74/$V$74,"")</f>
        <v/>
      </c>
      <c r="M206" s="11">
        <f>IF(AND(ISNUMBER(M71),N($V71)&gt;0,N(M$74)&gt;0),$V71*M$74/$V$74,"")</f>
        <v/>
      </c>
      <c r="N206" s="11">
        <f>IF(AND(ISNUMBER(N71),N($V71)&gt;0,N(N$74)&gt;0),$V71*N$74/$V$74,"")</f>
        <v/>
      </c>
      <c r="O206" s="11">
        <f>IF(AND(ISNUMBER(O71),N($V71)&gt;0,N(O$74)&gt;0),$V71*O$74/$V$74,"")</f>
        <v/>
      </c>
      <c r="P206" s="11">
        <f>IF(AND(ISNUMBER(P71),N($V71)&gt;0,N(P$74)&gt;0),$V71*P$74/$V$74,"")</f>
        <v/>
      </c>
      <c r="Q206" s="11">
        <f>IF(AND(ISNUMBER(Q71),N($V71)&gt;0,N(Q$74)&gt;0),$V71*Q$74/$V$74,"")</f>
        <v/>
      </c>
      <c r="R206" s="11">
        <f>IF(AND(ISNUMBER(R71),N($V71)&gt;0,N(R$74)&gt;0),$V71*R$74/$V$74,"")</f>
        <v/>
      </c>
      <c r="S206" s="11">
        <f>IF(AND(ISNUMBER(S71),N($V71)&gt;0,N(S$74)&gt;0),$V71*S$74/$V$74,"")</f>
        <v/>
      </c>
      <c r="T206" s="11">
        <f>IF(AND(ISNUMBER(T71),N($V71)&gt;0,N(T$74)&gt;0),$V71*T$74/$V$74,"")</f>
        <v/>
      </c>
      <c r="U206" s="11">
        <f>IF(AND(ISNUMBER(U71),N($V71)&gt;0,N(U$74)&gt;0),$V71*U$74/$V$74,"")</f>
        <v/>
      </c>
    </row>
    <row r="207">
      <c r="A207" s="44">
        <f>$A72</f>
        <v/>
      </c>
      <c r="B207" s="11">
        <f>IF(AND(ISNUMBER(B72),N($V72)&gt;0,N(B$74)&gt;0),$V72*B$74/$V$74,"")</f>
        <v/>
      </c>
      <c r="C207" s="11">
        <f>IF(AND(ISNUMBER(C72),N($V72)&gt;0,N(C$74)&gt;0),$V72*C$74/$V$74,"")</f>
        <v/>
      </c>
      <c r="D207" s="11">
        <f>IF(AND(ISNUMBER(D72),N($V72)&gt;0,N(D$74)&gt;0),$V72*D$74/$V$74,"")</f>
        <v/>
      </c>
      <c r="E207" s="11">
        <f>IF(AND(ISNUMBER(E72),N($V72)&gt;0,N(E$74)&gt;0),$V72*E$74/$V$74,"")</f>
        <v/>
      </c>
      <c r="F207" s="11">
        <f>IF(AND(ISNUMBER(F72),N($V72)&gt;0,N(F$74)&gt;0),$V72*F$74/$V$74,"")</f>
        <v/>
      </c>
      <c r="G207" s="11">
        <f>IF(AND(ISNUMBER(G72),N($V72)&gt;0,N(G$74)&gt;0),$V72*G$74/$V$74,"")</f>
        <v/>
      </c>
      <c r="H207" s="11">
        <f>IF(AND(ISNUMBER(H72),N($V72)&gt;0,N(H$74)&gt;0),$V72*H$74/$V$74,"")</f>
        <v/>
      </c>
      <c r="I207" s="11">
        <f>IF(AND(ISNUMBER(I72),N($V72)&gt;0,N(I$74)&gt;0),$V72*I$74/$V$74,"")</f>
        <v/>
      </c>
      <c r="J207" s="11">
        <f>IF(AND(ISNUMBER(J72),N($V72)&gt;0,N(J$74)&gt;0),$V72*J$74/$V$74,"")</f>
        <v/>
      </c>
      <c r="K207" s="11">
        <f>IF(AND(ISNUMBER(K72),N($V72)&gt;0,N(K$74)&gt;0),$V72*K$74/$V$74,"")</f>
        <v/>
      </c>
      <c r="L207" s="11">
        <f>IF(AND(ISNUMBER(L72),N($V72)&gt;0,N(L$74)&gt;0),$V72*L$74/$V$74,"")</f>
        <v/>
      </c>
      <c r="M207" s="11">
        <f>IF(AND(ISNUMBER(M72),N($V72)&gt;0,N(M$74)&gt;0),$V72*M$74/$V$74,"")</f>
        <v/>
      </c>
      <c r="N207" s="11">
        <f>IF(AND(ISNUMBER(N72),N($V72)&gt;0,N(N$74)&gt;0),$V72*N$74/$V$74,"")</f>
        <v/>
      </c>
      <c r="O207" s="11">
        <f>IF(AND(ISNUMBER(O72),N($V72)&gt;0,N(O$74)&gt;0),$V72*O$74/$V$74,"")</f>
        <v/>
      </c>
      <c r="P207" s="11">
        <f>IF(AND(ISNUMBER(P72),N($V72)&gt;0,N(P$74)&gt;0),$V72*P$74/$V$74,"")</f>
        <v/>
      </c>
      <c r="Q207" s="11">
        <f>IF(AND(ISNUMBER(Q72),N($V72)&gt;0,N(Q$74)&gt;0),$V72*Q$74/$V$74,"")</f>
        <v/>
      </c>
      <c r="R207" s="11">
        <f>IF(AND(ISNUMBER(R72),N($V72)&gt;0,N(R$74)&gt;0),$V72*R$74/$V$74,"")</f>
        <v/>
      </c>
      <c r="S207" s="11">
        <f>IF(AND(ISNUMBER(S72),N($V72)&gt;0,N(S$74)&gt;0),$V72*S$74/$V$74,"")</f>
        <v/>
      </c>
      <c r="T207" s="11">
        <f>IF(AND(ISNUMBER(T72),N($V72)&gt;0,N(T$74)&gt;0),$V72*T$74/$V$74,"")</f>
        <v/>
      </c>
      <c r="U207" s="11">
        <f>IF(AND(ISNUMBER(U72),N($V72)&gt;0,N(U$74)&gt;0),$V72*U$74/$V$74,"")</f>
        <v/>
      </c>
    </row>
    <row r="208">
      <c r="A208" s="44">
        <f>$A73</f>
        <v/>
      </c>
      <c r="B208" s="11">
        <f>IF(AND(ISNUMBER(B73),N($V73)&gt;0,N(B$74)&gt;0),$V73*B$74/$V$74,"")</f>
        <v/>
      </c>
      <c r="C208" s="11">
        <f>IF(AND(ISNUMBER(C73),N($V73)&gt;0,N(C$74)&gt;0),$V73*C$74/$V$74,"")</f>
        <v/>
      </c>
      <c r="D208" s="11">
        <f>IF(AND(ISNUMBER(D73),N($V73)&gt;0,N(D$74)&gt;0),$V73*D$74/$V$74,"")</f>
        <v/>
      </c>
      <c r="E208" s="11">
        <f>IF(AND(ISNUMBER(E73),N($V73)&gt;0,N(E$74)&gt;0),$V73*E$74/$V$74,"")</f>
        <v/>
      </c>
      <c r="F208" s="11">
        <f>IF(AND(ISNUMBER(F73),N($V73)&gt;0,N(F$74)&gt;0),$V73*F$74/$V$74,"")</f>
        <v/>
      </c>
      <c r="G208" s="11">
        <f>IF(AND(ISNUMBER(G73),N($V73)&gt;0,N(G$74)&gt;0),$V73*G$74/$V$74,"")</f>
        <v/>
      </c>
      <c r="H208" s="11">
        <f>IF(AND(ISNUMBER(H73),N($V73)&gt;0,N(H$74)&gt;0),$V73*H$74/$V$74,"")</f>
        <v/>
      </c>
      <c r="I208" s="11">
        <f>IF(AND(ISNUMBER(I73),N($V73)&gt;0,N(I$74)&gt;0),$V73*I$74/$V$74,"")</f>
        <v/>
      </c>
      <c r="J208" s="11">
        <f>IF(AND(ISNUMBER(J73),N($V73)&gt;0,N(J$74)&gt;0),$V73*J$74/$V$74,"")</f>
        <v/>
      </c>
      <c r="K208" s="11">
        <f>IF(AND(ISNUMBER(K73),N($V73)&gt;0,N(K$74)&gt;0),$V73*K$74/$V$74,"")</f>
        <v/>
      </c>
      <c r="L208" s="11">
        <f>IF(AND(ISNUMBER(L73),N($V73)&gt;0,N(L$74)&gt;0),$V73*L$74/$V$74,"")</f>
        <v/>
      </c>
      <c r="M208" s="11">
        <f>IF(AND(ISNUMBER(M73),N($V73)&gt;0,N(M$74)&gt;0),$V73*M$74/$V$74,"")</f>
        <v/>
      </c>
      <c r="N208" s="11">
        <f>IF(AND(ISNUMBER(N73),N($V73)&gt;0,N(N$74)&gt;0),$V73*N$74/$V$74,"")</f>
        <v/>
      </c>
      <c r="O208" s="11">
        <f>IF(AND(ISNUMBER(O73),N($V73)&gt;0,N(O$74)&gt;0),$V73*O$74/$V$74,"")</f>
        <v/>
      </c>
      <c r="P208" s="11">
        <f>IF(AND(ISNUMBER(P73),N($V73)&gt;0,N(P$74)&gt;0),$V73*P$74/$V$74,"")</f>
        <v/>
      </c>
      <c r="Q208" s="11">
        <f>IF(AND(ISNUMBER(Q73),N($V73)&gt;0,N(Q$74)&gt;0),$V73*Q$74/$V$74,"")</f>
        <v/>
      </c>
      <c r="R208" s="11">
        <f>IF(AND(ISNUMBER(R73),N($V73)&gt;0,N(R$74)&gt;0),$V73*R$74/$V$74,"")</f>
        <v/>
      </c>
      <c r="S208" s="11">
        <f>IF(AND(ISNUMBER(S73),N($V73)&gt;0,N(S$74)&gt;0),$V73*S$74/$V$74,"")</f>
        <v/>
      </c>
      <c r="T208" s="11">
        <f>IF(AND(ISNUMBER(T73),N($V73)&gt;0,N(T$74)&gt;0),$V73*T$74/$V$74,"")</f>
        <v/>
      </c>
      <c r="U208" s="11">
        <f>IF(AND(ISNUMBER(U73),N($V73)&gt;0,N(U$74)&gt;0),$V73*U$74/$V$74,"")</f>
        <v/>
      </c>
    </row>
    <row r="210">
      <c r="A210" s="44">
        <f>"bijdrage aan χ²: (n − e)² / e"</f>
        <v/>
      </c>
      <c r="B210" s="44">
        <f>B$53</f>
        <v/>
      </c>
      <c r="C210" s="44">
        <f>C$53</f>
        <v/>
      </c>
      <c r="D210" s="44">
        <f>D$53</f>
        <v/>
      </c>
      <c r="E210" s="44">
        <f>E$53</f>
        <v/>
      </c>
      <c r="F210" s="44">
        <f>F$53</f>
        <v/>
      </c>
      <c r="G210" s="44">
        <f>G$53</f>
        <v/>
      </c>
      <c r="H210" s="44">
        <f>H$53</f>
        <v/>
      </c>
      <c r="I210" s="44">
        <f>I$53</f>
        <v/>
      </c>
      <c r="J210" s="44">
        <f>J$53</f>
        <v/>
      </c>
      <c r="K210" s="44">
        <f>K$53</f>
        <v/>
      </c>
      <c r="L210" s="44">
        <f>L$53</f>
        <v/>
      </c>
      <c r="M210" s="44">
        <f>M$53</f>
        <v/>
      </c>
      <c r="N210" s="44">
        <f>N$53</f>
        <v/>
      </c>
      <c r="O210" s="44">
        <f>O$53</f>
        <v/>
      </c>
      <c r="P210" s="44">
        <f>P$53</f>
        <v/>
      </c>
      <c r="Q210" s="44">
        <f>Q$53</f>
        <v/>
      </c>
      <c r="R210" s="44">
        <f>R$53</f>
        <v/>
      </c>
      <c r="S210" s="44">
        <f>S$53</f>
        <v/>
      </c>
      <c r="T210" s="44">
        <f>T$53</f>
        <v/>
      </c>
      <c r="U210" s="44">
        <f>U$53</f>
        <v/>
      </c>
    </row>
    <row r="211">
      <c r="A211" s="44">
        <f>$A54</f>
        <v/>
      </c>
      <c r="B211" s="11">
        <f>IF(ISNUMBER(B189),(B54-B189)^2/B189,"")</f>
        <v/>
      </c>
      <c r="C211" s="11">
        <f>IF(ISNUMBER(C189),(C54-C189)^2/C189,"")</f>
        <v/>
      </c>
      <c r="D211" s="11">
        <f>IF(ISNUMBER(D189),(D54-D189)^2/D189,"")</f>
        <v/>
      </c>
      <c r="E211" s="11">
        <f>IF(ISNUMBER(E189),(E54-E189)^2/E189,"")</f>
        <v/>
      </c>
      <c r="F211" s="11">
        <f>IF(ISNUMBER(F189),(F54-F189)^2/F189,"")</f>
        <v/>
      </c>
      <c r="G211" s="11">
        <f>IF(ISNUMBER(G189),(G54-G189)^2/G189,"")</f>
        <v/>
      </c>
      <c r="H211" s="11">
        <f>IF(ISNUMBER(H189),(H54-H189)^2/H189,"")</f>
        <v/>
      </c>
      <c r="I211" s="11">
        <f>IF(ISNUMBER(I189),(I54-I189)^2/I189,"")</f>
        <v/>
      </c>
      <c r="J211" s="11">
        <f>IF(ISNUMBER(J189),(J54-J189)^2/J189,"")</f>
        <v/>
      </c>
      <c r="K211" s="11">
        <f>IF(ISNUMBER(K189),(K54-K189)^2/K189,"")</f>
        <v/>
      </c>
      <c r="L211" s="11">
        <f>IF(ISNUMBER(L189),(L54-L189)^2/L189,"")</f>
        <v/>
      </c>
      <c r="M211" s="11">
        <f>IF(ISNUMBER(M189),(M54-M189)^2/M189,"")</f>
        <v/>
      </c>
      <c r="N211" s="11">
        <f>IF(ISNUMBER(N189),(N54-N189)^2/N189,"")</f>
        <v/>
      </c>
      <c r="O211" s="11">
        <f>IF(ISNUMBER(O189),(O54-O189)^2/O189,"")</f>
        <v/>
      </c>
      <c r="P211" s="11">
        <f>IF(ISNUMBER(P189),(P54-P189)^2/P189,"")</f>
        <v/>
      </c>
      <c r="Q211" s="11">
        <f>IF(ISNUMBER(Q189),(Q54-Q189)^2/Q189,"")</f>
        <v/>
      </c>
      <c r="R211" s="11">
        <f>IF(ISNUMBER(R189),(R54-R189)^2/R189,"")</f>
        <v/>
      </c>
      <c r="S211" s="11">
        <f>IF(ISNUMBER(S189),(S54-S189)^2/S189,"")</f>
        <v/>
      </c>
      <c r="T211" s="11">
        <f>IF(ISNUMBER(T189),(T54-T189)^2/T189,"")</f>
        <v/>
      </c>
      <c r="U211" s="11">
        <f>IF(ISNUMBER(U189),(U54-U189)^2/U189,"")</f>
        <v/>
      </c>
    </row>
    <row r="212">
      <c r="A212" s="44">
        <f>$A55</f>
        <v/>
      </c>
      <c r="B212" s="11">
        <f>IF(ISNUMBER(B190),(B55-B190)^2/B190,"")</f>
        <v/>
      </c>
      <c r="C212" s="11">
        <f>IF(ISNUMBER(C190),(C55-C190)^2/C190,"")</f>
        <v/>
      </c>
      <c r="D212" s="11">
        <f>IF(ISNUMBER(D190),(D55-D190)^2/D190,"")</f>
        <v/>
      </c>
      <c r="E212" s="11">
        <f>IF(ISNUMBER(E190),(E55-E190)^2/E190,"")</f>
        <v/>
      </c>
      <c r="F212" s="11">
        <f>IF(ISNUMBER(F190),(F55-F190)^2/F190,"")</f>
        <v/>
      </c>
      <c r="G212" s="11">
        <f>IF(ISNUMBER(G190),(G55-G190)^2/G190,"")</f>
        <v/>
      </c>
      <c r="H212" s="11">
        <f>IF(ISNUMBER(H190),(H55-H190)^2/H190,"")</f>
        <v/>
      </c>
      <c r="I212" s="11">
        <f>IF(ISNUMBER(I190),(I55-I190)^2/I190,"")</f>
        <v/>
      </c>
      <c r="J212" s="11">
        <f>IF(ISNUMBER(J190),(J55-J190)^2/J190,"")</f>
        <v/>
      </c>
      <c r="K212" s="11">
        <f>IF(ISNUMBER(K190),(K55-K190)^2/K190,"")</f>
        <v/>
      </c>
      <c r="L212" s="11">
        <f>IF(ISNUMBER(L190),(L55-L190)^2/L190,"")</f>
        <v/>
      </c>
      <c r="M212" s="11">
        <f>IF(ISNUMBER(M190),(M55-M190)^2/M190,"")</f>
        <v/>
      </c>
      <c r="N212" s="11">
        <f>IF(ISNUMBER(N190),(N55-N190)^2/N190,"")</f>
        <v/>
      </c>
      <c r="O212" s="11">
        <f>IF(ISNUMBER(O190),(O55-O190)^2/O190,"")</f>
        <v/>
      </c>
      <c r="P212" s="11">
        <f>IF(ISNUMBER(P190),(P55-P190)^2/P190,"")</f>
        <v/>
      </c>
      <c r="Q212" s="11">
        <f>IF(ISNUMBER(Q190),(Q55-Q190)^2/Q190,"")</f>
        <v/>
      </c>
      <c r="R212" s="11">
        <f>IF(ISNUMBER(R190),(R55-R190)^2/R190,"")</f>
        <v/>
      </c>
      <c r="S212" s="11">
        <f>IF(ISNUMBER(S190),(S55-S190)^2/S190,"")</f>
        <v/>
      </c>
      <c r="T212" s="11">
        <f>IF(ISNUMBER(T190),(T55-T190)^2/T190,"")</f>
        <v/>
      </c>
      <c r="U212" s="11">
        <f>IF(ISNUMBER(U190),(U55-U190)^2/U190,"")</f>
        <v/>
      </c>
    </row>
    <row r="213">
      <c r="A213" s="44">
        <f>$A56</f>
        <v/>
      </c>
      <c r="B213" s="11">
        <f>IF(ISNUMBER(B191),(B56-B191)^2/B191,"")</f>
        <v/>
      </c>
      <c r="C213" s="11">
        <f>IF(ISNUMBER(C191),(C56-C191)^2/C191,"")</f>
        <v/>
      </c>
      <c r="D213" s="11">
        <f>IF(ISNUMBER(D191),(D56-D191)^2/D191,"")</f>
        <v/>
      </c>
      <c r="E213" s="11">
        <f>IF(ISNUMBER(E191),(E56-E191)^2/E191,"")</f>
        <v/>
      </c>
      <c r="F213" s="11">
        <f>IF(ISNUMBER(F191),(F56-F191)^2/F191,"")</f>
        <v/>
      </c>
      <c r="G213" s="11">
        <f>IF(ISNUMBER(G191),(G56-G191)^2/G191,"")</f>
        <v/>
      </c>
      <c r="H213" s="11">
        <f>IF(ISNUMBER(H191),(H56-H191)^2/H191,"")</f>
        <v/>
      </c>
      <c r="I213" s="11">
        <f>IF(ISNUMBER(I191),(I56-I191)^2/I191,"")</f>
        <v/>
      </c>
      <c r="J213" s="11">
        <f>IF(ISNUMBER(J191),(J56-J191)^2/J191,"")</f>
        <v/>
      </c>
      <c r="K213" s="11">
        <f>IF(ISNUMBER(K191),(K56-K191)^2/K191,"")</f>
        <v/>
      </c>
      <c r="L213" s="11">
        <f>IF(ISNUMBER(L191),(L56-L191)^2/L191,"")</f>
        <v/>
      </c>
      <c r="M213" s="11">
        <f>IF(ISNUMBER(M191),(M56-M191)^2/M191,"")</f>
        <v/>
      </c>
      <c r="N213" s="11">
        <f>IF(ISNUMBER(N191),(N56-N191)^2/N191,"")</f>
        <v/>
      </c>
      <c r="O213" s="11">
        <f>IF(ISNUMBER(O191),(O56-O191)^2/O191,"")</f>
        <v/>
      </c>
      <c r="P213" s="11">
        <f>IF(ISNUMBER(P191),(P56-P191)^2/P191,"")</f>
        <v/>
      </c>
      <c r="Q213" s="11">
        <f>IF(ISNUMBER(Q191),(Q56-Q191)^2/Q191,"")</f>
        <v/>
      </c>
      <c r="R213" s="11">
        <f>IF(ISNUMBER(R191),(R56-R191)^2/R191,"")</f>
        <v/>
      </c>
      <c r="S213" s="11">
        <f>IF(ISNUMBER(S191),(S56-S191)^2/S191,"")</f>
        <v/>
      </c>
      <c r="T213" s="11">
        <f>IF(ISNUMBER(T191),(T56-T191)^2/T191,"")</f>
        <v/>
      </c>
      <c r="U213" s="11">
        <f>IF(ISNUMBER(U191),(U56-U191)^2/U191,"")</f>
        <v/>
      </c>
    </row>
    <row r="214">
      <c r="A214" s="44">
        <f>$A57</f>
        <v/>
      </c>
      <c r="B214" s="11">
        <f>IF(ISNUMBER(B192),(B57-B192)^2/B192,"")</f>
        <v/>
      </c>
      <c r="C214" s="11">
        <f>IF(ISNUMBER(C192),(C57-C192)^2/C192,"")</f>
        <v/>
      </c>
      <c r="D214" s="11">
        <f>IF(ISNUMBER(D192),(D57-D192)^2/D192,"")</f>
        <v/>
      </c>
      <c r="E214" s="11">
        <f>IF(ISNUMBER(E192),(E57-E192)^2/E192,"")</f>
        <v/>
      </c>
      <c r="F214" s="11">
        <f>IF(ISNUMBER(F192),(F57-F192)^2/F192,"")</f>
        <v/>
      </c>
      <c r="G214" s="11">
        <f>IF(ISNUMBER(G192),(G57-G192)^2/G192,"")</f>
        <v/>
      </c>
      <c r="H214" s="11">
        <f>IF(ISNUMBER(H192),(H57-H192)^2/H192,"")</f>
        <v/>
      </c>
      <c r="I214" s="11">
        <f>IF(ISNUMBER(I192),(I57-I192)^2/I192,"")</f>
        <v/>
      </c>
      <c r="J214" s="11">
        <f>IF(ISNUMBER(J192),(J57-J192)^2/J192,"")</f>
        <v/>
      </c>
      <c r="K214" s="11">
        <f>IF(ISNUMBER(K192),(K57-K192)^2/K192,"")</f>
        <v/>
      </c>
      <c r="L214" s="11">
        <f>IF(ISNUMBER(L192),(L57-L192)^2/L192,"")</f>
        <v/>
      </c>
      <c r="M214" s="11">
        <f>IF(ISNUMBER(M192),(M57-M192)^2/M192,"")</f>
        <v/>
      </c>
      <c r="N214" s="11">
        <f>IF(ISNUMBER(N192),(N57-N192)^2/N192,"")</f>
        <v/>
      </c>
      <c r="O214" s="11">
        <f>IF(ISNUMBER(O192),(O57-O192)^2/O192,"")</f>
        <v/>
      </c>
      <c r="P214" s="11">
        <f>IF(ISNUMBER(P192),(P57-P192)^2/P192,"")</f>
        <v/>
      </c>
      <c r="Q214" s="11">
        <f>IF(ISNUMBER(Q192),(Q57-Q192)^2/Q192,"")</f>
        <v/>
      </c>
      <c r="R214" s="11">
        <f>IF(ISNUMBER(R192),(R57-R192)^2/R192,"")</f>
        <v/>
      </c>
      <c r="S214" s="11">
        <f>IF(ISNUMBER(S192),(S57-S192)^2/S192,"")</f>
        <v/>
      </c>
      <c r="T214" s="11">
        <f>IF(ISNUMBER(T192),(T57-T192)^2/T192,"")</f>
        <v/>
      </c>
      <c r="U214" s="11">
        <f>IF(ISNUMBER(U192),(U57-U192)^2/U192,"")</f>
        <v/>
      </c>
    </row>
    <row r="215">
      <c r="A215" s="44">
        <f>$A58</f>
        <v/>
      </c>
      <c r="B215" s="11">
        <f>IF(ISNUMBER(B193),(B58-B193)^2/B193,"")</f>
        <v/>
      </c>
      <c r="C215" s="11">
        <f>IF(ISNUMBER(C193),(C58-C193)^2/C193,"")</f>
        <v/>
      </c>
      <c r="D215" s="11">
        <f>IF(ISNUMBER(D193),(D58-D193)^2/D193,"")</f>
        <v/>
      </c>
      <c r="E215" s="11">
        <f>IF(ISNUMBER(E193),(E58-E193)^2/E193,"")</f>
        <v/>
      </c>
      <c r="F215" s="11">
        <f>IF(ISNUMBER(F193),(F58-F193)^2/F193,"")</f>
        <v/>
      </c>
      <c r="G215" s="11">
        <f>IF(ISNUMBER(G193),(G58-G193)^2/G193,"")</f>
        <v/>
      </c>
      <c r="H215" s="11">
        <f>IF(ISNUMBER(H193),(H58-H193)^2/H193,"")</f>
        <v/>
      </c>
      <c r="I215" s="11">
        <f>IF(ISNUMBER(I193),(I58-I193)^2/I193,"")</f>
        <v/>
      </c>
      <c r="J215" s="11">
        <f>IF(ISNUMBER(J193),(J58-J193)^2/J193,"")</f>
        <v/>
      </c>
      <c r="K215" s="11">
        <f>IF(ISNUMBER(K193),(K58-K193)^2/K193,"")</f>
        <v/>
      </c>
      <c r="L215" s="11">
        <f>IF(ISNUMBER(L193),(L58-L193)^2/L193,"")</f>
        <v/>
      </c>
      <c r="M215" s="11">
        <f>IF(ISNUMBER(M193),(M58-M193)^2/M193,"")</f>
        <v/>
      </c>
      <c r="N215" s="11">
        <f>IF(ISNUMBER(N193),(N58-N193)^2/N193,"")</f>
        <v/>
      </c>
      <c r="O215" s="11">
        <f>IF(ISNUMBER(O193),(O58-O193)^2/O193,"")</f>
        <v/>
      </c>
      <c r="P215" s="11">
        <f>IF(ISNUMBER(P193),(P58-P193)^2/P193,"")</f>
        <v/>
      </c>
      <c r="Q215" s="11">
        <f>IF(ISNUMBER(Q193),(Q58-Q193)^2/Q193,"")</f>
        <v/>
      </c>
      <c r="R215" s="11">
        <f>IF(ISNUMBER(R193),(R58-R193)^2/R193,"")</f>
        <v/>
      </c>
      <c r="S215" s="11">
        <f>IF(ISNUMBER(S193),(S58-S193)^2/S193,"")</f>
        <v/>
      </c>
      <c r="T215" s="11">
        <f>IF(ISNUMBER(T193),(T58-T193)^2/T193,"")</f>
        <v/>
      </c>
      <c r="U215" s="11">
        <f>IF(ISNUMBER(U193),(U58-U193)^2/U193,"")</f>
        <v/>
      </c>
    </row>
    <row r="216">
      <c r="A216" s="44">
        <f>$A59</f>
        <v/>
      </c>
      <c r="B216" s="11">
        <f>IF(ISNUMBER(B194),(B59-B194)^2/B194,"")</f>
        <v/>
      </c>
      <c r="C216" s="11">
        <f>IF(ISNUMBER(C194),(C59-C194)^2/C194,"")</f>
        <v/>
      </c>
      <c r="D216" s="11">
        <f>IF(ISNUMBER(D194),(D59-D194)^2/D194,"")</f>
        <v/>
      </c>
      <c r="E216" s="11">
        <f>IF(ISNUMBER(E194),(E59-E194)^2/E194,"")</f>
        <v/>
      </c>
      <c r="F216" s="11">
        <f>IF(ISNUMBER(F194),(F59-F194)^2/F194,"")</f>
        <v/>
      </c>
      <c r="G216" s="11">
        <f>IF(ISNUMBER(G194),(G59-G194)^2/G194,"")</f>
        <v/>
      </c>
      <c r="H216" s="11">
        <f>IF(ISNUMBER(H194),(H59-H194)^2/H194,"")</f>
        <v/>
      </c>
      <c r="I216" s="11">
        <f>IF(ISNUMBER(I194),(I59-I194)^2/I194,"")</f>
        <v/>
      </c>
      <c r="J216" s="11">
        <f>IF(ISNUMBER(J194),(J59-J194)^2/J194,"")</f>
        <v/>
      </c>
      <c r="K216" s="11">
        <f>IF(ISNUMBER(K194),(K59-K194)^2/K194,"")</f>
        <v/>
      </c>
      <c r="L216" s="11">
        <f>IF(ISNUMBER(L194),(L59-L194)^2/L194,"")</f>
        <v/>
      </c>
      <c r="M216" s="11">
        <f>IF(ISNUMBER(M194),(M59-M194)^2/M194,"")</f>
        <v/>
      </c>
      <c r="N216" s="11">
        <f>IF(ISNUMBER(N194),(N59-N194)^2/N194,"")</f>
        <v/>
      </c>
      <c r="O216" s="11">
        <f>IF(ISNUMBER(O194),(O59-O194)^2/O194,"")</f>
        <v/>
      </c>
      <c r="P216" s="11">
        <f>IF(ISNUMBER(P194),(P59-P194)^2/P194,"")</f>
        <v/>
      </c>
      <c r="Q216" s="11">
        <f>IF(ISNUMBER(Q194),(Q59-Q194)^2/Q194,"")</f>
        <v/>
      </c>
      <c r="R216" s="11">
        <f>IF(ISNUMBER(R194),(R59-R194)^2/R194,"")</f>
        <v/>
      </c>
      <c r="S216" s="11">
        <f>IF(ISNUMBER(S194),(S59-S194)^2/S194,"")</f>
        <v/>
      </c>
      <c r="T216" s="11">
        <f>IF(ISNUMBER(T194),(T59-T194)^2/T194,"")</f>
        <v/>
      </c>
      <c r="U216" s="11">
        <f>IF(ISNUMBER(U194),(U59-U194)^2/U194,"")</f>
        <v/>
      </c>
    </row>
    <row r="217">
      <c r="A217" s="44">
        <f>$A60</f>
        <v/>
      </c>
      <c r="B217" s="11">
        <f>IF(ISNUMBER(B195),(B60-B195)^2/B195,"")</f>
        <v/>
      </c>
      <c r="C217" s="11">
        <f>IF(ISNUMBER(C195),(C60-C195)^2/C195,"")</f>
        <v/>
      </c>
      <c r="D217" s="11">
        <f>IF(ISNUMBER(D195),(D60-D195)^2/D195,"")</f>
        <v/>
      </c>
      <c r="E217" s="11">
        <f>IF(ISNUMBER(E195),(E60-E195)^2/E195,"")</f>
        <v/>
      </c>
      <c r="F217" s="11">
        <f>IF(ISNUMBER(F195),(F60-F195)^2/F195,"")</f>
        <v/>
      </c>
      <c r="G217" s="11">
        <f>IF(ISNUMBER(G195),(G60-G195)^2/G195,"")</f>
        <v/>
      </c>
      <c r="H217" s="11">
        <f>IF(ISNUMBER(H195),(H60-H195)^2/H195,"")</f>
        <v/>
      </c>
      <c r="I217" s="11">
        <f>IF(ISNUMBER(I195),(I60-I195)^2/I195,"")</f>
        <v/>
      </c>
      <c r="J217" s="11">
        <f>IF(ISNUMBER(J195),(J60-J195)^2/J195,"")</f>
        <v/>
      </c>
      <c r="K217" s="11">
        <f>IF(ISNUMBER(K195),(K60-K195)^2/K195,"")</f>
        <v/>
      </c>
      <c r="L217" s="11">
        <f>IF(ISNUMBER(L195),(L60-L195)^2/L195,"")</f>
        <v/>
      </c>
      <c r="M217" s="11">
        <f>IF(ISNUMBER(M195),(M60-M195)^2/M195,"")</f>
        <v/>
      </c>
      <c r="N217" s="11">
        <f>IF(ISNUMBER(N195),(N60-N195)^2/N195,"")</f>
        <v/>
      </c>
      <c r="O217" s="11">
        <f>IF(ISNUMBER(O195),(O60-O195)^2/O195,"")</f>
        <v/>
      </c>
      <c r="P217" s="11">
        <f>IF(ISNUMBER(P195),(P60-P195)^2/P195,"")</f>
        <v/>
      </c>
      <c r="Q217" s="11">
        <f>IF(ISNUMBER(Q195),(Q60-Q195)^2/Q195,"")</f>
        <v/>
      </c>
      <c r="R217" s="11">
        <f>IF(ISNUMBER(R195),(R60-R195)^2/R195,"")</f>
        <v/>
      </c>
      <c r="S217" s="11">
        <f>IF(ISNUMBER(S195),(S60-S195)^2/S195,"")</f>
        <v/>
      </c>
      <c r="T217" s="11">
        <f>IF(ISNUMBER(T195),(T60-T195)^2/T195,"")</f>
        <v/>
      </c>
      <c r="U217" s="11">
        <f>IF(ISNUMBER(U195),(U60-U195)^2/U195,"")</f>
        <v/>
      </c>
    </row>
    <row r="218">
      <c r="A218" s="44">
        <f>$A61</f>
        <v/>
      </c>
      <c r="B218" s="11">
        <f>IF(ISNUMBER(B196),(B61-B196)^2/B196,"")</f>
        <v/>
      </c>
      <c r="C218" s="11">
        <f>IF(ISNUMBER(C196),(C61-C196)^2/C196,"")</f>
        <v/>
      </c>
      <c r="D218" s="11">
        <f>IF(ISNUMBER(D196),(D61-D196)^2/D196,"")</f>
        <v/>
      </c>
      <c r="E218" s="11">
        <f>IF(ISNUMBER(E196),(E61-E196)^2/E196,"")</f>
        <v/>
      </c>
      <c r="F218" s="11">
        <f>IF(ISNUMBER(F196),(F61-F196)^2/F196,"")</f>
        <v/>
      </c>
      <c r="G218" s="11">
        <f>IF(ISNUMBER(G196),(G61-G196)^2/G196,"")</f>
        <v/>
      </c>
      <c r="H218" s="11">
        <f>IF(ISNUMBER(H196),(H61-H196)^2/H196,"")</f>
        <v/>
      </c>
      <c r="I218" s="11">
        <f>IF(ISNUMBER(I196),(I61-I196)^2/I196,"")</f>
        <v/>
      </c>
      <c r="J218" s="11">
        <f>IF(ISNUMBER(J196),(J61-J196)^2/J196,"")</f>
        <v/>
      </c>
      <c r="K218" s="11">
        <f>IF(ISNUMBER(K196),(K61-K196)^2/K196,"")</f>
        <v/>
      </c>
      <c r="L218" s="11">
        <f>IF(ISNUMBER(L196),(L61-L196)^2/L196,"")</f>
        <v/>
      </c>
      <c r="M218" s="11">
        <f>IF(ISNUMBER(M196),(M61-M196)^2/M196,"")</f>
        <v/>
      </c>
      <c r="N218" s="11">
        <f>IF(ISNUMBER(N196),(N61-N196)^2/N196,"")</f>
        <v/>
      </c>
      <c r="O218" s="11">
        <f>IF(ISNUMBER(O196),(O61-O196)^2/O196,"")</f>
        <v/>
      </c>
      <c r="P218" s="11">
        <f>IF(ISNUMBER(P196),(P61-P196)^2/P196,"")</f>
        <v/>
      </c>
      <c r="Q218" s="11">
        <f>IF(ISNUMBER(Q196),(Q61-Q196)^2/Q196,"")</f>
        <v/>
      </c>
      <c r="R218" s="11">
        <f>IF(ISNUMBER(R196),(R61-R196)^2/R196,"")</f>
        <v/>
      </c>
      <c r="S218" s="11">
        <f>IF(ISNUMBER(S196),(S61-S196)^2/S196,"")</f>
        <v/>
      </c>
      <c r="T218" s="11">
        <f>IF(ISNUMBER(T196),(T61-T196)^2/T196,"")</f>
        <v/>
      </c>
      <c r="U218" s="11">
        <f>IF(ISNUMBER(U196),(U61-U196)^2/U196,"")</f>
        <v/>
      </c>
    </row>
    <row r="219">
      <c r="A219" s="44">
        <f>$A62</f>
        <v/>
      </c>
      <c r="B219" s="11">
        <f>IF(ISNUMBER(B197),(B62-B197)^2/B197,"")</f>
        <v/>
      </c>
      <c r="C219" s="11">
        <f>IF(ISNUMBER(C197),(C62-C197)^2/C197,"")</f>
        <v/>
      </c>
      <c r="D219" s="11">
        <f>IF(ISNUMBER(D197),(D62-D197)^2/D197,"")</f>
        <v/>
      </c>
      <c r="E219" s="11">
        <f>IF(ISNUMBER(E197),(E62-E197)^2/E197,"")</f>
        <v/>
      </c>
      <c r="F219" s="11">
        <f>IF(ISNUMBER(F197),(F62-F197)^2/F197,"")</f>
        <v/>
      </c>
      <c r="G219" s="11">
        <f>IF(ISNUMBER(G197),(G62-G197)^2/G197,"")</f>
        <v/>
      </c>
      <c r="H219" s="11">
        <f>IF(ISNUMBER(H197),(H62-H197)^2/H197,"")</f>
        <v/>
      </c>
      <c r="I219" s="11">
        <f>IF(ISNUMBER(I197),(I62-I197)^2/I197,"")</f>
        <v/>
      </c>
      <c r="J219" s="11">
        <f>IF(ISNUMBER(J197),(J62-J197)^2/J197,"")</f>
        <v/>
      </c>
      <c r="K219" s="11">
        <f>IF(ISNUMBER(K197),(K62-K197)^2/K197,"")</f>
        <v/>
      </c>
      <c r="L219" s="11">
        <f>IF(ISNUMBER(L197),(L62-L197)^2/L197,"")</f>
        <v/>
      </c>
      <c r="M219" s="11">
        <f>IF(ISNUMBER(M197),(M62-M197)^2/M197,"")</f>
        <v/>
      </c>
      <c r="N219" s="11">
        <f>IF(ISNUMBER(N197),(N62-N197)^2/N197,"")</f>
        <v/>
      </c>
      <c r="O219" s="11">
        <f>IF(ISNUMBER(O197),(O62-O197)^2/O197,"")</f>
        <v/>
      </c>
      <c r="P219" s="11">
        <f>IF(ISNUMBER(P197),(P62-P197)^2/P197,"")</f>
        <v/>
      </c>
      <c r="Q219" s="11">
        <f>IF(ISNUMBER(Q197),(Q62-Q197)^2/Q197,"")</f>
        <v/>
      </c>
      <c r="R219" s="11">
        <f>IF(ISNUMBER(R197),(R62-R197)^2/R197,"")</f>
        <v/>
      </c>
      <c r="S219" s="11">
        <f>IF(ISNUMBER(S197),(S62-S197)^2/S197,"")</f>
        <v/>
      </c>
      <c r="T219" s="11">
        <f>IF(ISNUMBER(T197),(T62-T197)^2/T197,"")</f>
        <v/>
      </c>
      <c r="U219" s="11">
        <f>IF(ISNUMBER(U197),(U62-U197)^2/U197,"")</f>
        <v/>
      </c>
    </row>
    <row r="220">
      <c r="A220" s="44">
        <f>$A63</f>
        <v/>
      </c>
      <c r="B220" s="11">
        <f>IF(ISNUMBER(B198),(B63-B198)^2/B198,"")</f>
        <v/>
      </c>
      <c r="C220" s="11">
        <f>IF(ISNUMBER(C198),(C63-C198)^2/C198,"")</f>
        <v/>
      </c>
      <c r="D220" s="11">
        <f>IF(ISNUMBER(D198),(D63-D198)^2/D198,"")</f>
        <v/>
      </c>
      <c r="E220" s="11">
        <f>IF(ISNUMBER(E198),(E63-E198)^2/E198,"")</f>
        <v/>
      </c>
      <c r="F220" s="11">
        <f>IF(ISNUMBER(F198),(F63-F198)^2/F198,"")</f>
        <v/>
      </c>
      <c r="G220" s="11">
        <f>IF(ISNUMBER(G198),(G63-G198)^2/G198,"")</f>
        <v/>
      </c>
      <c r="H220" s="11">
        <f>IF(ISNUMBER(H198),(H63-H198)^2/H198,"")</f>
        <v/>
      </c>
      <c r="I220" s="11">
        <f>IF(ISNUMBER(I198),(I63-I198)^2/I198,"")</f>
        <v/>
      </c>
      <c r="J220" s="11">
        <f>IF(ISNUMBER(J198),(J63-J198)^2/J198,"")</f>
        <v/>
      </c>
      <c r="K220" s="11">
        <f>IF(ISNUMBER(K198),(K63-K198)^2/K198,"")</f>
        <v/>
      </c>
      <c r="L220" s="11">
        <f>IF(ISNUMBER(L198),(L63-L198)^2/L198,"")</f>
        <v/>
      </c>
      <c r="M220" s="11">
        <f>IF(ISNUMBER(M198),(M63-M198)^2/M198,"")</f>
        <v/>
      </c>
      <c r="N220" s="11">
        <f>IF(ISNUMBER(N198),(N63-N198)^2/N198,"")</f>
        <v/>
      </c>
      <c r="O220" s="11">
        <f>IF(ISNUMBER(O198),(O63-O198)^2/O198,"")</f>
        <v/>
      </c>
      <c r="P220" s="11">
        <f>IF(ISNUMBER(P198),(P63-P198)^2/P198,"")</f>
        <v/>
      </c>
      <c r="Q220" s="11">
        <f>IF(ISNUMBER(Q198),(Q63-Q198)^2/Q198,"")</f>
        <v/>
      </c>
      <c r="R220" s="11">
        <f>IF(ISNUMBER(R198),(R63-R198)^2/R198,"")</f>
        <v/>
      </c>
      <c r="S220" s="11">
        <f>IF(ISNUMBER(S198),(S63-S198)^2/S198,"")</f>
        <v/>
      </c>
      <c r="T220" s="11">
        <f>IF(ISNUMBER(T198),(T63-T198)^2/T198,"")</f>
        <v/>
      </c>
      <c r="U220" s="11">
        <f>IF(ISNUMBER(U198),(U63-U198)^2/U198,"")</f>
        <v/>
      </c>
    </row>
    <row r="221">
      <c r="A221" s="44">
        <f>$A64</f>
        <v/>
      </c>
      <c r="B221" s="11">
        <f>IF(ISNUMBER(B199),(B64-B199)^2/B199,"")</f>
        <v/>
      </c>
      <c r="C221" s="11">
        <f>IF(ISNUMBER(C199),(C64-C199)^2/C199,"")</f>
        <v/>
      </c>
      <c r="D221" s="11">
        <f>IF(ISNUMBER(D199),(D64-D199)^2/D199,"")</f>
        <v/>
      </c>
      <c r="E221" s="11">
        <f>IF(ISNUMBER(E199),(E64-E199)^2/E199,"")</f>
        <v/>
      </c>
      <c r="F221" s="11">
        <f>IF(ISNUMBER(F199),(F64-F199)^2/F199,"")</f>
        <v/>
      </c>
      <c r="G221" s="11">
        <f>IF(ISNUMBER(G199),(G64-G199)^2/G199,"")</f>
        <v/>
      </c>
      <c r="H221" s="11">
        <f>IF(ISNUMBER(H199),(H64-H199)^2/H199,"")</f>
        <v/>
      </c>
      <c r="I221" s="11">
        <f>IF(ISNUMBER(I199),(I64-I199)^2/I199,"")</f>
        <v/>
      </c>
      <c r="J221" s="11">
        <f>IF(ISNUMBER(J199),(J64-J199)^2/J199,"")</f>
        <v/>
      </c>
      <c r="K221" s="11">
        <f>IF(ISNUMBER(K199),(K64-K199)^2/K199,"")</f>
        <v/>
      </c>
      <c r="L221" s="11">
        <f>IF(ISNUMBER(L199),(L64-L199)^2/L199,"")</f>
        <v/>
      </c>
      <c r="M221" s="11">
        <f>IF(ISNUMBER(M199),(M64-M199)^2/M199,"")</f>
        <v/>
      </c>
      <c r="N221" s="11">
        <f>IF(ISNUMBER(N199),(N64-N199)^2/N199,"")</f>
        <v/>
      </c>
      <c r="O221" s="11">
        <f>IF(ISNUMBER(O199),(O64-O199)^2/O199,"")</f>
        <v/>
      </c>
      <c r="P221" s="11">
        <f>IF(ISNUMBER(P199),(P64-P199)^2/P199,"")</f>
        <v/>
      </c>
      <c r="Q221" s="11">
        <f>IF(ISNUMBER(Q199),(Q64-Q199)^2/Q199,"")</f>
        <v/>
      </c>
      <c r="R221" s="11">
        <f>IF(ISNUMBER(R199),(R64-R199)^2/R199,"")</f>
        <v/>
      </c>
      <c r="S221" s="11">
        <f>IF(ISNUMBER(S199),(S64-S199)^2/S199,"")</f>
        <v/>
      </c>
      <c r="T221" s="11">
        <f>IF(ISNUMBER(T199),(T64-T199)^2/T199,"")</f>
        <v/>
      </c>
      <c r="U221" s="11">
        <f>IF(ISNUMBER(U199),(U64-U199)^2/U199,"")</f>
        <v/>
      </c>
    </row>
    <row r="222">
      <c r="A222" s="44">
        <f>$A65</f>
        <v/>
      </c>
      <c r="B222" s="11">
        <f>IF(ISNUMBER(B200),(B65-B200)^2/B200,"")</f>
        <v/>
      </c>
      <c r="C222" s="11">
        <f>IF(ISNUMBER(C200),(C65-C200)^2/C200,"")</f>
        <v/>
      </c>
      <c r="D222" s="11">
        <f>IF(ISNUMBER(D200),(D65-D200)^2/D200,"")</f>
        <v/>
      </c>
      <c r="E222" s="11">
        <f>IF(ISNUMBER(E200),(E65-E200)^2/E200,"")</f>
        <v/>
      </c>
      <c r="F222" s="11">
        <f>IF(ISNUMBER(F200),(F65-F200)^2/F200,"")</f>
        <v/>
      </c>
      <c r="G222" s="11">
        <f>IF(ISNUMBER(G200),(G65-G200)^2/G200,"")</f>
        <v/>
      </c>
      <c r="H222" s="11">
        <f>IF(ISNUMBER(H200),(H65-H200)^2/H200,"")</f>
        <v/>
      </c>
      <c r="I222" s="11">
        <f>IF(ISNUMBER(I200),(I65-I200)^2/I200,"")</f>
        <v/>
      </c>
      <c r="J222" s="11">
        <f>IF(ISNUMBER(J200),(J65-J200)^2/J200,"")</f>
        <v/>
      </c>
      <c r="K222" s="11">
        <f>IF(ISNUMBER(K200),(K65-K200)^2/K200,"")</f>
        <v/>
      </c>
      <c r="L222" s="11">
        <f>IF(ISNUMBER(L200),(L65-L200)^2/L200,"")</f>
        <v/>
      </c>
      <c r="M222" s="11">
        <f>IF(ISNUMBER(M200),(M65-M200)^2/M200,"")</f>
        <v/>
      </c>
      <c r="N222" s="11">
        <f>IF(ISNUMBER(N200),(N65-N200)^2/N200,"")</f>
        <v/>
      </c>
      <c r="O222" s="11">
        <f>IF(ISNUMBER(O200),(O65-O200)^2/O200,"")</f>
        <v/>
      </c>
      <c r="P222" s="11">
        <f>IF(ISNUMBER(P200),(P65-P200)^2/P200,"")</f>
        <v/>
      </c>
      <c r="Q222" s="11">
        <f>IF(ISNUMBER(Q200),(Q65-Q200)^2/Q200,"")</f>
        <v/>
      </c>
      <c r="R222" s="11">
        <f>IF(ISNUMBER(R200),(R65-R200)^2/R200,"")</f>
        <v/>
      </c>
      <c r="S222" s="11">
        <f>IF(ISNUMBER(S200),(S65-S200)^2/S200,"")</f>
        <v/>
      </c>
      <c r="T222" s="11">
        <f>IF(ISNUMBER(T200),(T65-T200)^2/T200,"")</f>
        <v/>
      </c>
      <c r="U222" s="11">
        <f>IF(ISNUMBER(U200),(U65-U200)^2/U200,"")</f>
        <v/>
      </c>
    </row>
    <row r="223">
      <c r="A223" s="44">
        <f>$A66</f>
        <v/>
      </c>
      <c r="B223" s="11">
        <f>IF(ISNUMBER(B201),(B66-B201)^2/B201,"")</f>
        <v/>
      </c>
      <c r="C223" s="11">
        <f>IF(ISNUMBER(C201),(C66-C201)^2/C201,"")</f>
        <v/>
      </c>
      <c r="D223" s="11">
        <f>IF(ISNUMBER(D201),(D66-D201)^2/D201,"")</f>
        <v/>
      </c>
      <c r="E223" s="11">
        <f>IF(ISNUMBER(E201),(E66-E201)^2/E201,"")</f>
        <v/>
      </c>
      <c r="F223" s="11">
        <f>IF(ISNUMBER(F201),(F66-F201)^2/F201,"")</f>
        <v/>
      </c>
      <c r="G223" s="11">
        <f>IF(ISNUMBER(G201),(G66-G201)^2/G201,"")</f>
        <v/>
      </c>
      <c r="H223" s="11">
        <f>IF(ISNUMBER(H201),(H66-H201)^2/H201,"")</f>
        <v/>
      </c>
      <c r="I223" s="11">
        <f>IF(ISNUMBER(I201),(I66-I201)^2/I201,"")</f>
        <v/>
      </c>
      <c r="J223" s="11">
        <f>IF(ISNUMBER(J201),(J66-J201)^2/J201,"")</f>
        <v/>
      </c>
      <c r="K223" s="11">
        <f>IF(ISNUMBER(K201),(K66-K201)^2/K201,"")</f>
        <v/>
      </c>
      <c r="L223" s="11">
        <f>IF(ISNUMBER(L201),(L66-L201)^2/L201,"")</f>
        <v/>
      </c>
      <c r="M223" s="11">
        <f>IF(ISNUMBER(M201),(M66-M201)^2/M201,"")</f>
        <v/>
      </c>
      <c r="N223" s="11">
        <f>IF(ISNUMBER(N201),(N66-N201)^2/N201,"")</f>
        <v/>
      </c>
      <c r="O223" s="11">
        <f>IF(ISNUMBER(O201),(O66-O201)^2/O201,"")</f>
        <v/>
      </c>
      <c r="P223" s="11">
        <f>IF(ISNUMBER(P201),(P66-P201)^2/P201,"")</f>
        <v/>
      </c>
      <c r="Q223" s="11">
        <f>IF(ISNUMBER(Q201),(Q66-Q201)^2/Q201,"")</f>
        <v/>
      </c>
      <c r="R223" s="11">
        <f>IF(ISNUMBER(R201),(R66-R201)^2/R201,"")</f>
        <v/>
      </c>
      <c r="S223" s="11">
        <f>IF(ISNUMBER(S201),(S66-S201)^2/S201,"")</f>
        <v/>
      </c>
      <c r="T223" s="11">
        <f>IF(ISNUMBER(T201),(T66-T201)^2/T201,"")</f>
        <v/>
      </c>
      <c r="U223" s="11">
        <f>IF(ISNUMBER(U201),(U66-U201)^2/U201,"")</f>
        <v/>
      </c>
    </row>
    <row r="224">
      <c r="A224" s="44">
        <f>$A67</f>
        <v/>
      </c>
      <c r="B224" s="11">
        <f>IF(ISNUMBER(B202),(B67-B202)^2/B202,"")</f>
        <v/>
      </c>
      <c r="C224" s="11">
        <f>IF(ISNUMBER(C202),(C67-C202)^2/C202,"")</f>
        <v/>
      </c>
      <c r="D224" s="11">
        <f>IF(ISNUMBER(D202),(D67-D202)^2/D202,"")</f>
        <v/>
      </c>
      <c r="E224" s="11">
        <f>IF(ISNUMBER(E202),(E67-E202)^2/E202,"")</f>
        <v/>
      </c>
      <c r="F224" s="11">
        <f>IF(ISNUMBER(F202),(F67-F202)^2/F202,"")</f>
        <v/>
      </c>
      <c r="G224" s="11">
        <f>IF(ISNUMBER(G202),(G67-G202)^2/G202,"")</f>
        <v/>
      </c>
      <c r="H224" s="11">
        <f>IF(ISNUMBER(H202),(H67-H202)^2/H202,"")</f>
        <v/>
      </c>
      <c r="I224" s="11">
        <f>IF(ISNUMBER(I202),(I67-I202)^2/I202,"")</f>
        <v/>
      </c>
      <c r="J224" s="11">
        <f>IF(ISNUMBER(J202),(J67-J202)^2/J202,"")</f>
        <v/>
      </c>
      <c r="K224" s="11">
        <f>IF(ISNUMBER(K202),(K67-K202)^2/K202,"")</f>
        <v/>
      </c>
      <c r="L224" s="11">
        <f>IF(ISNUMBER(L202),(L67-L202)^2/L202,"")</f>
        <v/>
      </c>
      <c r="M224" s="11">
        <f>IF(ISNUMBER(M202),(M67-M202)^2/M202,"")</f>
        <v/>
      </c>
      <c r="N224" s="11">
        <f>IF(ISNUMBER(N202),(N67-N202)^2/N202,"")</f>
        <v/>
      </c>
      <c r="O224" s="11">
        <f>IF(ISNUMBER(O202),(O67-O202)^2/O202,"")</f>
        <v/>
      </c>
      <c r="P224" s="11">
        <f>IF(ISNUMBER(P202),(P67-P202)^2/P202,"")</f>
        <v/>
      </c>
      <c r="Q224" s="11">
        <f>IF(ISNUMBER(Q202),(Q67-Q202)^2/Q202,"")</f>
        <v/>
      </c>
      <c r="R224" s="11">
        <f>IF(ISNUMBER(R202),(R67-R202)^2/R202,"")</f>
        <v/>
      </c>
      <c r="S224" s="11">
        <f>IF(ISNUMBER(S202),(S67-S202)^2/S202,"")</f>
        <v/>
      </c>
      <c r="T224" s="11">
        <f>IF(ISNUMBER(T202),(T67-T202)^2/T202,"")</f>
        <v/>
      </c>
      <c r="U224" s="11">
        <f>IF(ISNUMBER(U202),(U67-U202)^2/U202,"")</f>
        <v/>
      </c>
    </row>
    <row r="225">
      <c r="A225" s="44">
        <f>$A68</f>
        <v/>
      </c>
      <c r="B225" s="11">
        <f>IF(ISNUMBER(B203),(B68-B203)^2/B203,"")</f>
        <v/>
      </c>
      <c r="C225" s="11">
        <f>IF(ISNUMBER(C203),(C68-C203)^2/C203,"")</f>
        <v/>
      </c>
      <c r="D225" s="11">
        <f>IF(ISNUMBER(D203),(D68-D203)^2/D203,"")</f>
        <v/>
      </c>
      <c r="E225" s="11">
        <f>IF(ISNUMBER(E203),(E68-E203)^2/E203,"")</f>
        <v/>
      </c>
      <c r="F225" s="11">
        <f>IF(ISNUMBER(F203),(F68-F203)^2/F203,"")</f>
        <v/>
      </c>
      <c r="G225" s="11">
        <f>IF(ISNUMBER(G203),(G68-G203)^2/G203,"")</f>
        <v/>
      </c>
      <c r="H225" s="11">
        <f>IF(ISNUMBER(H203),(H68-H203)^2/H203,"")</f>
        <v/>
      </c>
      <c r="I225" s="11">
        <f>IF(ISNUMBER(I203),(I68-I203)^2/I203,"")</f>
        <v/>
      </c>
      <c r="J225" s="11">
        <f>IF(ISNUMBER(J203),(J68-J203)^2/J203,"")</f>
        <v/>
      </c>
      <c r="K225" s="11">
        <f>IF(ISNUMBER(K203),(K68-K203)^2/K203,"")</f>
        <v/>
      </c>
      <c r="L225" s="11">
        <f>IF(ISNUMBER(L203),(L68-L203)^2/L203,"")</f>
        <v/>
      </c>
      <c r="M225" s="11">
        <f>IF(ISNUMBER(M203),(M68-M203)^2/M203,"")</f>
        <v/>
      </c>
      <c r="N225" s="11">
        <f>IF(ISNUMBER(N203),(N68-N203)^2/N203,"")</f>
        <v/>
      </c>
      <c r="O225" s="11">
        <f>IF(ISNUMBER(O203),(O68-O203)^2/O203,"")</f>
        <v/>
      </c>
      <c r="P225" s="11">
        <f>IF(ISNUMBER(P203),(P68-P203)^2/P203,"")</f>
        <v/>
      </c>
      <c r="Q225" s="11">
        <f>IF(ISNUMBER(Q203),(Q68-Q203)^2/Q203,"")</f>
        <v/>
      </c>
      <c r="R225" s="11">
        <f>IF(ISNUMBER(R203),(R68-R203)^2/R203,"")</f>
        <v/>
      </c>
      <c r="S225" s="11">
        <f>IF(ISNUMBER(S203),(S68-S203)^2/S203,"")</f>
        <v/>
      </c>
      <c r="T225" s="11">
        <f>IF(ISNUMBER(T203),(T68-T203)^2/T203,"")</f>
        <v/>
      </c>
      <c r="U225" s="11">
        <f>IF(ISNUMBER(U203),(U68-U203)^2/U203,"")</f>
        <v/>
      </c>
    </row>
    <row r="226">
      <c r="A226" s="44">
        <f>$A69</f>
        <v/>
      </c>
      <c r="B226" s="11">
        <f>IF(ISNUMBER(B204),(B69-B204)^2/B204,"")</f>
        <v/>
      </c>
      <c r="C226" s="11">
        <f>IF(ISNUMBER(C204),(C69-C204)^2/C204,"")</f>
        <v/>
      </c>
      <c r="D226" s="11">
        <f>IF(ISNUMBER(D204),(D69-D204)^2/D204,"")</f>
        <v/>
      </c>
      <c r="E226" s="11">
        <f>IF(ISNUMBER(E204),(E69-E204)^2/E204,"")</f>
        <v/>
      </c>
      <c r="F226" s="11">
        <f>IF(ISNUMBER(F204),(F69-F204)^2/F204,"")</f>
        <v/>
      </c>
      <c r="G226" s="11">
        <f>IF(ISNUMBER(G204),(G69-G204)^2/G204,"")</f>
        <v/>
      </c>
      <c r="H226" s="11">
        <f>IF(ISNUMBER(H204),(H69-H204)^2/H204,"")</f>
        <v/>
      </c>
      <c r="I226" s="11">
        <f>IF(ISNUMBER(I204),(I69-I204)^2/I204,"")</f>
        <v/>
      </c>
      <c r="J226" s="11">
        <f>IF(ISNUMBER(J204),(J69-J204)^2/J204,"")</f>
        <v/>
      </c>
      <c r="K226" s="11">
        <f>IF(ISNUMBER(K204),(K69-K204)^2/K204,"")</f>
        <v/>
      </c>
      <c r="L226" s="11">
        <f>IF(ISNUMBER(L204),(L69-L204)^2/L204,"")</f>
        <v/>
      </c>
      <c r="M226" s="11">
        <f>IF(ISNUMBER(M204),(M69-M204)^2/M204,"")</f>
        <v/>
      </c>
      <c r="N226" s="11">
        <f>IF(ISNUMBER(N204),(N69-N204)^2/N204,"")</f>
        <v/>
      </c>
      <c r="O226" s="11">
        <f>IF(ISNUMBER(O204),(O69-O204)^2/O204,"")</f>
        <v/>
      </c>
      <c r="P226" s="11">
        <f>IF(ISNUMBER(P204),(P69-P204)^2/P204,"")</f>
        <v/>
      </c>
      <c r="Q226" s="11">
        <f>IF(ISNUMBER(Q204),(Q69-Q204)^2/Q204,"")</f>
        <v/>
      </c>
      <c r="R226" s="11">
        <f>IF(ISNUMBER(R204),(R69-R204)^2/R204,"")</f>
        <v/>
      </c>
      <c r="S226" s="11">
        <f>IF(ISNUMBER(S204),(S69-S204)^2/S204,"")</f>
        <v/>
      </c>
      <c r="T226" s="11">
        <f>IF(ISNUMBER(T204),(T69-T204)^2/T204,"")</f>
        <v/>
      </c>
      <c r="U226" s="11">
        <f>IF(ISNUMBER(U204),(U69-U204)^2/U204,"")</f>
        <v/>
      </c>
    </row>
    <row r="227">
      <c r="A227" s="44">
        <f>$A70</f>
        <v/>
      </c>
      <c r="B227" s="11">
        <f>IF(ISNUMBER(B205),(B70-B205)^2/B205,"")</f>
        <v/>
      </c>
      <c r="C227" s="11">
        <f>IF(ISNUMBER(C205),(C70-C205)^2/C205,"")</f>
        <v/>
      </c>
      <c r="D227" s="11">
        <f>IF(ISNUMBER(D205),(D70-D205)^2/D205,"")</f>
        <v/>
      </c>
      <c r="E227" s="11">
        <f>IF(ISNUMBER(E205),(E70-E205)^2/E205,"")</f>
        <v/>
      </c>
      <c r="F227" s="11">
        <f>IF(ISNUMBER(F205),(F70-F205)^2/F205,"")</f>
        <v/>
      </c>
      <c r="G227" s="11">
        <f>IF(ISNUMBER(G205),(G70-G205)^2/G205,"")</f>
        <v/>
      </c>
      <c r="H227" s="11">
        <f>IF(ISNUMBER(H205),(H70-H205)^2/H205,"")</f>
        <v/>
      </c>
      <c r="I227" s="11">
        <f>IF(ISNUMBER(I205),(I70-I205)^2/I205,"")</f>
        <v/>
      </c>
      <c r="J227" s="11">
        <f>IF(ISNUMBER(J205),(J70-J205)^2/J205,"")</f>
        <v/>
      </c>
      <c r="K227" s="11">
        <f>IF(ISNUMBER(K205),(K70-K205)^2/K205,"")</f>
        <v/>
      </c>
      <c r="L227" s="11">
        <f>IF(ISNUMBER(L205),(L70-L205)^2/L205,"")</f>
        <v/>
      </c>
      <c r="M227" s="11">
        <f>IF(ISNUMBER(M205),(M70-M205)^2/M205,"")</f>
        <v/>
      </c>
      <c r="N227" s="11">
        <f>IF(ISNUMBER(N205),(N70-N205)^2/N205,"")</f>
        <v/>
      </c>
      <c r="O227" s="11">
        <f>IF(ISNUMBER(O205),(O70-O205)^2/O205,"")</f>
        <v/>
      </c>
      <c r="P227" s="11">
        <f>IF(ISNUMBER(P205),(P70-P205)^2/P205,"")</f>
        <v/>
      </c>
      <c r="Q227" s="11">
        <f>IF(ISNUMBER(Q205),(Q70-Q205)^2/Q205,"")</f>
        <v/>
      </c>
      <c r="R227" s="11">
        <f>IF(ISNUMBER(R205),(R70-R205)^2/R205,"")</f>
        <v/>
      </c>
      <c r="S227" s="11">
        <f>IF(ISNUMBER(S205),(S70-S205)^2/S205,"")</f>
        <v/>
      </c>
      <c r="T227" s="11">
        <f>IF(ISNUMBER(T205),(T70-T205)^2/T205,"")</f>
        <v/>
      </c>
      <c r="U227" s="11">
        <f>IF(ISNUMBER(U205),(U70-U205)^2/U205,"")</f>
        <v/>
      </c>
    </row>
    <row r="228">
      <c r="A228" s="44">
        <f>$A71</f>
        <v/>
      </c>
      <c r="B228" s="11">
        <f>IF(ISNUMBER(B206),(B71-B206)^2/B206,"")</f>
        <v/>
      </c>
      <c r="C228" s="11">
        <f>IF(ISNUMBER(C206),(C71-C206)^2/C206,"")</f>
        <v/>
      </c>
      <c r="D228" s="11">
        <f>IF(ISNUMBER(D206),(D71-D206)^2/D206,"")</f>
        <v/>
      </c>
      <c r="E228" s="11">
        <f>IF(ISNUMBER(E206),(E71-E206)^2/E206,"")</f>
        <v/>
      </c>
      <c r="F228" s="11">
        <f>IF(ISNUMBER(F206),(F71-F206)^2/F206,"")</f>
        <v/>
      </c>
      <c r="G228" s="11">
        <f>IF(ISNUMBER(G206),(G71-G206)^2/G206,"")</f>
        <v/>
      </c>
      <c r="H228" s="11">
        <f>IF(ISNUMBER(H206),(H71-H206)^2/H206,"")</f>
        <v/>
      </c>
      <c r="I228" s="11">
        <f>IF(ISNUMBER(I206),(I71-I206)^2/I206,"")</f>
        <v/>
      </c>
      <c r="J228" s="11">
        <f>IF(ISNUMBER(J206),(J71-J206)^2/J206,"")</f>
        <v/>
      </c>
      <c r="K228" s="11">
        <f>IF(ISNUMBER(K206),(K71-K206)^2/K206,"")</f>
        <v/>
      </c>
      <c r="L228" s="11">
        <f>IF(ISNUMBER(L206),(L71-L206)^2/L206,"")</f>
        <v/>
      </c>
      <c r="M228" s="11">
        <f>IF(ISNUMBER(M206),(M71-M206)^2/M206,"")</f>
        <v/>
      </c>
      <c r="N228" s="11">
        <f>IF(ISNUMBER(N206),(N71-N206)^2/N206,"")</f>
        <v/>
      </c>
      <c r="O228" s="11">
        <f>IF(ISNUMBER(O206),(O71-O206)^2/O206,"")</f>
        <v/>
      </c>
      <c r="P228" s="11">
        <f>IF(ISNUMBER(P206),(P71-P206)^2/P206,"")</f>
        <v/>
      </c>
      <c r="Q228" s="11">
        <f>IF(ISNUMBER(Q206),(Q71-Q206)^2/Q206,"")</f>
        <v/>
      </c>
      <c r="R228" s="11">
        <f>IF(ISNUMBER(R206),(R71-R206)^2/R206,"")</f>
        <v/>
      </c>
      <c r="S228" s="11">
        <f>IF(ISNUMBER(S206),(S71-S206)^2/S206,"")</f>
        <v/>
      </c>
      <c r="T228" s="11">
        <f>IF(ISNUMBER(T206),(T71-T206)^2/T206,"")</f>
        <v/>
      </c>
      <c r="U228" s="11">
        <f>IF(ISNUMBER(U206),(U71-U206)^2/U206,"")</f>
        <v/>
      </c>
    </row>
    <row r="229">
      <c r="A229" s="44">
        <f>$A72</f>
        <v/>
      </c>
      <c r="B229" s="11">
        <f>IF(ISNUMBER(B207),(B72-B207)^2/B207,"")</f>
        <v/>
      </c>
      <c r="C229" s="11">
        <f>IF(ISNUMBER(C207),(C72-C207)^2/C207,"")</f>
        <v/>
      </c>
      <c r="D229" s="11">
        <f>IF(ISNUMBER(D207),(D72-D207)^2/D207,"")</f>
        <v/>
      </c>
      <c r="E229" s="11">
        <f>IF(ISNUMBER(E207),(E72-E207)^2/E207,"")</f>
        <v/>
      </c>
      <c r="F229" s="11">
        <f>IF(ISNUMBER(F207),(F72-F207)^2/F207,"")</f>
        <v/>
      </c>
      <c r="G229" s="11">
        <f>IF(ISNUMBER(G207),(G72-G207)^2/G207,"")</f>
        <v/>
      </c>
      <c r="H229" s="11">
        <f>IF(ISNUMBER(H207),(H72-H207)^2/H207,"")</f>
        <v/>
      </c>
      <c r="I229" s="11">
        <f>IF(ISNUMBER(I207),(I72-I207)^2/I207,"")</f>
        <v/>
      </c>
      <c r="J229" s="11">
        <f>IF(ISNUMBER(J207),(J72-J207)^2/J207,"")</f>
        <v/>
      </c>
      <c r="K229" s="11">
        <f>IF(ISNUMBER(K207),(K72-K207)^2/K207,"")</f>
        <v/>
      </c>
      <c r="L229" s="11">
        <f>IF(ISNUMBER(L207),(L72-L207)^2/L207,"")</f>
        <v/>
      </c>
      <c r="M229" s="11">
        <f>IF(ISNUMBER(M207),(M72-M207)^2/M207,"")</f>
        <v/>
      </c>
      <c r="N229" s="11">
        <f>IF(ISNUMBER(N207),(N72-N207)^2/N207,"")</f>
        <v/>
      </c>
      <c r="O229" s="11">
        <f>IF(ISNUMBER(O207),(O72-O207)^2/O207,"")</f>
        <v/>
      </c>
      <c r="P229" s="11">
        <f>IF(ISNUMBER(P207),(P72-P207)^2/P207,"")</f>
        <v/>
      </c>
      <c r="Q229" s="11">
        <f>IF(ISNUMBER(Q207),(Q72-Q207)^2/Q207,"")</f>
        <v/>
      </c>
      <c r="R229" s="11">
        <f>IF(ISNUMBER(R207),(R72-R207)^2/R207,"")</f>
        <v/>
      </c>
      <c r="S229" s="11">
        <f>IF(ISNUMBER(S207),(S72-S207)^2/S207,"")</f>
        <v/>
      </c>
      <c r="T229" s="11">
        <f>IF(ISNUMBER(T207),(T72-T207)^2/T207,"")</f>
        <v/>
      </c>
      <c r="U229" s="11">
        <f>IF(ISNUMBER(U207),(U72-U207)^2/U207,"")</f>
        <v/>
      </c>
    </row>
    <row r="230">
      <c r="A230" s="44">
        <f>$A73</f>
        <v/>
      </c>
      <c r="B230" s="11">
        <f>IF(ISNUMBER(B208),(B73-B208)^2/B208,"")</f>
        <v/>
      </c>
      <c r="C230" s="11">
        <f>IF(ISNUMBER(C208),(C73-C208)^2/C208,"")</f>
        <v/>
      </c>
      <c r="D230" s="11">
        <f>IF(ISNUMBER(D208),(D73-D208)^2/D208,"")</f>
        <v/>
      </c>
      <c r="E230" s="11">
        <f>IF(ISNUMBER(E208),(E73-E208)^2/E208,"")</f>
        <v/>
      </c>
      <c r="F230" s="11">
        <f>IF(ISNUMBER(F208),(F73-F208)^2/F208,"")</f>
        <v/>
      </c>
      <c r="G230" s="11">
        <f>IF(ISNUMBER(G208),(G73-G208)^2/G208,"")</f>
        <v/>
      </c>
      <c r="H230" s="11">
        <f>IF(ISNUMBER(H208),(H73-H208)^2/H208,"")</f>
        <v/>
      </c>
      <c r="I230" s="11">
        <f>IF(ISNUMBER(I208),(I73-I208)^2/I208,"")</f>
        <v/>
      </c>
      <c r="J230" s="11">
        <f>IF(ISNUMBER(J208),(J73-J208)^2/J208,"")</f>
        <v/>
      </c>
      <c r="K230" s="11">
        <f>IF(ISNUMBER(K208),(K73-K208)^2/K208,"")</f>
        <v/>
      </c>
      <c r="L230" s="11">
        <f>IF(ISNUMBER(L208),(L73-L208)^2/L208,"")</f>
        <v/>
      </c>
      <c r="M230" s="11">
        <f>IF(ISNUMBER(M208),(M73-M208)^2/M208,"")</f>
        <v/>
      </c>
      <c r="N230" s="11">
        <f>IF(ISNUMBER(N208),(N73-N208)^2/N208,"")</f>
        <v/>
      </c>
      <c r="O230" s="11">
        <f>IF(ISNUMBER(O208),(O73-O208)^2/O208,"")</f>
        <v/>
      </c>
      <c r="P230" s="11">
        <f>IF(ISNUMBER(P208),(P73-P208)^2/P208,"")</f>
        <v/>
      </c>
      <c r="Q230" s="11">
        <f>IF(ISNUMBER(Q208),(Q73-Q208)^2/Q208,"")</f>
        <v/>
      </c>
      <c r="R230" s="11">
        <f>IF(ISNUMBER(R208),(R73-R208)^2/R208,"")</f>
        <v/>
      </c>
      <c r="S230" s="11">
        <f>IF(ISNUMBER(S208),(S73-S208)^2/S208,"")</f>
        <v/>
      </c>
      <c r="T230" s="11">
        <f>IF(ISNUMBER(T208),(T73-T208)^2/T208,"")</f>
        <v/>
      </c>
      <c r="U230" s="11">
        <f>IF(ISNUMBER(U208),(U73-U208)^2/U208,"")</f>
        <v/>
      </c>
    </row>
    <row r="232">
      <c r="A232" s="44">
        <f>"bijdrage met Yates (alleen 2 × 2): (|n − e| − 0,5)² / e"</f>
        <v/>
      </c>
      <c r="B232" s="44">
        <f>B$53</f>
        <v/>
      </c>
      <c r="C232" s="44">
        <f>C$53</f>
        <v/>
      </c>
      <c r="D232" s="44">
        <f>D$53</f>
        <v/>
      </c>
      <c r="E232" s="44">
        <f>E$53</f>
        <v/>
      </c>
      <c r="F232" s="44">
        <f>F$53</f>
        <v/>
      </c>
      <c r="G232" s="44">
        <f>G$53</f>
        <v/>
      </c>
      <c r="H232" s="44">
        <f>H$53</f>
        <v/>
      </c>
      <c r="I232" s="44">
        <f>I$53</f>
        <v/>
      </c>
      <c r="J232" s="44">
        <f>J$53</f>
        <v/>
      </c>
      <c r="K232" s="44">
        <f>K$53</f>
        <v/>
      </c>
      <c r="L232" s="44">
        <f>L$53</f>
        <v/>
      </c>
      <c r="M232" s="44">
        <f>M$53</f>
        <v/>
      </c>
      <c r="N232" s="44">
        <f>N$53</f>
        <v/>
      </c>
      <c r="O232" s="44">
        <f>O$53</f>
        <v/>
      </c>
      <c r="P232" s="44">
        <f>P$53</f>
        <v/>
      </c>
      <c r="Q232" s="44">
        <f>Q$53</f>
        <v/>
      </c>
      <c r="R232" s="44">
        <f>R$53</f>
        <v/>
      </c>
      <c r="S232" s="44">
        <f>S$53</f>
        <v/>
      </c>
      <c r="T232" s="44">
        <f>T$53</f>
        <v/>
      </c>
      <c r="U232" s="44">
        <f>U$53</f>
        <v/>
      </c>
    </row>
    <row r="233">
      <c r="A233" s="44">
        <f>$A54</f>
        <v/>
      </c>
      <c r="B233" s="11">
        <f>IF(ISNUMBER(B189),MAX(0,ABS(B54-B189)-0.5)^2/B189,"")</f>
        <v/>
      </c>
      <c r="C233" s="11">
        <f>IF(ISNUMBER(C189),MAX(0,ABS(C54-C189)-0.5)^2/C189,"")</f>
        <v/>
      </c>
      <c r="D233" s="11">
        <f>IF(ISNUMBER(D189),MAX(0,ABS(D54-D189)-0.5)^2/D189,"")</f>
        <v/>
      </c>
      <c r="E233" s="11">
        <f>IF(ISNUMBER(E189),MAX(0,ABS(E54-E189)-0.5)^2/E189,"")</f>
        <v/>
      </c>
      <c r="F233" s="11">
        <f>IF(ISNUMBER(F189),MAX(0,ABS(F54-F189)-0.5)^2/F189,"")</f>
        <v/>
      </c>
      <c r="G233" s="11">
        <f>IF(ISNUMBER(G189),MAX(0,ABS(G54-G189)-0.5)^2/G189,"")</f>
        <v/>
      </c>
      <c r="H233" s="11">
        <f>IF(ISNUMBER(H189),MAX(0,ABS(H54-H189)-0.5)^2/H189,"")</f>
        <v/>
      </c>
      <c r="I233" s="11">
        <f>IF(ISNUMBER(I189),MAX(0,ABS(I54-I189)-0.5)^2/I189,"")</f>
        <v/>
      </c>
      <c r="J233" s="11">
        <f>IF(ISNUMBER(J189),MAX(0,ABS(J54-J189)-0.5)^2/J189,"")</f>
        <v/>
      </c>
      <c r="K233" s="11">
        <f>IF(ISNUMBER(K189),MAX(0,ABS(K54-K189)-0.5)^2/K189,"")</f>
        <v/>
      </c>
      <c r="L233" s="11">
        <f>IF(ISNUMBER(L189),MAX(0,ABS(L54-L189)-0.5)^2/L189,"")</f>
        <v/>
      </c>
      <c r="M233" s="11">
        <f>IF(ISNUMBER(M189),MAX(0,ABS(M54-M189)-0.5)^2/M189,"")</f>
        <v/>
      </c>
      <c r="N233" s="11">
        <f>IF(ISNUMBER(N189),MAX(0,ABS(N54-N189)-0.5)^2/N189,"")</f>
        <v/>
      </c>
      <c r="O233" s="11">
        <f>IF(ISNUMBER(O189),MAX(0,ABS(O54-O189)-0.5)^2/O189,"")</f>
        <v/>
      </c>
      <c r="P233" s="11">
        <f>IF(ISNUMBER(P189),MAX(0,ABS(P54-P189)-0.5)^2/P189,"")</f>
        <v/>
      </c>
      <c r="Q233" s="11">
        <f>IF(ISNUMBER(Q189),MAX(0,ABS(Q54-Q189)-0.5)^2/Q189,"")</f>
        <v/>
      </c>
      <c r="R233" s="11">
        <f>IF(ISNUMBER(R189),MAX(0,ABS(R54-R189)-0.5)^2/R189,"")</f>
        <v/>
      </c>
      <c r="S233" s="11">
        <f>IF(ISNUMBER(S189),MAX(0,ABS(S54-S189)-0.5)^2/S189,"")</f>
        <v/>
      </c>
      <c r="T233" s="11">
        <f>IF(ISNUMBER(T189),MAX(0,ABS(T54-T189)-0.5)^2/T189,"")</f>
        <v/>
      </c>
      <c r="U233" s="11">
        <f>IF(ISNUMBER(U189),MAX(0,ABS(U54-U189)-0.5)^2/U189,"")</f>
        <v/>
      </c>
    </row>
    <row r="234">
      <c r="A234" s="44">
        <f>$A55</f>
        <v/>
      </c>
      <c r="B234" s="11">
        <f>IF(ISNUMBER(B190),MAX(0,ABS(B55-B190)-0.5)^2/B190,"")</f>
        <v/>
      </c>
      <c r="C234" s="11">
        <f>IF(ISNUMBER(C190),MAX(0,ABS(C55-C190)-0.5)^2/C190,"")</f>
        <v/>
      </c>
      <c r="D234" s="11">
        <f>IF(ISNUMBER(D190),MAX(0,ABS(D55-D190)-0.5)^2/D190,"")</f>
        <v/>
      </c>
      <c r="E234" s="11">
        <f>IF(ISNUMBER(E190),MAX(0,ABS(E55-E190)-0.5)^2/E190,"")</f>
        <v/>
      </c>
      <c r="F234" s="11">
        <f>IF(ISNUMBER(F190),MAX(0,ABS(F55-F190)-0.5)^2/F190,"")</f>
        <v/>
      </c>
      <c r="G234" s="11">
        <f>IF(ISNUMBER(G190),MAX(0,ABS(G55-G190)-0.5)^2/G190,"")</f>
        <v/>
      </c>
      <c r="H234" s="11">
        <f>IF(ISNUMBER(H190),MAX(0,ABS(H55-H190)-0.5)^2/H190,"")</f>
        <v/>
      </c>
      <c r="I234" s="11">
        <f>IF(ISNUMBER(I190),MAX(0,ABS(I55-I190)-0.5)^2/I190,"")</f>
        <v/>
      </c>
      <c r="J234" s="11">
        <f>IF(ISNUMBER(J190),MAX(0,ABS(J55-J190)-0.5)^2/J190,"")</f>
        <v/>
      </c>
      <c r="K234" s="11">
        <f>IF(ISNUMBER(K190),MAX(0,ABS(K55-K190)-0.5)^2/K190,"")</f>
        <v/>
      </c>
      <c r="L234" s="11">
        <f>IF(ISNUMBER(L190),MAX(0,ABS(L55-L190)-0.5)^2/L190,"")</f>
        <v/>
      </c>
      <c r="M234" s="11">
        <f>IF(ISNUMBER(M190),MAX(0,ABS(M55-M190)-0.5)^2/M190,"")</f>
        <v/>
      </c>
      <c r="N234" s="11">
        <f>IF(ISNUMBER(N190),MAX(0,ABS(N55-N190)-0.5)^2/N190,"")</f>
        <v/>
      </c>
      <c r="O234" s="11">
        <f>IF(ISNUMBER(O190),MAX(0,ABS(O55-O190)-0.5)^2/O190,"")</f>
        <v/>
      </c>
      <c r="P234" s="11">
        <f>IF(ISNUMBER(P190),MAX(0,ABS(P55-P190)-0.5)^2/P190,"")</f>
        <v/>
      </c>
      <c r="Q234" s="11">
        <f>IF(ISNUMBER(Q190),MAX(0,ABS(Q55-Q190)-0.5)^2/Q190,"")</f>
        <v/>
      </c>
      <c r="R234" s="11">
        <f>IF(ISNUMBER(R190),MAX(0,ABS(R55-R190)-0.5)^2/R190,"")</f>
        <v/>
      </c>
      <c r="S234" s="11">
        <f>IF(ISNUMBER(S190),MAX(0,ABS(S55-S190)-0.5)^2/S190,"")</f>
        <v/>
      </c>
      <c r="T234" s="11">
        <f>IF(ISNUMBER(T190),MAX(0,ABS(T55-T190)-0.5)^2/T190,"")</f>
        <v/>
      </c>
      <c r="U234" s="11">
        <f>IF(ISNUMBER(U190),MAX(0,ABS(U55-U190)-0.5)^2/U190,"")</f>
        <v/>
      </c>
    </row>
    <row r="235">
      <c r="A235" s="44">
        <f>$A56</f>
        <v/>
      </c>
      <c r="B235" s="11">
        <f>IF(ISNUMBER(B191),MAX(0,ABS(B56-B191)-0.5)^2/B191,"")</f>
        <v/>
      </c>
      <c r="C235" s="11">
        <f>IF(ISNUMBER(C191),MAX(0,ABS(C56-C191)-0.5)^2/C191,"")</f>
        <v/>
      </c>
      <c r="D235" s="11">
        <f>IF(ISNUMBER(D191),MAX(0,ABS(D56-D191)-0.5)^2/D191,"")</f>
        <v/>
      </c>
      <c r="E235" s="11">
        <f>IF(ISNUMBER(E191),MAX(0,ABS(E56-E191)-0.5)^2/E191,"")</f>
        <v/>
      </c>
      <c r="F235" s="11">
        <f>IF(ISNUMBER(F191),MAX(0,ABS(F56-F191)-0.5)^2/F191,"")</f>
        <v/>
      </c>
      <c r="G235" s="11">
        <f>IF(ISNUMBER(G191),MAX(0,ABS(G56-G191)-0.5)^2/G191,"")</f>
        <v/>
      </c>
      <c r="H235" s="11">
        <f>IF(ISNUMBER(H191),MAX(0,ABS(H56-H191)-0.5)^2/H191,"")</f>
        <v/>
      </c>
      <c r="I235" s="11">
        <f>IF(ISNUMBER(I191),MAX(0,ABS(I56-I191)-0.5)^2/I191,"")</f>
        <v/>
      </c>
      <c r="J235" s="11">
        <f>IF(ISNUMBER(J191),MAX(0,ABS(J56-J191)-0.5)^2/J191,"")</f>
        <v/>
      </c>
      <c r="K235" s="11">
        <f>IF(ISNUMBER(K191),MAX(0,ABS(K56-K191)-0.5)^2/K191,"")</f>
        <v/>
      </c>
      <c r="L235" s="11">
        <f>IF(ISNUMBER(L191),MAX(0,ABS(L56-L191)-0.5)^2/L191,"")</f>
        <v/>
      </c>
      <c r="M235" s="11">
        <f>IF(ISNUMBER(M191),MAX(0,ABS(M56-M191)-0.5)^2/M191,"")</f>
        <v/>
      </c>
      <c r="N235" s="11">
        <f>IF(ISNUMBER(N191),MAX(0,ABS(N56-N191)-0.5)^2/N191,"")</f>
        <v/>
      </c>
      <c r="O235" s="11">
        <f>IF(ISNUMBER(O191),MAX(0,ABS(O56-O191)-0.5)^2/O191,"")</f>
        <v/>
      </c>
      <c r="P235" s="11">
        <f>IF(ISNUMBER(P191),MAX(0,ABS(P56-P191)-0.5)^2/P191,"")</f>
        <v/>
      </c>
      <c r="Q235" s="11">
        <f>IF(ISNUMBER(Q191),MAX(0,ABS(Q56-Q191)-0.5)^2/Q191,"")</f>
        <v/>
      </c>
      <c r="R235" s="11">
        <f>IF(ISNUMBER(R191),MAX(0,ABS(R56-R191)-0.5)^2/R191,"")</f>
        <v/>
      </c>
      <c r="S235" s="11">
        <f>IF(ISNUMBER(S191),MAX(0,ABS(S56-S191)-0.5)^2/S191,"")</f>
        <v/>
      </c>
      <c r="T235" s="11">
        <f>IF(ISNUMBER(T191),MAX(0,ABS(T56-T191)-0.5)^2/T191,"")</f>
        <v/>
      </c>
      <c r="U235" s="11">
        <f>IF(ISNUMBER(U191),MAX(0,ABS(U56-U191)-0.5)^2/U191,"")</f>
        <v/>
      </c>
    </row>
    <row r="236">
      <c r="A236" s="44">
        <f>$A57</f>
        <v/>
      </c>
      <c r="B236" s="11">
        <f>IF(ISNUMBER(B192),MAX(0,ABS(B57-B192)-0.5)^2/B192,"")</f>
        <v/>
      </c>
      <c r="C236" s="11">
        <f>IF(ISNUMBER(C192),MAX(0,ABS(C57-C192)-0.5)^2/C192,"")</f>
        <v/>
      </c>
      <c r="D236" s="11">
        <f>IF(ISNUMBER(D192),MAX(0,ABS(D57-D192)-0.5)^2/D192,"")</f>
        <v/>
      </c>
      <c r="E236" s="11">
        <f>IF(ISNUMBER(E192),MAX(0,ABS(E57-E192)-0.5)^2/E192,"")</f>
        <v/>
      </c>
      <c r="F236" s="11">
        <f>IF(ISNUMBER(F192),MAX(0,ABS(F57-F192)-0.5)^2/F192,"")</f>
        <v/>
      </c>
      <c r="G236" s="11">
        <f>IF(ISNUMBER(G192),MAX(0,ABS(G57-G192)-0.5)^2/G192,"")</f>
        <v/>
      </c>
      <c r="H236" s="11">
        <f>IF(ISNUMBER(H192),MAX(0,ABS(H57-H192)-0.5)^2/H192,"")</f>
        <v/>
      </c>
      <c r="I236" s="11">
        <f>IF(ISNUMBER(I192),MAX(0,ABS(I57-I192)-0.5)^2/I192,"")</f>
        <v/>
      </c>
      <c r="J236" s="11">
        <f>IF(ISNUMBER(J192),MAX(0,ABS(J57-J192)-0.5)^2/J192,"")</f>
        <v/>
      </c>
      <c r="K236" s="11">
        <f>IF(ISNUMBER(K192),MAX(0,ABS(K57-K192)-0.5)^2/K192,"")</f>
        <v/>
      </c>
      <c r="L236" s="11">
        <f>IF(ISNUMBER(L192),MAX(0,ABS(L57-L192)-0.5)^2/L192,"")</f>
        <v/>
      </c>
      <c r="M236" s="11">
        <f>IF(ISNUMBER(M192),MAX(0,ABS(M57-M192)-0.5)^2/M192,"")</f>
        <v/>
      </c>
      <c r="N236" s="11">
        <f>IF(ISNUMBER(N192),MAX(0,ABS(N57-N192)-0.5)^2/N192,"")</f>
        <v/>
      </c>
      <c r="O236" s="11">
        <f>IF(ISNUMBER(O192),MAX(0,ABS(O57-O192)-0.5)^2/O192,"")</f>
        <v/>
      </c>
      <c r="P236" s="11">
        <f>IF(ISNUMBER(P192),MAX(0,ABS(P57-P192)-0.5)^2/P192,"")</f>
        <v/>
      </c>
      <c r="Q236" s="11">
        <f>IF(ISNUMBER(Q192),MAX(0,ABS(Q57-Q192)-0.5)^2/Q192,"")</f>
        <v/>
      </c>
      <c r="R236" s="11">
        <f>IF(ISNUMBER(R192),MAX(0,ABS(R57-R192)-0.5)^2/R192,"")</f>
        <v/>
      </c>
      <c r="S236" s="11">
        <f>IF(ISNUMBER(S192),MAX(0,ABS(S57-S192)-0.5)^2/S192,"")</f>
        <v/>
      </c>
      <c r="T236" s="11">
        <f>IF(ISNUMBER(T192),MAX(0,ABS(T57-T192)-0.5)^2/T192,"")</f>
        <v/>
      </c>
      <c r="U236" s="11">
        <f>IF(ISNUMBER(U192),MAX(0,ABS(U57-U192)-0.5)^2/U192,"")</f>
        <v/>
      </c>
    </row>
    <row r="237">
      <c r="A237" s="44">
        <f>$A58</f>
        <v/>
      </c>
      <c r="B237" s="11">
        <f>IF(ISNUMBER(B193),MAX(0,ABS(B58-B193)-0.5)^2/B193,"")</f>
        <v/>
      </c>
      <c r="C237" s="11">
        <f>IF(ISNUMBER(C193),MAX(0,ABS(C58-C193)-0.5)^2/C193,"")</f>
        <v/>
      </c>
      <c r="D237" s="11">
        <f>IF(ISNUMBER(D193),MAX(0,ABS(D58-D193)-0.5)^2/D193,"")</f>
        <v/>
      </c>
      <c r="E237" s="11">
        <f>IF(ISNUMBER(E193),MAX(0,ABS(E58-E193)-0.5)^2/E193,"")</f>
        <v/>
      </c>
      <c r="F237" s="11">
        <f>IF(ISNUMBER(F193),MAX(0,ABS(F58-F193)-0.5)^2/F193,"")</f>
        <v/>
      </c>
      <c r="G237" s="11">
        <f>IF(ISNUMBER(G193),MAX(0,ABS(G58-G193)-0.5)^2/G193,"")</f>
        <v/>
      </c>
      <c r="H237" s="11">
        <f>IF(ISNUMBER(H193),MAX(0,ABS(H58-H193)-0.5)^2/H193,"")</f>
        <v/>
      </c>
      <c r="I237" s="11">
        <f>IF(ISNUMBER(I193),MAX(0,ABS(I58-I193)-0.5)^2/I193,"")</f>
        <v/>
      </c>
      <c r="J237" s="11">
        <f>IF(ISNUMBER(J193),MAX(0,ABS(J58-J193)-0.5)^2/J193,"")</f>
        <v/>
      </c>
      <c r="K237" s="11">
        <f>IF(ISNUMBER(K193),MAX(0,ABS(K58-K193)-0.5)^2/K193,"")</f>
        <v/>
      </c>
      <c r="L237" s="11">
        <f>IF(ISNUMBER(L193),MAX(0,ABS(L58-L193)-0.5)^2/L193,"")</f>
        <v/>
      </c>
      <c r="M237" s="11">
        <f>IF(ISNUMBER(M193),MAX(0,ABS(M58-M193)-0.5)^2/M193,"")</f>
        <v/>
      </c>
      <c r="N237" s="11">
        <f>IF(ISNUMBER(N193),MAX(0,ABS(N58-N193)-0.5)^2/N193,"")</f>
        <v/>
      </c>
      <c r="O237" s="11">
        <f>IF(ISNUMBER(O193),MAX(0,ABS(O58-O193)-0.5)^2/O193,"")</f>
        <v/>
      </c>
      <c r="P237" s="11">
        <f>IF(ISNUMBER(P193),MAX(0,ABS(P58-P193)-0.5)^2/P193,"")</f>
        <v/>
      </c>
      <c r="Q237" s="11">
        <f>IF(ISNUMBER(Q193),MAX(0,ABS(Q58-Q193)-0.5)^2/Q193,"")</f>
        <v/>
      </c>
      <c r="R237" s="11">
        <f>IF(ISNUMBER(R193),MAX(0,ABS(R58-R193)-0.5)^2/R193,"")</f>
        <v/>
      </c>
      <c r="S237" s="11">
        <f>IF(ISNUMBER(S193),MAX(0,ABS(S58-S193)-0.5)^2/S193,"")</f>
        <v/>
      </c>
      <c r="T237" s="11">
        <f>IF(ISNUMBER(T193),MAX(0,ABS(T58-T193)-0.5)^2/T193,"")</f>
        <v/>
      </c>
      <c r="U237" s="11">
        <f>IF(ISNUMBER(U193),MAX(0,ABS(U58-U193)-0.5)^2/U193,"")</f>
        <v/>
      </c>
    </row>
    <row r="238">
      <c r="A238" s="44">
        <f>$A59</f>
        <v/>
      </c>
      <c r="B238" s="11">
        <f>IF(ISNUMBER(B194),MAX(0,ABS(B59-B194)-0.5)^2/B194,"")</f>
        <v/>
      </c>
      <c r="C238" s="11">
        <f>IF(ISNUMBER(C194),MAX(0,ABS(C59-C194)-0.5)^2/C194,"")</f>
        <v/>
      </c>
      <c r="D238" s="11">
        <f>IF(ISNUMBER(D194),MAX(0,ABS(D59-D194)-0.5)^2/D194,"")</f>
        <v/>
      </c>
      <c r="E238" s="11">
        <f>IF(ISNUMBER(E194),MAX(0,ABS(E59-E194)-0.5)^2/E194,"")</f>
        <v/>
      </c>
      <c r="F238" s="11">
        <f>IF(ISNUMBER(F194),MAX(0,ABS(F59-F194)-0.5)^2/F194,"")</f>
        <v/>
      </c>
      <c r="G238" s="11">
        <f>IF(ISNUMBER(G194),MAX(0,ABS(G59-G194)-0.5)^2/G194,"")</f>
        <v/>
      </c>
      <c r="H238" s="11">
        <f>IF(ISNUMBER(H194),MAX(0,ABS(H59-H194)-0.5)^2/H194,"")</f>
        <v/>
      </c>
      <c r="I238" s="11">
        <f>IF(ISNUMBER(I194),MAX(0,ABS(I59-I194)-0.5)^2/I194,"")</f>
        <v/>
      </c>
      <c r="J238" s="11">
        <f>IF(ISNUMBER(J194),MAX(0,ABS(J59-J194)-0.5)^2/J194,"")</f>
        <v/>
      </c>
      <c r="K238" s="11">
        <f>IF(ISNUMBER(K194),MAX(0,ABS(K59-K194)-0.5)^2/K194,"")</f>
        <v/>
      </c>
      <c r="L238" s="11">
        <f>IF(ISNUMBER(L194),MAX(0,ABS(L59-L194)-0.5)^2/L194,"")</f>
        <v/>
      </c>
      <c r="M238" s="11">
        <f>IF(ISNUMBER(M194),MAX(0,ABS(M59-M194)-0.5)^2/M194,"")</f>
        <v/>
      </c>
      <c r="N238" s="11">
        <f>IF(ISNUMBER(N194),MAX(0,ABS(N59-N194)-0.5)^2/N194,"")</f>
        <v/>
      </c>
      <c r="O238" s="11">
        <f>IF(ISNUMBER(O194),MAX(0,ABS(O59-O194)-0.5)^2/O194,"")</f>
        <v/>
      </c>
      <c r="P238" s="11">
        <f>IF(ISNUMBER(P194),MAX(0,ABS(P59-P194)-0.5)^2/P194,"")</f>
        <v/>
      </c>
      <c r="Q238" s="11">
        <f>IF(ISNUMBER(Q194),MAX(0,ABS(Q59-Q194)-0.5)^2/Q194,"")</f>
        <v/>
      </c>
      <c r="R238" s="11">
        <f>IF(ISNUMBER(R194),MAX(0,ABS(R59-R194)-0.5)^2/R194,"")</f>
        <v/>
      </c>
      <c r="S238" s="11">
        <f>IF(ISNUMBER(S194),MAX(0,ABS(S59-S194)-0.5)^2/S194,"")</f>
        <v/>
      </c>
      <c r="T238" s="11">
        <f>IF(ISNUMBER(T194),MAX(0,ABS(T59-T194)-0.5)^2/T194,"")</f>
        <v/>
      </c>
      <c r="U238" s="11">
        <f>IF(ISNUMBER(U194),MAX(0,ABS(U59-U194)-0.5)^2/U194,"")</f>
        <v/>
      </c>
    </row>
    <row r="239">
      <c r="A239" s="44">
        <f>$A60</f>
        <v/>
      </c>
      <c r="B239" s="11">
        <f>IF(ISNUMBER(B195),MAX(0,ABS(B60-B195)-0.5)^2/B195,"")</f>
        <v/>
      </c>
      <c r="C239" s="11">
        <f>IF(ISNUMBER(C195),MAX(0,ABS(C60-C195)-0.5)^2/C195,"")</f>
        <v/>
      </c>
      <c r="D239" s="11">
        <f>IF(ISNUMBER(D195),MAX(0,ABS(D60-D195)-0.5)^2/D195,"")</f>
        <v/>
      </c>
      <c r="E239" s="11">
        <f>IF(ISNUMBER(E195),MAX(0,ABS(E60-E195)-0.5)^2/E195,"")</f>
        <v/>
      </c>
      <c r="F239" s="11">
        <f>IF(ISNUMBER(F195),MAX(0,ABS(F60-F195)-0.5)^2/F195,"")</f>
        <v/>
      </c>
      <c r="G239" s="11">
        <f>IF(ISNUMBER(G195),MAX(0,ABS(G60-G195)-0.5)^2/G195,"")</f>
        <v/>
      </c>
      <c r="H239" s="11">
        <f>IF(ISNUMBER(H195),MAX(0,ABS(H60-H195)-0.5)^2/H195,"")</f>
        <v/>
      </c>
      <c r="I239" s="11">
        <f>IF(ISNUMBER(I195),MAX(0,ABS(I60-I195)-0.5)^2/I195,"")</f>
        <v/>
      </c>
      <c r="J239" s="11">
        <f>IF(ISNUMBER(J195),MAX(0,ABS(J60-J195)-0.5)^2/J195,"")</f>
        <v/>
      </c>
      <c r="K239" s="11">
        <f>IF(ISNUMBER(K195),MAX(0,ABS(K60-K195)-0.5)^2/K195,"")</f>
        <v/>
      </c>
      <c r="L239" s="11">
        <f>IF(ISNUMBER(L195),MAX(0,ABS(L60-L195)-0.5)^2/L195,"")</f>
        <v/>
      </c>
      <c r="M239" s="11">
        <f>IF(ISNUMBER(M195),MAX(0,ABS(M60-M195)-0.5)^2/M195,"")</f>
        <v/>
      </c>
      <c r="N239" s="11">
        <f>IF(ISNUMBER(N195),MAX(0,ABS(N60-N195)-0.5)^2/N195,"")</f>
        <v/>
      </c>
      <c r="O239" s="11">
        <f>IF(ISNUMBER(O195),MAX(0,ABS(O60-O195)-0.5)^2/O195,"")</f>
        <v/>
      </c>
      <c r="P239" s="11">
        <f>IF(ISNUMBER(P195),MAX(0,ABS(P60-P195)-0.5)^2/P195,"")</f>
        <v/>
      </c>
      <c r="Q239" s="11">
        <f>IF(ISNUMBER(Q195),MAX(0,ABS(Q60-Q195)-0.5)^2/Q195,"")</f>
        <v/>
      </c>
      <c r="R239" s="11">
        <f>IF(ISNUMBER(R195),MAX(0,ABS(R60-R195)-0.5)^2/R195,"")</f>
        <v/>
      </c>
      <c r="S239" s="11">
        <f>IF(ISNUMBER(S195),MAX(0,ABS(S60-S195)-0.5)^2/S195,"")</f>
        <v/>
      </c>
      <c r="T239" s="11">
        <f>IF(ISNUMBER(T195),MAX(0,ABS(T60-T195)-0.5)^2/T195,"")</f>
        <v/>
      </c>
      <c r="U239" s="11">
        <f>IF(ISNUMBER(U195),MAX(0,ABS(U60-U195)-0.5)^2/U195,"")</f>
        <v/>
      </c>
    </row>
    <row r="240">
      <c r="A240" s="44">
        <f>$A61</f>
        <v/>
      </c>
      <c r="B240" s="11">
        <f>IF(ISNUMBER(B196),MAX(0,ABS(B61-B196)-0.5)^2/B196,"")</f>
        <v/>
      </c>
      <c r="C240" s="11">
        <f>IF(ISNUMBER(C196),MAX(0,ABS(C61-C196)-0.5)^2/C196,"")</f>
        <v/>
      </c>
      <c r="D240" s="11">
        <f>IF(ISNUMBER(D196),MAX(0,ABS(D61-D196)-0.5)^2/D196,"")</f>
        <v/>
      </c>
      <c r="E240" s="11">
        <f>IF(ISNUMBER(E196),MAX(0,ABS(E61-E196)-0.5)^2/E196,"")</f>
        <v/>
      </c>
      <c r="F240" s="11">
        <f>IF(ISNUMBER(F196),MAX(0,ABS(F61-F196)-0.5)^2/F196,"")</f>
        <v/>
      </c>
      <c r="G240" s="11">
        <f>IF(ISNUMBER(G196),MAX(0,ABS(G61-G196)-0.5)^2/G196,"")</f>
        <v/>
      </c>
      <c r="H240" s="11">
        <f>IF(ISNUMBER(H196),MAX(0,ABS(H61-H196)-0.5)^2/H196,"")</f>
        <v/>
      </c>
      <c r="I240" s="11">
        <f>IF(ISNUMBER(I196),MAX(0,ABS(I61-I196)-0.5)^2/I196,"")</f>
        <v/>
      </c>
      <c r="J240" s="11">
        <f>IF(ISNUMBER(J196),MAX(0,ABS(J61-J196)-0.5)^2/J196,"")</f>
        <v/>
      </c>
      <c r="K240" s="11">
        <f>IF(ISNUMBER(K196),MAX(0,ABS(K61-K196)-0.5)^2/K196,"")</f>
        <v/>
      </c>
      <c r="L240" s="11">
        <f>IF(ISNUMBER(L196),MAX(0,ABS(L61-L196)-0.5)^2/L196,"")</f>
        <v/>
      </c>
      <c r="M240" s="11">
        <f>IF(ISNUMBER(M196),MAX(0,ABS(M61-M196)-0.5)^2/M196,"")</f>
        <v/>
      </c>
      <c r="N240" s="11">
        <f>IF(ISNUMBER(N196),MAX(0,ABS(N61-N196)-0.5)^2/N196,"")</f>
        <v/>
      </c>
      <c r="O240" s="11">
        <f>IF(ISNUMBER(O196),MAX(0,ABS(O61-O196)-0.5)^2/O196,"")</f>
        <v/>
      </c>
      <c r="P240" s="11">
        <f>IF(ISNUMBER(P196),MAX(0,ABS(P61-P196)-0.5)^2/P196,"")</f>
        <v/>
      </c>
      <c r="Q240" s="11">
        <f>IF(ISNUMBER(Q196),MAX(0,ABS(Q61-Q196)-0.5)^2/Q196,"")</f>
        <v/>
      </c>
      <c r="R240" s="11">
        <f>IF(ISNUMBER(R196),MAX(0,ABS(R61-R196)-0.5)^2/R196,"")</f>
        <v/>
      </c>
      <c r="S240" s="11">
        <f>IF(ISNUMBER(S196),MAX(0,ABS(S61-S196)-0.5)^2/S196,"")</f>
        <v/>
      </c>
      <c r="T240" s="11">
        <f>IF(ISNUMBER(T196),MAX(0,ABS(T61-T196)-0.5)^2/T196,"")</f>
        <v/>
      </c>
      <c r="U240" s="11">
        <f>IF(ISNUMBER(U196),MAX(0,ABS(U61-U196)-0.5)^2/U196,"")</f>
        <v/>
      </c>
    </row>
    <row r="241">
      <c r="A241" s="44">
        <f>$A62</f>
        <v/>
      </c>
      <c r="B241" s="11">
        <f>IF(ISNUMBER(B197),MAX(0,ABS(B62-B197)-0.5)^2/B197,"")</f>
        <v/>
      </c>
      <c r="C241" s="11">
        <f>IF(ISNUMBER(C197),MAX(0,ABS(C62-C197)-0.5)^2/C197,"")</f>
        <v/>
      </c>
      <c r="D241" s="11">
        <f>IF(ISNUMBER(D197),MAX(0,ABS(D62-D197)-0.5)^2/D197,"")</f>
        <v/>
      </c>
      <c r="E241" s="11">
        <f>IF(ISNUMBER(E197),MAX(0,ABS(E62-E197)-0.5)^2/E197,"")</f>
        <v/>
      </c>
      <c r="F241" s="11">
        <f>IF(ISNUMBER(F197),MAX(0,ABS(F62-F197)-0.5)^2/F197,"")</f>
        <v/>
      </c>
      <c r="G241" s="11">
        <f>IF(ISNUMBER(G197),MAX(0,ABS(G62-G197)-0.5)^2/G197,"")</f>
        <v/>
      </c>
      <c r="H241" s="11">
        <f>IF(ISNUMBER(H197),MAX(0,ABS(H62-H197)-0.5)^2/H197,"")</f>
        <v/>
      </c>
      <c r="I241" s="11">
        <f>IF(ISNUMBER(I197),MAX(0,ABS(I62-I197)-0.5)^2/I197,"")</f>
        <v/>
      </c>
      <c r="J241" s="11">
        <f>IF(ISNUMBER(J197),MAX(0,ABS(J62-J197)-0.5)^2/J197,"")</f>
        <v/>
      </c>
      <c r="K241" s="11">
        <f>IF(ISNUMBER(K197),MAX(0,ABS(K62-K197)-0.5)^2/K197,"")</f>
        <v/>
      </c>
      <c r="L241" s="11">
        <f>IF(ISNUMBER(L197),MAX(0,ABS(L62-L197)-0.5)^2/L197,"")</f>
        <v/>
      </c>
      <c r="M241" s="11">
        <f>IF(ISNUMBER(M197),MAX(0,ABS(M62-M197)-0.5)^2/M197,"")</f>
        <v/>
      </c>
      <c r="N241" s="11">
        <f>IF(ISNUMBER(N197),MAX(0,ABS(N62-N197)-0.5)^2/N197,"")</f>
        <v/>
      </c>
      <c r="O241" s="11">
        <f>IF(ISNUMBER(O197),MAX(0,ABS(O62-O197)-0.5)^2/O197,"")</f>
        <v/>
      </c>
      <c r="P241" s="11">
        <f>IF(ISNUMBER(P197),MAX(0,ABS(P62-P197)-0.5)^2/P197,"")</f>
        <v/>
      </c>
      <c r="Q241" s="11">
        <f>IF(ISNUMBER(Q197),MAX(0,ABS(Q62-Q197)-0.5)^2/Q197,"")</f>
        <v/>
      </c>
      <c r="R241" s="11">
        <f>IF(ISNUMBER(R197),MAX(0,ABS(R62-R197)-0.5)^2/R197,"")</f>
        <v/>
      </c>
      <c r="S241" s="11">
        <f>IF(ISNUMBER(S197),MAX(0,ABS(S62-S197)-0.5)^2/S197,"")</f>
        <v/>
      </c>
      <c r="T241" s="11">
        <f>IF(ISNUMBER(T197),MAX(0,ABS(T62-T197)-0.5)^2/T197,"")</f>
        <v/>
      </c>
      <c r="U241" s="11">
        <f>IF(ISNUMBER(U197),MAX(0,ABS(U62-U197)-0.5)^2/U197,"")</f>
        <v/>
      </c>
    </row>
    <row r="242">
      <c r="A242" s="44">
        <f>$A63</f>
        <v/>
      </c>
      <c r="B242" s="11">
        <f>IF(ISNUMBER(B198),MAX(0,ABS(B63-B198)-0.5)^2/B198,"")</f>
        <v/>
      </c>
      <c r="C242" s="11">
        <f>IF(ISNUMBER(C198),MAX(0,ABS(C63-C198)-0.5)^2/C198,"")</f>
        <v/>
      </c>
      <c r="D242" s="11">
        <f>IF(ISNUMBER(D198),MAX(0,ABS(D63-D198)-0.5)^2/D198,"")</f>
        <v/>
      </c>
      <c r="E242" s="11">
        <f>IF(ISNUMBER(E198),MAX(0,ABS(E63-E198)-0.5)^2/E198,"")</f>
        <v/>
      </c>
      <c r="F242" s="11">
        <f>IF(ISNUMBER(F198),MAX(0,ABS(F63-F198)-0.5)^2/F198,"")</f>
        <v/>
      </c>
      <c r="G242" s="11">
        <f>IF(ISNUMBER(G198),MAX(0,ABS(G63-G198)-0.5)^2/G198,"")</f>
        <v/>
      </c>
      <c r="H242" s="11">
        <f>IF(ISNUMBER(H198),MAX(0,ABS(H63-H198)-0.5)^2/H198,"")</f>
        <v/>
      </c>
      <c r="I242" s="11">
        <f>IF(ISNUMBER(I198),MAX(0,ABS(I63-I198)-0.5)^2/I198,"")</f>
        <v/>
      </c>
      <c r="J242" s="11">
        <f>IF(ISNUMBER(J198),MAX(0,ABS(J63-J198)-0.5)^2/J198,"")</f>
        <v/>
      </c>
      <c r="K242" s="11">
        <f>IF(ISNUMBER(K198),MAX(0,ABS(K63-K198)-0.5)^2/K198,"")</f>
        <v/>
      </c>
      <c r="L242" s="11">
        <f>IF(ISNUMBER(L198),MAX(0,ABS(L63-L198)-0.5)^2/L198,"")</f>
        <v/>
      </c>
      <c r="M242" s="11">
        <f>IF(ISNUMBER(M198),MAX(0,ABS(M63-M198)-0.5)^2/M198,"")</f>
        <v/>
      </c>
      <c r="N242" s="11">
        <f>IF(ISNUMBER(N198),MAX(0,ABS(N63-N198)-0.5)^2/N198,"")</f>
        <v/>
      </c>
      <c r="O242" s="11">
        <f>IF(ISNUMBER(O198),MAX(0,ABS(O63-O198)-0.5)^2/O198,"")</f>
        <v/>
      </c>
      <c r="P242" s="11">
        <f>IF(ISNUMBER(P198),MAX(0,ABS(P63-P198)-0.5)^2/P198,"")</f>
        <v/>
      </c>
      <c r="Q242" s="11">
        <f>IF(ISNUMBER(Q198),MAX(0,ABS(Q63-Q198)-0.5)^2/Q198,"")</f>
        <v/>
      </c>
      <c r="R242" s="11">
        <f>IF(ISNUMBER(R198),MAX(0,ABS(R63-R198)-0.5)^2/R198,"")</f>
        <v/>
      </c>
      <c r="S242" s="11">
        <f>IF(ISNUMBER(S198),MAX(0,ABS(S63-S198)-0.5)^2/S198,"")</f>
        <v/>
      </c>
      <c r="T242" s="11">
        <f>IF(ISNUMBER(T198),MAX(0,ABS(T63-T198)-0.5)^2/T198,"")</f>
        <v/>
      </c>
      <c r="U242" s="11">
        <f>IF(ISNUMBER(U198),MAX(0,ABS(U63-U198)-0.5)^2/U198,"")</f>
        <v/>
      </c>
    </row>
    <row r="243">
      <c r="A243" s="44">
        <f>$A64</f>
        <v/>
      </c>
      <c r="B243" s="11">
        <f>IF(ISNUMBER(B199),MAX(0,ABS(B64-B199)-0.5)^2/B199,"")</f>
        <v/>
      </c>
      <c r="C243" s="11">
        <f>IF(ISNUMBER(C199),MAX(0,ABS(C64-C199)-0.5)^2/C199,"")</f>
        <v/>
      </c>
      <c r="D243" s="11">
        <f>IF(ISNUMBER(D199),MAX(0,ABS(D64-D199)-0.5)^2/D199,"")</f>
        <v/>
      </c>
      <c r="E243" s="11">
        <f>IF(ISNUMBER(E199),MAX(0,ABS(E64-E199)-0.5)^2/E199,"")</f>
        <v/>
      </c>
      <c r="F243" s="11">
        <f>IF(ISNUMBER(F199),MAX(0,ABS(F64-F199)-0.5)^2/F199,"")</f>
        <v/>
      </c>
      <c r="G243" s="11">
        <f>IF(ISNUMBER(G199),MAX(0,ABS(G64-G199)-0.5)^2/G199,"")</f>
        <v/>
      </c>
      <c r="H243" s="11">
        <f>IF(ISNUMBER(H199),MAX(0,ABS(H64-H199)-0.5)^2/H199,"")</f>
        <v/>
      </c>
      <c r="I243" s="11">
        <f>IF(ISNUMBER(I199),MAX(0,ABS(I64-I199)-0.5)^2/I199,"")</f>
        <v/>
      </c>
      <c r="J243" s="11">
        <f>IF(ISNUMBER(J199),MAX(0,ABS(J64-J199)-0.5)^2/J199,"")</f>
        <v/>
      </c>
      <c r="K243" s="11">
        <f>IF(ISNUMBER(K199),MAX(0,ABS(K64-K199)-0.5)^2/K199,"")</f>
        <v/>
      </c>
      <c r="L243" s="11">
        <f>IF(ISNUMBER(L199),MAX(0,ABS(L64-L199)-0.5)^2/L199,"")</f>
        <v/>
      </c>
      <c r="M243" s="11">
        <f>IF(ISNUMBER(M199),MAX(0,ABS(M64-M199)-0.5)^2/M199,"")</f>
        <v/>
      </c>
      <c r="N243" s="11">
        <f>IF(ISNUMBER(N199),MAX(0,ABS(N64-N199)-0.5)^2/N199,"")</f>
        <v/>
      </c>
      <c r="O243" s="11">
        <f>IF(ISNUMBER(O199),MAX(0,ABS(O64-O199)-0.5)^2/O199,"")</f>
        <v/>
      </c>
      <c r="P243" s="11">
        <f>IF(ISNUMBER(P199),MAX(0,ABS(P64-P199)-0.5)^2/P199,"")</f>
        <v/>
      </c>
      <c r="Q243" s="11">
        <f>IF(ISNUMBER(Q199),MAX(0,ABS(Q64-Q199)-0.5)^2/Q199,"")</f>
        <v/>
      </c>
      <c r="R243" s="11">
        <f>IF(ISNUMBER(R199),MAX(0,ABS(R64-R199)-0.5)^2/R199,"")</f>
        <v/>
      </c>
      <c r="S243" s="11">
        <f>IF(ISNUMBER(S199),MAX(0,ABS(S64-S199)-0.5)^2/S199,"")</f>
        <v/>
      </c>
      <c r="T243" s="11">
        <f>IF(ISNUMBER(T199),MAX(0,ABS(T64-T199)-0.5)^2/T199,"")</f>
        <v/>
      </c>
      <c r="U243" s="11">
        <f>IF(ISNUMBER(U199),MAX(0,ABS(U64-U199)-0.5)^2/U199,"")</f>
        <v/>
      </c>
    </row>
    <row r="244">
      <c r="A244" s="44">
        <f>$A65</f>
        <v/>
      </c>
      <c r="B244" s="11">
        <f>IF(ISNUMBER(B200),MAX(0,ABS(B65-B200)-0.5)^2/B200,"")</f>
        <v/>
      </c>
      <c r="C244" s="11">
        <f>IF(ISNUMBER(C200),MAX(0,ABS(C65-C200)-0.5)^2/C200,"")</f>
        <v/>
      </c>
      <c r="D244" s="11">
        <f>IF(ISNUMBER(D200),MAX(0,ABS(D65-D200)-0.5)^2/D200,"")</f>
        <v/>
      </c>
      <c r="E244" s="11">
        <f>IF(ISNUMBER(E200),MAX(0,ABS(E65-E200)-0.5)^2/E200,"")</f>
        <v/>
      </c>
      <c r="F244" s="11">
        <f>IF(ISNUMBER(F200),MAX(0,ABS(F65-F200)-0.5)^2/F200,"")</f>
        <v/>
      </c>
      <c r="G244" s="11">
        <f>IF(ISNUMBER(G200),MAX(0,ABS(G65-G200)-0.5)^2/G200,"")</f>
        <v/>
      </c>
      <c r="H244" s="11">
        <f>IF(ISNUMBER(H200),MAX(0,ABS(H65-H200)-0.5)^2/H200,"")</f>
        <v/>
      </c>
      <c r="I244" s="11">
        <f>IF(ISNUMBER(I200),MAX(0,ABS(I65-I200)-0.5)^2/I200,"")</f>
        <v/>
      </c>
      <c r="J244" s="11">
        <f>IF(ISNUMBER(J200),MAX(0,ABS(J65-J200)-0.5)^2/J200,"")</f>
        <v/>
      </c>
      <c r="K244" s="11">
        <f>IF(ISNUMBER(K200),MAX(0,ABS(K65-K200)-0.5)^2/K200,"")</f>
        <v/>
      </c>
      <c r="L244" s="11">
        <f>IF(ISNUMBER(L200),MAX(0,ABS(L65-L200)-0.5)^2/L200,"")</f>
        <v/>
      </c>
      <c r="M244" s="11">
        <f>IF(ISNUMBER(M200),MAX(0,ABS(M65-M200)-0.5)^2/M200,"")</f>
        <v/>
      </c>
      <c r="N244" s="11">
        <f>IF(ISNUMBER(N200),MAX(0,ABS(N65-N200)-0.5)^2/N200,"")</f>
        <v/>
      </c>
      <c r="O244" s="11">
        <f>IF(ISNUMBER(O200),MAX(0,ABS(O65-O200)-0.5)^2/O200,"")</f>
        <v/>
      </c>
      <c r="P244" s="11">
        <f>IF(ISNUMBER(P200),MAX(0,ABS(P65-P200)-0.5)^2/P200,"")</f>
        <v/>
      </c>
      <c r="Q244" s="11">
        <f>IF(ISNUMBER(Q200),MAX(0,ABS(Q65-Q200)-0.5)^2/Q200,"")</f>
        <v/>
      </c>
      <c r="R244" s="11">
        <f>IF(ISNUMBER(R200),MAX(0,ABS(R65-R200)-0.5)^2/R200,"")</f>
        <v/>
      </c>
      <c r="S244" s="11">
        <f>IF(ISNUMBER(S200),MAX(0,ABS(S65-S200)-0.5)^2/S200,"")</f>
        <v/>
      </c>
      <c r="T244" s="11">
        <f>IF(ISNUMBER(T200),MAX(0,ABS(T65-T200)-0.5)^2/T200,"")</f>
        <v/>
      </c>
      <c r="U244" s="11">
        <f>IF(ISNUMBER(U200),MAX(0,ABS(U65-U200)-0.5)^2/U200,"")</f>
        <v/>
      </c>
    </row>
    <row r="245">
      <c r="A245" s="44">
        <f>$A66</f>
        <v/>
      </c>
      <c r="B245" s="11">
        <f>IF(ISNUMBER(B201),MAX(0,ABS(B66-B201)-0.5)^2/B201,"")</f>
        <v/>
      </c>
      <c r="C245" s="11">
        <f>IF(ISNUMBER(C201),MAX(0,ABS(C66-C201)-0.5)^2/C201,"")</f>
        <v/>
      </c>
      <c r="D245" s="11">
        <f>IF(ISNUMBER(D201),MAX(0,ABS(D66-D201)-0.5)^2/D201,"")</f>
        <v/>
      </c>
      <c r="E245" s="11">
        <f>IF(ISNUMBER(E201),MAX(0,ABS(E66-E201)-0.5)^2/E201,"")</f>
        <v/>
      </c>
      <c r="F245" s="11">
        <f>IF(ISNUMBER(F201),MAX(0,ABS(F66-F201)-0.5)^2/F201,"")</f>
        <v/>
      </c>
      <c r="G245" s="11">
        <f>IF(ISNUMBER(G201),MAX(0,ABS(G66-G201)-0.5)^2/G201,"")</f>
        <v/>
      </c>
      <c r="H245" s="11">
        <f>IF(ISNUMBER(H201),MAX(0,ABS(H66-H201)-0.5)^2/H201,"")</f>
        <v/>
      </c>
      <c r="I245" s="11">
        <f>IF(ISNUMBER(I201),MAX(0,ABS(I66-I201)-0.5)^2/I201,"")</f>
        <v/>
      </c>
      <c r="J245" s="11">
        <f>IF(ISNUMBER(J201),MAX(0,ABS(J66-J201)-0.5)^2/J201,"")</f>
        <v/>
      </c>
      <c r="K245" s="11">
        <f>IF(ISNUMBER(K201),MAX(0,ABS(K66-K201)-0.5)^2/K201,"")</f>
        <v/>
      </c>
      <c r="L245" s="11">
        <f>IF(ISNUMBER(L201),MAX(0,ABS(L66-L201)-0.5)^2/L201,"")</f>
        <v/>
      </c>
      <c r="M245" s="11">
        <f>IF(ISNUMBER(M201),MAX(0,ABS(M66-M201)-0.5)^2/M201,"")</f>
        <v/>
      </c>
      <c r="N245" s="11">
        <f>IF(ISNUMBER(N201),MAX(0,ABS(N66-N201)-0.5)^2/N201,"")</f>
        <v/>
      </c>
      <c r="O245" s="11">
        <f>IF(ISNUMBER(O201),MAX(0,ABS(O66-O201)-0.5)^2/O201,"")</f>
        <v/>
      </c>
      <c r="P245" s="11">
        <f>IF(ISNUMBER(P201),MAX(0,ABS(P66-P201)-0.5)^2/P201,"")</f>
        <v/>
      </c>
      <c r="Q245" s="11">
        <f>IF(ISNUMBER(Q201),MAX(0,ABS(Q66-Q201)-0.5)^2/Q201,"")</f>
        <v/>
      </c>
      <c r="R245" s="11">
        <f>IF(ISNUMBER(R201),MAX(0,ABS(R66-R201)-0.5)^2/R201,"")</f>
        <v/>
      </c>
      <c r="S245" s="11">
        <f>IF(ISNUMBER(S201),MAX(0,ABS(S66-S201)-0.5)^2/S201,"")</f>
        <v/>
      </c>
      <c r="T245" s="11">
        <f>IF(ISNUMBER(T201),MAX(0,ABS(T66-T201)-0.5)^2/T201,"")</f>
        <v/>
      </c>
      <c r="U245" s="11">
        <f>IF(ISNUMBER(U201),MAX(0,ABS(U66-U201)-0.5)^2/U201,"")</f>
        <v/>
      </c>
    </row>
    <row r="246">
      <c r="A246" s="44">
        <f>$A67</f>
        <v/>
      </c>
      <c r="B246" s="11">
        <f>IF(ISNUMBER(B202),MAX(0,ABS(B67-B202)-0.5)^2/B202,"")</f>
        <v/>
      </c>
      <c r="C246" s="11">
        <f>IF(ISNUMBER(C202),MAX(0,ABS(C67-C202)-0.5)^2/C202,"")</f>
        <v/>
      </c>
      <c r="D246" s="11">
        <f>IF(ISNUMBER(D202),MAX(0,ABS(D67-D202)-0.5)^2/D202,"")</f>
        <v/>
      </c>
      <c r="E246" s="11">
        <f>IF(ISNUMBER(E202),MAX(0,ABS(E67-E202)-0.5)^2/E202,"")</f>
        <v/>
      </c>
      <c r="F246" s="11">
        <f>IF(ISNUMBER(F202),MAX(0,ABS(F67-F202)-0.5)^2/F202,"")</f>
        <v/>
      </c>
      <c r="G246" s="11">
        <f>IF(ISNUMBER(G202),MAX(0,ABS(G67-G202)-0.5)^2/G202,"")</f>
        <v/>
      </c>
      <c r="H246" s="11">
        <f>IF(ISNUMBER(H202),MAX(0,ABS(H67-H202)-0.5)^2/H202,"")</f>
        <v/>
      </c>
      <c r="I246" s="11">
        <f>IF(ISNUMBER(I202),MAX(0,ABS(I67-I202)-0.5)^2/I202,"")</f>
        <v/>
      </c>
      <c r="J246" s="11">
        <f>IF(ISNUMBER(J202),MAX(0,ABS(J67-J202)-0.5)^2/J202,"")</f>
        <v/>
      </c>
      <c r="K246" s="11">
        <f>IF(ISNUMBER(K202),MAX(0,ABS(K67-K202)-0.5)^2/K202,"")</f>
        <v/>
      </c>
      <c r="L246" s="11">
        <f>IF(ISNUMBER(L202),MAX(0,ABS(L67-L202)-0.5)^2/L202,"")</f>
        <v/>
      </c>
      <c r="M246" s="11">
        <f>IF(ISNUMBER(M202),MAX(0,ABS(M67-M202)-0.5)^2/M202,"")</f>
        <v/>
      </c>
      <c r="N246" s="11">
        <f>IF(ISNUMBER(N202),MAX(0,ABS(N67-N202)-0.5)^2/N202,"")</f>
        <v/>
      </c>
      <c r="O246" s="11">
        <f>IF(ISNUMBER(O202),MAX(0,ABS(O67-O202)-0.5)^2/O202,"")</f>
        <v/>
      </c>
      <c r="P246" s="11">
        <f>IF(ISNUMBER(P202),MAX(0,ABS(P67-P202)-0.5)^2/P202,"")</f>
        <v/>
      </c>
      <c r="Q246" s="11">
        <f>IF(ISNUMBER(Q202),MAX(0,ABS(Q67-Q202)-0.5)^2/Q202,"")</f>
        <v/>
      </c>
      <c r="R246" s="11">
        <f>IF(ISNUMBER(R202),MAX(0,ABS(R67-R202)-0.5)^2/R202,"")</f>
        <v/>
      </c>
      <c r="S246" s="11">
        <f>IF(ISNUMBER(S202),MAX(0,ABS(S67-S202)-0.5)^2/S202,"")</f>
        <v/>
      </c>
      <c r="T246" s="11">
        <f>IF(ISNUMBER(T202),MAX(0,ABS(T67-T202)-0.5)^2/T202,"")</f>
        <v/>
      </c>
      <c r="U246" s="11">
        <f>IF(ISNUMBER(U202),MAX(0,ABS(U67-U202)-0.5)^2/U202,"")</f>
        <v/>
      </c>
    </row>
    <row r="247">
      <c r="A247" s="44">
        <f>$A68</f>
        <v/>
      </c>
      <c r="B247" s="11">
        <f>IF(ISNUMBER(B203),MAX(0,ABS(B68-B203)-0.5)^2/B203,"")</f>
        <v/>
      </c>
      <c r="C247" s="11">
        <f>IF(ISNUMBER(C203),MAX(0,ABS(C68-C203)-0.5)^2/C203,"")</f>
        <v/>
      </c>
      <c r="D247" s="11">
        <f>IF(ISNUMBER(D203),MAX(0,ABS(D68-D203)-0.5)^2/D203,"")</f>
        <v/>
      </c>
      <c r="E247" s="11">
        <f>IF(ISNUMBER(E203),MAX(0,ABS(E68-E203)-0.5)^2/E203,"")</f>
        <v/>
      </c>
      <c r="F247" s="11">
        <f>IF(ISNUMBER(F203),MAX(0,ABS(F68-F203)-0.5)^2/F203,"")</f>
        <v/>
      </c>
      <c r="G247" s="11">
        <f>IF(ISNUMBER(G203),MAX(0,ABS(G68-G203)-0.5)^2/G203,"")</f>
        <v/>
      </c>
      <c r="H247" s="11">
        <f>IF(ISNUMBER(H203),MAX(0,ABS(H68-H203)-0.5)^2/H203,"")</f>
        <v/>
      </c>
      <c r="I247" s="11">
        <f>IF(ISNUMBER(I203),MAX(0,ABS(I68-I203)-0.5)^2/I203,"")</f>
        <v/>
      </c>
      <c r="J247" s="11">
        <f>IF(ISNUMBER(J203),MAX(0,ABS(J68-J203)-0.5)^2/J203,"")</f>
        <v/>
      </c>
      <c r="K247" s="11">
        <f>IF(ISNUMBER(K203),MAX(0,ABS(K68-K203)-0.5)^2/K203,"")</f>
        <v/>
      </c>
      <c r="L247" s="11">
        <f>IF(ISNUMBER(L203),MAX(0,ABS(L68-L203)-0.5)^2/L203,"")</f>
        <v/>
      </c>
      <c r="M247" s="11">
        <f>IF(ISNUMBER(M203),MAX(0,ABS(M68-M203)-0.5)^2/M203,"")</f>
        <v/>
      </c>
      <c r="N247" s="11">
        <f>IF(ISNUMBER(N203),MAX(0,ABS(N68-N203)-0.5)^2/N203,"")</f>
        <v/>
      </c>
      <c r="O247" s="11">
        <f>IF(ISNUMBER(O203),MAX(0,ABS(O68-O203)-0.5)^2/O203,"")</f>
        <v/>
      </c>
      <c r="P247" s="11">
        <f>IF(ISNUMBER(P203),MAX(0,ABS(P68-P203)-0.5)^2/P203,"")</f>
        <v/>
      </c>
      <c r="Q247" s="11">
        <f>IF(ISNUMBER(Q203),MAX(0,ABS(Q68-Q203)-0.5)^2/Q203,"")</f>
        <v/>
      </c>
      <c r="R247" s="11">
        <f>IF(ISNUMBER(R203),MAX(0,ABS(R68-R203)-0.5)^2/R203,"")</f>
        <v/>
      </c>
      <c r="S247" s="11">
        <f>IF(ISNUMBER(S203),MAX(0,ABS(S68-S203)-0.5)^2/S203,"")</f>
        <v/>
      </c>
      <c r="T247" s="11">
        <f>IF(ISNUMBER(T203),MAX(0,ABS(T68-T203)-0.5)^2/T203,"")</f>
        <v/>
      </c>
      <c r="U247" s="11">
        <f>IF(ISNUMBER(U203),MAX(0,ABS(U68-U203)-0.5)^2/U203,"")</f>
        <v/>
      </c>
    </row>
    <row r="248">
      <c r="A248" s="44">
        <f>$A69</f>
        <v/>
      </c>
      <c r="B248" s="11">
        <f>IF(ISNUMBER(B204),MAX(0,ABS(B69-B204)-0.5)^2/B204,"")</f>
        <v/>
      </c>
      <c r="C248" s="11">
        <f>IF(ISNUMBER(C204),MAX(0,ABS(C69-C204)-0.5)^2/C204,"")</f>
        <v/>
      </c>
      <c r="D248" s="11">
        <f>IF(ISNUMBER(D204),MAX(0,ABS(D69-D204)-0.5)^2/D204,"")</f>
        <v/>
      </c>
      <c r="E248" s="11">
        <f>IF(ISNUMBER(E204),MAX(0,ABS(E69-E204)-0.5)^2/E204,"")</f>
        <v/>
      </c>
      <c r="F248" s="11">
        <f>IF(ISNUMBER(F204),MAX(0,ABS(F69-F204)-0.5)^2/F204,"")</f>
        <v/>
      </c>
      <c r="G248" s="11">
        <f>IF(ISNUMBER(G204),MAX(0,ABS(G69-G204)-0.5)^2/G204,"")</f>
        <v/>
      </c>
      <c r="H248" s="11">
        <f>IF(ISNUMBER(H204),MAX(0,ABS(H69-H204)-0.5)^2/H204,"")</f>
        <v/>
      </c>
      <c r="I248" s="11">
        <f>IF(ISNUMBER(I204),MAX(0,ABS(I69-I204)-0.5)^2/I204,"")</f>
        <v/>
      </c>
      <c r="J248" s="11">
        <f>IF(ISNUMBER(J204),MAX(0,ABS(J69-J204)-0.5)^2/J204,"")</f>
        <v/>
      </c>
      <c r="K248" s="11">
        <f>IF(ISNUMBER(K204),MAX(0,ABS(K69-K204)-0.5)^2/K204,"")</f>
        <v/>
      </c>
      <c r="L248" s="11">
        <f>IF(ISNUMBER(L204),MAX(0,ABS(L69-L204)-0.5)^2/L204,"")</f>
        <v/>
      </c>
      <c r="M248" s="11">
        <f>IF(ISNUMBER(M204),MAX(0,ABS(M69-M204)-0.5)^2/M204,"")</f>
        <v/>
      </c>
      <c r="N248" s="11">
        <f>IF(ISNUMBER(N204),MAX(0,ABS(N69-N204)-0.5)^2/N204,"")</f>
        <v/>
      </c>
      <c r="O248" s="11">
        <f>IF(ISNUMBER(O204),MAX(0,ABS(O69-O204)-0.5)^2/O204,"")</f>
        <v/>
      </c>
      <c r="P248" s="11">
        <f>IF(ISNUMBER(P204),MAX(0,ABS(P69-P204)-0.5)^2/P204,"")</f>
        <v/>
      </c>
      <c r="Q248" s="11">
        <f>IF(ISNUMBER(Q204),MAX(0,ABS(Q69-Q204)-0.5)^2/Q204,"")</f>
        <v/>
      </c>
      <c r="R248" s="11">
        <f>IF(ISNUMBER(R204),MAX(0,ABS(R69-R204)-0.5)^2/R204,"")</f>
        <v/>
      </c>
      <c r="S248" s="11">
        <f>IF(ISNUMBER(S204),MAX(0,ABS(S69-S204)-0.5)^2/S204,"")</f>
        <v/>
      </c>
      <c r="T248" s="11">
        <f>IF(ISNUMBER(T204),MAX(0,ABS(T69-T204)-0.5)^2/T204,"")</f>
        <v/>
      </c>
      <c r="U248" s="11">
        <f>IF(ISNUMBER(U204),MAX(0,ABS(U69-U204)-0.5)^2/U204,"")</f>
        <v/>
      </c>
    </row>
    <row r="249">
      <c r="A249" s="44">
        <f>$A70</f>
        <v/>
      </c>
      <c r="B249" s="11">
        <f>IF(ISNUMBER(B205),MAX(0,ABS(B70-B205)-0.5)^2/B205,"")</f>
        <v/>
      </c>
      <c r="C249" s="11">
        <f>IF(ISNUMBER(C205),MAX(0,ABS(C70-C205)-0.5)^2/C205,"")</f>
        <v/>
      </c>
      <c r="D249" s="11">
        <f>IF(ISNUMBER(D205),MAX(0,ABS(D70-D205)-0.5)^2/D205,"")</f>
        <v/>
      </c>
      <c r="E249" s="11">
        <f>IF(ISNUMBER(E205),MAX(0,ABS(E70-E205)-0.5)^2/E205,"")</f>
        <v/>
      </c>
      <c r="F249" s="11">
        <f>IF(ISNUMBER(F205),MAX(0,ABS(F70-F205)-0.5)^2/F205,"")</f>
        <v/>
      </c>
      <c r="G249" s="11">
        <f>IF(ISNUMBER(G205),MAX(0,ABS(G70-G205)-0.5)^2/G205,"")</f>
        <v/>
      </c>
      <c r="H249" s="11">
        <f>IF(ISNUMBER(H205),MAX(0,ABS(H70-H205)-0.5)^2/H205,"")</f>
        <v/>
      </c>
      <c r="I249" s="11">
        <f>IF(ISNUMBER(I205),MAX(0,ABS(I70-I205)-0.5)^2/I205,"")</f>
        <v/>
      </c>
      <c r="J249" s="11">
        <f>IF(ISNUMBER(J205),MAX(0,ABS(J70-J205)-0.5)^2/J205,"")</f>
        <v/>
      </c>
      <c r="K249" s="11">
        <f>IF(ISNUMBER(K205),MAX(0,ABS(K70-K205)-0.5)^2/K205,"")</f>
        <v/>
      </c>
      <c r="L249" s="11">
        <f>IF(ISNUMBER(L205),MAX(0,ABS(L70-L205)-0.5)^2/L205,"")</f>
        <v/>
      </c>
      <c r="M249" s="11">
        <f>IF(ISNUMBER(M205),MAX(0,ABS(M70-M205)-0.5)^2/M205,"")</f>
        <v/>
      </c>
      <c r="N249" s="11">
        <f>IF(ISNUMBER(N205),MAX(0,ABS(N70-N205)-0.5)^2/N205,"")</f>
        <v/>
      </c>
      <c r="O249" s="11">
        <f>IF(ISNUMBER(O205),MAX(0,ABS(O70-O205)-0.5)^2/O205,"")</f>
        <v/>
      </c>
      <c r="P249" s="11">
        <f>IF(ISNUMBER(P205),MAX(0,ABS(P70-P205)-0.5)^2/P205,"")</f>
        <v/>
      </c>
      <c r="Q249" s="11">
        <f>IF(ISNUMBER(Q205),MAX(0,ABS(Q70-Q205)-0.5)^2/Q205,"")</f>
        <v/>
      </c>
      <c r="R249" s="11">
        <f>IF(ISNUMBER(R205),MAX(0,ABS(R70-R205)-0.5)^2/R205,"")</f>
        <v/>
      </c>
      <c r="S249" s="11">
        <f>IF(ISNUMBER(S205),MAX(0,ABS(S70-S205)-0.5)^2/S205,"")</f>
        <v/>
      </c>
      <c r="T249" s="11">
        <f>IF(ISNUMBER(T205),MAX(0,ABS(T70-T205)-0.5)^2/T205,"")</f>
        <v/>
      </c>
      <c r="U249" s="11">
        <f>IF(ISNUMBER(U205),MAX(0,ABS(U70-U205)-0.5)^2/U205,"")</f>
        <v/>
      </c>
    </row>
    <row r="250">
      <c r="A250" s="44">
        <f>$A71</f>
        <v/>
      </c>
      <c r="B250" s="11">
        <f>IF(ISNUMBER(B206),MAX(0,ABS(B71-B206)-0.5)^2/B206,"")</f>
        <v/>
      </c>
      <c r="C250" s="11">
        <f>IF(ISNUMBER(C206),MAX(0,ABS(C71-C206)-0.5)^2/C206,"")</f>
        <v/>
      </c>
      <c r="D250" s="11">
        <f>IF(ISNUMBER(D206),MAX(0,ABS(D71-D206)-0.5)^2/D206,"")</f>
        <v/>
      </c>
      <c r="E250" s="11">
        <f>IF(ISNUMBER(E206),MAX(0,ABS(E71-E206)-0.5)^2/E206,"")</f>
        <v/>
      </c>
      <c r="F250" s="11">
        <f>IF(ISNUMBER(F206),MAX(0,ABS(F71-F206)-0.5)^2/F206,"")</f>
        <v/>
      </c>
      <c r="G250" s="11">
        <f>IF(ISNUMBER(G206),MAX(0,ABS(G71-G206)-0.5)^2/G206,"")</f>
        <v/>
      </c>
      <c r="H250" s="11">
        <f>IF(ISNUMBER(H206),MAX(0,ABS(H71-H206)-0.5)^2/H206,"")</f>
        <v/>
      </c>
      <c r="I250" s="11">
        <f>IF(ISNUMBER(I206),MAX(0,ABS(I71-I206)-0.5)^2/I206,"")</f>
        <v/>
      </c>
      <c r="J250" s="11">
        <f>IF(ISNUMBER(J206),MAX(0,ABS(J71-J206)-0.5)^2/J206,"")</f>
        <v/>
      </c>
      <c r="K250" s="11">
        <f>IF(ISNUMBER(K206),MAX(0,ABS(K71-K206)-0.5)^2/K206,"")</f>
        <v/>
      </c>
      <c r="L250" s="11">
        <f>IF(ISNUMBER(L206),MAX(0,ABS(L71-L206)-0.5)^2/L206,"")</f>
        <v/>
      </c>
      <c r="M250" s="11">
        <f>IF(ISNUMBER(M206),MAX(0,ABS(M71-M206)-0.5)^2/M206,"")</f>
        <v/>
      </c>
      <c r="N250" s="11">
        <f>IF(ISNUMBER(N206),MAX(0,ABS(N71-N206)-0.5)^2/N206,"")</f>
        <v/>
      </c>
      <c r="O250" s="11">
        <f>IF(ISNUMBER(O206),MAX(0,ABS(O71-O206)-0.5)^2/O206,"")</f>
        <v/>
      </c>
      <c r="P250" s="11">
        <f>IF(ISNUMBER(P206),MAX(0,ABS(P71-P206)-0.5)^2/P206,"")</f>
        <v/>
      </c>
      <c r="Q250" s="11">
        <f>IF(ISNUMBER(Q206),MAX(0,ABS(Q71-Q206)-0.5)^2/Q206,"")</f>
        <v/>
      </c>
      <c r="R250" s="11">
        <f>IF(ISNUMBER(R206),MAX(0,ABS(R71-R206)-0.5)^2/R206,"")</f>
        <v/>
      </c>
      <c r="S250" s="11">
        <f>IF(ISNUMBER(S206),MAX(0,ABS(S71-S206)-0.5)^2/S206,"")</f>
        <v/>
      </c>
      <c r="T250" s="11">
        <f>IF(ISNUMBER(T206),MAX(0,ABS(T71-T206)-0.5)^2/T206,"")</f>
        <v/>
      </c>
      <c r="U250" s="11">
        <f>IF(ISNUMBER(U206),MAX(0,ABS(U71-U206)-0.5)^2/U206,"")</f>
        <v/>
      </c>
    </row>
    <row r="251">
      <c r="A251" s="44">
        <f>$A72</f>
        <v/>
      </c>
      <c r="B251" s="11">
        <f>IF(ISNUMBER(B207),MAX(0,ABS(B72-B207)-0.5)^2/B207,"")</f>
        <v/>
      </c>
      <c r="C251" s="11">
        <f>IF(ISNUMBER(C207),MAX(0,ABS(C72-C207)-0.5)^2/C207,"")</f>
        <v/>
      </c>
      <c r="D251" s="11">
        <f>IF(ISNUMBER(D207),MAX(0,ABS(D72-D207)-0.5)^2/D207,"")</f>
        <v/>
      </c>
      <c r="E251" s="11">
        <f>IF(ISNUMBER(E207),MAX(0,ABS(E72-E207)-0.5)^2/E207,"")</f>
        <v/>
      </c>
      <c r="F251" s="11">
        <f>IF(ISNUMBER(F207),MAX(0,ABS(F72-F207)-0.5)^2/F207,"")</f>
        <v/>
      </c>
      <c r="G251" s="11">
        <f>IF(ISNUMBER(G207),MAX(0,ABS(G72-G207)-0.5)^2/G207,"")</f>
        <v/>
      </c>
      <c r="H251" s="11">
        <f>IF(ISNUMBER(H207),MAX(0,ABS(H72-H207)-0.5)^2/H207,"")</f>
        <v/>
      </c>
      <c r="I251" s="11">
        <f>IF(ISNUMBER(I207),MAX(0,ABS(I72-I207)-0.5)^2/I207,"")</f>
        <v/>
      </c>
      <c r="J251" s="11">
        <f>IF(ISNUMBER(J207),MAX(0,ABS(J72-J207)-0.5)^2/J207,"")</f>
        <v/>
      </c>
      <c r="K251" s="11">
        <f>IF(ISNUMBER(K207),MAX(0,ABS(K72-K207)-0.5)^2/K207,"")</f>
        <v/>
      </c>
      <c r="L251" s="11">
        <f>IF(ISNUMBER(L207),MAX(0,ABS(L72-L207)-0.5)^2/L207,"")</f>
        <v/>
      </c>
      <c r="M251" s="11">
        <f>IF(ISNUMBER(M207),MAX(0,ABS(M72-M207)-0.5)^2/M207,"")</f>
        <v/>
      </c>
      <c r="N251" s="11">
        <f>IF(ISNUMBER(N207),MAX(0,ABS(N72-N207)-0.5)^2/N207,"")</f>
        <v/>
      </c>
      <c r="O251" s="11">
        <f>IF(ISNUMBER(O207),MAX(0,ABS(O72-O207)-0.5)^2/O207,"")</f>
        <v/>
      </c>
      <c r="P251" s="11">
        <f>IF(ISNUMBER(P207),MAX(0,ABS(P72-P207)-0.5)^2/P207,"")</f>
        <v/>
      </c>
      <c r="Q251" s="11">
        <f>IF(ISNUMBER(Q207),MAX(0,ABS(Q72-Q207)-0.5)^2/Q207,"")</f>
        <v/>
      </c>
      <c r="R251" s="11">
        <f>IF(ISNUMBER(R207),MAX(0,ABS(R72-R207)-0.5)^2/R207,"")</f>
        <v/>
      </c>
      <c r="S251" s="11">
        <f>IF(ISNUMBER(S207),MAX(0,ABS(S72-S207)-0.5)^2/S207,"")</f>
        <v/>
      </c>
      <c r="T251" s="11">
        <f>IF(ISNUMBER(T207),MAX(0,ABS(T72-T207)-0.5)^2/T207,"")</f>
        <v/>
      </c>
      <c r="U251" s="11">
        <f>IF(ISNUMBER(U207),MAX(0,ABS(U72-U207)-0.5)^2/U207,"")</f>
        <v/>
      </c>
    </row>
    <row r="252">
      <c r="A252" s="44">
        <f>$A73</f>
        <v/>
      </c>
      <c r="B252" s="11">
        <f>IF(ISNUMBER(B208),MAX(0,ABS(B73-B208)-0.5)^2/B208,"")</f>
        <v/>
      </c>
      <c r="C252" s="11">
        <f>IF(ISNUMBER(C208),MAX(0,ABS(C73-C208)-0.5)^2/C208,"")</f>
        <v/>
      </c>
      <c r="D252" s="11">
        <f>IF(ISNUMBER(D208),MAX(0,ABS(D73-D208)-0.5)^2/D208,"")</f>
        <v/>
      </c>
      <c r="E252" s="11">
        <f>IF(ISNUMBER(E208),MAX(0,ABS(E73-E208)-0.5)^2/E208,"")</f>
        <v/>
      </c>
      <c r="F252" s="11">
        <f>IF(ISNUMBER(F208),MAX(0,ABS(F73-F208)-0.5)^2/F208,"")</f>
        <v/>
      </c>
      <c r="G252" s="11">
        <f>IF(ISNUMBER(G208),MAX(0,ABS(G73-G208)-0.5)^2/G208,"")</f>
        <v/>
      </c>
      <c r="H252" s="11">
        <f>IF(ISNUMBER(H208),MAX(0,ABS(H73-H208)-0.5)^2/H208,"")</f>
        <v/>
      </c>
      <c r="I252" s="11">
        <f>IF(ISNUMBER(I208),MAX(0,ABS(I73-I208)-0.5)^2/I208,"")</f>
        <v/>
      </c>
      <c r="J252" s="11">
        <f>IF(ISNUMBER(J208),MAX(0,ABS(J73-J208)-0.5)^2/J208,"")</f>
        <v/>
      </c>
      <c r="K252" s="11">
        <f>IF(ISNUMBER(K208),MAX(0,ABS(K73-K208)-0.5)^2/K208,"")</f>
        <v/>
      </c>
      <c r="L252" s="11">
        <f>IF(ISNUMBER(L208),MAX(0,ABS(L73-L208)-0.5)^2/L208,"")</f>
        <v/>
      </c>
      <c r="M252" s="11">
        <f>IF(ISNUMBER(M208),MAX(0,ABS(M73-M208)-0.5)^2/M208,"")</f>
        <v/>
      </c>
      <c r="N252" s="11">
        <f>IF(ISNUMBER(N208),MAX(0,ABS(N73-N208)-0.5)^2/N208,"")</f>
        <v/>
      </c>
      <c r="O252" s="11">
        <f>IF(ISNUMBER(O208),MAX(0,ABS(O73-O208)-0.5)^2/O208,"")</f>
        <v/>
      </c>
      <c r="P252" s="11">
        <f>IF(ISNUMBER(P208),MAX(0,ABS(P73-P208)-0.5)^2/P208,"")</f>
        <v/>
      </c>
      <c r="Q252" s="11">
        <f>IF(ISNUMBER(Q208),MAX(0,ABS(Q73-Q208)-0.5)^2/Q208,"")</f>
        <v/>
      </c>
      <c r="R252" s="11">
        <f>IF(ISNUMBER(R208),MAX(0,ABS(R73-R208)-0.5)^2/R208,"")</f>
        <v/>
      </c>
      <c r="S252" s="11">
        <f>IF(ISNUMBER(S208),MAX(0,ABS(S73-S208)-0.5)^2/S208,"")</f>
        <v/>
      </c>
      <c r="T252" s="11">
        <f>IF(ISNUMBER(T208),MAX(0,ABS(T73-T208)-0.5)^2/T208,"")</f>
        <v/>
      </c>
      <c r="U252" s="11">
        <f>IF(ISNUMBER(U208),MAX(0,ABS(U73-U208)-0.5)^2/U208,"")</f>
        <v/>
      </c>
    </row>
    <row r="254">
      <c r="A254" s="5" t="inlineStr">
        <is>
          <t>6. Data (zie sectie 2): typ of plak de kruistabel hier, of de ruwe data in kolommen W en X</t>
        </is>
      </c>
    </row>
    <row r="255">
      <c r="A255" s="8" t="inlineStr">
        <is>
          <t>Kruistabel: namen van de kolommen in deze rij →, namen van de rijen in kolom A ↓</t>
        </is>
      </c>
      <c r="W255" s="8" t="inlineStr">
        <is>
          <t>Ruwe data: één waarneming per regel ↓</t>
        </is>
      </c>
      <c r="Z255" s="8" t="inlineStr">
        <is>
          <t>hulp: nieuwe categorieën tellen (niet invullen)</t>
        </is>
      </c>
    </row>
    <row r="256">
      <c r="A256" s="20" t="inlineStr">
        <is>
          <t>rijnaam (tekst) \ kolomnaam (tekst) →</t>
        </is>
      </c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W256" s="20" t="inlineStr">
        <is>
          <t>categorie van X</t>
        </is>
      </c>
      <c r="X256" s="20" t="inlineStr">
        <is>
          <t>categorie van Y</t>
        </is>
      </c>
      <c r="Z256" t="n">
        <v>0</v>
      </c>
      <c r="AB256" t="n">
        <v>0</v>
      </c>
    </row>
    <row r="257">
      <c r="A257" s="7" t="n"/>
      <c r="B257" s="32" t="n"/>
      <c r="C257" s="32" t="n"/>
      <c r="D257" s="32" t="n"/>
      <c r="E257" s="32" t="n"/>
      <c r="F257" s="32" t="n"/>
      <c r="G257" s="32" t="n"/>
      <c r="H257" s="32" t="n"/>
      <c r="I257" s="32" t="n"/>
      <c r="J257" s="32" t="n"/>
      <c r="K257" s="32" t="n"/>
      <c r="L257" s="32" t="n"/>
      <c r="M257" s="32" t="n"/>
      <c r="N257" s="32" t="n"/>
      <c r="O257" s="32" t="n"/>
      <c r="P257" s="32" t="n"/>
      <c r="Q257" s="32" t="n"/>
      <c r="R257" s="32" t="n"/>
      <c r="S257" s="32" t="n"/>
      <c r="T257" s="32" t="n"/>
      <c r="U257" s="32" t="n"/>
      <c r="W257" s="7" t="n"/>
      <c r="X257" s="7" t="n"/>
      <c r="Z257">
        <f>Z256+IF(W257="",0,IF(ISNA(MATCH(W257,W$256:W256,0)),1,0))</f>
        <v/>
      </c>
      <c r="AA257">
        <f>IF(Z257&gt;Z256,Z257,"")</f>
        <v/>
      </c>
      <c r="AB257">
        <f>AB256+IF(X257="",0,IF(ISNA(MATCH(X257,X$256:X256,0)),1,0))</f>
        <v/>
      </c>
      <c r="AC257">
        <f>IF(AB257&gt;AB256,AB257,"")</f>
        <v/>
      </c>
    </row>
    <row r="258">
      <c r="A258" s="7" t="n"/>
      <c r="B258" s="32" t="n"/>
      <c r="C258" s="32" t="n"/>
      <c r="D258" s="32" t="n"/>
      <c r="E258" s="32" t="n"/>
      <c r="F258" s="32" t="n"/>
      <c r="G258" s="32" t="n"/>
      <c r="H258" s="32" t="n"/>
      <c r="I258" s="32" t="n"/>
      <c r="J258" s="32" t="n"/>
      <c r="K258" s="32" t="n"/>
      <c r="L258" s="32" t="n"/>
      <c r="M258" s="32" t="n"/>
      <c r="N258" s="32" t="n"/>
      <c r="O258" s="32" t="n"/>
      <c r="P258" s="32" t="n"/>
      <c r="Q258" s="32" t="n"/>
      <c r="R258" s="32" t="n"/>
      <c r="S258" s="32" t="n"/>
      <c r="T258" s="32" t="n"/>
      <c r="U258" s="32" t="n"/>
      <c r="W258" s="7" t="n"/>
      <c r="X258" s="7" t="n"/>
      <c r="Z258">
        <f>Z257+IF(W258="",0,IF(ISNA(MATCH(W258,W$256:W257,0)),1,0))</f>
        <v/>
      </c>
      <c r="AA258">
        <f>IF(Z258&gt;Z257,Z258,"")</f>
        <v/>
      </c>
      <c r="AB258">
        <f>AB257+IF(X258="",0,IF(ISNA(MATCH(X258,X$256:X257,0)),1,0))</f>
        <v/>
      </c>
      <c r="AC258">
        <f>IF(AB258&gt;AB257,AB258,"")</f>
        <v/>
      </c>
    </row>
    <row r="259">
      <c r="A259" s="7" t="n"/>
      <c r="B259" s="32" t="n"/>
      <c r="C259" s="32" t="n"/>
      <c r="D259" s="32" t="n"/>
      <c r="E259" s="32" t="n"/>
      <c r="F259" s="32" t="n"/>
      <c r="G259" s="32" t="n"/>
      <c r="H259" s="32" t="n"/>
      <c r="I259" s="32" t="n"/>
      <c r="J259" s="32" t="n"/>
      <c r="K259" s="32" t="n"/>
      <c r="L259" s="32" t="n"/>
      <c r="M259" s="32" t="n"/>
      <c r="N259" s="32" t="n"/>
      <c r="O259" s="32" t="n"/>
      <c r="P259" s="32" t="n"/>
      <c r="Q259" s="32" t="n"/>
      <c r="R259" s="32" t="n"/>
      <c r="S259" s="32" t="n"/>
      <c r="T259" s="32" t="n"/>
      <c r="U259" s="32" t="n"/>
      <c r="W259" s="7" t="n"/>
      <c r="X259" s="7" t="n"/>
      <c r="Z259">
        <f>Z258+IF(W259="",0,IF(ISNA(MATCH(W259,W$256:W258,0)),1,0))</f>
        <v/>
      </c>
      <c r="AA259">
        <f>IF(Z259&gt;Z258,Z259,"")</f>
        <v/>
      </c>
      <c r="AB259">
        <f>AB258+IF(X259="",0,IF(ISNA(MATCH(X259,X$256:X258,0)),1,0))</f>
        <v/>
      </c>
      <c r="AC259">
        <f>IF(AB259&gt;AB258,AB259,"")</f>
        <v/>
      </c>
    </row>
    <row r="260">
      <c r="A260" s="7" t="n"/>
      <c r="B260" s="32" t="n"/>
      <c r="C260" s="32" t="n"/>
      <c r="D260" s="32" t="n"/>
      <c r="E260" s="32" t="n"/>
      <c r="F260" s="32" t="n"/>
      <c r="G260" s="32" t="n"/>
      <c r="H260" s="32" t="n"/>
      <c r="I260" s="32" t="n"/>
      <c r="J260" s="32" t="n"/>
      <c r="K260" s="32" t="n"/>
      <c r="L260" s="32" t="n"/>
      <c r="M260" s="32" t="n"/>
      <c r="N260" s="32" t="n"/>
      <c r="O260" s="32" t="n"/>
      <c r="P260" s="32" t="n"/>
      <c r="Q260" s="32" t="n"/>
      <c r="R260" s="32" t="n"/>
      <c r="S260" s="32" t="n"/>
      <c r="T260" s="32" t="n"/>
      <c r="U260" s="32" t="n"/>
      <c r="W260" s="7" t="n"/>
      <c r="X260" s="7" t="n"/>
      <c r="Z260">
        <f>Z259+IF(W260="",0,IF(ISNA(MATCH(W260,W$256:W259,0)),1,0))</f>
        <v/>
      </c>
      <c r="AA260">
        <f>IF(Z260&gt;Z259,Z260,"")</f>
        <v/>
      </c>
      <c r="AB260">
        <f>AB259+IF(X260="",0,IF(ISNA(MATCH(X260,X$256:X259,0)),1,0))</f>
        <v/>
      </c>
      <c r="AC260">
        <f>IF(AB260&gt;AB259,AB260,"")</f>
        <v/>
      </c>
    </row>
    <row r="261">
      <c r="A261" s="7" t="n"/>
      <c r="B261" s="32" t="n"/>
      <c r="C261" s="32" t="n"/>
      <c r="D261" s="32" t="n"/>
      <c r="E261" s="32" t="n"/>
      <c r="F261" s="32" t="n"/>
      <c r="G261" s="32" t="n"/>
      <c r="H261" s="32" t="n"/>
      <c r="I261" s="32" t="n"/>
      <c r="J261" s="32" t="n"/>
      <c r="K261" s="32" t="n"/>
      <c r="L261" s="32" t="n"/>
      <c r="M261" s="32" t="n"/>
      <c r="N261" s="32" t="n"/>
      <c r="O261" s="32" t="n"/>
      <c r="P261" s="32" t="n"/>
      <c r="Q261" s="32" t="n"/>
      <c r="R261" s="32" t="n"/>
      <c r="S261" s="32" t="n"/>
      <c r="T261" s="32" t="n"/>
      <c r="U261" s="32" t="n"/>
      <c r="W261" s="7" t="n"/>
      <c r="X261" s="7" t="n"/>
      <c r="Z261">
        <f>Z260+IF(W261="",0,IF(ISNA(MATCH(W261,W$256:W260,0)),1,0))</f>
        <v/>
      </c>
      <c r="AA261">
        <f>IF(Z261&gt;Z260,Z261,"")</f>
        <v/>
      </c>
      <c r="AB261">
        <f>AB260+IF(X261="",0,IF(ISNA(MATCH(X261,X$256:X260,0)),1,0))</f>
        <v/>
      </c>
      <c r="AC261">
        <f>IF(AB261&gt;AB260,AB261,"")</f>
        <v/>
      </c>
    </row>
    <row r="262">
      <c r="A262" s="7" t="n"/>
      <c r="B262" s="32" t="n"/>
      <c r="C262" s="32" t="n"/>
      <c r="D262" s="32" t="n"/>
      <c r="E262" s="32" t="n"/>
      <c r="F262" s="32" t="n"/>
      <c r="G262" s="32" t="n"/>
      <c r="H262" s="32" t="n"/>
      <c r="I262" s="32" t="n"/>
      <c r="J262" s="32" t="n"/>
      <c r="K262" s="32" t="n"/>
      <c r="L262" s="32" t="n"/>
      <c r="M262" s="32" t="n"/>
      <c r="N262" s="32" t="n"/>
      <c r="O262" s="32" t="n"/>
      <c r="P262" s="32" t="n"/>
      <c r="Q262" s="32" t="n"/>
      <c r="R262" s="32" t="n"/>
      <c r="S262" s="32" t="n"/>
      <c r="T262" s="32" t="n"/>
      <c r="U262" s="32" t="n"/>
      <c r="W262" s="7" t="n"/>
      <c r="X262" s="7" t="n"/>
      <c r="Z262">
        <f>Z261+IF(W262="",0,IF(ISNA(MATCH(W262,W$256:W261,0)),1,0))</f>
        <v/>
      </c>
      <c r="AA262">
        <f>IF(Z262&gt;Z261,Z262,"")</f>
        <v/>
      </c>
      <c r="AB262">
        <f>AB261+IF(X262="",0,IF(ISNA(MATCH(X262,X$256:X261,0)),1,0))</f>
        <v/>
      </c>
      <c r="AC262">
        <f>IF(AB262&gt;AB261,AB262,"")</f>
        <v/>
      </c>
    </row>
    <row r="263">
      <c r="A263" s="7" t="n"/>
      <c r="B263" s="32" t="n"/>
      <c r="C263" s="32" t="n"/>
      <c r="D263" s="32" t="n"/>
      <c r="E263" s="32" t="n"/>
      <c r="F263" s="32" t="n"/>
      <c r="G263" s="32" t="n"/>
      <c r="H263" s="32" t="n"/>
      <c r="I263" s="32" t="n"/>
      <c r="J263" s="32" t="n"/>
      <c r="K263" s="32" t="n"/>
      <c r="L263" s="32" t="n"/>
      <c r="M263" s="32" t="n"/>
      <c r="N263" s="32" t="n"/>
      <c r="O263" s="32" t="n"/>
      <c r="P263" s="32" t="n"/>
      <c r="Q263" s="32" t="n"/>
      <c r="R263" s="32" t="n"/>
      <c r="S263" s="32" t="n"/>
      <c r="T263" s="32" t="n"/>
      <c r="U263" s="32" t="n"/>
      <c r="W263" s="7" t="n"/>
      <c r="X263" s="7" t="n"/>
      <c r="Z263">
        <f>Z262+IF(W263="",0,IF(ISNA(MATCH(W263,W$256:W262,0)),1,0))</f>
        <v/>
      </c>
      <c r="AA263">
        <f>IF(Z263&gt;Z262,Z263,"")</f>
        <v/>
      </c>
      <c r="AB263">
        <f>AB262+IF(X263="",0,IF(ISNA(MATCH(X263,X$256:X262,0)),1,0))</f>
        <v/>
      </c>
      <c r="AC263">
        <f>IF(AB263&gt;AB262,AB263,"")</f>
        <v/>
      </c>
    </row>
    <row r="264">
      <c r="A264" s="7" t="n"/>
      <c r="B264" s="32" t="n"/>
      <c r="C264" s="32" t="n"/>
      <c r="D264" s="32" t="n"/>
      <c r="E264" s="32" t="n"/>
      <c r="F264" s="32" t="n"/>
      <c r="G264" s="32" t="n"/>
      <c r="H264" s="32" t="n"/>
      <c r="I264" s="32" t="n"/>
      <c r="J264" s="32" t="n"/>
      <c r="K264" s="32" t="n"/>
      <c r="L264" s="32" t="n"/>
      <c r="M264" s="32" t="n"/>
      <c r="N264" s="32" t="n"/>
      <c r="O264" s="32" t="n"/>
      <c r="P264" s="32" t="n"/>
      <c r="Q264" s="32" t="n"/>
      <c r="R264" s="32" t="n"/>
      <c r="S264" s="32" t="n"/>
      <c r="T264" s="32" t="n"/>
      <c r="U264" s="32" t="n"/>
      <c r="W264" s="7" t="n"/>
      <c r="X264" s="7" t="n"/>
      <c r="Z264">
        <f>Z263+IF(W264="",0,IF(ISNA(MATCH(W264,W$256:W263,0)),1,0))</f>
        <v/>
      </c>
      <c r="AA264">
        <f>IF(Z264&gt;Z263,Z264,"")</f>
        <v/>
      </c>
      <c r="AB264">
        <f>AB263+IF(X264="",0,IF(ISNA(MATCH(X264,X$256:X263,0)),1,0))</f>
        <v/>
      </c>
      <c r="AC264">
        <f>IF(AB264&gt;AB263,AB264,"")</f>
        <v/>
      </c>
    </row>
    <row r="265">
      <c r="A265" s="7" t="n"/>
      <c r="B265" s="32" t="n"/>
      <c r="C265" s="32" t="n"/>
      <c r="D265" s="32" t="n"/>
      <c r="E265" s="32" t="n"/>
      <c r="F265" s="32" t="n"/>
      <c r="G265" s="32" t="n"/>
      <c r="H265" s="32" t="n"/>
      <c r="I265" s="32" t="n"/>
      <c r="J265" s="32" t="n"/>
      <c r="K265" s="32" t="n"/>
      <c r="L265" s="32" t="n"/>
      <c r="M265" s="32" t="n"/>
      <c r="N265" s="32" t="n"/>
      <c r="O265" s="32" t="n"/>
      <c r="P265" s="32" t="n"/>
      <c r="Q265" s="32" t="n"/>
      <c r="R265" s="32" t="n"/>
      <c r="S265" s="32" t="n"/>
      <c r="T265" s="32" t="n"/>
      <c r="U265" s="32" t="n"/>
      <c r="W265" s="7" t="n"/>
      <c r="X265" s="7" t="n"/>
      <c r="Z265">
        <f>Z264+IF(W265="",0,IF(ISNA(MATCH(W265,W$256:W264,0)),1,0))</f>
        <v/>
      </c>
      <c r="AA265">
        <f>IF(Z265&gt;Z264,Z265,"")</f>
        <v/>
      </c>
      <c r="AB265">
        <f>AB264+IF(X265="",0,IF(ISNA(MATCH(X265,X$256:X264,0)),1,0))</f>
        <v/>
      </c>
      <c r="AC265">
        <f>IF(AB265&gt;AB264,AB265,"")</f>
        <v/>
      </c>
    </row>
    <row r="266">
      <c r="A266" s="7" t="n"/>
      <c r="B266" s="32" t="n"/>
      <c r="C266" s="32" t="n"/>
      <c r="D266" s="32" t="n"/>
      <c r="E266" s="32" t="n"/>
      <c r="F266" s="32" t="n"/>
      <c r="G266" s="32" t="n"/>
      <c r="H266" s="32" t="n"/>
      <c r="I266" s="32" t="n"/>
      <c r="J266" s="32" t="n"/>
      <c r="K266" s="32" t="n"/>
      <c r="L266" s="32" t="n"/>
      <c r="M266" s="32" t="n"/>
      <c r="N266" s="32" t="n"/>
      <c r="O266" s="32" t="n"/>
      <c r="P266" s="32" t="n"/>
      <c r="Q266" s="32" t="n"/>
      <c r="R266" s="32" t="n"/>
      <c r="S266" s="32" t="n"/>
      <c r="T266" s="32" t="n"/>
      <c r="U266" s="32" t="n"/>
      <c r="W266" s="7" t="n"/>
      <c r="X266" s="7" t="n"/>
      <c r="Z266">
        <f>Z265+IF(W266="",0,IF(ISNA(MATCH(W266,W$256:W265,0)),1,0))</f>
        <v/>
      </c>
      <c r="AA266">
        <f>IF(Z266&gt;Z265,Z266,"")</f>
        <v/>
      </c>
      <c r="AB266">
        <f>AB265+IF(X266="",0,IF(ISNA(MATCH(X266,X$256:X265,0)),1,0))</f>
        <v/>
      </c>
      <c r="AC266">
        <f>IF(AB266&gt;AB265,AB266,"")</f>
        <v/>
      </c>
    </row>
    <row r="267">
      <c r="A267" s="7" t="n"/>
      <c r="B267" s="32" t="n"/>
      <c r="C267" s="32" t="n"/>
      <c r="D267" s="32" t="n"/>
      <c r="E267" s="32" t="n"/>
      <c r="F267" s="32" t="n"/>
      <c r="G267" s="32" t="n"/>
      <c r="H267" s="32" t="n"/>
      <c r="I267" s="32" t="n"/>
      <c r="J267" s="32" t="n"/>
      <c r="K267" s="32" t="n"/>
      <c r="L267" s="32" t="n"/>
      <c r="M267" s="32" t="n"/>
      <c r="N267" s="32" t="n"/>
      <c r="O267" s="32" t="n"/>
      <c r="P267" s="32" t="n"/>
      <c r="Q267" s="32" t="n"/>
      <c r="R267" s="32" t="n"/>
      <c r="S267" s="32" t="n"/>
      <c r="T267" s="32" t="n"/>
      <c r="U267" s="32" t="n"/>
      <c r="W267" s="7" t="n"/>
      <c r="X267" s="7" t="n"/>
      <c r="Z267">
        <f>Z266+IF(W267="",0,IF(ISNA(MATCH(W267,W$256:W266,0)),1,0))</f>
        <v/>
      </c>
      <c r="AA267">
        <f>IF(Z267&gt;Z266,Z267,"")</f>
        <v/>
      </c>
      <c r="AB267">
        <f>AB266+IF(X267="",0,IF(ISNA(MATCH(X267,X$256:X266,0)),1,0))</f>
        <v/>
      </c>
      <c r="AC267">
        <f>IF(AB267&gt;AB266,AB267,"")</f>
        <v/>
      </c>
    </row>
    <row r="268">
      <c r="A268" s="7" t="n"/>
      <c r="B268" s="32" t="n"/>
      <c r="C268" s="32" t="n"/>
      <c r="D268" s="32" t="n"/>
      <c r="E268" s="32" t="n"/>
      <c r="F268" s="32" t="n"/>
      <c r="G268" s="32" t="n"/>
      <c r="H268" s="32" t="n"/>
      <c r="I268" s="32" t="n"/>
      <c r="J268" s="32" t="n"/>
      <c r="K268" s="32" t="n"/>
      <c r="L268" s="32" t="n"/>
      <c r="M268" s="32" t="n"/>
      <c r="N268" s="32" t="n"/>
      <c r="O268" s="32" t="n"/>
      <c r="P268" s="32" t="n"/>
      <c r="Q268" s="32" t="n"/>
      <c r="R268" s="32" t="n"/>
      <c r="S268" s="32" t="n"/>
      <c r="T268" s="32" t="n"/>
      <c r="U268" s="32" t="n"/>
      <c r="W268" s="7" t="n"/>
      <c r="X268" s="7" t="n"/>
      <c r="Z268">
        <f>Z267+IF(W268="",0,IF(ISNA(MATCH(W268,W$256:W267,0)),1,0))</f>
        <v/>
      </c>
      <c r="AA268">
        <f>IF(Z268&gt;Z267,Z268,"")</f>
        <v/>
      </c>
      <c r="AB268">
        <f>AB267+IF(X268="",0,IF(ISNA(MATCH(X268,X$256:X267,0)),1,0))</f>
        <v/>
      </c>
      <c r="AC268">
        <f>IF(AB268&gt;AB267,AB268,"")</f>
        <v/>
      </c>
    </row>
    <row r="269">
      <c r="A269" s="7" t="n"/>
      <c r="B269" s="32" t="n"/>
      <c r="C269" s="32" t="n"/>
      <c r="D269" s="32" t="n"/>
      <c r="E269" s="32" t="n"/>
      <c r="F269" s="32" t="n"/>
      <c r="G269" s="32" t="n"/>
      <c r="H269" s="32" t="n"/>
      <c r="I269" s="32" t="n"/>
      <c r="J269" s="32" t="n"/>
      <c r="K269" s="32" t="n"/>
      <c r="L269" s="32" t="n"/>
      <c r="M269" s="32" t="n"/>
      <c r="N269" s="32" t="n"/>
      <c r="O269" s="32" t="n"/>
      <c r="P269" s="32" t="n"/>
      <c r="Q269" s="32" t="n"/>
      <c r="R269" s="32" t="n"/>
      <c r="S269" s="32" t="n"/>
      <c r="T269" s="32" t="n"/>
      <c r="U269" s="32" t="n"/>
      <c r="W269" s="7" t="n"/>
      <c r="X269" s="7" t="n"/>
      <c r="Z269">
        <f>Z268+IF(W269="",0,IF(ISNA(MATCH(W269,W$256:W268,0)),1,0))</f>
        <v/>
      </c>
      <c r="AA269">
        <f>IF(Z269&gt;Z268,Z269,"")</f>
        <v/>
      </c>
      <c r="AB269">
        <f>AB268+IF(X269="",0,IF(ISNA(MATCH(X269,X$256:X268,0)),1,0))</f>
        <v/>
      </c>
      <c r="AC269">
        <f>IF(AB269&gt;AB268,AB269,"")</f>
        <v/>
      </c>
    </row>
    <row r="270">
      <c r="A270" s="7" t="n"/>
      <c r="B270" s="32" t="n"/>
      <c r="C270" s="32" t="n"/>
      <c r="D270" s="32" t="n"/>
      <c r="E270" s="32" t="n"/>
      <c r="F270" s="32" t="n"/>
      <c r="G270" s="32" t="n"/>
      <c r="H270" s="32" t="n"/>
      <c r="I270" s="32" t="n"/>
      <c r="J270" s="32" t="n"/>
      <c r="K270" s="32" t="n"/>
      <c r="L270" s="32" t="n"/>
      <c r="M270" s="32" t="n"/>
      <c r="N270" s="32" t="n"/>
      <c r="O270" s="32" t="n"/>
      <c r="P270" s="32" t="n"/>
      <c r="Q270" s="32" t="n"/>
      <c r="R270" s="32" t="n"/>
      <c r="S270" s="32" t="n"/>
      <c r="T270" s="32" t="n"/>
      <c r="U270" s="32" t="n"/>
      <c r="W270" s="7" t="n"/>
      <c r="X270" s="7" t="n"/>
      <c r="Z270">
        <f>Z269+IF(W270="",0,IF(ISNA(MATCH(W270,W$256:W269,0)),1,0))</f>
        <v/>
      </c>
      <c r="AA270">
        <f>IF(Z270&gt;Z269,Z270,"")</f>
        <v/>
      </c>
      <c r="AB270">
        <f>AB269+IF(X270="",0,IF(ISNA(MATCH(X270,X$256:X269,0)),1,0))</f>
        <v/>
      </c>
      <c r="AC270">
        <f>IF(AB270&gt;AB269,AB270,"")</f>
        <v/>
      </c>
    </row>
    <row r="271">
      <c r="A271" s="7" t="n"/>
      <c r="B271" s="32" t="n"/>
      <c r="C271" s="32" t="n"/>
      <c r="D271" s="32" t="n"/>
      <c r="E271" s="32" t="n"/>
      <c r="F271" s="32" t="n"/>
      <c r="G271" s="32" t="n"/>
      <c r="H271" s="32" t="n"/>
      <c r="I271" s="32" t="n"/>
      <c r="J271" s="32" t="n"/>
      <c r="K271" s="32" t="n"/>
      <c r="L271" s="32" t="n"/>
      <c r="M271" s="32" t="n"/>
      <c r="N271" s="32" t="n"/>
      <c r="O271" s="32" t="n"/>
      <c r="P271" s="32" t="n"/>
      <c r="Q271" s="32" t="n"/>
      <c r="R271" s="32" t="n"/>
      <c r="S271" s="32" t="n"/>
      <c r="T271" s="32" t="n"/>
      <c r="U271" s="32" t="n"/>
      <c r="W271" s="7" t="n"/>
      <c r="X271" s="7" t="n"/>
      <c r="Z271">
        <f>Z270+IF(W271="",0,IF(ISNA(MATCH(W271,W$256:W270,0)),1,0))</f>
        <v/>
      </c>
      <c r="AA271">
        <f>IF(Z271&gt;Z270,Z271,"")</f>
        <v/>
      </c>
      <c r="AB271">
        <f>AB270+IF(X271="",0,IF(ISNA(MATCH(X271,X$256:X270,0)),1,0))</f>
        <v/>
      </c>
      <c r="AC271">
        <f>IF(AB271&gt;AB270,AB271,"")</f>
        <v/>
      </c>
    </row>
    <row r="272">
      <c r="A272" s="7" t="n"/>
      <c r="B272" s="32" t="n"/>
      <c r="C272" s="32" t="n"/>
      <c r="D272" s="32" t="n"/>
      <c r="E272" s="32" t="n"/>
      <c r="F272" s="32" t="n"/>
      <c r="G272" s="32" t="n"/>
      <c r="H272" s="32" t="n"/>
      <c r="I272" s="32" t="n"/>
      <c r="J272" s="32" t="n"/>
      <c r="K272" s="32" t="n"/>
      <c r="L272" s="32" t="n"/>
      <c r="M272" s="32" t="n"/>
      <c r="N272" s="32" t="n"/>
      <c r="O272" s="32" t="n"/>
      <c r="P272" s="32" t="n"/>
      <c r="Q272" s="32" t="n"/>
      <c r="R272" s="32" t="n"/>
      <c r="S272" s="32" t="n"/>
      <c r="T272" s="32" t="n"/>
      <c r="U272" s="32" t="n"/>
      <c r="W272" s="7" t="n"/>
      <c r="X272" s="7" t="n"/>
      <c r="Z272">
        <f>Z271+IF(W272="",0,IF(ISNA(MATCH(W272,W$256:W271,0)),1,0))</f>
        <v/>
      </c>
      <c r="AA272">
        <f>IF(Z272&gt;Z271,Z272,"")</f>
        <v/>
      </c>
      <c r="AB272">
        <f>AB271+IF(X272="",0,IF(ISNA(MATCH(X272,X$256:X271,0)),1,0))</f>
        <v/>
      </c>
      <c r="AC272">
        <f>IF(AB272&gt;AB271,AB272,"")</f>
        <v/>
      </c>
    </row>
    <row r="273">
      <c r="A273" s="7" t="n"/>
      <c r="B273" s="32" t="n"/>
      <c r="C273" s="32" t="n"/>
      <c r="D273" s="32" t="n"/>
      <c r="E273" s="32" t="n"/>
      <c r="F273" s="32" t="n"/>
      <c r="G273" s="32" t="n"/>
      <c r="H273" s="32" t="n"/>
      <c r="I273" s="32" t="n"/>
      <c r="J273" s="32" t="n"/>
      <c r="K273" s="32" t="n"/>
      <c r="L273" s="32" t="n"/>
      <c r="M273" s="32" t="n"/>
      <c r="N273" s="32" t="n"/>
      <c r="O273" s="32" t="n"/>
      <c r="P273" s="32" t="n"/>
      <c r="Q273" s="32" t="n"/>
      <c r="R273" s="32" t="n"/>
      <c r="S273" s="32" t="n"/>
      <c r="T273" s="32" t="n"/>
      <c r="U273" s="32" t="n"/>
      <c r="W273" s="7" t="n"/>
      <c r="X273" s="7" t="n"/>
      <c r="Z273">
        <f>Z272+IF(W273="",0,IF(ISNA(MATCH(W273,W$256:W272,0)),1,0))</f>
        <v/>
      </c>
      <c r="AA273">
        <f>IF(Z273&gt;Z272,Z273,"")</f>
        <v/>
      </c>
      <c r="AB273">
        <f>AB272+IF(X273="",0,IF(ISNA(MATCH(X273,X$256:X272,0)),1,0))</f>
        <v/>
      </c>
      <c r="AC273">
        <f>IF(AB273&gt;AB272,AB273,"")</f>
        <v/>
      </c>
    </row>
    <row r="274">
      <c r="A274" s="7" t="n"/>
      <c r="B274" s="32" t="n"/>
      <c r="C274" s="32" t="n"/>
      <c r="D274" s="32" t="n"/>
      <c r="E274" s="32" t="n"/>
      <c r="F274" s="32" t="n"/>
      <c r="G274" s="32" t="n"/>
      <c r="H274" s="32" t="n"/>
      <c r="I274" s="32" t="n"/>
      <c r="J274" s="32" t="n"/>
      <c r="K274" s="32" t="n"/>
      <c r="L274" s="32" t="n"/>
      <c r="M274" s="32" t="n"/>
      <c r="N274" s="32" t="n"/>
      <c r="O274" s="32" t="n"/>
      <c r="P274" s="32" t="n"/>
      <c r="Q274" s="32" t="n"/>
      <c r="R274" s="32" t="n"/>
      <c r="S274" s="32" t="n"/>
      <c r="T274" s="32" t="n"/>
      <c r="U274" s="32" t="n"/>
      <c r="W274" s="7" t="n"/>
      <c r="X274" s="7" t="n"/>
      <c r="Z274">
        <f>Z273+IF(W274="",0,IF(ISNA(MATCH(W274,W$256:W273,0)),1,0))</f>
        <v/>
      </c>
      <c r="AA274">
        <f>IF(Z274&gt;Z273,Z274,"")</f>
        <v/>
      </c>
      <c r="AB274">
        <f>AB273+IF(X274="",0,IF(ISNA(MATCH(X274,X$256:X273,0)),1,0))</f>
        <v/>
      </c>
      <c r="AC274">
        <f>IF(AB274&gt;AB273,AB274,"")</f>
        <v/>
      </c>
    </row>
    <row r="275">
      <c r="A275" s="7" t="n"/>
      <c r="B275" s="32" t="n"/>
      <c r="C275" s="32" t="n"/>
      <c r="D275" s="32" t="n"/>
      <c r="E275" s="32" t="n"/>
      <c r="F275" s="32" t="n"/>
      <c r="G275" s="32" t="n"/>
      <c r="H275" s="32" t="n"/>
      <c r="I275" s="32" t="n"/>
      <c r="J275" s="32" t="n"/>
      <c r="K275" s="32" t="n"/>
      <c r="L275" s="32" t="n"/>
      <c r="M275" s="32" t="n"/>
      <c r="N275" s="32" t="n"/>
      <c r="O275" s="32" t="n"/>
      <c r="P275" s="32" t="n"/>
      <c r="Q275" s="32" t="n"/>
      <c r="R275" s="32" t="n"/>
      <c r="S275" s="32" t="n"/>
      <c r="T275" s="32" t="n"/>
      <c r="U275" s="32" t="n"/>
      <c r="W275" s="7" t="n"/>
      <c r="X275" s="7" t="n"/>
      <c r="Z275">
        <f>Z274+IF(W275="",0,IF(ISNA(MATCH(W275,W$256:W274,0)),1,0))</f>
        <v/>
      </c>
      <c r="AA275">
        <f>IF(Z275&gt;Z274,Z275,"")</f>
        <v/>
      </c>
      <c r="AB275">
        <f>AB274+IF(X275="",0,IF(ISNA(MATCH(X275,X$256:X274,0)),1,0))</f>
        <v/>
      </c>
      <c r="AC275">
        <f>IF(AB275&gt;AB274,AB275,"")</f>
        <v/>
      </c>
    </row>
    <row r="276">
      <c r="A276" s="7" t="n"/>
      <c r="B276" s="32" t="n"/>
      <c r="C276" s="32" t="n"/>
      <c r="D276" s="32" t="n"/>
      <c r="E276" s="32" t="n"/>
      <c r="F276" s="32" t="n"/>
      <c r="G276" s="32" t="n"/>
      <c r="H276" s="32" t="n"/>
      <c r="I276" s="32" t="n"/>
      <c r="J276" s="32" t="n"/>
      <c r="K276" s="32" t="n"/>
      <c r="L276" s="32" t="n"/>
      <c r="M276" s="32" t="n"/>
      <c r="N276" s="32" t="n"/>
      <c r="O276" s="32" t="n"/>
      <c r="P276" s="32" t="n"/>
      <c r="Q276" s="32" t="n"/>
      <c r="R276" s="32" t="n"/>
      <c r="S276" s="32" t="n"/>
      <c r="T276" s="32" t="n"/>
      <c r="U276" s="32" t="n"/>
      <c r="W276" s="7" t="n"/>
      <c r="X276" s="7" t="n"/>
      <c r="Z276">
        <f>Z275+IF(W276="",0,IF(ISNA(MATCH(W276,W$256:W275,0)),1,0))</f>
        <v/>
      </c>
      <c r="AA276">
        <f>IF(Z276&gt;Z275,Z276,"")</f>
        <v/>
      </c>
      <c r="AB276">
        <f>AB275+IF(X276="",0,IF(ISNA(MATCH(X276,X$256:X275,0)),1,0))</f>
        <v/>
      </c>
      <c r="AC276">
        <f>IF(AB276&gt;AB275,AB276,"")</f>
        <v/>
      </c>
    </row>
    <row r="277">
      <c r="W277" s="7" t="n"/>
      <c r="X277" s="7" t="n"/>
      <c r="Z277">
        <f>Z276+IF(W277="",0,IF(ISNA(MATCH(W277,W$256:W276,0)),1,0))</f>
        <v/>
      </c>
      <c r="AA277">
        <f>IF(Z277&gt;Z276,Z277,"")</f>
        <v/>
      </c>
      <c r="AB277">
        <f>AB276+IF(X277="",0,IF(ISNA(MATCH(X277,X$256:X276,0)),1,0))</f>
        <v/>
      </c>
      <c r="AC277">
        <f>IF(AB277&gt;AB276,AB277,"")</f>
        <v/>
      </c>
    </row>
    <row r="278">
      <c r="W278" s="7" t="n"/>
      <c r="X278" s="7" t="n"/>
      <c r="Z278">
        <f>Z277+IF(W278="",0,IF(ISNA(MATCH(W278,W$256:W277,0)),1,0))</f>
        <v/>
      </c>
      <c r="AA278">
        <f>IF(Z278&gt;Z277,Z278,"")</f>
        <v/>
      </c>
      <c r="AB278">
        <f>AB277+IF(X278="",0,IF(ISNA(MATCH(X278,X$256:X277,0)),1,0))</f>
        <v/>
      </c>
      <c r="AC278">
        <f>IF(AB278&gt;AB277,AB278,"")</f>
        <v/>
      </c>
    </row>
    <row r="279">
      <c r="W279" s="7" t="n"/>
      <c r="X279" s="7" t="n"/>
      <c r="Z279">
        <f>Z278+IF(W279="",0,IF(ISNA(MATCH(W279,W$256:W278,0)),1,0))</f>
        <v/>
      </c>
      <c r="AA279">
        <f>IF(Z279&gt;Z278,Z279,"")</f>
        <v/>
      </c>
      <c r="AB279">
        <f>AB278+IF(X279="",0,IF(ISNA(MATCH(X279,X$256:X278,0)),1,0))</f>
        <v/>
      </c>
      <c r="AC279">
        <f>IF(AB279&gt;AB278,AB279,"")</f>
        <v/>
      </c>
    </row>
    <row r="280">
      <c r="W280" s="7" t="n"/>
      <c r="X280" s="7" t="n"/>
      <c r="Z280">
        <f>Z279+IF(W280="",0,IF(ISNA(MATCH(W280,W$256:W279,0)),1,0))</f>
        <v/>
      </c>
      <c r="AA280">
        <f>IF(Z280&gt;Z279,Z280,"")</f>
        <v/>
      </c>
      <c r="AB280">
        <f>AB279+IF(X280="",0,IF(ISNA(MATCH(X280,X$256:X279,0)),1,0))</f>
        <v/>
      </c>
      <c r="AC280">
        <f>IF(AB280&gt;AB279,AB280,"")</f>
        <v/>
      </c>
    </row>
    <row r="281">
      <c r="W281" s="7" t="n"/>
      <c r="X281" s="7" t="n"/>
      <c r="Z281">
        <f>Z280+IF(W281="",0,IF(ISNA(MATCH(W281,W$256:W280,0)),1,0))</f>
        <v/>
      </c>
      <c r="AA281">
        <f>IF(Z281&gt;Z280,Z281,"")</f>
        <v/>
      </c>
      <c r="AB281">
        <f>AB280+IF(X281="",0,IF(ISNA(MATCH(X281,X$256:X280,0)),1,0))</f>
        <v/>
      </c>
      <c r="AC281">
        <f>IF(AB281&gt;AB280,AB281,"")</f>
        <v/>
      </c>
    </row>
    <row r="282">
      <c r="W282" s="7" t="n"/>
      <c r="X282" s="7" t="n"/>
      <c r="Z282">
        <f>Z281+IF(W282="",0,IF(ISNA(MATCH(W282,W$256:W281,0)),1,0))</f>
        <v/>
      </c>
      <c r="AA282">
        <f>IF(Z282&gt;Z281,Z282,"")</f>
        <v/>
      </c>
      <c r="AB282">
        <f>AB281+IF(X282="",0,IF(ISNA(MATCH(X282,X$256:X281,0)),1,0))</f>
        <v/>
      </c>
      <c r="AC282">
        <f>IF(AB282&gt;AB281,AB282,"")</f>
        <v/>
      </c>
    </row>
    <row r="283">
      <c r="W283" s="7" t="n"/>
      <c r="X283" s="7" t="n"/>
      <c r="Z283">
        <f>Z282+IF(W283="",0,IF(ISNA(MATCH(W283,W$256:W282,0)),1,0))</f>
        <v/>
      </c>
      <c r="AA283">
        <f>IF(Z283&gt;Z282,Z283,"")</f>
        <v/>
      </c>
      <c r="AB283">
        <f>AB282+IF(X283="",0,IF(ISNA(MATCH(X283,X$256:X282,0)),1,0))</f>
        <v/>
      </c>
      <c r="AC283">
        <f>IF(AB283&gt;AB282,AB283,"")</f>
        <v/>
      </c>
    </row>
    <row r="284">
      <c r="W284" s="7" t="n"/>
      <c r="X284" s="7" t="n"/>
      <c r="Z284">
        <f>Z283+IF(W284="",0,IF(ISNA(MATCH(W284,W$256:W283,0)),1,0))</f>
        <v/>
      </c>
      <c r="AA284">
        <f>IF(Z284&gt;Z283,Z284,"")</f>
        <v/>
      </c>
      <c r="AB284">
        <f>AB283+IF(X284="",0,IF(ISNA(MATCH(X284,X$256:X283,0)),1,0))</f>
        <v/>
      </c>
      <c r="AC284">
        <f>IF(AB284&gt;AB283,AB284,"")</f>
        <v/>
      </c>
    </row>
    <row r="285">
      <c r="W285" s="7" t="n"/>
      <c r="X285" s="7" t="n"/>
      <c r="Z285">
        <f>Z284+IF(W285="",0,IF(ISNA(MATCH(W285,W$256:W284,0)),1,0))</f>
        <v/>
      </c>
      <c r="AA285">
        <f>IF(Z285&gt;Z284,Z285,"")</f>
        <v/>
      </c>
      <c r="AB285">
        <f>AB284+IF(X285="",0,IF(ISNA(MATCH(X285,X$256:X284,0)),1,0))</f>
        <v/>
      </c>
      <c r="AC285">
        <f>IF(AB285&gt;AB284,AB285,"")</f>
        <v/>
      </c>
    </row>
    <row r="286">
      <c r="W286" s="7" t="n"/>
      <c r="X286" s="7" t="n"/>
      <c r="Z286">
        <f>Z285+IF(W286="",0,IF(ISNA(MATCH(W286,W$256:W285,0)),1,0))</f>
        <v/>
      </c>
      <c r="AA286">
        <f>IF(Z286&gt;Z285,Z286,"")</f>
        <v/>
      </c>
      <c r="AB286">
        <f>AB285+IF(X286="",0,IF(ISNA(MATCH(X286,X$256:X285,0)),1,0))</f>
        <v/>
      </c>
      <c r="AC286">
        <f>IF(AB286&gt;AB285,AB286,"")</f>
        <v/>
      </c>
    </row>
    <row r="287">
      <c r="W287" s="7" t="n"/>
      <c r="X287" s="7" t="n"/>
      <c r="Z287">
        <f>Z286+IF(W287="",0,IF(ISNA(MATCH(W287,W$256:W286,0)),1,0))</f>
        <v/>
      </c>
      <c r="AA287">
        <f>IF(Z287&gt;Z286,Z287,"")</f>
        <v/>
      </c>
      <c r="AB287">
        <f>AB286+IF(X287="",0,IF(ISNA(MATCH(X287,X$256:X286,0)),1,0))</f>
        <v/>
      </c>
      <c r="AC287">
        <f>IF(AB287&gt;AB286,AB287,"")</f>
        <v/>
      </c>
    </row>
    <row r="288">
      <c r="W288" s="7" t="n"/>
      <c r="X288" s="7" t="n"/>
      <c r="Z288">
        <f>Z287+IF(W288="",0,IF(ISNA(MATCH(W288,W$256:W287,0)),1,0))</f>
        <v/>
      </c>
      <c r="AA288">
        <f>IF(Z288&gt;Z287,Z288,"")</f>
        <v/>
      </c>
      <c r="AB288">
        <f>AB287+IF(X288="",0,IF(ISNA(MATCH(X288,X$256:X287,0)),1,0))</f>
        <v/>
      </c>
      <c r="AC288">
        <f>IF(AB288&gt;AB287,AB288,"")</f>
        <v/>
      </c>
    </row>
    <row r="289">
      <c r="W289" s="7" t="n"/>
      <c r="X289" s="7" t="n"/>
      <c r="Z289">
        <f>Z288+IF(W289="",0,IF(ISNA(MATCH(W289,W$256:W288,0)),1,0))</f>
        <v/>
      </c>
      <c r="AA289">
        <f>IF(Z289&gt;Z288,Z289,"")</f>
        <v/>
      </c>
      <c r="AB289">
        <f>AB288+IF(X289="",0,IF(ISNA(MATCH(X289,X$256:X288,0)),1,0))</f>
        <v/>
      </c>
      <c r="AC289">
        <f>IF(AB289&gt;AB288,AB289,"")</f>
        <v/>
      </c>
    </row>
    <row r="290">
      <c r="W290" s="7" t="n"/>
      <c r="X290" s="7" t="n"/>
      <c r="Z290">
        <f>Z289+IF(W290="",0,IF(ISNA(MATCH(W290,W$256:W289,0)),1,0))</f>
        <v/>
      </c>
      <c r="AA290">
        <f>IF(Z290&gt;Z289,Z290,"")</f>
        <v/>
      </c>
      <c r="AB290">
        <f>AB289+IF(X290="",0,IF(ISNA(MATCH(X290,X$256:X289,0)),1,0))</f>
        <v/>
      </c>
      <c r="AC290">
        <f>IF(AB290&gt;AB289,AB290,"")</f>
        <v/>
      </c>
    </row>
    <row r="291">
      <c r="W291" s="7" t="n"/>
      <c r="X291" s="7" t="n"/>
      <c r="Z291">
        <f>Z290+IF(W291="",0,IF(ISNA(MATCH(W291,W$256:W290,0)),1,0))</f>
        <v/>
      </c>
      <c r="AA291">
        <f>IF(Z291&gt;Z290,Z291,"")</f>
        <v/>
      </c>
      <c r="AB291">
        <f>AB290+IF(X291="",0,IF(ISNA(MATCH(X291,X$256:X290,0)),1,0))</f>
        <v/>
      </c>
      <c r="AC291">
        <f>IF(AB291&gt;AB290,AB291,"")</f>
        <v/>
      </c>
    </row>
    <row r="292">
      <c r="W292" s="7" t="n"/>
      <c r="X292" s="7" t="n"/>
      <c r="Z292">
        <f>Z291+IF(W292="",0,IF(ISNA(MATCH(W292,W$256:W291,0)),1,0))</f>
        <v/>
      </c>
      <c r="AA292">
        <f>IF(Z292&gt;Z291,Z292,"")</f>
        <v/>
      </c>
      <c r="AB292">
        <f>AB291+IF(X292="",0,IF(ISNA(MATCH(X292,X$256:X291,0)),1,0))</f>
        <v/>
      </c>
      <c r="AC292">
        <f>IF(AB292&gt;AB291,AB292,"")</f>
        <v/>
      </c>
    </row>
    <row r="293">
      <c r="W293" s="7" t="n"/>
      <c r="X293" s="7" t="n"/>
      <c r="Z293">
        <f>Z292+IF(W293="",0,IF(ISNA(MATCH(W293,W$256:W292,0)),1,0))</f>
        <v/>
      </c>
      <c r="AA293">
        <f>IF(Z293&gt;Z292,Z293,"")</f>
        <v/>
      </c>
      <c r="AB293">
        <f>AB292+IF(X293="",0,IF(ISNA(MATCH(X293,X$256:X292,0)),1,0))</f>
        <v/>
      </c>
      <c r="AC293">
        <f>IF(AB293&gt;AB292,AB293,"")</f>
        <v/>
      </c>
    </row>
    <row r="294">
      <c r="W294" s="7" t="n"/>
      <c r="X294" s="7" t="n"/>
      <c r="Z294">
        <f>Z293+IF(W294="",0,IF(ISNA(MATCH(W294,W$256:W293,0)),1,0))</f>
        <v/>
      </c>
      <c r="AA294">
        <f>IF(Z294&gt;Z293,Z294,"")</f>
        <v/>
      </c>
      <c r="AB294">
        <f>AB293+IF(X294="",0,IF(ISNA(MATCH(X294,X$256:X293,0)),1,0))</f>
        <v/>
      </c>
      <c r="AC294">
        <f>IF(AB294&gt;AB293,AB294,"")</f>
        <v/>
      </c>
    </row>
    <row r="295">
      <c r="W295" s="7" t="n"/>
      <c r="X295" s="7" t="n"/>
      <c r="Z295">
        <f>Z294+IF(W295="",0,IF(ISNA(MATCH(W295,W$256:W294,0)),1,0))</f>
        <v/>
      </c>
      <c r="AA295">
        <f>IF(Z295&gt;Z294,Z295,"")</f>
        <v/>
      </c>
      <c r="AB295">
        <f>AB294+IF(X295="",0,IF(ISNA(MATCH(X295,X$256:X294,0)),1,0))</f>
        <v/>
      </c>
      <c r="AC295">
        <f>IF(AB295&gt;AB294,AB295,"")</f>
        <v/>
      </c>
    </row>
    <row r="296">
      <c r="W296" s="7" t="n"/>
      <c r="X296" s="7" t="n"/>
      <c r="Z296">
        <f>Z295+IF(W296="",0,IF(ISNA(MATCH(W296,W$256:W295,0)),1,0))</f>
        <v/>
      </c>
      <c r="AA296">
        <f>IF(Z296&gt;Z295,Z296,"")</f>
        <v/>
      </c>
      <c r="AB296">
        <f>AB295+IF(X296="",0,IF(ISNA(MATCH(X296,X$256:X295,0)),1,0))</f>
        <v/>
      </c>
      <c r="AC296">
        <f>IF(AB296&gt;AB295,AB296,"")</f>
        <v/>
      </c>
    </row>
    <row r="297">
      <c r="W297" s="7" t="n"/>
      <c r="X297" s="7" t="n"/>
      <c r="Z297">
        <f>Z296+IF(W297="",0,IF(ISNA(MATCH(W297,W$256:W296,0)),1,0))</f>
        <v/>
      </c>
      <c r="AA297">
        <f>IF(Z297&gt;Z296,Z297,"")</f>
        <v/>
      </c>
      <c r="AB297">
        <f>AB296+IF(X297="",0,IF(ISNA(MATCH(X297,X$256:X296,0)),1,0))</f>
        <v/>
      </c>
      <c r="AC297">
        <f>IF(AB297&gt;AB296,AB297,"")</f>
        <v/>
      </c>
    </row>
    <row r="298">
      <c r="W298" s="7" t="n"/>
      <c r="X298" s="7" t="n"/>
      <c r="Z298">
        <f>Z297+IF(W298="",0,IF(ISNA(MATCH(W298,W$256:W297,0)),1,0))</f>
        <v/>
      </c>
      <c r="AA298">
        <f>IF(Z298&gt;Z297,Z298,"")</f>
        <v/>
      </c>
      <c r="AB298">
        <f>AB297+IF(X298="",0,IF(ISNA(MATCH(X298,X$256:X297,0)),1,0))</f>
        <v/>
      </c>
      <c r="AC298">
        <f>IF(AB298&gt;AB297,AB298,"")</f>
        <v/>
      </c>
    </row>
    <row r="299">
      <c r="W299" s="7" t="n"/>
      <c r="X299" s="7" t="n"/>
      <c r="Z299">
        <f>Z298+IF(W299="",0,IF(ISNA(MATCH(W299,W$256:W298,0)),1,0))</f>
        <v/>
      </c>
      <c r="AA299">
        <f>IF(Z299&gt;Z298,Z299,"")</f>
        <v/>
      </c>
      <c r="AB299">
        <f>AB298+IF(X299="",0,IF(ISNA(MATCH(X299,X$256:X298,0)),1,0))</f>
        <v/>
      </c>
      <c r="AC299">
        <f>IF(AB299&gt;AB298,AB299,"")</f>
        <v/>
      </c>
    </row>
    <row r="300">
      <c r="W300" s="7" t="n"/>
      <c r="X300" s="7" t="n"/>
      <c r="Z300">
        <f>Z299+IF(W300="",0,IF(ISNA(MATCH(W300,W$256:W299,0)),1,0))</f>
        <v/>
      </c>
      <c r="AA300">
        <f>IF(Z300&gt;Z299,Z300,"")</f>
        <v/>
      </c>
      <c r="AB300">
        <f>AB299+IF(X300="",0,IF(ISNA(MATCH(X300,X$256:X299,0)),1,0))</f>
        <v/>
      </c>
      <c r="AC300">
        <f>IF(AB300&gt;AB299,AB300,"")</f>
        <v/>
      </c>
    </row>
    <row r="301">
      <c r="W301" s="7" t="n"/>
      <c r="X301" s="7" t="n"/>
      <c r="Z301">
        <f>Z300+IF(W301="",0,IF(ISNA(MATCH(W301,W$256:W300,0)),1,0))</f>
        <v/>
      </c>
      <c r="AA301">
        <f>IF(Z301&gt;Z300,Z301,"")</f>
        <v/>
      </c>
      <c r="AB301">
        <f>AB300+IF(X301="",0,IF(ISNA(MATCH(X301,X$256:X300,0)),1,0))</f>
        <v/>
      </c>
      <c r="AC301">
        <f>IF(AB301&gt;AB300,AB301,"")</f>
        <v/>
      </c>
    </row>
    <row r="302">
      <c r="W302" s="7" t="n"/>
      <c r="X302" s="7" t="n"/>
      <c r="Z302">
        <f>Z301+IF(W302="",0,IF(ISNA(MATCH(W302,W$256:W301,0)),1,0))</f>
        <v/>
      </c>
      <c r="AA302">
        <f>IF(Z302&gt;Z301,Z302,"")</f>
        <v/>
      </c>
      <c r="AB302">
        <f>AB301+IF(X302="",0,IF(ISNA(MATCH(X302,X$256:X301,0)),1,0))</f>
        <v/>
      </c>
      <c r="AC302">
        <f>IF(AB302&gt;AB301,AB302,"")</f>
        <v/>
      </c>
    </row>
    <row r="303">
      <c r="W303" s="7" t="n"/>
      <c r="X303" s="7" t="n"/>
      <c r="Z303">
        <f>Z302+IF(W303="",0,IF(ISNA(MATCH(W303,W$256:W302,0)),1,0))</f>
        <v/>
      </c>
      <c r="AA303">
        <f>IF(Z303&gt;Z302,Z303,"")</f>
        <v/>
      </c>
      <c r="AB303">
        <f>AB302+IF(X303="",0,IF(ISNA(MATCH(X303,X$256:X302,0)),1,0))</f>
        <v/>
      </c>
      <c r="AC303">
        <f>IF(AB303&gt;AB302,AB303,"")</f>
        <v/>
      </c>
    </row>
    <row r="304">
      <c r="W304" s="7" t="n"/>
      <c r="X304" s="7" t="n"/>
      <c r="Z304">
        <f>Z303+IF(W304="",0,IF(ISNA(MATCH(W304,W$256:W303,0)),1,0))</f>
        <v/>
      </c>
      <c r="AA304">
        <f>IF(Z304&gt;Z303,Z304,"")</f>
        <v/>
      </c>
      <c r="AB304">
        <f>AB303+IF(X304="",0,IF(ISNA(MATCH(X304,X$256:X303,0)),1,0))</f>
        <v/>
      </c>
      <c r="AC304">
        <f>IF(AB304&gt;AB303,AB304,"")</f>
        <v/>
      </c>
    </row>
    <row r="305">
      <c r="W305" s="7" t="n"/>
      <c r="X305" s="7" t="n"/>
      <c r="Z305">
        <f>Z304+IF(W305="",0,IF(ISNA(MATCH(W305,W$256:W304,0)),1,0))</f>
        <v/>
      </c>
      <c r="AA305">
        <f>IF(Z305&gt;Z304,Z305,"")</f>
        <v/>
      </c>
      <c r="AB305">
        <f>AB304+IF(X305="",0,IF(ISNA(MATCH(X305,X$256:X304,0)),1,0))</f>
        <v/>
      </c>
      <c r="AC305">
        <f>IF(AB305&gt;AB304,AB305,"")</f>
        <v/>
      </c>
    </row>
    <row r="306">
      <c r="W306" s="7" t="n"/>
      <c r="X306" s="7" t="n"/>
      <c r="Z306">
        <f>Z305+IF(W306="",0,IF(ISNA(MATCH(W306,W$256:W305,0)),1,0))</f>
        <v/>
      </c>
      <c r="AA306">
        <f>IF(Z306&gt;Z305,Z306,"")</f>
        <v/>
      </c>
      <c r="AB306">
        <f>AB305+IF(X306="",0,IF(ISNA(MATCH(X306,X$256:X305,0)),1,0))</f>
        <v/>
      </c>
      <c r="AC306">
        <f>IF(AB306&gt;AB305,AB306,"")</f>
        <v/>
      </c>
    </row>
    <row r="307">
      <c r="W307" s="7" t="n"/>
      <c r="X307" s="7" t="n"/>
      <c r="Z307">
        <f>Z306+IF(W307="",0,IF(ISNA(MATCH(W307,W$256:W306,0)),1,0))</f>
        <v/>
      </c>
      <c r="AA307">
        <f>IF(Z307&gt;Z306,Z307,"")</f>
        <v/>
      </c>
      <c r="AB307">
        <f>AB306+IF(X307="",0,IF(ISNA(MATCH(X307,X$256:X306,0)),1,0))</f>
        <v/>
      </c>
      <c r="AC307">
        <f>IF(AB307&gt;AB306,AB307,"")</f>
        <v/>
      </c>
    </row>
    <row r="308">
      <c r="W308" s="7" t="n"/>
      <c r="X308" s="7" t="n"/>
      <c r="Z308">
        <f>Z307+IF(W308="",0,IF(ISNA(MATCH(W308,W$256:W307,0)),1,0))</f>
        <v/>
      </c>
      <c r="AA308">
        <f>IF(Z308&gt;Z307,Z308,"")</f>
        <v/>
      </c>
      <c r="AB308">
        <f>AB307+IF(X308="",0,IF(ISNA(MATCH(X308,X$256:X307,0)),1,0))</f>
        <v/>
      </c>
      <c r="AC308">
        <f>IF(AB308&gt;AB307,AB308,"")</f>
        <v/>
      </c>
    </row>
    <row r="309">
      <c r="W309" s="7" t="n"/>
      <c r="X309" s="7" t="n"/>
      <c r="Z309">
        <f>Z308+IF(W309="",0,IF(ISNA(MATCH(W309,W$256:W308,0)),1,0))</f>
        <v/>
      </c>
      <c r="AA309">
        <f>IF(Z309&gt;Z308,Z309,"")</f>
        <v/>
      </c>
      <c r="AB309">
        <f>AB308+IF(X309="",0,IF(ISNA(MATCH(X309,X$256:X308,0)),1,0))</f>
        <v/>
      </c>
      <c r="AC309">
        <f>IF(AB309&gt;AB308,AB309,"")</f>
        <v/>
      </c>
    </row>
    <row r="310">
      <c r="W310" s="7" t="n"/>
      <c r="X310" s="7" t="n"/>
      <c r="Z310">
        <f>Z309+IF(W310="",0,IF(ISNA(MATCH(W310,W$256:W309,0)),1,0))</f>
        <v/>
      </c>
      <c r="AA310">
        <f>IF(Z310&gt;Z309,Z310,"")</f>
        <v/>
      </c>
      <c r="AB310">
        <f>AB309+IF(X310="",0,IF(ISNA(MATCH(X310,X$256:X309,0)),1,0))</f>
        <v/>
      </c>
      <c r="AC310">
        <f>IF(AB310&gt;AB309,AB310,"")</f>
        <v/>
      </c>
    </row>
    <row r="311">
      <c r="W311" s="7" t="n"/>
      <c r="X311" s="7" t="n"/>
      <c r="Z311">
        <f>Z310+IF(W311="",0,IF(ISNA(MATCH(W311,W$256:W310,0)),1,0))</f>
        <v/>
      </c>
      <c r="AA311">
        <f>IF(Z311&gt;Z310,Z311,"")</f>
        <v/>
      </c>
      <c r="AB311">
        <f>AB310+IF(X311="",0,IF(ISNA(MATCH(X311,X$256:X310,0)),1,0))</f>
        <v/>
      </c>
      <c r="AC311">
        <f>IF(AB311&gt;AB310,AB311,"")</f>
        <v/>
      </c>
    </row>
    <row r="312">
      <c r="W312" s="7" t="n"/>
      <c r="X312" s="7" t="n"/>
      <c r="Z312">
        <f>Z311+IF(W312="",0,IF(ISNA(MATCH(W312,W$256:W311,0)),1,0))</f>
        <v/>
      </c>
      <c r="AA312">
        <f>IF(Z312&gt;Z311,Z312,"")</f>
        <v/>
      </c>
      <c r="AB312">
        <f>AB311+IF(X312="",0,IF(ISNA(MATCH(X312,X$256:X311,0)),1,0))</f>
        <v/>
      </c>
      <c r="AC312">
        <f>IF(AB312&gt;AB311,AB312,"")</f>
        <v/>
      </c>
    </row>
    <row r="313">
      <c r="W313" s="7" t="n"/>
      <c r="X313" s="7" t="n"/>
      <c r="Z313">
        <f>Z312+IF(W313="",0,IF(ISNA(MATCH(W313,W$256:W312,0)),1,0))</f>
        <v/>
      </c>
      <c r="AA313">
        <f>IF(Z313&gt;Z312,Z313,"")</f>
        <v/>
      </c>
      <c r="AB313">
        <f>AB312+IF(X313="",0,IF(ISNA(MATCH(X313,X$256:X312,0)),1,0))</f>
        <v/>
      </c>
      <c r="AC313">
        <f>IF(AB313&gt;AB312,AB313,"")</f>
        <v/>
      </c>
    </row>
    <row r="314">
      <c r="W314" s="7" t="n"/>
      <c r="X314" s="7" t="n"/>
      <c r="Z314">
        <f>Z313+IF(W314="",0,IF(ISNA(MATCH(W314,W$256:W313,0)),1,0))</f>
        <v/>
      </c>
      <c r="AA314">
        <f>IF(Z314&gt;Z313,Z314,"")</f>
        <v/>
      </c>
      <c r="AB314">
        <f>AB313+IF(X314="",0,IF(ISNA(MATCH(X314,X$256:X313,0)),1,0))</f>
        <v/>
      </c>
      <c r="AC314">
        <f>IF(AB314&gt;AB313,AB314,"")</f>
        <v/>
      </c>
    </row>
    <row r="315">
      <c r="W315" s="7" t="n"/>
      <c r="X315" s="7" t="n"/>
      <c r="Z315">
        <f>Z314+IF(W315="",0,IF(ISNA(MATCH(W315,W$256:W314,0)),1,0))</f>
        <v/>
      </c>
      <c r="AA315">
        <f>IF(Z315&gt;Z314,Z315,"")</f>
        <v/>
      </c>
      <c r="AB315">
        <f>AB314+IF(X315="",0,IF(ISNA(MATCH(X315,X$256:X314,0)),1,0))</f>
        <v/>
      </c>
      <c r="AC315">
        <f>IF(AB315&gt;AB314,AB315,"")</f>
        <v/>
      </c>
    </row>
    <row r="316">
      <c r="W316" s="7" t="n"/>
      <c r="X316" s="7" t="n"/>
      <c r="Z316">
        <f>Z315+IF(W316="",0,IF(ISNA(MATCH(W316,W$256:W315,0)),1,0))</f>
        <v/>
      </c>
      <c r="AA316">
        <f>IF(Z316&gt;Z315,Z316,"")</f>
        <v/>
      </c>
      <c r="AB316">
        <f>AB315+IF(X316="",0,IF(ISNA(MATCH(X316,X$256:X315,0)),1,0))</f>
        <v/>
      </c>
      <c r="AC316">
        <f>IF(AB316&gt;AB315,AB316,"")</f>
        <v/>
      </c>
    </row>
    <row r="317">
      <c r="W317" s="7" t="n"/>
      <c r="X317" s="7" t="n"/>
      <c r="Z317">
        <f>Z316+IF(W317="",0,IF(ISNA(MATCH(W317,W$256:W316,0)),1,0))</f>
        <v/>
      </c>
      <c r="AA317">
        <f>IF(Z317&gt;Z316,Z317,"")</f>
        <v/>
      </c>
      <c r="AB317">
        <f>AB316+IF(X317="",0,IF(ISNA(MATCH(X317,X$256:X316,0)),1,0))</f>
        <v/>
      </c>
      <c r="AC317">
        <f>IF(AB317&gt;AB316,AB317,"")</f>
        <v/>
      </c>
    </row>
    <row r="318">
      <c r="W318" s="7" t="n"/>
      <c r="X318" s="7" t="n"/>
      <c r="Z318">
        <f>Z317+IF(W318="",0,IF(ISNA(MATCH(W318,W$256:W317,0)),1,0))</f>
        <v/>
      </c>
      <c r="AA318">
        <f>IF(Z318&gt;Z317,Z318,"")</f>
        <v/>
      </c>
      <c r="AB318">
        <f>AB317+IF(X318="",0,IF(ISNA(MATCH(X318,X$256:X317,0)),1,0))</f>
        <v/>
      </c>
      <c r="AC318">
        <f>IF(AB318&gt;AB317,AB318,"")</f>
        <v/>
      </c>
    </row>
    <row r="319">
      <c r="W319" s="7" t="n"/>
      <c r="X319" s="7" t="n"/>
      <c r="Z319">
        <f>Z318+IF(W319="",0,IF(ISNA(MATCH(W319,W$256:W318,0)),1,0))</f>
        <v/>
      </c>
      <c r="AA319">
        <f>IF(Z319&gt;Z318,Z319,"")</f>
        <v/>
      </c>
      <c r="AB319">
        <f>AB318+IF(X319="",0,IF(ISNA(MATCH(X319,X$256:X318,0)),1,0))</f>
        <v/>
      </c>
      <c r="AC319">
        <f>IF(AB319&gt;AB318,AB319,"")</f>
        <v/>
      </c>
    </row>
    <row r="320">
      <c r="W320" s="7" t="n"/>
      <c r="X320" s="7" t="n"/>
      <c r="Z320">
        <f>Z319+IF(W320="",0,IF(ISNA(MATCH(W320,W$256:W319,0)),1,0))</f>
        <v/>
      </c>
      <c r="AA320">
        <f>IF(Z320&gt;Z319,Z320,"")</f>
        <v/>
      </c>
      <c r="AB320">
        <f>AB319+IF(X320="",0,IF(ISNA(MATCH(X320,X$256:X319,0)),1,0))</f>
        <v/>
      </c>
      <c r="AC320">
        <f>IF(AB320&gt;AB319,AB320,"")</f>
        <v/>
      </c>
    </row>
    <row r="321">
      <c r="W321" s="7" t="n"/>
      <c r="X321" s="7" t="n"/>
      <c r="Z321">
        <f>Z320+IF(W321="",0,IF(ISNA(MATCH(W321,W$256:W320,0)),1,0))</f>
        <v/>
      </c>
      <c r="AA321">
        <f>IF(Z321&gt;Z320,Z321,"")</f>
        <v/>
      </c>
      <c r="AB321">
        <f>AB320+IF(X321="",0,IF(ISNA(MATCH(X321,X$256:X320,0)),1,0))</f>
        <v/>
      </c>
      <c r="AC321">
        <f>IF(AB321&gt;AB320,AB321,"")</f>
        <v/>
      </c>
    </row>
    <row r="322">
      <c r="W322" s="7" t="n"/>
      <c r="X322" s="7" t="n"/>
      <c r="Z322">
        <f>Z321+IF(W322="",0,IF(ISNA(MATCH(W322,W$256:W321,0)),1,0))</f>
        <v/>
      </c>
      <c r="AA322">
        <f>IF(Z322&gt;Z321,Z322,"")</f>
        <v/>
      </c>
      <c r="AB322">
        <f>AB321+IF(X322="",0,IF(ISNA(MATCH(X322,X$256:X321,0)),1,0))</f>
        <v/>
      </c>
      <c r="AC322">
        <f>IF(AB322&gt;AB321,AB322,"")</f>
        <v/>
      </c>
    </row>
    <row r="323">
      <c r="W323" s="7" t="n"/>
      <c r="X323" s="7" t="n"/>
      <c r="Z323">
        <f>Z322+IF(W323="",0,IF(ISNA(MATCH(W323,W$256:W322,0)),1,0))</f>
        <v/>
      </c>
      <c r="AA323">
        <f>IF(Z323&gt;Z322,Z323,"")</f>
        <v/>
      </c>
      <c r="AB323">
        <f>AB322+IF(X323="",0,IF(ISNA(MATCH(X323,X$256:X322,0)),1,0))</f>
        <v/>
      </c>
      <c r="AC323">
        <f>IF(AB323&gt;AB322,AB323,"")</f>
        <v/>
      </c>
    </row>
    <row r="324">
      <c r="W324" s="7" t="n"/>
      <c r="X324" s="7" t="n"/>
      <c r="Z324">
        <f>Z323+IF(W324="",0,IF(ISNA(MATCH(W324,W$256:W323,0)),1,0))</f>
        <v/>
      </c>
      <c r="AA324">
        <f>IF(Z324&gt;Z323,Z324,"")</f>
        <v/>
      </c>
      <c r="AB324">
        <f>AB323+IF(X324="",0,IF(ISNA(MATCH(X324,X$256:X323,0)),1,0))</f>
        <v/>
      </c>
      <c r="AC324">
        <f>IF(AB324&gt;AB323,AB324,"")</f>
        <v/>
      </c>
    </row>
    <row r="325">
      <c r="W325" s="7" t="n"/>
      <c r="X325" s="7" t="n"/>
      <c r="Z325">
        <f>Z324+IF(W325="",0,IF(ISNA(MATCH(W325,W$256:W324,0)),1,0))</f>
        <v/>
      </c>
      <c r="AA325">
        <f>IF(Z325&gt;Z324,Z325,"")</f>
        <v/>
      </c>
      <c r="AB325">
        <f>AB324+IF(X325="",0,IF(ISNA(MATCH(X325,X$256:X324,0)),1,0))</f>
        <v/>
      </c>
      <c r="AC325">
        <f>IF(AB325&gt;AB324,AB325,"")</f>
        <v/>
      </c>
    </row>
    <row r="326">
      <c r="W326" s="7" t="n"/>
      <c r="X326" s="7" t="n"/>
      <c r="Z326">
        <f>Z325+IF(W326="",0,IF(ISNA(MATCH(W326,W$256:W325,0)),1,0))</f>
        <v/>
      </c>
      <c r="AA326">
        <f>IF(Z326&gt;Z325,Z326,"")</f>
        <v/>
      </c>
      <c r="AB326">
        <f>AB325+IF(X326="",0,IF(ISNA(MATCH(X326,X$256:X325,0)),1,0))</f>
        <v/>
      </c>
      <c r="AC326">
        <f>IF(AB326&gt;AB325,AB326,"")</f>
        <v/>
      </c>
    </row>
    <row r="327">
      <c r="W327" s="7" t="n"/>
      <c r="X327" s="7" t="n"/>
      <c r="Z327">
        <f>Z326+IF(W327="",0,IF(ISNA(MATCH(W327,W$256:W326,0)),1,0))</f>
        <v/>
      </c>
      <c r="AA327">
        <f>IF(Z327&gt;Z326,Z327,"")</f>
        <v/>
      </c>
      <c r="AB327">
        <f>AB326+IF(X327="",0,IF(ISNA(MATCH(X327,X$256:X326,0)),1,0))</f>
        <v/>
      </c>
      <c r="AC327">
        <f>IF(AB327&gt;AB326,AB327,"")</f>
        <v/>
      </c>
    </row>
    <row r="328">
      <c r="W328" s="7" t="n"/>
      <c r="X328" s="7" t="n"/>
      <c r="Z328">
        <f>Z327+IF(W328="",0,IF(ISNA(MATCH(W328,W$256:W327,0)),1,0))</f>
        <v/>
      </c>
      <c r="AA328">
        <f>IF(Z328&gt;Z327,Z328,"")</f>
        <v/>
      </c>
      <c r="AB328">
        <f>AB327+IF(X328="",0,IF(ISNA(MATCH(X328,X$256:X327,0)),1,0))</f>
        <v/>
      </c>
      <c r="AC328">
        <f>IF(AB328&gt;AB327,AB328,"")</f>
        <v/>
      </c>
    </row>
    <row r="329">
      <c r="W329" s="7" t="n"/>
      <c r="X329" s="7" t="n"/>
      <c r="Z329">
        <f>Z328+IF(W329="",0,IF(ISNA(MATCH(W329,W$256:W328,0)),1,0))</f>
        <v/>
      </c>
      <c r="AA329">
        <f>IF(Z329&gt;Z328,Z329,"")</f>
        <v/>
      </c>
      <c r="AB329">
        <f>AB328+IF(X329="",0,IF(ISNA(MATCH(X329,X$256:X328,0)),1,0))</f>
        <v/>
      </c>
      <c r="AC329">
        <f>IF(AB329&gt;AB328,AB329,"")</f>
        <v/>
      </c>
    </row>
    <row r="330">
      <c r="W330" s="7" t="n"/>
      <c r="X330" s="7" t="n"/>
      <c r="Z330">
        <f>Z329+IF(W330="",0,IF(ISNA(MATCH(W330,W$256:W329,0)),1,0))</f>
        <v/>
      </c>
      <c r="AA330">
        <f>IF(Z330&gt;Z329,Z330,"")</f>
        <v/>
      </c>
      <c r="AB330">
        <f>AB329+IF(X330="",0,IF(ISNA(MATCH(X330,X$256:X329,0)),1,0))</f>
        <v/>
      </c>
      <c r="AC330">
        <f>IF(AB330&gt;AB329,AB330,"")</f>
        <v/>
      </c>
    </row>
    <row r="331">
      <c r="W331" s="7" t="n"/>
      <c r="X331" s="7" t="n"/>
      <c r="Z331">
        <f>Z330+IF(W331="",0,IF(ISNA(MATCH(W331,W$256:W330,0)),1,0))</f>
        <v/>
      </c>
      <c r="AA331">
        <f>IF(Z331&gt;Z330,Z331,"")</f>
        <v/>
      </c>
      <c r="AB331">
        <f>AB330+IF(X331="",0,IF(ISNA(MATCH(X331,X$256:X330,0)),1,0))</f>
        <v/>
      </c>
      <c r="AC331">
        <f>IF(AB331&gt;AB330,AB331,"")</f>
        <v/>
      </c>
    </row>
    <row r="332">
      <c r="W332" s="7" t="n"/>
      <c r="X332" s="7" t="n"/>
      <c r="Z332">
        <f>Z331+IF(W332="",0,IF(ISNA(MATCH(W332,W$256:W331,0)),1,0))</f>
        <v/>
      </c>
      <c r="AA332">
        <f>IF(Z332&gt;Z331,Z332,"")</f>
        <v/>
      </c>
      <c r="AB332">
        <f>AB331+IF(X332="",0,IF(ISNA(MATCH(X332,X$256:X331,0)),1,0))</f>
        <v/>
      </c>
      <c r="AC332">
        <f>IF(AB332&gt;AB331,AB332,"")</f>
        <v/>
      </c>
    </row>
    <row r="333">
      <c r="W333" s="7" t="n"/>
      <c r="X333" s="7" t="n"/>
      <c r="Z333">
        <f>Z332+IF(W333="",0,IF(ISNA(MATCH(W333,W$256:W332,0)),1,0))</f>
        <v/>
      </c>
      <c r="AA333">
        <f>IF(Z333&gt;Z332,Z333,"")</f>
        <v/>
      </c>
      <c r="AB333">
        <f>AB332+IF(X333="",0,IF(ISNA(MATCH(X333,X$256:X332,0)),1,0))</f>
        <v/>
      </c>
      <c r="AC333">
        <f>IF(AB333&gt;AB332,AB333,"")</f>
        <v/>
      </c>
    </row>
    <row r="334">
      <c r="W334" s="7" t="n"/>
      <c r="X334" s="7" t="n"/>
      <c r="Z334">
        <f>Z333+IF(W334="",0,IF(ISNA(MATCH(W334,W$256:W333,0)),1,0))</f>
        <v/>
      </c>
      <c r="AA334">
        <f>IF(Z334&gt;Z333,Z334,"")</f>
        <v/>
      </c>
      <c r="AB334">
        <f>AB333+IF(X334="",0,IF(ISNA(MATCH(X334,X$256:X333,0)),1,0))</f>
        <v/>
      </c>
      <c r="AC334">
        <f>IF(AB334&gt;AB333,AB334,"")</f>
        <v/>
      </c>
    </row>
    <row r="335">
      <c r="W335" s="7" t="n"/>
      <c r="X335" s="7" t="n"/>
      <c r="Z335">
        <f>Z334+IF(W335="",0,IF(ISNA(MATCH(W335,W$256:W334,0)),1,0))</f>
        <v/>
      </c>
      <c r="AA335">
        <f>IF(Z335&gt;Z334,Z335,"")</f>
        <v/>
      </c>
      <c r="AB335">
        <f>AB334+IF(X335="",0,IF(ISNA(MATCH(X335,X$256:X334,0)),1,0))</f>
        <v/>
      </c>
      <c r="AC335">
        <f>IF(AB335&gt;AB334,AB335,"")</f>
        <v/>
      </c>
    </row>
    <row r="336">
      <c r="W336" s="7" t="n"/>
      <c r="X336" s="7" t="n"/>
      <c r="Z336">
        <f>Z335+IF(W336="",0,IF(ISNA(MATCH(W336,W$256:W335,0)),1,0))</f>
        <v/>
      </c>
      <c r="AA336">
        <f>IF(Z336&gt;Z335,Z336,"")</f>
        <v/>
      </c>
      <c r="AB336">
        <f>AB335+IF(X336="",0,IF(ISNA(MATCH(X336,X$256:X335,0)),1,0))</f>
        <v/>
      </c>
      <c r="AC336">
        <f>IF(AB336&gt;AB335,AB336,"")</f>
        <v/>
      </c>
    </row>
    <row r="337">
      <c r="W337" s="7" t="n"/>
      <c r="X337" s="7" t="n"/>
      <c r="Z337">
        <f>Z336+IF(W337="",0,IF(ISNA(MATCH(W337,W$256:W336,0)),1,0))</f>
        <v/>
      </c>
      <c r="AA337">
        <f>IF(Z337&gt;Z336,Z337,"")</f>
        <v/>
      </c>
      <c r="AB337">
        <f>AB336+IF(X337="",0,IF(ISNA(MATCH(X337,X$256:X336,0)),1,0))</f>
        <v/>
      </c>
      <c r="AC337">
        <f>IF(AB337&gt;AB336,AB337,"")</f>
        <v/>
      </c>
    </row>
    <row r="338">
      <c r="W338" s="7" t="n"/>
      <c r="X338" s="7" t="n"/>
      <c r="Z338">
        <f>Z337+IF(W338="",0,IF(ISNA(MATCH(W338,W$256:W337,0)),1,0))</f>
        <v/>
      </c>
      <c r="AA338">
        <f>IF(Z338&gt;Z337,Z338,"")</f>
        <v/>
      </c>
      <c r="AB338">
        <f>AB337+IF(X338="",0,IF(ISNA(MATCH(X338,X$256:X337,0)),1,0))</f>
        <v/>
      </c>
      <c r="AC338">
        <f>IF(AB338&gt;AB337,AB338,"")</f>
        <v/>
      </c>
    </row>
    <row r="339">
      <c r="W339" s="7" t="n"/>
      <c r="X339" s="7" t="n"/>
      <c r="Z339">
        <f>Z338+IF(W339="",0,IF(ISNA(MATCH(W339,W$256:W338,0)),1,0))</f>
        <v/>
      </c>
      <c r="AA339">
        <f>IF(Z339&gt;Z338,Z339,"")</f>
        <v/>
      </c>
      <c r="AB339">
        <f>AB338+IF(X339="",0,IF(ISNA(MATCH(X339,X$256:X338,0)),1,0))</f>
        <v/>
      </c>
      <c r="AC339">
        <f>IF(AB339&gt;AB338,AB339,"")</f>
        <v/>
      </c>
    </row>
    <row r="340">
      <c r="W340" s="7" t="n"/>
      <c r="X340" s="7" t="n"/>
      <c r="Z340">
        <f>Z339+IF(W340="",0,IF(ISNA(MATCH(W340,W$256:W339,0)),1,0))</f>
        <v/>
      </c>
      <c r="AA340">
        <f>IF(Z340&gt;Z339,Z340,"")</f>
        <v/>
      </c>
      <c r="AB340">
        <f>AB339+IF(X340="",0,IF(ISNA(MATCH(X340,X$256:X339,0)),1,0))</f>
        <v/>
      </c>
      <c r="AC340">
        <f>IF(AB340&gt;AB339,AB340,"")</f>
        <v/>
      </c>
    </row>
    <row r="341">
      <c r="W341" s="7" t="n"/>
      <c r="X341" s="7" t="n"/>
      <c r="Z341">
        <f>Z340+IF(W341="",0,IF(ISNA(MATCH(W341,W$256:W340,0)),1,0))</f>
        <v/>
      </c>
      <c r="AA341">
        <f>IF(Z341&gt;Z340,Z341,"")</f>
        <v/>
      </c>
      <c r="AB341">
        <f>AB340+IF(X341="",0,IF(ISNA(MATCH(X341,X$256:X340,0)),1,0))</f>
        <v/>
      </c>
      <c r="AC341">
        <f>IF(AB341&gt;AB340,AB341,"")</f>
        <v/>
      </c>
    </row>
    <row r="342">
      <c r="W342" s="7" t="n"/>
      <c r="X342" s="7" t="n"/>
      <c r="Z342">
        <f>Z341+IF(W342="",0,IF(ISNA(MATCH(W342,W$256:W341,0)),1,0))</f>
        <v/>
      </c>
      <c r="AA342">
        <f>IF(Z342&gt;Z341,Z342,"")</f>
        <v/>
      </c>
      <c r="AB342">
        <f>AB341+IF(X342="",0,IF(ISNA(MATCH(X342,X$256:X341,0)),1,0))</f>
        <v/>
      </c>
      <c r="AC342">
        <f>IF(AB342&gt;AB341,AB342,"")</f>
        <v/>
      </c>
    </row>
    <row r="343">
      <c r="W343" s="7" t="n"/>
      <c r="X343" s="7" t="n"/>
      <c r="Z343">
        <f>Z342+IF(W343="",0,IF(ISNA(MATCH(W343,W$256:W342,0)),1,0))</f>
        <v/>
      </c>
      <c r="AA343">
        <f>IF(Z343&gt;Z342,Z343,"")</f>
        <v/>
      </c>
      <c r="AB343">
        <f>AB342+IF(X343="",0,IF(ISNA(MATCH(X343,X$256:X342,0)),1,0))</f>
        <v/>
      </c>
      <c r="AC343">
        <f>IF(AB343&gt;AB342,AB343,"")</f>
        <v/>
      </c>
    </row>
    <row r="344">
      <c r="W344" s="7" t="n"/>
      <c r="X344" s="7" t="n"/>
      <c r="Z344">
        <f>Z343+IF(W344="",0,IF(ISNA(MATCH(W344,W$256:W343,0)),1,0))</f>
        <v/>
      </c>
      <c r="AA344">
        <f>IF(Z344&gt;Z343,Z344,"")</f>
        <v/>
      </c>
      <c r="AB344">
        <f>AB343+IF(X344="",0,IF(ISNA(MATCH(X344,X$256:X343,0)),1,0))</f>
        <v/>
      </c>
      <c r="AC344">
        <f>IF(AB344&gt;AB343,AB344,"")</f>
        <v/>
      </c>
    </row>
    <row r="345">
      <c r="W345" s="7" t="n"/>
      <c r="X345" s="7" t="n"/>
      <c r="Z345">
        <f>Z344+IF(W345="",0,IF(ISNA(MATCH(W345,W$256:W344,0)),1,0))</f>
        <v/>
      </c>
      <c r="AA345">
        <f>IF(Z345&gt;Z344,Z345,"")</f>
        <v/>
      </c>
      <c r="AB345">
        <f>AB344+IF(X345="",0,IF(ISNA(MATCH(X345,X$256:X344,0)),1,0))</f>
        <v/>
      </c>
      <c r="AC345">
        <f>IF(AB345&gt;AB344,AB345,"")</f>
        <v/>
      </c>
    </row>
    <row r="346">
      <c r="W346" s="7" t="n"/>
      <c r="X346" s="7" t="n"/>
      <c r="Z346">
        <f>Z345+IF(W346="",0,IF(ISNA(MATCH(W346,W$256:W345,0)),1,0))</f>
        <v/>
      </c>
      <c r="AA346">
        <f>IF(Z346&gt;Z345,Z346,"")</f>
        <v/>
      </c>
      <c r="AB346">
        <f>AB345+IF(X346="",0,IF(ISNA(MATCH(X346,X$256:X345,0)),1,0))</f>
        <v/>
      </c>
      <c r="AC346">
        <f>IF(AB346&gt;AB345,AB346,"")</f>
        <v/>
      </c>
    </row>
    <row r="347">
      <c r="W347" s="7" t="n"/>
      <c r="X347" s="7" t="n"/>
      <c r="Z347">
        <f>Z346+IF(W347="",0,IF(ISNA(MATCH(W347,W$256:W346,0)),1,0))</f>
        <v/>
      </c>
      <c r="AA347">
        <f>IF(Z347&gt;Z346,Z347,"")</f>
        <v/>
      </c>
      <c r="AB347">
        <f>AB346+IF(X347="",0,IF(ISNA(MATCH(X347,X$256:X346,0)),1,0))</f>
        <v/>
      </c>
      <c r="AC347">
        <f>IF(AB347&gt;AB346,AB347,"")</f>
        <v/>
      </c>
    </row>
    <row r="348">
      <c r="W348" s="7" t="n"/>
      <c r="X348" s="7" t="n"/>
      <c r="Z348">
        <f>Z347+IF(W348="",0,IF(ISNA(MATCH(W348,W$256:W347,0)),1,0))</f>
        <v/>
      </c>
      <c r="AA348">
        <f>IF(Z348&gt;Z347,Z348,"")</f>
        <v/>
      </c>
      <c r="AB348">
        <f>AB347+IF(X348="",0,IF(ISNA(MATCH(X348,X$256:X347,0)),1,0))</f>
        <v/>
      </c>
      <c r="AC348">
        <f>IF(AB348&gt;AB347,AB348,"")</f>
        <v/>
      </c>
    </row>
    <row r="349">
      <c r="W349" s="7" t="n"/>
      <c r="X349" s="7" t="n"/>
      <c r="Z349">
        <f>Z348+IF(W349="",0,IF(ISNA(MATCH(W349,W$256:W348,0)),1,0))</f>
        <v/>
      </c>
      <c r="AA349">
        <f>IF(Z349&gt;Z348,Z349,"")</f>
        <v/>
      </c>
      <c r="AB349">
        <f>AB348+IF(X349="",0,IF(ISNA(MATCH(X349,X$256:X348,0)),1,0))</f>
        <v/>
      </c>
      <c r="AC349">
        <f>IF(AB349&gt;AB348,AB349,"")</f>
        <v/>
      </c>
    </row>
    <row r="350">
      <c r="W350" s="7" t="n"/>
      <c r="X350" s="7" t="n"/>
      <c r="Z350">
        <f>Z349+IF(W350="",0,IF(ISNA(MATCH(W350,W$256:W349,0)),1,0))</f>
        <v/>
      </c>
      <c r="AA350">
        <f>IF(Z350&gt;Z349,Z350,"")</f>
        <v/>
      </c>
      <c r="AB350">
        <f>AB349+IF(X350="",0,IF(ISNA(MATCH(X350,X$256:X349,0)),1,0))</f>
        <v/>
      </c>
      <c r="AC350">
        <f>IF(AB350&gt;AB349,AB350,"")</f>
        <v/>
      </c>
    </row>
    <row r="351">
      <c r="W351" s="7" t="n"/>
      <c r="X351" s="7" t="n"/>
      <c r="Z351">
        <f>Z350+IF(W351="",0,IF(ISNA(MATCH(W351,W$256:W350,0)),1,0))</f>
        <v/>
      </c>
      <c r="AA351">
        <f>IF(Z351&gt;Z350,Z351,"")</f>
        <v/>
      </c>
      <c r="AB351">
        <f>AB350+IF(X351="",0,IF(ISNA(MATCH(X351,X$256:X350,0)),1,0))</f>
        <v/>
      </c>
      <c r="AC351">
        <f>IF(AB351&gt;AB350,AB351,"")</f>
        <v/>
      </c>
    </row>
    <row r="352">
      <c r="W352" s="7" t="n"/>
      <c r="X352" s="7" t="n"/>
      <c r="Z352">
        <f>Z351+IF(W352="",0,IF(ISNA(MATCH(W352,W$256:W351,0)),1,0))</f>
        <v/>
      </c>
      <c r="AA352">
        <f>IF(Z352&gt;Z351,Z352,"")</f>
        <v/>
      </c>
      <c r="AB352">
        <f>AB351+IF(X352="",0,IF(ISNA(MATCH(X352,X$256:X351,0)),1,0))</f>
        <v/>
      </c>
      <c r="AC352">
        <f>IF(AB352&gt;AB351,AB352,"")</f>
        <v/>
      </c>
    </row>
    <row r="353">
      <c r="W353" s="7" t="n"/>
      <c r="X353" s="7" t="n"/>
      <c r="Z353">
        <f>Z352+IF(W353="",0,IF(ISNA(MATCH(W353,W$256:W352,0)),1,0))</f>
        <v/>
      </c>
      <c r="AA353">
        <f>IF(Z353&gt;Z352,Z353,"")</f>
        <v/>
      </c>
      <c r="AB353">
        <f>AB352+IF(X353="",0,IF(ISNA(MATCH(X353,X$256:X352,0)),1,0))</f>
        <v/>
      </c>
      <c r="AC353">
        <f>IF(AB353&gt;AB352,AB353,"")</f>
        <v/>
      </c>
    </row>
    <row r="354">
      <c r="W354" s="7" t="n"/>
      <c r="X354" s="7" t="n"/>
      <c r="Z354">
        <f>Z353+IF(W354="",0,IF(ISNA(MATCH(W354,W$256:W353,0)),1,0))</f>
        <v/>
      </c>
      <c r="AA354">
        <f>IF(Z354&gt;Z353,Z354,"")</f>
        <v/>
      </c>
      <c r="AB354">
        <f>AB353+IF(X354="",0,IF(ISNA(MATCH(X354,X$256:X353,0)),1,0))</f>
        <v/>
      </c>
      <c r="AC354">
        <f>IF(AB354&gt;AB353,AB354,"")</f>
        <v/>
      </c>
    </row>
    <row r="355">
      <c r="W355" s="7" t="n"/>
      <c r="X355" s="7" t="n"/>
      <c r="Z355">
        <f>Z354+IF(W355="",0,IF(ISNA(MATCH(W355,W$256:W354,0)),1,0))</f>
        <v/>
      </c>
      <c r="AA355">
        <f>IF(Z355&gt;Z354,Z355,"")</f>
        <v/>
      </c>
      <c r="AB355">
        <f>AB354+IF(X355="",0,IF(ISNA(MATCH(X355,X$256:X354,0)),1,0))</f>
        <v/>
      </c>
      <c r="AC355">
        <f>IF(AB355&gt;AB354,AB355,"")</f>
        <v/>
      </c>
    </row>
    <row r="356">
      <c r="W356" s="7" t="n"/>
      <c r="X356" s="7" t="n"/>
      <c r="Z356">
        <f>Z355+IF(W356="",0,IF(ISNA(MATCH(W356,W$256:W355,0)),1,0))</f>
        <v/>
      </c>
      <c r="AA356">
        <f>IF(Z356&gt;Z355,Z356,"")</f>
        <v/>
      </c>
      <c r="AB356">
        <f>AB355+IF(X356="",0,IF(ISNA(MATCH(X356,X$256:X355,0)),1,0))</f>
        <v/>
      </c>
      <c r="AC356">
        <f>IF(AB356&gt;AB355,AB356,"")</f>
        <v/>
      </c>
    </row>
    <row r="357">
      <c r="W357" s="7" t="n"/>
      <c r="X357" s="7" t="n"/>
      <c r="Z357">
        <f>Z356+IF(W357="",0,IF(ISNA(MATCH(W357,W$256:W356,0)),1,0))</f>
        <v/>
      </c>
      <c r="AA357">
        <f>IF(Z357&gt;Z356,Z357,"")</f>
        <v/>
      </c>
      <c r="AB357">
        <f>AB356+IF(X357="",0,IF(ISNA(MATCH(X357,X$256:X356,0)),1,0))</f>
        <v/>
      </c>
      <c r="AC357">
        <f>IF(AB357&gt;AB356,AB357,"")</f>
        <v/>
      </c>
    </row>
    <row r="358">
      <c r="W358" s="7" t="n"/>
      <c r="X358" s="7" t="n"/>
      <c r="Z358">
        <f>Z357+IF(W358="",0,IF(ISNA(MATCH(W358,W$256:W357,0)),1,0))</f>
        <v/>
      </c>
      <c r="AA358">
        <f>IF(Z358&gt;Z357,Z358,"")</f>
        <v/>
      </c>
      <c r="AB358">
        <f>AB357+IF(X358="",0,IF(ISNA(MATCH(X358,X$256:X357,0)),1,0))</f>
        <v/>
      </c>
      <c r="AC358">
        <f>IF(AB358&gt;AB357,AB358,"")</f>
        <v/>
      </c>
    </row>
    <row r="359">
      <c r="W359" s="7" t="n"/>
      <c r="X359" s="7" t="n"/>
      <c r="Z359">
        <f>Z358+IF(W359="",0,IF(ISNA(MATCH(W359,W$256:W358,0)),1,0))</f>
        <v/>
      </c>
      <c r="AA359">
        <f>IF(Z359&gt;Z358,Z359,"")</f>
        <v/>
      </c>
      <c r="AB359">
        <f>AB358+IF(X359="",0,IF(ISNA(MATCH(X359,X$256:X358,0)),1,0))</f>
        <v/>
      </c>
      <c r="AC359">
        <f>IF(AB359&gt;AB358,AB359,"")</f>
        <v/>
      </c>
    </row>
    <row r="360">
      <c r="W360" s="7" t="n"/>
      <c r="X360" s="7" t="n"/>
      <c r="Z360">
        <f>Z359+IF(W360="",0,IF(ISNA(MATCH(W360,W$256:W359,0)),1,0))</f>
        <v/>
      </c>
      <c r="AA360">
        <f>IF(Z360&gt;Z359,Z360,"")</f>
        <v/>
      </c>
      <c r="AB360">
        <f>AB359+IF(X360="",0,IF(ISNA(MATCH(X360,X$256:X359,0)),1,0))</f>
        <v/>
      </c>
      <c r="AC360">
        <f>IF(AB360&gt;AB359,AB360,"")</f>
        <v/>
      </c>
    </row>
    <row r="361">
      <c r="W361" s="7" t="n"/>
      <c r="X361" s="7" t="n"/>
      <c r="Z361">
        <f>Z360+IF(W361="",0,IF(ISNA(MATCH(W361,W$256:W360,0)),1,0))</f>
        <v/>
      </c>
      <c r="AA361">
        <f>IF(Z361&gt;Z360,Z361,"")</f>
        <v/>
      </c>
      <c r="AB361">
        <f>AB360+IF(X361="",0,IF(ISNA(MATCH(X361,X$256:X360,0)),1,0))</f>
        <v/>
      </c>
      <c r="AC361">
        <f>IF(AB361&gt;AB360,AB361,"")</f>
        <v/>
      </c>
    </row>
    <row r="362">
      <c r="W362" s="7" t="n"/>
      <c r="X362" s="7" t="n"/>
      <c r="Z362">
        <f>Z361+IF(W362="",0,IF(ISNA(MATCH(W362,W$256:W361,0)),1,0))</f>
        <v/>
      </c>
      <c r="AA362">
        <f>IF(Z362&gt;Z361,Z362,"")</f>
        <v/>
      </c>
      <c r="AB362">
        <f>AB361+IF(X362="",0,IF(ISNA(MATCH(X362,X$256:X361,0)),1,0))</f>
        <v/>
      </c>
      <c r="AC362">
        <f>IF(AB362&gt;AB361,AB362,"")</f>
        <v/>
      </c>
    </row>
    <row r="363">
      <c r="W363" s="7" t="n"/>
      <c r="X363" s="7" t="n"/>
      <c r="Z363">
        <f>Z362+IF(W363="",0,IF(ISNA(MATCH(W363,W$256:W362,0)),1,0))</f>
        <v/>
      </c>
      <c r="AA363">
        <f>IF(Z363&gt;Z362,Z363,"")</f>
        <v/>
      </c>
      <c r="AB363">
        <f>AB362+IF(X363="",0,IF(ISNA(MATCH(X363,X$256:X362,0)),1,0))</f>
        <v/>
      </c>
      <c r="AC363">
        <f>IF(AB363&gt;AB362,AB363,"")</f>
        <v/>
      </c>
    </row>
    <row r="364">
      <c r="W364" s="7" t="n"/>
      <c r="X364" s="7" t="n"/>
      <c r="Z364">
        <f>Z363+IF(W364="",0,IF(ISNA(MATCH(W364,W$256:W363,0)),1,0))</f>
        <v/>
      </c>
      <c r="AA364">
        <f>IF(Z364&gt;Z363,Z364,"")</f>
        <v/>
      </c>
      <c r="AB364">
        <f>AB363+IF(X364="",0,IF(ISNA(MATCH(X364,X$256:X363,0)),1,0))</f>
        <v/>
      </c>
      <c r="AC364">
        <f>IF(AB364&gt;AB363,AB364,"")</f>
        <v/>
      </c>
    </row>
    <row r="365">
      <c r="W365" s="7" t="n"/>
      <c r="X365" s="7" t="n"/>
      <c r="Z365">
        <f>Z364+IF(W365="",0,IF(ISNA(MATCH(W365,W$256:W364,0)),1,0))</f>
        <v/>
      </c>
      <c r="AA365">
        <f>IF(Z365&gt;Z364,Z365,"")</f>
        <v/>
      </c>
      <c r="AB365">
        <f>AB364+IF(X365="",0,IF(ISNA(MATCH(X365,X$256:X364,0)),1,0))</f>
        <v/>
      </c>
      <c r="AC365">
        <f>IF(AB365&gt;AB364,AB365,"")</f>
        <v/>
      </c>
    </row>
    <row r="366">
      <c r="W366" s="7" t="n"/>
      <c r="X366" s="7" t="n"/>
      <c r="Z366">
        <f>Z365+IF(W366="",0,IF(ISNA(MATCH(W366,W$256:W365,0)),1,0))</f>
        <v/>
      </c>
      <c r="AA366">
        <f>IF(Z366&gt;Z365,Z366,"")</f>
        <v/>
      </c>
      <c r="AB366">
        <f>AB365+IF(X366="",0,IF(ISNA(MATCH(X366,X$256:X365,0)),1,0))</f>
        <v/>
      </c>
      <c r="AC366">
        <f>IF(AB366&gt;AB365,AB366,"")</f>
        <v/>
      </c>
    </row>
    <row r="367">
      <c r="W367" s="7" t="n"/>
      <c r="X367" s="7" t="n"/>
      <c r="Z367">
        <f>Z366+IF(W367="",0,IF(ISNA(MATCH(W367,W$256:W366,0)),1,0))</f>
        <v/>
      </c>
      <c r="AA367">
        <f>IF(Z367&gt;Z366,Z367,"")</f>
        <v/>
      </c>
      <c r="AB367">
        <f>AB366+IF(X367="",0,IF(ISNA(MATCH(X367,X$256:X366,0)),1,0))</f>
        <v/>
      </c>
      <c r="AC367">
        <f>IF(AB367&gt;AB366,AB367,"")</f>
        <v/>
      </c>
    </row>
    <row r="368">
      <c r="W368" s="7" t="n"/>
      <c r="X368" s="7" t="n"/>
      <c r="Z368">
        <f>Z367+IF(W368="",0,IF(ISNA(MATCH(W368,W$256:W367,0)),1,0))</f>
        <v/>
      </c>
      <c r="AA368">
        <f>IF(Z368&gt;Z367,Z368,"")</f>
        <v/>
      </c>
      <c r="AB368">
        <f>AB367+IF(X368="",0,IF(ISNA(MATCH(X368,X$256:X367,0)),1,0))</f>
        <v/>
      </c>
      <c r="AC368">
        <f>IF(AB368&gt;AB367,AB368,"")</f>
        <v/>
      </c>
    </row>
    <row r="369">
      <c r="W369" s="7" t="n"/>
      <c r="X369" s="7" t="n"/>
      <c r="Z369">
        <f>Z368+IF(W369="",0,IF(ISNA(MATCH(W369,W$256:W368,0)),1,0))</f>
        <v/>
      </c>
      <c r="AA369">
        <f>IF(Z369&gt;Z368,Z369,"")</f>
        <v/>
      </c>
      <c r="AB369">
        <f>AB368+IF(X369="",0,IF(ISNA(MATCH(X369,X$256:X368,0)),1,0))</f>
        <v/>
      </c>
      <c r="AC369">
        <f>IF(AB369&gt;AB368,AB369,"")</f>
        <v/>
      </c>
    </row>
    <row r="370">
      <c r="W370" s="7" t="n"/>
      <c r="X370" s="7" t="n"/>
      <c r="Z370">
        <f>Z369+IF(W370="",0,IF(ISNA(MATCH(W370,W$256:W369,0)),1,0))</f>
        <v/>
      </c>
      <c r="AA370">
        <f>IF(Z370&gt;Z369,Z370,"")</f>
        <v/>
      </c>
      <c r="AB370">
        <f>AB369+IF(X370="",0,IF(ISNA(MATCH(X370,X$256:X369,0)),1,0))</f>
        <v/>
      </c>
      <c r="AC370">
        <f>IF(AB370&gt;AB369,AB370,"")</f>
        <v/>
      </c>
    </row>
    <row r="371">
      <c r="W371" s="7" t="n"/>
      <c r="X371" s="7" t="n"/>
      <c r="Z371">
        <f>Z370+IF(W371="",0,IF(ISNA(MATCH(W371,W$256:W370,0)),1,0))</f>
        <v/>
      </c>
      <c r="AA371">
        <f>IF(Z371&gt;Z370,Z371,"")</f>
        <v/>
      </c>
      <c r="AB371">
        <f>AB370+IF(X371="",0,IF(ISNA(MATCH(X371,X$256:X370,0)),1,0))</f>
        <v/>
      </c>
      <c r="AC371">
        <f>IF(AB371&gt;AB370,AB371,"")</f>
        <v/>
      </c>
    </row>
    <row r="372">
      <c r="W372" s="7" t="n"/>
      <c r="X372" s="7" t="n"/>
      <c r="Z372">
        <f>Z371+IF(W372="",0,IF(ISNA(MATCH(W372,W$256:W371,0)),1,0))</f>
        <v/>
      </c>
      <c r="AA372">
        <f>IF(Z372&gt;Z371,Z372,"")</f>
        <v/>
      </c>
      <c r="AB372">
        <f>AB371+IF(X372="",0,IF(ISNA(MATCH(X372,X$256:X371,0)),1,0))</f>
        <v/>
      </c>
      <c r="AC372">
        <f>IF(AB372&gt;AB371,AB372,"")</f>
        <v/>
      </c>
    </row>
    <row r="373">
      <c r="W373" s="7" t="n"/>
      <c r="X373" s="7" t="n"/>
      <c r="Z373">
        <f>Z372+IF(W373="",0,IF(ISNA(MATCH(W373,W$256:W372,0)),1,0))</f>
        <v/>
      </c>
      <c r="AA373">
        <f>IF(Z373&gt;Z372,Z373,"")</f>
        <v/>
      </c>
      <c r="AB373">
        <f>AB372+IF(X373="",0,IF(ISNA(MATCH(X373,X$256:X372,0)),1,0))</f>
        <v/>
      </c>
      <c r="AC373">
        <f>IF(AB373&gt;AB372,AB373,"")</f>
        <v/>
      </c>
    </row>
    <row r="374">
      <c r="W374" s="7" t="n"/>
      <c r="X374" s="7" t="n"/>
      <c r="Z374">
        <f>Z373+IF(W374="",0,IF(ISNA(MATCH(W374,W$256:W373,0)),1,0))</f>
        <v/>
      </c>
      <c r="AA374">
        <f>IF(Z374&gt;Z373,Z374,"")</f>
        <v/>
      </c>
      <c r="AB374">
        <f>AB373+IF(X374="",0,IF(ISNA(MATCH(X374,X$256:X373,0)),1,0))</f>
        <v/>
      </c>
      <c r="AC374">
        <f>IF(AB374&gt;AB373,AB374,"")</f>
        <v/>
      </c>
    </row>
    <row r="375">
      <c r="W375" s="7" t="n"/>
      <c r="X375" s="7" t="n"/>
      <c r="Z375">
        <f>Z374+IF(W375="",0,IF(ISNA(MATCH(W375,W$256:W374,0)),1,0))</f>
        <v/>
      </c>
      <c r="AA375">
        <f>IF(Z375&gt;Z374,Z375,"")</f>
        <v/>
      </c>
      <c r="AB375">
        <f>AB374+IF(X375="",0,IF(ISNA(MATCH(X375,X$256:X374,0)),1,0))</f>
        <v/>
      </c>
      <c r="AC375">
        <f>IF(AB375&gt;AB374,AB375,"")</f>
        <v/>
      </c>
    </row>
    <row r="376">
      <c r="W376" s="7" t="n"/>
      <c r="X376" s="7" t="n"/>
      <c r="Z376">
        <f>Z375+IF(W376="",0,IF(ISNA(MATCH(W376,W$256:W375,0)),1,0))</f>
        <v/>
      </c>
      <c r="AA376">
        <f>IF(Z376&gt;Z375,Z376,"")</f>
        <v/>
      </c>
      <c r="AB376">
        <f>AB375+IF(X376="",0,IF(ISNA(MATCH(X376,X$256:X375,0)),1,0))</f>
        <v/>
      </c>
      <c r="AC376">
        <f>IF(AB376&gt;AB375,AB376,"")</f>
        <v/>
      </c>
    </row>
    <row r="377">
      <c r="W377" s="7" t="n"/>
      <c r="X377" s="7" t="n"/>
      <c r="Z377">
        <f>Z376+IF(W377="",0,IF(ISNA(MATCH(W377,W$256:W376,0)),1,0))</f>
        <v/>
      </c>
      <c r="AA377">
        <f>IF(Z377&gt;Z376,Z377,"")</f>
        <v/>
      </c>
      <c r="AB377">
        <f>AB376+IF(X377="",0,IF(ISNA(MATCH(X377,X$256:X376,0)),1,0))</f>
        <v/>
      </c>
      <c r="AC377">
        <f>IF(AB377&gt;AB376,AB377,"")</f>
        <v/>
      </c>
    </row>
    <row r="378">
      <c r="W378" s="7" t="n"/>
      <c r="X378" s="7" t="n"/>
      <c r="Z378">
        <f>Z377+IF(W378="",0,IF(ISNA(MATCH(W378,W$256:W377,0)),1,0))</f>
        <v/>
      </c>
      <c r="AA378">
        <f>IF(Z378&gt;Z377,Z378,"")</f>
        <v/>
      </c>
      <c r="AB378">
        <f>AB377+IF(X378="",0,IF(ISNA(MATCH(X378,X$256:X377,0)),1,0))</f>
        <v/>
      </c>
      <c r="AC378">
        <f>IF(AB378&gt;AB377,AB378,"")</f>
        <v/>
      </c>
    </row>
    <row r="379">
      <c r="W379" s="7" t="n"/>
      <c r="X379" s="7" t="n"/>
      <c r="Z379">
        <f>Z378+IF(W379="",0,IF(ISNA(MATCH(W379,W$256:W378,0)),1,0))</f>
        <v/>
      </c>
      <c r="AA379">
        <f>IF(Z379&gt;Z378,Z379,"")</f>
        <v/>
      </c>
      <c r="AB379">
        <f>AB378+IF(X379="",0,IF(ISNA(MATCH(X379,X$256:X378,0)),1,0))</f>
        <v/>
      </c>
      <c r="AC379">
        <f>IF(AB379&gt;AB378,AB379,"")</f>
        <v/>
      </c>
    </row>
    <row r="380">
      <c r="W380" s="7" t="n"/>
      <c r="X380" s="7" t="n"/>
      <c r="Z380">
        <f>Z379+IF(W380="",0,IF(ISNA(MATCH(W380,W$256:W379,0)),1,0))</f>
        <v/>
      </c>
      <c r="AA380">
        <f>IF(Z380&gt;Z379,Z380,"")</f>
        <v/>
      </c>
      <c r="AB380">
        <f>AB379+IF(X380="",0,IF(ISNA(MATCH(X380,X$256:X379,0)),1,0))</f>
        <v/>
      </c>
      <c r="AC380">
        <f>IF(AB380&gt;AB379,AB380,"")</f>
        <v/>
      </c>
    </row>
    <row r="381">
      <c r="W381" s="7" t="n"/>
      <c r="X381" s="7" t="n"/>
      <c r="Z381">
        <f>Z380+IF(W381="",0,IF(ISNA(MATCH(W381,W$256:W380,0)),1,0))</f>
        <v/>
      </c>
      <c r="AA381">
        <f>IF(Z381&gt;Z380,Z381,"")</f>
        <v/>
      </c>
      <c r="AB381">
        <f>AB380+IF(X381="",0,IF(ISNA(MATCH(X381,X$256:X380,0)),1,0))</f>
        <v/>
      </c>
      <c r="AC381">
        <f>IF(AB381&gt;AB380,AB381,"")</f>
        <v/>
      </c>
    </row>
    <row r="382">
      <c r="W382" s="7" t="n"/>
      <c r="X382" s="7" t="n"/>
      <c r="Z382">
        <f>Z381+IF(W382="",0,IF(ISNA(MATCH(W382,W$256:W381,0)),1,0))</f>
        <v/>
      </c>
      <c r="AA382">
        <f>IF(Z382&gt;Z381,Z382,"")</f>
        <v/>
      </c>
      <c r="AB382">
        <f>AB381+IF(X382="",0,IF(ISNA(MATCH(X382,X$256:X381,0)),1,0))</f>
        <v/>
      </c>
      <c r="AC382">
        <f>IF(AB382&gt;AB381,AB382,"")</f>
        <v/>
      </c>
    </row>
    <row r="383">
      <c r="W383" s="7" t="n"/>
      <c r="X383" s="7" t="n"/>
      <c r="Z383">
        <f>Z382+IF(W383="",0,IF(ISNA(MATCH(W383,W$256:W382,0)),1,0))</f>
        <v/>
      </c>
      <c r="AA383">
        <f>IF(Z383&gt;Z382,Z383,"")</f>
        <v/>
      </c>
      <c r="AB383">
        <f>AB382+IF(X383="",0,IF(ISNA(MATCH(X383,X$256:X382,0)),1,0))</f>
        <v/>
      </c>
      <c r="AC383">
        <f>IF(AB383&gt;AB382,AB383,"")</f>
        <v/>
      </c>
    </row>
    <row r="384">
      <c r="W384" s="7" t="n"/>
      <c r="X384" s="7" t="n"/>
      <c r="Z384">
        <f>Z383+IF(W384="",0,IF(ISNA(MATCH(W384,W$256:W383,0)),1,0))</f>
        <v/>
      </c>
      <c r="AA384">
        <f>IF(Z384&gt;Z383,Z384,"")</f>
        <v/>
      </c>
      <c r="AB384">
        <f>AB383+IF(X384="",0,IF(ISNA(MATCH(X384,X$256:X383,0)),1,0))</f>
        <v/>
      </c>
      <c r="AC384">
        <f>IF(AB384&gt;AB383,AB384,"")</f>
        <v/>
      </c>
    </row>
    <row r="385">
      <c r="W385" s="7" t="n"/>
      <c r="X385" s="7" t="n"/>
      <c r="Z385">
        <f>Z384+IF(W385="",0,IF(ISNA(MATCH(W385,W$256:W384,0)),1,0))</f>
        <v/>
      </c>
      <c r="AA385">
        <f>IF(Z385&gt;Z384,Z385,"")</f>
        <v/>
      </c>
      <c r="AB385">
        <f>AB384+IF(X385="",0,IF(ISNA(MATCH(X385,X$256:X384,0)),1,0))</f>
        <v/>
      </c>
      <c r="AC385">
        <f>IF(AB385&gt;AB384,AB385,"")</f>
        <v/>
      </c>
    </row>
    <row r="386">
      <c r="W386" s="7" t="n"/>
      <c r="X386" s="7" t="n"/>
      <c r="Z386">
        <f>Z385+IF(W386="",0,IF(ISNA(MATCH(W386,W$256:W385,0)),1,0))</f>
        <v/>
      </c>
      <c r="AA386">
        <f>IF(Z386&gt;Z385,Z386,"")</f>
        <v/>
      </c>
      <c r="AB386">
        <f>AB385+IF(X386="",0,IF(ISNA(MATCH(X386,X$256:X385,0)),1,0))</f>
        <v/>
      </c>
      <c r="AC386">
        <f>IF(AB386&gt;AB385,AB386,"")</f>
        <v/>
      </c>
    </row>
    <row r="387">
      <c r="W387" s="7" t="n"/>
      <c r="X387" s="7" t="n"/>
      <c r="Z387">
        <f>Z386+IF(W387="",0,IF(ISNA(MATCH(W387,W$256:W386,0)),1,0))</f>
        <v/>
      </c>
      <c r="AA387">
        <f>IF(Z387&gt;Z386,Z387,"")</f>
        <v/>
      </c>
      <c r="AB387">
        <f>AB386+IF(X387="",0,IF(ISNA(MATCH(X387,X$256:X386,0)),1,0))</f>
        <v/>
      </c>
      <c r="AC387">
        <f>IF(AB387&gt;AB386,AB387,"")</f>
        <v/>
      </c>
    </row>
    <row r="388">
      <c r="W388" s="7" t="n"/>
      <c r="X388" s="7" t="n"/>
      <c r="Z388">
        <f>Z387+IF(W388="",0,IF(ISNA(MATCH(W388,W$256:W387,0)),1,0))</f>
        <v/>
      </c>
      <c r="AA388">
        <f>IF(Z388&gt;Z387,Z388,"")</f>
        <v/>
      </c>
      <c r="AB388">
        <f>AB387+IF(X388="",0,IF(ISNA(MATCH(X388,X$256:X387,0)),1,0))</f>
        <v/>
      </c>
      <c r="AC388">
        <f>IF(AB388&gt;AB387,AB388,"")</f>
        <v/>
      </c>
    </row>
    <row r="389">
      <c r="W389" s="7" t="n"/>
      <c r="X389" s="7" t="n"/>
      <c r="Z389">
        <f>Z388+IF(W389="",0,IF(ISNA(MATCH(W389,W$256:W388,0)),1,0))</f>
        <v/>
      </c>
      <c r="AA389">
        <f>IF(Z389&gt;Z388,Z389,"")</f>
        <v/>
      </c>
      <c r="AB389">
        <f>AB388+IF(X389="",0,IF(ISNA(MATCH(X389,X$256:X388,0)),1,0))</f>
        <v/>
      </c>
      <c r="AC389">
        <f>IF(AB389&gt;AB388,AB389,"")</f>
        <v/>
      </c>
    </row>
    <row r="390">
      <c r="W390" s="7" t="n"/>
      <c r="X390" s="7" t="n"/>
      <c r="Z390">
        <f>Z389+IF(W390="",0,IF(ISNA(MATCH(W390,W$256:W389,0)),1,0))</f>
        <v/>
      </c>
      <c r="AA390">
        <f>IF(Z390&gt;Z389,Z390,"")</f>
        <v/>
      </c>
      <c r="AB390">
        <f>AB389+IF(X390="",0,IF(ISNA(MATCH(X390,X$256:X389,0)),1,0))</f>
        <v/>
      </c>
      <c r="AC390">
        <f>IF(AB390&gt;AB389,AB390,"")</f>
        <v/>
      </c>
    </row>
    <row r="391">
      <c r="W391" s="7" t="n"/>
      <c r="X391" s="7" t="n"/>
      <c r="Z391">
        <f>Z390+IF(W391="",0,IF(ISNA(MATCH(W391,W$256:W390,0)),1,0))</f>
        <v/>
      </c>
      <c r="AA391">
        <f>IF(Z391&gt;Z390,Z391,"")</f>
        <v/>
      </c>
      <c r="AB391">
        <f>AB390+IF(X391="",0,IF(ISNA(MATCH(X391,X$256:X390,0)),1,0))</f>
        <v/>
      </c>
      <c r="AC391">
        <f>IF(AB391&gt;AB390,AB391,"")</f>
        <v/>
      </c>
    </row>
    <row r="392">
      <c r="W392" s="7" t="n"/>
      <c r="X392" s="7" t="n"/>
      <c r="Z392">
        <f>Z391+IF(W392="",0,IF(ISNA(MATCH(W392,W$256:W391,0)),1,0))</f>
        <v/>
      </c>
      <c r="AA392">
        <f>IF(Z392&gt;Z391,Z392,"")</f>
        <v/>
      </c>
      <c r="AB392">
        <f>AB391+IF(X392="",0,IF(ISNA(MATCH(X392,X$256:X391,0)),1,0))</f>
        <v/>
      </c>
      <c r="AC392">
        <f>IF(AB392&gt;AB391,AB392,"")</f>
        <v/>
      </c>
    </row>
    <row r="393">
      <c r="W393" s="7" t="n"/>
      <c r="X393" s="7" t="n"/>
      <c r="Z393">
        <f>Z392+IF(W393="",0,IF(ISNA(MATCH(W393,W$256:W392,0)),1,0))</f>
        <v/>
      </c>
      <c r="AA393">
        <f>IF(Z393&gt;Z392,Z393,"")</f>
        <v/>
      </c>
      <c r="AB393">
        <f>AB392+IF(X393="",0,IF(ISNA(MATCH(X393,X$256:X392,0)),1,0))</f>
        <v/>
      </c>
      <c r="AC393">
        <f>IF(AB393&gt;AB392,AB393,"")</f>
        <v/>
      </c>
    </row>
    <row r="394">
      <c r="W394" s="7" t="n"/>
      <c r="X394" s="7" t="n"/>
      <c r="Z394">
        <f>Z393+IF(W394="",0,IF(ISNA(MATCH(W394,W$256:W393,0)),1,0))</f>
        <v/>
      </c>
      <c r="AA394">
        <f>IF(Z394&gt;Z393,Z394,"")</f>
        <v/>
      </c>
      <c r="AB394">
        <f>AB393+IF(X394="",0,IF(ISNA(MATCH(X394,X$256:X393,0)),1,0))</f>
        <v/>
      </c>
      <c r="AC394">
        <f>IF(AB394&gt;AB393,AB394,"")</f>
        <v/>
      </c>
    </row>
    <row r="395">
      <c r="W395" s="7" t="n"/>
      <c r="X395" s="7" t="n"/>
      <c r="Z395">
        <f>Z394+IF(W395="",0,IF(ISNA(MATCH(W395,W$256:W394,0)),1,0))</f>
        <v/>
      </c>
      <c r="AA395">
        <f>IF(Z395&gt;Z394,Z395,"")</f>
        <v/>
      </c>
      <c r="AB395">
        <f>AB394+IF(X395="",0,IF(ISNA(MATCH(X395,X$256:X394,0)),1,0))</f>
        <v/>
      </c>
      <c r="AC395">
        <f>IF(AB395&gt;AB394,AB395,"")</f>
        <v/>
      </c>
    </row>
    <row r="396">
      <c r="W396" s="7" t="n"/>
      <c r="X396" s="7" t="n"/>
      <c r="Z396">
        <f>Z395+IF(W396="",0,IF(ISNA(MATCH(W396,W$256:W395,0)),1,0))</f>
        <v/>
      </c>
      <c r="AA396">
        <f>IF(Z396&gt;Z395,Z396,"")</f>
        <v/>
      </c>
      <c r="AB396">
        <f>AB395+IF(X396="",0,IF(ISNA(MATCH(X396,X$256:X395,0)),1,0))</f>
        <v/>
      </c>
      <c r="AC396">
        <f>IF(AB396&gt;AB395,AB396,"")</f>
        <v/>
      </c>
    </row>
    <row r="397">
      <c r="W397" s="7" t="n"/>
      <c r="X397" s="7" t="n"/>
      <c r="Z397">
        <f>Z396+IF(W397="",0,IF(ISNA(MATCH(W397,W$256:W396,0)),1,0))</f>
        <v/>
      </c>
      <c r="AA397">
        <f>IF(Z397&gt;Z396,Z397,"")</f>
        <v/>
      </c>
      <c r="AB397">
        <f>AB396+IF(X397="",0,IF(ISNA(MATCH(X397,X$256:X396,0)),1,0))</f>
        <v/>
      </c>
      <c r="AC397">
        <f>IF(AB397&gt;AB396,AB397,"")</f>
        <v/>
      </c>
    </row>
    <row r="398">
      <c r="W398" s="7" t="n"/>
      <c r="X398" s="7" t="n"/>
      <c r="Z398">
        <f>Z397+IF(W398="",0,IF(ISNA(MATCH(W398,W$256:W397,0)),1,0))</f>
        <v/>
      </c>
      <c r="AA398">
        <f>IF(Z398&gt;Z397,Z398,"")</f>
        <v/>
      </c>
      <c r="AB398">
        <f>AB397+IF(X398="",0,IF(ISNA(MATCH(X398,X$256:X397,0)),1,0))</f>
        <v/>
      </c>
      <c r="AC398">
        <f>IF(AB398&gt;AB397,AB398,"")</f>
        <v/>
      </c>
    </row>
    <row r="399">
      <c r="W399" s="7" t="n"/>
      <c r="X399" s="7" t="n"/>
      <c r="Z399">
        <f>Z398+IF(W399="",0,IF(ISNA(MATCH(W399,W$256:W398,0)),1,0))</f>
        <v/>
      </c>
      <c r="AA399">
        <f>IF(Z399&gt;Z398,Z399,"")</f>
        <v/>
      </c>
      <c r="AB399">
        <f>AB398+IF(X399="",0,IF(ISNA(MATCH(X399,X$256:X398,0)),1,0))</f>
        <v/>
      </c>
      <c r="AC399">
        <f>IF(AB399&gt;AB398,AB399,"")</f>
        <v/>
      </c>
    </row>
    <row r="400">
      <c r="W400" s="7" t="n"/>
      <c r="X400" s="7" t="n"/>
      <c r="Z400">
        <f>Z399+IF(W400="",0,IF(ISNA(MATCH(W400,W$256:W399,0)),1,0))</f>
        <v/>
      </c>
      <c r="AA400">
        <f>IF(Z400&gt;Z399,Z400,"")</f>
        <v/>
      </c>
      <c r="AB400">
        <f>AB399+IF(X400="",0,IF(ISNA(MATCH(X400,X$256:X399,0)),1,0))</f>
        <v/>
      </c>
      <c r="AC400">
        <f>IF(AB400&gt;AB399,AB400,"")</f>
        <v/>
      </c>
    </row>
    <row r="401">
      <c r="W401" s="7" t="n"/>
      <c r="X401" s="7" t="n"/>
      <c r="Z401">
        <f>Z400+IF(W401="",0,IF(ISNA(MATCH(W401,W$256:W400,0)),1,0))</f>
        <v/>
      </c>
      <c r="AA401">
        <f>IF(Z401&gt;Z400,Z401,"")</f>
        <v/>
      </c>
      <c r="AB401">
        <f>AB400+IF(X401="",0,IF(ISNA(MATCH(X401,X$256:X400,0)),1,0))</f>
        <v/>
      </c>
      <c r="AC401">
        <f>IF(AB401&gt;AB400,AB401,"")</f>
        <v/>
      </c>
    </row>
    <row r="402">
      <c r="W402" s="7" t="n"/>
      <c r="X402" s="7" t="n"/>
      <c r="Z402">
        <f>Z401+IF(W402="",0,IF(ISNA(MATCH(W402,W$256:W401,0)),1,0))</f>
        <v/>
      </c>
      <c r="AA402">
        <f>IF(Z402&gt;Z401,Z402,"")</f>
        <v/>
      </c>
      <c r="AB402">
        <f>AB401+IF(X402="",0,IF(ISNA(MATCH(X402,X$256:X401,0)),1,0))</f>
        <v/>
      </c>
      <c r="AC402">
        <f>IF(AB402&gt;AB401,AB402,"")</f>
        <v/>
      </c>
    </row>
    <row r="403">
      <c r="W403" s="7" t="n"/>
      <c r="X403" s="7" t="n"/>
      <c r="Z403">
        <f>Z402+IF(W403="",0,IF(ISNA(MATCH(W403,W$256:W402,0)),1,0))</f>
        <v/>
      </c>
      <c r="AA403">
        <f>IF(Z403&gt;Z402,Z403,"")</f>
        <v/>
      </c>
      <c r="AB403">
        <f>AB402+IF(X403="",0,IF(ISNA(MATCH(X403,X$256:X402,0)),1,0))</f>
        <v/>
      </c>
      <c r="AC403">
        <f>IF(AB403&gt;AB402,AB403,"")</f>
        <v/>
      </c>
    </row>
    <row r="404">
      <c r="W404" s="7" t="n"/>
      <c r="X404" s="7" t="n"/>
      <c r="Z404">
        <f>Z403+IF(W404="",0,IF(ISNA(MATCH(W404,W$256:W403,0)),1,0))</f>
        <v/>
      </c>
      <c r="AA404">
        <f>IF(Z404&gt;Z403,Z404,"")</f>
        <v/>
      </c>
      <c r="AB404">
        <f>AB403+IF(X404="",0,IF(ISNA(MATCH(X404,X$256:X403,0)),1,0))</f>
        <v/>
      </c>
      <c r="AC404">
        <f>IF(AB404&gt;AB403,AB404,"")</f>
        <v/>
      </c>
    </row>
    <row r="405">
      <c r="W405" s="7" t="n"/>
      <c r="X405" s="7" t="n"/>
      <c r="Z405">
        <f>Z404+IF(W405="",0,IF(ISNA(MATCH(W405,W$256:W404,0)),1,0))</f>
        <v/>
      </c>
      <c r="AA405">
        <f>IF(Z405&gt;Z404,Z405,"")</f>
        <v/>
      </c>
      <c r="AB405">
        <f>AB404+IF(X405="",0,IF(ISNA(MATCH(X405,X$256:X404,0)),1,0))</f>
        <v/>
      </c>
      <c r="AC405">
        <f>IF(AB405&gt;AB404,AB405,"")</f>
        <v/>
      </c>
    </row>
    <row r="406">
      <c r="W406" s="7" t="n"/>
      <c r="X406" s="7" t="n"/>
      <c r="Z406">
        <f>Z405+IF(W406="",0,IF(ISNA(MATCH(W406,W$256:W405,0)),1,0))</f>
        <v/>
      </c>
      <c r="AA406">
        <f>IF(Z406&gt;Z405,Z406,"")</f>
        <v/>
      </c>
      <c r="AB406">
        <f>AB405+IF(X406="",0,IF(ISNA(MATCH(X406,X$256:X405,0)),1,0))</f>
        <v/>
      </c>
      <c r="AC406">
        <f>IF(AB406&gt;AB405,AB406,"")</f>
        <v/>
      </c>
    </row>
    <row r="407">
      <c r="W407" s="7" t="n"/>
      <c r="X407" s="7" t="n"/>
      <c r="Z407">
        <f>Z406+IF(W407="",0,IF(ISNA(MATCH(W407,W$256:W406,0)),1,0))</f>
        <v/>
      </c>
      <c r="AA407">
        <f>IF(Z407&gt;Z406,Z407,"")</f>
        <v/>
      </c>
      <c r="AB407">
        <f>AB406+IF(X407="",0,IF(ISNA(MATCH(X407,X$256:X406,0)),1,0))</f>
        <v/>
      </c>
      <c r="AC407">
        <f>IF(AB407&gt;AB406,AB407,"")</f>
        <v/>
      </c>
    </row>
    <row r="408">
      <c r="W408" s="7" t="n"/>
      <c r="X408" s="7" t="n"/>
      <c r="Z408">
        <f>Z407+IF(W408="",0,IF(ISNA(MATCH(W408,W$256:W407,0)),1,0))</f>
        <v/>
      </c>
      <c r="AA408">
        <f>IF(Z408&gt;Z407,Z408,"")</f>
        <v/>
      </c>
      <c r="AB408">
        <f>AB407+IF(X408="",0,IF(ISNA(MATCH(X408,X$256:X407,0)),1,0))</f>
        <v/>
      </c>
      <c r="AC408">
        <f>IF(AB408&gt;AB407,AB408,"")</f>
        <v/>
      </c>
    </row>
    <row r="409">
      <c r="W409" s="7" t="n"/>
      <c r="X409" s="7" t="n"/>
      <c r="Z409">
        <f>Z408+IF(W409="",0,IF(ISNA(MATCH(W409,W$256:W408,0)),1,0))</f>
        <v/>
      </c>
      <c r="AA409">
        <f>IF(Z409&gt;Z408,Z409,"")</f>
        <v/>
      </c>
      <c r="AB409">
        <f>AB408+IF(X409="",0,IF(ISNA(MATCH(X409,X$256:X408,0)),1,0))</f>
        <v/>
      </c>
      <c r="AC409">
        <f>IF(AB409&gt;AB408,AB409,"")</f>
        <v/>
      </c>
    </row>
    <row r="410">
      <c r="W410" s="7" t="n"/>
      <c r="X410" s="7" t="n"/>
      <c r="Z410">
        <f>Z409+IF(W410="",0,IF(ISNA(MATCH(W410,W$256:W409,0)),1,0))</f>
        <v/>
      </c>
      <c r="AA410">
        <f>IF(Z410&gt;Z409,Z410,"")</f>
        <v/>
      </c>
      <c r="AB410">
        <f>AB409+IF(X410="",0,IF(ISNA(MATCH(X410,X$256:X409,0)),1,0))</f>
        <v/>
      </c>
      <c r="AC410">
        <f>IF(AB410&gt;AB409,AB410,"")</f>
        <v/>
      </c>
    </row>
    <row r="411">
      <c r="W411" s="7" t="n"/>
      <c r="X411" s="7" t="n"/>
      <c r="Z411">
        <f>Z410+IF(W411="",0,IF(ISNA(MATCH(W411,W$256:W410,0)),1,0))</f>
        <v/>
      </c>
      <c r="AA411">
        <f>IF(Z411&gt;Z410,Z411,"")</f>
        <v/>
      </c>
      <c r="AB411">
        <f>AB410+IF(X411="",0,IF(ISNA(MATCH(X411,X$256:X410,0)),1,0))</f>
        <v/>
      </c>
      <c r="AC411">
        <f>IF(AB411&gt;AB410,AB411,"")</f>
        <v/>
      </c>
    </row>
    <row r="412">
      <c r="W412" s="7" t="n"/>
      <c r="X412" s="7" t="n"/>
      <c r="Z412">
        <f>Z411+IF(W412="",0,IF(ISNA(MATCH(W412,W$256:W411,0)),1,0))</f>
        <v/>
      </c>
      <c r="AA412">
        <f>IF(Z412&gt;Z411,Z412,"")</f>
        <v/>
      </c>
      <c r="AB412">
        <f>AB411+IF(X412="",0,IF(ISNA(MATCH(X412,X$256:X411,0)),1,0))</f>
        <v/>
      </c>
      <c r="AC412">
        <f>IF(AB412&gt;AB411,AB412,"")</f>
        <v/>
      </c>
    </row>
    <row r="413">
      <c r="W413" s="7" t="n"/>
      <c r="X413" s="7" t="n"/>
      <c r="Z413">
        <f>Z412+IF(W413="",0,IF(ISNA(MATCH(W413,W$256:W412,0)),1,0))</f>
        <v/>
      </c>
      <c r="AA413">
        <f>IF(Z413&gt;Z412,Z413,"")</f>
        <v/>
      </c>
      <c r="AB413">
        <f>AB412+IF(X413="",0,IF(ISNA(MATCH(X413,X$256:X412,0)),1,0))</f>
        <v/>
      </c>
      <c r="AC413">
        <f>IF(AB413&gt;AB412,AB413,"")</f>
        <v/>
      </c>
    </row>
    <row r="414">
      <c r="W414" s="7" t="n"/>
      <c r="X414" s="7" t="n"/>
      <c r="Z414">
        <f>Z413+IF(W414="",0,IF(ISNA(MATCH(W414,W$256:W413,0)),1,0))</f>
        <v/>
      </c>
      <c r="AA414">
        <f>IF(Z414&gt;Z413,Z414,"")</f>
        <v/>
      </c>
      <c r="AB414">
        <f>AB413+IF(X414="",0,IF(ISNA(MATCH(X414,X$256:X413,0)),1,0))</f>
        <v/>
      </c>
      <c r="AC414">
        <f>IF(AB414&gt;AB413,AB414,"")</f>
        <v/>
      </c>
    </row>
    <row r="415">
      <c r="W415" s="7" t="n"/>
      <c r="X415" s="7" t="n"/>
      <c r="Z415">
        <f>Z414+IF(W415="",0,IF(ISNA(MATCH(W415,W$256:W414,0)),1,0))</f>
        <v/>
      </c>
      <c r="AA415">
        <f>IF(Z415&gt;Z414,Z415,"")</f>
        <v/>
      </c>
      <c r="AB415">
        <f>AB414+IF(X415="",0,IF(ISNA(MATCH(X415,X$256:X414,0)),1,0))</f>
        <v/>
      </c>
      <c r="AC415">
        <f>IF(AB415&gt;AB414,AB415,"")</f>
        <v/>
      </c>
    </row>
    <row r="416">
      <c r="W416" s="7" t="n"/>
      <c r="X416" s="7" t="n"/>
      <c r="Z416">
        <f>Z415+IF(W416="",0,IF(ISNA(MATCH(W416,W$256:W415,0)),1,0))</f>
        <v/>
      </c>
      <c r="AA416">
        <f>IF(Z416&gt;Z415,Z416,"")</f>
        <v/>
      </c>
      <c r="AB416">
        <f>AB415+IF(X416="",0,IF(ISNA(MATCH(X416,X$256:X415,0)),1,0))</f>
        <v/>
      </c>
      <c r="AC416">
        <f>IF(AB416&gt;AB415,AB416,"")</f>
        <v/>
      </c>
    </row>
    <row r="417">
      <c r="W417" s="7" t="n"/>
      <c r="X417" s="7" t="n"/>
      <c r="Z417">
        <f>Z416+IF(W417="",0,IF(ISNA(MATCH(W417,W$256:W416,0)),1,0))</f>
        <v/>
      </c>
      <c r="AA417">
        <f>IF(Z417&gt;Z416,Z417,"")</f>
        <v/>
      </c>
      <c r="AB417">
        <f>AB416+IF(X417="",0,IF(ISNA(MATCH(X417,X$256:X416,0)),1,0))</f>
        <v/>
      </c>
      <c r="AC417">
        <f>IF(AB417&gt;AB416,AB417,"")</f>
        <v/>
      </c>
    </row>
    <row r="418">
      <c r="W418" s="7" t="n"/>
      <c r="X418" s="7" t="n"/>
      <c r="Z418">
        <f>Z417+IF(W418="",0,IF(ISNA(MATCH(W418,W$256:W417,0)),1,0))</f>
        <v/>
      </c>
      <c r="AA418">
        <f>IF(Z418&gt;Z417,Z418,"")</f>
        <v/>
      </c>
      <c r="AB418">
        <f>AB417+IF(X418="",0,IF(ISNA(MATCH(X418,X$256:X417,0)),1,0))</f>
        <v/>
      </c>
      <c r="AC418">
        <f>IF(AB418&gt;AB417,AB418,"")</f>
        <v/>
      </c>
    </row>
    <row r="419">
      <c r="W419" s="7" t="n"/>
      <c r="X419" s="7" t="n"/>
      <c r="Z419">
        <f>Z418+IF(W419="",0,IF(ISNA(MATCH(W419,W$256:W418,0)),1,0))</f>
        <v/>
      </c>
      <c r="AA419">
        <f>IF(Z419&gt;Z418,Z419,"")</f>
        <v/>
      </c>
      <c r="AB419">
        <f>AB418+IF(X419="",0,IF(ISNA(MATCH(X419,X$256:X418,0)),1,0))</f>
        <v/>
      </c>
      <c r="AC419">
        <f>IF(AB419&gt;AB418,AB419,"")</f>
        <v/>
      </c>
    </row>
    <row r="420">
      <c r="W420" s="7" t="n"/>
      <c r="X420" s="7" t="n"/>
      <c r="Z420">
        <f>Z419+IF(W420="",0,IF(ISNA(MATCH(W420,W$256:W419,0)),1,0))</f>
        <v/>
      </c>
      <c r="AA420">
        <f>IF(Z420&gt;Z419,Z420,"")</f>
        <v/>
      </c>
      <c r="AB420">
        <f>AB419+IF(X420="",0,IF(ISNA(MATCH(X420,X$256:X419,0)),1,0))</f>
        <v/>
      </c>
      <c r="AC420">
        <f>IF(AB420&gt;AB419,AB420,"")</f>
        <v/>
      </c>
    </row>
    <row r="421">
      <c r="W421" s="7" t="n"/>
      <c r="X421" s="7" t="n"/>
      <c r="Z421">
        <f>Z420+IF(W421="",0,IF(ISNA(MATCH(W421,W$256:W420,0)),1,0))</f>
        <v/>
      </c>
      <c r="AA421">
        <f>IF(Z421&gt;Z420,Z421,"")</f>
        <v/>
      </c>
      <c r="AB421">
        <f>AB420+IF(X421="",0,IF(ISNA(MATCH(X421,X$256:X420,0)),1,0))</f>
        <v/>
      </c>
      <c r="AC421">
        <f>IF(AB421&gt;AB420,AB421,"")</f>
        <v/>
      </c>
    </row>
    <row r="422">
      <c r="W422" s="7" t="n"/>
      <c r="X422" s="7" t="n"/>
      <c r="Z422">
        <f>Z421+IF(W422="",0,IF(ISNA(MATCH(W422,W$256:W421,0)),1,0))</f>
        <v/>
      </c>
      <c r="AA422">
        <f>IF(Z422&gt;Z421,Z422,"")</f>
        <v/>
      </c>
      <c r="AB422">
        <f>AB421+IF(X422="",0,IF(ISNA(MATCH(X422,X$256:X421,0)),1,0))</f>
        <v/>
      </c>
      <c r="AC422">
        <f>IF(AB422&gt;AB421,AB422,"")</f>
        <v/>
      </c>
    </row>
    <row r="423">
      <c r="W423" s="7" t="n"/>
      <c r="X423" s="7" t="n"/>
      <c r="Z423">
        <f>Z422+IF(W423="",0,IF(ISNA(MATCH(W423,W$256:W422,0)),1,0))</f>
        <v/>
      </c>
      <c r="AA423">
        <f>IF(Z423&gt;Z422,Z423,"")</f>
        <v/>
      </c>
      <c r="AB423">
        <f>AB422+IF(X423="",0,IF(ISNA(MATCH(X423,X$256:X422,0)),1,0))</f>
        <v/>
      </c>
      <c r="AC423">
        <f>IF(AB423&gt;AB422,AB423,"")</f>
        <v/>
      </c>
    </row>
    <row r="424">
      <c r="W424" s="7" t="n"/>
      <c r="X424" s="7" t="n"/>
      <c r="Z424">
        <f>Z423+IF(W424="",0,IF(ISNA(MATCH(W424,W$256:W423,0)),1,0))</f>
        <v/>
      </c>
      <c r="AA424">
        <f>IF(Z424&gt;Z423,Z424,"")</f>
        <v/>
      </c>
      <c r="AB424">
        <f>AB423+IF(X424="",0,IF(ISNA(MATCH(X424,X$256:X423,0)),1,0))</f>
        <v/>
      </c>
      <c r="AC424">
        <f>IF(AB424&gt;AB423,AB424,"")</f>
        <v/>
      </c>
    </row>
    <row r="425">
      <c r="W425" s="7" t="n"/>
      <c r="X425" s="7" t="n"/>
      <c r="Z425">
        <f>Z424+IF(W425="",0,IF(ISNA(MATCH(W425,W$256:W424,0)),1,0))</f>
        <v/>
      </c>
      <c r="AA425">
        <f>IF(Z425&gt;Z424,Z425,"")</f>
        <v/>
      </c>
      <c r="AB425">
        <f>AB424+IF(X425="",0,IF(ISNA(MATCH(X425,X$256:X424,0)),1,0))</f>
        <v/>
      </c>
      <c r="AC425">
        <f>IF(AB425&gt;AB424,AB425,"")</f>
        <v/>
      </c>
    </row>
    <row r="426">
      <c r="W426" s="7" t="n"/>
      <c r="X426" s="7" t="n"/>
      <c r="Z426">
        <f>Z425+IF(W426="",0,IF(ISNA(MATCH(W426,W$256:W425,0)),1,0))</f>
        <v/>
      </c>
      <c r="AA426">
        <f>IF(Z426&gt;Z425,Z426,"")</f>
        <v/>
      </c>
      <c r="AB426">
        <f>AB425+IF(X426="",0,IF(ISNA(MATCH(X426,X$256:X425,0)),1,0))</f>
        <v/>
      </c>
      <c r="AC426">
        <f>IF(AB426&gt;AB425,AB426,"")</f>
        <v/>
      </c>
    </row>
    <row r="427">
      <c r="W427" s="7" t="n"/>
      <c r="X427" s="7" t="n"/>
      <c r="Z427">
        <f>Z426+IF(W427="",0,IF(ISNA(MATCH(W427,W$256:W426,0)),1,0))</f>
        <v/>
      </c>
      <c r="AA427">
        <f>IF(Z427&gt;Z426,Z427,"")</f>
        <v/>
      </c>
      <c r="AB427">
        <f>AB426+IF(X427="",0,IF(ISNA(MATCH(X427,X$256:X426,0)),1,0))</f>
        <v/>
      </c>
      <c r="AC427">
        <f>IF(AB427&gt;AB426,AB427,"")</f>
        <v/>
      </c>
    </row>
    <row r="428">
      <c r="W428" s="7" t="n"/>
      <c r="X428" s="7" t="n"/>
      <c r="Z428">
        <f>Z427+IF(W428="",0,IF(ISNA(MATCH(W428,W$256:W427,0)),1,0))</f>
        <v/>
      </c>
      <c r="AA428">
        <f>IF(Z428&gt;Z427,Z428,"")</f>
        <v/>
      </c>
      <c r="AB428">
        <f>AB427+IF(X428="",0,IF(ISNA(MATCH(X428,X$256:X427,0)),1,0))</f>
        <v/>
      </c>
      <c r="AC428">
        <f>IF(AB428&gt;AB427,AB428,"")</f>
        <v/>
      </c>
    </row>
    <row r="429">
      <c r="W429" s="7" t="n"/>
      <c r="X429" s="7" t="n"/>
      <c r="Z429">
        <f>Z428+IF(W429="",0,IF(ISNA(MATCH(W429,W$256:W428,0)),1,0))</f>
        <v/>
      </c>
      <c r="AA429">
        <f>IF(Z429&gt;Z428,Z429,"")</f>
        <v/>
      </c>
      <c r="AB429">
        <f>AB428+IF(X429="",0,IF(ISNA(MATCH(X429,X$256:X428,0)),1,0))</f>
        <v/>
      </c>
      <c r="AC429">
        <f>IF(AB429&gt;AB428,AB429,"")</f>
        <v/>
      </c>
    </row>
    <row r="430">
      <c r="W430" s="7" t="n"/>
      <c r="X430" s="7" t="n"/>
      <c r="Z430">
        <f>Z429+IF(W430="",0,IF(ISNA(MATCH(W430,W$256:W429,0)),1,0))</f>
        <v/>
      </c>
      <c r="AA430">
        <f>IF(Z430&gt;Z429,Z430,"")</f>
        <v/>
      </c>
      <c r="AB430">
        <f>AB429+IF(X430="",0,IF(ISNA(MATCH(X430,X$256:X429,0)),1,0))</f>
        <v/>
      </c>
      <c r="AC430">
        <f>IF(AB430&gt;AB429,AB430,"")</f>
        <v/>
      </c>
    </row>
    <row r="431">
      <c r="W431" s="7" t="n"/>
      <c r="X431" s="7" t="n"/>
      <c r="Z431">
        <f>Z430+IF(W431="",0,IF(ISNA(MATCH(W431,W$256:W430,0)),1,0))</f>
        <v/>
      </c>
      <c r="AA431">
        <f>IF(Z431&gt;Z430,Z431,"")</f>
        <v/>
      </c>
      <c r="AB431">
        <f>AB430+IF(X431="",0,IF(ISNA(MATCH(X431,X$256:X430,0)),1,0))</f>
        <v/>
      </c>
      <c r="AC431">
        <f>IF(AB431&gt;AB430,AB431,"")</f>
        <v/>
      </c>
    </row>
    <row r="432">
      <c r="W432" s="7" t="n"/>
      <c r="X432" s="7" t="n"/>
      <c r="Z432">
        <f>Z431+IF(W432="",0,IF(ISNA(MATCH(W432,W$256:W431,0)),1,0))</f>
        <v/>
      </c>
      <c r="AA432">
        <f>IF(Z432&gt;Z431,Z432,"")</f>
        <v/>
      </c>
      <c r="AB432">
        <f>AB431+IF(X432="",0,IF(ISNA(MATCH(X432,X$256:X431,0)),1,0))</f>
        <v/>
      </c>
      <c r="AC432">
        <f>IF(AB432&gt;AB431,AB432,"")</f>
        <v/>
      </c>
    </row>
    <row r="433">
      <c r="W433" s="7" t="n"/>
      <c r="X433" s="7" t="n"/>
      <c r="Z433">
        <f>Z432+IF(W433="",0,IF(ISNA(MATCH(W433,W$256:W432,0)),1,0))</f>
        <v/>
      </c>
      <c r="AA433">
        <f>IF(Z433&gt;Z432,Z433,"")</f>
        <v/>
      </c>
      <c r="AB433">
        <f>AB432+IF(X433="",0,IF(ISNA(MATCH(X433,X$256:X432,0)),1,0))</f>
        <v/>
      </c>
      <c r="AC433">
        <f>IF(AB433&gt;AB432,AB433,"")</f>
        <v/>
      </c>
    </row>
    <row r="434">
      <c r="W434" s="7" t="n"/>
      <c r="X434" s="7" t="n"/>
      <c r="Z434">
        <f>Z433+IF(W434="",0,IF(ISNA(MATCH(W434,W$256:W433,0)),1,0))</f>
        <v/>
      </c>
      <c r="AA434">
        <f>IF(Z434&gt;Z433,Z434,"")</f>
        <v/>
      </c>
      <c r="AB434">
        <f>AB433+IF(X434="",0,IF(ISNA(MATCH(X434,X$256:X433,0)),1,0))</f>
        <v/>
      </c>
      <c r="AC434">
        <f>IF(AB434&gt;AB433,AB434,"")</f>
        <v/>
      </c>
    </row>
    <row r="435">
      <c r="W435" s="7" t="n"/>
      <c r="X435" s="7" t="n"/>
      <c r="Z435">
        <f>Z434+IF(W435="",0,IF(ISNA(MATCH(W435,W$256:W434,0)),1,0))</f>
        <v/>
      </c>
      <c r="AA435">
        <f>IF(Z435&gt;Z434,Z435,"")</f>
        <v/>
      </c>
      <c r="AB435">
        <f>AB434+IF(X435="",0,IF(ISNA(MATCH(X435,X$256:X434,0)),1,0))</f>
        <v/>
      </c>
      <c r="AC435">
        <f>IF(AB435&gt;AB434,AB435,"")</f>
        <v/>
      </c>
    </row>
    <row r="436">
      <c r="W436" s="7" t="n"/>
      <c r="X436" s="7" t="n"/>
      <c r="Z436">
        <f>Z435+IF(W436="",0,IF(ISNA(MATCH(W436,W$256:W435,0)),1,0))</f>
        <v/>
      </c>
      <c r="AA436">
        <f>IF(Z436&gt;Z435,Z436,"")</f>
        <v/>
      </c>
      <c r="AB436">
        <f>AB435+IF(X436="",0,IF(ISNA(MATCH(X436,X$256:X435,0)),1,0))</f>
        <v/>
      </c>
      <c r="AC436">
        <f>IF(AB436&gt;AB435,AB436,"")</f>
        <v/>
      </c>
    </row>
    <row r="437">
      <c r="W437" s="7" t="n"/>
      <c r="X437" s="7" t="n"/>
      <c r="Z437">
        <f>Z436+IF(W437="",0,IF(ISNA(MATCH(W437,W$256:W436,0)),1,0))</f>
        <v/>
      </c>
      <c r="AA437">
        <f>IF(Z437&gt;Z436,Z437,"")</f>
        <v/>
      </c>
      <c r="AB437">
        <f>AB436+IF(X437="",0,IF(ISNA(MATCH(X437,X$256:X436,0)),1,0))</f>
        <v/>
      </c>
      <c r="AC437">
        <f>IF(AB437&gt;AB436,AB437,"")</f>
        <v/>
      </c>
    </row>
    <row r="438">
      <c r="W438" s="7" t="n"/>
      <c r="X438" s="7" t="n"/>
      <c r="Z438">
        <f>Z437+IF(W438="",0,IF(ISNA(MATCH(W438,W$256:W437,0)),1,0))</f>
        <v/>
      </c>
      <c r="AA438">
        <f>IF(Z438&gt;Z437,Z438,"")</f>
        <v/>
      </c>
      <c r="AB438">
        <f>AB437+IF(X438="",0,IF(ISNA(MATCH(X438,X$256:X437,0)),1,0))</f>
        <v/>
      </c>
      <c r="AC438">
        <f>IF(AB438&gt;AB437,AB438,"")</f>
        <v/>
      </c>
    </row>
    <row r="439">
      <c r="W439" s="7" t="n"/>
      <c r="X439" s="7" t="n"/>
      <c r="Z439">
        <f>Z438+IF(W439="",0,IF(ISNA(MATCH(W439,W$256:W438,0)),1,0))</f>
        <v/>
      </c>
      <c r="AA439">
        <f>IF(Z439&gt;Z438,Z439,"")</f>
        <v/>
      </c>
      <c r="AB439">
        <f>AB438+IF(X439="",0,IF(ISNA(MATCH(X439,X$256:X438,0)),1,0))</f>
        <v/>
      </c>
      <c r="AC439">
        <f>IF(AB439&gt;AB438,AB439,"")</f>
        <v/>
      </c>
    </row>
    <row r="440">
      <c r="W440" s="7" t="n"/>
      <c r="X440" s="7" t="n"/>
      <c r="Z440">
        <f>Z439+IF(W440="",0,IF(ISNA(MATCH(W440,W$256:W439,0)),1,0))</f>
        <v/>
      </c>
      <c r="AA440">
        <f>IF(Z440&gt;Z439,Z440,"")</f>
        <v/>
      </c>
      <c r="AB440">
        <f>AB439+IF(X440="",0,IF(ISNA(MATCH(X440,X$256:X439,0)),1,0))</f>
        <v/>
      </c>
      <c r="AC440">
        <f>IF(AB440&gt;AB439,AB440,"")</f>
        <v/>
      </c>
    </row>
    <row r="441">
      <c r="W441" s="7" t="n"/>
      <c r="X441" s="7" t="n"/>
      <c r="Z441">
        <f>Z440+IF(W441="",0,IF(ISNA(MATCH(W441,W$256:W440,0)),1,0))</f>
        <v/>
      </c>
      <c r="AA441">
        <f>IF(Z441&gt;Z440,Z441,"")</f>
        <v/>
      </c>
      <c r="AB441">
        <f>AB440+IF(X441="",0,IF(ISNA(MATCH(X441,X$256:X440,0)),1,0))</f>
        <v/>
      </c>
      <c r="AC441">
        <f>IF(AB441&gt;AB440,AB441,"")</f>
        <v/>
      </c>
    </row>
    <row r="442">
      <c r="W442" s="7" t="n"/>
      <c r="X442" s="7" t="n"/>
      <c r="Z442">
        <f>Z441+IF(W442="",0,IF(ISNA(MATCH(W442,W$256:W441,0)),1,0))</f>
        <v/>
      </c>
      <c r="AA442">
        <f>IF(Z442&gt;Z441,Z442,"")</f>
        <v/>
      </c>
      <c r="AB442">
        <f>AB441+IF(X442="",0,IF(ISNA(MATCH(X442,X$256:X441,0)),1,0))</f>
        <v/>
      </c>
      <c r="AC442">
        <f>IF(AB442&gt;AB441,AB442,"")</f>
        <v/>
      </c>
    </row>
    <row r="443">
      <c r="W443" s="7" t="n"/>
      <c r="X443" s="7" t="n"/>
      <c r="Z443">
        <f>Z442+IF(W443="",0,IF(ISNA(MATCH(W443,W$256:W442,0)),1,0))</f>
        <v/>
      </c>
      <c r="AA443">
        <f>IF(Z443&gt;Z442,Z443,"")</f>
        <v/>
      </c>
      <c r="AB443">
        <f>AB442+IF(X443="",0,IF(ISNA(MATCH(X443,X$256:X442,0)),1,0))</f>
        <v/>
      </c>
      <c r="AC443">
        <f>IF(AB443&gt;AB442,AB443,"")</f>
        <v/>
      </c>
    </row>
    <row r="444">
      <c r="W444" s="7" t="n"/>
      <c r="X444" s="7" t="n"/>
      <c r="Z444">
        <f>Z443+IF(W444="",0,IF(ISNA(MATCH(W444,W$256:W443,0)),1,0))</f>
        <v/>
      </c>
      <c r="AA444">
        <f>IF(Z444&gt;Z443,Z444,"")</f>
        <v/>
      </c>
      <c r="AB444">
        <f>AB443+IF(X444="",0,IF(ISNA(MATCH(X444,X$256:X443,0)),1,0))</f>
        <v/>
      </c>
      <c r="AC444">
        <f>IF(AB444&gt;AB443,AB444,"")</f>
        <v/>
      </c>
    </row>
    <row r="445">
      <c r="W445" s="7" t="n"/>
      <c r="X445" s="7" t="n"/>
      <c r="Z445">
        <f>Z444+IF(W445="",0,IF(ISNA(MATCH(W445,W$256:W444,0)),1,0))</f>
        <v/>
      </c>
      <c r="AA445">
        <f>IF(Z445&gt;Z444,Z445,"")</f>
        <v/>
      </c>
      <c r="AB445">
        <f>AB444+IF(X445="",0,IF(ISNA(MATCH(X445,X$256:X444,0)),1,0))</f>
        <v/>
      </c>
      <c r="AC445">
        <f>IF(AB445&gt;AB444,AB445,"")</f>
        <v/>
      </c>
    </row>
    <row r="446">
      <c r="W446" s="7" t="n"/>
      <c r="X446" s="7" t="n"/>
      <c r="Z446">
        <f>Z445+IF(W446="",0,IF(ISNA(MATCH(W446,W$256:W445,0)),1,0))</f>
        <v/>
      </c>
      <c r="AA446">
        <f>IF(Z446&gt;Z445,Z446,"")</f>
        <v/>
      </c>
      <c r="AB446">
        <f>AB445+IF(X446="",0,IF(ISNA(MATCH(X446,X$256:X445,0)),1,0))</f>
        <v/>
      </c>
      <c r="AC446">
        <f>IF(AB446&gt;AB445,AB446,"")</f>
        <v/>
      </c>
    </row>
    <row r="447">
      <c r="W447" s="7" t="n"/>
      <c r="X447" s="7" t="n"/>
      <c r="Z447">
        <f>Z446+IF(W447="",0,IF(ISNA(MATCH(W447,W$256:W446,0)),1,0))</f>
        <v/>
      </c>
      <c r="AA447">
        <f>IF(Z447&gt;Z446,Z447,"")</f>
        <v/>
      </c>
      <c r="AB447">
        <f>AB446+IF(X447="",0,IF(ISNA(MATCH(X447,X$256:X446,0)),1,0))</f>
        <v/>
      </c>
      <c r="AC447">
        <f>IF(AB447&gt;AB446,AB447,"")</f>
        <v/>
      </c>
    </row>
    <row r="448">
      <c r="W448" s="7" t="n"/>
      <c r="X448" s="7" t="n"/>
      <c r="Z448">
        <f>Z447+IF(W448="",0,IF(ISNA(MATCH(W448,W$256:W447,0)),1,0))</f>
        <v/>
      </c>
      <c r="AA448">
        <f>IF(Z448&gt;Z447,Z448,"")</f>
        <v/>
      </c>
      <c r="AB448">
        <f>AB447+IF(X448="",0,IF(ISNA(MATCH(X448,X$256:X447,0)),1,0))</f>
        <v/>
      </c>
      <c r="AC448">
        <f>IF(AB448&gt;AB447,AB448,"")</f>
        <v/>
      </c>
    </row>
    <row r="449">
      <c r="W449" s="7" t="n"/>
      <c r="X449" s="7" t="n"/>
      <c r="Z449">
        <f>Z448+IF(W449="",0,IF(ISNA(MATCH(W449,W$256:W448,0)),1,0))</f>
        <v/>
      </c>
      <c r="AA449">
        <f>IF(Z449&gt;Z448,Z449,"")</f>
        <v/>
      </c>
      <c r="AB449">
        <f>AB448+IF(X449="",0,IF(ISNA(MATCH(X449,X$256:X448,0)),1,0))</f>
        <v/>
      </c>
      <c r="AC449">
        <f>IF(AB449&gt;AB448,AB449,"")</f>
        <v/>
      </c>
    </row>
    <row r="450">
      <c r="W450" s="7" t="n"/>
      <c r="X450" s="7" t="n"/>
      <c r="Z450">
        <f>Z449+IF(W450="",0,IF(ISNA(MATCH(W450,W$256:W449,0)),1,0))</f>
        <v/>
      </c>
      <c r="AA450">
        <f>IF(Z450&gt;Z449,Z450,"")</f>
        <v/>
      </c>
      <c r="AB450">
        <f>AB449+IF(X450="",0,IF(ISNA(MATCH(X450,X$256:X449,0)),1,0))</f>
        <v/>
      </c>
      <c r="AC450">
        <f>IF(AB450&gt;AB449,AB450,"")</f>
        <v/>
      </c>
    </row>
    <row r="451">
      <c r="W451" s="7" t="n"/>
      <c r="X451" s="7" t="n"/>
      <c r="Z451">
        <f>Z450+IF(W451="",0,IF(ISNA(MATCH(W451,W$256:W450,0)),1,0))</f>
        <v/>
      </c>
      <c r="AA451">
        <f>IF(Z451&gt;Z450,Z451,"")</f>
        <v/>
      </c>
      <c r="AB451">
        <f>AB450+IF(X451="",0,IF(ISNA(MATCH(X451,X$256:X450,0)),1,0))</f>
        <v/>
      </c>
      <c r="AC451">
        <f>IF(AB451&gt;AB450,AB451,"")</f>
        <v/>
      </c>
    </row>
    <row r="452">
      <c r="W452" s="7" t="n"/>
      <c r="X452" s="7" t="n"/>
      <c r="Z452">
        <f>Z451+IF(W452="",0,IF(ISNA(MATCH(W452,W$256:W451,0)),1,0))</f>
        <v/>
      </c>
      <c r="AA452">
        <f>IF(Z452&gt;Z451,Z452,"")</f>
        <v/>
      </c>
      <c r="AB452">
        <f>AB451+IF(X452="",0,IF(ISNA(MATCH(X452,X$256:X451,0)),1,0))</f>
        <v/>
      </c>
      <c r="AC452">
        <f>IF(AB452&gt;AB451,AB452,"")</f>
        <v/>
      </c>
    </row>
    <row r="453">
      <c r="W453" s="7" t="n"/>
      <c r="X453" s="7" t="n"/>
      <c r="Z453">
        <f>Z452+IF(W453="",0,IF(ISNA(MATCH(W453,W$256:W452,0)),1,0))</f>
        <v/>
      </c>
      <c r="AA453">
        <f>IF(Z453&gt;Z452,Z453,"")</f>
        <v/>
      </c>
      <c r="AB453">
        <f>AB452+IF(X453="",0,IF(ISNA(MATCH(X453,X$256:X452,0)),1,0))</f>
        <v/>
      </c>
      <c r="AC453">
        <f>IF(AB453&gt;AB452,AB453,"")</f>
        <v/>
      </c>
    </row>
    <row r="454">
      <c r="W454" s="7" t="n"/>
      <c r="X454" s="7" t="n"/>
      <c r="Z454">
        <f>Z453+IF(W454="",0,IF(ISNA(MATCH(W454,W$256:W453,0)),1,0))</f>
        <v/>
      </c>
      <c r="AA454">
        <f>IF(Z454&gt;Z453,Z454,"")</f>
        <v/>
      </c>
      <c r="AB454">
        <f>AB453+IF(X454="",0,IF(ISNA(MATCH(X454,X$256:X453,0)),1,0))</f>
        <v/>
      </c>
      <c r="AC454">
        <f>IF(AB454&gt;AB453,AB454,"")</f>
        <v/>
      </c>
    </row>
    <row r="455">
      <c r="W455" s="7" t="n"/>
      <c r="X455" s="7" t="n"/>
      <c r="Z455">
        <f>Z454+IF(W455="",0,IF(ISNA(MATCH(W455,W$256:W454,0)),1,0))</f>
        <v/>
      </c>
      <c r="AA455">
        <f>IF(Z455&gt;Z454,Z455,"")</f>
        <v/>
      </c>
      <c r="AB455">
        <f>AB454+IF(X455="",0,IF(ISNA(MATCH(X455,X$256:X454,0)),1,0))</f>
        <v/>
      </c>
      <c r="AC455">
        <f>IF(AB455&gt;AB454,AB455,"")</f>
        <v/>
      </c>
    </row>
    <row r="456">
      <c r="W456" s="7" t="n"/>
      <c r="X456" s="7" t="n"/>
      <c r="Z456">
        <f>Z455+IF(W456="",0,IF(ISNA(MATCH(W456,W$256:W455,0)),1,0))</f>
        <v/>
      </c>
      <c r="AA456">
        <f>IF(Z456&gt;Z455,Z456,"")</f>
        <v/>
      </c>
      <c r="AB456">
        <f>AB455+IF(X456="",0,IF(ISNA(MATCH(X456,X$256:X455,0)),1,0))</f>
        <v/>
      </c>
      <c r="AC456">
        <f>IF(AB456&gt;AB455,AB456,"")</f>
        <v/>
      </c>
    </row>
    <row r="457">
      <c r="W457" s="7" t="n"/>
      <c r="X457" s="7" t="n"/>
      <c r="Z457">
        <f>Z456+IF(W457="",0,IF(ISNA(MATCH(W457,W$256:W456,0)),1,0))</f>
        <v/>
      </c>
      <c r="AA457">
        <f>IF(Z457&gt;Z456,Z457,"")</f>
        <v/>
      </c>
      <c r="AB457">
        <f>AB456+IF(X457="",0,IF(ISNA(MATCH(X457,X$256:X456,0)),1,0))</f>
        <v/>
      </c>
      <c r="AC457">
        <f>IF(AB457&gt;AB456,AB457,"")</f>
        <v/>
      </c>
    </row>
    <row r="458">
      <c r="W458" s="7" t="n"/>
      <c r="X458" s="7" t="n"/>
      <c r="Z458">
        <f>Z457+IF(W458="",0,IF(ISNA(MATCH(W458,W$256:W457,0)),1,0))</f>
        <v/>
      </c>
      <c r="AA458">
        <f>IF(Z458&gt;Z457,Z458,"")</f>
        <v/>
      </c>
      <c r="AB458">
        <f>AB457+IF(X458="",0,IF(ISNA(MATCH(X458,X$256:X457,0)),1,0))</f>
        <v/>
      </c>
      <c r="AC458">
        <f>IF(AB458&gt;AB457,AB458,"")</f>
        <v/>
      </c>
    </row>
    <row r="459">
      <c r="W459" s="7" t="n"/>
      <c r="X459" s="7" t="n"/>
      <c r="Z459">
        <f>Z458+IF(W459="",0,IF(ISNA(MATCH(W459,W$256:W458,0)),1,0))</f>
        <v/>
      </c>
      <c r="AA459">
        <f>IF(Z459&gt;Z458,Z459,"")</f>
        <v/>
      </c>
      <c r="AB459">
        <f>AB458+IF(X459="",0,IF(ISNA(MATCH(X459,X$256:X458,0)),1,0))</f>
        <v/>
      </c>
      <c r="AC459">
        <f>IF(AB459&gt;AB458,AB459,"")</f>
        <v/>
      </c>
    </row>
    <row r="460">
      <c r="W460" s="7" t="n"/>
      <c r="X460" s="7" t="n"/>
      <c r="Z460">
        <f>Z459+IF(W460="",0,IF(ISNA(MATCH(W460,W$256:W459,0)),1,0))</f>
        <v/>
      </c>
      <c r="AA460">
        <f>IF(Z460&gt;Z459,Z460,"")</f>
        <v/>
      </c>
      <c r="AB460">
        <f>AB459+IF(X460="",0,IF(ISNA(MATCH(X460,X$256:X459,0)),1,0))</f>
        <v/>
      </c>
      <c r="AC460">
        <f>IF(AB460&gt;AB459,AB460,"")</f>
        <v/>
      </c>
    </row>
    <row r="461">
      <c r="W461" s="7" t="n"/>
      <c r="X461" s="7" t="n"/>
      <c r="Z461">
        <f>Z460+IF(W461="",0,IF(ISNA(MATCH(W461,W$256:W460,0)),1,0))</f>
        <v/>
      </c>
      <c r="AA461">
        <f>IF(Z461&gt;Z460,Z461,"")</f>
        <v/>
      </c>
      <c r="AB461">
        <f>AB460+IF(X461="",0,IF(ISNA(MATCH(X461,X$256:X460,0)),1,0))</f>
        <v/>
      </c>
      <c r="AC461">
        <f>IF(AB461&gt;AB460,AB461,"")</f>
        <v/>
      </c>
    </row>
    <row r="462">
      <c r="W462" s="7" t="n"/>
      <c r="X462" s="7" t="n"/>
      <c r="Z462">
        <f>Z461+IF(W462="",0,IF(ISNA(MATCH(W462,W$256:W461,0)),1,0))</f>
        <v/>
      </c>
      <c r="AA462">
        <f>IF(Z462&gt;Z461,Z462,"")</f>
        <v/>
      </c>
      <c r="AB462">
        <f>AB461+IF(X462="",0,IF(ISNA(MATCH(X462,X$256:X461,0)),1,0))</f>
        <v/>
      </c>
      <c r="AC462">
        <f>IF(AB462&gt;AB461,AB462,"")</f>
        <v/>
      </c>
    </row>
    <row r="463">
      <c r="W463" s="7" t="n"/>
      <c r="X463" s="7" t="n"/>
      <c r="Z463">
        <f>Z462+IF(W463="",0,IF(ISNA(MATCH(W463,W$256:W462,0)),1,0))</f>
        <v/>
      </c>
      <c r="AA463">
        <f>IF(Z463&gt;Z462,Z463,"")</f>
        <v/>
      </c>
      <c r="AB463">
        <f>AB462+IF(X463="",0,IF(ISNA(MATCH(X463,X$256:X462,0)),1,0))</f>
        <v/>
      </c>
      <c r="AC463">
        <f>IF(AB463&gt;AB462,AB463,"")</f>
        <v/>
      </c>
    </row>
    <row r="464">
      <c r="W464" s="7" t="n"/>
      <c r="X464" s="7" t="n"/>
      <c r="Z464">
        <f>Z463+IF(W464="",0,IF(ISNA(MATCH(W464,W$256:W463,0)),1,0))</f>
        <v/>
      </c>
      <c r="AA464">
        <f>IF(Z464&gt;Z463,Z464,"")</f>
        <v/>
      </c>
      <c r="AB464">
        <f>AB463+IF(X464="",0,IF(ISNA(MATCH(X464,X$256:X463,0)),1,0))</f>
        <v/>
      </c>
      <c r="AC464">
        <f>IF(AB464&gt;AB463,AB464,"")</f>
        <v/>
      </c>
    </row>
    <row r="465">
      <c r="W465" s="7" t="n"/>
      <c r="X465" s="7" t="n"/>
      <c r="Z465">
        <f>Z464+IF(W465="",0,IF(ISNA(MATCH(W465,W$256:W464,0)),1,0))</f>
        <v/>
      </c>
      <c r="AA465">
        <f>IF(Z465&gt;Z464,Z465,"")</f>
        <v/>
      </c>
      <c r="AB465">
        <f>AB464+IF(X465="",0,IF(ISNA(MATCH(X465,X$256:X464,0)),1,0))</f>
        <v/>
      </c>
      <c r="AC465">
        <f>IF(AB465&gt;AB464,AB465,"")</f>
        <v/>
      </c>
    </row>
    <row r="466">
      <c r="W466" s="7" t="n"/>
      <c r="X466" s="7" t="n"/>
      <c r="Z466">
        <f>Z465+IF(W466="",0,IF(ISNA(MATCH(W466,W$256:W465,0)),1,0))</f>
        <v/>
      </c>
      <c r="AA466">
        <f>IF(Z466&gt;Z465,Z466,"")</f>
        <v/>
      </c>
      <c r="AB466">
        <f>AB465+IF(X466="",0,IF(ISNA(MATCH(X466,X$256:X465,0)),1,0))</f>
        <v/>
      </c>
      <c r="AC466">
        <f>IF(AB466&gt;AB465,AB466,"")</f>
        <v/>
      </c>
    </row>
    <row r="467">
      <c r="W467" s="7" t="n"/>
      <c r="X467" s="7" t="n"/>
      <c r="Z467">
        <f>Z466+IF(W467="",0,IF(ISNA(MATCH(W467,W$256:W466,0)),1,0))</f>
        <v/>
      </c>
      <c r="AA467">
        <f>IF(Z467&gt;Z466,Z467,"")</f>
        <v/>
      </c>
      <c r="AB467">
        <f>AB466+IF(X467="",0,IF(ISNA(MATCH(X467,X$256:X466,0)),1,0))</f>
        <v/>
      </c>
      <c r="AC467">
        <f>IF(AB467&gt;AB466,AB467,"")</f>
        <v/>
      </c>
    </row>
    <row r="468">
      <c r="W468" s="7" t="n"/>
      <c r="X468" s="7" t="n"/>
      <c r="Z468">
        <f>Z467+IF(W468="",0,IF(ISNA(MATCH(W468,W$256:W467,0)),1,0))</f>
        <v/>
      </c>
      <c r="AA468">
        <f>IF(Z468&gt;Z467,Z468,"")</f>
        <v/>
      </c>
      <c r="AB468">
        <f>AB467+IF(X468="",0,IF(ISNA(MATCH(X468,X$256:X467,0)),1,0))</f>
        <v/>
      </c>
      <c r="AC468">
        <f>IF(AB468&gt;AB467,AB468,"")</f>
        <v/>
      </c>
    </row>
    <row r="469">
      <c r="W469" s="7" t="n"/>
      <c r="X469" s="7" t="n"/>
      <c r="Z469">
        <f>Z468+IF(W469="",0,IF(ISNA(MATCH(W469,W$256:W468,0)),1,0))</f>
        <v/>
      </c>
      <c r="AA469">
        <f>IF(Z469&gt;Z468,Z469,"")</f>
        <v/>
      </c>
      <c r="AB469">
        <f>AB468+IF(X469="",0,IF(ISNA(MATCH(X469,X$256:X468,0)),1,0))</f>
        <v/>
      </c>
      <c r="AC469">
        <f>IF(AB469&gt;AB468,AB469,"")</f>
        <v/>
      </c>
    </row>
    <row r="470">
      <c r="W470" s="7" t="n"/>
      <c r="X470" s="7" t="n"/>
      <c r="Z470">
        <f>Z469+IF(W470="",0,IF(ISNA(MATCH(W470,W$256:W469,0)),1,0))</f>
        <v/>
      </c>
      <c r="AA470">
        <f>IF(Z470&gt;Z469,Z470,"")</f>
        <v/>
      </c>
      <c r="AB470">
        <f>AB469+IF(X470="",0,IF(ISNA(MATCH(X470,X$256:X469,0)),1,0))</f>
        <v/>
      </c>
      <c r="AC470">
        <f>IF(AB470&gt;AB469,AB470,"")</f>
        <v/>
      </c>
    </row>
    <row r="471">
      <c r="W471" s="7" t="n"/>
      <c r="X471" s="7" t="n"/>
      <c r="Z471">
        <f>Z470+IF(W471="",0,IF(ISNA(MATCH(W471,W$256:W470,0)),1,0))</f>
        <v/>
      </c>
      <c r="AA471">
        <f>IF(Z471&gt;Z470,Z471,"")</f>
        <v/>
      </c>
      <c r="AB471">
        <f>AB470+IF(X471="",0,IF(ISNA(MATCH(X471,X$256:X470,0)),1,0))</f>
        <v/>
      </c>
      <c r="AC471">
        <f>IF(AB471&gt;AB470,AB471,"")</f>
        <v/>
      </c>
    </row>
    <row r="472">
      <c r="W472" s="7" t="n"/>
      <c r="X472" s="7" t="n"/>
      <c r="Z472">
        <f>Z471+IF(W472="",0,IF(ISNA(MATCH(W472,W$256:W471,0)),1,0))</f>
        <v/>
      </c>
      <c r="AA472">
        <f>IF(Z472&gt;Z471,Z472,"")</f>
        <v/>
      </c>
      <c r="AB472">
        <f>AB471+IF(X472="",0,IF(ISNA(MATCH(X472,X$256:X471,0)),1,0))</f>
        <v/>
      </c>
      <c r="AC472">
        <f>IF(AB472&gt;AB471,AB472,"")</f>
        <v/>
      </c>
    </row>
    <row r="473">
      <c r="W473" s="7" t="n"/>
      <c r="X473" s="7" t="n"/>
      <c r="Z473">
        <f>Z472+IF(W473="",0,IF(ISNA(MATCH(W473,W$256:W472,0)),1,0))</f>
        <v/>
      </c>
      <c r="AA473">
        <f>IF(Z473&gt;Z472,Z473,"")</f>
        <v/>
      </c>
      <c r="AB473">
        <f>AB472+IF(X473="",0,IF(ISNA(MATCH(X473,X$256:X472,0)),1,0))</f>
        <v/>
      </c>
      <c r="AC473">
        <f>IF(AB473&gt;AB472,AB473,"")</f>
        <v/>
      </c>
    </row>
    <row r="474">
      <c r="W474" s="7" t="n"/>
      <c r="X474" s="7" t="n"/>
      <c r="Z474">
        <f>Z473+IF(W474="",0,IF(ISNA(MATCH(W474,W$256:W473,0)),1,0))</f>
        <v/>
      </c>
      <c r="AA474">
        <f>IF(Z474&gt;Z473,Z474,"")</f>
        <v/>
      </c>
      <c r="AB474">
        <f>AB473+IF(X474="",0,IF(ISNA(MATCH(X474,X$256:X473,0)),1,0))</f>
        <v/>
      </c>
      <c r="AC474">
        <f>IF(AB474&gt;AB473,AB474,"")</f>
        <v/>
      </c>
    </row>
    <row r="475">
      <c r="W475" s="7" t="n"/>
      <c r="X475" s="7" t="n"/>
      <c r="Z475">
        <f>Z474+IF(W475="",0,IF(ISNA(MATCH(W475,W$256:W474,0)),1,0))</f>
        <v/>
      </c>
      <c r="AA475">
        <f>IF(Z475&gt;Z474,Z475,"")</f>
        <v/>
      </c>
      <c r="AB475">
        <f>AB474+IF(X475="",0,IF(ISNA(MATCH(X475,X$256:X474,0)),1,0))</f>
        <v/>
      </c>
      <c r="AC475">
        <f>IF(AB475&gt;AB474,AB475,"")</f>
        <v/>
      </c>
    </row>
    <row r="476">
      <c r="W476" s="7" t="n"/>
      <c r="X476" s="7" t="n"/>
      <c r="Z476">
        <f>Z475+IF(W476="",0,IF(ISNA(MATCH(W476,W$256:W475,0)),1,0))</f>
        <v/>
      </c>
      <c r="AA476">
        <f>IF(Z476&gt;Z475,Z476,"")</f>
        <v/>
      </c>
      <c r="AB476">
        <f>AB475+IF(X476="",0,IF(ISNA(MATCH(X476,X$256:X475,0)),1,0))</f>
        <v/>
      </c>
      <c r="AC476">
        <f>IF(AB476&gt;AB475,AB476,"")</f>
        <v/>
      </c>
    </row>
    <row r="477">
      <c r="W477" s="7" t="n"/>
      <c r="X477" s="7" t="n"/>
      <c r="Z477">
        <f>Z476+IF(W477="",0,IF(ISNA(MATCH(W477,W$256:W476,0)),1,0))</f>
        <v/>
      </c>
      <c r="AA477">
        <f>IF(Z477&gt;Z476,Z477,"")</f>
        <v/>
      </c>
      <c r="AB477">
        <f>AB476+IF(X477="",0,IF(ISNA(MATCH(X477,X$256:X476,0)),1,0))</f>
        <v/>
      </c>
      <c r="AC477">
        <f>IF(AB477&gt;AB476,AB477,"")</f>
        <v/>
      </c>
    </row>
    <row r="478">
      <c r="W478" s="7" t="n"/>
      <c r="X478" s="7" t="n"/>
      <c r="Z478">
        <f>Z477+IF(W478="",0,IF(ISNA(MATCH(W478,W$256:W477,0)),1,0))</f>
        <v/>
      </c>
      <c r="AA478">
        <f>IF(Z478&gt;Z477,Z478,"")</f>
        <v/>
      </c>
      <c r="AB478">
        <f>AB477+IF(X478="",0,IF(ISNA(MATCH(X478,X$256:X477,0)),1,0))</f>
        <v/>
      </c>
      <c r="AC478">
        <f>IF(AB478&gt;AB477,AB478,"")</f>
        <v/>
      </c>
    </row>
    <row r="479">
      <c r="W479" s="7" t="n"/>
      <c r="X479" s="7" t="n"/>
      <c r="Z479">
        <f>Z478+IF(W479="",0,IF(ISNA(MATCH(W479,W$256:W478,0)),1,0))</f>
        <v/>
      </c>
      <c r="AA479">
        <f>IF(Z479&gt;Z478,Z479,"")</f>
        <v/>
      </c>
      <c r="AB479">
        <f>AB478+IF(X479="",0,IF(ISNA(MATCH(X479,X$256:X478,0)),1,0))</f>
        <v/>
      </c>
      <c r="AC479">
        <f>IF(AB479&gt;AB478,AB479,"")</f>
        <v/>
      </c>
    </row>
    <row r="480">
      <c r="W480" s="7" t="n"/>
      <c r="X480" s="7" t="n"/>
      <c r="Z480">
        <f>Z479+IF(W480="",0,IF(ISNA(MATCH(W480,W$256:W479,0)),1,0))</f>
        <v/>
      </c>
      <c r="AA480">
        <f>IF(Z480&gt;Z479,Z480,"")</f>
        <v/>
      </c>
      <c r="AB480">
        <f>AB479+IF(X480="",0,IF(ISNA(MATCH(X480,X$256:X479,0)),1,0))</f>
        <v/>
      </c>
      <c r="AC480">
        <f>IF(AB480&gt;AB479,AB480,"")</f>
        <v/>
      </c>
    </row>
    <row r="481">
      <c r="W481" s="7" t="n"/>
      <c r="X481" s="7" t="n"/>
      <c r="Z481">
        <f>Z480+IF(W481="",0,IF(ISNA(MATCH(W481,W$256:W480,0)),1,0))</f>
        <v/>
      </c>
      <c r="AA481">
        <f>IF(Z481&gt;Z480,Z481,"")</f>
        <v/>
      </c>
      <c r="AB481">
        <f>AB480+IF(X481="",0,IF(ISNA(MATCH(X481,X$256:X480,0)),1,0))</f>
        <v/>
      </c>
      <c r="AC481">
        <f>IF(AB481&gt;AB480,AB481,"")</f>
        <v/>
      </c>
    </row>
    <row r="482">
      <c r="W482" s="7" t="n"/>
      <c r="X482" s="7" t="n"/>
      <c r="Z482">
        <f>Z481+IF(W482="",0,IF(ISNA(MATCH(W482,W$256:W481,0)),1,0))</f>
        <v/>
      </c>
      <c r="AA482">
        <f>IF(Z482&gt;Z481,Z482,"")</f>
        <v/>
      </c>
      <c r="AB482">
        <f>AB481+IF(X482="",0,IF(ISNA(MATCH(X482,X$256:X481,0)),1,0))</f>
        <v/>
      </c>
      <c r="AC482">
        <f>IF(AB482&gt;AB481,AB482,"")</f>
        <v/>
      </c>
    </row>
    <row r="483">
      <c r="W483" s="7" t="n"/>
      <c r="X483" s="7" t="n"/>
      <c r="Z483">
        <f>Z482+IF(W483="",0,IF(ISNA(MATCH(W483,W$256:W482,0)),1,0))</f>
        <v/>
      </c>
      <c r="AA483">
        <f>IF(Z483&gt;Z482,Z483,"")</f>
        <v/>
      </c>
      <c r="AB483">
        <f>AB482+IF(X483="",0,IF(ISNA(MATCH(X483,X$256:X482,0)),1,0))</f>
        <v/>
      </c>
      <c r="AC483">
        <f>IF(AB483&gt;AB482,AB483,"")</f>
        <v/>
      </c>
    </row>
    <row r="484">
      <c r="W484" s="7" t="n"/>
      <c r="X484" s="7" t="n"/>
      <c r="Z484">
        <f>Z483+IF(W484="",0,IF(ISNA(MATCH(W484,W$256:W483,0)),1,0))</f>
        <v/>
      </c>
      <c r="AA484">
        <f>IF(Z484&gt;Z483,Z484,"")</f>
        <v/>
      </c>
      <c r="AB484">
        <f>AB483+IF(X484="",0,IF(ISNA(MATCH(X484,X$256:X483,0)),1,0))</f>
        <v/>
      </c>
      <c r="AC484">
        <f>IF(AB484&gt;AB483,AB484,"")</f>
        <v/>
      </c>
    </row>
    <row r="485">
      <c r="W485" s="7" t="n"/>
      <c r="X485" s="7" t="n"/>
      <c r="Z485">
        <f>Z484+IF(W485="",0,IF(ISNA(MATCH(W485,W$256:W484,0)),1,0))</f>
        <v/>
      </c>
      <c r="AA485">
        <f>IF(Z485&gt;Z484,Z485,"")</f>
        <v/>
      </c>
      <c r="AB485">
        <f>AB484+IF(X485="",0,IF(ISNA(MATCH(X485,X$256:X484,0)),1,0))</f>
        <v/>
      </c>
      <c r="AC485">
        <f>IF(AB485&gt;AB484,AB485,"")</f>
        <v/>
      </c>
    </row>
    <row r="486">
      <c r="W486" s="7" t="n"/>
      <c r="X486" s="7" t="n"/>
      <c r="Z486">
        <f>Z485+IF(W486="",0,IF(ISNA(MATCH(W486,W$256:W485,0)),1,0))</f>
        <v/>
      </c>
      <c r="AA486">
        <f>IF(Z486&gt;Z485,Z486,"")</f>
        <v/>
      </c>
      <c r="AB486">
        <f>AB485+IF(X486="",0,IF(ISNA(MATCH(X486,X$256:X485,0)),1,0))</f>
        <v/>
      </c>
      <c r="AC486">
        <f>IF(AB486&gt;AB485,AB486,"")</f>
        <v/>
      </c>
    </row>
    <row r="487">
      <c r="W487" s="7" t="n"/>
      <c r="X487" s="7" t="n"/>
      <c r="Z487">
        <f>Z486+IF(W487="",0,IF(ISNA(MATCH(W487,W$256:W486,0)),1,0))</f>
        <v/>
      </c>
      <c r="AA487">
        <f>IF(Z487&gt;Z486,Z487,"")</f>
        <v/>
      </c>
      <c r="AB487">
        <f>AB486+IF(X487="",0,IF(ISNA(MATCH(X487,X$256:X486,0)),1,0))</f>
        <v/>
      </c>
      <c r="AC487">
        <f>IF(AB487&gt;AB486,AB487,"")</f>
        <v/>
      </c>
    </row>
    <row r="488">
      <c r="W488" s="7" t="n"/>
      <c r="X488" s="7" t="n"/>
      <c r="Z488">
        <f>Z487+IF(W488="",0,IF(ISNA(MATCH(W488,W$256:W487,0)),1,0))</f>
        <v/>
      </c>
      <c r="AA488">
        <f>IF(Z488&gt;Z487,Z488,"")</f>
        <v/>
      </c>
      <c r="AB488">
        <f>AB487+IF(X488="",0,IF(ISNA(MATCH(X488,X$256:X487,0)),1,0))</f>
        <v/>
      </c>
      <c r="AC488">
        <f>IF(AB488&gt;AB487,AB488,"")</f>
        <v/>
      </c>
    </row>
    <row r="489">
      <c r="W489" s="7" t="n"/>
      <c r="X489" s="7" t="n"/>
      <c r="Z489">
        <f>Z488+IF(W489="",0,IF(ISNA(MATCH(W489,W$256:W488,0)),1,0))</f>
        <v/>
      </c>
      <c r="AA489">
        <f>IF(Z489&gt;Z488,Z489,"")</f>
        <v/>
      </c>
      <c r="AB489">
        <f>AB488+IF(X489="",0,IF(ISNA(MATCH(X489,X$256:X488,0)),1,0))</f>
        <v/>
      </c>
      <c r="AC489">
        <f>IF(AB489&gt;AB488,AB489,"")</f>
        <v/>
      </c>
    </row>
    <row r="490">
      <c r="W490" s="7" t="n"/>
      <c r="X490" s="7" t="n"/>
      <c r="Z490">
        <f>Z489+IF(W490="",0,IF(ISNA(MATCH(W490,W$256:W489,0)),1,0))</f>
        <v/>
      </c>
      <c r="AA490">
        <f>IF(Z490&gt;Z489,Z490,"")</f>
        <v/>
      </c>
      <c r="AB490">
        <f>AB489+IF(X490="",0,IF(ISNA(MATCH(X490,X$256:X489,0)),1,0))</f>
        <v/>
      </c>
      <c r="AC490">
        <f>IF(AB490&gt;AB489,AB490,"")</f>
        <v/>
      </c>
    </row>
    <row r="491">
      <c r="W491" s="7" t="n"/>
      <c r="X491" s="7" t="n"/>
      <c r="Z491">
        <f>Z490+IF(W491="",0,IF(ISNA(MATCH(W491,W$256:W490,0)),1,0))</f>
        <v/>
      </c>
      <c r="AA491">
        <f>IF(Z491&gt;Z490,Z491,"")</f>
        <v/>
      </c>
      <c r="AB491">
        <f>AB490+IF(X491="",0,IF(ISNA(MATCH(X491,X$256:X490,0)),1,0))</f>
        <v/>
      </c>
      <c r="AC491">
        <f>IF(AB491&gt;AB490,AB491,"")</f>
        <v/>
      </c>
    </row>
    <row r="492">
      <c r="W492" s="7" t="n"/>
      <c r="X492" s="7" t="n"/>
      <c r="Z492">
        <f>Z491+IF(W492="",0,IF(ISNA(MATCH(W492,W$256:W491,0)),1,0))</f>
        <v/>
      </c>
      <c r="AA492">
        <f>IF(Z492&gt;Z491,Z492,"")</f>
        <v/>
      </c>
      <c r="AB492">
        <f>AB491+IF(X492="",0,IF(ISNA(MATCH(X492,X$256:X491,0)),1,0))</f>
        <v/>
      </c>
      <c r="AC492">
        <f>IF(AB492&gt;AB491,AB492,"")</f>
        <v/>
      </c>
    </row>
    <row r="493">
      <c r="W493" s="7" t="n"/>
      <c r="X493" s="7" t="n"/>
      <c r="Z493">
        <f>Z492+IF(W493="",0,IF(ISNA(MATCH(W493,W$256:W492,0)),1,0))</f>
        <v/>
      </c>
      <c r="AA493">
        <f>IF(Z493&gt;Z492,Z493,"")</f>
        <v/>
      </c>
      <c r="AB493">
        <f>AB492+IF(X493="",0,IF(ISNA(MATCH(X493,X$256:X492,0)),1,0))</f>
        <v/>
      </c>
      <c r="AC493">
        <f>IF(AB493&gt;AB492,AB493,"")</f>
        <v/>
      </c>
    </row>
    <row r="494">
      <c r="W494" s="7" t="n"/>
      <c r="X494" s="7" t="n"/>
      <c r="Z494">
        <f>Z493+IF(W494="",0,IF(ISNA(MATCH(W494,W$256:W493,0)),1,0))</f>
        <v/>
      </c>
      <c r="AA494">
        <f>IF(Z494&gt;Z493,Z494,"")</f>
        <v/>
      </c>
      <c r="AB494">
        <f>AB493+IF(X494="",0,IF(ISNA(MATCH(X494,X$256:X493,0)),1,0))</f>
        <v/>
      </c>
      <c r="AC494">
        <f>IF(AB494&gt;AB493,AB494,"")</f>
        <v/>
      </c>
    </row>
    <row r="495">
      <c r="W495" s="7" t="n"/>
      <c r="X495" s="7" t="n"/>
      <c r="Z495">
        <f>Z494+IF(W495="",0,IF(ISNA(MATCH(W495,W$256:W494,0)),1,0))</f>
        <v/>
      </c>
      <c r="AA495">
        <f>IF(Z495&gt;Z494,Z495,"")</f>
        <v/>
      </c>
      <c r="AB495">
        <f>AB494+IF(X495="",0,IF(ISNA(MATCH(X495,X$256:X494,0)),1,0))</f>
        <v/>
      </c>
      <c r="AC495">
        <f>IF(AB495&gt;AB494,AB495,"")</f>
        <v/>
      </c>
    </row>
    <row r="496">
      <c r="W496" s="7" t="n"/>
      <c r="X496" s="7" t="n"/>
      <c r="Z496">
        <f>Z495+IF(W496="",0,IF(ISNA(MATCH(W496,W$256:W495,0)),1,0))</f>
        <v/>
      </c>
      <c r="AA496">
        <f>IF(Z496&gt;Z495,Z496,"")</f>
        <v/>
      </c>
      <c r="AB496">
        <f>AB495+IF(X496="",0,IF(ISNA(MATCH(X496,X$256:X495,0)),1,0))</f>
        <v/>
      </c>
      <c r="AC496">
        <f>IF(AB496&gt;AB495,AB496,"")</f>
        <v/>
      </c>
    </row>
    <row r="497">
      <c r="W497" s="7" t="n"/>
      <c r="X497" s="7" t="n"/>
      <c r="Z497">
        <f>Z496+IF(W497="",0,IF(ISNA(MATCH(W497,W$256:W496,0)),1,0))</f>
        <v/>
      </c>
      <c r="AA497">
        <f>IF(Z497&gt;Z496,Z497,"")</f>
        <v/>
      </c>
      <c r="AB497">
        <f>AB496+IF(X497="",0,IF(ISNA(MATCH(X497,X$256:X496,0)),1,0))</f>
        <v/>
      </c>
      <c r="AC497">
        <f>IF(AB497&gt;AB496,AB497,"")</f>
        <v/>
      </c>
    </row>
    <row r="498">
      <c r="W498" s="7" t="n"/>
      <c r="X498" s="7" t="n"/>
      <c r="Z498">
        <f>Z497+IF(W498="",0,IF(ISNA(MATCH(W498,W$256:W497,0)),1,0))</f>
        <v/>
      </c>
      <c r="AA498">
        <f>IF(Z498&gt;Z497,Z498,"")</f>
        <v/>
      </c>
      <c r="AB498">
        <f>AB497+IF(X498="",0,IF(ISNA(MATCH(X498,X$256:X497,0)),1,0))</f>
        <v/>
      </c>
      <c r="AC498">
        <f>IF(AB498&gt;AB497,AB498,"")</f>
        <v/>
      </c>
    </row>
    <row r="499">
      <c r="W499" s="7" t="n"/>
      <c r="X499" s="7" t="n"/>
      <c r="Z499">
        <f>Z498+IF(W499="",0,IF(ISNA(MATCH(W499,W$256:W498,0)),1,0))</f>
        <v/>
      </c>
      <c r="AA499">
        <f>IF(Z499&gt;Z498,Z499,"")</f>
        <v/>
      </c>
      <c r="AB499">
        <f>AB498+IF(X499="",0,IF(ISNA(MATCH(X499,X$256:X498,0)),1,0))</f>
        <v/>
      </c>
      <c r="AC499">
        <f>IF(AB499&gt;AB498,AB499,"")</f>
        <v/>
      </c>
    </row>
    <row r="500">
      <c r="W500" s="7" t="n"/>
      <c r="X500" s="7" t="n"/>
      <c r="Z500">
        <f>Z499+IF(W500="",0,IF(ISNA(MATCH(W500,W$256:W499,0)),1,0))</f>
        <v/>
      </c>
      <c r="AA500">
        <f>IF(Z500&gt;Z499,Z500,"")</f>
        <v/>
      </c>
      <c r="AB500">
        <f>AB499+IF(X500="",0,IF(ISNA(MATCH(X500,X$256:X499,0)),1,0))</f>
        <v/>
      </c>
      <c r="AC500">
        <f>IF(AB500&gt;AB499,AB500,"")</f>
        <v/>
      </c>
    </row>
    <row r="501">
      <c r="W501" s="7" t="n"/>
      <c r="X501" s="7" t="n"/>
      <c r="Z501">
        <f>Z500+IF(W501="",0,IF(ISNA(MATCH(W501,W$256:W500,0)),1,0))</f>
        <v/>
      </c>
      <c r="AA501">
        <f>IF(Z501&gt;Z500,Z501,"")</f>
        <v/>
      </c>
      <c r="AB501">
        <f>AB500+IF(X501="",0,IF(ISNA(MATCH(X501,X$256:X500,0)),1,0))</f>
        <v/>
      </c>
      <c r="AC501">
        <f>IF(AB501&gt;AB500,AB501,"")</f>
        <v/>
      </c>
    </row>
    <row r="502">
      <c r="W502" s="7" t="n"/>
      <c r="X502" s="7" t="n"/>
      <c r="Z502">
        <f>Z501+IF(W502="",0,IF(ISNA(MATCH(W502,W$256:W501,0)),1,0))</f>
        <v/>
      </c>
      <c r="AA502">
        <f>IF(Z502&gt;Z501,Z502,"")</f>
        <v/>
      </c>
      <c r="AB502">
        <f>AB501+IF(X502="",0,IF(ISNA(MATCH(X502,X$256:X501,0)),1,0))</f>
        <v/>
      </c>
      <c r="AC502">
        <f>IF(AB502&gt;AB501,AB502,"")</f>
        <v/>
      </c>
    </row>
    <row r="503">
      <c r="W503" s="7" t="n"/>
      <c r="X503" s="7" t="n"/>
      <c r="Z503">
        <f>Z502+IF(W503="",0,IF(ISNA(MATCH(W503,W$256:W502,0)),1,0))</f>
        <v/>
      </c>
      <c r="AA503">
        <f>IF(Z503&gt;Z502,Z503,"")</f>
        <v/>
      </c>
      <c r="AB503">
        <f>AB502+IF(X503="",0,IF(ISNA(MATCH(X503,X$256:X502,0)),1,0))</f>
        <v/>
      </c>
      <c r="AC503">
        <f>IF(AB503&gt;AB502,AB503,"")</f>
        <v/>
      </c>
    </row>
    <row r="504">
      <c r="W504" s="7" t="n"/>
      <c r="X504" s="7" t="n"/>
      <c r="Z504">
        <f>Z503+IF(W504="",0,IF(ISNA(MATCH(W504,W$256:W503,0)),1,0))</f>
        <v/>
      </c>
      <c r="AA504">
        <f>IF(Z504&gt;Z503,Z504,"")</f>
        <v/>
      </c>
      <c r="AB504">
        <f>AB503+IF(X504="",0,IF(ISNA(MATCH(X504,X$256:X503,0)),1,0))</f>
        <v/>
      </c>
      <c r="AC504">
        <f>IF(AB504&gt;AB503,AB504,"")</f>
        <v/>
      </c>
    </row>
    <row r="505">
      <c r="W505" s="7" t="n"/>
      <c r="X505" s="7" t="n"/>
      <c r="Z505">
        <f>Z504+IF(W505="",0,IF(ISNA(MATCH(W505,W$256:W504,0)),1,0))</f>
        <v/>
      </c>
      <c r="AA505">
        <f>IF(Z505&gt;Z504,Z505,"")</f>
        <v/>
      </c>
      <c r="AB505">
        <f>AB504+IF(X505="",0,IF(ISNA(MATCH(X505,X$256:X504,0)),1,0))</f>
        <v/>
      </c>
      <c r="AC505">
        <f>IF(AB505&gt;AB504,AB505,"")</f>
        <v/>
      </c>
    </row>
    <row r="506">
      <c r="W506" s="7" t="n"/>
      <c r="X506" s="7" t="n"/>
      <c r="Z506">
        <f>Z505+IF(W506="",0,IF(ISNA(MATCH(W506,W$256:W505,0)),1,0))</f>
        <v/>
      </c>
      <c r="AA506">
        <f>IF(Z506&gt;Z505,Z506,"")</f>
        <v/>
      </c>
      <c r="AB506">
        <f>AB505+IF(X506="",0,IF(ISNA(MATCH(X506,X$256:X505,0)),1,0))</f>
        <v/>
      </c>
      <c r="AC506">
        <f>IF(AB506&gt;AB505,AB506,"")</f>
        <v/>
      </c>
    </row>
    <row r="507">
      <c r="W507" s="7" t="n"/>
      <c r="X507" s="7" t="n"/>
      <c r="Z507">
        <f>Z506+IF(W507="",0,IF(ISNA(MATCH(W507,W$256:W506,0)),1,0))</f>
        <v/>
      </c>
      <c r="AA507">
        <f>IF(Z507&gt;Z506,Z507,"")</f>
        <v/>
      </c>
      <c r="AB507">
        <f>AB506+IF(X507="",0,IF(ISNA(MATCH(X507,X$256:X506,0)),1,0))</f>
        <v/>
      </c>
      <c r="AC507">
        <f>IF(AB507&gt;AB506,AB507,"")</f>
        <v/>
      </c>
    </row>
    <row r="508">
      <c r="W508" s="7" t="n"/>
      <c r="X508" s="7" t="n"/>
      <c r="Z508">
        <f>Z507+IF(W508="",0,IF(ISNA(MATCH(W508,W$256:W507,0)),1,0))</f>
        <v/>
      </c>
      <c r="AA508">
        <f>IF(Z508&gt;Z507,Z508,"")</f>
        <v/>
      </c>
      <c r="AB508">
        <f>AB507+IF(X508="",0,IF(ISNA(MATCH(X508,X$256:X507,0)),1,0))</f>
        <v/>
      </c>
      <c r="AC508">
        <f>IF(AB508&gt;AB507,AB508,"")</f>
        <v/>
      </c>
    </row>
    <row r="509">
      <c r="W509" s="7" t="n"/>
      <c r="X509" s="7" t="n"/>
      <c r="Z509">
        <f>Z508+IF(W509="",0,IF(ISNA(MATCH(W509,W$256:W508,0)),1,0))</f>
        <v/>
      </c>
      <c r="AA509">
        <f>IF(Z509&gt;Z508,Z509,"")</f>
        <v/>
      </c>
      <c r="AB509">
        <f>AB508+IF(X509="",0,IF(ISNA(MATCH(X509,X$256:X508,0)),1,0))</f>
        <v/>
      </c>
      <c r="AC509">
        <f>IF(AB509&gt;AB508,AB509,"")</f>
        <v/>
      </c>
    </row>
    <row r="510">
      <c r="W510" s="7" t="n"/>
      <c r="X510" s="7" t="n"/>
      <c r="Z510">
        <f>Z509+IF(W510="",0,IF(ISNA(MATCH(W510,W$256:W509,0)),1,0))</f>
        <v/>
      </c>
      <c r="AA510">
        <f>IF(Z510&gt;Z509,Z510,"")</f>
        <v/>
      </c>
      <c r="AB510">
        <f>AB509+IF(X510="",0,IF(ISNA(MATCH(X510,X$256:X509,0)),1,0))</f>
        <v/>
      </c>
      <c r="AC510">
        <f>IF(AB510&gt;AB509,AB510,"")</f>
        <v/>
      </c>
    </row>
    <row r="511">
      <c r="W511" s="7" t="n"/>
      <c r="X511" s="7" t="n"/>
      <c r="Z511">
        <f>Z510+IF(W511="",0,IF(ISNA(MATCH(W511,W$256:W510,0)),1,0))</f>
        <v/>
      </c>
      <c r="AA511">
        <f>IF(Z511&gt;Z510,Z511,"")</f>
        <v/>
      </c>
      <c r="AB511">
        <f>AB510+IF(X511="",0,IF(ISNA(MATCH(X511,X$256:X510,0)),1,0))</f>
        <v/>
      </c>
      <c r="AC511">
        <f>IF(AB511&gt;AB510,AB511,"")</f>
        <v/>
      </c>
    </row>
    <row r="512">
      <c r="W512" s="7" t="n"/>
      <c r="X512" s="7" t="n"/>
      <c r="Z512">
        <f>Z511+IF(W512="",0,IF(ISNA(MATCH(W512,W$256:W511,0)),1,0))</f>
        <v/>
      </c>
      <c r="AA512">
        <f>IF(Z512&gt;Z511,Z512,"")</f>
        <v/>
      </c>
      <c r="AB512">
        <f>AB511+IF(X512="",0,IF(ISNA(MATCH(X512,X$256:X511,0)),1,0))</f>
        <v/>
      </c>
      <c r="AC512">
        <f>IF(AB512&gt;AB511,AB512,"")</f>
        <v/>
      </c>
    </row>
    <row r="513">
      <c r="W513" s="7" t="n"/>
      <c r="X513" s="7" t="n"/>
      <c r="Z513">
        <f>Z512+IF(W513="",0,IF(ISNA(MATCH(W513,W$256:W512,0)),1,0))</f>
        <v/>
      </c>
      <c r="AA513">
        <f>IF(Z513&gt;Z512,Z513,"")</f>
        <v/>
      </c>
      <c r="AB513">
        <f>AB512+IF(X513="",0,IF(ISNA(MATCH(X513,X$256:X512,0)),1,0))</f>
        <v/>
      </c>
      <c r="AC513">
        <f>IF(AB513&gt;AB512,AB513,"")</f>
        <v/>
      </c>
    </row>
    <row r="514">
      <c r="W514" s="7" t="n"/>
      <c r="X514" s="7" t="n"/>
      <c r="Z514">
        <f>Z513+IF(W514="",0,IF(ISNA(MATCH(W514,W$256:W513,0)),1,0))</f>
        <v/>
      </c>
      <c r="AA514">
        <f>IF(Z514&gt;Z513,Z514,"")</f>
        <v/>
      </c>
      <c r="AB514">
        <f>AB513+IF(X514="",0,IF(ISNA(MATCH(X514,X$256:X513,0)),1,0))</f>
        <v/>
      </c>
      <c r="AC514">
        <f>IF(AB514&gt;AB513,AB514,"")</f>
        <v/>
      </c>
    </row>
    <row r="515">
      <c r="W515" s="7" t="n"/>
      <c r="X515" s="7" t="n"/>
      <c r="Z515">
        <f>Z514+IF(W515="",0,IF(ISNA(MATCH(W515,W$256:W514,0)),1,0))</f>
        <v/>
      </c>
      <c r="AA515">
        <f>IF(Z515&gt;Z514,Z515,"")</f>
        <v/>
      </c>
      <c r="AB515">
        <f>AB514+IF(X515="",0,IF(ISNA(MATCH(X515,X$256:X514,0)),1,0))</f>
        <v/>
      </c>
      <c r="AC515">
        <f>IF(AB515&gt;AB514,AB515,"")</f>
        <v/>
      </c>
    </row>
    <row r="516">
      <c r="W516" s="7" t="n"/>
      <c r="X516" s="7" t="n"/>
      <c r="Z516">
        <f>Z515+IF(W516="",0,IF(ISNA(MATCH(W516,W$256:W515,0)),1,0))</f>
        <v/>
      </c>
      <c r="AA516">
        <f>IF(Z516&gt;Z515,Z516,"")</f>
        <v/>
      </c>
      <c r="AB516">
        <f>AB515+IF(X516="",0,IF(ISNA(MATCH(X516,X$256:X515,0)),1,0))</f>
        <v/>
      </c>
      <c r="AC516">
        <f>IF(AB516&gt;AB515,AB516,"")</f>
        <v/>
      </c>
    </row>
    <row r="517">
      <c r="W517" s="7" t="n"/>
      <c r="X517" s="7" t="n"/>
      <c r="Z517">
        <f>Z516+IF(W517="",0,IF(ISNA(MATCH(W517,W$256:W516,0)),1,0))</f>
        <v/>
      </c>
      <c r="AA517">
        <f>IF(Z517&gt;Z516,Z517,"")</f>
        <v/>
      </c>
      <c r="AB517">
        <f>AB516+IF(X517="",0,IF(ISNA(MATCH(X517,X$256:X516,0)),1,0))</f>
        <v/>
      </c>
      <c r="AC517">
        <f>IF(AB517&gt;AB516,AB517,"")</f>
        <v/>
      </c>
    </row>
    <row r="518">
      <c r="W518" s="7" t="n"/>
      <c r="X518" s="7" t="n"/>
      <c r="Z518">
        <f>Z517+IF(W518="",0,IF(ISNA(MATCH(W518,W$256:W517,0)),1,0))</f>
        <v/>
      </c>
      <c r="AA518">
        <f>IF(Z518&gt;Z517,Z518,"")</f>
        <v/>
      </c>
      <c r="AB518">
        <f>AB517+IF(X518="",0,IF(ISNA(MATCH(X518,X$256:X517,0)),1,0))</f>
        <v/>
      </c>
      <c r="AC518">
        <f>IF(AB518&gt;AB517,AB518,"")</f>
        <v/>
      </c>
    </row>
    <row r="519">
      <c r="W519" s="7" t="n"/>
      <c r="X519" s="7" t="n"/>
      <c r="Z519">
        <f>Z518+IF(W519="",0,IF(ISNA(MATCH(W519,W$256:W518,0)),1,0))</f>
        <v/>
      </c>
      <c r="AA519">
        <f>IF(Z519&gt;Z518,Z519,"")</f>
        <v/>
      </c>
      <c r="AB519">
        <f>AB518+IF(X519="",0,IF(ISNA(MATCH(X519,X$256:X518,0)),1,0))</f>
        <v/>
      </c>
      <c r="AC519">
        <f>IF(AB519&gt;AB518,AB519,"")</f>
        <v/>
      </c>
    </row>
    <row r="520">
      <c r="W520" s="7" t="n"/>
      <c r="X520" s="7" t="n"/>
      <c r="Z520">
        <f>Z519+IF(W520="",0,IF(ISNA(MATCH(W520,W$256:W519,0)),1,0))</f>
        <v/>
      </c>
      <c r="AA520">
        <f>IF(Z520&gt;Z519,Z520,"")</f>
        <v/>
      </c>
      <c r="AB520">
        <f>AB519+IF(X520="",0,IF(ISNA(MATCH(X520,X$256:X519,0)),1,0))</f>
        <v/>
      </c>
      <c r="AC520">
        <f>IF(AB520&gt;AB519,AB520,"")</f>
        <v/>
      </c>
    </row>
    <row r="521">
      <c r="W521" s="7" t="n"/>
      <c r="X521" s="7" t="n"/>
      <c r="Z521">
        <f>Z520+IF(W521="",0,IF(ISNA(MATCH(W521,W$256:W520,0)),1,0))</f>
        <v/>
      </c>
      <c r="AA521">
        <f>IF(Z521&gt;Z520,Z521,"")</f>
        <v/>
      </c>
      <c r="AB521">
        <f>AB520+IF(X521="",0,IF(ISNA(MATCH(X521,X$256:X520,0)),1,0))</f>
        <v/>
      </c>
      <c r="AC521">
        <f>IF(AB521&gt;AB520,AB521,"")</f>
        <v/>
      </c>
    </row>
    <row r="522">
      <c r="W522" s="7" t="n"/>
      <c r="X522" s="7" t="n"/>
      <c r="Z522">
        <f>Z521+IF(W522="",0,IF(ISNA(MATCH(W522,W$256:W521,0)),1,0))</f>
        <v/>
      </c>
      <c r="AA522">
        <f>IF(Z522&gt;Z521,Z522,"")</f>
        <v/>
      </c>
      <c r="AB522">
        <f>AB521+IF(X522="",0,IF(ISNA(MATCH(X522,X$256:X521,0)),1,0))</f>
        <v/>
      </c>
      <c r="AC522">
        <f>IF(AB522&gt;AB521,AB522,"")</f>
        <v/>
      </c>
    </row>
    <row r="523">
      <c r="W523" s="7" t="n"/>
      <c r="X523" s="7" t="n"/>
      <c r="Z523">
        <f>Z522+IF(W523="",0,IF(ISNA(MATCH(W523,W$256:W522,0)),1,0))</f>
        <v/>
      </c>
      <c r="AA523">
        <f>IF(Z523&gt;Z522,Z523,"")</f>
        <v/>
      </c>
      <c r="AB523">
        <f>AB522+IF(X523="",0,IF(ISNA(MATCH(X523,X$256:X522,0)),1,0))</f>
        <v/>
      </c>
      <c r="AC523">
        <f>IF(AB523&gt;AB522,AB523,"")</f>
        <v/>
      </c>
    </row>
    <row r="524">
      <c r="W524" s="7" t="n"/>
      <c r="X524" s="7" t="n"/>
      <c r="Z524">
        <f>Z523+IF(W524="",0,IF(ISNA(MATCH(W524,W$256:W523,0)),1,0))</f>
        <v/>
      </c>
      <c r="AA524">
        <f>IF(Z524&gt;Z523,Z524,"")</f>
        <v/>
      </c>
      <c r="AB524">
        <f>AB523+IF(X524="",0,IF(ISNA(MATCH(X524,X$256:X523,0)),1,0))</f>
        <v/>
      </c>
      <c r="AC524">
        <f>IF(AB524&gt;AB523,AB524,"")</f>
        <v/>
      </c>
    </row>
    <row r="525">
      <c r="W525" s="7" t="n"/>
      <c r="X525" s="7" t="n"/>
      <c r="Z525">
        <f>Z524+IF(W525="",0,IF(ISNA(MATCH(W525,W$256:W524,0)),1,0))</f>
        <v/>
      </c>
      <c r="AA525">
        <f>IF(Z525&gt;Z524,Z525,"")</f>
        <v/>
      </c>
      <c r="AB525">
        <f>AB524+IF(X525="",0,IF(ISNA(MATCH(X525,X$256:X524,0)),1,0))</f>
        <v/>
      </c>
      <c r="AC525">
        <f>IF(AB525&gt;AB524,AB525,"")</f>
        <v/>
      </c>
    </row>
    <row r="526">
      <c r="W526" s="7" t="n"/>
      <c r="X526" s="7" t="n"/>
      <c r="Z526">
        <f>Z525+IF(W526="",0,IF(ISNA(MATCH(W526,W$256:W525,0)),1,0))</f>
        <v/>
      </c>
      <c r="AA526">
        <f>IF(Z526&gt;Z525,Z526,"")</f>
        <v/>
      </c>
      <c r="AB526">
        <f>AB525+IF(X526="",0,IF(ISNA(MATCH(X526,X$256:X525,0)),1,0))</f>
        <v/>
      </c>
      <c r="AC526">
        <f>IF(AB526&gt;AB525,AB526,"")</f>
        <v/>
      </c>
    </row>
    <row r="527">
      <c r="W527" s="7" t="n"/>
      <c r="X527" s="7" t="n"/>
      <c r="Z527">
        <f>Z526+IF(W527="",0,IF(ISNA(MATCH(W527,W$256:W526,0)),1,0))</f>
        <v/>
      </c>
      <c r="AA527">
        <f>IF(Z527&gt;Z526,Z527,"")</f>
        <v/>
      </c>
      <c r="AB527">
        <f>AB526+IF(X527="",0,IF(ISNA(MATCH(X527,X$256:X526,0)),1,0))</f>
        <v/>
      </c>
      <c r="AC527">
        <f>IF(AB527&gt;AB526,AB527,"")</f>
        <v/>
      </c>
    </row>
    <row r="528">
      <c r="W528" s="7" t="n"/>
      <c r="X528" s="7" t="n"/>
      <c r="Z528">
        <f>Z527+IF(W528="",0,IF(ISNA(MATCH(W528,W$256:W527,0)),1,0))</f>
        <v/>
      </c>
      <c r="AA528">
        <f>IF(Z528&gt;Z527,Z528,"")</f>
        <v/>
      </c>
      <c r="AB528">
        <f>AB527+IF(X528="",0,IF(ISNA(MATCH(X528,X$256:X527,0)),1,0))</f>
        <v/>
      </c>
      <c r="AC528">
        <f>IF(AB528&gt;AB527,AB528,"")</f>
        <v/>
      </c>
    </row>
    <row r="529">
      <c r="W529" s="7" t="n"/>
      <c r="X529" s="7" t="n"/>
      <c r="Z529">
        <f>Z528+IF(W529="",0,IF(ISNA(MATCH(W529,W$256:W528,0)),1,0))</f>
        <v/>
      </c>
      <c r="AA529">
        <f>IF(Z529&gt;Z528,Z529,"")</f>
        <v/>
      </c>
      <c r="AB529">
        <f>AB528+IF(X529="",0,IF(ISNA(MATCH(X529,X$256:X528,0)),1,0))</f>
        <v/>
      </c>
      <c r="AC529">
        <f>IF(AB529&gt;AB528,AB529,"")</f>
        <v/>
      </c>
    </row>
    <row r="530">
      <c r="W530" s="7" t="n"/>
      <c r="X530" s="7" t="n"/>
      <c r="Z530">
        <f>Z529+IF(W530="",0,IF(ISNA(MATCH(W530,W$256:W529,0)),1,0))</f>
        <v/>
      </c>
      <c r="AA530">
        <f>IF(Z530&gt;Z529,Z530,"")</f>
        <v/>
      </c>
      <c r="AB530">
        <f>AB529+IF(X530="",0,IF(ISNA(MATCH(X530,X$256:X529,0)),1,0))</f>
        <v/>
      </c>
      <c r="AC530">
        <f>IF(AB530&gt;AB529,AB530,"")</f>
        <v/>
      </c>
    </row>
    <row r="531">
      <c r="W531" s="7" t="n"/>
      <c r="X531" s="7" t="n"/>
      <c r="Z531">
        <f>Z530+IF(W531="",0,IF(ISNA(MATCH(W531,W$256:W530,0)),1,0))</f>
        <v/>
      </c>
      <c r="AA531">
        <f>IF(Z531&gt;Z530,Z531,"")</f>
        <v/>
      </c>
      <c r="AB531">
        <f>AB530+IF(X531="",0,IF(ISNA(MATCH(X531,X$256:X530,0)),1,0))</f>
        <v/>
      </c>
      <c r="AC531">
        <f>IF(AB531&gt;AB530,AB531,"")</f>
        <v/>
      </c>
    </row>
    <row r="532">
      <c r="W532" s="7" t="n"/>
      <c r="X532" s="7" t="n"/>
      <c r="Z532">
        <f>Z531+IF(W532="",0,IF(ISNA(MATCH(W532,W$256:W531,0)),1,0))</f>
        <v/>
      </c>
      <c r="AA532">
        <f>IF(Z532&gt;Z531,Z532,"")</f>
        <v/>
      </c>
      <c r="AB532">
        <f>AB531+IF(X532="",0,IF(ISNA(MATCH(X532,X$256:X531,0)),1,0))</f>
        <v/>
      </c>
      <c r="AC532">
        <f>IF(AB532&gt;AB531,AB532,"")</f>
        <v/>
      </c>
    </row>
    <row r="533">
      <c r="W533" s="7" t="n"/>
      <c r="X533" s="7" t="n"/>
      <c r="Z533">
        <f>Z532+IF(W533="",0,IF(ISNA(MATCH(W533,W$256:W532,0)),1,0))</f>
        <v/>
      </c>
      <c r="AA533">
        <f>IF(Z533&gt;Z532,Z533,"")</f>
        <v/>
      </c>
      <c r="AB533">
        <f>AB532+IF(X533="",0,IF(ISNA(MATCH(X533,X$256:X532,0)),1,0))</f>
        <v/>
      </c>
      <c r="AC533">
        <f>IF(AB533&gt;AB532,AB533,"")</f>
        <v/>
      </c>
    </row>
    <row r="534">
      <c r="W534" s="7" t="n"/>
      <c r="X534" s="7" t="n"/>
      <c r="Z534">
        <f>Z533+IF(W534="",0,IF(ISNA(MATCH(W534,W$256:W533,0)),1,0))</f>
        <v/>
      </c>
      <c r="AA534">
        <f>IF(Z534&gt;Z533,Z534,"")</f>
        <v/>
      </c>
      <c r="AB534">
        <f>AB533+IF(X534="",0,IF(ISNA(MATCH(X534,X$256:X533,0)),1,0))</f>
        <v/>
      </c>
      <c r="AC534">
        <f>IF(AB534&gt;AB533,AB534,"")</f>
        <v/>
      </c>
    </row>
    <row r="535">
      <c r="W535" s="7" t="n"/>
      <c r="X535" s="7" t="n"/>
      <c r="Z535">
        <f>Z534+IF(W535="",0,IF(ISNA(MATCH(W535,W$256:W534,0)),1,0))</f>
        <v/>
      </c>
      <c r="AA535">
        <f>IF(Z535&gt;Z534,Z535,"")</f>
        <v/>
      </c>
      <c r="AB535">
        <f>AB534+IF(X535="",0,IF(ISNA(MATCH(X535,X$256:X534,0)),1,0))</f>
        <v/>
      </c>
      <c r="AC535">
        <f>IF(AB535&gt;AB534,AB535,"")</f>
        <v/>
      </c>
    </row>
    <row r="536">
      <c r="W536" s="7" t="n"/>
      <c r="X536" s="7" t="n"/>
      <c r="Z536">
        <f>Z535+IF(W536="",0,IF(ISNA(MATCH(W536,W$256:W535,0)),1,0))</f>
        <v/>
      </c>
      <c r="AA536">
        <f>IF(Z536&gt;Z535,Z536,"")</f>
        <v/>
      </c>
      <c r="AB536">
        <f>AB535+IF(X536="",0,IF(ISNA(MATCH(X536,X$256:X535,0)),1,0))</f>
        <v/>
      </c>
      <c r="AC536">
        <f>IF(AB536&gt;AB535,AB536,"")</f>
        <v/>
      </c>
    </row>
    <row r="537">
      <c r="W537" s="7" t="n"/>
      <c r="X537" s="7" t="n"/>
      <c r="Z537">
        <f>Z536+IF(W537="",0,IF(ISNA(MATCH(W537,W$256:W536,0)),1,0))</f>
        <v/>
      </c>
      <c r="AA537">
        <f>IF(Z537&gt;Z536,Z537,"")</f>
        <v/>
      </c>
      <c r="AB537">
        <f>AB536+IF(X537="",0,IF(ISNA(MATCH(X537,X$256:X536,0)),1,0))</f>
        <v/>
      </c>
      <c r="AC537">
        <f>IF(AB537&gt;AB536,AB537,"")</f>
        <v/>
      </c>
    </row>
    <row r="538">
      <c r="W538" s="7" t="n"/>
      <c r="X538" s="7" t="n"/>
      <c r="Z538">
        <f>Z537+IF(W538="",0,IF(ISNA(MATCH(W538,W$256:W537,0)),1,0))</f>
        <v/>
      </c>
      <c r="AA538">
        <f>IF(Z538&gt;Z537,Z538,"")</f>
        <v/>
      </c>
      <c r="AB538">
        <f>AB537+IF(X538="",0,IF(ISNA(MATCH(X538,X$256:X537,0)),1,0))</f>
        <v/>
      </c>
      <c r="AC538">
        <f>IF(AB538&gt;AB537,AB538,"")</f>
        <v/>
      </c>
    </row>
    <row r="539">
      <c r="W539" s="7" t="n"/>
      <c r="X539" s="7" t="n"/>
      <c r="Z539">
        <f>Z538+IF(W539="",0,IF(ISNA(MATCH(W539,W$256:W538,0)),1,0))</f>
        <v/>
      </c>
      <c r="AA539">
        <f>IF(Z539&gt;Z538,Z539,"")</f>
        <v/>
      </c>
      <c r="AB539">
        <f>AB538+IF(X539="",0,IF(ISNA(MATCH(X539,X$256:X538,0)),1,0))</f>
        <v/>
      </c>
      <c r="AC539">
        <f>IF(AB539&gt;AB538,AB539,"")</f>
        <v/>
      </c>
    </row>
    <row r="540">
      <c r="W540" s="7" t="n"/>
      <c r="X540" s="7" t="n"/>
      <c r="Z540">
        <f>Z539+IF(W540="",0,IF(ISNA(MATCH(W540,W$256:W539,0)),1,0))</f>
        <v/>
      </c>
      <c r="AA540">
        <f>IF(Z540&gt;Z539,Z540,"")</f>
        <v/>
      </c>
      <c r="AB540">
        <f>AB539+IF(X540="",0,IF(ISNA(MATCH(X540,X$256:X539,0)),1,0))</f>
        <v/>
      </c>
      <c r="AC540">
        <f>IF(AB540&gt;AB539,AB540,"")</f>
        <v/>
      </c>
    </row>
    <row r="541">
      <c r="W541" s="7" t="n"/>
      <c r="X541" s="7" t="n"/>
      <c r="Z541">
        <f>Z540+IF(W541="",0,IF(ISNA(MATCH(W541,W$256:W540,0)),1,0))</f>
        <v/>
      </c>
      <c r="AA541">
        <f>IF(Z541&gt;Z540,Z541,"")</f>
        <v/>
      </c>
      <c r="AB541">
        <f>AB540+IF(X541="",0,IF(ISNA(MATCH(X541,X$256:X540,0)),1,0))</f>
        <v/>
      </c>
      <c r="AC541">
        <f>IF(AB541&gt;AB540,AB541,"")</f>
        <v/>
      </c>
    </row>
    <row r="542">
      <c r="W542" s="7" t="n"/>
      <c r="X542" s="7" t="n"/>
      <c r="Z542">
        <f>Z541+IF(W542="",0,IF(ISNA(MATCH(W542,W$256:W541,0)),1,0))</f>
        <v/>
      </c>
      <c r="AA542">
        <f>IF(Z542&gt;Z541,Z542,"")</f>
        <v/>
      </c>
      <c r="AB542">
        <f>AB541+IF(X542="",0,IF(ISNA(MATCH(X542,X$256:X541,0)),1,0))</f>
        <v/>
      </c>
      <c r="AC542">
        <f>IF(AB542&gt;AB541,AB542,"")</f>
        <v/>
      </c>
    </row>
    <row r="543">
      <c r="W543" s="7" t="n"/>
      <c r="X543" s="7" t="n"/>
      <c r="Z543">
        <f>Z542+IF(W543="",0,IF(ISNA(MATCH(W543,W$256:W542,0)),1,0))</f>
        <v/>
      </c>
      <c r="AA543">
        <f>IF(Z543&gt;Z542,Z543,"")</f>
        <v/>
      </c>
      <c r="AB543">
        <f>AB542+IF(X543="",0,IF(ISNA(MATCH(X543,X$256:X542,0)),1,0))</f>
        <v/>
      </c>
      <c r="AC543">
        <f>IF(AB543&gt;AB542,AB543,"")</f>
        <v/>
      </c>
    </row>
    <row r="544">
      <c r="W544" s="7" t="n"/>
      <c r="X544" s="7" t="n"/>
      <c r="Z544">
        <f>Z543+IF(W544="",0,IF(ISNA(MATCH(W544,W$256:W543,0)),1,0))</f>
        <v/>
      </c>
      <c r="AA544">
        <f>IF(Z544&gt;Z543,Z544,"")</f>
        <v/>
      </c>
      <c r="AB544">
        <f>AB543+IF(X544="",0,IF(ISNA(MATCH(X544,X$256:X543,0)),1,0))</f>
        <v/>
      </c>
      <c r="AC544">
        <f>IF(AB544&gt;AB543,AB544,"")</f>
        <v/>
      </c>
    </row>
    <row r="545">
      <c r="W545" s="7" t="n"/>
      <c r="X545" s="7" t="n"/>
      <c r="Z545">
        <f>Z544+IF(W545="",0,IF(ISNA(MATCH(W545,W$256:W544,0)),1,0))</f>
        <v/>
      </c>
      <c r="AA545">
        <f>IF(Z545&gt;Z544,Z545,"")</f>
        <v/>
      </c>
      <c r="AB545">
        <f>AB544+IF(X545="",0,IF(ISNA(MATCH(X545,X$256:X544,0)),1,0))</f>
        <v/>
      </c>
      <c r="AC545">
        <f>IF(AB545&gt;AB544,AB545,"")</f>
        <v/>
      </c>
    </row>
    <row r="546">
      <c r="W546" s="7" t="n"/>
      <c r="X546" s="7" t="n"/>
      <c r="Z546">
        <f>Z545+IF(W546="",0,IF(ISNA(MATCH(W546,W$256:W545,0)),1,0))</f>
        <v/>
      </c>
      <c r="AA546">
        <f>IF(Z546&gt;Z545,Z546,"")</f>
        <v/>
      </c>
      <c r="AB546">
        <f>AB545+IF(X546="",0,IF(ISNA(MATCH(X546,X$256:X545,0)),1,0))</f>
        <v/>
      </c>
      <c r="AC546">
        <f>IF(AB546&gt;AB545,AB546,"")</f>
        <v/>
      </c>
    </row>
    <row r="547">
      <c r="W547" s="7" t="n"/>
      <c r="X547" s="7" t="n"/>
      <c r="Z547">
        <f>Z546+IF(W547="",0,IF(ISNA(MATCH(W547,W$256:W546,0)),1,0))</f>
        <v/>
      </c>
      <c r="AA547">
        <f>IF(Z547&gt;Z546,Z547,"")</f>
        <v/>
      </c>
      <c r="AB547">
        <f>AB546+IF(X547="",0,IF(ISNA(MATCH(X547,X$256:X546,0)),1,0))</f>
        <v/>
      </c>
      <c r="AC547">
        <f>IF(AB547&gt;AB546,AB547,"")</f>
        <v/>
      </c>
    </row>
    <row r="548">
      <c r="W548" s="7" t="n"/>
      <c r="X548" s="7" t="n"/>
      <c r="Z548">
        <f>Z547+IF(W548="",0,IF(ISNA(MATCH(W548,W$256:W547,0)),1,0))</f>
        <v/>
      </c>
      <c r="AA548">
        <f>IF(Z548&gt;Z547,Z548,"")</f>
        <v/>
      </c>
      <c r="AB548">
        <f>AB547+IF(X548="",0,IF(ISNA(MATCH(X548,X$256:X547,0)),1,0))</f>
        <v/>
      </c>
      <c r="AC548">
        <f>IF(AB548&gt;AB547,AB548,"")</f>
        <v/>
      </c>
    </row>
    <row r="549">
      <c r="W549" s="7" t="n"/>
      <c r="X549" s="7" t="n"/>
      <c r="Z549">
        <f>Z548+IF(W549="",0,IF(ISNA(MATCH(W549,W$256:W548,0)),1,0))</f>
        <v/>
      </c>
      <c r="AA549">
        <f>IF(Z549&gt;Z548,Z549,"")</f>
        <v/>
      </c>
      <c r="AB549">
        <f>AB548+IF(X549="",0,IF(ISNA(MATCH(X549,X$256:X548,0)),1,0))</f>
        <v/>
      </c>
      <c r="AC549">
        <f>IF(AB549&gt;AB548,AB549,"")</f>
        <v/>
      </c>
    </row>
    <row r="550">
      <c r="W550" s="7" t="n"/>
      <c r="X550" s="7" t="n"/>
      <c r="Z550">
        <f>Z549+IF(W550="",0,IF(ISNA(MATCH(W550,W$256:W549,0)),1,0))</f>
        <v/>
      </c>
      <c r="AA550">
        <f>IF(Z550&gt;Z549,Z550,"")</f>
        <v/>
      </c>
      <c r="AB550">
        <f>AB549+IF(X550="",0,IF(ISNA(MATCH(X550,X$256:X549,0)),1,0))</f>
        <v/>
      </c>
      <c r="AC550">
        <f>IF(AB550&gt;AB549,AB550,"")</f>
        <v/>
      </c>
    </row>
    <row r="551">
      <c r="W551" s="7" t="n"/>
      <c r="X551" s="7" t="n"/>
      <c r="Z551">
        <f>Z550+IF(W551="",0,IF(ISNA(MATCH(W551,W$256:W550,0)),1,0))</f>
        <v/>
      </c>
      <c r="AA551">
        <f>IF(Z551&gt;Z550,Z551,"")</f>
        <v/>
      </c>
      <c r="AB551">
        <f>AB550+IF(X551="",0,IF(ISNA(MATCH(X551,X$256:X550,0)),1,0))</f>
        <v/>
      </c>
      <c r="AC551">
        <f>IF(AB551&gt;AB550,AB551,"")</f>
        <v/>
      </c>
    </row>
    <row r="552">
      <c r="W552" s="7" t="n"/>
      <c r="X552" s="7" t="n"/>
      <c r="Z552">
        <f>Z551+IF(W552="",0,IF(ISNA(MATCH(W552,W$256:W551,0)),1,0))</f>
        <v/>
      </c>
      <c r="AA552">
        <f>IF(Z552&gt;Z551,Z552,"")</f>
        <v/>
      </c>
      <c r="AB552">
        <f>AB551+IF(X552="",0,IF(ISNA(MATCH(X552,X$256:X551,0)),1,0))</f>
        <v/>
      </c>
      <c r="AC552">
        <f>IF(AB552&gt;AB551,AB552,"")</f>
        <v/>
      </c>
    </row>
    <row r="553">
      <c r="W553" s="7" t="n"/>
      <c r="X553" s="7" t="n"/>
      <c r="Z553">
        <f>Z552+IF(W553="",0,IF(ISNA(MATCH(W553,W$256:W552,0)),1,0))</f>
        <v/>
      </c>
      <c r="AA553">
        <f>IF(Z553&gt;Z552,Z553,"")</f>
        <v/>
      </c>
      <c r="AB553">
        <f>AB552+IF(X553="",0,IF(ISNA(MATCH(X553,X$256:X552,0)),1,0))</f>
        <v/>
      </c>
      <c r="AC553">
        <f>IF(AB553&gt;AB552,AB553,"")</f>
        <v/>
      </c>
    </row>
    <row r="554">
      <c r="W554" s="7" t="n"/>
      <c r="X554" s="7" t="n"/>
      <c r="Z554">
        <f>Z553+IF(W554="",0,IF(ISNA(MATCH(W554,W$256:W553,0)),1,0))</f>
        <v/>
      </c>
      <c r="AA554">
        <f>IF(Z554&gt;Z553,Z554,"")</f>
        <v/>
      </c>
      <c r="AB554">
        <f>AB553+IF(X554="",0,IF(ISNA(MATCH(X554,X$256:X553,0)),1,0))</f>
        <v/>
      </c>
      <c r="AC554">
        <f>IF(AB554&gt;AB553,AB554,"")</f>
        <v/>
      </c>
    </row>
    <row r="555">
      <c r="W555" s="7" t="n"/>
      <c r="X555" s="7" t="n"/>
      <c r="Z555">
        <f>Z554+IF(W555="",0,IF(ISNA(MATCH(W555,W$256:W554,0)),1,0))</f>
        <v/>
      </c>
      <c r="AA555">
        <f>IF(Z555&gt;Z554,Z555,"")</f>
        <v/>
      </c>
      <c r="AB555">
        <f>AB554+IF(X555="",0,IF(ISNA(MATCH(X555,X$256:X554,0)),1,0))</f>
        <v/>
      </c>
      <c r="AC555">
        <f>IF(AB555&gt;AB554,AB555,"")</f>
        <v/>
      </c>
    </row>
    <row r="556">
      <c r="W556" s="7" t="n"/>
      <c r="X556" s="7" t="n"/>
      <c r="Z556">
        <f>Z555+IF(W556="",0,IF(ISNA(MATCH(W556,W$256:W555,0)),1,0))</f>
        <v/>
      </c>
      <c r="AA556">
        <f>IF(Z556&gt;Z555,Z556,"")</f>
        <v/>
      </c>
      <c r="AB556">
        <f>AB555+IF(X556="",0,IF(ISNA(MATCH(X556,X$256:X555,0)),1,0))</f>
        <v/>
      </c>
      <c r="AC556">
        <f>IF(AB556&gt;AB555,AB556,"")</f>
        <v/>
      </c>
    </row>
    <row r="557">
      <c r="W557" s="7" t="n"/>
      <c r="X557" s="7" t="n"/>
      <c r="Z557">
        <f>Z556+IF(W557="",0,IF(ISNA(MATCH(W557,W$256:W556,0)),1,0))</f>
        <v/>
      </c>
      <c r="AA557">
        <f>IF(Z557&gt;Z556,Z557,"")</f>
        <v/>
      </c>
      <c r="AB557">
        <f>AB556+IF(X557="",0,IF(ISNA(MATCH(X557,X$256:X556,0)),1,0))</f>
        <v/>
      </c>
      <c r="AC557">
        <f>IF(AB557&gt;AB556,AB557,"")</f>
        <v/>
      </c>
    </row>
    <row r="558">
      <c r="W558" s="7" t="n"/>
      <c r="X558" s="7" t="n"/>
      <c r="Z558">
        <f>Z557+IF(W558="",0,IF(ISNA(MATCH(W558,W$256:W557,0)),1,0))</f>
        <v/>
      </c>
      <c r="AA558">
        <f>IF(Z558&gt;Z557,Z558,"")</f>
        <v/>
      </c>
      <c r="AB558">
        <f>AB557+IF(X558="",0,IF(ISNA(MATCH(X558,X$256:X557,0)),1,0))</f>
        <v/>
      </c>
      <c r="AC558">
        <f>IF(AB558&gt;AB557,AB558,"")</f>
        <v/>
      </c>
    </row>
    <row r="559">
      <c r="W559" s="7" t="n"/>
      <c r="X559" s="7" t="n"/>
      <c r="Z559">
        <f>Z558+IF(W559="",0,IF(ISNA(MATCH(W559,W$256:W558,0)),1,0))</f>
        <v/>
      </c>
      <c r="AA559">
        <f>IF(Z559&gt;Z558,Z559,"")</f>
        <v/>
      </c>
      <c r="AB559">
        <f>AB558+IF(X559="",0,IF(ISNA(MATCH(X559,X$256:X558,0)),1,0))</f>
        <v/>
      </c>
      <c r="AC559">
        <f>IF(AB559&gt;AB558,AB559,"")</f>
        <v/>
      </c>
    </row>
    <row r="560">
      <c r="W560" s="7" t="n"/>
      <c r="X560" s="7" t="n"/>
      <c r="Z560">
        <f>Z559+IF(W560="",0,IF(ISNA(MATCH(W560,W$256:W559,0)),1,0))</f>
        <v/>
      </c>
      <c r="AA560">
        <f>IF(Z560&gt;Z559,Z560,"")</f>
        <v/>
      </c>
      <c r="AB560">
        <f>AB559+IF(X560="",0,IF(ISNA(MATCH(X560,X$256:X559,0)),1,0))</f>
        <v/>
      </c>
      <c r="AC560">
        <f>IF(AB560&gt;AB559,AB560,"")</f>
        <v/>
      </c>
    </row>
    <row r="561">
      <c r="W561" s="7" t="n"/>
      <c r="X561" s="7" t="n"/>
      <c r="Z561">
        <f>Z560+IF(W561="",0,IF(ISNA(MATCH(W561,W$256:W560,0)),1,0))</f>
        <v/>
      </c>
      <c r="AA561">
        <f>IF(Z561&gt;Z560,Z561,"")</f>
        <v/>
      </c>
      <c r="AB561">
        <f>AB560+IF(X561="",0,IF(ISNA(MATCH(X561,X$256:X560,0)),1,0))</f>
        <v/>
      </c>
      <c r="AC561">
        <f>IF(AB561&gt;AB560,AB561,"")</f>
        <v/>
      </c>
    </row>
    <row r="562">
      <c r="W562" s="7" t="n"/>
      <c r="X562" s="7" t="n"/>
      <c r="Z562">
        <f>Z561+IF(W562="",0,IF(ISNA(MATCH(W562,W$256:W561,0)),1,0))</f>
        <v/>
      </c>
      <c r="AA562">
        <f>IF(Z562&gt;Z561,Z562,"")</f>
        <v/>
      </c>
      <c r="AB562">
        <f>AB561+IF(X562="",0,IF(ISNA(MATCH(X562,X$256:X561,0)),1,0))</f>
        <v/>
      </c>
      <c r="AC562">
        <f>IF(AB562&gt;AB561,AB562,"")</f>
        <v/>
      </c>
    </row>
    <row r="563">
      <c r="W563" s="7" t="n"/>
      <c r="X563" s="7" t="n"/>
      <c r="Z563">
        <f>Z562+IF(W563="",0,IF(ISNA(MATCH(W563,W$256:W562,0)),1,0))</f>
        <v/>
      </c>
      <c r="AA563">
        <f>IF(Z563&gt;Z562,Z563,"")</f>
        <v/>
      </c>
      <c r="AB563">
        <f>AB562+IF(X563="",0,IF(ISNA(MATCH(X563,X$256:X562,0)),1,0))</f>
        <v/>
      </c>
      <c r="AC563">
        <f>IF(AB563&gt;AB562,AB563,"")</f>
        <v/>
      </c>
    </row>
    <row r="564">
      <c r="W564" s="7" t="n"/>
      <c r="X564" s="7" t="n"/>
      <c r="Z564">
        <f>Z563+IF(W564="",0,IF(ISNA(MATCH(W564,W$256:W563,0)),1,0))</f>
        <v/>
      </c>
      <c r="AA564">
        <f>IF(Z564&gt;Z563,Z564,"")</f>
        <v/>
      </c>
      <c r="AB564">
        <f>AB563+IF(X564="",0,IF(ISNA(MATCH(X564,X$256:X563,0)),1,0))</f>
        <v/>
      </c>
      <c r="AC564">
        <f>IF(AB564&gt;AB563,AB564,"")</f>
        <v/>
      </c>
    </row>
    <row r="565">
      <c r="W565" s="7" t="n"/>
      <c r="X565" s="7" t="n"/>
      <c r="Z565">
        <f>Z564+IF(W565="",0,IF(ISNA(MATCH(W565,W$256:W564,0)),1,0))</f>
        <v/>
      </c>
      <c r="AA565">
        <f>IF(Z565&gt;Z564,Z565,"")</f>
        <v/>
      </c>
      <c r="AB565">
        <f>AB564+IF(X565="",0,IF(ISNA(MATCH(X565,X$256:X564,0)),1,0))</f>
        <v/>
      </c>
      <c r="AC565">
        <f>IF(AB565&gt;AB564,AB565,"")</f>
        <v/>
      </c>
    </row>
    <row r="566">
      <c r="W566" s="7" t="n"/>
      <c r="X566" s="7" t="n"/>
      <c r="Z566">
        <f>Z565+IF(W566="",0,IF(ISNA(MATCH(W566,W$256:W565,0)),1,0))</f>
        <v/>
      </c>
      <c r="AA566">
        <f>IF(Z566&gt;Z565,Z566,"")</f>
        <v/>
      </c>
      <c r="AB566">
        <f>AB565+IF(X566="",0,IF(ISNA(MATCH(X566,X$256:X565,0)),1,0))</f>
        <v/>
      </c>
      <c r="AC566">
        <f>IF(AB566&gt;AB565,AB566,"")</f>
        <v/>
      </c>
    </row>
    <row r="567">
      <c r="W567" s="7" t="n"/>
      <c r="X567" s="7" t="n"/>
      <c r="Z567">
        <f>Z566+IF(W567="",0,IF(ISNA(MATCH(W567,W$256:W566,0)),1,0))</f>
        <v/>
      </c>
      <c r="AA567">
        <f>IF(Z567&gt;Z566,Z567,"")</f>
        <v/>
      </c>
      <c r="AB567">
        <f>AB566+IF(X567="",0,IF(ISNA(MATCH(X567,X$256:X566,0)),1,0))</f>
        <v/>
      </c>
      <c r="AC567">
        <f>IF(AB567&gt;AB566,AB567,"")</f>
        <v/>
      </c>
    </row>
    <row r="568">
      <c r="W568" s="7" t="n"/>
      <c r="X568" s="7" t="n"/>
      <c r="Z568">
        <f>Z567+IF(W568="",0,IF(ISNA(MATCH(W568,W$256:W567,0)),1,0))</f>
        <v/>
      </c>
      <c r="AA568">
        <f>IF(Z568&gt;Z567,Z568,"")</f>
        <v/>
      </c>
      <c r="AB568">
        <f>AB567+IF(X568="",0,IF(ISNA(MATCH(X568,X$256:X567,0)),1,0))</f>
        <v/>
      </c>
      <c r="AC568">
        <f>IF(AB568&gt;AB567,AB568,"")</f>
        <v/>
      </c>
    </row>
    <row r="569">
      <c r="W569" s="7" t="n"/>
      <c r="X569" s="7" t="n"/>
      <c r="Z569">
        <f>Z568+IF(W569="",0,IF(ISNA(MATCH(W569,W$256:W568,0)),1,0))</f>
        <v/>
      </c>
      <c r="AA569">
        <f>IF(Z569&gt;Z568,Z569,"")</f>
        <v/>
      </c>
      <c r="AB569">
        <f>AB568+IF(X569="",0,IF(ISNA(MATCH(X569,X$256:X568,0)),1,0))</f>
        <v/>
      </c>
      <c r="AC569">
        <f>IF(AB569&gt;AB568,AB569,"")</f>
        <v/>
      </c>
    </row>
    <row r="570">
      <c r="W570" s="7" t="n"/>
      <c r="X570" s="7" t="n"/>
      <c r="Z570">
        <f>Z569+IF(W570="",0,IF(ISNA(MATCH(W570,W$256:W569,0)),1,0))</f>
        <v/>
      </c>
      <c r="AA570">
        <f>IF(Z570&gt;Z569,Z570,"")</f>
        <v/>
      </c>
      <c r="AB570">
        <f>AB569+IF(X570="",0,IF(ISNA(MATCH(X570,X$256:X569,0)),1,0))</f>
        <v/>
      </c>
      <c r="AC570">
        <f>IF(AB570&gt;AB569,AB570,"")</f>
        <v/>
      </c>
    </row>
    <row r="571">
      <c r="W571" s="7" t="n"/>
      <c r="X571" s="7" t="n"/>
      <c r="Z571">
        <f>Z570+IF(W571="",0,IF(ISNA(MATCH(W571,W$256:W570,0)),1,0))</f>
        <v/>
      </c>
      <c r="AA571">
        <f>IF(Z571&gt;Z570,Z571,"")</f>
        <v/>
      </c>
      <c r="AB571">
        <f>AB570+IF(X571="",0,IF(ISNA(MATCH(X571,X$256:X570,0)),1,0))</f>
        <v/>
      </c>
      <c r="AC571">
        <f>IF(AB571&gt;AB570,AB571,"")</f>
        <v/>
      </c>
    </row>
    <row r="572">
      <c r="W572" s="7" t="n"/>
      <c r="X572" s="7" t="n"/>
      <c r="Z572">
        <f>Z571+IF(W572="",0,IF(ISNA(MATCH(W572,W$256:W571,0)),1,0))</f>
        <v/>
      </c>
      <c r="AA572">
        <f>IF(Z572&gt;Z571,Z572,"")</f>
        <v/>
      </c>
      <c r="AB572">
        <f>AB571+IF(X572="",0,IF(ISNA(MATCH(X572,X$256:X571,0)),1,0))</f>
        <v/>
      </c>
      <c r="AC572">
        <f>IF(AB572&gt;AB571,AB572,"")</f>
        <v/>
      </c>
    </row>
    <row r="573">
      <c r="W573" s="7" t="n"/>
      <c r="X573" s="7" t="n"/>
      <c r="Z573">
        <f>Z572+IF(W573="",0,IF(ISNA(MATCH(W573,W$256:W572,0)),1,0))</f>
        <v/>
      </c>
      <c r="AA573">
        <f>IF(Z573&gt;Z572,Z573,"")</f>
        <v/>
      </c>
      <c r="AB573">
        <f>AB572+IF(X573="",0,IF(ISNA(MATCH(X573,X$256:X572,0)),1,0))</f>
        <v/>
      </c>
      <c r="AC573">
        <f>IF(AB573&gt;AB572,AB573,"")</f>
        <v/>
      </c>
    </row>
    <row r="574">
      <c r="W574" s="7" t="n"/>
      <c r="X574" s="7" t="n"/>
      <c r="Z574">
        <f>Z573+IF(W574="",0,IF(ISNA(MATCH(W574,W$256:W573,0)),1,0))</f>
        <v/>
      </c>
      <c r="AA574">
        <f>IF(Z574&gt;Z573,Z574,"")</f>
        <v/>
      </c>
      <c r="AB574">
        <f>AB573+IF(X574="",0,IF(ISNA(MATCH(X574,X$256:X573,0)),1,0))</f>
        <v/>
      </c>
      <c r="AC574">
        <f>IF(AB574&gt;AB573,AB574,"")</f>
        <v/>
      </c>
    </row>
    <row r="575">
      <c r="W575" s="7" t="n"/>
      <c r="X575" s="7" t="n"/>
      <c r="Z575">
        <f>Z574+IF(W575="",0,IF(ISNA(MATCH(W575,W$256:W574,0)),1,0))</f>
        <v/>
      </c>
      <c r="AA575">
        <f>IF(Z575&gt;Z574,Z575,"")</f>
        <v/>
      </c>
      <c r="AB575">
        <f>AB574+IF(X575="",0,IF(ISNA(MATCH(X575,X$256:X574,0)),1,0))</f>
        <v/>
      </c>
      <c r="AC575">
        <f>IF(AB575&gt;AB574,AB575,"")</f>
        <v/>
      </c>
    </row>
    <row r="576">
      <c r="W576" s="7" t="n"/>
      <c r="X576" s="7" t="n"/>
      <c r="Z576">
        <f>Z575+IF(W576="",0,IF(ISNA(MATCH(W576,W$256:W575,0)),1,0))</f>
        <v/>
      </c>
      <c r="AA576">
        <f>IF(Z576&gt;Z575,Z576,"")</f>
        <v/>
      </c>
      <c r="AB576">
        <f>AB575+IF(X576="",0,IF(ISNA(MATCH(X576,X$256:X575,0)),1,0))</f>
        <v/>
      </c>
      <c r="AC576">
        <f>IF(AB576&gt;AB575,AB576,"")</f>
        <v/>
      </c>
    </row>
    <row r="577">
      <c r="W577" s="7" t="n"/>
      <c r="X577" s="7" t="n"/>
      <c r="Z577">
        <f>Z576+IF(W577="",0,IF(ISNA(MATCH(W577,W$256:W576,0)),1,0))</f>
        <v/>
      </c>
      <c r="AA577">
        <f>IF(Z577&gt;Z576,Z577,"")</f>
        <v/>
      </c>
      <c r="AB577">
        <f>AB576+IF(X577="",0,IF(ISNA(MATCH(X577,X$256:X576,0)),1,0))</f>
        <v/>
      </c>
      <c r="AC577">
        <f>IF(AB577&gt;AB576,AB577,"")</f>
        <v/>
      </c>
    </row>
    <row r="578">
      <c r="W578" s="7" t="n"/>
      <c r="X578" s="7" t="n"/>
      <c r="Z578">
        <f>Z577+IF(W578="",0,IF(ISNA(MATCH(W578,W$256:W577,0)),1,0))</f>
        <v/>
      </c>
      <c r="AA578">
        <f>IF(Z578&gt;Z577,Z578,"")</f>
        <v/>
      </c>
      <c r="AB578">
        <f>AB577+IF(X578="",0,IF(ISNA(MATCH(X578,X$256:X577,0)),1,0))</f>
        <v/>
      </c>
      <c r="AC578">
        <f>IF(AB578&gt;AB577,AB578,"")</f>
        <v/>
      </c>
    </row>
    <row r="579">
      <c r="W579" s="7" t="n"/>
      <c r="X579" s="7" t="n"/>
      <c r="Z579">
        <f>Z578+IF(W579="",0,IF(ISNA(MATCH(W579,W$256:W578,0)),1,0))</f>
        <v/>
      </c>
      <c r="AA579">
        <f>IF(Z579&gt;Z578,Z579,"")</f>
        <v/>
      </c>
      <c r="AB579">
        <f>AB578+IF(X579="",0,IF(ISNA(MATCH(X579,X$256:X578,0)),1,0))</f>
        <v/>
      </c>
      <c r="AC579">
        <f>IF(AB579&gt;AB578,AB579,"")</f>
        <v/>
      </c>
    </row>
    <row r="580">
      <c r="W580" s="7" t="n"/>
      <c r="X580" s="7" t="n"/>
      <c r="Z580">
        <f>Z579+IF(W580="",0,IF(ISNA(MATCH(W580,W$256:W579,0)),1,0))</f>
        <v/>
      </c>
      <c r="AA580">
        <f>IF(Z580&gt;Z579,Z580,"")</f>
        <v/>
      </c>
      <c r="AB580">
        <f>AB579+IF(X580="",0,IF(ISNA(MATCH(X580,X$256:X579,0)),1,0))</f>
        <v/>
      </c>
      <c r="AC580">
        <f>IF(AB580&gt;AB579,AB580,"")</f>
        <v/>
      </c>
    </row>
    <row r="581">
      <c r="W581" s="7" t="n"/>
      <c r="X581" s="7" t="n"/>
      <c r="Z581">
        <f>Z580+IF(W581="",0,IF(ISNA(MATCH(W581,W$256:W580,0)),1,0))</f>
        <v/>
      </c>
      <c r="AA581">
        <f>IF(Z581&gt;Z580,Z581,"")</f>
        <v/>
      </c>
      <c r="AB581">
        <f>AB580+IF(X581="",0,IF(ISNA(MATCH(X581,X$256:X580,0)),1,0))</f>
        <v/>
      </c>
      <c r="AC581">
        <f>IF(AB581&gt;AB580,AB581,"")</f>
        <v/>
      </c>
    </row>
    <row r="582">
      <c r="W582" s="7" t="n"/>
      <c r="X582" s="7" t="n"/>
      <c r="Z582">
        <f>Z581+IF(W582="",0,IF(ISNA(MATCH(W582,W$256:W581,0)),1,0))</f>
        <v/>
      </c>
      <c r="AA582">
        <f>IF(Z582&gt;Z581,Z582,"")</f>
        <v/>
      </c>
      <c r="AB582">
        <f>AB581+IF(X582="",0,IF(ISNA(MATCH(X582,X$256:X581,0)),1,0))</f>
        <v/>
      </c>
      <c r="AC582">
        <f>IF(AB582&gt;AB581,AB582,"")</f>
        <v/>
      </c>
    </row>
    <row r="583">
      <c r="W583" s="7" t="n"/>
      <c r="X583" s="7" t="n"/>
      <c r="Z583">
        <f>Z582+IF(W583="",0,IF(ISNA(MATCH(W583,W$256:W582,0)),1,0))</f>
        <v/>
      </c>
      <c r="AA583">
        <f>IF(Z583&gt;Z582,Z583,"")</f>
        <v/>
      </c>
      <c r="AB583">
        <f>AB582+IF(X583="",0,IF(ISNA(MATCH(X583,X$256:X582,0)),1,0))</f>
        <v/>
      </c>
      <c r="AC583">
        <f>IF(AB583&gt;AB582,AB583,"")</f>
        <v/>
      </c>
    </row>
    <row r="584">
      <c r="W584" s="7" t="n"/>
      <c r="X584" s="7" t="n"/>
      <c r="Z584">
        <f>Z583+IF(W584="",0,IF(ISNA(MATCH(W584,W$256:W583,0)),1,0))</f>
        <v/>
      </c>
      <c r="AA584">
        <f>IF(Z584&gt;Z583,Z584,"")</f>
        <v/>
      </c>
      <c r="AB584">
        <f>AB583+IF(X584="",0,IF(ISNA(MATCH(X584,X$256:X583,0)),1,0))</f>
        <v/>
      </c>
      <c r="AC584">
        <f>IF(AB584&gt;AB583,AB584,"")</f>
        <v/>
      </c>
    </row>
    <row r="585">
      <c r="W585" s="7" t="n"/>
      <c r="X585" s="7" t="n"/>
      <c r="Z585">
        <f>Z584+IF(W585="",0,IF(ISNA(MATCH(W585,W$256:W584,0)),1,0))</f>
        <v/>
      </c>
      <c r="AA585">
        <f>IF(Z585&gt;Z584,Z585,"")</f>
        <v/>
      </c>
      <c r="AB585">
        <f>AB584+IF(X585="",0,IF(ISNA(MATCH(X585,X$256:X584,0)),1,0))</f>
        <v/>
      </c>
      <c r="AC585">
        <f>IF(AB585&gt;AB584,AB585,"")</f>
        <v/>
      </c>
    </row>
    <row r="586">
      <c r="W586" s="7" t="n"/>
      <c r="X586" s="7" t="n"/>
      <c r="Z586">
        <f>Z585+IF(W586="",0,IF(ISNA(MATCH(W586,W$256:W585,0)),1,0))</f>
        <v/>
      </c>
      <c r="AA586">
        <f>IF(Z586&gt;Z585,Z586,"")</f>
        <v/>
      </c>
      <c r="AB586">
        <f>AB585+IF(X586="",0,IF(ISNA(MATCH(X586,X$256:X585,0)),1,0))</f>
        <v/>
      </c>
      <c r="AC586">
        <f>IF(AB586&gt;AB585,AB586,"")</f>
        <v/>
      </c>
    </row>
    <row r="587">
      <c r="W587" s="7" t="n"/>
      <c r="X587" s="7" t="n"/>
      <c r="Z587">
        <f>Z586+IF(W587="",0,IF(ISNA(MATCH(W587,W$256:W586,0)),1,0))</f>
        <v/>
      </c>
      <c r="AA587">
        <f>IF(Z587&gt;Z586,Z587,"")</f>
        <v/>
      </c>
      <c r="AB587">
        <f>AB586+IF(X587="",0,IF(ISNA(MATCH(X587,X$256:X586,0)),1,0))</f>
        <v/>
      </c>
      <c r="AC587">
        <f>IF(AB587&gt;AB586,AB587,"")</f>
        <v/>
      </c>
    </row>
    <row r="588">
      <c r="W588" s="7" t="n"/>
      <c r="X588" s="7" t="n"/>
      <c r="Z588">
        <f>Z587+IF(W588="",0,IF(ISNA(MATCH(W588,W$256:W587,0)),1,0))</f>
        <v/>
      </c>
      <c r="AA588">
        <f>IF(Z588&gt;Z587,Z588,"")</f>
        <v/>
      </c>
      <c r="AB588">
        <f>AB587+IF(X588="",0,IF(ISNA(MATCH(X588,X$256:X587,0)),1,0))</f>
        <v/>
      </c>
      <c r="AC588">
        <f>IF(AB588&gt;AB587,AB588,"")</f>
        <v/>
      </c>
    </row>
    <row r="589">
      <c r="W589" s="7" t="n"/>
      <c r="X589" s="7" t="n"/>
      <c r="Z589">
        <f>Z588+IF(W589="",0,IF(ISNA(MATCH(W589,W$256:W588,0)),1,0))</f>
        <v/>
      </c>
      <c r="AA589">
        <f>IF(Z589&gt;Z588,Z589,"")</f>
        <v/>
      </c>
      <c r="AB589">
        <f>AB588+IF(X589="",0,IF(ISNA(MATCH(X589,X$256:X588,0)),1,0))</f>
        <v/>
      </c>
      <c r="AC589">
        <f>IF(AB589&gt;AB588,AB589,"")</f>
        <v/>
      </c>
    </row>
    <row r="590">
      <c r="W590" s="7" t="n"/>
      <c r="X590" s="7" t="n"/>
      <c r="Z590">
        <f>Z589+IF(W590="",0,IF(ISNA(MATCH(W590,W$256:W589,0)),1,0))</f>
        <v/>
      </c>
      <c r="AA590">
        <f>IF(Z590&gt;Z589,Z590,"")</f>
        <v/>
      </c>
      <c r="AB590">
        <f>AB589+IF(X590="",0,IF(ISNA(MATCH(X590,X$256:X589,0)),1,0))</f>
        <v/>
      </c>
      <c r="AC590">
        <f>IF(AB590&gt;AB589,AB590,"")</f>
        <v/>
      </c>
    </row>
    <row r="591">
      <c r="W591" s="7" t="n"/>
      <c r="X591" s="7" t="n"/>
      <c r="Z591">
        <f>Z590+IF(W591="",0,IF(ISNA(MATCH(W591,W$256:W590,0)),1,0))</f>
        <v/>
      </c>
      <c r="AA591">
        <f>IF(Z591&gt;Z590,Z591,"")</f>
        <v/>
      </c>
      <c r="AB591">
        <f>AB590+IF(X591="",0,IF(ISNA(MATCH(X591,X$256:X590,0)),1,0))</f>
        <v/>
      </c>
      <c r="AC591">
        <f>IF(AB591&gt;AB590,AB591,"")</f>
        <v/>
      </c>
    </row>
    <row r="592">
      <c r="W592" s="7" t="n"/>
      <c r="X592" s="7" t="n"/>
      <c r="Z592">
        <f>Z591+IF(W592="",0,IF(ISNA(MATCH(W592,W$256:W591,0)),1,0))</f>
        <v/>
      </c>
      <c r="AA592">
        <f>IF(Z592&gt;Z591,Z592,"")</f>
        <v/>
      </c>
      <c r="AB592">
        <f>AB591+IF(X592="",0,IF(ISNA(MATCH(X592,X$256:X591,0)),1,0))</f>
        <v/>
      </c>
      <c r="AC592">
        <f>IF(AB592&gt;AB591,AB592,"")</f>
        <v/>
      </c>
    </row>
    <row r="593">
      <c r="W593" s="7" t="n"/>
      <c r="X593" s="7" t="n"/>
      <c r="Z593">
        <f>Z592+IF(W593="",0,IF(ISNA(MATCH(W593,W$256:W592,0)),1,0))</f>
        <v/>
      </c>
      <c r="AA593">
        <f>IF(Z593&gt;Z592,Z593,"")</f>
        <v/>
      </c>
      <c r="AB593">
        <f>AB592+IF(X593="",0,IF(ISNA(MATCH(X593,X$256:X592,0)),1,0))</f>
        <v/>
      </c>
      <c r="AC593">
        <f>IF(AB593&gt;AB592,AB593,"")</f>
        <v/>
      </c>
    </row>
    <row r="594">
      <c r="W594" s="7" t="n"/>
      <c r="X594" s="7" t="n"/>
      <c r="Z594">
        <f>Z593+IF(W594="",0,IF(ISNA(MATCH(W594,W$256:W593,0)),1,0))</f>
        <v/>
      </c>
      <c r="AA594">
        <f>IF(Z594&gt;Z593,Z594,"")</f>
        <v/>
      </c>
      <c r="AB594">
        <f>AB593+IF(X594="",0,IF(ISNA(MATCH(X594,X$256:X593,0)),1,0))</f>
        <v/>
      </c>
      <c r="AC594">
        <f>IF(AB594&gt;AB593,AB594,"")</f>
        <v/>
      </c>
    </row>
    <row r="595">
      <c r="W595" s="7" t="n"/>
      <c r="X595" s="7" t="n"/>
      <c r="Z595">
        <f>Z594+IF(W595="",0,IF(ISNA(MATCH(W595,W$256:W594,0)),1,0))</f>
        <v/>
      </c>
      <c r="AA595">
        <f>IF(Z595&gt;Z594,Z595,"")</f>
        <v/>
      </c>
      <c r="AB595">
        <f>AB594+IF(X595="",0,IF(ISNA(MATCH(X595,X$256:X594,0)),1,0))</f>
        <v/>
      </c>
      <c r="AC595">
        <f>IF(AB595&gt;AB594,AB595,"")</f>
        <v/>
      </c>
    </row>
    <row r="596">
      <c r="W596" s="7" t="n"/>
      <c r="X596" s="7" t="n"/>
      <c r="Z596">
        <f>Z595+IF(W596="",0,IF(ISNA(MATCH(W596,W$256:W595,0)),1,0))</f>
        <v/>
      </c>
      <c r="AA596">
        <f>IF(Z596&gt;Z595,Z596,"")</f>
        <v/>
      </c>
      <c r="AB596">
        <f>AB595+IF(X596="",0,IF(ISNA(MATCH(X596,X$256:X595,0)),1,0))</f>
        <v/>
      </c>
      <c r="AC596">
        <f>IF(AB596&gt;AB595,AB596,"")</f>
        <v/>
      </c>
    </row>
    <row r="597">
      <c r="W597" s="7" t="n"/>
      <c r="X597" s="7" t="n"/>
      <c r="Z597">
        <f>Z596+IF(W597="",0,IF(ISNA(MATCH(W597,W$256:W596,0)),1,0))</f>
        <v/>
      </c>
      <c r="AA597">
        <f>IF(Z597&gt;Z596,Z597,"")</f>
        <v/>
      </c>
      <c r="AB597">
        <f>AB596+IF(X597="",0,IF(ISNA(MATCH(X597,X$256:X596,0)),1,0))</f>
        <v/>
      </c>
      <c r="AC597">
        <f>IF(AB597&gt;AB596,AB597,"")</f>
        <v/>
      </c>
    </row>
    <row r="598">
      <c r="W598" s="7" t="n"/>
      <c r="X598" s="7" t="n"/>
      <c r="Z598">
        <f>Z597+IF(W598="",0,IF(ISNA(MATCH(W598,W$256:W597,0)),1,0))</f>
        <v/>
      </c>
      <c r="AA598">
        <f>IF(Z598&gt;Z597,Z598,"")</f>
        <v/>
      </c>
      <c r="AB598">
        <f>AB597+IF(X598="",0,IF(ISNA(MATCH(X598,X$256:X597,0)),1,0))</f>
        <v/>
      </c>
      <c r="AC598">
        <f>IF(AB598&gt;AB597,AB598,"")</f>
        <v/>
      </c>
    </row>
    <row r="599">
      <c r="W599" s="7" t="n"/>
      <c r="X599" s="7" t="n"/>
      <c r="Z599">
        <f>Z598+IF(W599="",0,IF(ISNA(MATCH(W599,W$256:W598,0)),1,0))</f>
        <v/>
      </c>
      <c r="AA599">
        <f>IF(Z599&gt;Z598,Z599,"")</f>
        <v/>
      </c>
      <c r="AB599">
        <f>AB598+IF(X599="",0,IF(ISNA(MATCH(X599,X$256:X598,0)),1,0))</f>
        <v/>
      </c>
      <c r="AC599">
        <f>IF(AB599&gt;AB598,AB599,"")</f>
        <v/>
      </c>
    </row>
    <row r="600">
      <c r="W600" s="7" t="n"/>
      <c r="X600" s="7" t="n"/>
      <c r="Z600">
        <f>Z599+IF(W600="",0,IF(ISNA(MATCH(W600,W$256:W599,0)),1,0))</f>
        <v/>
      </c>
      <c r="AA600">
        <f>IF(Z600&gt;Z599,Z600,"")</f>
        <v/>
      </c>
      <c r="AB600">
        <f>AB599+IF(X600="",0,IF(ISNA(MATCH(X600,X$256:X599,0)),1,0))</f>
        <v/>
      </c>
      <c r="AC600">
        <f>IF(AB600&gt;AB599,AB600,"")</f>
        <v/>
      </c>
    </row>
    <row r="601">
      <c r="W601" s="7" t="n"/>
      <c r="X601" s="7" t="n"/>
      <c r="Z601">
        <f>Z600+IF(W601="",0,IF(ISNA(MATCH(W601,W$256:W600,0)),1,0))</f>
        <v/>
      </c>
      <c r="AA601">
        <f>IF(Z601&gt;Z600,Z601,"")</f>
        <v/>
      </c>
      <c r="AB601">
        <f>AB600+IF(X601="",0,IF(ISNA(MATCH(X601,X$256:X600,0)),1,0))</f>
        <v/>
      </c>
      <c r="AC601">
        <f>IF(AB601&gt;AB600,AB601,"")</f>
        <v/>
      </c>
    </row>
    <row r="602">
      <c r="W602" s="7" t="n"/>
      <c r="X602" s="7" t="n"/>
      <c r="Z602">
        <f>Z601+IF(W602="",0,IF(ISNA(MATCH(W602,W$256:W601,0)),1,0))</f>
        <v/>
      </c>
      <c r="AA602">
        <f>IF(Z602&gt;Z601,Z602,"")</f>
        <v/>
      </c>
      <c r="AB602">
        <f>AB601+IF(X602="",0,IF(ISNA(MATCH(X602,X$256:X601,0)),1,0))</f>
        <v/>
      </c>
      <c r="AC602">
        <f>IF(AB602&gt;AB601,AB602,"")</f>
        <v/>
      </c>
    </row>
    <row r="603">
      <c r="W603" s="7" t="n"/>
      <c r="X603" s="7" t="n"/>
      <c r="Z603">
        <f>Z602+IF(W603="",0,IF(ISNA(MATCH(W603,W$256:W602,0)),1,0))</f>
        <v/>
      </c>
      <c r="AA603">
        <f>IF(Z603&gt;Z602,Z603,"")</f>
        <v/>
      </c>
      <c r="AB603">
        <f>AB602+IF(X603="",0,IF(ISNA(MATCH(X603,X$256:X602,0)),1,0))</f>
        <v/>
      </c>
      <c r="AC603">
        <f>IF(AB603&gt;AB602,AB603,"")</f>
        <v/>
      </c>
    </row>
    <row r="604">
      <c r="W604" s="7" t="n"/>
      <c r="X604" s="7" t="n"/>
      <c r="Z604">
        <f>Z603+IF(W604="",0,IF(ISNA(MATCH(W604,W$256:W603,0)),1,0))</f>
        <v/>
      </c>
      <c r="AA604">
        <f>IF(Z604&gt;Z603,Z604,"")</f>
        <v/>
      </c>
      <c r="AB604">
        <f>AB603+IF(X604="",0,IF(ISNA(MATCH(X604,X$256:X603,0)),1,0))</f>
        <v/>
      </c>
      <c r="AC604">
        <f>IF(AB604&gt;AB603,AB604,"")</f>
        <v/>
      </c>
    </row>
    <row r="605">
      <c r="W605" s="7" t="n"/>
      <c r="X605" s="7" t="n"/>
      <c r="Z605">
        <f>Z604+IF(W605="",0,IF(ISNA(MATCH(W605,W$256:W604,0)),1,0))</f>
        <v/>
      </c>
      <c r="AA605">
        <f>IF(Z605&gt;Z604,Z605,"")</f>
        <v/>
      </c>
      <c r="AB605">
        <f>AB604+IF(X605="",0,IF(ISNA(MATCH(X605,X$256:X604,0)),1,0))</f>
        <v/>
      </c>
      <c r="AC605">
        <f>IF(AB605&gt;AB604,AB605,"")</f>
        <v/>
      </c>
    </row>
    <row r="606">
      <c r="W606" s="7" t="n"/>
      <c r="X606" s="7" t="n"/>
      <c r="Z606">
        <f>Z605+IF(W606="",0,IF(ISNA(MATCH(W606,W$256:W605,0)),1,0))</f>
        <v/>
      </c>
      <c r="AA606">
        <f>IF(Z606&gt;Z605,Z606,"")</f>
        <v/>
      </c>
      <c r="AB606">
        <f>AB605+IF(X606="",0,IF(ISNA(MATCH(X606,X$256:X605,0)),1,0))</f>
        <v/>
      </c>
      <c r="AC606">
        <f>IF(AB606&gt;AB605,AB606,"")</f>
        <v/>
      </c>
    </row>
    <row r="607">
      <c r="W607" s="7" t="n"/>
      <c r="X607" s="7" t="n"/>
      <c r="Z607">
        <f>Z606+IF(W607="",0,IF(ISNA(MATCH(W607,W$256:W606,0)),1,0))</f>
        <v/>
      </c>
      <c r="AA607">
        <f>IF(Z607&gt;Z606,Z607,"")</f>
        <v/>
      </c>
      <c r="AB607">
        <f>AB606+IF(X607="",0,IF(ISNA(MATCH(X607,X$256:X606,0)),1,0))</f>
        <v/>
      </c>
      <c r="AC607">
        <f>IF(AB607&gt;AB606,AB607,"")</f>
        <v/>
      </c>
    </row>
    <row r="608">
      <c r="W608" s="7" t="n"/>
      <c r="X608" s="7" t="n"/>
      <c r="Z608">
        <f>Z607+IF(W608="",0,IF(ISNA(MATCH(W608,W$256:W607,0)),1,0))</f>
        <v/>
      </c>
      <c r="AA608">
        <f>IF(Z608&gt;Z607,Z608,"")</f>
        <v/>
      </c>
      <c r="AB608">
        <f>AB607+IF(X608="",0,IF(ISNA(MATCH(X608,X$256:X607,0)),1,0))</f>
        <v/>
      </c>
      <c r="AC608">
        <f>IF(AB608&gt;AB607,AB608,"")</f>
        <v/>
      </c>
    </row>
    <row r="609">
      <c r="W609" s="7" t="n"/>
      <c r="X609" s="7" t="n"/>
      <c r="Z609">
        <f>Z608+IF(W609="",0,IF(ISNA(MATCH(W609,W$256:W608,0)),1,0))</f>
        <v/>
      </c>
      <c r="AA609">
        <f>IF(Z609&gt;Z608,Z609,"")</f>
        <v/>
      </c>
      <c r="AB609">
        <f>AB608+IF(X609="",0,IF(ISNA(MATCH(X609,X$256:X608,0)),1,0))</f>
        <v/>
      </c>
      <c r="AC609">
        <f>IF(AB609&gt;AB608,AB609,"")</f>
        <v/>
      </c>
    </row>
    <row r="610">
      <c r="W610" s="7" t="n"/>
      <c r="X610" s="7" t="n"/>
      <c r="Z610">
        <f>Z609+IF(W610="",0,IF(ISNA(MATCH(W610,W$256:W609,0)),1,0))</f>
        <v/>
      </c>
      <c r="AA610">
        <f>IF(Z610&gt;Z609,Z610,"")</f>
        <v/>
      </c>
      <c r="AB610">
        <f>AB609+IF(X610="",0,IF(ISNA(MATCH(X610,X$256:X609,0)),1,0))</f>
        <v/>
      </c>
      <c r="AC610">
        <f>IF(AB610&gt;AB609,AB610,"")</f>
        <v/>
      </c>
    </row>
    <row r="611">
      <c r="W611" s="7" t="n"/>
      <c r="X611" s="7" t="n"/>
      <c r="Z611">
        <f>Z610+IF(W611="",0,IF(ISNA(MATCH(W611,W$256:W610,0)),1,0))</f>
        <v/>
      </c>
      <c r="AA611">
        <f>IF(Z611&gt;Z610,Z611,"")</f>
        <v/>
      </c>
      <c r="AB611">
        <f>AB610+IF(X611="",0,IF(ISNA(MATCH(X611,X$256:X610,0)),1,0))</f>
        <v/>
      </c>
      <c r="AC611">
        <f>IF(AB611&gt;AB610,AB611,"")</f>
        <v/>
      </c>
    </row>
    <row r="612">
      <c r="W612" s="7" t="n"/>
      <c r="X612" s="7" t="n"/>
      <c r="Z612">
        <f>Z611+IF(W612="",0,IF(ISNA(MATCH(W612,W$256:W611,0)),1,0))</f>
        <v/>
      </c>
      <c r="AA612">
        <f>IF(Z612&gt;Z611,Z612,"")</f>
        <v/>
      </c>
      <c r="AB612">
        <f>AB611+IF(X612="",0,IF(ISNA(MATCH(X612,X$256:X611,0)),1,0))</f>
        <v/>
      </c>
      <c r="AC612">
        <f>IF(AB612&gt;AB611,AB612,"")</f>
        <v/>
      </c>
    </row>
    <row r="613">
      <c r="W613" s="7" t="n"/>
      <c r="X613" s="7" t="n"/>
      <c r="Z613">
        <f>Z612+IF(W613="",0,IF(ISNA(MATCH(W613,W$256:W612,0)),1,0))</f>
        <v/>
      </c>
      <c r="AA613">
        <f>IF(Z613&gt;Z612,Z613,"")</f>
        <v/>
      </c>
      <c r="AB613">
        <f>AB612+IF(X613="",0,IF(ISNA(MATCH(X613,X$256:X612,0)),1,0))</f>
        <v/>
      </c>
      <c r="AC613">
        <f>IF(AB613&gt;AB612,AB613,"")</f>
        <v/>
      </c>
    </row>
    <row r="614">
      <c r="W614" s="7" t="n"/>
      <c r="X614" s="7" t="n"/>
      <c r="Z614">
        <f>Z613+IF(W614="",0,IF(ISNA(MATCH(W614,W$256:W613,0)),1,0))</f>
        <v/>
      </c>
      <c r="AA614">
        <f>IF(Z614&gt;Z613,Z614,"")</f>
        <v/>
      </c>
      <c r="AB614">
        <f>AB613+IF(X614="",0,IF(ISNA(MATCH(X614,X$256:X613,0)),1,0))</f>
        <v/>
      </c>
      <c r="AC614">
        <f>IF(AB614&gt;AB613,AB614,"")</f>
        <v/>
      </c>
    </row>
    <row r="615">
      <c r="W615" s="7" t="n"/>
      <c r="X615" s="7" t="n"/>
      <c r="Z615">
        <f>Z614+IF(W615="",0,IF(ISNA(MATCH(W615,W$256:W614,0)),1,0))</f>
        <v/>
      </c>
      <c r="AA615">
        <f>IF(Z615&gt;Z614,Z615,"")</f>
        <v/>
      </c>
      <c r="AB615">
        <f>AB614+IF(X615="",0,IF(ISNA(MATCH(X615,X$256:X614,0)),1,0))</f>
        <v/>
      </c>
      <c r="AC615">
        <f>IF(AB615&gt;AB614,AB615,"")</f>
        <v/>
      </c>
    </row>
    <row r="616">
      <c r="W616" s="7" t="n"/>
      <c r="X616" s="7" t="n"/>
      <c r="Z616">
        <f>Z615+IF(W616="",0,IF(ISNA(MATCH(W616,W$256:W615,0)),1,0))</f>
        <v/>
      </c>
      <c r="AA616">
        <f>IF(Z616&gt;Z615,Z616,"")</f>
        <v/>
      </c>
      <c r="AB616">
        <f>AB615+IF(X616="",0,IF(ISNA(MATCH(X616,X$256:X615,0)),1,0))</f>
        <v/>
      </c>
      <c r="AC616">
        <f>IF(AB616&gt;AB615,AB616,"")</f>
        <v/>
      </c>
    </row>
    <row r="617">
      <c r="W617" s="7" t="n"/>
      <c r="X617" s="7" t="n"/>
      <c r="Z617">
        <f>Z616+IF(W617="",0,IF(ISNA(MATCH(W617,W$256:W616,0)),1,0))</f>
        <v/>
      </c>
      <c r="AA617">
        <f>IF(Z617&gt;Z616,Z617,"")</f>
        <v/>
      </c>
      <c r="AB617">
        <f>AB616+IF(X617="",0,IF(ISNA(MATCH(X617,X$256:X616,0)),1,0))</f>
        <v/>
      </c>
      <c r="AC617">
        <f>IF(AB617&gt;AB616,AB617,"")</f>
        <v/>
      </c>
    </row>
    <row r="618">
      <c r="W618" s="7" t="n"/>
      <c r="X618" s="7" t="n"/>
      <c r="Z618">
        <f>Z617+IF(W618="",0,IF(ISNA(MATCH(W618,W$256:W617,0)),1,0))</f>
        <v/>
      </c>
      <c r="AA618">
        <f>IF(Z618&gt;Z617,Z618,"")</f>
        <v/>
      </c>
      <c r="AB618">
        <f>AB617+IF(X618="",0,IF(ISNA(MATCH(X618,X$256:X617,0)),1,0))</f>
        <v/>
      </c>
      <c r="AC618">
        <f>IF(AB618&gt;AB617,AB618,"")</f>
        <v/>
      </c>
    </row>
    <row r="619">
      <c r="W619" s="7" t="n"/>
      <c r="X619" s="7" t="n"/>
      <c r="Z619">
        <f>Z618+IF(W619="",0,IF(ISNA(MATCH(W619,W$256:W618,0)),1,0))</f>
        <v/>
      </c>
      <c r="AA619">
        <f>IF(Z619&gt;Z618,Z619,"")</f>
        <v/>
      </c>
      <c r="AB619">
        <f>AB618+IF(X619="",0,IF(ISNA(MATCH(X619,X$256:X618,0)),1,0))</f>
        <v/>
      </c>
      <c r="AC619">
        <f>IF(AB619&gt;AB618,AB619,"")</f>
        <v/>
      </c>
    </row>
    <row r="620">
      <c r="W620" s="7" t="n"/>
      <c r="X620" s="7" t="n"/>
      <c r="Z620">
        <f>Z619+IF(W620="",0,IF(ISNA(MATCH(W620,W$256:W619,0)),1,0))</f>
        <v/>
      </c>
      <c r="AA620">
        <f>IF(Z620&gt;Z619,Z620,"")</f>
        <v/>
      </c>
      <c r="AB620">
        <f>AB619+IF(X620="",0,IF(ISNA(MATCH(X620,X$256:X619,0)),1,0))</f>
        <v/>
      </c>
      <c r="AC620">
        <f>IF(AB620&gt;AB619,AB620,"")</f>
        <v/>
      </c>
    </row>
    <row r="621">
      <c r="W621" s="7" t="n"/>
      <c r="X621" s="7" t="n"/>
      <c r="Z621">
        <f>Z620+IF(W621="",0,IF(ISNA(MATCH(W621,W$256:W620,0)),1,0))</f>
        <v/>
      </c>
      <c r="AA621">
        <f>IF(Z621&gt;Z620,Z621,"")</f>
        <v/>
      </c>
      <c r="AB621">
        <f>AB620+IF(X621="",0,IF(ISNA(MATCH(X621,X$256:X620,0)),1,0))</f>
        <v/>
      </c>
      <c r="AC621">
        <f>IF(AB621&gt;AB620,AB621,"")</f>
        <v/>
      </c>
    </row>
    <row r="622">
      <c r="W622" s="7" t="n"/>
      <c r="X622" s="7" t="n"/>
      <c r="Z622">
        <f>Z621+IF(W622="",0,IF(ISNA(MATCH(W622,W$256:W621,0)),1,0))</f>
        <v/>
      </c>
      <c r="AA622">
        <f>IF(Z622&gt;Z621,Z622,"")</f>
        <v/>
      </c>
      <c r="AB622">
        <f>AB621+IF(X622="",0,IF(ISNA(MATCH(X622,X$256:X621,0)),1,0))</f>
        <v/>
      </c>
      <c r="AC622">
        <f>IF(AB622&gt;AB621,AB622,"")</f>
        <v/>
      </c>
    </row>
    <row r="623">
      <c r="W623" s="7" t="n"/>
      <c r="X623" s="7" t="n"/>
      <c r="Z623">
        <f>Z622+IF(W623="",0,IF(ISNA(MATCH(W623,W$256:W622,0)),1,0))</f>
        <v/>
      </c>
      <c r="AA623">
        <f>IF(Z623&gt;Z622,Z623,"")</f>
        <v/>
      </c>
      <c r="AB623">
        <f>AB622+IF(X623="",0,IF(ISNA(MATCH(X623,X$256:X622,0)),1,0))</f>
        <v/>
      </c>
      <c r="AC623">
        <f>IF(AB623&gt;AB622,AB623,"")</f>
        <v/>
      </c>
    </row>
    <row r="624">
      <c r="W624" s="7" t="n"/>
      <c r="X624" s="7" t="n"/>
      <c r="Z624">
        <f>Z623+IF(W624="",0,IF(ISNA(MATCH(W624,W$256:W623,0)),1,0))</f>
        <v/>
      </c>
      <c r="AA624">
        <f>IF(Z624&gt;Z623,Z624,"")</f>
        <v/>
      </c>
      <c r="AB624">
        <f>AB623+IF(X624="",0,IF(ISNA(MATCH(X624,X$256:X623,0)),1,0))</f>
        <v/>
      </c>
      <c r="AC624">
        <f>IF(AB624&gt;AB623,AB624,"")</f>
        <v/>
      </c>
    </row>
    <row r="625">
      <c r="W625" s="7" t="n"/>
      <c r="X625" s="7" t="n"/>
      <c r="Z625">
        <f>Z624+IF(W625="",0,IF(ISNA(MATCH(W625,W$256:W624,0)),1,0))</f>
        <v/>
      </c>
      <c r="AA625">
        <f>IF(Z625&gt;Z624,Z625,"")</f>
        <v/>
      </c>
      <c r="AB625">
        <f>AB624+IF(X625="",0,IF(ISNA(MATCH(X625,X$256:X624,0)),1,0))</f>
        <v/>
      </c>
      <c r="AC625">
        <f>IF(AB625&gt;AB624,AB625,"")</f>
        <v/>
      </c>
    </row>
    <row r="626">
      <c r="W626" s="7" t="n"/>
      <c r="X626" s="7" t="n"/>
      <c r="Z626">
        <f>Z625+IF(W626="",0,IF(ISNA(MATCH(W626,W$256:W625,0)),1,0))</f>
        <v/>
      </c>
      <c r="AA626">
        <f>IF(Z626&gt;Z625,Z626,"")</f>
        <v/>
      </c>
      <c r="AB626">
        <f>AB625+IF(X626="",0,IF(ISNA(MATCH(X626,X$256:X625,0)),1,0))</f>
        <v/>
      </c>
      <c r="AC626">
        <f>IF(AB626&gt;AB625,AB626,"")</f>
        <v/>
      </c>
    </row>
    <row r="627">
      <c r="W627" s="7" t="n"/>
      <c r="X627" s="7" t="n"/>
      <c r="Z627">
        <f>Z626+IF(W627="",0,IF(ISNA(MATCH(W627,W$256:W626,0)),1,0))</f>
        <v/>
      </c>
      <c r="AA627">
        <f>IF(Z627&gt;Z626,Z627,"")</f>
        <v/>
      </c>
      <c r="AB627">
        <f>AB626+IF(X627="",0,IF(ISNA(MATCH(X627,X$256:X626,0)),1,0))</f>
        <v/>
      </c>
      <c r="AC627">
        <f>IF(AB627&gt;AB626,AB627,"")</f>
        <v/>
      </c>
    </row>
    <row r="628">
      <c r="W628" s="7" t="n"/>
      <c r="X628" s="7" t="n"/>
      <c r="Z628">
        <f>Z627+IF(W628="",0,IF(ISNA(MATCH(W628,W$256:W627,0)),1,0))</f>
        <v/>
      </c>
      <c r="AA628">
        <f>IF(Z628&gt;Z627,Z628,"")</f>
        <v/>
      </c>
      <c r="AB628">
        <f>AB627+IF(X628="",0,IF(ISNA(MATCH(X628,X$256:X627,0)),1,0))</f>
        <v/>
      </c>
      <c r="AC628">
        <f>IF(AB628&gt;AB627,AB628,"")</f>
        <v/>
      </c>
    </row>
    <row r="629">
      <c r="W629" s="7" t="n"/>
      <c r="X629" s="7" t="n"/>
      <c r="Z629">
        <f>Z628+IF(W629="",0,IF(ISNA(MATCH(W629,W$256:W628,0)),1,0))</f>
        <v/>
      </c>
      <c r="AA629">
        <f>IF(Z629&gt;Z628,Z629,"")</f>
        <v/>
      </c>
      <c r="AB629">
        <f>AB628+IF(X629="",0,IF(ISNA(MATCH(X629,X$256:X628,0)),1,0))</f>
        <v/>
      </c>
      <c r="AC629">
        <f>IF(AB629&gt;AB628,AB629,"")</f>
        <v/>
      </c>
    </row>
    <row r="630">
      <c r="W630" s="7" t="n"/>
      <c r="X630" s="7" t="n"/>
      <c r="Z630">
        <f>Z629+IF(W630="",0,IF(ISNA(MATCH(W630,W$256:W629,0)),1,0))</f>
        <v/>
      </c>
      <c r="AA630">
        <f>IF(Z630&gt;Z629,Z630,"")</f>
        <v/>
      </c>
      <c r="AB630">
        <f>AB629+IF(X630="",0,IF(ISNA(MATCH(X630,X$256:X629,0)),1,0))</f>
        <v/>
      </c>
      <c r="AC630">
        <f>IF(AB630&gt;AB629,AB630,"")</f>
        <v/>
      </c>
    </row>
    <row r="631">
      <c r="W631" s="7" t="n"/>
      <c r="X631" s="7" t="n"/>
      <c r="Z631">
        <f>Z630+IF(W631="",0,IF(ISNA(MATCH(W631,W$256:W630,0)),1,0))</f>
        <v/>
      </c>
      <c r="AA631">
        <f>IF(Z631&gt;Z630,Z631,"")</f>
        <v/>
      </c>
      <c r="AB631">
        <f>AB630+IF(X631="",0,IF(ISNA(MATCH(X631,X$256:X630,0)),1,0))</f>
        <v/>
      </c>
      <c r="AC631">
        <f>IF(AB631&gt;AB630,AB631,"")</f>
        <v/>
      </c>
    </row>
    <row r="632">
      <c r="W632" s="7" t="n"/>
      <c r="X632" s="7" t="n"/>
      <c r="Z632">
        <f>Z631+IF(W632="",0,IF(ISNA(MATCH(W632,W$256:W631,0)),1,0))</f>
        <v/>
      </c>
      <c r="AA632">
        <f>IF(Z632&gt;Z631,Z632,"")</f>
        <v/>
      </c>
      <c r="AB632">
        <f>AB631+IF(X632="",0,IF(ISNA(MATCH(X632,X$256:X631,0)),1,0))</f>
        <v/>
      </c>
      <c r="AC632">
        <f>IF(AB632&gt;AB631,AB632,"")</f>
        <v/>
      </c>
    </row>
    <row r="633">
      <c r="W633" s="7" t="n"/>
      <c r="X633" s="7" t="n"/>
      <c r="Z633">
        <f>Z632+IF(W633="",0,IF(ISNA(MATCH(W633,W$256:W632,0)),1,0))</f>
        <v/>
      </c>
      <c r="AA633">
        <f>IF(Z633&gt;Z632,Z633,"")</f>
        <v/>
      </c>
      <c r="AB633">
        <f>AB632+IF(X633="",0,IF(ISNA(MATCH(X633,X$256:X632,0)),1,0))</f>
        <v/>
      </c>
      <c r="AC633">
        <f>IF(AB633&gt;AB632,AB633,"")</f>
        <v/>
      </c>
    </row>
    <row r="634">
      <c r="W634" s="7" t="n"/>
      <c r="X634" s="7" t="n"/>
      <c r="Z634">
        <f>Z633+IF(W634="",0,IF(ISNA(MATCH(W634,W$256:W633,0)),1,0))</f>
        <v/>
      </c>
      <c r="AA634">
        <f>IF(Z634&gt;Z633,Z634,"")</f>
        <v/>
      </c>
      <c r="AB634">
        <f>AB633+IF(X634="",0,IF(ISNA(MATCH(X634,X$256:X633,0)),1,0))</f>
        <v/>
      </c>
      <c r="AC634">
        <f>IF(AB634&gt;AB633,AB634,"")</f>
        <v/>
      </c>
    </row>
    <row r="635">
      <c r="W635" s="7" t="n"/>
      <c r="X635" s="7" t="n"/>
      <c r="Z635">
        <f>Z634+IF(W635="",0,IF(ISNA(MATCH(W635,W$256:W634,0)),1,0))</f>
        <v/>
      </c>
      <c r="AA635">
        <f>IF(Z635&gt;Z634,Z635,"")</f>
        <v/>
      </c>
      <c r="AB635">
        <f>AB634+IF(X635="",0,IF(ISNA(MATCH(X635,X$256:X634,0)),1,0))</f>
        <v/>
      </c>
      <c r="AC635">
        <f>IF(AB635&gt;AB634,AB635,"")</f>
        <v/>
      </c>
    </row>
    <row r="636">
      <c r="W636" s="7" t="n"/>
      <c r="X636" s="7" t="n"/>
      <c r="Z636">
        <f>Z635+IF(W636="",0,IF(ISNA(MATCH(W636,W$256:W635,0)),1,0))</f>
        <v/>
      </c>
      <c r="AA636">
        <f>IF(Z636&gt;Z635,Z636,"")</f>
        <v/>
      </c>
      <c r="AB636">
        <f>AB635+IF(X636="",0,IF(ISNA(MATCH(X636,X$256:X635,0)),1,0))</f>
        <v/>
      </c>
      <c r="AC636">
        <f>IF(AB636&gt;AB635,AB636,"")</f>
        <v/>
      </c>
    </row>
    <row r="637">
      <c r="W637" s="7" t="n"/>
      <c r="X637" s="7" t="n"/>
      <c r="Z637">
        <f>Z636+IF(W637="",0,IF(ISNA(MATCH(W637,W$256:W636,0)),1,0))</f>
        <v/>
      </c>
      <c r="AA637">
        <f>IF(Z637&gt;Z636,Z637,"")</f>
        <v/>
      </c>
      <c r="AB637">
        <f>AB636+IF(X637="",0,IF(ISNA(MATCH(X637,X$256:X636,0)),1,0))</f>
        <v/>
      </c>
      <c r="AC637">
        <f>IF(AB637&gt;AB636,AB637,"")</f>
        <v/>
      </c>
    </row>
    <row r="638">
      <c r="W638" s="7" t="n"/>
      <c r="X638" s="7" t="n"/>
      <c r="Z638">
        <f>Z637+IF(W638="",0,IF(ISNA(MATCH(W638,W$256:W637,0)),1,0))</f>
        <v/>
      </c>
      <c r="AA638">
        <f>IF(Z638&gt;Z637,Z638,"")</f>
        <v/>
      </c>
      <c r="AB638">
        <f>AB637+IF(X638="",0,IF(ISNA(MATCH(X638,X$256:X637,0)),1,0))</f>
        <v/>
      </c>
      <c r="AC638">
        <f>IF(AB638&gt;AB637,AB638,"")</f>
        <v/>
      </c>
    </row>
    <row r="639">
      <c r="W639" s="7" t="n"/>
      <c r="X639" s="7" t="n"/>
      <c r="Z639">
        <f>Z638+IF(W639="",0,IF(ISNA(MATCH(W639,W$256:W638,0)),1,0))</f>
        <v/>
      </c>
      <c r="AA639">
        <f>IF(Z639&gt;Z638,Z639,"")</f>
        <v/>
      </c>
      <c r="AB639">
        <f>AB638+IF(X639="",0,IF(ISNA(MATCH(X639,X$256:X638,0)),1,0))</f>
        <v/>
      </c>
      <c r="AC639">
        <f>IF(AB639&gt;AB638,AB639,"")</f>
        <v/>
      </c>
    </row>
    <row r="640">
      <c r="W640" s="7" t="n"/>
      <c r="X640" s="7" t="n"/>
      <c r="Z640">
        <f>Z639+IF(W640="",0,IF(ISNA(MATCH(W640,W$256:W639,0)),1,0))</f>
        <v/>
      </c>
      <c r="AA640">
        <f>IF(Z640&gt;Z639,Z640,"")</f>
        <v/>
      </c>
      <c r="AB640">
        <f>AB639+IF(X640="",0,IF(ISNA(MATCH(X640,X$256:X639,0)),1,0))</f>
        <v/>
      </c>
      <c r="AC640">
        <f>IF(AB640&gt;AB639,AB640,"")</f>
        <v/>
      </c>
    </row>
    <row r="641">
      <c r="W641" s="7" t="n"/>
      <c r="X641" s="7" t="n"/>
      <c r="Z641">
        <f>Z640+IF(W641="",0,IF(ISNA(MATCH(W641,W$256:W640,0)),1,0))</f>
        <v/>
      </c>
      <c r="AA641">
        <f>IF(Z641&gt;Z640,Z641,"")</f>
        <v/>
      </c>
      <c r="AB641">
        <f>AB640+IF(X641="",0,IF(ISNA(MATCH(X641,X$256:X640,0)),1,0))</f>
        <v/>
      </c>
      <c r="AC641">
        <f>IF(AB641&gt;AB640,AB641,"")</f>
        <v/>
      </c>
    </row>
    <row r="642">
      <c r="W642" s="7" t="n"/>
      <c r="X642" s="7" t="n"/>
      <c r="Z642">
        <f>Z641+IF(W642="",0,IF(ISNA(MATCH(W642,W$256:W641,0)),1,0))</f>
        <v/>
      </c>
      <c r="AA642">
        <f>IF(Z642&gt;Z641,Z642,"")</f>
        <v/>
      </c>
      <c r="AB642">
        <f>AB641+IF(X642="",0,IF(ISNA(MATCH(X642,X$256:X641,0)),1,0))</f>
        <v/>
      </c>
      <c r="AC642">
        <f>IF(AB642&gt;AB641,AB642,"")</f>
        <v/>
      </c>
    </row>
    <row r="643">
      <c r="W643" s="7" t="n"/>
      <c r="X643" s="7" t="n"/>
      <c r="Z643">
        <f>Z642+IF(W643="",0,IF(ISNA(MATCH(W643,W$256:W642,0)),1,0))</f>
        <v/>
      </c>
      <c r="AA643">
        <f>IF(Z643&gt;Z642,Z643,"")</f>
        <v/>
      </c>
      <c r="AB643">
        <f>AB642+IF(X643="",0,IF(ISNA(MATCH(X643,X$256:X642,0)),1,0))</f>
        <v/>
      </c>
      <c r="AC643">
        <f>IF(AB643&gt;AB642,AB643,"")</f>
        <v/>
      </c>
    </row>
    <row r="644">
      <c r="W644" s="7" t="n"/>
      <c r="X644" s="7" t="n"/>
      <c r="Z644">
        <f>Z643+IF(W644="",0,IF(ISNA(MATCH(W644,W$256:W643,0)),1,0))</f>
        <v/>
      </c>
      <c r="AA644">
        <f>IF(Z644&gt;Z643,Z644,"")</f>
        <v/>
      </c>
      <c r="AB644">
        <f>AB643+IF(X644="",0,IF(ISNA(MATCH(X644,X$256:X643,0)),1,0))</f>
        <v/>
      </c>
      <c r="AC644">
        <f>IF(AB644&gt;AB643,AB644,"")</f>
        <v/>
      </c>
    </row>
    <row r="645">
      <c r="W645" s="7" t="n"/>
      <c r="X645" s="7" t="n"/>
      <c r="Z645">
        <f>Z644+IF(W645="",0,IF(ISNA(MATCH(W645,W$256:W644,0)),1,0))</f>
        <v/>
      </c>
      <c r="AA645">
        <f>IF(Z645&gt;Z644,Z645,"")</f>
        <v/>
      </c>
      <c r="AB645">
        <f>AB644+IF(X645="",0,IF(ISNA(MATCH(X645,X$256:X644,0)),1,0))</f>
        <v/>
      </c>
      <c r="AC645">
        <f>IF(AB645&gt;AB644,AB645,"")</f>
        <v/>
      </c>
    </row>
    <row r="646">
      <c r="W646" s="7" t="n"/>
      <c r="X646" s="7" t="n"/>
      <c r="Z646">
        <f>Z645+IF(W646="",0,IF(ISNA(MATCH(W646,W$256:W645,0)),1,0))</f>
        <v/>
      </c>
      <c r="AA646">
        <f>IF(Z646&gt;Z645,Z646,"")</f>
        <v/>
      </c>
      <c r="AB646">
        <f>AB645+IF(X646="",0,IF(ISNA(MATCH(X646,X$256:X645,0)),1,0))</f>
        <v/>
      </c>
      <c r="AC646">
        <f>IF(AB646&gt;AB645,AB646,"")</f>
        <v/>
      </c>
    </row>
    <row r="647">
      <c r="W647" s="7" t="n"/>
      <c r="X647" s="7" t="n"/>
      <c r="Z647">
        <f>Z646+IF(W647="",0,IF(ISNA(MATCH(W647,W$256:W646,0)),1,0))</f>
        <v/>
      </c>
      <c r="AA647">
        <f>IF(Z647&gt;Z646,Z647,"")</f>
        <v/>
      </c>
      <c r="AB647">
        <f>AB646+IF(X647="",0,IF(ISNA(MATCH(X647,X$256:X646,0)),1,0))</f>
        <v/>
      </c>
      <c r="AC647">
        <f>IF(AB647&gt;AB646,AB647,"")</f>
        <v/>
      </c>
    </row>
    <row r="648">
      <c r="W648" s="7" t="n"/>
      <c r="X648" s="7" t="n"/>
      <c r="Z648">
        <f>Z647+IF(W648="",0,IF(ISNA(MATCH(W648,W$256:W647,0)),1,0))</f>
        <v/>
      </c>
      <c r="AA648">
        <f>IF(Z648&gt;Z647,Z648,"")</f>
        <v/>
      </c>
      <c r="AB648">
        <f>AB647+IF(X648="",0,IF(ISNA(MATCH(X648,X$256:X647,0)),1,0))</f>
        <v/>
      </c>
      <c r="AC648">
        <f>IF(AB648&gt;AB647,AB648,"")</f>
        <v/>
      </c>
    </row>
    <row r="649">
      <c r="W649" s="7" t="n"/>
      <c r="X649" s="7" t="n"/>
      <c r="Z649">
        <f>Z648+IF(W649="",0,IF(ISNA(MATCH(W649,W$256:W648,0)),1,0))</f>
        <v/>
      </c>
      <c r="AA649">
        <f>IF(Z649&gt;Z648,Z649,"")</f>
        <v/>
      </c>
      <c r="AB649">
        <f>AB648+IF(X649="",0,IF(ISNA(MATCH(X649,X$256:X648,0)),1,0))</f>
        <v/>
      </c>
      <c r="AC649">
        <f>IF(AB649&gt;AB648,AB649,"")</f>
        <v/>
      </c>
    </row>
    <row r="650">
      <c r="W650" s="7" t="n"/>
      <c r="X650" s="7" t="n"/>
      <c r="Z650">
        <f>Z649+IF(W650="",0,IF(ISNA(MATCH(W650,W$256:W649,0)),1,0))</f>
        <v/>
      </c>
      <c r="AA650">
        <f>IF(Z650&gt;Z649,Z650,"")</f>
        <v/>
      </c>
      <c r="AB650">
        <f>AB649+IF(X650="",0,IF(ISNA(MATCH(X650,X$256:X649,0)),1,0))</f>
        <v/>
      </c>
      <c r="AC650">
        <f>IF(AB650&gt;AB649,AB650,"")</f>
        <v/>
      </c>
    </row>
    <row r="651">
      <c r="W651" s="7" t="n"/>
      <c r="X651" s="7" t="n"/>
      <c r="Z651">
        <f>Z650+IF(W651="",0,IF(ISNA(MATCH(W651,W$256:W650,0)),1,0))</f>
        <v/>
      </c>
      <c r="AA651">
        <f>IF(Z651&gt;Z650,Z651,"")</f>
        <v/>
      </c>
      <c r="AB651">
        <f>AB650+IF(X651="",0,IF(ISNA(MATCH(X651,X$256:X650,0)),1,0))</f>
        <v/>
      </c>
      <c r="AC651">
        <f>IF(AB651&gt;AB650,AB651,"")</f>
        <v/>
      </c>
    </row>
    <row r="652">
      <c r="W652" s="7" t="n"/>
      <c r="X652" s="7" t="n"/>
      <c r="Z652">
        <f>Z651+IF(W652="",0,IF(ISNA(MATCH(W652,W$256:W651,0)),1,0))</f>
        <v/>
      </c>
      <c r="AA652">
        <f>IF(Z652&gt;Z651,Z652,"")</f>
        <v/>
      </c>
      <c r="AB652">
        <f>AB651+IF(X652="",0,IF(ISNA(MATCH(X652,X$256:X651,0)),1,0))</f>
        <v/>
      </c>
      <c r="AC652">
        <f>IF(AB652&gt;AB651,AB652,"")</f>
        <v/>
      </c>
    </row>
    <row r="653">
      <c r="W653" s="7" t="n"/>
      <c r="X653" s="7" t="n"/>
      <c r="Z653">
        <f>Z652+IF(W653="",0,IF(ISNA(MATCH(W653,W$256:W652,0)),1,0))</f>
        <v/>
      </c>
      <c r="AA653">
        <f>IF(Z653&gt;Z652,Z653,"")</f>
        <v/>
      </c>
      <c r="AB653">
        <f>AB652+IF(X653="",0,IF(ISNA(MATCH(X653,X$256:X652,0)),1,0))</f>
        <v/>
      </c>
      <c r="AC653">
        <f>IF(AB653&gt;AB652,AB653,"")</f>
        <v/>
      </c>
    </row>
    <row r="654">
      <c r="W654" s="7" t="n"/>
      <c r="X654" s="7" t="n"/>
      <c r="Z654">
        <f>Z653+IF(W654="",0,IF(ISNA(MATCH(W654,W$256:W653,0)),1,0))</f>
        <v/>
      </c>
      <c r="AA654">
        <f>IF(Z654&gt;Z653,Z654,"")</f>
        <v/>
      </c>
      <c r="AB654">
        <f>AB653+IF(X654="",0,IF(ISNA(MATCH(X654,X$256:X653,0)),1,0))</f>
        <v/>
      </c>
      <c r="AC654">
        <f>IF(AB654&gt;AB653,AB654,"")</f>
        <v/>
      </c>
    </row>
    <row r="655">
      <c r="W655" s="7" t="n"/>
      <c r="X655" s="7" t="n"/>
      <c r="Z655">
        <f>Z654+IF(W655="",0,IF(ISNA(MATCH(W655,W$256:W654,0)),1,0))</f>
        <v/>
      </c>
      <c r="AA655">
        <f>IF(Z655&gt;Z654,Z655,"")</f>
        <v/>
      </c>
      <c r="AB655">
        <f>AB654+IF(X655="",0,IF(ISNA(MATCH(X655,X$256:X654,0)),1,0))</f>
        <v/>
      </c>
      <c r="AC655">
        <f>IF(AB655&gt;AB654,AB655,"")</f>
        <v/>
      </c>
    </row>
    <row r="656">
      <c r="W656" s="7" t="n"/>
      <c r="X656" s="7" t="n"/>
      <c r="Z656">
        <f>Z655+IF(W656="",0,IF(ISNA(MATCH(W656,W$256:W655,0)),1,0))</f>
        <v/>
      </c>
      <c r="AA656">
        <f>IF(Z656&gt;Z655,Z656,"")</f>
        <v/>
      </c>
      <c r="AB656">
        <f>AB655+IF(X656="",0,IF(ISNA(MATCH(X656,X$256:X655,0)),1,0))</f>
        <v/>
      </c>
      <c r="AC656">
        <f>IF(AB656&gt;AB655,AB656,"")</f>
        <v/>
      </c>
    </row>
    <row r="657">
      <c r="W657" s="7" t="n"/>
      <c r="X657" s="7" t="n"/>
      <c r="Z657">
        <f>Z656+IF(W657="",0,IF(ISNA(MATCH(W657,W$256:W656,0)),1,0))</f>
        <v/>
      </c>
      <c r="AA657">
        <f>IF(Z657&gt;Z656,Z657,"")</f>
        <v/>
      </c>
      <c r="AB657">
        <f>AB656+IF(X657="",0,IF(ISNA(MATCH(X657,X$256:X656,0)),1,0))</f>
        <v/>
      </c>
      <c r="AC657">
        <f>IF(AB657&gt;AB656,AB657,"")</f>
        <v/>
      </c>
    </row>
    <row r="658">
      <c r="W658" s="7" t="n"/>
      <c r="X658" s="7" t="n"/>
      <c r="Z658">
        <f>Z657+IF(W658="",0,IF(ISNA(MATCH(W658,W$256:W657,0)),1,0))</f>
        <v/>
      </c>
      <c r="AA658">
        <f>IF(Z658&gt;Z657,Z658,"")</f>
        <v/>
      </c>
      <c r="AB658">
        <f>AB657+IF(X658="",0,IF(ISNA(MATCH(X658,X$256:X657,0)),1,0))</f>
        <v/>
      </c>
      <c r="AC658">
        <f>IF(AB658&gt;AB657,AB658,"")</f>
        <v/>
      </c>
    </row>
    <row r="659">
      <c r="W659" s="7" t="n"/>
      <c r="X659" s="7" t="n"/>
      <c r="Z659">
        <f>Z658+IF(W659="",0,IF(ISNA(MATCH(W659,W$256:W658,0)),1,0))</f>
        <v/>
      </c>
      <c r="AA659">
        <f>IF(Z659&gt;Z658,Z659,"")</f>
        <v/>
      </c>
      <c r="AB659">
        <f>AB658+IF(X659="",0,IF(ISNA(MATCH(X659,X$256:X658,0)),1,0))</f>
        <v/>
      </c>
      <c r="AC659">
        <f>IF(AB659&gt;AB658,AB659,"")</f>
        <v/>
      </c>
    </row>
    <row r="660">
      <c r="W660" s="7" t="n"/>
      <c r="X660" s="7" t="n"/>
      <c r="Z660">
        <f>Z659+IF(W660="",0,IF(ISNA(MATCH(W660,W$256:W659,0)),1,0))</f>
        <v/>
      </c>
      <c r="AA660">
        <f>IF(Z660&gt;Z659,Z660,"")</f>
        <v/>
      </c>
      <c r="AB660">
        <f>AB659+IF(X660="",0,IF(ISNA(MATCH(X660,X$256:X659,0)),1,0))</f>
        <v/>
      </c>
      <c r="AC660">
        <f>IF(AB660&gt;AB659,AB660,"")</f>
        <v/>
      </c>
    </row>
    <row r="661">
      <c r="W661" s="7" t="n"/>
      <c r="X661" s="7" t="n"/>
      <c r="Z661">
        <f>Z660+IF(W661="",0,IF(ISNA(MATCH(W661,W$256:W660,0)),1,0))</f>
        <v/>
      </c>
      <c r="AA661">
        <f>IF(Z661&gt;Z660,Z661,"")</f>
        <v/>
      </c>
      <c r="AB661">
        <f>AB660+IF(X661="",0,IF(ISNA(MATCH(X661,X$256:X660,0)),1,0))</f>
        <v/>
      </c>
      <c r="AC661">
        <f>IF(AB661&gt;AB660,AB661,"")</f>
        <v/>
      </c>
    </row>
    <row r="662">
      <c r="W662" s="7" t="n"/>
      <c r="X662" s="7" t="n"/>
      <c r="Z662">
        <f>Z661+IF(W662="",0,IF(ISNA(MATCH(W662,W$256:W661,0)),1,0))</f>
        <v/>
      </c>
      <c r="AA662">
        <f>IF(Z662&gt;Z661,Z662,"")</f>
        <v/>
      </c>
      <c r="AB662">
        <f>AB661+IF(X662="",0,IF(ISNA(MATCH(X662,X$256:X661,0)),1,0))</f>
        <v/>
      </c>
      <c r="AC662">
        <f>IF(AB662&gt;AB661,AB662,"")</f>
        <v/>
      </c>
    </row>
    <row r="663">
      <c r="W663" s="7" t="n"/>
      <c r="X663" s="7" t="n"/>
      <c r="Z663">
        <f>Z662+IF(W663="",0,IF(ISNA(MATCH(W663,W$256:W662,0)),1,0))</f>
        <v/>
      </c>
      <c r="AA663">
        <f>IF(Z663&gt;Z662,Z663,"")</f>
        <v/>
      </c>
      <c r="AB663">
        <f>AB662+IF(X663="",0,IF(ISNA(MATCH(X663,X$256:X662,0)),1,0))</f>
        <v/>
      </c>
      <c r="AC663">
        <f>IF(AB663&gt;AB662,AB663,"")</f>
        <v/>
      </c>
    </row>
    <row r="664">
      <c r="W664" s="7" t="n"/>
      <c r="X664" s="7" t="n"/>
      <c r="Z664">
        <f>Z663+IF(W664="",0,IF(ISNA(MATCH(W664,W$256:W663,0)),1,0))</f>
        <v/>
      </c>
      <c r="AA664">
        <f>IF(Z664&gt;Z663,Z664,"")</f>
        <v/>
      </c>
      <c r="AB664">
        <f>AB663+IF(X664="",0,IF(ISNA(MATCH(X664,X$256:X663,0)),1,0))</f>
        <v/>
      </c>
      <c r="AC664">
        <f>IF(AB664&gt;AB663,AB664,"")</f>
        <v/>
      </c>
    </row>
    <row r="665">
      <c r="W665" s="7" t="n"/>
      <c r="X665" s="7" t="n"/>
      <c r="Z665">
        <f>Z664+IF(W665="",0,IF(ISNA(MATCH(W665,W$256:W664,0)),1,0))</f>
        <v/>
      </c>
      <c r="AA665">
        <f>IF(Z665&gt;Z664,Z665,"")</f>
        <v/>
      </c>
      <c r="AB665">
        <f>AB664+IF(X665="",0,IF(ISNA(MATCH(X665,X$256:X664,0)),1,0))</f>
        <v/>
      </c>
      <c r="AC665">
        <f>IF(AB665&gt;AB664,AB665,"")</f>
        <v/>
      </c>
    </row>
    <row r="666">
      <c r="W666" s="7" t="n"/>
      <c r="X666" s="7" t="n"/>
      <c r="Z666">
        <f>Z665+IF(W666="",0,IF(ISNA(MATCH(W666,W$256:W665,0)),1,0))</f>
        <v/>
      </c>
      <c r="AA666">
        <f>IF(Z666&gt;Z665,Z666,"")</f>
        <v/>
      </c>
      <c r="AB666">
        <f>AB665+IF(X666="",0,IF(ISNA(MATCH(X666,X$256:X665,0)),1,0))</f>
        <v/>
      </c>
      <c r="AC666">
        <f>IF(AB666&gt;AB665,AB666,"")</f>
        <v/>
      </c>
    </row>
    <row r="667">
      <c r="W667" s="7" t="n"/>
      <c r="X667" s="7" t="n"/>
      <c r="Z667">
        <f>Z666+IF(W667="",0,IF(ISNA(MATCH(W667,W$256:W666,0)),1,0))</f>
        <v/>
      </c>
      <c r="AA667">
        <f>IF(Z667&gt;Z666,Z667,"")</f>
        <v/>
      </c>
      <c r="AB667">
        <f>AB666+IF(X667="",0,IF(ISNA(MATCH(X667,X$256:X666,0)),1,0))</f>
        <v/>
      </c>
      <c r="AC667">
        <f>IF(AB667&gt;AB666,AB667,"")</f>
        <v/>
      </c>
    </row>
    <row r="668">
      <c r="W668" s="7" t="n"/>
      <c r="X668" s="7" t="n"/>
      <c r="Z668">
        <f>Z667+IF(W668="",0,IF(ISNA(MATCH(W668,W$256:W667,0)),1,0))</f>
        <v/>
      </c>
      <c r="AA668">
        <f>IF(Z668&gt;Z667,Z668,"")</f>
        <v/>
      </c>
      <c r="AB668">
        <f>AB667+IF(X668="",0,IF(ISNA(MATCH(X668,X$256:X667,0)),1,0))</f>
        <v/>
      </c>
      <c r="AC668">
        <f>IF(AB668&gt;AB667,AB668,"")</f>
        <v/>
      </c>
    </row>
    <row r="669">
      <c r="W669" s="7" t="n"/>
      <c r="X669" s="7" t="n"/>
      <c r="Z669">
        <f>Z668+IF(W669="",0,IF(ISNA(MATCH(W669,W$256:W668,0)),1,0))</f>
        <v/>
      </c>
      <c r="AA669">
        <f>IF(Z669&gt;Z668,Z669,"")</f>
        <v/>
      </c>
      <c r="AB669">
        <f>AB668+IF(X669="",0,IF(ISNA(MATCH(X669,X$256:X668,0)),1,0))</f>
        <v/>
      </c>
      <c r="AC669">
        <f>IF(AB669&gt;AB668,AB669,"")</f>
        <v/>
      </c>
    </row>
    <row r="670">
      <c r="W670" s="7" t="n"/>
      <c r="X670" s="7" t="n"/>
      <c r="Z670">
        <f>Z669+IF(W670="",0,IF(ISNA(MATCH(W670,W$256:W669,0)),1,0))</f>
        <v/>
      </c>
      <c r="AA670">
        <f>IF(Z670&gt;Z669,Z670,"")</f>
        <v/>
      </c>
      <c r="AB670">
        <f>AB669+IF(X670="",0,IF(ISNA(MATCH(X670,X$256:X669,0)),1,0))</f>
        <v/>
      </c>
      <c r="AC670">
        <f>IF(AB670&gt;AB669,AB670,"")</f>
        <v/>
      </c>
    </row>
    <row r="671">
      <c r="W671" s="7" t="n"/>
      <c r="X671" s="7" t="n"/>
      <c r="Z671">
        <f>Z670+IF(W671="",0,IF(ISNA(MATCH(W671,W$256:W670,0)),1,0))</f>
        <v/>
      </c>
      <c r="AA671">
        <f>IF(Z671&gt;Z670,Z671,"")</f>
        <v/>
      </c>
      <c r="AB671">
        <f>AB670+IF(X671="",0,IF(ISNA(MATCH(X671,X$256:X670,0)),1,0))</f>
        <v/>
      </c>
      <c r="AC671">
        <f>IF(AB671&gt;AB670,AB671,"")</f>
        <v/>
      </c>
    </row>
    <row r="672">
      <c r="W672" s="7" t="n"/>
      <c r="X672" s="7" t="n"/>
      <c r="Z672">
        <f>Z671+IF(W672="",0,IF(ISNA(MATCH(W672,W$256:W671,0)),1,0))</f>
        <v/>
      </c>
      <c r="AA672">
        <f>IF(Z672&gt;Z671,Z672,"")</f>
        <v/>
      </c>
      <c r="AB672">
        <f>AB671+IF(X672="",0,IF(ISNA(MATCH(X672,X$256:X671,0)),1,0))</f>
        <v/>
      </c>
      <c r="AC672">
        <f>IF(AB672&gt;AB671,AB672,"")</f>
        <v/>
      </c>
    </row>
    <row r="673">
      <c r="W673" s="7" t="n"/>
      <c r="X673" s="7" t="n"/>
      <c r="Z673">
        <f>Z672+IF(W673="",0,IF(ISNA(MATCH(W673,W$256:W672,0)),1,0))</f>
        <v/>
      </c>
      <c r="AA673">
        <f>IF(Z673&gt;Z672,Z673,"")</f>
        <v/>
      </c>
      <c r="AB673">
        <f>AB672+IF(X673="",0,IF(ISNA(MATCH(X673,X$256:X672,0)),1,0))</f>
        <v/>
      </c>
      <c r="AC673">
        <f>IF(AB673&gt;AB672,AB673,"")</f>
        <v/>
      </c>
    </row>
    <row r="674">
      <c r="W674" s="7" t="n"/>
      <c r="X674" s="7" t="n"/>
      <c r="Z674">
        <f>Z673+IF(W674="",0,IF(ISNA(MATCH(W674,W$256:W673,0)),1,0))</f>
        <v/>
      </c>
      <c r="AA674">
        <f>IF(Z674&gt;Z673,Z674,"")</f>
        <v/>
      </c>
      <c r="AB674">
        <f>AB673+IF(X674="",0,IF(ISNA(MATCH(X674,X$256:X673,0)),1,0))</f>
        <v/>
      </c>
      <c r="AC674">
        <f>IF(AB674&gt;AB673,AB674,"")</f>
        <v/>
      </c>
    </row>
    <row r="675">
      <c r="W675" s="7" t="n"/>
      <c r="X675" s="7" t="n"/>
      <c r="Z675">
        <f>Z674+IF(W675="",0,IF(ISNA(MATCH(W675,W$256:W674,0)),1,0))</f>
        <v/>
      </c>
      <c r="AA675">
        <f>IF(Z675&gt;Z674,Z675,"")</f>
        <v/>
      </c>
      <c r="AB675">
        <f>AB674+IF(X675="",0,IF(ISNA(MATCH(X675,X$256:X674,0)),1,0))</f>
        <v/>
      </c>
      <c r="AC675">
        <f>IF(AB675&gt;AB674,AB675,"")</f>
        <v/>
      </c>
    </row>
    <row r="676">
      <c r="W676" s="7" t="n"/>
      <c r="X676" s="7" t="n"/>
      <c r="Z676">
        <f>Z675+IF(W676="",0,IF(ISNA(MATCH(W676,W$256:W675,0)),1,0))</f>
        <v/>
      </c>
      <c r="AA676">
        <f>IF(Z676&gt;Z675,Z676,"")</f>
        <v/>
      </c>
      <c r="AB676">
        <f>AB675+IF(X676="",0,IF(ISNA(MATCH(X676,X$256:X675,0)),1,0))</f>
        <v/>
      </c>
      <c r="AC676">
        <f>IF(AB676&gt;AB675,AB676,"")</f>
        <v/>
      </c>
    </row>
    <row r="677">
      <c r="W677" s="7" t="n"/>
      <c r="X677" s="7" t="n"/>
      <c r="Z677">
        <f>Z676+IF(W677="",0,IF(ISNA(MATCH(W677,W$256:W676,0)),1,0))</f>
        <v/>
      </c>
      <c r="AA677">
        <f>IF(Z677&gt;Z676,Z677,"")</f>
        <v/>
      </c>
      <c r="AB677">
        <f>AB676+IF(X677="",0,IF(ISNA(MATCH(X677,X$256:X676,0)),1,0))</f>
        <v/>
      </c>
      <c r="AC677">
        <f>IF(AB677&gt;AB676,AB677,"")</f>
        <v/>
      </c>
    </row>
    <row r="678">
      <c r="W678" s="7" t="n"/>
      <c r="X678" s="7" t="n"/>
      <c r="Z678">
        <f>Z677+IF(W678="",0,IF(ISNA(MATCH(W678,W$256:W677,0)),1,0))</f>
        <v/>
      </c>
      <c r="AA678">
        <f>IF(Z678&gt;Z677,Z678,"")</f>
        <v/>
      </c>
      <c r="AB678">
        <f>AB677+IF(X678="",0,IF(ISNA(MATCH(X678,X$256:X677,0)),1,0))</f>
        <v/>
      </c>
      <c r="AC678">
        <f>IF(AB678&gt;AB677,AB678,"")</f>
        <v/>
      </c>
    </row>
    <row r="679">
      <c r="W679" s="7" t="n"/>
      <c r="X679" s="7" t="n"/>
      <c r="Z679">
        <f>Z678+IF(W679="",0,IF(ISNA(MATCH(W679,W$256:W678,0)),1,0))</f>
        <v/>
      </c>
      <c r="AA679">
        <f>IF(Z679&gt;Z678,Z679,"")</f>
        <v/>
      </c>
      <c r="AB679">
        <f>AB678+IF(X679="",0,IF(ISNA(MATCH(X679,X$256:X678,0)),1,0))</f>
        <v/>
      </c>
      <c r="AC679">
        <f>IF(AB679&gt;AB678,AB679,"")</f>
        <v/>
      </c>
    </row>
    <row r="680">
      <c r="W680" s="7" t="n"/>
      <c r="X680" s="7" t="n"/>
      <c r="Z680">
        <f>Z679+IF(W680="",0,IF(ISNA(MATCH(W680,W$256:W679,0)),1,0))</f>
        <v/>
      </c>
      <c r="AA680">
        <f>IF(Z680&gt;Z679,Z680,"")</f>
        <v/>
      </c>
      <c r="AB680">
        <f>AB679+IF(X680="",0,IF(ISNA(MATCH(X680,X$256:X679,0)),1,0))</f>
        <v/>
      </c>
      <c r="AC680">
        <f>IF(AB680&gt;AB679,AB680,"")</f>
        <v/>
      </c>
    </row>
    <row r="681">
      <c r="W681" s="7" t="n"/>
      <c r="X681" s="7" t="n"/>
      <c r="Z681">
        <f>Z680+IF(W681="",0,IF(ISNA(MATCH(W681,W$256:W680,0)),1,0))</f>
        <v/>
      </c>
      <c r="AA681">
        <f>IF(Z681&gt;Z680,Z681,"")</f>
        <v/>
      </c>
      <c r="AB681">
        <f>AB680+IF(X681="",0,IF(ISNA(MATCH(X681,X$256:X680,0)),1,0))</f>
        <v/>
      </c>
      <c r="AC681">
        <f>IF(AB681&gt;AB680,AB681,"")</f>
        <v/>
      </c>
    </row>
    <row r="682">
      <c r="W682" s="7" t="n"/>
      <c r="X682" s="7" t="n"/>
      <c r="Z682">
        <f>Z681+IF(W682="",0,IF(ISNA(MATCH(W682,W$256:W681,0)),1,0))</f>
        <v/>
      </c>
      <c r="AA682">
        <f>IF(Z682&gt;Z681,Z682,"")</f>
        <v/>
      </c>
      <c r="AB682">
        <f>AB681+IF(X682="",0,IF(ISNA(MATCH(X682,X$256:X681,0)),1,0))</f>
        <v/>
      </c>
      <c r="AC682">
        <f>IF(AB682&gt;AB681,AB682,"")</f>
        <v/>
      </c>
    </row>
    <row r="683">
      <c r="W683" s="7" t="n"/>
      <c r="X683" s="7" t="n"/>
      <c r="Z683">
        <f>Z682+IF(W683="",0,IF(ISNA(MATCH(W683,W$256:W682,0)),1,0))</f>
        <v/>
      </c>
      <c r="AA683">
        <f>IF(Z683&gt;Z682,Z683,"")</f>
        <v/>
      </c>
      <c r="AB683">
        <f>AB682+IF(X683="",0,IF(ISNA(MATCH(X683,X$256:X682,0)),1,0))</f>
        <v/>
      </c>
      <c r="AC683">
        <f>IF(AB683&gt;AB682,AB683,"")</f>
        <v/>
      </c>
    </row>
    <row r="684">
      <c r="W684" s="7" t="n"/>
      <c r="X684" s="7" t="n"/>
      <c r="Z684">
        <f>Z683+IF(W684="",0,IF(ISNA(MATCH(W684,W$256:W683,0)),1,0))</f>
        <v/>
      </c>
      <c r="AA684">
        <f>IF(Z684&gt;Z683,Z684,"")</f>
        <v/>
      </c>
      <c r="AB684">
        <f>AB683+IF(X684="",0,IF(ISNA(MATCH(X684,X$256:X683,0)),1,0))</f>
        <v/>
      </c>
      <c r="AC684">
        <f>IF(AB684&gt;AB683,AB684,"")</f>
        <v/>
      </c>
    </row>
    <row r="685">
      <c r="W685" s="7" t="n"/>
      <c r="X685" s="7" t="n"/>
      <c r="Z685">
        <f>Z684+IF(W685="",0,IF(ISNA(MATCH(W685,W$256:W684,0)),1,0))</f>
        <v/>
      </c>
      <c r="AA685">
        <f>IF(Z685&gt;Z684,Z685,"")</f>
        <v/>
      </c>
      <c r="AB685">
        <f>AB684+IF(X685="",0,IF(ISNA(MATCH(X685,X$256:X684,0)),1,0))</f>
        <v/>
      </c>
      <c r="AC685">
        <f>IF(AB685&gt;AB684,AB685,"")</f>
        <v/>
      </c>
    </row>
    <row r="686">
      <c r="W686" s="7" t="n"/>
      <c r="X686" s="7" t="n"/>
      <c r="Z686">
        <f>Z685+IF(W686="",0,IF(ISNA(MATCH(W686,W$256:W685,0)),1,0))</f>
        <v/>
      </c>
      <c r="AA686">
        <f>IF(Z686&gt;Z685,Z686,"")</f>
        <v/>
      </c>
      <c r="AB686">
        <f>AB685+IF(X686="",0,IF(ISNA(MATCH(X686,X$256:X685,0)),1,0))</f>
        <v/>
      </c>
      <c r="AC686">
        <f>IF(AB686&gt;AB685,AB686,"")</f>
        <v/>
      </c>
    </row>
    <row r="687">
      <c r="W687" s="7" t="n"/>
      <c r="X687" s="7" t="n"/>
      <c r="Z687">
        <f>Z686+IF(W687="",0,IF(ISNA(MATCH(W687,W$256:W686,0)),1,0))</f>
        <v/>
      </c>
      <c r="AA687">
        <f>IF(Z687&gt;Z686,Z687,"")</f>
        <v/>
      </c>
      <c r="AB687">
        <f>AB686+IF(X687="",0,IF(ISNA(MATCH(X687,X$256:X686,0)),1,0))</f>
        <v/>
      </c>
      <c r="AC687">
        <f>IF(AB687&gt;AB686,AB687,"")</f>
        <v/>
      </c>
    </row>
    <row r="688">
      <c r="W688" s="7" t="n"/>
      <c r="X688" s="7" t="n"/>
      <c r="Z688">
        <f>Z687+IF(W688="",0,IF(ISNA(MATCH(W688,W$256:W687,0)),1,0))</f>
        <v/>
      </c>
      <c r="AA688">
        <f>IF(Z688&gt;Z687,Z688,"")</f>
        <v/>
      </c>
      <c r="AB688">
        <f>AB687+IF(X688="",0,IF(ISNA(MATCH(X688,X$256:X687,0)),1,0))</f>
        <v/>
      </c>
      <c r="AC688">
        <f>IF(AB688&gt;AB687,AB688,"")</f>
        <v/>
      </c>
    </row>
    <row r="689">
      <c r="W689" s="7" t="n"/>
      <c r="X689" s="7" t="n"/>
      <c r="Z689">
        <f>Z688+IF(W689="",0,IF(ISNA(MATCH(W689,W$256:W688,0)),1,0))</f>
        <v/>
      </c>
      <c r="AA689">
        <f>IF(Z689&gt;Z688,Z689,"")</f>
        <v/>
      </c>
      <c r="AB689">
        <f>AB688+IF(X689="",0,IF(ISNA(MATCH(X689,X$256:X688,0)),1,0))</f>
        <v/>
      </c>
      <c r="AC689">
        <f>IF(AB689&gt;AB688,AB689,"")</f>
        <v/>
      </c>
    </row>
    <row r="690">
      <c r="W690" s="7" t="n"/>
      <c r="X690" s="7" t="n"/>
      <c r="Z690">
        <f>Z689+IF(W690="",0,IF(ISNA(MATCH(W690,W$256:W689,0)),1,0))</f>
        <v/>
      </c>
      <c r="AA690">
        <f>IF(Z690&gt;Z689,Z690,"")</f>
        <v/>
      </c>
      <c r="AB690">
        <f>AB689+IF(X690="",0,IF(ISNA(MATCH(X690,X$256:X689,0)),1,0))</f>
        <v/>
      </c>
      <c r="AC690">
        <f>IF(AB690&gt;AB689,AB690,"")</f>
        <v/>
      </c>
    </row>
    <row r="691">
      <c r="W691" s="7" t="n"/>
      <c r="X691" s="7" t="n"/>
      <c r="Z691">
        <f>Z690+IF(W691="",0,IF(ISNA(MATCH(W691,W$256:W690,0)),1,0))</f>
        <v/>
      </c>
      <c r="AA691">
        <f>IF(Z691&gt;Z690,Z691,"")</f>
        <v/>
      </c>
      <c r="AB691">
        <f>AB690+IF(X691="",0,IF(ISNA(MATCH(X691,X$256:X690,0)),1,0))</f>
        <v/>
      </c>
      <c r="AC691">
        <f>IF(AB691&gt;AB690,AB691,"")</f>
        <v/>
      </c>
    </row>
    <row r="692">
      <c r="W692" s="7" t="n"/>
      <c r="X692" s="7" t="n"/>
      <c r="Z692">
        <f>Z691+IF(W692="",0,IF(ISNA(MATCH(W692,W$256:W691,0)),1,0))</f>
        <v/>
      </c>
      <c r="AA692">
        <f>IF(Z692&gt;Z691,Z692,"")</f>
        <v/>
      </c>
      <c r="AB692">
        <f>AB691+IF(X692="",0,IF(ISNA(MATCH(X692,X$256:X691,0)),1,0))</f>
        <v/>
      </c>
      <c r="AC692">
        <f>IF(AB692&gt;AB691,AB692,"")</f>
        <v/>
      </c>
    </row>
    <row r="693">
      <c r="W693" s="7" t="n"/>
      <c r="X693" s="7" t="n"/>
      <c r="Z693">
        <f>Z692+IF(W693="",0,IF(ISNA(MATCH(W693,W$256:W692,0)),1,0))</f>
        <v/>
      </c>
      <c r="AA693">
        <f>IF(Z693&gt;Z692,Z693,"")</f>
        <v/>
      </c>
      <c r="AB693">
        <f>AB692+IF(X693="",0,IF(ISNA(MATCH(X693,X$256:X692,0)),1,0))</f>
        <v/>
      </c>
      <c r="AC693">
        <f>IF(AB693&gt;AB692,AB693,"")</f>
        <v/>
      </c>
    </row>
    <row r="694">
      <c r="W694" s="7" t="n"/>
      <c r="X694" s="7" t="n"/>
      <c r="Z694">
        <f>Z693+IF(W694="",0,IF(ISNA(MATCH(W694,W$256:W693,0)),1,0))</f>
        <v/>
      </c>
      <c r="AA694">
        <f>IF(Z694&gt;Z693,Z694,"")</f>
        <v/>
      </c>
      <c r="AB694">
        <f>AB693+IF(X694="",0,IF(ISNA(MATCH(X694,X$256:X693,0)),1,0))</f>
        <v/>
      </c>
      <c r="AC694">
        <f>IF(AB694&gt;AB693,AB694,"")</f>
        <v/>
      </c>
    </row>
    <row r="695">
      <c r="W695" s="7" t="n"/>
      <c r="X695" s="7" t="n"/>
      <c r="Z695">
        <f>Z694+IF(W695="",0,IF(ISNA(MATCH(W695,W$256:W694,0)),1,0))</f>
        <v/>
      </c>
      <c r="AA695">
        <f>IF(Z695&gt;Z694,Z695,"")</f>
        <v/>
      </c>
      <c r="AB695">
        <f>AB694+IF(X695="",0,IF(ISNA(MATCH(X695,X$256:X694,0)),1,0))</f>
        <v/>
      </c>
      <c r="AC695">
        <f>IF(AB695&gt;AB694,AB695,"")</f>
        <v/>
      </c>
    </row>
    <row r="696">
      <c r="W696" s="7" t="n"/>
      <c r="X696" s="7" t="n"/>
      <c r="Z696">
        <f>Z695+IF(W696="",0,IF(ISNA(MATCH(W696,W$256:W695,0)),1,0))</f>
        <v/>
      </c>
      <c r="AA696">
        <f>IF(Z696&gt;Z695,Z696,"")</f>
        <v/>
      </c>
      <c r="AB696">
        <f>AB695+IF(X696="",0,IF(ISNA(MATCH(X696,X$256:X695,0)),1,0))</f>
        <v/>
      </c>
      <c r="AC696">
        <f>IF(AB696&gt;AB695,AB696,"")</f>
        <v/>
      </c>
    </row>
    <row r="697">
      <c r="W697" s="7" t="n"/>
      <c r="X697" s="7" t="n"/>
      <c r="Z697">
        <f>Z696+IF(W697="",0,IF(ISNA(MATCH(W697,W$256:W696,0)),1,0))</f>
        <v/>
      </c>
      <c r="AA697">
        <f>IF(Z697&gt;Z696,Z697,"")</f>
        <v/>
      </c>
      <c r="AB697">
        <f>AB696+IF(X697="",0,IF(ISNA(MATCH(X697,X$256:X696,0)),1,0))</f>
        <v/>
      </c>
      <c r="AC697">
        <f>IF(AB697&gt;AB696,AB697,"")</f>
        <v/>
      </c>
    </row>
    <row r="698">
      <c r="W698" s="7" t="n"/>
      <c r="X698" s="7" t="n"/>
      <c r="Z698">
        <f>Z697+IF(W698="",0,IF(ISNA(MATCH(W698,W$256:W697,0)),1,0))</f>
        <v/>
      </c>
      <c r="AA698">
        <f>IF(Z698&gt;Z697,Z698,"")</f>
        <v/>
      </c>
      <c r="AB698">
        <f>AB697+IF(X698="",0,IF(ISNA(MATCH(X698,X$256:X697,0)),1,0))</f>
        <v/>
      </c>
      <c r="AC698">
        <f>IF(AB698&gt;AB697,AB698,"")</f>
        <v/>
      </c>
    </row>
    <row r="699">
      <c r="W699" s="7" t="n"/>
      <c r="X699" s="7" t="n"/>
      <c r="Z699">
        <f>Z698+IF(W699="",0,IF(ISNA(MATCH(W699,W$256:W698,0)),1,0))</f>
        <v/>
      </c>
      <c r="AA699">
        <f>IF(Z699&gt;Z698,Z699,"")</f>
        <v/>
      </c>
      <c r="AB699">
        <f>AB698+IF(X699="",0,IF(ISNA(MATCH(X699,X$256:X698,0)),1,0))</f>
        <v/>
      </c>
      <c r="AC699">
        <f>IF(AB699&gt;AB698,AB699,"")</f>
        <v/>
      </c>
    </row>
    <row r="700">
      <c r="W700" s="7" t="n"/>
      <c r="X700" s="7" t="n"/>
      <c r="Z700">
        <f>Z699+IF(W700="",0,IF(ISNA(MATCH(W700,W$256:W699,0)),1,0))</f>
        <v/>
      </c>
      <c r="AA700">
        <f>IF(Z700&gt;Z699,Z700,"")</f>
        <v/>
      </c>
      <c r="AB700">
        <f>AB699+IF(X700="",0,IF(ISNA(MATCH(X700,X$256:X699,0)),1,0))</f>
        <v/>
      </c>
      <c r="AC700">
        <f>IF(AB700&gt;AB699,AB700,"")</f>
        <v/>
      </c>
    </row>
    <row r="701">
      <c r="W701" s="7" t="n"/>
      <c r="X701" s="7" t="n"/>
      <c r="Z701">
        <f>Z700+IF(W701="",0,IF(ISNA(MATCH(W701,W$256:W700,0)),1,0))</f>
        <v/>
      </c>
      <c r="AA701">
        <f>IF(Z701&gt;Z700,Z701,"")</f>
        <v/>
      </c>
      <c r="AB701">
        <f>AB700+IF(X701="",0,IF(ISNA(MATCH(X701,X$256:X700,0)),1,0))</f>
        <v/>
      </c>
      <c r="AC701">
        <f>IF(AB701&gt;AB700,AB701,"")</f>
        <v/>
      </c>
    </row>
    <row r="702">
      <c r="W702" s="7" t="n"/>
      <c r="X702" s="7" t="n"/>
      <c r="Z702">
        <f>Z701+IF(W702="",0,IF(ISNA(MATCH(W702,W$256:W701,0)),1,0))</f>
        <v/>
      </c>
      <c r="AA702">
        <f>IF(Z702&gt;Z701,Z702,"")</f>
        <v/>
      </c>
      <c r="AB702">
        <f>AB701+IF(X702="",0,IF(ISNA(MATCH(X702,X$256:X701,0)),1,0))</f>
        <v/>
      </c>
      <c r="AC702">
        <f>IF(AB702&gt;AB701,AB702,"")</f>
        <v/>
      </c>
    </row>
    <row r="703">
      <c r="W703" s="7" t="n"/>
      <c r="X703" s="7" t="n"/>
      <c r="Z703">
        <f>Z702+IF(W703="",0,IF(ISNA(MATCH(W703,W$256:W702,0)),1,0))</f>
        <v/>
      </c>
      <c r="AA703">
        <f>IF(Z703&gt;Z702,Z703,"")</f>
        <v/>
      </c>
      <c r="AB703">
        <f>AB702+IF(X703="",0,IF(ISNA(MATCH(X703,X$256:X702,0)),1,0))</f>
        <v/>
      </c>
      <c r="AC703">
        <f>IF(AB703&gt;AB702,AB703,"")</f>
        <v/>
      </c>
    </row>
    <row r="704">
      <c r="W704" s="7" t="n"/>
      <c r="X704" s="7" t="n"/>
      <c r="Z704">
        <f>Z703+IF(W704="",0,IF(ISNA(MATCH(W704,W$256:W703,0)),1,0))</f>
        <v/>
      </c>
      <c r="AA704">
        <f>IF(Z704&gt;Z703,Z704,"")</f>
        <v/>
      </c>
      <c r="AB704">
        <f>AB703+IF(X704="",0,IF(ISNA(MATCH(X704,X$256:X703,0)),1,0))</f>
        <v/>
      </c>
      <c r="AC704">
        <f>IF(AB704&gt;AB703,AB704,"")</f>
        <v/>
      </c>
    </row>
    <row r="705">
      <c r="W705" s="7" t="n"/>
      <c r="X705" s="7" t="n"/>
      <c r="Z705">
        <f>Z704+IF(W705="",0,IF(ISNA(MATCH(W705,W$256:W704,0)),1,0))</f>
        <v/>
      </c>
      <c r="AA705">
        <f>IF(Z705&gt;Z704,Z705,"")</f>
        <v/>
      </c>
      <c r="AB705">
        <f>AB704+IF(X705="",0,IF(ISNA(MATCH(X705,X$256:X704,0)),1,0))</f>
        <v/>
      </c>
      <c r="AC705">
        <f>IF(AB705&gt;AB704,AB705,"")</f>
        <v/>
      </c>
    </row>
    <row r="706">
      <c r="W706" s="7" t="n"/>
      <c r="X706" s="7" t="n"/>
      <c r="Z706">
        <f>Z705+IF(W706="",0,IF(ISNA(MATCH(W706,W$256:W705,0)),1,0))</f>
        <v/>
      </c>
      <c r="AA706">
        <f>IF(Z706&gt;Z705,Z706,"")</f>
        <v/>
      </c>
      <c r="AB706">
        <f>AB705+IF(X706="",0,IF(ISNA(MATCH(X706,X$256:X705,0)),1,0))</f>
        <v/>
      </c>
      <c r="AC706">
        <f>IF(AB706&gt;AB705,AB706,"")</f>
        <v/>
      </c>
    </row>
    <row r="707">
      <c r="W707" s="7" t="n"/>
      <c r="X707" s="7" t="n"/>
      <c r="Z707">
        <f>Z706+IF(W707="",0,IF(ISNA(MATCH(W707,W$256:W706,0)),1,0))</f>
        <v/>
      </c>
      <c r="AA707">
        <f>IF(Z707&gt;Z706,Z707,"")</f>
        <v/>
      </c>
      <c r="AB707">
        <f>AB706+IF(X707="",0,IF(ISNA(MATCH(X707,X$256:X706,0)),1,0))</f>
        <v/>
      </c>
      <c r="AC707">
        <f>IF(AB707&gt;AB706,AB707,"")</f>
        <v/>
      </c>
    </row>
    <row r="708">
      <c r="W708" s="7" t="n"/>
      <c r="X708" s="7" t="n"/>
      <c r="Z708">
        <f>Z707+IF(W708="",0,IF(ISNA(MATCH(W708,W$256:W707,0)),1,0))</f>
        <v/>
      </c>
      <c r="AA708">
        <f>IF(Z708&gt;Z707,Z708,"")</f>
        <v/>
      </c>
      <c r="AB708">
        <f>AB707+IF(X708="",0,IF(ISNA(MATCH(X708,X$256:X707,0)),1,0))</f>
        <v/>
      </c>
      <c r="AC708">
        <f>IF(AB708&gt;AB707,AB708,"")</f>
        <v/>
      </c>
    </row>
    <row r="709">
      <c r="W709" s="7" t="n"/>
      <c r="X709" s="7" t="n"/>
      <c r="Z709">
        <f>Z708+IF(W709="",0,IF(ISNA(MATCH(W709,W$256:W708,0)),1,0))</f>
        <v/>
      </c>
      <c r="AA709">
        <f>IF(Z709&gt;Z708,Z709,"")</f>
        <v/>
      </c>
      <c r="AB709">
        <f>AB708+IF(X709="",0,IF(ISNA(MATCH(X709,X$256:X708,0)),1,0))</f>
        <v/>
      </c>
      <c r="AC709">
        <f>IF(AB709&gt;AB708,AB709,"")</f>
        <v/>
      </c>
    </row>
    <row r="710">
      <c r="W710" s="7" t="n"/>
      <c r="X710" s="7" t="n"/>
      <c r="Z710">
        <f>Z709+IF(W710="",0,IF(ISNA(MATCH(W710,W$256:W709,0)),1,0))</f>
        <v/>
      </c>
      <c r="AA710">
        <f>IF(Z710&gt;Z709,Z710,"")</f>
        <v/>
      </c>
      <c r="AB710">
        <f>AB709+IF(X710="",0,IF(ISNA(MATCH(X710,X$256:X709,0)),1,0))</f>
        <v/>
      </c>
      <c r="AC710">
        <f>IF(AB710&gt;AB709,AB710,"")</f>
        <v/>
      </c>
    </row>
    <row r="711">
      <c r="W711" s="7" t="n"/>
      <c r="X711" s="7" t="n"/>
      <c r="Z711">
        <f>Z710+IF(W711="",0,IF(ISNA(MATCH(W711,W$256:W710,0)),1,0))</f>
        <v/>
      </c>
      <c r="AA711">
        <f>IF(Z711&gt;Z710,Z711,"")</f>
        <v/>
      </c>
      <c r="AB711">
        <f>AB710+IF(X711="",0,IF(ISNA(MATCH(X711,X$256:X710,0)),1,0))</f>
        <v/>
      </c>
      <c r="AC711">
        <f>IF(AB711&gt;AB710,AB711,"")</f>
        <v/>
      </c>
    </row>
    <row r="712">
      <c r="W712" s="7" t="n"/>
      <c r="X712" s="7" t="n"/>
      <c r="Z712">
        <f>Z711+IF(W712="",0,IF(ISNA(MATCH(W712,W$256:W711,0)),1,0))</f>
        <v/>
      </c>
      <c r="AA712">
        <f>IF(Z712&gt;Z711,Z712,"")</f>
        <v/>
      </c>
      <c r="AB712">
        <f>AB711+IF(X712="",0,IF(ISNA(MATCH(X712,X$256:X711,0)),1,0))</f>
        <v/>
      </c>
      <c r="AC712">
        <f>IF(AB712&gt;AB711,AB712,"")</f>
        <v/>
      </c>
    </row>
    <row r="713">
      <c r="W713" s="7" t="n"/>
      <c r="X713" s="7" t="n"/>
      <c r="Z713">
        <f>Z712+IF(W713="",0,IF(ISNA(MATCH(W713,W$256:W712,0)),1,0))</f>
        <v/>
      </c>
      <c r="AA713">
        <f>IF(Z713&gt;Z712,Z713,"")</f>
        <v/>
      </c>
      <c r="AB713">
        <f>AB712+IF(X713="",0,IF(ISNA(MATCH(X713,X$256:X712,0)),1,0))</f>
        <v/>
      </c>
      <c r="AC713">
        <f>IF(AB713&gt;AB712,AB713,"")</f>
        <v/>
      </c>
    </row>
    <row r="714">
      <c r="W714" s="7" t="n"/>
      <c r="X714" s="7" t="n"/>
      <c r="Z714">
        <f>Z713+IF(W714="",0,IF(ISNA(MATCH(W714,W$256:W713,0)),1,0))</f>
        <v/>
      </c>
      <c r="AA714">
        <f>IF(Z714&gt;Z713,Z714,"")</f>
        <v/>
      </c>
      <c r="AB714">
        <f>AB713+IF(X714="",0,IF(ISNA(MATCH(X714,X$256:X713,0)),1,0))</f>
        <v/>
      </c>
      <c r="AC714">
        <f>IF(AB714&gt;AB713,AB714,"")</f>
        <v/>
      </c>
    </row>
    <row r="715">
      <c r="W715" s="7" t="n"/>
      <c r="X715" s="7" t="n"/>
      <c r="Z715">
        <f>Z714+IF(W715="",0,IF(ISNA(MATCH(W715,W$256:W714,0)),1,0))</f>
        <v/>
      </c>
      <c r="AA715">
        <f>IF(Z715&gt;Z714,Z715,"")</f>
        <v/>
      </c>
      <c r="AB715">
        <f>AB714+IF(X715="",0,IF(ISNA(MATCH(X715,X$256:X714,0)),1,0))</f>
        <v/>
      </c>
      <c r="AC715">
        <f>IF(AB715&gt;AB714,AB715,"")</f>
        <v/>
      </c>
    </row>
    <row r="716">
      <c r="W716" s="7" t="n"/>
      <c r="X716" s="7" t="n"/>
      <c r="Z716">
        <f>Z715+IF(W716="",0,IF(ISNA(MATCH(W716,W$256:W715,0)),1,0))</f>
        <v/>
      </c>
      <c r="AA716">
        <f>IF(Z716&gt;Z715,Z716,"")</f>
        <v/>
      </c>
      <c r="AB716">
        <f>AB715+IF(X716="",0,IF(ISNA(MATCH(X716,X$256:X715,0)),1,0))</f>
        <v/>
      </c>
      <c r="AC716">
        <f>IF(AB716&gt;AB715,AB716,"")</f>
        <v/>
      </c>
    </row>
    <row r="717">
      <c r="W717" s="7" t="n"/>
      <c r="X717" s="7" t="n"/>
      <c r="Z717">
        <f>Z716+IF(W717="",0,IF(ISNA(MATCH(W717,W$256:W716,0)),1,0))</f>
        <v/>
      </c>
      <c r="AA717">
        <f>IF(Z717&gt;Z716,Z717,"")</f>
        <v/>
      </c>
      <c r="AB717">
        <f>AB716+IF(X717="",0,IF(ISNA(MATCH(X717,X$256:X716,0)),1,0))</f>
        <v/>
      </c>
      <c r="AC717">
        <f>IF(AB717&gt;AB716,AB717,"")</f>
        <v/>
      </c>
    </row>
    <row r="718">
      <c r="W718" s="7" t="n"/>
      <c r="X718" s="7" t="n"/>
      <c r="Z718">
        <f>Z717+IF(W718="",0,IF(ISNA(MATCH(W718,W$256:W717,0)),1,0))</f>
        <v/>
      </c>
      <c r="AA718">
        <f>IF(Z718&gt;Z717,Z718,"")</f>
        <v/>
      </c>
      <c r="AB718">
        <f>AB717+IF(X718="",0,IF(ISNA(MATCH(X718,X$256:X717,0)),1,0))</f>
        <v/>
      </c>
      <c r="AC718">
        <f>IF(AB718&gt;AB717,AB718,"")</f>
        <v/>
      </c>
    </row>
    <row r="719">
      <c r="W719" s="7" t="n"/>
      <c r="X719" s="7" t="n"/>
      <c r="Z719">
        <f>Z718+IF(W719="",0,IF(ISNA(MATCH(W719,W$256:W718,0)),1,0))</f>
        <v/>
      </c>
      <c r="AA719">
        <f>IF(Z719&gt;Z718,Z719,"")</f>
        <v/>
      </c>
      <c r="AB719">
        <f>AB718+IF(X719="",0,IF(ISNA(MATCH(X719,X$256:X718,0)),1,0))</f>
        <v/>
      </c>
      <c r="AC719">
        <f>IF(AB719&gt;AB718,AB719,"")</f>
        <v/>
      </c>
    </row>
    <row r="720">
      <c r="W720" s="7" t="n"/>
      <c r="X720" s="7" t="n"/>
      <c r="Z720">
        <f>Z719+IF(W720="",0,IF(ISNA(MATCH(W720,W$256:W719,0)),1,0))</f>
        <v/>
      </c>
      <c r="AA720">
        <f>IF(Z720&gt;Z719,Z720,"")</f>
        <v/>
      </c>
      <c r="AB720">
        <f>AB719+IF(X720="",0,IF(ISNA(MATCH(X720,X$256:X719,0)),1,0))</f>
        <v/>
      </c>
      <c r="AC720">
        <f>IF(AB720&gt;AB719,AB720,"")</f>
        <v/>
      </c>
    </row>
    <row r="721">
      <c r="W721" s="7" t="n"/>
      <c r="X721" s="7" t="n"/>
      <c r="Z721">
        <f>Z720+IF(W721="",0,IF(ISNA(MATCH(W721,W$256:W720,0)),1,0))</f>
        <v/>
      </c>
      <c r="AA721">
        <f>IF(Z721&gt;Z720,Z721,"")</f>
        <v/>
      </c>
      <c r="AB721">
        <f>AB720+IF(X721="",0,IF(ISNA(MATCH(X721,X$256:X720,0)),1,0))</f>
        <v/>
      </c>
      <c r="AC721">
        <f>IF(AB721&gt;AB720,AB721,"")</f>
        <v/>
      </c>
    </row>
    <row r="722">
      <c r="W722" s="7" t="n"/>
      <c r="X722" s="7" t="n"/>
      <c r="Z722">
        <f>Z721+IF(W722="",0,IF(ISNA(MATCH(W722,W$256:W721,0)),1,0))</f>
        <v/>
      </c>
      <c r="AA722">
        <f>IF(Z722&gt;Z721,Z722,"")</f>
        <v/>
      </c>
      <c r="AB722">
        <f>AB721+IF(X722="",0,IF(ISNA(MATCH(X722,X$256:X721,0)),1,0))</f>
        <v/>
      </c>
      <c r="AC722">
        <f>IF(AB722&gt;AB721,AB722,"")</f>
        <v/>
      </c>
    </row>
    <row r="723">
      <c r="W723" s="7" t="n"/>
      <c r="X723" s="7" t="n"/>
      <c r="Z723">
        <f>Z722+IF(W723="",0,IF(ISNA(MATCH(W723,W$256:W722,0)),1,0))</f>
        <v/>
      </c>
      <c r="AA723">
        <f>IF(Z723&gt;Z722,Z723,"")</f>
        <v/>
      </c>
      <c r="AB723">
        <f>AB722+IF(X723="",0,IF(ISNA(MATCH(X723,X$256:X722,0)),1,0))</f>
        <v/>
      </c>
      <c r="AC723">
        <f>IF(AB723&gt;AB722,AB723,"")</f>
        <v/>
      </c>
    </row>
    <row r="724">
      <c r="W724" s="7" t="n"/>
      <c r="X724" s="7" t="n"/>
      <c r="Z724">
        <f>Z723+IF(W724="",0,IF(ISNA(MATCH(W724,W$256:W723,0)),1,0))</f>
        <v/>
      </c>
      <c r="AA724">
        <f>IF(Z724&gt;Z723,Z724,"")</f>
        <v/>
      </c>
      <c r="AB724">
        <f>AB723+IF(X724="",0,IF(ISNA(MATCH(X724,X$256:X723,0)),1,0))</f>
        <v/>
      </c>
      <c r="AC724">
        <f>IF(AB724&gt;AB723,AB724,"")</f>
        <v/>
      </c>
    </row>
    <row r="725">
      <c r="W725" s="7" t="n"/>
      <c r="X725" s="7" t="n"/>
      <c r="Z725">
        <f>Z724+IF(W725="",0,IF(ISNA(MATCH(W725,W$256:W724,0)),1,0))</f>
        <v/>
      </c>
      <c r="AA725">
        <f>IF(Z725&gt;Z724,Z725,"")</f>
        <v/>
      </c>
      <c r="AB725">
        <f>AB724+IF(X725="",0,IF(ISNA(MATCH(X725,X$256:X724,0)),1,0))</f>
        <v/>
      </c>
      <c r="AC725">
        <f>IF(AB725&gt;AB724,AB725,"")</f>
        <v/>
      </c>
    </row>
    <row r="726">
      <c r="W726" s="7" t="n"/>
      <c r="X726" s="7" t="n"/>
      <c r="Z726">
        <f>Z725+IF(W726="",0,IF(ISNA(MATCH(W726,W$256:W725,0)),1,0))</f>
        <v/>
      </c>
      <c r="AA726">
        <f>IF(Z726&gt;Z725,Z726,"")</f>
        <v/>
      </c>
      <c r="AB726">
        <f>AB725+IF(X726="",0,IF(ISNA(MATCH(X726,X$256:X725,0)),1,0))</f>
        <v/>
      </c>
      <c r="AC726">
        <f>IF(AB726&gt;AB725,AB726,"")</f>
        <v/>
      </c>
    </row>
    <row r="727">
      <c r="W727" s="7" t="n"/>
      <c r="X727" s="7" t="n"/>
      <c r="Z727">
        <f>Z726+IF(W727="",0,IF(ISNA(MATCH(W727,W$256:W726,0)),1,0))</f>
        <v/>
      </c>
      <c r="AA727">
        <f>IF(Z727&gt;Z726,Z727,"")</f>
        <v/>
      </c>
      <c r="AB727">
        <f>AB726+IF(X727="",0,IF(ISNA(MATCH(X727,X$256:X726,0)),1,0))</f>
        <v/>
      </c>
      <c r="AC727">
        <f>IF(AB727&gt;AB726,AB727,"")</f>
        <v/>
      </c>
    </row>
    <row r="728">
      <c r="W728" s="7" t="n"/>
      <c r="X728" s="7" t="n"/>
      <c r="Z728">
        <f>Z727+IF(W728="",0,IF(ISNA(MATCH(W728,W$256:W727,0)),1,0))</f>
        <v/>
      </c>
      <c r="AA728">
        <f>IF(Z728&gt;Z727,Z728,"")</f>
        <v/>
      </c>
      <c r="AB728">
        <f>AB727+IF(X728="",0,IF(ISNA(MATCH(X728,X$256:X727,0)),1,0))</f>
        <v/>
      </c>
      <c r="AC728">
        <f>IF(AB728&gt;AB727,AB728,"")</f>
        <v/>
      </c>
    </row>
    <row r="729">
      <c r="W729" s="7" t="n"/>
      <c r="X729" s="7" t="n"/>
      <c r="Z729">
        <f>Z728+IF(W729="",0,IF(ISNA(MATCH(W729,W$256:W728,0)),1,0))</f>
        <v/>
      </c>
      <c r="AA729">
        <f>IF(Z729&gt;Z728,Z729,"")</f>
        <v/>
      </c>
      <c r="AB729">
        <f>AB728+IF(X729="",0,IF(ISNA(MATCH(X729,X$256:X728,0)),1,0))</f>
        <v/>
      </c>
      <c r="AC729">
        <f>IF(AB729&gt;AB728,AB729,"")</f>
        <v/>
      </c>
    </row>
    <row r="730">
      <c r="W730" s="7" t="n"/>
      <c r="X730" s="7" t="n"/>
      <c r="Z730">
        <f>Z729+IF(W730="",0,IF(ISNA(MATCH(W730,W$256:W729,0)),1,0))</f>
        <v/>
      </c>
      <c r="AA730">
        <f>IF(Z730&gt;Z729,Z730,"")</f>
        <v/>
      </c>
      <c r="AB730">
        <f>AB729+IF(X730="",0,IF(ISNA(MATCH(X730,X$256:X729,0)),1,0))</f>
        <v/>
      </c>
      <c r="AC730">
        <f>IF(AB730&gt;AB729,AB730,"")</f>
        <v/>
      </c>
    </row>
    <row r="731">
      <c r="W731" s="7" t="n"/>
      <c r="X731" s="7" t="n"/>
      <c r="Z731">
        <f>Z730+IF(W731="",0,IF(ISNA(MATCH(W731,W$256:W730,0)),1,0))</f>
        <v/>
      </c>
      <c r="AA731">
        <f>IF(Z731&gt;Z730,Z731,"")</f>
        <v/>
      </c>
      <c r="AB731">
        <f>AB730+IF(X731="",0,IF(ISNA(MATCH(X731,X$256:X730,0)),1,0))</f>
        <v/>
      </c>
      <c r="AC731">
        <f>IF(AB731&gt;AB730,AB731,"")</f>
        <v/>
      </c>
    </row>
    <row r="732">
      <c r="W732" s="7" t="n"/>
      <c r="X732" s="7" t="n"/>
      <c r="Z732">
        <f>Z731+IF(W732="",0,IF(ISNA(MATCH(W732,W$256:W731,0)),1,0))</f>
        <v/>
      </c>
      <c r="AA732">
        <f>IF(Z732&gt;Z731,Z732,"")</f>
        <v/>
      </c>
      <c r="AB732">
        <f>AB731+IF(X732="",0,IF(ISNA(MATCH(X732,X$256:X731,0)),1,0))</f>
        <v/>
      </c>
      <c r="AC732">
        <f>IF(AB732&gt;AB731,AB732,"")</f>
        <v/>
      </c>
    </row>
    <row r="733">
      <c r="W733" s="7" t="n"/>
      <c r="X733" s="7" t="n"/>
      <c r="Z733">
        <f>Z732+IF(W733="",0,IF(ISNA(MATCH(W733,W$256:W732,0)),1,0))</f>
        <v/>
      </c>
      <c r="AA733">
        <f>IF(Z733&gt;Z732,Z733,"")</f>
        <v/>
      </c>
      <c r="AB733">
        <f>AB732+IF(X733="",0,IF(ISNA(MATCH(X733,X$256:X732,0)),1,0))</f>
        <v/>
      </c>
      <c r="AC733">
        <f>IF(AB733&gt;AB732,AB733,"")</f>
        <v/>
      </c>
    </row>
    <row r="734">
      <c r="W734" s="7" t="n"/>
      <c r="X734" s="7" t="n"/>
      <c r="Z734">
        <f>Z733+IF(W734="",0,IF(ISNA(MATCH(W734,W$256:W733,0)),1,0))</f>
        <v/>
      </c>
      <c r="AA734">
        <f>IF(Z734&gt;Z733,Z734,"")</f>
        <v/>
      </c>
      <c r="AB734">
        <f>AB733+IF(X734="",0,IF(ISNA(MATCH(X734,X$256:X733,0)),1,0))</f>
        <v/>
      </c>
      <c r="AC734">
        <f>IF(AB734&gt;AB733,AB734,"")</f>
        <v/>
      </c>
    </row>
    <row r="735">
      <c r="W735" s="7" t="n"/>
      <c r="X735" s="7" t="n"/>
      <c r="Z735">
        <f>Z734+IF(W735="",0,IF(ISNA(MATCH(W735,W$256:W734,0)),1,0))</f>
        <v/>
      </c>
      <c r="AA735">
        <f>IF(Z735&gt;Z734,Z735,"")</f>
        <v/>
      </c>
      <c r="AB735">
        <f>AB734+IF(X735="",0,IF(ISNA(MATCH(X735,X$256:X734,0)),1,0))</f>
        <v/>
      </c>
      <c r="AC735">
        <f>IF(AB735&gt;AB734,AB735,"")</f>
        <v/>
      </c>
    </row>
    <row r="736">
      <c r="W736" s="7" t="n"/>
      <c r="X736" s="7" t="n"/>
      <c r="Z736">
        <f>Z735+IF(W736="",0,IF(ISNA(MATCH(W736,W$256:W735,0)),1,0))</f>
        <v/>
      </c>
      <c r="AA736">
        <f>IF(Z736&gt;Z735,Z736,"")</f>
        <v/>
      </c>
      <c r="AB736">
        <f>AB735+IF(X736="",0,IF(ISNA(MATCH(X736,X$256:X735,0)),1,0))</f>
        <v/>
      </c>
      <c r="AC736">
        <f>IF(AB736&gt;AB735,AB736,"")</f>
        <v/>
      </c>
    </row>
    <row r="737">
      <c r="W737" s="7" t="n"/>
      <c r="X737" s="7" t="n"/>
      <c r="Z737">
        <f>Z736+IF(W737="",0,IF(ISNA(MATCH(W737,W$256:W736,0)),1,0))</f>
        <v/>
      </c>
      <c r="AA737">
        <f>IF(Z737&gt;Z736,Z737,"")</f>
        <v/>
      </c>
      <c r="AB737">
        <f>AB736+IF(X737="",0,IF(ISNA(MATCH(X737,X$256:X736,0)),1,0))</f>
        <v/>
      </c>
      <c r="AC737">
        <f>IF(AB737&gt;AB736,AB737,"")</f>
        <v/>
      </c>
    </row>
    <row r="738">
      <c r="W738" s="7" t="n"/>
      <c r="X738" s="7" t="n"/>
      <c r="Z738">
        <f>Z737+IF(W738="",0,IF(ISNA(MATCH(W738,W$256:W737,0)),1,0))</f>
        <v/>
      </c>
      <c r="AA738">
        <f>IF(Z738&gt;Z737,Z738,"")</f>
        <v/>
      </c>
      <c r="AB738">
        <f>AB737+IF(X738="",0,IF(ISNA(MATCH(X738,X$256:X737,0)),1,0))</f>
        <v/>
      </c>
      <c r="AC738">
        <f>IF(AB738&gt;AB737,AB738,"")</f>
        <v/>
      </c>
    </row>
    <row r="739">
      <c r="W739" s="7" t="n"/>
      <c r="X739" s="7" t="n"/>
      <c r="Z739">
        <f>Z738+IF(W739="",0,IF(ISNA(MATCH(W739,W$256:W738,0)),1,0))</f>
        <v/>
      </c>
      <c r="AA739">
        <f>IF(Z739&gt;Z738,Z739,"")</f>
        <v/>
      </c>
      <c r="AB739">
        <f>AB738+IF(X739="",0,IF(ISNA(MATCH(X739,X$256:X738,0)),1,0))</f>
        <v/>
      </c>
      <c r="AC739">
        <f>IF(AB739&gt;AB738,AB739,"")</f>
        <v/>
      </c>
    </row>
    <row r="740">
      <c r="W740" s="7" t="n"/>
      <c r="X740" s="7" t="n"/>
      <c r="Z740">
        <f>Z739+IF(W740="",0,IF(ISNA(MATCH(W740,W$256:W739,0)),1,0))</f>
        <v/>
      </c>
      <c r="AA740">
        <f>IF(Z740&gt;Z739,Z740,"")</f>
        <v/>
      </c>
      <c r="AB740">
        <f>AB739+IF(X740="",0,IF(ISNA(MATCH(X740,X$256:X739,0)),1,0))</f>
        <v/>
      </c>
      <c r="AC740">
        <f>IF(AB740&gt;AB739,AB740,"")</f>
        <v/>
      </c>
    </row>
    <row r="741">
      <c r="W741" s="7" t="n"/>
      <c r="X741" s="7" t="n"/>
      <c r="Z741">
        <f>Z740+IF(W741="",0,IF(ISNA(MATCH(W741,W$256:W740,0)),1,0))</f>
        <v/>
      </c>
      <c r="AA741">
        <f>IF(Z741&gt;Z740,Z741,"")</f>
        <v/>
      </c>
      <c r="AB741">
        <f>AB740+IF(X741="",0,IF(ISNA(MATCH(X741,X$256:X740,0)),1,0))</f>
        <v/>
      </c>
      <c r="AC741">
        <f>IF(AB741&gt;AB740,AB741,"")</f>
        <v/>
      </c>
    </row>
    <row r="742">
      <c r="W742" s="7" t="n"/>
      <c r="X742" s="7" t="n"/>
      <c r="Z742">
        <f>Z741+IF(W742="",0,IF(ISNA(MATCH(W742,W$256:W741,0)),1,0))</f>
        <v/>
      </c>
      <c r="AA742">
        <f>IF(Z742&gt;Z741,Z742,"")</f>
        <v/>
      </c>
      <c r="AB742">
        <f>AB741+IF(X742="",0,IF(ISNA(MATCH(X742,X$256:X741,0)),1,0))</f>
        <v/>
      </c>
      <c r="AC742">
        <f>IF(AB742&gt;AB741,AB742,"")</f>
        <v/>
      </c>
    </row>
    <row r="743">
      <c r="W743" s="7" t="n"/>
      <c r="X743" s="7" t="n"/>
      <c r="Z743">
        <f>Z742+IF(W743="",0,IF(ISNA(MATCH(W743,W$256:W742,0)),1,0))</f>
        <v/>
      </c>
      <c r="AA743">
        <f>IF(Z743&gt;Z742,Z743,"")</f>
        <v/>
      </c>
      <c r="AB743">
        <f>AB742+IF(X743="",0,IF(ISNA(MATCH(X743,X$256:X742,0)),1,0))</f>
        <v/>
      </c>
      <c r="AC743">
        <f>IF(AB743&gt;AB742,AB743,"")</f>
        <v/>
      </c>
    </row>
    <row r="744">
      <c r="W744" s="7" t="n"/>
      <c r="X744" s="7" t="n"/>
      <c r="Z744">
        <f>Z743+IF(W744="",0,IF(ISNA(MATCH(W744,W$256:W743,0)),1,0))</f>
        <v/>
      </c>
      <c r="AA744">
        <f>IF(Z744&gt;Z743,Z744,"")</f>
        <v/>
      </c>
      <c r="AB744">
        <f>AB743+IF(X744="",0,IF(ISNA(MATCH(X744,X$256:X743,0)),1,0))</f>
        <v/>
      </c>
      <c r="AC744">
        <f>IF(AB744&gt;AB743,AB744,"")</f>
        <v/>
      </c>
    </row>
    <row r="745">
      <c r="W745" s="7" t="n"/>
      <c r="X745" s="7" t="n"/>
      <c r="Z745">
        <f>Z744+IF(W745="",0,IF(ISNA(MATCH(W745,W$256:W744,0)),1,0))</f>
        <v/>
      </c>
      <c r="AA745">
        <f>IF(Z745&gt;Z744,Z745,"")</f>
        <v/>
      </c>
      <c r="AB745">
        <f>AB744+IF(X745="",0,IF(ISNA(MATCH(X745,X$256:X744,0)),1,0))</f>
        <v/>
      </c>
      <c r="AC745">
        <f>IF(AB745&gt;AB744,AB745,"")</f>
        <v/>
      </c>
    </row>
    <row r="746">
      <c r="W746" s="7" t="n"/>
      <c r="X746" s="7" t="n"/>
      <c r="Z746">
        <f>Z745+IF(W746="",0,IF(ISNA(MATCH(W746,W$256:W745,0)),1,0))</f>
        <v/>
      </c>
      <c r="AA746">
        <f>IF(Z746&gt;Z745,Z746,"")</f>
        <v/>
      </c>
      <c r="AB746">
        <f>AB745+IF(X746="",0,IF(ISNA(MATCH(X746,X$256:X745,0)),1,0))</f>
        <v/>
      </c>
      <c r="AC746">
        <f>IF(AB746&gt;AB745,AB746,"")</f>
        <v/>
      </c>
    </row>
    <row r="747">
      <c r="W747" s="7" t="n"/>
      <c r="X747" s="7" t="n"/>
      <c r="Z747">
        <f>Z746+IF(W747="",0,IF(ISNA(MATCH(W747,W$256:W746,0)),1,0))</f>
        <v/>
      </c>
      <c r="AA747">
        <f>IF(Z747&gt;Z746,Z747,"")</f>
        <v/>
      </c>
      <c r="AB747">
        <f>AB746+IF(X747="",0,IF(ISNA(MATCH(X747,X$256:X746,0)),1,0))</f>
        <v/>
      </c>
      <c r="AC747">
        <f>IF(AB747&gt;AB746,AB747,"")</f>
        <v/>
      </c>
    </row>
    <row r="748">
      <c r="W748" s="7" t="n"/>
      <c r="X748" s="7" t="n"/>
      <c r="Z748">
        <f>Z747+IF(W748="",0,IF(ISNA(MATCH(W748,W$256:W747,0)),1,0))</f>
        <v/>
      </c>
      <c r="AA748">
        <f>IF(Z748&gt;Z747,Z748,"")</f>
        <v/>
      </c>
      <c r="AB748">
        <f>AB747+IF(X748="",0,IF(ISNA(MATCH(X748,X$256:X747,0)),1,0))</f>
        <v/>
      </c>
      <c r="AC748">
        <f>IF(AB748&gt;AB747,AB748,"")</f>
        <v/>
      </c>
    </row>
    <row r="749">
      <c r="W749" s="7" t="n"/>
      <c r="X749" s="7" t="n"/>
      <c r="Z749">
        <f>Z748+IF(W749="",0,IF(ISNA(MATCH(W749,W$256:W748,0)),1,0))</f>
        <v/>
      </c>
      <c r="AA749">
        <f>IF(Z749&gt;Z748,Z749,"")</f>
        <v/>
      </c>
      <c r="AB749">
        <f>AB748+IF(X749="",0,IF(ISNA(MATCH(X749,X$256:X748,0)),1,0))</f>
        <v/>
      </c>
      <c r="AC749">
        <f>IF(AB749&gt;AB748,AB749,"")</f>
        <v/>
      </c>
    </row>
    <row r="750">
      <c r="W750" s="7" t="n"/>
      <c r="X750" s="7" t="n"/>
      <c r="Z750">
        <f>Z749+IF(W750="",0,IF(ISNA(MATCH(W750,W$256:W749,0)),1,0))</f>
        <v/>
      </c>
      <c r="AA750">
        <f>IF(Z750&gt;Z749,Z750,"")</f>
        <v/>
      </c>
      <c r="AB750">
        <f>AB749+IF(X750="",0,IF(ISNA(MATCH(X750,X$256:X749,0)),1,0))</f>
        <v/>
      </c>
      <c r="AC750">
        <f>IF(AB750&gt;AB749,AB750,"")</f>
        <v/>
      </c>
    </row>
    <row r="751">
      <c r="W751" s="7" t="n"/>
      <c r="X751" s="7" t="n"/>
      <c r="Z751">
        <f>Z750+IF(W751="",0,IF(ISNA(MATCH(W751,W$256:W750,0)),1,0))</f>
        <v/>
      </c>
      <c r="AA751">
        <f>IF(Z751&gt;Z750,Z751,"")</f>
        <v/>
      </c>
      <c r="AB751">
        <f>AB750+IF(X751="",0,IF(ISNA(MATCH(X751,X$256:X750,0)),1,0))</f>
        <v/>
      </c>
      <c r="AC751">
        <f>IF(AB751&gt;AB750,AB751,"")</f>
        <v/>
      </c>
    </row>
    <row r="752">
      <c r="W752" s="7" t="n"/>
      <c r="X752" s="7" t="n"/>
      <c r="Z752">
        <f>Z751+IF(W752="",0,IF(ISNA(MATCH(W752,W$256:W751,0)),1,0))</f>
        <v/>
      </c>
      <c r="AA752">
        <f>IF(Z752&gt;Z751,Z752,"")</f>
        <v/>
      </c>
      <c r="AB752">
        <f>AB751+IF(X752="",0,IF(ISNA(MATCH(X752,X$256:X751,0)),1,0))</f>
        <v/>
      </c>
      <c r="AC752">
        <f>IF(AB752&gt;AB751,AB752,"")</f>
        <v/>
      </c>
    </row>
    <row r="753">
      <c r="W753" s="7" t="n"/>
      <c r="X753" s="7" t="n"/>
      <c r="Z753">
        <f>Z752+IF(W753="",0,IF(ISNA(MATCH(W753,W$256:W752,0)),1,0))</f>
        <v/>
      </c>
      <c r="AA753">
        <f>IF(Z753&gt;Z752,Z753,"")</f>
        <v/>
      </c>
      <c r="AB753">
        <f>AB752+IF(X753="",0,IF(ISNA(MATCH(X753,X$256:X752,0)),1,0))</f>
        <v/>
      </c>
      <c r="AC753">
        <f>IF(AB753&gt;AB752,AB753,"")</f>
        <v/>
      </c>
    </row>
    <row r="754">
      <c r="W754" s="7" t="n"/>
      <c r="X754" s="7" t="n"/>
      <c r="Z754">
        <f>Z753+IF(W754="",0,IF(ISNA(MATCH(W754,W$256:W753,0)),1,0))</f>
        <v/>
      </c>
      <c r="AA754">
        <f>IF(Z754&gt;Z753,Z754,"")</f>
        <v/>
      </c>
      <c r="AB754">
        <f>AB753+IF(X754="",0,IF(ISNA(MATCH(X754,X$256:X753,0)),1,0))</f>
        <v/>
      </c>
      <c r="AC754">
        <f>IF(AB754&gt;AB753,AB754,"")</f>
        <v/>
      </c>
    </row>
    <row r="755">
      <c r="W755" s="7" t="n"/>
      <c r="X755" s="7" t="n"/>
      <c r="Z755">
        <f>Z754+IF(W755="",0,IF(ISNA(MATCH(W755,W$256:W754,0)),1,0))</f>
        <v/>
      </c>
      <c r="AA755">
        <f>IF(Z755&gt;Z754,Z755,"")</f>
        <v/>
      </c>
      <c r="AB755">
        <f>AB754+IF(X755="",0,IF(ISNA(MATCH(X755,X$256:X754,0)),1,0))</f>
        <v/>
      </c>
      <c r="AC755">
        <f>IF(AB755&gt;AB754,AB755,"")</f>
        <v/>
      </c>
    </row>
    <row r="756">
      <c r="W756" s="7" t="n"/>
      <c r="X756" s="7" t="n"/>
      <c r="Z756">
        <f>Z755+IF(W756="",0,IF(ISNA(MATCH(W756,W$256:W755,0)),1,0))</f>
        <v/>
      </c>
      <c r="AA756">
        <f>IF(Z756&gt;Z755,Z756,"")</f>
        <v/>
      </c>
      <c r="AB756">
        <f>AB755+IF(X756="",0,IF(ISNA(MATCH(X756,X$256:X755,0)),1,0))</f>
        <v/>
      </c>
      <c r="AC756">
        <f>IF(AB756&gt;AB755,AB756,"")</f>
        <v/>
      </c>
    </row>
    <row r="757">
      <c r="W757" s="7" t="n"/>
      <c r="X757" s="7" t="n"/>
      <c r="Z757">
        <f>Z756+IF(W757="",0,IF(ISNA(MATCH(W757,W$256:W756,0)),1,0))</f>
        <v/>
      </c>
      <c r="AA757">
        <f>IF(Z757&gt;Z756,Z757,"")</f>
        <v/>
      </c>
      <c r="AB757">
        <f>AB756+IF(X757="",0,IF(ISNA(MATCH(X757,X$256:X756,0)),1,0))</f>
        <v/>
      </c>
      <c r="AC757">
        <f>IF(AB757&gt;AB756,AB757,"")</f>
        <v/>
      </c>
    </row>
    <row r="758">
      <c r="W758" s="7" t="n"/>
      <c r="X758" s="7" t="n"/>
      <c r="Z758">
        <f>Z757+IF(W758="",0,IF(ISNA(MATCH(W758,W$256:W757,0)),1,0))</f>
        <v/>
      </c>
      <c r="AA758">
        <f>IF(Z758&gt;Z757,Z758,"")</f>
        <v/>
      </c>
      <c r="AB758">
        <f>AB757+IF(X758="",0,IF(ISNA(MATCH(X758,X$256:X757,0)),1,0))</f>
        <v/>
      </c>
      <c r="AC758">
        <f>IF(AB758&gt;AB757,AB758,"")</f>
        <v/>
      </c>
    </row>
    <row r="759">
      <c r="W759" s="7" t="n"/>
      <c r="X759" s="7" t="n"/>
      <c r="Z759">
        <f>Z758+IF(W759="",0,IF(ISNA(MATCH(W759,W$256:W758,0)),1,0))</f>
        <v/>
      </c>
      <c r="AA759">
        <f>IF(Z759&gt;Z758,Z759,"")</f>
        <v/>
      </c>
      <c r="AB759">
        <f>AB758+IF(X759="",0,IF(ISNA(MATCH(X759,X$256:X758,0)),1,0))</f>
        <v/>
      </c>
      <c r="AC759">
        <f>IF(AB759&gt;AB758,AB759,"")</f>
        <v/>
      </c>
    </row>
    <row r="760">
      <c r="W760" s="7" t="n"/>
      <c r="X760" s="7" t="n"/>
      <c r="Z760">
        <f>Z759+IF(W760="",0,IF(ISNA(MATCH(W760,W$256:W759,0)),1,0))</f>
        <v/>
      </c>
      <c r="AA760">
        <f>IF(Z760&gt;Z759,Z760,"")</f>
        <v/>
      </c>
      <c r="AB760">
        <f>AB759+IF(X760="",0,IF(ISNA(MATCH(X760,X$256:X759,0)),1,0))</f>
        <v/>
      </c>
      <c r="AC760">
        <f>IF(AB760&gt;AB759,AB760,"")</f>
        <v/>
      </c>
    </row>
    <row r="761">
      <c r="W761" s="7" t="n"/>
      <c r="X761" s="7" t="n"/>
      <c r="Z761">
        <f>Z760+IF(W761="",0,IF(ISNA(MATCH(W761,W$256:W760,0)),1,0))</f>
        <v/>
      </c>
      <c r="AA761">
        <f>IF(Z761&gt;Z760,Z761,"")</f>
        <v/>
      </c>
      <c r="AB761">
        <f>AB760+IF(X761="",0,IF(ISNA(MATCH(X761,X$256:X760,0)),1,0))</f>
        <v/>
      </c>
      <c r="AC761">
        <f>IF(AB761&gt;AB760,AB761,"")</f>
        <v/>
      </c>
    </row>
    <row r="762">
      <c r="W762" s="7" t="n"/>
      <c r="X762" s="7" t="n"/>
      <c r="Z762">
        <f>Z761+IF(W762="",0,IF(ISNA(MATCH(W762,W$256:W761,0)),1,0))</f>
        <v/>
      </c>
      <c r="AA762">
        <f>IF(Z762&gt;Z761,Z762,"")</f>
        <v/>
      </c>
      <c r="AB762">
        <f>AB761+IF(X762="",0,IF(ISNA(MATCH(X762,X$256:X761,0)),1,0))</f>
        <v/>
      </c>
      <c r="AC762">
        <f>IF(AB762&gt;AB761,AB762,"")</f>
        <v/>
      </c>
    </row>
    <row r="763">
      <c r="W763" s="7" t="n"/>
      <c r="X763" s="7" t="n"/>
      <c r="Z763">
        <f>Z762+IF(W763="",0,IF(ISNA(MATCH(W763,W$256:W762,0)),1,0))</f>
        <v/>
      </c>
      <c r="AA763">
        <f>IF(Z763&gt;Z762,Z763,"")</f>
        <v/>
      </c>
      <c r="AB763">
        <f>AB762+IF(X763="",0,IF(ISNA(MATCH(X763,X$256:X762,0)),1,0))</f>
        <v/>
      </c>
      <c r="AC763">
        <f>IF(AB763&gt;AB762,AB763,"")</f>
        <v/>
      </c>
    </row>
    <row r="764">
      <c r="W764" s="7" t="n"/>
      <c r="X764" s="7" t="n"/>
      <c r="Z764">
        <f>Z763+IF(W764="",0,IF(ISNA(MATCH(W764,W$256:W763,0)),1,0))</f>
        <v/>
      </c>
      <c r="AA764">
        <f>IF(Z764&gt;Z763,Z764,"")</f>
        <v/>
      </c>
      <c r="AB764">
        <f>AB763+IF(X764="",0,IF(ISNA(MATCH(X764,X$256:X763,0)),1,0))</f>
        <v/>
      </c>
      <c r="AC764">
        <f>IF(AB764&gt;AB763,AB764,"")</f>
        <v/>
      </c>
    </row>
    <row r="765">
      <c r="W765" s="7" t="n"/>
      <c r="X765" s="7" t="n"/>
      <c r="Z765">
        <f>Z764+IF(W765="",0,IF(ISNA(MATCH(W765,W$256:W764,0)),1,0))</f>
        <v/>
      </c>
      <c r="AA765">
        <f>IF(Z765&gt;Z764,Z765,"")</f>
        <v/>
      </c>
      <c r="AB765">
        <f>AB764+IF(X765="",0,IF(ISNA(MATCH(X765,X$256:X764,0)),1,0))</f>
        <v/>
      </c>
      <c r="AC765">
        <f>IF(AB765&gt;AB764,AB765,"")</f>
        <v/>
      </c>
    </row>
    <row r="766">
      <c r="W766" s="7" t="n"/>
      <c r="X766" s="7" t="n"/>
      <c r="Z766">
        <f>Z765+IF(W766="",0,IF(ISNA(MATCH(W766,W$256:W765,0)),1,0))</f>
        <v/>
      </c>
      <c r="AA766">
        <f>IF(Z766&gt;Z765,Z766,"")</f>
        <v/>
      </c>
      <c r="AB766">
        <f>AB765+IF(X766="",0,IF(ISNA(MATCH(X766,X$256:X765,0)),1,0))</f>
        <v/>
      </c>
      <c r="AC766">
        <f>IF(AB766&gt;AB765,AB766,"")</f>
        <v/>
      </c>
    </row>
    <row r="767">
      <c r="W767" s="7" t="n"/>
      <c r="X767" s="7" t="n"/>
      <c r="Z767">
        <f>Z766+IF(W767="",0,IF(ISNA(MATCH(W767,W$256:W766,0)),1,0))</f>
        <v/>
      </c>
      <c r="AA767">
        <f>IF(Z767&gt;Z766,Z767,"")</f>
        <v/>
      </c>
      <c r="AB767">
        <f>AB766+IF(X767="",0,IF(ISNA(MATCH(X767,X$256:X766,0)),1,0))</f>
        <v/>
      </c>
      <c r="AC767">
        <f>IF(AB767&gt;AB766,AB767,"")</f>
        <v/>
      </c>
    </row>
    <row r="768">
      <c r="W768" s="7" t="n"/>
      <c r="X768" s="7" t="n"/>
      <c r="Z768">
        <f>Z767+IF(W768="",0,IF(ISNA(MATCH(W768,W$256:W767,0)),1,0))</f>
        <v/>
      </c>
      <c r="AA768">
        <f>IF(Z768&gt;Z767,Z768,"")</f>
        <v/>
      </c>
      <c r="AB768">
        <f>AB767+IF(X768="",0,IF(ISNA(MATCH(X768,X$256:X767,0)),1,0))</f>
        <v/>
      </c>
      <c r="AC768">
        <f>IF(AB768&gt;AB767,AB768,"")</f>
        <v/>
      </c>
    </row>
    <row r="769">
      <c r="W769" s="7" t="n"/>
      <c r="X769" s="7" t="n"/>
      <c r="Z769">
        <f>Z768+IF(W769="",0,IF(ISNA(MATCH(W769,W$256:W768,0)),1,0))</f>
        <v/>
      </c>
      <c r="AA769">
        <f>IF(Z769&gt;Z768,Z769,"")</f>
        <v/>
      </c>
      <c r="AB769">
        <f>AB768+IF(X769="",0,IF(ISNA(MATCH(X769,X$256:X768,0)),1,0))</f>
        <v/>
      </c>
      <c r="AC769">
        <f>IF(AB769&gt;AB768,AB769,"")</f>
        <v/>
      </c>
    </row>
    <row r="770">
      <c r="W770" s="7" t="n"/>
      <c r="X770" s="7" t="n"/>
      <c r="Z770">
        <f>Z769+IF(W770="",0,IF(ISNA(MATCH(W770,W$256:W769,0)),1,0))</f>
        <v/>
      </c>
      <c r="AA770">
        <f>IF(Z770&gt;Z769,Z770,"")</f>
        <v/>
      </c>
      <c r="AB770">
        <f>AB769+IF(X770="",0,IF(ISNA(MATCH(X770,X$256:X769,0)),1,0))</f>
        <v/>
      </c>
      <c r="AC770">
        <f>IF(AB770&gt;AB769,AB770,"")</f>
        <v/>
      </c>
    </row>
    <row r="771">
      <c r="W771" s="7" t="n"/>
      <c r="X771" s="7" t="n"/>
      <c r="Z771">
        <f>Z770+IF(W771="",0,IF(ISNA(MATCH(W771,W$256:W770,0)),1,0))</f>
        <v/>
      </c>
      <c r="AA771">
        <f>IF(Z771&gt;Z770,Z771,"")</f>
        <v/>
      </c>
      <c r="AB771">
        <f>AB770+IF(X771="",0,IF(ISNA(MATCH(X771,X$256:X770,0)),1,0))</f>
        <v/>
      </c>
      <c r="AC771">
        <f>IF(AB771&gt;AB770,AB771,"")</f>
        <v/>
      </c>
    </row>
    <row r="772">
      <c r="W772" s="7" t="n"/>
      <c r="X772" s="7" t="n"/>
      <c r="Z772">
        <f>Z771+IF(W772="",0,IF(ISNA(MATCH(W772,W$256:W771,0)),1,0))</f>
        <v/>
      </c>
      <c r="AA772">
        <f>IF(Z772&gt;Z771,Z772,"")</f>
        <v/>
      </c>
      <c r="AB772">
        <f>AB771+IF(X772="",0,IF(ISNA(MATCH(X772,X$256:X771,0)),1,0))</f>
        <v/>
      </c>
      <c r="AC772">
        <f>IF(AB772&gt;AB771,AB772,"")</f>
        <v/>
      </c>
    </row>
    <row r="773">
      <c r="W773" s="7" t="n"/>
      <c r="X773" s="7" t="n"/>
      <c r="Z773">
        <f>Z772+IF(W773="",0,IF(ISNA(MATCH(W773,W$256:W772,0)),1,0))</f>
        <v/>
      </c>
      <c r="AA773">
        <f>IF(Z773&gt;Z772,Z773,"")</f>
        <v/>
      </c>
      <c r="AB773">
        <f>AB772+IF(X773="",0,IF(ISNA(MATCH(X773,X$256:X772,0)),1,0))</f>
        <v/>
      </c>
      <c r="AC773">
        <f>IF(AB773&gt;AB772,AB773,"")</f>
        <v/>
      </c>
    </row>
    <row r="774">
      <c r="W774" s="7" t="n"/>
      <c r="X774" s="7" t="n"/>
      <c r="Z774">
        <f>Z773+IF(W774="",0,IF(ISNA(MATCH(W774,W$256:W773,0)),1,0))</f>
        <v/>
      </c>
      <c r="AA774">
        <f>IF(Z774&gt;Z773,Z774,"")</f>
        <v/>
      </c>
      <c r="AB774">
        <f>AB773+IF(X774="",0,IF(ISNA(MATCH(X774,X$256:X773,0)),1,0))</f>
        <v/>
      </c>
      <c r="AC774">
        <f>IF(AB774&gt;AB773,AB774,"")</f>
        <v/>
      </c>
    </row>
    <row r="775">
      <c r="W775" s="7" t="n"/>
      <c r="X775" s="7" t="n"/>
      <c r="Z775">
        <f>Z774+IF(W775="",0,IF(ISNA(MATCH(W775,W$256:W774,0)),1,0))</f>
        <v/>
      </c>
      <c r="AA775">
        <f>IF(Z775&gt;Z774,Z775,"")</f>
        <v/>
      </c>
      <c r="AB775">
        <f>AB774+IF(X775="",0,IF(ISNA(MATCH(X775,X$256:X774,0)),1,0))</f>
        <v/>
      </c>
      <c r="AC775">
        <f>IF(AB775&gt;AB774,AB775,"")</f>
        <v/>
      </c>
    </row>
    <row r="776">
      <c r="W776" s="7" t="n"/>
      <c r="X776" s="7" t="n"/>
      <c r="Z776">
        <f>Z775+IF(W776="",0,IF(ISNA(MATCH(W776,W$256:W775,0)),1,0))</f>
        <v/>
      </c>
      <c r="AA776">
        <f>IF(Z776&gt;Z775,Z776,"")</f>
        <v/>
      </c>
      <c r="AB776">
        <f>AB775+IF(X776="",0,IF(ISNA(MATCH(X776,X$256:X775,0)),1,0))</f>
        <v/>
      </c>
      <c r="AC776">
        <f>IF(AB776&gt;AB775,AB776,"")</f>
        <v/>
      </c>
    </row>
    <row r="777">
      <c r="W777" s="7" t="n"/>
      <c r="X777" s="7" t="n"/>
      <c r="Z777">
        <f>Z776+IF(W777="",0,IF(ISNA(MATCH(W777,W$256:W776,0)),1,0))</f>
        <v/>
      </c>
      <c r="AA777">
        <f>IF(Z777&gt;Z776,Z777,"")</f>
        <v/>
      </c>
      <c r="AB777">
        <f>AB776+IF(X777="",0,IF(ISNA(MATCH(X777,X$256:X776,0)),1,0))</f>
        <v/>
      </c>
      <c r="AC777">
        <f>IF(AB777&gt;AB776,AB777,"")</f>
        <v/>
      </c>
    </row>
    <row r="778">
      <c r="W778" s="7" t="n"/>
      <c r="X778" s="7" t="n"/>
      <c r="Z778">
        <f>Z777+IF(W778="",0,IF(ISNA(MATCH(W778,W$256:W777,0)),1,0))</f>
        <v/>
      </c>
      <c r="AA778">
        <f>IF(Z778&gt;Z777,Z778,"")</f>
        <v/>
      </c>
      <c r="AB778">
        <f>AB777+IF(X778="",0,IF(ISNA(MATCH(X778,X$256:X777,0)),1,0))</f>
        <v/>
      </c>
      <c r="AC778">
        <f>IF(AB778&gt;AB777,AB778,"")</f>
        <v/>
      </c>
    </row>
    <row r="779">
      <c r="W779" s="7" t="n"/>
      <c r="X779" s="7" t="n"/>
      <c r="Z779">
        <f>Z778+IF(W779="",0,IF(ISNA(MATCH(W779,W$256:W778,0)),1,0))</f>
        <v/>
      </c>
      <c r="AA779">
        <f>IF(Z779&gt;Z778,Z779,"")</f>
        <v/>
      </c>
      <c r="AB779">
        <f>AB778+IF(X779="",0,IF(ISNA(MATCH(X779,X$256:X778,0)),1,0))</f>
        <v/>
      </c>
      <c r="AC779">
        <f>IF(AB779&gt;AB778,AB779,"")</f>
        <v/>
      </c>
    </row>
    <row r="780">
      <c r="W780" s="7" t="n"/>
      <c r="X780" s="7" t="n"/>
      <c r="Z780">
        <f>Z779+IF(W780="",0,IF(ISNA(MATCH(W780,W$256:W779,0)),1,0))</f>
        <v/>
      </c>
      <c r="AA780">
        <f>IF(Z780&gt;Z779,Z780,"")</f>
        <v/>
      </c>
      <c r="AB780">
        <f>AB779+IF(X780="",0,IF(ISNA(MATCH(X780,X$256:X779,0)),1,0))</f>
        <v/>
      </c>
      <c r="AC780">
        <f>IF(AB780&gt;AB779,AB780,"")</f>
        <v/>
      </c>
    </row>
    <row r="781">
      <c r="W781" s="7" t="n"/>
      <c r="X781" s="7" t="n"/>
      <c r="Z781">
        <f>Z780+IF(W781="",0,IF(ISNA(MATCH(W781,W$256:W780,0)),1,0))</f>
        <v/>
      </c>
      <c r="AA781">
        <f>IF(Z781&gt;Z780,Z781,"")</f>
        <v/>
      </c>
      <c r="AB781">
        <f>AB780+IF(X781="",0,IF(ISNA(MATCH(X781,X$256:X780,0)),1,0))</f>
        <v/>
      </c>
      <c r="AC781">
        <f>IF(AB781&gt;AB780,AB781,"")</f>
        <v/>
      </c>
    </row>
    <row r="782">
      <c r="W782" s="7" t="n"/>
      <c r="X782" s="7" t="n"/>
      <c r="Z782">
        <f>Z781+IF(W782="",0,IF(ISNA(MATCH(W782,W$256:W781,0)),1,0))</f>
        <v/>
      </c>
      <c r="AA782">
        <f>IF(Z782&gt;Z781,Z782,"")</f>
        <v/>
      </c>
      <c r="AB782">
        <f>AB781+IF(X782="",0,IF(ISNA(MATCH(X782,X$256:X781,0)),1,0))</f>
        <v/>
      </c>
      <c r="AC782">
        <f>IF(AB782&gt;AB781,AB782,"")</f>
        <v/>
      </c>
    </row>
    <row r="783">
      <c r="W783" s="7" t="n"/>
      <c r="X783" s="7" t="n"/>
      <c r="Z783">
        <f>Z782+IF(W783="",0,IF(ISNA(MATCH(W783,W$256:W782,0)),1,0))</f>
        <v/>
      </c>
      <c r="AA783">
        <f>IF(Z783&gt;Z782,Z783,"")</f>
        <v/>
      </c>
      <c r="AB783">
        <f>AB782+IF(X783="",0,IF(ISNA(MATCH(X783,X$256:X782,0)),1,0))</f>
        <v/>
      </c>
      <c r="AC783">
        <f>IF(AB783&gt;AB782,AB783,"")</f>
        <v/>
      </c>
    </row>
    <row r="784">
      <c r="W784" s="7" t="n"/>
      <c r="X784" s="7" t="n"/>
      <c r="Z784">
        <f>Z783+IF(W784="",0,IF(ISNA(MATCH(W784,W$256:W783,0)),1,0))</f>
        <v/>
      </c>
      <c r="AA784">
        <f>IF(Z784&gt;Z783,Z784,"")</f>
        <v/>
      </c>
      <c r="AB784">
        <f>AB783+IF(X784="",0,IF(ISNA(MATCH(X784,X$256:X783,0)),1,0))</f>
        <v/>
      </c>
      <c r="AC784">
        <f>IF(AB784&gt;AB783,AB784,"")</f>
        <v/>
      </c>
    </row>
    <row r="785">
      <c r="W785" s="7" t="n"/>
      <c r="X785" s="7" t="n"/>
      <c r="Z785">
        <f>Z784+IF(W785="",0,IF(ISNA(MATCH(W785,W$256:W784,0)),1,0))</f>
        <v/>
      </c>
      <c r="AA785">
        <f>IF(Z785&gt;Z784,Z785,"")</f>
        <v/>
      </c>
      <c r="AB785">
        <f>AB784+IF(X785="",0,IF(ISNA(MATCH(X785,X$256:X784,0)),1,0))</f>
        <v/>
      </c>
      <c r="AC785">
        <f>IF(AB785&gt;AB784,AB785,"")</f>
        <v/>
      </c>
    </row>
    <row r="786">
      <c r="W786" s="7" t="n"/>
      <c r="X786" s="7" t="n"/>
      <c r="Z786">
        <f>Z785+IF(W786="",0,IF(ISNA(MATCH(W786,W$256:W785,0)),1,0))</f>
        <v/>
      </c>
      <c r="AA786">
        <f>IF(Z786&gt;Z785,Z786,"")</f>
        <v/>
      </c>
      <c r="AB786">
        <f>AB785+IF(X786="",0,IF(ISNA(MATCH(X786,X$256:X785,0)),1,0))</f>
        <v/>
      </c>
      <c r="AC786">
        <f>IF(AB786&gt;AB785,AB786,"")</f>
        <v/>
      </c>
    </row>
    <row r="787">
      <c r="W787" s="7" t="n"/>
      <c r="X787" s="7" t="n"/>
      <c r="Z787">
        <f>Z786+IF(W787="",0,IF(ISNA(MATCH(W787,W$256:W786,0)),1,0))</f>
        <v/>
      </c>
      <c r="AA787">
        <f>IF(Z787&gt;Z786,Z787,"")</f>
        <v/>
      </c>
      <c r="AB787">
        <f>AB786+IF(X787="",0,IF(ISNA(MATCH(X787,X$256:X786,0)),1,0))</f>
        <v/>
      </c>
      <c r="AC787">
        <f>IF(AB787&gt;AB786,AB787,"")</f>
        <v/>
      </c>
    </row>
    <row r="788">
      <c r="W788" s="7" t="n"/>
      <c r="X788" s="7" t="n"/>
      <c r="Z788">
        <f>Z787+IF(W788="",0,IF(ISNA(MATCH(W788,W$256:W787,0)),1,0))</f>
        <v/>
      </c>
      <c r="AA788">
        <f>IF(Z788&gt;Z787,Z788,"")</f>
        <v/>
      </c>
      <c r="AB788">
        <f>AB787+IF(X788="",0,IF(ISNA(MATCH(X788,X$256:X787,0)),1,0))</f>
        <v/>
      </c>
      <c r="AC788">
        <f>IF(AB788&gt;AB787,AB788,"")</f>
        <v/>
      </c>
    </row>
    <row r="789">
      <c r="W789" s="7" t="n"/>
      <c r="X789" s="7" t="n"/>
      <c r="Z789">
        <f>Z788+IF(W789="",0,IF(ISNA(MATCH(W789,W$256:W788,0)),1,0))</f>
        <v/>
      </c>
      <c r="AA789">
        <f>IF(Z789&gt;Z788,Z789,"")</f>
        <v/>
      </c>
      <c r="AB789">
        <f>AB788+IF(X789="",0,IF(ISNA(MATCH(X789,X$256:X788,0)),1,0))</f>
        <v/>
      </c>
      <c r="AC789">
        <f>IF(AB789&gt;AB788,AB789,"")</f>
        <v/>
      </c>
    </row>
    <row r="790">
      <c r="W790" s="7" t="n"/>
      <c r="X790" s="7" t="n"/>
      <c r="Z790">
        <f>Z789+IF(W790="",0,IF(ISNA(MATCH(W790,W$256:W789,0)),1,0))</f>
        <v/>
      </c>
      <c r="AA790">
        <f>IF(Z790&gt;Z789,Z790,"")</f>
        <v/>
      </c>
      <c r="AB790">
        <f>AB789+IF(X790="",0,IF(ISNA(MATCH(X790,X$256:X789,0)),1,0))</f>
        <v/>
      </c>
      <c r="AC790">
        <f>IF(AB790&gt;AB789,AB790,"")</f>
        <v/>
      </c>
    </row>
    <row r="791">
      <c r="W791" s="7" t="n"/>
      <c r="X791" s="7" t="n"/>
      <c r="Z791">
        <f>Z790+IF(W791="",0,IF(ISNA(MATCH(W791,W$256:W790,0)),1,0))</f>
        <v/>
      </c>
      <c r="AA791">
        <f>IF(Z791&gt;Z790,Z791,"")</f>
        <v/>
      </c>
      <c r="AB791">
        <f>AB790+IF(X791="",0,IF(ISNA(MATCH(X791,X$256:X790,0)),1,0))</f>
        <v/>
      </c>
      <c r="AC791">
        <f>IF(AB791&gt;AB790,AB791,"")</f>
        <v/>
      </c>
    </row>
    <row r="792">
      <c r="W792" s="7" t="n"/>
      <c r="X792" s="7" t="n"/>
      <c r="Z792">
        <f>Z791+IF(W792="",0,IF(ISNA(MATCH(W792,W$256:W791,0)),1,0))</f>
        <v/>
      </c>
      <c r="AA792">
        <f>IF(Z792&gt;Z791,Z792,"")</f>
        <v/>
      </c>
      <c r="AB792">
        <f>AB791+IF(X792="",0,IF(ISNA(MATCH(X792,X$256:X791,0)),1,0))</f>
        <v/>
      </c>
      <c r="AC792">
        <f>IF(AB792&gt;AB791,AB792,"")</f>
        <v/>
      </c>
    </row>
    <row r="793">
      <c r="W793" s="7" t="n"/>
      <c r="X793" s="7" t="n"/>
      <c r="Z793">
        <f>Z792+IF(W793="",0,IF(ISNA(MATCH(W793,W$256:W792,0)),1,0))</f>
        <v/>
      </c>
      <c r="AA793">
        <f>IF(Z793&gt;Z792,Z793,"")</f>
        <v/>
      </c>
      <c r="AB793">
        <f>AB792+IF(X793="",0,IF(ISNA(MATCH(X793,X$256:X792,0)),1,0))</f>
        <v/>
      </c>
      <c r="AC793">
        <f>IF(AB793&gt;AB792,AB793,"")</f>
        <v/>
      </c>
    </row>
    <row r="794">
      <c r="W794" s="7" t="n"/>
      <c r="X794" s="7" t="n"/>
      <c r="Z794">
        <f>Z793+IF(W794="",0,IF(ISNA(MATCH(W794,W$256:W793,0)),1,0))</f>
        <v/>
      </c>
      <c r="AA794">
        <f>IF(Z794&gt;Z793,Z794,"")</f>
        <v/>
      </c>
      <c r="AB794">
        <f>AB793+IF(X794="",0,IF(ISNA(MATCH(X794,X$256:X793,0)),1,0))</f>
        <v/>
      </c>
      <c r="AC794">
        <f>IF(AB794&gt;AB793,AB794,"")</f>
        <v/>
      </c>
    </row>
    <row r="795">
      <c r="W795" s="7" t="n"/>
      <c r="X795" s="7" t="n"/>
      <c r="Z795">
        <f>Z794+IF(W795="",0,IF(ISNA(MATCH(W795,W$256:W794,0)),1,0))</f>
        <v/>
      </c>
      <c r="AA795">
        <f>IF(Z795&gt;Z794,Z795,"")</f>
        <v/>
      </c>
      <c r="AB795">
        <f>AB794+IF(X795="",0,IF(ISNA(MATCH(X795,X$256:X794,0)),1,0))</f>
        <v/>
      </c>
      <c r="AC795">
        <f>IF(AB795&gt;AB794,AB795,"")</f>
        <v/>
      </c>
    </row>
    <row r="796">
      <c r="W796" s="7" t="n"/>
      <c r="X796" s="7" t="n"/>
      <c r="Z796">
        <f>Z795+IF(W796="",0,IF(ISNA(MATCH(W796,W$256:W795,0)),1,0))</f>
        <v/>
      </c>
      <c r="AA796">
        <f>IF(Z796&gt;Z795,Z796,"")</f>
        <v/>
      </c>
      <c r="AB796">
        <f>AB795+IF(X796="",0,IF(ISNA(MATCH(X796,X$256:X795,0)),1,0))</f>
        <v/>
      </c>
      <c r="AC796">
        <f>IF(AB796&gt;AB795,AB796,"")</f>
        <v/>
      </c>
    </row>
    <row r="797">
      <c r="W797" s="7" t="n"/>
      <c r="X797" s="7" t="n"/>
      <c r="Z797">
        <f>Z796+IF(W797="",0,IF(ISNA(MATCH(W797,W$256:W796,0)),1,0))</f>
        <v/>
      </c>
      <c r="AA797">
        <f>IF(Z797&gt;Z796,Z797,"")</f>
        <v/>
      </c>
      <c r="AB797">
        <f>AB796+IF(X797="",0,IF(ISNA(MATCH(X797,X$256:X796,0)),1,0))</f>
        <v/>
      </c>
      <c r="AC797">
        <f>IF(AB797&gt;AB796,AB797,"")</f>
        <v/>
      </c>
    </row>
    <row r="798">
      <c r="W798" s="7" t="n"/>
      <c r="X798" s="7" t="n"/>
      <c r="Z798">
        <f>Z797+IF(W798="",0,IF(ISNA(MATCH(W798,W$256:W797,0)),1,0))</f>
        <v/>
      </c>
      <c r="AA798">
        <f>IF(Z798&gt;Z797,Z798,"")</f>
        <v/>
      </c>
      <c r="AB798">
        <f>AB797+IF(X798="",0,IF(ISNA(MATCH(X798,X$256:X797,0)),1,0))</f>
        <v/>
      </c>
      <c r="AC798">
        <f>IF(AB798&gt;AB797,AB798,"")</f>
        <v/>
      </c>
    </row>
    <row r="799">
      <c r="W799" s="7" t="n"/>
      <c r="X799" s="7" t="n"/>
      <c r="Z799">
        <f>Z798+IF(W799="",0,IF(ISNA(MATCH(W799,W$256:W798,0)),1,0))</f>
        <v/>
      </c>
      <c r="AA799">
        <f>IF(Z799&gt;Z798,Z799,"")</f>
        <v/>
      </c>
      <c r="AB799">
        <f>AB798+IF(X799="",0,IF(ISNA(MATCH(X799,X$256:X798,0)),1,0))</f>
        <v/>
      </c>
      <c r="AC799">
        <f>IF(AB799&gt;AB798,AB799,"")</f>
        <v/>
      </c>
    </row>
    <row r="800">
      <c r="W800" s="7" t="n"/>
      <c r="X800" s="7" t="n"/>
      <c r="Z800">
        <f>Z799+IF(W800="",0,IF(ISNA(MATCH(W800,W$256:W799,0)),1,0))</f>
        <v/>
      </c>
      <c r="AA800">
        <f>IF(Z800&gt;Z799,Z800,"")</f>
        <v/>
      </c>
      <c r="AB800">
        <f>AB799+IF(X800="",0,IF(ISNA(MATCH(X800,X$256:X799,0)),1,0))</f>
        <v/>
      </c>
      <c r="AC800">
        <f>IF(AB800&gt;AB799,AB800,"")</f>
        <v/>
      </c>
    </row>
    <row r="801">
      <c r="W801" s="7" t="n"/>
      <c r="X801" s="7" t="n"/>
      <c r="Z801">
        <f>Z800+IF(W801="",0,IF(ISNA(MATCH(W801,W$256:W800,0)),1,0))</f>
        <v/>
      </c>
      <c r="AA801">
        <f>IF(Z801&gt;Z800,Z801,"")</f>
        <v/>
      </c>
      <c r="AB801">
        <f>AB800+IF(X801="",0,IF(ISNA(MATCH(X801,X$256:X800,0)),1,0))</f>
        <v/>
      </c>
      <c r="AC801">
        <f>IF(AB801&gt;AB800,AB801,"")</f>
        <v/>
      </c>
    </row>
    <row r="802">
      <c r="W802" s="7" t="n"/>
      <c r="X802" s="7" t="n"/>
      <c r="Z802">
        <f>Z801+IF(W802="",0,IF(ISNA(MATCH(W802,W$256:W801,0)),1,0))</f>
        <v/>
      </c>
      <c r="AA802">
        <f>IF(Z802&gt;Z801,Z802,"")</f>
        <v/>
      </c>
      <c r="AB802">
        <f>AB801+IF(X802="",0,IF(ISNA(MATCH(X802,X$256:X801,0)),1,0))</f>
        <v/>
      </c>
      <c r="AC802">
        <f>IF(AB802&gt;AB801,AB802,"")</f>
        <v/>
      </c>
    </row>
    <row r="803">
      <c r="W803" s="7" t="n"/>
      <c r="X803" s="7" t="n"/>
      <c r="Z803">
        <f>Z802+IF(W803="",0,IF(ISNA(MATCH(W803,W$256:W802,0)),1,0))</f>
        <v/>
      </c>
      <c r="AA803">
        <f>IF(Z803&gt;Z802,Z803,"")</f>
        <v/>
      </c>
      <c r="AB803">
        <f>AB802+IF(X803="",0,IF(ISNA(MATCH(X803,X$256:X802,0)),1,0))</f>
        <v/>
      </c>
      <c r="AC803">
        <f>IF(AB803&gt;AB802,AB803,"")</f>
        <v/>
      </c>
    </row>
    <row r="804">
      <c r="W804" s="7" t="n"/>
      <c r="X804" s="7" t="n"/>
      <c r="Z804">
        <f>Z803+IF(W804="",0,IF(ISNA(MATCH(W804,W$256:W803,0)),1,0))</f>
        <v/>
      </c>
      <c r="AA804">
        <f>IF(Z804&gt;Z803,Z804,"")</f>
        <v/>
      </c>
      <c r="AB804">
        <f>AB803+IF(X804="",0,IF(ISNA(MATCH(X804,X$256:X803,0)),1,0))</f>
        <v/>
      </c>
      <c r="AC804">
        <f>IF(AB804&gt;AB803,AB804,"")</f>
        <v/>
      </c>
    </row>
    <row r="805">
      <c r="W805" s="7" t="n"/>
      <c r="X805" s="7" t="n"/>
      <c r="Z805">
        <f>Z804+IF(W805="",0,IF(ISNA(MATCH(W805,W$256:W804,0)),1,0))</f>
        <v/>
      </c>
      <c r="AA805">
        <f>IF(Z805&gt;Z804,Z805,"")</f>
        <v/>
      </c>
      <c r="AB805">
        <f>AB804+IF(X805="",0,IF(ISNA(MATCH(X805,X$256:X804,0)),1,0))</f>
        <v/>
      </c>
      <c r="AC805">
        <f>IF(AB805&gt;AB804,AB805,"")</f>
        <v/>
      </c>
    </row>
    <row r="806">
      <c r="W806" s="7" t="n"/>
      <c r="X806" s="7" t="n"/>
      <c r="Z806">
        <f>Z805+IF(W806="",0,IF(ISNA(MATCH(W806,W$256:W805,0)),1,0))</f>
        <v/>
      </c>
      <c r="AA806">
        <f>IF(Z806&gt;Z805,Z806,"")</f>
        <v/>
      </c>
      <c r="AB806">
        <f>AB805+IF(X806="",0,IF(ISNA(MATCH(X806,X$256:X805,0)),1,0))</f>
        <v/>
      </c>
      <c r="AC806">
        <f>IF(AB806&gt;AB805,AB806,"")</f>
        <v/>
      </c>
    </row>
    <row r="807">
      <c r="W807" s="7" t="n"/>
      <c r="X807" s="7" t="n"/>
      <c r="Z807">
        <f>Z806+IF(W807="",0,IF(ISNA(MATCH(W807,W$256:W806,0)),1,0))</f>
        <v/>
      </c>
      <c r="AA807">
        <f>IF(Z807&gt;Z806,Z807,"")</f>
        <v/>
      </c>
      <c r="AB807">
        <f>AB806+IF(X807="",0,IF(ISNA(MATCH(X807,X$256:X806,0)),1,0))</f>
        <v/>
      </c>
      <c r="AC807">
        <f>IF(AB807&gt;AB806,AB807,"")</f>
        <v/>
      </c>
    </row>
    <row r="808">
      <c r="W808" s="7" t="n"/>
      <c r="X808" s="7" t="n"/>
      <c r="Z808">
        <f>Z807+IF(W808="",0,IF(ISNA(MATCH(W808,W$256:W807,0)),1,0))</f>
        <v/>
      </c>
      <c r="AA808">
        <f>IF(Z808&gt;Z807,Z808,"")</f>
        <v/>
      </c>
      <c r="AB808">
        <f>AB807+IF(X808="",0,IF(ISNA(MATCH(X808,X$256:X807,0)),1,0))</f>
        <v/>
      </c>
      <c r="AC808">
        <f>IF(AB808&gt;AB807,AB808,"")</f>
        <v/>
      </c>
    </row>
    <row r="809">
      <c r="W809" s="7" t="n"/>
      <c r="X809" s="7" t="n"/>
      <c r="Z809">
        <f>Z808+IF(W809="",0,IF(ISNA(MATCH(W809,W$256:W808,0)),1,0))</f>
        <v/>
      </c>
      <c r="AA809">
        <f>IF(Z809&gt;Z808,Z809,"")</f>
        <v/>
      </c>
      <c r="AB809">
        <f>AB808+IF(X809="",0,IF(ISNA(MATCH(X809,X$256:X808,0)),1,0))</f>
        <v/>
      </c>
      <c r="AC809">
        <f>IF(AB809&gt;AB808,AB809,"")</f>
        <v/>
      </c>
    </row>
    <row r="810">
      <c r="W810" s="7" t="n"/>
      <c r="X810" s="7" t="n"/>
      <c r="Z810">
        <f>Z809+IF(W810="",0,IF(ISNA(MATCH(W810,W$256:W809,0)),1,0))</f>
        <v/>
      </c>
      <c r="AA810">
        <f>IF(Z810&gt;Z809,Z810,"")</f>
        <v/>
      </c>
      <c r="AB810">
        <f>AB809+IF(X810="",0,IF(ISNA(MATCH(X810,X$256:X809,0)),1,0))</f>
        <v/>
      </c>
      <c r="AC810">
        <f>IF(AB810&gt;AB809,AB810,"")</f>
        <v/>
      </c>
    </row>
    <row r="811">
      <c r="W811" s="7" t="n"/>
      <c r="X811" s="7" t="n"/>
      <c r="Z811">
        <f>Z810+IF(W811="",0,IF(ISNA(MATCH(W811,W$256:W810,0)),1,0))</f>
        <v/>
      </c>
      <c r="AA811">
        <f>IF(Z811&gt;Z810,Z811,"")</f>
        <v/>
      </c>
      <c r="AB811">
        <f>AB810+IF(X811="",0,IF(ISNA(MATCH(X811,X$256:X810,0)),1,0))</f>
        <v/>
      </c>
      <c r="AC811">
        <f>IF(AB811&gt;AB810,AB811,"")</f>
        <v/>
      </c>
    </row>
    <row r="812">
      <c r="W812" s="7" t="n"/>
      <c r="X812" s="7" t="n"/>
      <c r="Z812">
        <f>Z811+IF(W812="",0,IF(ISNA(MATCH(W812,W$256:W811,0)),1,0))</f>
        <v/>
      </c>
      <c r="AA812">
        <f>IF(Z812&gt;Z811,Z812,"")</f>
        <v/>
      </c>
      <c r="AB812">
        <f>AB811+IF(X812="",0,IF(ISNA(MATCH(X812,X$256:X811,0)),1,0))</f>
        <v/>
      </c>
      <c r="AC812">
        <f>IF(AB812&gt;AB811,AB812,"")</f>
        <v/>
      </c>
    </row>
    <row r="813">
      <c r="W813" s="7" t="n"/>
      <c r="X813" s="7" t="n"/>
      <c r="Z813">
        <f>Z812+IF(W813="",0,IF(ISNA(MATCH(W813,W$256:W812,0)),1,0))</f>
        <v/>
      </c>
      <c r="AA813">
        <f>IF(Z813&gt;Z812,Z813,"")</f>
        <v/>
      </c>
      <c r="AB813">
        <f>AB812+IF(X813="",0,IF(ISNA(MATCH(X813,X$256:X812,0)),1,0))</f>
        <v/>
      </c>
      <c r="AC813">
        <f>IF(AB813&gt;AB812,AB813,"")</f>
        <v/>
      </c>
    </row>
    <row r="814">
      <c r="W814" s="7" t="n"/>
      <c r="X814" s="7" t="n"/>
      <c r="Z814">
        <f>Z813+IF(W814="",0,IF(ISNA(MATCH(W814,W$256:W813,0)),1,0))</f>
        <v/>
      </c>
      <c r="AA814">
        <f>IF(Z814&gt;Z813,Z814,"")</f>
        <v/>
      </c>
      <c r="AB814">
        <f>AB813+IF(X814="",0,IF(ISNA(MATCH(X814,X$256:X813,0)),1,0))</f>
        <v/>
      </c>
      <c r="AC814">
        <f>IF(AB814&gt;AB813,AB814,"")</f>
        <v/>
      </c>
    </row>
    <row r="815">
      <c r="W815" s="7" t="n"/>
      <c r="X815" s="7" t="n"/>
      <c r="Z815">
        <f>Z814+IF(W815="",0,IF(ISNA(MATCH(W815,W$256:W814,0)),1,0))</f>
        <v/>
      </c>
      <c r="AA815">
        <f>IF(Z815&gt;Z814,Z815,"")</f>
        <v/>
      </c>
      <c r="AB815">
        <f>AB814+IF(X815="",0,IF(ISNA(MATCH(X815,X$256:X814,0)),1,0))</f>
        <v/>
      </c>
      <c r="AC815">
        <f>IF(AB815&gt;AB814,AB815,"")</f>
        <v/>
      </c>
    </row>
    <row r="816">
      <c r="W816" s="7" t="n"/>
      <c r="X816" s="7" t="n"/>
      <c r="Z816">
        <f>Z815+IF(W816="",0,IF(ISNA(MATCH(W816,W$256:W815,0)),1,0))</f>
        <v/>
      </c>
      <c r="AA816">
        <f>IF(Z816&gt;Z815,Z816,"")</f>
        <v/>
      </c>
      <c r="AB816">
        <f>AB815+IF(X816="",0,IF(ISNA(MATCH(X816,X$256:X815,0)),1,0))</f>
        <v/>
      </c>
      <c r="AC816">
        <f>IF(AB816&gt;AB815,AB816,"")</f>
        <v/>
      </c>
    </row>
    <row r="817">
      <c r="W817" s="7" t="n"/>
      <c r="X817" s="7" t="n"/>
      <c r="Z817">
        <f>Z816+IF(W817="",0,IF(ISNA(MATCH(W817,W$256:W816,0)),1,0))</f>
        <v/>
      </c>
      <c r="AA817">
        <f>IF(Z817&gt;Z816,Z817,"")</f>
        <v/>
      </c>
      <c r="AB817">
        <f>AB816+IF(X817="",0,IF(ISNA(MATCH(X817,X$256:X816,0)),1,0))</f>
        <v/>
      </c>
      <c r="AC817">
        <f>IF(AB817&gt;AB816,AB817,"")</f>
        <v/>
      </c>
    </row>
    <row r="818">
      <c r="W818" s="7" t="n"/>
      <c r="X818" s="7" t="n"/>
      <c r="Z818">
        <f>Z817+IF(W818="",0,IF(ISNA(MATCH(W818,W$256:W817,0)),1,0))</f>
        <v/>
      </c>
      <c r="AA818">
        <f>IF(Z818&gt;Z817,Z818,"")</f>
        <v/>
      </c>
      <c r="AB818">
        <f>AB817+IF(X818="",0,IF(ISNA(MATCH(X818,X$256:X817,0)),1,0))</f>
        <v/>
      </c>
      <c r="AC818">
        <f>IF(AB818&gt;AB817,AB818,"")</f>
        <v/>
      </c>
    </row>
    <row r="819">
      <c r="W819" s="7" t="n"/>
      <c r="X819" s="7" t="n"/>
      <c r="Z819">
        <f>Z818+IF(W819="",0,IF(ISNA(MATCH(W819,W$256:W818,0)),1,0))</f>
        <v/>
      </c>
      <c r="AA819">
        <f>IF(Z819&gt;Z818,Z819,"")</f>
        <v/>
      </c>
      <c r="AB819">
        <f>AB818+IF(X819="",0,IF(ISNA(MATCH(X819,X$256:X818,0)),1,0))</f>
        <v/>
      </c>
      <c r="AC819">
        <f>IF(AB819&gt;AB818,AB819,"")</f>
        <v/>
      </c>
    </row>
    <row r="820">
      <c r="W820" s="7" t="n"/>
      <c r="X820" s="7" t="n"/>
      <c r="Z820">
        <f>Z819+IF(W820="",0,IF(ISNA(MATCH(W820,W$256:W819,0)),1,0))</f>
        <v/>
      </c>
      <c r="AA820">
        <f>IF(Z820&gt;Z819,Z820,"")</f>
        <v/>
      </c>
      <c r="AB820">
        <f>AB819+IF(X820="",0,IF(ISNA(MATCH(X820,X$256:X819,0)),1,0))</f>
        <v/>
      </c>
      <c r="AC820">
        <f>IF(AB820&gt;AB819,AB820,"")</f>
        <v/>
      </c>
    </row>
    <row r="821">
      <c r="W821" s="7" t="n"/>
      <c r="X821" s="7" t="n"/>
      <c r="Z821">
        <f>Z820+IF(W821="",0,IF(ISNA(MATCH(W821,W$256:W820,0)),1,0))</f>
        <v/>
      </c>
      <c r="AA821">
        <f>IF(Z821&gt;Z820,Z821,"")</f>
        <v/>
      </c>
      <c r="AB821">
        <f>AB820+IF(X821="",0,IF(ISNA(MATCH(X821,X$256:X820,0)),1,0))</f>
        <v/>
      </c>
      <c r="AC821">
        <f>IF(AB821&gt;AB820,AB821,"")</f>
        <v/>
      </c>
    </row>
    <row r="822">
      <c r="W822" s="7" t="n"/>
      <c r="X822" s="7" t="n"/>
      <c r="Z822">
        <f>Z821+IF(W822="",0,IF(ISNA(MATCH(W822,W$256:W821,0)),1,0))</f>
        <v/>
      </c>
      <c r="AA822">
        <f>IF(Z822&gt;Z821,Z822,"")</f>
        <v/>
      </c>
      <c r="AB822">
        <f>AB821+IF(X822="",0,IF(ISNA(MATCH(X822,X$256:X821,0)),1,0))</f>
        <v/>
      </c>
      <c r="AC822">
        <f>IF(AB822&gt;AB821,AB822,"")</f>
        <v/>
      </c>
    </row>
    <row r="823">
      <c r="W823" s="7" t="n"/>
      <c r="X823" s="7" t="n"/>
      <c r="Z823">
        <f>Z822+IF(W823="",0,IF(ISNA(MATCH(W823,W$256:W822,0)),1,0))</f>
        <v/>
      </c>
      <c r="AA823">
        <f>IF(Z823&gt;Z822,Z823,"")</f>
        <v/>
      </c>
      <c r="AB823">
        <f>AB822+IF(X823="",0,IF(ISNA(MATCH(X823,X$256:X822,0)),1,0))</f>
        <v/>
      </c>
      <c r="AC823">
        <f>IF(AB823&gt;AB822,AB823,"")</f>
        <v/>
      </c>
    </row>
    <row r="824">
      <c r="W824" s="7" t="n"/>
      <c r="X824" s="7" t="n"/>
      <c r="Z824">
        <f>Z823+IF(W824="",0,IF(ISNA(MATCH(W824,W$256:W823,0)),1,0))</f>
        <v/>
      </c>
      <c r="AA824">
        <f>IF(Z824&gt;Z823,Z824,"")</f>
        <v/>
      </c>
      <c r="AB824">
        <f>AB823+IF(X824="",0,IF(ISNA(MATCH(X824,X$256:X823,0)),1,0))</f>
        <v/>
      </c>
      <c r="AC824">
        <f>IF(AB824&gt;AB823,AB824,"")</f>
        <v/>
      </c>
    </row>
    <row r="825">
      <c r="W825" s="7" t="n"/>
      <c r="X825" s="7" t="n"/>
      <c r="Z825">
        <f>Z824+IF(W825="",0,IF(ISNA(MATCH(W825,W$256:W824,0)),1,0))</f>
        <v/>
      </c>
      <c r="AA825">
        <f>IF(Z825&gt;Z824,Z825,"")</f>
        <v/>
      </c>
      <c r="AB825">
        <f>AB824+IF(X825="",0,IF(ISNA(MATCH(X825,X$256:X824,0)),1,0))</f>
        <v/>
      </c>
      <c r="AC825">
        <f>IF(AB825&gt;AB824,AB825,"")</f>
        <v/>
      </c>
    </row>
    <row r="826">
      <c r="W826" s="7" t="n"/>
      <c r="X826" s="7" t="n"/>
      <c r="Z826">
        <f>Z825+IF(W826="",0,IF(ISNA(MATCH(W826,W$256:W825,0)),1,0))</f>
        <v/>
      </c>
      <c r="AA826">
        <f>IF(Z826&gt;Z825,Z826,"")</f>
        <v/>
      </c>
      <c r="AB826">
        <f>AB825+IF(X826="",0,IF(ISNA(MATCH(X826,X$256:X825,0)),1,0))</f>
        <v/>
      </c>
      <c r="AC826">
        <f>IF(AB826&gt;AB825,AB826,"")</f>
        <v/>
      </c>
    </row>
    <row r="827">
      <c r="W827" s="7" t="n"/>
      <c r="X827" s="7" t="n"/>
      <c r="Z827">
        <f>Z826+IF(W827="",0,IF(ISNA(MATCH(W827,W$256:W826,0)),1,0))</f>
        <v/>
      </c>
      <c r="AA827">
        <f>IF(Z827&gt;Z826,Z827,"")</f>
        <v/>
      </c>
      <c r="AB827">
        <f>AB826+IF(X827="",0,IF(ISNA(MATCH(X827,X$256:X826,0)),1,0))</f>
        <v/>
      </c>
      <c r="AC827">
        <f>IF(AB827&gt;AB826,AB827,"")</f>
        <v/>
      </c>
    </row>
    <row r="828">
      <c r="W828" s="7" t="n"/>
      <c r="X828" s="7" t="n"/>
      <c r="Z828">
        <f>Z827+IF(W828="",0,IF(ISNA(MATCH(W828,W$256:W827,0)),1,0))</f>
        <v/>
      </c>
      <c r="AA828">
        <f>IF(Z828&gt;Z827,Z828,"")</f>
        <v/>
      </c>
      <c r="AB828">
        <f>AB827+IF(X828="",0,IF(ISNA(MATCH(X828,X$256:X827,0)),1,0))</f>
        <v/>
      </c>
      <c r="AC828">
        <f>IF(AB828&gt;AB827,AB828,"")</f>
        <v/>
      </c>
    </row>
    <row r="829">
      <c r="W829" s="7" t="n"/>
      <c r="X829" s="7" t="n"/>
      <c r="Z829">
        <f>Z828+IF(W829="",0,IF(ISNA(MATCH(W829,W$256:W828,0)),1,0))</f>
        <v/>
      </c>
      <c r="AA829">
        <f>IF(Z829&gt;Z828,Z829,"")</f>
        <v/>
      </c>
      <c r="AB829">
        <f>AB828+IF(X829="",0,IF(ISNA(MATCH(X829,X$256:X828,0)),1,0))</f>
        <v/>
      </c>
      <c r="AC829">
        <f>IF(AB829&gt;AB828,AB829,"")</f>
        <v/>
      </c>
    </row>
    <row r="830">
      <c r="W830" s="7" t="n"/>
      <c r="X830" s="7" t="n"/>
      <c r="Z830">
        <f>Z829+IF(W830="",0,IF(ISNA(MATCH(W830,W$256:W829,0)),1,0))</f>
        <v/>
      </c>
      <c r="AA830">
        <f>IF(Z830&gt;Z829,Z830,"")</f>
        <v/>
      </c>
      <c r="AB830">
        <f>AB829+IF(X830="",0,IF(ISNA(MATCH(X830,X$256:X829,0)),1,0))</f>
        <v/>
      </c>
      <c r="AC830">
        <f>IF(AB830&gt;AB829,AB830,"")</f>
        <v/>
      </c>
    </row>
    <row r="831">
      <c r="W831" s="7" t="n"/>
      <c r="X831" s="7" t="n"/>
      <c r="Z831">
        <f>Z830+IF(W831="",0,IF(ISNA(MATCH(W831,W$256:W830,0)),1,0))</f>
        <v/>
      </c>
      <c r="AA831">
        <f>IF(Z831&gt;Z830,Z831,"")</f>
        <v/>
      </c>
      <c r="AB831">
        <f>AB830+IF(X831="",0,IF(ISNA(MATCH(X831,X$256:X830,0)),1,0))</f>
        <v/>
      </c>
      <c r="AC831">
        <f>IF(AB831&gt;AB830,AB831,"")</f>
        <v/>
      </c>
    </row>
    <row r="832">
      <c r="W832" s="7" t="n"/>
      <c r="X832" s="7" t="n"/>
      <c r="Z832">
        <f>Z831+IF(W832="",0,IF(ISNA(MATCH(W832,W$256:W831,0)),1,0))</f>
        <v/>
      </c>
      <c r="AA832">
        <f>IF(Z832&gt;Z831,Z832,"")</f>
        <v/>
      </c>
      <c r="AB832">
        <f>AB831+IF(X832="",0,IF(ISNA(MATCH(X832,X$256:X831,0)),1,0))</f>
        <v/>
      </c>
      <c r="AC832">
        <f>IF(AB832&gt;AB831,AB832,"")</f>
        <v/>
      </c>
    </row>
    <row r="833">
      <c r="W833" s="7" t="n"/>
      <c r="X833" s="7" t="n"/>
      <c r="Z833">
        <f>Z832+IF(W833="",0,IF(ISNA(MATCH(W833,W$256:W832,0)),1,0))</f>
        <v/>
      </c>
      <c r="AA833">
        <f>IF(Z833&gt;Z832,Z833,"")</f>
        <v/>
      </c>
      <c r="AB833">
        <f>AB832+IF(X833="",0,IF(ISNA(MATCH(X833,X$256:X832,0)),1,0))</f>
        <v/>
      </c>
      <c r="AC833">
        <f>IF(AB833&gt;AB832,AB833,"")</f>
        <v/>
      </c>
    </row>
    <row r="834">
      <c r="W834" s="7" t="n"/>
      <c r="X834" s="7" t="n"/>
      <c r="Z834">
        <f>Z833+IF(W834="",0,IF(ISNA(MATCH(W834,W$256:W833,0)),1,0))</f>
        <v/>
      </c>
      <c r="AA834">
        <f>IF(Z834&gt;Z833,Z834,"")</f>
        <v/>
      </c>
      <c r="AB834">
        <f>AB833+IF(X834="",0,IF(ISNA(MATCH(X834,X$256:X833,0)),1,0))</f>
        <v/>
      </c>
      <c r="AC834">
        <f>IF(AB834&gt;AB833,AB834,"")</f>
        <v/>
      </c>
    </row>
    <row r="835">
      <c r="W835" s="7" t="n"/>
      <c r="X835" s="7" t="n"/>
      <c r="Z835">
        <f>Z834+IF(W835="",0,IF(ISNA(MATCH(W835,W$256:W834,0)),1,0))</f>
        <v/>
      </c>
      <c r="AA835">
        <f>IF(Z835&gt;Z834,Z835,"")</f>
        <v/>
      </c>
      <c r="AB835">
        <f>AB834+IF(X835="",0,IF(ISNA(MATCH(X835,X$256:X834,0)),1,0))</f>
        <v/>
      </c>
      <c r="AC835">
        <f>IF(AB835&gt;AB834,AB835,"")</f>
        <v/>
      </c>
    </row>
    <row r="836">
      <c r="W836" s="7" t="n"/>
      <c r="X836" s="7" t="n"/>
      <c r="Z836">
        <f>Z835+IF(W836="",0,IF(ISNA(MATCH(W836,W$256:W835,0)),1,0))</f>
        <v/>
      </c>
      <c r="AA836">
        <f>IF(Z836&gt;Z835,Z836,"")</f>
        <v/>
      </c>
      <c r="AB836">
        <f>AB835+IF(X836="",0,IF(ISNA(MATCH(X836,X$256:X835,0)),1,0))</f>
        <v/>
      </c>
      <c r="AC836">
        <f>IF(AB836&gt;AB835,AB836,"")</f>
        <v/>
      </c>
    </row>
    <row r="837">
      <c r="W837" s="7" t="n"/>
      <c r="X837" s="7" t="n"/>
      <c r="Z837">
        <f>Z836+IF(W837="",0,IF(ISNA(MATCH(W837,W$256:W836,0)),1,0))</f>
        <v/>
      </c>
      <c r="AA837">
        <f>IF(Z837&gt;Z836,Z837,"")</f>
        <v/>
      </c>
      <c r="AB837">
        <f>AB836+IF(X837="",0,IF(ISNA(MATCH(X837,X$256:X836,0)),1,0))</f>
        <v/>
      </c>
      <c r="AC837">
        <f>IF(AB837&gt;AB836,AB837,"")</f>
        <v/>
      </c>
    </row>
    <row r="838">
      <c r="W838" s="7" t="n"/>
      <c r="X838" s="7" t="n"/>
      <c r="Z838">
        <f>Z837+IF(W838="",0,IF(ISNA(MATCH(W838,W$256:W837,0)),1,0))</f>
        <v/>
      </c>
      <c r="AA838">
        <f>IF(Z838&gt;Z837,Z838,"")</f>
        <v/>
      </c>
      <c r="AB838">
        <f>AB837+IF(X838="",0,IF(ISNA(MATCH(X838,X$256:X837,0)),1,0))</f>
        <v/>
      </c>
      <c r="AC838">
        <f>IF(AB838&gt;AB837,AB838,"")</f>
        <v/>
      </c>
    </row>
    <row r="839">
      <c r="W839" s="7" t="n"/>
      <c r="X839" s="7" t="n"/>
      <c r="Z839">
        <f>Z838+IF(W839="",0,IF(ISNA(MATCH(W839,W$256:W838,0)),1,0))</f>
        <v/>
      </c>
      <c r="AA839">
        <f>IF(Z839&gt;Z838,Z839,"")</f>
        <v/>
      </c>
      <c r="AB839">
        <f>AB838+IF(X839="",0,IF(ISNA(MATCH(X839,X$256:X838,0)),1,0))</f>
        <v/>
      </c>
      <c r="AC839">
        <f>IF(AB839&gt;AB838,AB839,"")</f>
        <v/>
      </c>
    </row>
    <row r="840">
      <c r="W840" s="7" t="n"/>
      <c r="X840" s="7" t="n"/>
      <c r="Z840">
        <f>Z839+IF(W840="",0,IF(ISNA(MATCH(W840,W$256:W839,0)),1,0))</f>
        <v/>
      </c>
      <c r="AA840">
        <f>IF(Z840&gt;Z839,Z840,"")</f>
        <v/>
      </c>
      <c r="AB840">
        <f>AB839+IF(X840="",0,IF(ISNA(MATCH(X840,X$256:X839,0)),1,0))</f>
        <v/>
      </c>
      <c r="AC840">
        <f>IF(AB840&gt;AB839,AB840,"")</f>
        <v/>
      </c>
    </row>
    <row r="841">
      <c r="W841" s="7" t="n"/>
      <c r="X841" s="7" t="n"/>
      <c r="Z841">
        <f>Z840+IF(W841="",0,IF(ISNA(MATCH(W841,W$256:W840,0)),1,0))</f>
        <v/>
      </c>
      <c r="AA841">
        <f>IF(Z841&gt;Z840,Z841,"")</f>
        <v/>
      </c>
      <c r="AB841">
        <f>AB840+IF(X841="",0,IF(ISNA(MATCH(X841,X$256:X840,0)),1,0))</f>
        <v/>
      </c>
      <c r="AC841">
        <f>IF(AB841&gt;AB840,AB841,"")</f>
        <v/>
      </c>
    </row>
    <row r="842">
      <c r="W842" s="7" t="n"/>
      <c r="X842" s="7" t="n"/>
      <c r="Z842">
        <f>Z841+IF(W842="",0,IF(ISNA(MATCH(W842,W$256:W841,0)),1,0))</f>
        <v/>
      </c>
      <c r="AA842">
        <f>IF(Z842&gt;Z841,Z842,"")</f>
        <v/>
      </c>
      <c r="AB842">
        <f>AB841+IF(X842="",0,IF(ISNA(MATCH(X842,X$256:X841,0)),1,0))</f>
        <v/>
      </c>
      <c r="AC842">
        <f>IF(AB842&gt;AB841,AB842,"")</f>
        <v/>
      </c>
    </row>
    <row r="843">
      <c r="W843" s="7" t="n"/>
      <c r="X843" s="7" t="n"/>
      <c r="Z843">
        <f>Z842+IF(W843="",0,IF(ISNA(MATCH(W843,W$256:W842,0)),1,0))</f>
        <v/>
      </c>
      <c r="AA843">
        <f>IF(Z843&gt;Z842,Z843,"")</f>
        <v/>
      </c>
      <c r="AB843">
        <f>AB842+IF(X843="",0,IF(ISNA(MATCH(X843,X$256:X842,0)),1,0))</f>
        <v/>
      </c>
      <c r="AC843">
        <f>IF(AB843&gt;AB842,AB843,"")</f>
        <v/>
      </c>
    </row>
    <row r="844">
      <c r="W844" s="7" t="n"/>
      <c r="X844" s="7" t="n"/>
      <c r="Z844">
        <f>Z843+IF(W844="",0,IF(ISNA(MATCH(W844,W$256:W843,0)),1,0))</f>
        <v/>
      </c>
      <c r="AA844">
        <f>IF(Z844&gt;Z843,Z844,"")</f>
        <v/>
      </c>
      <c r="AB844">
        <f>AB843+IF(X844="",0,IF(ISNA(MATCH(X844,X$256:X843,0)),1,0))</f>
        <v/>
      </c>
      <c r="AC844">
        <f>IF(AB844&gt;AB843,AB844,"")</f>
        <v/>
      </c>
    </row>
    <row r="845">
      <c r="W845" s="7" t="n"/>
      <c r="X845" s="7" t="n"/>
      <c r="Z845">
        <f>Z844+IF(W845="",0,IF(ISNA(MATCH(W845,W$256:W844,0)),1,0))</f>
        <v/>
      </c>
      <c r="AA845">
        <f>IF(Z845&gt;Z844,Z845,"")</f>
        <v/>
      </c>
      <c r="AB845">
        <f>AB844+IF(X845="",0,IF(ISNA(MATCH(X845,X$256:X844,0)),1,0))</f>
        <v/>
      </c>
      <c r="AC845">
        <f>IF(AB845&gt;AB844,AB845,"")</f>
        <v/>
      </c>
    </row>
    <row r="846">
      <c r="W846" s="7" t="n"/>
      <c r="X846" s="7" t="n"/>
      <c r="Z846">
        <f>Z845+IF(W846="",0,IF(ISNA(MATCH(W846,W$256:W845,0)),1,0))</f>
        <v/>
      </c>
      <c r="AA846">
        <f>IF(Z846&gt;Z845,Z846,"")</f>
        <v/>
      </c>
      <c r="AB846">
        <f>AB845+IF(X846="",0,IF(ISNA(MATCH(X846,X$256:X845,0)),1,0))</f>
        <v/>
      </c>
      <c r="AC846">
        <f>IF(AB846&gt;AB845,AB846,"")</f>
        <v/>
      </c>
    </row>
    <row r="847">
      <c r="W847" s="7" t="n"/>
      <c r="X847" s="7" t="n"/>
      <c r="Z847">
        <f>Z846+IF(W847="",0,IF(ISNA(MATCH(W847,W$256:W846,0)),1,0))</f>
        <v/>
      </c>
      <c r="AA847">
        <f>IF(Z847&gt;Z846,Z847,"")</f>
        <v/>
      </c>
      <c r="AB847">
        <f>AB846+IF(X847="",0,IF(ISNA(MATCH(X847,X$256:X846,0)),1,0))</f>
        <v/>
      </c>
      <c r="AC847">
        <f>IF(AB847&gt;AB846,AB847,"")</f>
        <v/>
      </c>
    </row>
    <row r="848">
      <c r="W848" s="7" t="n"/>
      <c r="X848" s="7" t="n"/>
      <c r="Z848">
        <f>Z847+IF(W848="",0,IF(ISNA(MATCH(W848,W$256:W847,0)),1,0))</f>
        <v/>
      </c>
      <c r="AA848">
        <f>IF(Z848&gt;Z847,Z848,"")</f>
        <v/>
      </c>
      <c r="AB848">
        <f>AB847+IF(X848="",0,IF(ISNA(MATCH(X848,X$256:X847,0)),1,0))</f>
        <v/>
      </c>
      <c r="AC848">
        <f>IF(AB848&gt;AB847,AB848,"")</f>
        <v/>
      </c>
    </row>
    <row r="849">
      <c r="W849" s="7" t="n"/>
      <c r="X849" s="7" t="n"/>
      <c r="Z849">
        <f>Z848+IF(W849="",0,IF(ISNA(MATCH(W849,W$256:W848,0)),1,0))</f>
        <v/>
      </c>
      <c r="AA849">
        <f>IF(Z849&gt;Z848,Z849,"")</f>
        <v/>
      </c>
      <c r="AB849">
        <f>AB848+IF(X849="",0,IF(ISNA(MATCH(X849,X$256:X848,0)),1,0))</f>
        <v/>
      </c>
      <c r="AC849">
        <f>IF(AB849&gt;AB848,AB849,"")</f>
        <v/>
      </c>
    </row>
    <row r="850">
      <c r="W850" s="7" t="n"/>
      <c r="X850" s="7" t="n"/>
      <c r="Z850">
        <f>Z849+IF(W850="",0,IF(ISNA(MATCH(W850,W$256:W849,0)),1,0))</f>
        <v/>
      </c>
      <c r="AA850">
        <f>IF(Z850&gt;Z849,Z850,"")</f>
        <v/>
      </c>
      <c r="AB850">
        <f>AB849+IF(X850="",0,IF(ISNA(MATCH(X850,X$256:X849,0)),1,0))</f>
        <v/>
      </c>
      <c r="AC850">
        <f>IF(AB850&gt;AB849,AB850,"")</f>
        <v/>
      </c>
    </row>
    <row r="851">
      <c r="W851" s="7" t="n"/>
      <c r="X851" s="7" t="n"/>
      <c r="Z851">
        <f>Z850+IF(W851="",0,IF(ISNA(MATCH(W851,W$256:W850,0)),1,0))</f>
        <v/>
      </c>
      <c r="AA851">
        <f>IF(Z851&gt;Z850,Z851,"")</f>
        <v/>
      </c>
      <c r="AB851">
        <f>AB850+IF(X851="",0,IF(ISNA(MATCH(X851,X$256:X850,0)),1,0))</f>
        <v/>
      </c>
      <c r="AC851">
        <f>IF(AB851&gt;AB850,AB851,"")</f>
        <v/>
      </c>
    </row>
    <row r="852">
      <c r="W852" s="7" t="n"/>
      <c r="X852" s="7" t="n"/>
      <c r="Z852">
        <f>Z851+IF(W852="",0,IF(ISNA(MATCH(W852,W$256:W851,0)),1,0))</f>
        <v/>
      </c>
      <c r="AA852">
        <f>IF(Z852&gt;Z851,Z852,"")</f>
        <v/>
      </c>
      <c r="AB852">
        <f>AB851+IF(X852="",0,IF(ISNA(MATCH(X852,X$256:X851,0)),1,0))</f>
        <v/>
      </c>
      <c r="AC852">
        <f>IF(AB852&gt;AB851,AB852,"")</f>
        <v/>
      </c>
    </row>
    <row r="853">
      <c r="W853" s="7" t="n"/>
      <c r="X853" s="7" t="n"/>
      <c r="Z853">
        <f>Z852+IF(W853="",0,IF(ISNA(MATCH(W853,W$256:W852,0)),1,0))</f>
        <v/>
      </c>
      <c r="AA853">
        <f>IF(Z853&gt;Z852,Z853,"")</f>
        <v/>
      </c>
      <c r="AB853">
        <f>AB852+IF(X853="",0,IF(ISNA(MATCH(X853,X$256:X852,0)),1,0))</f>
        <v/>
      </c>
      <c r="AC853">
        <f>IF(AB853&gt;AB852,AB853,"")</f>
        <v/>
      </c>
    </row>
    <row r="854">
      <c r="W854" s="7" t="n"/>
      <c r="X854" s="7" t="n"/>
      <c r="Z854">
        <f>Z853+IF(W854="",0,IF(ISNA(MATCH(W854,W$256:W853,0)),1,0))</f>
        <v/>
      </c>
      <c r="AA854">
        <f>IF(Z854&gt;Z853,Z854,"")</f>
        <v/>
      </c>
      <c r="AB854">
        <f>AB853+IF(X854="",0,IF(ISNA(MATCH(X854,X$256:X853,0)),1,0))</f>
        <v/>
      </c>
      <c r="AC854">
        <f>IF(AB854&gt;AB853,AB854,"")</f>
        <v/>
      </c>
    </row>
    <row r="855">
      <c r="W855" s="7" t="n"/>
      <c r="X855" s="7" t="n"/>
      <c r="Z855">
        <f>Z854+IF(W855="",0,IF(ISNA(MATCH(W855,W$256:W854,0)),1,0))</f>
        <v/>
      </c>
      <c r="AA855">
        <f>IF(Z855&gt;Z854,Z855,"")</f>
        <v/>
      </c>
      <c r="AB855">
        <f>AB854+IF(X855="",0,IF(ISNA(MATCH(X855,X$256:X854,0)),1,0))</f>
        <v/>
      </c>
      <c r="AC855">
        <f>IF(AB855&gt;AB854,AB855,"")</f>
        <v/>
      </c>
    </row>
    <row r="856">
      <c r="W856" s="7" t="n"/>
      <c r="X856" s="7" t="n"/>
      <c r="Z856">
        <f>Z855+IF(W856="",0,IF(ISNA(MATCH(W856,W$256:W855,0)),1,0))</f>
        <v/>
      </c>
      <c r="AA856">
        <f>IF(Z856&gt;Z855,Z856,"")</f>
        <v/>
      </c>
      <c r="AB856">
        <f>AB855+IF(X856="",0,IF(ISNA(MATCH(X856,X$256:X855,0)),1,0))</f>
        <v/>
      </c>
      <c r="AC856">
        <f>IF(AB856&gt;AB855,AB856,"")</f>
        <v/>
      </c>
    </row>
    <row r="857">
      <c r="W857" s="7" t="n"/>
      <c r="X857" s="7" t="n"/>
      <c r="Z857">
        <f>Z856+IF(W857="",0,IF(ISNA(MATCH(W857,W$256:W856,0)),1,0))</f>
        <v/>
      </c>
      <c r="AA857">
        <f>IF(Z857&gt;Z856,Z857,"")</f>
        <v/>
      </c>
      <c r="AB857">
        <f>AB856+IF(X857="",0,IF(ISNA(MATCH(X857,X$256:X856,0)),1,0))</f>
        <v/>
      </c>
      <c r="AC857">
        <f>IF(AB857&gt;AB856,AB857,"")</f>
        <v/>
      </c>
    </row>
    <row r="858">
      <c r="W858" s="7" t="n"/>
      <c r="X858" s="7" t="n"/>
      <c r="Z858">
        <f>Z857+IF(W858="",0,IF(ISNA(MATCH(W858,W$256:W857,0)),1,0))</f>
        <v/>
      </c>
      <c r="AA858">
        <f>IF(Z858&gt;Z857,Z858,"")</f>
        <v/>
      </c>
      <c r="AB858">
        <f>AB857+IF(X858="",0,IF(ISNA(MATCH(X858,X$256:X857,0)),1,0))</f>
        <v/>
      </c>
      <c r="AC858">
        <f>IF(AB858&gt;AB857,AB858,"")</f>
        <v/>
      </c>
    </row>
    <row r="859">
      <c r="W859" s="7" t="n"/>
      <c r="X859" s="7" t="n"/>
      <c r="Z859">
        <f>Z858+IF(W859="",0,IF(ISNA(MATCH(W859,W$256:W858,0)),1,0))</f>
        <v/>
      </c>
      <c r="AA859">
        <f>IF(Z859&gt;Z858,Z859,"")</f>
        <v/>
      </c>
      <c r="AB859">
        <f>AB858+IF(X859="",0,IF(ISNA(MATCH(X859,X$256:X858,0)),1,0))</f>
        <v/>
      </c>
      <c r="AC859">
        <f>IF(AB859&gt;AB858,AB859,"")</f>
        <v/>
      </c>
    </row>
    <row r="860">
      <c r="W860" s="7" t="n"/>
      <c r="X860" s="7" t="n"/>
      <c r="Z860">
        <f>Z859+IF(W860="",0,IF(ISNA(MATCH(W860,W$256:W859,0)),1,0))</f>
        <v/>
      </c>
      <c r="AA860">
        <f>IF(Z860&gt;Z859,Z860,"")</f>
        <v/>
      </c>
      <c r="AB860">
        <f>AB859+IF(X860="",0,IF(ISNA(MATCH(X860,X$256:X859,0)),1,0))</f>
        <v/>
      </c>
      <c r="AC860">
        <f>IF(AB860&gt;AB859,AB860,"")</f>
        <v/>
      </c>
    </row>
    <row r="861">
      <c r="W861" s="7" t="n"/>
      <c r="X861" s="7" t="n"/>
      <c r="Z861">
        <f>Z860+IF(W861="",0,IF(ISNA(MATCH(W861,W$256:W860,0)),1,0))</f>
        <v/>
      </c>
      <c r="AA861">
        <f>IF(Z861&gt;Z860,Z861,"")</f>
        <v/>
      </c>
      <c r="AB861">
        <f>AB860+IF(X861="",0,IF(ISNA(MATCH(X861,X$256:X860,0)),1,0))</f>
        <v/>
      </c>
      <c r="AC861">
        <f>IF(AB861&gt;AB860,AB861,"")</f>
        <v/>
      </c>
    </row>
    <row r="862">
      <c r="W862" s="7" t="n"/>
      <c r="X862" s="7" t="n"/>
      <c r="Z862">
        <f>Z861+IF(W862="",0,IF(ISNA(MATCH(W862,W$256:W861,0)),1,0))</f>
        <v/>
      </c>
      <c r="AA862">
        <f>IF(Z862&gt;Z861,Z862,"")</f>
        <v/>
      </c>
      <c r="AB862">
        <f>AB861+IF(X862="",0,IF(ISNA(MATCH(X862,X$256:X861,0)),1,0))</f>
        <v/>
      </c>
      <c r="AC862">
        <f>IF(AB862&gt;AB861,AB862,"")</f>
        <v/>
      </c>
    </row>
    <row r="863">
      <c r="W863" s="7" t="n"/>
      <c r="X863" s="7" t="n"/>
      <c r="Z863">
        <f>Z862+IF(W863="",0,IF(ISNA(MATCH(W863,W$256:W862,0)),1,0))</f>
        <v/>
      </c>
      <c r="AA863">
        <f>IF(Z863&gt;Z862,Z863,"")</f>
        <v/>
      </c>
      <c r="AB863">
        <f>AB862+IF(X863="",0,IF(ISNA(MATCH(X863,X$256:X862,0)),1,0))</f>
        <v/>
      </c>
      <c r="AC863">
        <f>IF(AB863&gt;AB862,AB863,"")</f>
        <v/>
      </c>
    </row>
    <row r="864">
      <c r="W864" s="7" t="n"/>
      <c r="X864" s="7" t="n"/>
      <c r="Z864">
        <f>Z863+IF(W864="",0,IF(ISNA(MATCH(W864,W$256:W863,0)),1,0))</f>
        <v/>
      </c>
      <c r="AA864">
        <f>IF(Z864&gt;Z863,Z864,"")</f>
        <v/>
      </c>
      <c r="AB864">
        <f>AB863+IF(X864="",0,IF(ISNA(MATCH(X864,X$256:X863,0)),1,0))</f>
        <v/>
      </c>
      <c r="AC864">
        <f>IF(AB864&gt;AB863,AB864,"")</f>
        <v/>
      </c>
    </row>
    <row r="865">
      <c r="W865" s="7" t="n"/>
      <c r="X865" s="7" t="n"/>
      <c r="Z865">
        <f>Z864+IF(W865="",0,IF(ISNA(MATCH(W865,W$256:W864,0)),1,0))</f>
        <v/>
      </c>
      <c r="AA865">
        <f>IF(Z865&gt;Z864,Z865,"")</f>
        <v/>
      </c>
      <c r="AB865">
        <f>AB864+IF(X865="",0,IF(ISNA(MATCH(X865,X$256:X864,0)),1,0))</f>
        <v/>
      </c>
      <c r="AC865">
        <f>IF(AB865&gt;AB864,AB865,"")</f>
        <v/>
      </c>
    </row>
    <row r="866">
      <c r="W866" s="7" t="n"/>
      <c r="X866" s="7" t="n"/>
      <c r="Z866">
        <f>Z865+IF(W866="",0,IF(ISNA(MATCH(W866,W$256:W865,0)),1,0))</f>
        <v/>
      </c>
      <c r="AA866">
        <f>IF(Z866&gt;Z865,Z866,"")</f>
        <v/>
      </c>
      <c r="AB866">
        <f>AB865+IF(X866="",0,IF(ISNA(MATCH(X866,X$256:X865,0)),1,0))</f>
        <v/>
      </c>
      <c r="AC866">
        <f>IF(AB866&gt;AB865,AB866,"")</f>
        <v/>
      </c>
    </row>
    <row r="867">
      <c r="W867" s="7" t="n"/>
      <c r="X867" s="7" t="n"/>
      <c r="Z867">
        <f>Z866+IF(W867="",0,IF(ISNA(MATCH(W867,W$256:W866,0)),1,0))</f>
        <v/>
      </c>
      <c r="AA867">
        <f>IF(Z867&gt;Z866,Z867,"")</f>
        <v/>
      </c>
      <c r="AB867">
        <f>AB866+IF(X867="",0,IF(ISNA(MATCH(X867,X$256:X866,0)),1,0))</f>
        <v/>
      </c>
      <c r="AC867">
        <f>IF(AB867&gt;AB866,AB867,"")</f>
        <v/>
      </c>
    </row>
    <row r="868">
      <c r="W868" s="7" t="n"/>
      <c r="X868" s="7" t="n"/>
      <c r="Z868">
        <f>Z867+IF(W868="",0,IF(ISNA(MATCH(W868,W$256:W867,0)),1,0))</f>
        <v/>
      </c>
      <c r="AA868">
        <f>IF(Z868&gt;Z867,Z868,"")</f>
        <v/>
      </c>
      <c r="AB868">
        <f>AB867+IF(X868="",0,IF(ISNA(MATCH(X868,X$256:X867,0)),1,0))</f>
        <v/>
      </c>
      <c r="AC868">
        <f>IF(AB868&gt;AB867,AB868,"")</f>
        <v/>
      </c>
    </row>
    <row r="869">
      <c r="W869" s="7" t="n"/>
      <c r="X869" s="7" t="n"/>
      <c r="Z869">
        <f>Z868+IF(W869="",0,IF(ISNA(MATCH(W869,W$256:W868,0)),1,0))</f>
        <v/>
      </c>
      <c r="AA869">
        <f>IF(Z869&gt;Z868,Z869,"")</f>
        <v/>
      </c>
      <c r="AB869">
        <f>AB868+IF(X869="",0,IF(ISNA(MATCH(X869,X$256:X868,0)),1,0))</f>
        <v/>
      </c>
      <c r="AC869">
        <f>IF(AB869&gt;AB868,AB869,"")</f>
        <v/>
      </c>
    </row>
    <row r="870">
      <c r="W870" s="7" t="n"/>
      <c r="X870" s="7" t="n"/>
      <c r="Z870">
        <f>Z869+IF(W870="",0,IF(ISNA(MATCH(W870,W$256:W869,0)),1,0))</f>
        <v/>
      </c>
      <c r="AA870">
        <f>IF(Z870&gt;Z869,Z870,"")</f>
        <v/>
      </c>
      <c r="AB870">
        <f>AB869+IF(X870="",0,IF(ISNA(MATCH(X870,X$256:X869,0)),1,0))</f>
        <v/>
      </c>
      <c r="AC870">
        <f>IF(AB870&gt;AB869,AB870,"")</f>
        <v/>
      </c>
    </row>
    <row r="871">
      <c r="W871" s="7" t="n"/>
      <c r="X871" s="7" t="n"/>
      <c r="Z871">
        <f>Z870+IF(W871="",0,IF(ISNA(MATCH(W871,W$256:W870,0)),1,0))</f>
        <v/>
      </c>
      <c r="AA871">
        <f>IF(Z871&gt;Z870,Z871,"")</f>
        <v/>
      </c>
      <c r="AB871">
        <f>AB870+IF(X871="",0,IF(ISNA(MATCH(X871,X$256:X870,0)),1,0))</f>
        <v/>
      </c>
      <c r="AC871">
        <f>IF(AB871&gt;AB870,AB871,"")</f>
        <v/>
      </c>
    </row>
    <row r="872">
      <c r="W872" s="7" t="n"/>
      <c r="X872" s="7" t="n"/>
      <c r="Z872">
        <f>Z871+IF(W872="",0,IF(ISNA(MATCH(W872,W$256:W871,0)),1,0))</f>
        <v/>
      </c>
      <c r="AA872">
        <f>IF(Z872&gt;Z871,Z872,"")</f>
        <v/>
      </c>
      <c r="AB872">
        <f>AB871+IF(X872="",0,IF(ISNA(MATCH(X872,X$256:X871,0)),1,0))</f>
        <v/>
      </c>
      <c r="AC872">
        <f>IF(AB872&gt;AB871,AB872,"")</f>
        <v/>
      </c>
    </row>
    <row r="873">
      <c r="W873" s="7" t="n"/>
      <c r="X873" s="7" t="n"/>
      <c r="Z873">
        <f>Z872+IF(W873="",0,IF(ISNA(MATCH(W873,W$256:W872,0)),1,0))</f>
        <v/>
      </c>
      <c r="AA873">
        <f>IF(Z873&gt;Z872,Z873,"")</f>
        <v/>
      </c>
      <c r="AB873">
        <f>AB872+IF(X873="",0,IF(ISNA(MATCH(X873,X$256:X872,0)),1,0))</f>
        <v/>
      </c>
      <c r="AC873">
        <f>IF(AB873&gt;AB872,AB873,"")</f>
        <v/>
      </c>
    </row>
    <row r="874">
      <c r="W874" s="7" t="n"/>
      <c r="X874" s="7" t="n"/>
      <c r="Z874">
        <f>Z873+IF(W874="",0,IF(ISNA(MATCH(W874,W$256:W873,0)),1,0))</f>
        <v/>
      </c>
      <c r="AA874">
        <f>IF(Z874&gt;Z873,Z874,"")</f>
        <v/>
      </c>
      <c r="AB874">
        <f>AB873+IF(X874="",0,IF(ISNA(MATCH(X874,X$256:X873,0)),1,0))</f>
        <v/>
      </c>
      <c r="AC874">
        <f>IF(AB874&gt;AB873,AB874,"")</f>
        <v/>
      </c>
    </row>
    <row r="875">
      <c r="W875" s="7" t="n"/>
      <c r="X875" s="7" t="n"/>
      <c r="Z875">
        <f>Z874+IF(W875="",0,IF(ISNA(MATCH(W875,W$256:W874,0)),1,0))</f>
        <v/>
      </c>
      <c r="AA875">
        <f>IF(Z875&gt;Z874,Z875,"")</f>
        <v/>
      </c>
      <c r="AB875">
        <f>AB874+IF(X875="",0,IF(ISNA(MATCH(X875,X$256:X874,0)),1,0))</f>
        <v/>
      </c>
      <c r="AC875">
        <f>IF(AB875&gt;AB874,AB875,"")</f>
        <v/>
      </c>
    </row>
    <row r="876">
      <c r="W876" s="7" t="n"/>
      <c r="X876" s="7" t="n"/>
      <c r="Z876">
        <f>Z875+IF(W876="",0,IF(ISNA(MATCH(W876,W$256:W875,0)),1,0))</f>
        <v/>
      </c>
      <c r="AA876">
        <f>IF(Z876&gt;Z875,Z876,"")</f>
        <v/>
      </c>
      <c r="AB876">
        <f>AB875+IF(X876="",0,IF(ISNA(MATCH(X876,X$256:X875,0)),1,0))</f>
        <v/>
      </c>
      <c r="AC876">
        <f>IF(AB876&gt;AB875,AB876,"")</f>
        <v/>
      </c>
    </row>
    <row r="877">
      <c r="W877" s="7" t="n"/>
      <c r="X877" s="7" t="n"/>
      <c r="Z877">
        <f>Z876+IF(W877="",0,IF(ISNA(MATCH(W877,W$256:W876,0)),1,0))</f>
        <v/>
      </c>
      <c r="AA877">
        <f>IF(Z877&gt;Z876,Z877,"")</f>
        <v/>
      </c>
      <c r="AB877">
        <f>AB876+IF(X877="",0,IF(ISNA(MATCH(X877,X$256:X876,0)),1,0))</f>
        <v/>
      </c>
      <c r="AC877">
        <f>IF(AB877&gt;AB876,AB877,"")</f>
        <v/>
      </c>
    </row>
    <row r="878">
      <c r="W878" s="7" t="n"/>
      <c r="X878" s="7" t="n"/>
      <c r="Z878">
        <f>Z877+IF(W878="",0,IF(ISNA(MATCH(W878,W$256:W877,0)),1,0))</f>
        <v/>
      </c>
      <c r="AA878">
        <f>IF(Z878&gt;Z877,Z878,"")</f>
        <v/>
      </c>
      <c r="AB878">
        <f>AB877+IF(X878="",0,IF(ISNA(MATCH(X878,X$256:X877,0)),1,0))</f>
        <v/>
      </c>
      <c r="AC878">
        <f>IF(AB878&gt;AB877,AB878,"")</f>
        <v/>
      </c>
    </row>
    <row r="879">
      <c r="W879" s="7" t="n"/>
      <c r="X879" s="7" t="n"/>
      <c r="Z879">
        <f>Z878+IF(W879="",0,IF(ISNA(MATCH(W879,W$256:W878,0)),1,0))</f>
        <v/>
      </c>
      <c r="AA879">
        <f>IF(Z879&gt;Z878,Z879,"")</f>
        <v/>
      </c>
      <c r="AB879">
        <f>AB878+IF(X879="",0,IF(ISNA(MATCH(X879,X$256:X878,0)),1,0))</f>
        <v/>
      </c>
      <c r="AC879">
        <f>IF(AB879&gt;AB878,AB879,"")</f>
        <v/>
      </c>
    </row>
    <row r="880">
      <c r="W880" s="7" t="n"/>
      <c r="X880" s="7" t="n"/>
      <c r="Z880">
        <f>Z879+IF(W880="",0,IF(ISNA(MATCH(W880,W$256:W879,0)),1,0))</f>
        <v/>
      </c>
      <c r="AA880">
        <f>IF(Z880&gt;Z879,Z880,"")</f>
        <v/>
      </c>
      <c r="AB880">
        <f>AB879+IF(X880="",0,IF(ISNA(MATCH(X880,X$256:X879,0)),1,0))</f>
        <v/>
      </c>
      <c r="AC880">
        <f>IF(AB880&gt;AB879,AB880,"")</f>
        <v/>
      </c>
    </row>
    <row r="881">
      <c r="W881" s="7" t="n"/>
      <c r="X881" s="7" t="n"/>
      <c r="Z881">
        <f>Z880+IF(W881="",0,IF(ISNA(MATCH(W881,W$256:W880,0)),1,0))</f>
        <v/>
      </c>
      <c r="AA881">
        <f>IF(Z881&gt;Z880,Z881,"")</f>
        <v/>
      </c>
      <c r="AB881">
        <f>AB880+IF(X881="",0,IF(ISNA(MATCH(X881,X$256:X880,0)),1,0))</f>
        <v/>
      </c>
      <c r="AC881">
        <f>IF(AB881&gt;AB880,AB881,"")</f>
        <v/>
      </c>
    </row>
    <row r="882">
      <c r="W882" s="7" t="n"/>
      <c r="X882" s="7" t="n"/>
      <c r="Z882">
        <f>Z881+IF(W882="",0,IF(ISNA(MATCH(W882,W$256:W881,0)),1,0))</f>
        <v/>
      </c>
      <c r="AA882">
        <f>IF(Z882&gt;Z881,Z882,"")</f>
        <v/>
      </c>
      <c r="AB882">
        <f>AB881+IF(X882="",0,IF(ISNA(MATCH(X882,X$256:X881,0)),1,0))</f>
        <v/>
      </c>
      <c r="AC882">
        <f>IF(AB882&gt;AB881,AB882,"")</f>
        <v/>
      </c>
    </row>
    <row r="883">
      <c r="W883" s="7" t="n"/>
      <c r="X883" s="7" t="n"/>
      <c r="Z883">
        <f>Z882+IF(W883="",0,IF(ISNA(MATCH(W883,W$256:W882,0)),1,0))</f>
        <v/>
      </c>
      <c r="AA883">
        <f>IF(Z883&gt;Z882,Z883,"")</f>
        <v/>
      </c>
      <c r="AB883">
        <f>AB882+IF(X883="",0,IF(ISNA(MATCH(X883,X$256:X882,0)),1,0))</f>
        <v/>
      </c>
      <c r="AC883">
        <f>IF(AB883&gt;AB882,AB883,"")</f>
        <v/>
      </c>
    </row>
    <row r="884">
      <c r="W884" s="7" t="n"/>
      <c r="X884" s="7" t="n"/>
      <c r="Z884">
        <f>Z883+IF(W884="",0,IF(ISNA(MATCH(W884,W$256:W883,0)),1,0))</f>
        <v/>
      </c>
      <c r="AA884">
        <f>IF(Z884&gt;Z883,Z884,"")</f>
        <v/>
      </c>
      <c r="AB884">
        <f>AB883+IF(X884="",0,IF(ISNA(MATCH(X884,X$256:X883,0)),1,0))</f>
        <v/>
      </c>
      <c r="AC884">
        <f>IF(AB884&gt;AB883,AB884,"")</f>
        <v/>
      </c>
    </row>
    <row r="885">
      <c r="W885" s="7" t="n"/>
      <c r="X885" s="7" t="n"/>
      <c r="Z885">
        <f>Z884+IF(W885="",0,IF(ISNA(MATCH(W885,W$256:W884,0)),1,0))</f>
        <v/>
      </c>
      <c r="AA885">
        <f>IF(Z885&gt;Z884,Z885,"")</f>
        <v/>
      </c>
      <c r="AB885">
        <f>AB884+IF(X885="",0,IF(ISNA(MATCH(X885,X$256:X884,0)),1,0))</f>
        <v/>
      </c>
      <c r="AC885">
        <f>IF(AB885&gt;AB884,AB885,"")</f>
        <v/>
      </c>
    </row>
    <row r="886">
      <c r="W886" s="7" t="n"/>
      <c r="X886" s="7" t="n"/>
      <c r="Z886">
        <f>Z885+IF(W886="",0,IF(ISNA(MATCH(W886,W$256:W885,0)),1,0))</f>
        <v/>
      </c>
      <c r="AA886">
        <f>IF(Z886&gt;Z885,Z886,"")</f>
        <v/>
      </c>
      <c r="AB886">
        <f>AB885+IF(X886="",0,IF(ISNA(MATCH(X886,X$256:X885,0)),1,0))</f>
        <v/>
      </c>
      <c r="AC886">
        <f>IF(AB886&gt;AB885,AB886,"")</f>
        <v/>
      </c>
    </row>
    <row r="887">
      <c r="W887" s="7" t="n"/>
      <c r="X887" s="7" t="n"/>
      <c r="Z887">
        <f>Z886+IF(W887="",0,IF(ISNA(MATCH(W887,W$256:W886,0)),1,0))</f>
        <v/>
      </c>
      <c r="AA887">
        <f>IF(Z887&gt;Z886,Z887,"")</f>
        <v/>
      </c>
      <c r="AB887">
        <f>AB886+IF(X887="",0,IF(ISNA(MATCH(X887,X$256:X886,0)),1,0))</f>
        <v/>
      </c>
      <c r="AC887">
        <f>IF(AB887&gt;AB886,AB887,"")</f>
        <v/>
      </c>
    </row>
    <row r="888">
      <c r="W888" s="7" t="n"/>
      <c r="X888" s="7" t="n"/>
      <c r="Z888">
        <f>Z887+IF(W888="",0,IF(ISNA(MATCH(W888,W$256:W887,0)),1,0))</f>
        <v/>
      </c>
      <c r="AA888">
        <f>IF(Z888&gt;Z887,Z888,"")</f>
        <v/>
      </c>
      <c r="AB888">
        <f>AB887+IF(X888="",0,IF(ISNA(MATCH(X888,X$256:X887,0)),1,0))</f>
        <v/>
      </c>
      <c r="AC888">
        <f>IF(AB888&gt;AB887,AB888,"")</f>
        <v/>
      </c>
    </row>
    <row r="889">
      <c r="W889" s="7" t="n"/>
      <c r="X889" s="7" t="n"/>
      <c r="Z889">
        <f>Z888+IF(W889="",0,IF(ISNA(MATCH(W889,W$256:W888,0)),1,0))</f>
        <v/>
      </c>
      <c r="AA889">
        <f>IF(Z889&gt;Z888,Z889,"")</f>
        <v/>
      </c>
      <c r="AB889">
        <f>AB888+IF(X889="",0,IF(ISNA(MATCH(X889,X$256:X888,0)),1,0))</f>
        <v/>
      </c>
      <c r="AC889">
        <f>IF(AB889&gt;AB888,AB889,"")</f>
        <v/>
      </c>
    </row>
    <row r="890">
      <c r="W890" s="7" t="n"/>
      <c r="X890" s="7" t="n"/>
      <c r="Z890">
        <f>Z889+IF(W890="",0,IF(ISNA(MATCH(W890,W$256:W889,0)),1,0))</f>
        <v/>
      </c>
      <c r="AA890">
        <f>IF(Z890&gt;Z889,Z890,"")</f>
        <v/>
      </c>
      <c r="AB890">
        <f>AB889+IF(X890="",0,IF(ISNA(MATCH(X890,X$256:X889,0)),1,0))</f>
        <v/>
      </c>
      <c r="AC890">
        <f>IF(AB890&gt;AB889,AB890,"")</f>
        <v/>
      </c>
    </row>
    <row r="891">
      <c r="W891" s="7" t="n"/>
      <c r="X891" s="7" t="n"/>
      <c r="Z891">
        <f>Z890+IF(W891="",0,IF(ISNA(MATCH(W891,W$256:W890,0)),1,0))</f>
        <v/>
      </c>
      <c r="AA891">
        <f>IF(Z891&gt;Z890,Z891,"")</f>
        <v/>
      </c>
      <c r="AB891">
        <f>AB890+IF(X891="",0,IF(ISNA(MATCH(X891,X$256:X890,0)),1,0))</f>
        <v/>
      </c>
      <c r="AC891">
        <f>IF(AB891&gt;AB890,AB891,"")</f>
        <v/>
      </c>
    </row>
    <row r="892">
      <c r="W892" s="7" t="n"/>
      <c r="X892" s="7" t="n"/>
      <c r="Z892">
        <f>Z891+IF(W892="",0,IF(ISNA(MATCH(W892,W$256:W891,0)),1,0))</f>
        <v/>
      </c>
      <c r="AA892">
        <f>IF(Z892&gt;Z891,Z892,"")</f>
        <v/>
      </c>
      <c r="AB892">
        <f>AB891+IF(X892="",0,IF(ISNA(MATCH(X892,X$256:X891,0)),1,0))</f>
        <v/>
      </c>
      <c r="AC892">
        <f>IF(AB892&gt;AB891,AB892,"")</f>
        <v/>
      </c>
    </row>
    <row r="893">
      <c r="W893" s="7" t="n"/>
      <c r="X893" s="7" t="n"/>
      <c r="Z893">
        <f>Z892+IF(W893="",0,IF(ISNA(MATCH(W893,W$256:W892,0)),1,0))</f>
        <v/>
      </c>
      <c r="AA893">
        <f>IF(Z893&gt;Z892,Z893,"")</f>
        <v/>
      </c>
      <c r="AB893">
        <f>AB892+IF(X893="",0,IF(ISNA(MATCH(X893,X$256:X892,0)),1,0))</f>
        <v/>
      </c>
      <c r="AC893">
        <f>IF(AB893&gt;AB892,AB893,"")</f>
        <v/>
      </c>
    </row>
    <row r="894">
      <c r="W894" s="7" t="n"/>
      <c r="X894" s="7" t="n"/>
      <c r="Z894">
        <f>Z893+IF(W894="",0,IF(ISNA(MATCH(W894,W$256:W893,0)),1,0))</f>
        <v/>
      </c>
      <c r="AA894">
        <f>IF(Z894&gt;Z893,Z894,"")</f>
        <v/>
      </c>
      <c r="AB894">
        <f>AB893+IF(X894="",0,IF(ISNA(MATCH(X894,X$256:X893,0)),1,0))</f>
        <v/>
      </c>
      <c r="AC894">
        <f>IF(AB894&gt;AB893,AB894,"")</f>
        <v/>
      </c>
    </row>
    <row r="895">
      <c r="W895" s="7" t="n"/>
      <c r="X895" s="7" t="n"/>
      <c r="Z895">
        <f>Z894+IF(W895="",0,IF(ISNA(MATCH(W895,W$256:W894,0)),1,0))</f>
        <v/>
      </c>
      <c r="AA895">
        <f>IF(Z895&gt;Z894,Z895,"")</f>
        <v/>
      </c>
      <c r="AB895">
        <f>AB894+IF(X895="",0,IF(ISNA(MATCH(X895,X$256:X894,0)),1,0))</f>
        <v/>
      </c>
      <c r="AC895">
        <f>IF(AB895&gt;AB894,AB895,"")</f>
        <v/>
      </c>
    </row>
    <row r="896">
      <c r="W896" s="7" t="n"/>
      <c r="X896" s="7" t="n"/>
      <c r="Z896">
        <f>Z895+IF(W896="",0,IF(ISNA(MATCH(W896,W$256:W895,0)),1,0))</f>
        <v/>
      </c>
      <c r="AA896">
        <f>IF(Z896&gt;Z895,Z896,"")</f>
        <v/>
      </c>
      <c r="AB896">
        <f>AB895+IF(X896="",0,IF(ISNA(MATCH(X896,X$256:X895,0)),1,0))</f>
        <v/>
      </c>
      <c r="AC896">
        <f>IF(AB896&gt;AB895,AB896,"")</f>
        <v/>
      </c>
    </row>
    <row r="897">
      <c r="W897" s="7" t="n"/>
      <c r="X897" s="7" t="n"/>
      <c r="Z897">
        <f>Z896+IF(W897="",0,IF(ISNA(MATCH(W897,W$256:W896,0)),1,0))</f>
        <v/>
      </c>
      <c r="AA897">
        <f>IF(Z897&gt;Z896,Z897,"")</f>
        <v/>
      </c>
      <c r="AB897">
        <f>AB896+IF(X897="",0,IF(ISNA(MATCH(X897,X$256:X896,0)),1,0))</f>
        <v/>
      </c>
      <c r="AC897">
        <f>IF(AB897&gt;AB896,AB897,"")</f>
        <v/>
      </c>
    </row>
    <row r="898">
      <c r="W898" s="7" t="n"/>
      <c r="X898" s="7" t="n"/>
      <c r="Z898">
        <f>Z897+IF(W898="",0,IF(ISNA(MATCH(W898,W$256:W897,0)),1,0))</f>
        <v/>
      </c>
      <c r="AA898">
        <f>IF(Z898&gt;Z897,Z898,"")</f>
        <v/>
      </c>
      <c r="AB898">
        <f>AB897+IF(X898="",0,IF(ISNA(MATCH(X898,X$256:X897,0)),1,0))</f>
        <v/>
      </c>
      <c r="AC898">
        <f>IF(AB898&gt;AB897,AB898,"")</f>
        <v/>
      </c>
    </row>
    <row r="899">
      <c r="W899" s="7" t="n"/>
      <c r="X899" s="7" t="n"/>
      <c r="Z899">
        <f>Z898+IF(W899="",0,IF(ISNA(MATCH(W899,W$256:W898,0)),1,0))</f>
        <v/>
      </c>
      <c r="AA899">
        <f>IF(Z899&gt;Z898,Z899,"")</f>
        <v/>
      </c>
      <c r="AB899">
        <f>AB898+IF(X899="",0,IF(ISNA(MATCH(X899,X$256:X898,0)),1,0))</f>
        <v/>
      </c>
      <c r="AC899">
        <f>IF(AB899&gt;AB898,AB899,"")</f>
        <v/>
      </c>
    </row>
    <row r="900">
      <c r="W900" s="7" t="n"/>
      <c r="X900" s="7" t="n"/>
      <c r="Z900">
        <f>Z899+IF(W900="",0,IF(ISNA(MATCH(W900,W$256:W899,0)),1,0))</f>
        <v/>
      </c>
      <c r="AA900">
        <f>IF(Z900&gt;Z899,Z900,"")</f>
        <v/>
      </c>
      <c r="AB900">
        <f>AB899+IF(X900="",0,IF(ISNA(MATCH(X900,X$256:X899,0)),1,0))</f>
        <v/>
      </c>
      <c r="AC900">
        <f>IF(AB900&gt;AB899,AB900,"")</f>
        <v/>
      </c>
    </row>
    <row r="901">
      <c r="W901" s="7" t="n"/>
      <c r="X901" s="7" t="n"/>
      <c r="Z901">
        <f>Z900+IF(W901="",0,IF(ISNA(MATCH(W901,W$256:W900,0)),1,0))</f>
        <v/>
      </c>
      <c r="AA901">
        <f>IF(Z901&gt;Z900,Z901,"")</f>
        <v/>
      </c>
      <c r="AB901">
        <f>AB900+IF(X901="",0,IF(ISNA(MATCH(X901,X$256:X900,0)),1,0))</f>
        <v/>
      </c>
      <c r="AC901">
        <f>IF(AB901&gt;AB900,AB901,"")</f>
        <v/>
      </c>
    </row>
    <row r="902">
      <c r="W902" s="7" t="n"/>
      <c r="X902" s="7" t="n"/>
      <c r="Z902">
        <f>Z901+IF(W902="",0,IF(ISNA(MATCH(W902,W$256:W901,0)),1,0))</f>
        <v/>
      </c>
      <c r="AA902">
        <f>IF(Z902&gt;Z901,Z902,"")</f>
        <v/>
      </c>
      <c r="AB902">
        <f>AB901+IF(X902="",0,IF(ISNA(MATCH(X902,X$256:X901,0)),1,0))</f>
        <v/>
      </c>
      <c r="AC902">
        <f>IF(AB902&gt;AB901,AB902,"")</f>
        <v/>
      </c>
    </row>
    <row r="903">
      <c r="W903" s="7" t="n"/>
      <c r="X903" s="7" t="n"/>
      <c r="Z903">
        <f>Z902+IF(W903="",0,IF(ISNA(MATCH(W903,W$256:W902,0)),1,0))</f>
        <v/>
      </c>
      <c r="AA903">
        <f>IF(Z903&gt;Z902,Z903,"")</f>
        <v/>
      </c>
      <c r="AB903">
        <f>AB902+IF(X903="",0,IF(ISNA(MATCH(X903,X$256:X902,0)),1,0))</f>
        <v/>
      </c>
      <c r="AC903">
        <f>IF(AB903&gt;AB902,AB903,"")</f>
        <v/>
      </c>
    </row>
    <row r="904">
      <c r="W904" s="7" t="n"/>
      <c r="X904" s="7" t="n"/>
      <c r="Z904">
        <f>Z903+IF(W904="",0,IF(ISNA(MATCH(W904,W$256:W903,0)),1,0))</f>
        <v/>
      </c>
      <c r="AA904">
        <f>IF(Z904&gt;Z903,Z904,"")</f>
        <v/>
      </c>
      <c r="AB904">
        <f>AB903+IF(X904="",0,IF(ISNA(MATCH(X904,X$256:X903,0)),1,0))</f>
        <v/>
      </c>
      <c r="AC904">
        <f>IF(AB904&gt;AB903,AB904,"")</f>
        <v/>
      </c>
    </row>
    <row r="905">
      <c r="W905" s="7" t="n"/>
      <c r="X905" s="7" t="n"/>
      <c r="Z905">
        <f>Z904+IF(W905="",0,IF(ISNA(MATCH(W905,W$256:W904,0)),1,0))</f>
        <v/>
      </c>
      <c r="AA905">
        <f>IF(Z905&gt;Z904,Z905,"")</f>
        <v/>
      </c>
      <c r="AB905">
        <f>AB904+IF(X905="",0,IF(ISNA(MATCH(X905,X$256:X904,0)),1,0))</f>
        <v/>
      </c>
      <c r="AC905">
        <f>IF(AB905&gt;AB904,AB905,"")</f>
        <v/>
      </c>
    </row>
    <row r="906">
      <c r="W906" s="7" t="n"/>
      <c r="X906" s="7" t="n"/>
      <c r="Z906">
        <f>Z905+IF(W906="",0,IF(ISNA(MATCH(W906,W$256:W905,0)),1,0))</f>
        <v/>
      </c>
      <c r="AA906">
        <f>IF(Z906&gt;Z905,Z906,"")</f>
        <v/>
      </c>
      <c r="AB906">
        <f>AB905+IF(X906="",0,IF(ISNA(MATCH(X906,X$256:X905,0)),1,0))</f>
        <v/>
      </c>
      <c r="AC906">
        <f>IF(AB906&gt;AB905,AB906,"")</f>
        <v/>
      </c>
    </row>
    <row r="907">
      <c r="W907" s="7" t="n"/>
      <c r="X907" s="7" t="n"/>
      <c r="Z907">
        <f>Z906+IF(W907="",0,IF(ISNA(MATCH(W907,W$256:W906,0)),1,0))</f>
        <v/>
      </c>
      <c r="AA907">
        <f>IF(Z907&gt;Z906,Z907,"")</f>
        <v/>
      </c>
      <c r="AB907">
        <f>AB906+IF(X907="",0,IF(ISNA(MATCH(X907,X$256:X906,0)),1,0))</f>
        <v/>
      </c>
      <c r="AC907">
        <f>IF(AB907&gt;AB906,AB907,"")</f>
        <v/>
      </c>
    </row>
    <row r="908">
      <c r="W908" s="7" t="n"/>
      <c r="X908" s="7" t="n"/>
      <c r="Z908">
        <f>Z907+IF(W908="",0,IF(ISNA(MATCH(W908,W$256:W907,0)),1,0))</f>
        <v/>
      </c>
      <c r="AA908">
        <f>IF(Z908&gt;Z907,Z908,"")</f>
        <v/>
      </c>
      <c r="AB908">
        <f>AB907+IF(X908="",0,IF(ISNA(MATCH(X908,X$256:X907,0)),1,0))</f>
        <v/>
      </c>
      <c r="AC908">
        <f>IF(AB908&gt;AB907,AB908,"")</f>
        <v/>
      </c>
    </row>
    <row r="909">
      <c r="W909" s="7" t="n"/>
      <c r="X909" s="7" t="n"/>
      <c r="Z909">
        <f>Z908+IF(W909="",0,IF(ISNA(MATCH(W909,W$256:W908,0)),1,0))</f>
        <v/>
      </c>
      <c r="AA909">
        <f>IF(Z909&gt;Z908,Z909,"")</f>
        <v/>
      </c>
      <c r="AB909">
        <f>AB908+IF(X909="",0,IF(ISNA(MATCH(X909,X$256:X908,0)),1,0))</f>
        <v/>
      </c>
      <c r="AC909">
        <f>IF(AB909&gt;AB908,AB909,"")</f>
        <v/>
      </c>
    </row>
    <row r="910">
      <c r="W910" s="7" t="n"/>
      <c r="X910" s="7" t="n"/>
      <c r="Z910">
        <f>Z909+IF(W910="",0,IF(ISNA(MATCH(W910,W$256:W909,0)),1,0))</f>
        <v/>
      </c>
      <c r="AA910">
        <f>IF(Z910&gt;Z909,Z910,"")</f>
        <v/>
      </c>
      <c r="AB910">
        <f>AB909+IF(X910="",0,IF(ISNA(MATCH(X910,X$256:X909,0)),1,0))</f>
        <v/>
      </c>
      <c r="AC910">
        <f>IF(AB910&gt;AB909,AB910,"")</f>
        <v/>
      </c>
    </row>
    <row r="911">
      <c r="W911" s="7" t="n"/>
      <c r="X911" s="7" t="n"/>
      <c r="Z911">
        <f>Z910+IF(W911="",0,IF(ISNA(MATCH(W911,W$256:W910,0)),1,0))</f>
        <v/>
      </c>
      <c r="AA911">
        <f>IF(Z911&gt;Z910,Z911,"")</f>
        <v/>
      </c>
      <c r="AB911">
        <f>AB910+IF(X911="",0,IF(ISNA(MATCH(X911,X$256:X910,0)),1,0))</f>
        <v/>
      </c>
      <c r="AC911">
        <f>IF(AB911&gt;AB910,AB911,"")</f>
        <v/>
      </c>
    </row>
    <row r="912">
      <c r="W912" s="7" t="n"/>
      <c r="X912" s="7" t="n"/>
      <c r="Z912">
        <f>Z911+IF(W912="",0,IF(ISNA(MATCH(W912,W$256:W911,0)),1,0))</f>
        <v/>
      </c>
      <c r="AA912">
        <f>IF(Z912&gt;Z911,Z912,"")</f>
        <v/>
      </c>
      <c r="AB912">
        <f>AB911+IF(X912="",0,IF(ISNA(MATCH(X912,X$256:X911,0)),1,0))</f>
        <v/>
      </c>
      <c r="AC912">
        <f>IF(AB912&gt;AB911,AB912,"")</f>
        <v/>
      </c>
    </row>
    <row r="913">
      <c r="W913" s="7" t="n"/>
      <c r="X913" s="7" t="n"/>
      <c r="Z913">
        <f>Z912+IF(W913="",0,IF(ISNA(MATCH(W913,W$256:W912,0)),1,0))</f>
        <v/>
      </c>
      <c r="AA913">
        <f>IF(Z913&gt;Z912,Z913,"")</f>
        <v/>
      </c>
      <c r="AB913">
        <f>AB912+IF(X913="",0,IF(ISNA(MATCH(X913,X$256:X912,0)),1,0))</f>
        <v/>
      </c>
      <c r="AC913">
        <f>IF(AB913&gt;AB912,AB913,"")</f>
        <v/>
      </c>
    </row>
    <row r="914">
      <c r="W914" s="7" t="n"/>
      <c r="X914" s="7" t="n"/>
      <c r="Z914">
        <f>Z913+IF(W914="",0,IF(ISNA(MATCH(W914,W$256:W913,0)),1,0))</f>
        <v/>
      </c>
      <c r="AA914">
        <f>IF(Z914&gt;Z913,Z914,"")</f>
        <v/>
      </c>
      <c r="AB914">
        <f>AB913+IF(X914="",0,IF(ISNA(MATCH(X914,X$256:X913,0)),1,0))</f>
        <v/>
      </c>
      <c r="AC914">
        <f>IF(AB914&gt;AB913,AB914,"")</f>
        <v/>
      </c>
    </row>
    <row r="915">
      <c r="W915" s="7" t="n"/>
      <c r="X915" s="7" t="n"/>
      <c r="Z915">
        <f>Z914+IF(W915="",0,IF(ISNA(MATCH(W915,W$256:W914,0)),1,0))</f>
        <v/>
      </c>
      <c r="AA915">
        <f>IF(Z915&gt;Z914,Z915,"")</f>
        <v/>
      </c>
      <c r="AB915">
        <f>AB914+IF(X915="",0,IF(ISNA(MATCH(X915,X$256:X914,0)),1,0))</f>
        <v/>
      </c>
      <c r="AC915">
        <f>IF(AB915&gt;AB914,AB915,"")</f>
        <v/>
      </c>
    </row>
    <row r="916">
      <c r="W916" s="7" t="n"/>
      <c r="X916" s="7" t="n"/>
      <c r="Z916">
        <f>Z915+IF(W916="",0,IF(ISNA(MATCH(W916,W$256:W915,0)),1,0))</f>
        <v/>
      </c>
      <c r="AA916">
        <f>IF(Z916&gt;Z915,Z916,"")</f>
        <v/>
      </c>
      <c r="AB916">
        <f>AB915+IF(X916="",0,IF(ISNA(MATCH(X916,X$256:X915,0)),1,0))</f>
        <v/>
      </c>
      <c r="AC916">
        <f>IF(AB916&gt;AB915,AB916,"")</f>
        <v/>
      </c>
    </row>
    <row r="917">
      <c r="W917" s="7" t="n"/>
      <c r="X917" s="7" t="n"/>
      <c r="Z917">
        <f>Z916+IF(W917="",0,IF(ISNA(MATCH(W917,W$256:W916,0)),1,0))</f>
        <v/>
      </c>
      <c r="AA917">
        <f>IF(Z917&gt;Z916,Z917,"")</f>
        <v/>
      </c>
      <c r="AB917">
        <f>AB916+IF(X917="",0,IF(ISNA(MATCH(X917,X$256:X916,0)),1,0))</f>
        <v/>
      </c>
      <c r="AC917">
        <f>IF(AB917&gt;AB916,AB917,"")</f>
        <v/>
      </c>
    </row>
    <row r="918">
      <c r="W918" s="7" t="n"/>
      <c r="X918" s="7" t="n"/>
      <c r="Z918">
        <f>Z917+IF(W918="",0,IF(ISNA(MATCH(W918,W$256:W917,0)),1,0))</f>
        <v/>
      </c>
      <c r="AA918">
        <f>IF(Z918&gt;Z917,Z918,"")</f>
        <v/>
      </c>
      <c r="AB918">
        <f>AB917+IF(X918="",0,IF(ISNA(MATCH(X918,X$256:X917,0)),1,0))</f>
        <v/>
      </c>
      <c r="AC918">
        <f>IF(AB918&gt;AB917,AB918,"")</f>
        <v/>
      </c>
    </row>
    <row r="919">
      <c r="W919" s="7" t="n"/>
      <c r="X919" s="7" t="n"/>
      <c r="Z919">
        <f>Z918+IF(W919="",0,IF(ISNA(MATCH(W919,W$256:W918,0)),1,0))</f>
        <v/>
      </c>
      <c r="AA919">
        <f>IF(Z919&gt;Z918,Z919,"")</f>
        <v/>
      </c>
      <c r="AB919">
        <f>AB918+IF(X919="",0,IF(ISNA(MATCH(X919,X$256:X918,0)),1,0))</f>
        <v/>
      </c>
      <c r="AC919">
        <f>IF(AB919&gt;AB918,AB919,"")</f>
        <v/>
      </c>
    </row>
    <row r="920">
      <c r="W920" s="7" t="n"/>
      <c r="X920" s="7" t="n"/>
      <c r="Z920">
        <f>Z919+IF(W920="",0,IF(ISNA(MATCH(W920,W$256:W919,0)),1,0))</f>
        <v/>
      </c>
      <c r="AA920">
        <f>IF(Z920&gt;Z919,Z920,"")</f>
        <v/>
      </c>
      <c r="AB920">
        <f>AB919+IF(X920="",0,IF(ISNA(MATCH(X920,X$256:X919,0)),1,0))</f>
        <v/>
      </c>
      <c r="AC920">
        <f>IF(AB920&gt;AB919,AB920,"")</f>
        <v/>
      </c>
    </row>
    <row r="921">
      <c r="W921" s="7" t="n"/>
      <c r="X921" s="7" t="n"/>
      <c r="Z921">
        <f>Z920+IF(W921="",0,IF(ISNA(MATCH(W921,W$256:W920,0)),1,0))</f>
        <v/>
      </c>
      <c r="AA921">
        <f>IF(Z921&gt;Z920,Z921,"")</f>
        <v/>
      </c>
      <c r="AB921">
        <f>AB920+IF(X921="",0,IF(ISNA(MATCH(X921,X$256:X920,0)),1,0))</f>
        <v/>
      </c>
      <c r="AC921">
        <f>IF(AB921&gt;AB920,AB921,"")</f>
        <v/>
      </c>
    </row>
    <row r="922">
      <c r="W922" s="7" t="n"/>
      <c r="X922" s="7" t="n"/>
      <c r="Z922">
        <f>Z921+IF(W922="",0,IF(ISNA(MATCH(W922,W$256:W921,0)),1,0))</f>
        <v/>
      </c>
      <c r="AA922">
        <f>IF(Z922&gt;Z921,Z922,"")</f>
        <v/>
      </c>
      <c r="AB922">
        <f>AB921+IF(X922="",0,IF(ISNA(MATCH(X922,X$256:X921,0)),1,0))</f>
        <v/>
      </c>
      <c r="AC922">
        <f>IF(AB922&gt;AB921,AB922,"")</f>
        <v/>
      </c>
    </row>
    <row r="923">
      <c r="W923" s="7" t="n"/>
      <c r="X923" s="7" t="n"/>
      <c r="Z923">
        <f>Z922+IF(W923="",0,IF(ISNA(MATCH(W923,W$256:W922,0)),1,0))</f>
        <v/>
      </c>
      <c r="AA923">
        <f>IF(Z923&gt;Z922,Z923,"")</f>
        <v/>
      </c>
      <c r="AB923">
        <f>AB922+IF(X923="",0,IF(ISNA(MATCH(X923,X$256:X922,0)),1,0))</f>
        <v/>
      </c>
      <c r="AC923">
        <f>IF(AB923&gt;AB922,AB923,"")</f>
        <v/>
      </c>
    </row>
    <row r="924">
      <c r="W924" s="7" t="n"/>
      <c r="X924" s="7" t="n"/>
      <c r="Z924">
        <f>Z923+IF(W924="",0,IF(ISNA(MATCH(W924,W$256:W923,0)),1,0))</f>
        <v/>
      </c>
      <c r="AA924">
        <f>IF(Z924&gt;Z923,Z924,"")</f>
        <v/>
      </c>
      <c r="AB924">
        <f>AB923+IF(X924="",0,IF(ISNA(MATCH(X924,X$256:X923,0)),1,0))</f>
        <v/>
      </c>
      <c r="AC924">
        <f>IF(AB924&gt;AB923,AB924,"")</f>
        <v/>
      </c>
    </row>
    <row r="925">
      <c r="W925" s="7" t="n"/>
      <c r="X925" s="7" t="n"/>
      <c r="Z925">
        <f>Z924+IF(W925="",0,IF(ISNA(MATCH(W925,W$256:W924,0)),1,0))</f>
        <v/>
      </c>
      <c r="AA925">
        <f>IF(Z925&gt;Z924,Z925,"")</f>
        <v/>
      </c>
      <c r="AB925">
        <f>AB924+IF(X925="",0,IF(ISNA(MATCH(X925,X$256:X924,0)),1,0))</f>
        <v/>
      </c>
      <c r="AC925">
        <f>IF(AB925&gt;AB924,AB925,"")</f>
        <v/>
      </c>
    </row>
    <row r="926">
      <c r="W926" s="7" t="n"/>
      <c r="X926" s="7" t="n"/>
      <c r="Z926">
        <f>Z925+IF(W926="",0,IF(ISNA(MATCH(W926,W$256:W925,0)),1,0))</f>
        <v/>
      </c>
      <c r="AA926">
        <f>IF(Z926&gt;Z925,Z926,"")</f>
        <v/>
      </c>
      <c r="AB926">
        <f>AB925+IF(X926="",0,IF(ISNA(MATCH(X926,X$256:X925,0)),1,0))</f>
        <v/>
      </c>
      <c r="AC926">
        <f>IF(AB926&gt;AB925,AB926,"")</f>
        <v/>
      </c>
    </row>
    <row r="927">
      <c r="W927" s="7" t="n"/>
      <c r="X927" s="7" t="n"/>
      <c r="Z927">
        <f>Z926+IF(W927="",0,IF(ISNA(MATCH(W927,W$256:W926,0)),1,0))</f>
        <v/>
      </c>
      <c r="AA927">
        <f>IF(Z927&gt;Z926,Z927,"")</f>
        <v/>
      </c>
      <c r="AB927">
        <f>AB926+IF(X927="",0,IF(ISNA(MATCH(X927,X$256:X926,0)),1,0))</f>
        <v/>
      </c>
      <c r="AC927">
        <f>IF(AB927&gt;AB926,AB927,"")</f>
        <v/>
      </c>
    </row>
    <row r="928">
      <c r="W928" s="7" t="n"/>
      <c r="X928" s="7" t="n"/>
      <c r="Z928">
        <f>Z927+IF(W928="",0,IF(ISNA(MATCH(W928,W$256:W927,0)),1,0))</f>
        <v/>
      </c>
      <c r="AA928">
        <f>IF(Z928&gt;Z927,Z928,"")</f>
        <v/>
      </c>
      <c r="AB928">
        <f>AB927+IF(X928="",0,IF(ISNA(MATCH(X928,X$256:X927,0)),1,0))</f>
        <v/>
      </c>
      <c r="AC928">
        <f>IF(AB928&gt;AB927,AB928,"")</f>
        <v/>
      </c>
    </row>
    <row r="929">
      <c r="W929" s="7" t="n"/>
      <c r="X929" s="7" t="n"/>
      <c r="Z929">
        <f>Z928+IF(W929="",0,IF(ISNA(MATCH(W929,W$256:W928,0)),1,0))</f>
        <v/>
      </c>
      <c r="AA929">
        <f>IF(Z929&gt;Z928,Z929,"")</f>
        <v/>
      </c>
      <c r="AB929">
        <f>AB928+IF(X929="",0,IF(ISNA(MATCH(X929,X$256:X928,0)),1,0))</f>
        <v/>
      </c>
      <c r="AC929">
        <f>IF(AB929&gt;AB928,AB929,"")</f>
        <v/>
      </c>
    </row>
    <row r="930">
      <c r="W930" s="7" t="n"/>
      <c r="X930" s="7" t="n"/>
      <c r="Z930">
        <f>Z929+IF(W930="",0,IF(ISNA(MATCH(W930,W$256:W929,0)),1,0))</f>
        <v/>
      </c>
      <c r="AA930">
        <f>IF(Z930&gt;Z929,Z930,"")</f>
        <v/>
      </c>
      <c r="AB930">
        <f>AB929+IF(X930="",0,IF(ISNA(MATCH(X930,X$256:X929,0)),1,0))</f>
        <v/>
      </c>
      <c r="AC930">
        <f>IF(AB930&gt;AB929,AB930,"")</f>
        <v/>
      </c>
    </row>
    <row r="931">
      <c r="W931" s="7" t="n"/>
      <c r="X931" s="7" t="n"/>
      <c r="Z931">
        <f>Z930+IF(W931="",0,IF(ISNA(MATCH(W931,W$256:W930,0)),1,0))</f>
        <v/>
      </c>
      <c r="AA931">
        <f>IF(Z931&gt;Z930,Z931,"")</f>
        <v/>
      </c>
      <c r="AB931">
        <f>AB930+IF(X931="",0,IF(ISNA(MATCH(X931,X$256:X930,0)),1,0))</f>
        <v/>
      </c>
      <c r="AC931">
        <f>IF(AB931&gt;AB930,AB931,"")</f>
        <v/>
      </c>
    </row>
    <row r="932">
      <c r="W932" s="7" t="n"/>
      <c r="X932" s="7" t="n"/>
      <c r="Z932">
        <f>Z931+IF(W932="",0,IF(ISNA(MATCH(W932,W$256:W931,0)),1,0))</f>
        <v/>
      </c>
      <c r="AA932">
        <f>IF(Z932&gt;Z931,Z932,"")</f>
        <v/>
      </c>
      <c r="AB932">
        <f>AB931+IF(X932="",0,IF(ISNA(MATCH(X932,X$256:X931,0)),1,0))</f>
        <v/>
      </c>
      <c r="AC932">
        <f>IF(AB932&gt;AB931,AB932,"")</f>
        <v/>
      </c>
    </row>
    <row r="933">
      <c r="W933" s="7" t="n"/>
      <c r="X933" s="7" t="n"/>
      <c r="Z933">
        <f>Z932+IF(W933="",0,IF(ISNA(MATCH(W933,W$256:W932,0)),1,0))</f>
        <v/>
      </c>
      <c r="AA933">
        <f>IF(Z933&gt;Z932,Z933,"")</f>
        <v/>
      </c>
      <c r="AB933">
        <f>AB932+IF(X933="",0,IF(ISNA(MATCH(X933,X$256:X932,0)),1,0))</f>
        <v/>
      </c>
      <c r="AC933">
        <f>IF(AB933&gt;AB932,AB933,"")</f>
        <v/>
      </c>
    </row>
    <row r="934">
      <c r="W934" s="7" t="n"/>
      <c r="X934" s="7" t="n"/>
      <c r="Z934">
        <f>Z933+IF(W934="",0,IF(ISNA(MATCH(W934,W$256:W933,0)),1,0))</f>
        <v/>
      </c>
      <c r="AA934">
        <f>IF(Z934&gt;Z933,Z934,"")</f>
        <v/>
      </c>
      <c r="AB934">
        <f>AB933+IF(X934="",0,IF(ISNA(MATCH(X934,X$256:X933,0)),1,0))</f>
        <v/>
      </c>
      <c r="AC934">
        <f>IF(AB934&gt;AB933,AB934,"")</f>
        <v/>
      </c>
    </row>
    <row r="935">
      <c r="W935" s="7" t="n"/>
      <c r="X935" s="7" t="n"/>
      <c r="Z935">
        <f>Z934+IF(W935="",0,IF(ISNA(MATCH(W935,W$256:W934,0)),1,0))</f>
        <v/>
      </c>
      <c r="AA935">
        <f>IF(Z935&gt;Z934,Z935,"")</f>
        <v/>
      </c>
      <c r="AB935">
        <f>AB934+IF(X935="",0,IF(ISNA(MATCH(X935,X$256:X934,0)),1,0))</f>
        <v/>
      </c>
      <c r="AC935">
        <f>IF(AB935&gt;AB934,AB935,"")</f>
        <v/>
      </c>
    </row>
    <row r="936">
      <c r="W936" s="7" t="n"/>
      <c r="X936" s="7" t="n"/>
      <c r="Z936">
        <f>Z935+IF(W936="",0,IF(ISNA(MATCH(W936,W$256:W935,0)),1,0))</f>
        <v/>
      </c>
      <c r="AA936">
        <f>IF(Z936&gt;Z935,Z936,"")</f>
        <v/>
      </c>
      <c r="AB936">
        <f>AB935+IF(X936="",0,IF(ISNA(MATCH(X936,X$256:X935,0)),1,0))</f>
        <v/>
      </c>
      <c r="AC936">
        <f>IF(AB936&gt;AB935,AB936,"")</f>
        <v/>
      </c>
    </row>
    <row r="937">
      <c r="W937" s="7" t="n"/>
      <c r="X937" s="7" t="n"/>
      <c r="Z937">
        <f>Z936+IF(W937="",0,IF(ISNA(MATCH(W937,W$256:W936,0)),1,0))</f>
        <v/>
      </c>
      <c r="AA937">
        <f>IF(Z937&gt;Z936,Z937,"")</f>
        <v/>
      </c>
      <c r="AB937">
        <f>AB936+IF(X937="",0,IF(ISNA(MATCH(X937,X$256:X936,0)),1,0))</f>
        <v/>
      </c>
      <c r="AC937">
        <f>IF(AB937&gt;AB936,AB937,"")</f>
        <v/>
      </c>
    </row>
    <row r="938">
      <c r="W938" s="7" t="n"/>
      <c r="X938" s="7" t="n"/>
      <c r="Z938">
        <f>Z937+IF(W938="",0,IF(ISNA(MATCH(W938,W$256:W937,0)),1,0))</f>
        <v/>
      </c>
      <c r="AA938">
        <f>IF(Z938&gt;Z937,Z938,"")</f>
        <v/>
      </c>
      <c r="AB938">
        <f>AB937+IF(X938="",0,IF(ISNA(MATCH(X938,X$256:X937,0)),1,0))</f>
        <v/>
      </c>
      <c r="AC938">
        <f>IF(AB938&gt;AB937,AB938,"")</f>
        <v/>
      </c>
    </row>
    <row r="939">
      <c r="W939" s="7" t="n"/>
      <c r="X939" s="7" t="n"/>
      <c r="Z939">
        <f>Z938+IF(W939="",0,IF(ISNA(MATCH(W939,W$256:W938,0)),1,0))</f>
        <v/>
      </c>
      <c r="AA939">
        <f>IF(Z939&gt;Z938,Z939,"")</f>
        <v/>
      </c>
      <c r="AB939">
        <f>AB938+IF(X939="",0,IF(ISNA(MATCH(X939,X$256:X938,0)),1,0))</f>
        <v/>
      </c>
      <c r="AC939">
        <f>IF(AB939&gt;AB938,AB939,"")</f>
        <v/>
      </c>
    </row>
    <row r="940">
      <c r="W940" s="7" t="n"/>
      <c r="X940" s="7" t="n"/>
      <c r="Z940">
        <f>Z939+IF(W940="",0,IF(ISNA(MATCH(W940,W$256:W939,0)),1,0))</f>
        <v/>
      </c>
      <c r="AA940">
        <f>IF(Z940&gt;Z939,Z940,"")</f>
        <v/>
      </c>
      <c r="AB940">
        <f>AB939+IF(X940="",0,IF(ISNA(MATCH(X940,X$256:X939,0)),1,0))</f>
        <v/>
      </c>
      <c r="AC940">
        <f>IF(AB940&gt;AB939,AB940,"")</f>
        <v/>
      </c>
    </row>
    <row r="941">
      <c r="W941" s="7" t="n"/>
      <c r="X941" s="7" t="n"/>
      <c r="Z941">
        <f>Z940+IF(W941="",0,IF(ISNA(MATCH(W941,W$256:W940,0)),1,0))</f>
        <v/>
      </c>
      <c r="AA941">
        <f>IF(Z941&gt;Z940,Z941,"")</f>
        <v/>
      </c>
      <c r="AB941">
        <f>AB940+IF(X941="",0,IF(ISNA(MATCH(X941,X$256:X940,0)),1,0))</f>
        <v/>
      </c>
      <c r="AC941">
        <f>IF(AB941&gt;AB940,AB941,"")</f>
        <v/>
      </c>
    </row>
    <row r="942">
      <c r="W942" s="7" t="n"/>
      <c r="X942" s="7" t="n"/>
      <c r="Z942">
        <f>Z941+IF(W942="",0,IF(ISNA(MATCH(W942,W$256:W941,0)),1,0))</f>
        <v/>
      </c>
      <c r="AA942">
        <f>IF(Z942&gt;Z941,Z942,"")</f>
        <v/>
      </c>
      <c r="AB942">
        <f>AB941+IF(X942="",0,IF(ISNA(MATCH(X942,X$256:X941,0)),1,0))</f>
        <v/>
      </c>
      <c r="AC942">
        <f>IF(AB942&gt;AB941,AB942,"")</f>
        <v/>
      </c>
    </row>
    <row r="943">
      <c r="W943" s="7" t="n"/>
      <c r="X943" s="7" t="n"/>
      <c r="Z943">
        <f>Z942+IF(W943="",0,IF(ISNA(MATCH(W943,W$256:W942,0)),1,0))</f>
        <v/>
      </c>
      <c r="AA943">
        <f>IF(Z943&gt;Z942,Z943,"")</f>
        <v/>
      </c>
      <c r="AB943">
        <f>AB942+IF(X943="",0,IF(ISNA(MATCH(X943,X$256:X942,0)),1,0))</f>
        <v/>
      </c>
      <c r="AC943">
        <f>IF(AB943&gt;AB942,AB943,"")</f>
        <v/>
      </c>
    </row>
    <row r="944">
      <c r="W944" s="7" t="n"/>
      <c r="X944" s="7" t="n"/>
      <c r="Z944">
        <f>Z943+IF(W944="",0,IF(ISNA(MATCH(W944,W$256:W943,0)),1,0))</f>
        <v/>
      </c>
      <c r="AA944">
        <f>IF(Z944&gt;Z943,Z944,"")</f>
        <v/>
      </c>
      <c r="AB944">
        <f>AB943+IF(X944="",0,IF(ISNA(MATCH(X944,X$256:X943,0)),1,0))</f>
        <v/>
      </c>
      <c r="AC944">
        <f>IF(AB944&gt;AB943,AB944,"")</f>
        <v/>
      </c>
    </row>
    <row r="945">
      <c r="W945" s="7" t="n"/>
      <c r="X945" s="7" t="n"/>
      <c r="Z945">
        <f>Z944+IF(W945="",0,IF(ISNA(MATCH(W945,W$256:W944,0)),1,0))</f>
        <v/>
      </c>
      <c r="AA945">
        <f>IF(Z945&gt;Z944,Z945,"")</f>
        <v/>
      </c>
      <c r="AB945">
        <f>AB944+IF(X945="",0,IF(ISNA(MATCH(X945,X$256:X944,0)),1,0))</f>
        <v/>
      </c>
      <c r="AC945">
        <f>IF(AB945&gt;AB944,AB945,"")</f>
        <v/>
      </c>
    </row>
    <row r="946">
      <c r="W946" s="7" t="n"/>
      <c r="X946" s="7" t="n"/>
      <c r="Z946">
        <f>Z945+IF(W946="",0,IF(ISNA(MATCH(W946,W$256:W945,0)),1,0))</f>
        <v/>
      </c>
      <c r="AA946">
        <f>IF(Z946&gt;Z945,Z946,"")</f>
        <v/>
      </c>
      <c r="AB946">
        <f>AB945+IF(X946="",0,IF(ISNA(MATCH(X946,X$256:X945,0)),1,0))</f>
        <v/>
      </c>
      <c r="AC946">
        <f>IF(AB946&gt;AB945,AB946,"")</f>
        <v/>
      </c>
    </row>
    <row r="947">
      <c r="W947" s="7" t="n"/>
      <c r="X947" s="7" t="n"/>
      <c r="Z947">
        <f>Z946+IF(W947="",0,IF(ISNA(MATCH(W947,W$256:W946,0)),1,0))</f>
        <v/>
      </c>
      <c r="AA947">
        <f>IF(Z947&gt;Z946,Z947,"")</f>
        <v/>
      </c>
      <c r="AB947">
        <f>AB946+IF(X947="",0,IF(ISNA(MATCH(X947,X$256:X946,0)),1,0))</f>
        <v/>
      </c>
      <c r="AC947">
        <f>IF(AB947&gt;AB946,AB947,"")</f>
        <v/>
      </c>
    </row>
    <row r="948">
      <c r="W948" s="7" t="n"/>
      <c r="X948" s="7" t="n"/>
      <c r="Z948">
        <f>Z947+IF(W948="",0,IF(ISNA(MATCH(W948,W$256:W947,0)),1,0))</f>
        <v/>
      </c>
      <c r="AA948">
        <f>IF(Z948&gt;Z947,Z948,"")</f>
        <v/>
      </c>
      <c r="AB948">
        <f>AB947+IF(X948="",0,IF(ISNA(MATCH(X948,X$256:X947,0)),1,0))</f>
        <v/>
      </c>
      <c r="AC948">
        <f>IF(AB948&gt;AB947,AB948,"")</f>
        <v/>
      </c>
    </row>
    <row r="949">
      <c r="W949" s="7" t="n"/>
      <c r="X949" s="7" t="n"/>
      <c r="Z949">
        <f>Z948+IF(W949="",0,IF(ISNA(MATCH(W949,W$256:W948,0)),1,0))</f>
        <v/>
      </c>
      <c r="AA949">
        <f>IF(Z949&gt;Z948,Z949,"")</f>
        <v/>
      </c>
      <c r="AB949">
        <f>AB948+IF(X949="",0,IF(ISNA(MATCH(X949,X$256:X948,0)),1,0))</f>
        <v/>
      </c>
      <c r="AC949">
        <f>IF(AB949&gt;AB948,AB949,"")</f>
        <v/>
      </c>
    </row>
    <row r="950">
      <c r="W950" s="7" t="n"/>
      <c r="X950" s="7" t="n"/>
      <c r="Z950">
        <f>Z949+IF(W950="",0,IF(ISNA(MATCH(W950,W$256:W949,0)),1,0))</f>
        <v/>
      </c>
      <c r="AA950">
        <f>IF(Z950&gt;Z949,Z950,"")</f>
        <v/>
      </c>
      <c r="AB950">
        <f>AB949+IF(X950="",0,IF(ISNA(MATCH(X950,X$256:X949,0)),1,0))</f>
        <v/>
      </c>
      <c r="AC950">
        <f>IF(AB950&gt;AB949,AB950,"")</f>
        <v/>
      </c>
    </row>
    <row r="951">
      <c r="W951" s="7" t="n"/>
      <c r="X951" s="7" t="n"/>
      <c r="Z951">
        <f>Z950+IF(W951="",0,IF(ISNA(MATCH(W951,W$256:W950,0)),1,0))</f>
        <v/>
      </c>
      <c r="AA951">
        <f>IF(Z951&gt;Z950,Z951,"")</f>
        <v/>
      </c>
      <c r="AB951">
        <f>AB950+IF(X951="",0,IF(ISNA(MATCH(X951,X$256:X950,0)),1,0))</f>
        <v/>
      </c>
      <c r="AC951">
        <f>IF(AB951&gt;AB950,AB951,"")</f>
        <v/>
      </c>
    </row>
    <row r="952">
      <c r="W952" s="7" t="n"/>
      <c r="X952" s="7" t="n"/>
      <c r="Z952">
        <f>Z951+IF(W952="",0,IF(ISNA(MATCH(W952,W$256:W951,0)),1,0))</f>
        <v/>
      </c>
      <c r="AA952">
        <f>IF(Z952&gt;Z951,Z952,"")</f>
        <v/>
      </c>
      <c r="AB952">
        <f>AB951+IF(X952="",0,IF(ISNA(MATCH(X952,X$256:X951,0)),1,0))</f>
        <v/>
      </c>
      <c r="AC952">
        <f>IF(AB952&gt;AB951,AB952,"")</f>
        <v/>
      </c>
    </row>
    <row r="953">
      <c r="W953" s="7" t="n"/>
      <c r="X953" s="7" t="n"/>
      <c r="Z953">
        <f>Z952+IF(W953="",0,IF(ISNA(MATCH(W953,W$256:W952,0)),1,0))</f>
        <v/>
      </c>
      <c r="AA953">
        <f>IF(Z953&gt;Z952,Z953,"")</f>
        <v/>
      </c>
      <c r="AB953">
        <f>AB952+IF(X953="",0,IF(ISNA(MATCH(X953,X$256:X952,0)),1,0))</f>
        <v/>
      </c>
      <c r="AC953">
        <f>IF(AB953&gt;AB952,AB953,"")</f>
        <v/>
      </c>
    </row>
    <row r="954">
      <c r="W954" s="7" t="n"/>
      <c r="X954" s="7" t="n"/>
      <c r="Z954">
        <f>Z953+IF(W954="",0,IF(ISNA(MATCH(W954,W$256:W953,0)),1,0))</f>
        <v/>
      </c>
      <c r="AA954">
        <f>IF(Z954&gt;Z953,Z954,"")</f>
        <v/>
      </c>
      <c r="AB954">
        <f>AB953+IF(X954="",0,IF(ISNA(MATCH(X954,X$256:X953,0)),1,0))</f>
        <v/>
      </c>
      <c r="AC954">
        <f>IF(AB954&gt;AB953,AB954,"")</f>
        <v/>
      </c>
    </row>
    <row r="955">
      <c r="W955" s="7" t="n"/>
      <c r="X955" s="7" t="n"/>
      <c r="Z955">
        <f>Z954+IF(W955="",0,IF(ISNA(MATCH(W955,W$256:W954,0)),1,0))</f>
        <v/>
      </c>
      <c r="AA955">
        <f>IF(Z955&gt;Z954,Z955,"")</f>
        <v/>
      </c>
      <c r="AB955">
        <f>AB954+IF(X955="",0,IF(ISNA(MATCH(X955,X$256:X954,0)),1,0))</f>
        <v/>
      </c>
      <c r="AC955">
        <f>IF(AB955&gt;AB954,AB955,"")</f>
        <v/>
      </c>
    </row>
    <row r="956">
      <c r="W956" s="7" t="n"/>
      <c r="X956" s="7" t="n"/>
      <c r="Z956">
        <f>Z955+IF(W956="",0,IF(ISNA(MATCH(W956,W$256:W955,0)),1,0))</f>
        <v/>
      </c>
      <c r="AA956">
        <f>IF(Z956&gt;Z955,Z956,"")</f>
        <v/>
      </c>
      <c r="AB956">
        <f>AB955+IF(X956="",0,IF(ISNA(MATCH(X956,X$256:X955,0)),1,0))</f>
        <v/>
      </c>
      <c r="AC956">
        <f>IF(AB956&gt;AB955,AB956,"")</f>
        <v/>
      </c>
    </row>
    <row r="957">
      <c r="W957" s="7" t="n"/>
      <c r="X957" s="7" t="n"/>
      <c r="Z957">
        <f>Z956+IF(W957="",0,IF(ISNA(MATCH(W957,W$256:W956,0)),1,0))</f>
        <v/>
      </c>
      <c r="AA957">
        <f>IF(Z957&gt;Z956,Z957,"")</f>
        <v/>
      </c>
      <c r="AB957">
        <f>AB956+IF(X957="",0,IF(ISNA(MATCH(X957,X$256:X956,0)),1,0))</f>
        <v/>
      </c>
      <c r="AC957">
        <f>IF(AB957&gt;AB956,AB957,"")</f>
        <v/>
      </c>
    </row>
    <row r="958">
      <c r="W958" s="7" t="n"/>
      <c r="X958" s="7" t="n"/>
      <c r="Z958">
        <f>Z957+IF(W958="",0,IF(ISNA(MATCH(W958,W$256:W957,0)),1,0))</f>
        <v/>
      </c>
      <c r="AA958">
        <f>IF(Z958&gt;Z957,Z958,"")</f>
        <v/>
      </c>
      <c r="AB958">
        <f>AB957+IF(X958="",0,IF(ISNA(MATCH(X958,X$256:X957,0)),1,0))</f>
        <v/>
      </c>
      <c r="AC958">
        <f>IF(AB958&gt;AB957,AB958,"")</f>
        <v/>
      </c>
    </row>
    <row r="959">
      <c r="W959" s="7" t="n"/>
      <c r="X959" s="7" t="n"/>
      <c r="Z959">
        <f>Z958+IF(W959="",0,IF(ISNA(MATCH(W959,W$256:W958,0)),1,0))</f>
        <v/>
      </c>
      <c r="AA959">
        <f>IF(Z959&gt;Z958,Z959,"")</f>
        <v/>
      </c>
      <c r="AB959">
        <f>AB958+IF(X959="",0,IF(ISNA(MATCH(X959,X$256:X958,0)),1,0))</f>
        <v/>
      </c>
      <c r="AC959">
        <f>IF(AB959&gt;AB958,AB959,"")</f>
        <v/>
      </c>
    </row>
    <row r="960">
      <c r="W960" s="7" t="n"/>
      <c r="X960" s="7" t="n"/>
      <c r="Z960">
        <f>Z959+IF(W960="",0,IF(ISNA(MATCH(W960,W$256:W959,0)),1,0))</f>
        <v/>
      </c>
      <c r="AA960">
        <f>IF(Z960&gt;Z959,Z960,"")</f>
        <v/>
      </c>
      <c r="AB960">
        <f>AB959+IF(X960="",0,IF(ISNA(MATCH(X960,X$256:X959,0)),1,0))</f>
        <v/>
      </c>
      <c r="AC960">
        <f>IF(AB960&gt;AB959,AB960,"")</f>
        <v/>
      </c>
    </row>
    <row r="961">
      <c r="W961" s="7" t="n"/>
      <c r="X961" s="7" t="n"/>
      <c r="Z961">
        <f>Z960+IF(W961="",0,IF(ISNA(MATCH(W961,W$256:W960,0)),1,0))</f>
        <v/>
      </c>
      <c r="AA961">
        <f>IF(Z961&gt;Z960,Z961,"")</f>
        <v/>
      </c>
      <c r="AB961">
        <f>AB960+IF(X961="",0,IF(ISNA(MATCH(X961,X$256:X960,0)),1,0))</f>
        <v/>
      </c>
      <c r="AC961">
        <f>IF(AB961&gt;AB960,AB961,"")</f>
        <v/>
      </c>
    </row>
    <row r="962">
      <c r="W962" s="7" t="n"/>
      <c r="X962" s="7" t="n"/>
      <c r="Z962">
        <f>Z961+IF(W962="",0,IF(ISNA(MATCH(W962,W$256:W961,0)),1,0))</f>
        <v/>
      </c>
      <c r="AA962">
        <f>IF(Z962&gt;Z961,Z962,"")</f>
        <v/>
      </c>
      <c r="AB962">
        <f>AB961+IF(X962="",0,IF(ISNA(MATCH(X962,X$256:X961,0)),1,0))</f>
        <v/>
      </c>
      <c r="AC962">
        <f>IF(AB962&gt;AB961,AB962,"")</f>
        <v/>
      </c>
    </row>
    <row r="963">
      <c r="W963" s="7" t="n"/>
      <c r="X963" s="7" t="n"/>
      <c r="Z963">
        <f>Z962+IF(W963="",0,IF(ISNA(MATCH(W963,W$256:W962,0)),1,0))</f>
        <v/>
      </c>
      <c r="AA963">
        <f>IF(Z963&gt;Z962,Z963,"")</f>
        <v/>
      </c>
      <c r="AB963">
        <f>AB962+IF(X963="",0,IF(ISNA(MATCH(X963,X$256:X962,0)),1,0))</f>
        <v/>
      </c>
      <c r="AC963">
        <f>IF(AB963&gt;AB962,AB963,"")</f>
        <v/>
      </c>
    </row>
    <row r="964">
      <c r="W964" s="7" t="n"/>
      <c r="X964" s="7" t="n"/>
      <c r="Z964">
        <f>Z963+IF(W964="",0,IF(ISNA(MATCH(W964,W$256:W963,0)),1,0))</f>
        <v/>
      </c>
      <c r="AA964">
        <f>IF(Z964&gt;Z963,Z964,"")</f>
        <v/>
      </c>
      <c r="AB964">
        <f>AB963+IF(X964="",0,IF(ISNA(MATCH(X964,X$256:X963,0)),1,0))</f>
        <v/>
      </c>
      <c r="AC964">
        <f>IF(AB964&gt;AB963,AB964,"")</f>
        <v/>
      </c>
    </row>
    <row r="965">
      <c r="W965" s="7" t="n"/>
      <c r="X965" s="7" t="n"/>
      <c r="Z965">
        <f>Z964+IF(W965="",0,IF(ISNA(MATCH(W965,W$256:W964,0)),1,0))</f>
        <v/>
      </c>
      <c r="AA965">
        <f>IF(Z965&gt;Z964,Z965,"")</f>
        <v/>
      </c>
      <c r="AB965">
        <f>AB964+IF(X965="",0,IF(ISNA(MATCH(X965,X$256:X964,0)),1,0))</f>
        <v/>
      </c>
      <c r="AC965">
        <f>IF(AB965&gt;AB964,AB965,"")</f>
        <v/>
      </c>
    </row>
    <row r="966">
      <c r="W966" s="7" t="n"/>
      <c r="X966" s="7" t="n"/>
      <c r="Z966">
        <f>Z965+IF(W966="",0,IF(ISNA(MATCH(W966,W$256:W965,0)),1,0))</f>
        <v/>
      </c>
      <c r="AA966">
        <f>IF(Z966&gt;Z965,Z966,"")</f>
        <v/>
      </c>
      <c r="AB966">
        <f>AB965+IF(X966="",0,IF(ISNA(MATCH(X966,X$256:X965,0)),1,0))</f>
        <v/>
      </c>
      <c r="AC966">
        <f>IF(AB966&gt;AB965,AB966,"")</f>
        <v/>
      </c>
    </row>
    <row r="967">
      <c r="W967" s="7" t="n"/>
      <c r="X967" s="7" t="n"/>
      <c r="Z967">
        <f>Z966+IF(W967="",0,IF(ISNA(MATCH(W967,W$256:W966,0)),1,0))</f>
        <v/>
      </c>
      <c r="AA967">
        <f>IF(Z967&gt;Z966,Z967,"")</f>
        <v/>
      </c>
      <c r="AB967">
        <f>AB966+IF(X967="",0,IF(ISNA(MATCH(X967,X$256:X966,0)),1,0))</f>
        <v/>
      </c>
      <c r="AC967">
        <f>IF(AB967&gt;AB966,AB967,"")</f>
        <v/>
      </c>
    </row>
    <row r="968">
      <c r="W968" s="7" t="n"/>
      <c r="X968" s="7" t="n"/>
      <c r="Z968">
        <f>Z967+IF(W968="",0,IF(ISNA(MATCH(W968,W$256:W967,0)),1,0))</f>
        <v/>
      </c>
      <c r="AA968">
        <f>IF(Z968&gt;Z967,Z968,"")</f>
        <v/>
      </c>
      <c r="AB968">
        <f>AB967+IF(X968="",0,IF(ISNA(MATCH(X968,X$256:X967,0)),1,0))</f>
        <v/>
      </c>
      <c r="AC968">
        <f>IF(AB968&gt;AB967,AB968,"")</f>
        <v/>
      </c>
    </row>
    <row r="969">
      <c r="W969" s="7" t="n"/>
      <c r="X969" s="7" t="n"/>
      <c r="Z969">
        <f>Z968+IF(W969="",0,IF(ISNA(MATCH(W969,W$256:W968,0)),1,0))</f>
        <v/>
      </c>
      <c r="AA969">
        <f>IF(Z969&gt;Z968,Z969,"")</f>
        <v/>
      </c>
      <c r="AB969">
        <f>AB968+IF(X969="",0,IF(ISNA(MATCH(X969,X$256:X968,0)),1,0))</f>
        <v/>
      </c>
      <c r="AC969">
        <f>IF(AB969&gt;AB968,AB969,"")</f>
        <v/>
      </c>
    </row>
    <row r="970">
      <c r="W970" s="7" t="n"/>
      <c r="X970" s="7" t="n"/>
      <c r="Z970">
        <f>Z969+IF(W970="",0,IF(ISNA(MATCH(W970,W$256:W969,0)),1,0))</f>
        <v/>
      </c>
      <c r="AA970">
        <f>IF(Z970&gt;Z969,Z970,"")</f>
        <v/>
      </c>
      <c r="AB970">
        <f>AB969+IF(X970="",0,IF(ISNA(MATCH(X970,X$256:X969,0)),1,0))</f>
        <v/>
      </c>
      <c r="AC970">
        <f>IF(AB970&gt;AB969,AB970,"")</f>
        <v/>
      </c>
    </row>
    <row r="971">
      <c r="W971" s="7" t="n"/>
      <c r="X971" s="7" t="n"/>
      <c r="Z971">
        <f>Z970+IF(W971="",0,IF(ISNA(MATCH(W971,W$256:W970,0)),1,0))</f>
        <v/>
      </c>
      <c r="AA971">
        <f>IF(Z971&gt;Z970,Z971,"")</f>
        <v/>
      </c>
      <c r="AB971">
        <f>AB970+IF(X971="",0,IF(ISNA(MATCH(X971,X$256:X970,0)),1,0))</f>
        <v/>
      </c>
      <c r="AC971">
        <f>IF(AB971&gt;AB970,AB971,"")</f>
        <v/>
      </c>
    </row>
    <row r="972">
      <c r="W972" s="7" t="n"/>
      <c r="X972" s="7" t="n"/>
      <c r="Z972">
        <f>Z971+IF(W972="",0,IF(ISNA(MATCH(W972,W$256:W971,0)),1,0))</f>
        <v/>
      </c>
      <c r="AA972">
        <f>IF(Z972&gt;Z971,Z972,"")</f>
        <v/>
      </c>
      <c r="AB972">
        <f>AB971+IF(X972="",0,IF(ISNA(MATCH(X972,X$256:X971,0)),1,0))</f>
        <v/>
      </c>
      <c r="AC972">
        <f>IF(AB972&gt;AB971,AB972,"")</f>
        <v/>
      </c>
    </row>
    <row r="973">
      <c r="W973" s="7" t="n"/>
      <c r="X973" s="7" t="n"/>
      <c r="Z973">
        <f>Z972+IF(W973="",0,IF(ISNA(MATCH(W973,W$256:W972,0)),1,0))</f>
        <v/>
      </c>
      <c r="AA973">
        <f>IF(Z973&gt;Z972,Z973,"")</f>
        <v/>
      </c>
      <c r="AB973">
        <f>AB972+IF(X973="",0,IF(ISNA(MATCH(X973,X$256:X972,0)),1,0))</f>
        <v/>
      </c>
      <c r="AC973">
        <f>IF(AB973&gt;AB972,AB973,"")</f>
        <v/>
      </c>
    </row>
    <row r="974">
      <c r="W974" s="7" t="n"/>
      <c r="X974" s="7" t="n"/>
      <c r="Z974">
        <f>Z973+IF(W974="",0,IF(ISNA(MATCH(W974,W$256:W973,0)),1,0))</f>
        <v/>
      </c>
      <c r="AA974">
        <f>IF(Z974&gt;Z973,Z974,"")</f>
        <v/>
      </c>
      <c r="AB974">
        <f>AB973+IF(X974="",0,IF(ISNA(MATCH(X974,X$256:X973,0)),1,0))</f>
        <v/>
      </c>
      <c r="AC974">
        <f>IF(AB974&gt;AB973,AB974,"")</f>
        <v/>
      </c>
    </row>
    <row r="975">
      <c r="W975" s="7" t="n"/>
      <c r="X975" s="7" t="n"/>
      <c r="Z975">
        <f>Z974+IF(W975="",0,IF(ISNA(MATCH(W975,W$256:W974,0)),1,0))</f>
        <v/>
      </c>
      <c r="AA975">
        <f>IF(Z975&gt;Z974,Z975,"")</f>
        <v/>
      </c>
      <c r="AB975">
        <f>AB974+IF(X975="",0,IF(ISNA(MATCH(X975,X$256:X974,0)),1,0))</f>
        <v/>
      </c>
      <c r="AC975">
        <f>IF(AB975&gt;AB974,AB975,"")</f>
        <v/>
      </c>
    </row>
    <row r="976">
      <c r="W976" s="7" t="n"/>
      <c r="X976" s="7" t="n"/>
      <c r="Z976">
        <f>Z975+IF(W976="",0,IF(ISNA(MATCH(W976,W$256:W975,0)),1,0))</f>
        <v/>
      </c>
      <c r="AA976">
        <f>IF(Z976&gt;Z975,Z976,"")</f>
        <v/>
      </c>
      <c r="AB976">
        <f>AB975+IF(X976="",0,IF(ISNA(MATCH(X976,X$256:X975,0)),1,0))</f>
        <v/>
      </c>
      <c r="AC976">
        <f>IF(AB976&gt;AB975,AB976,"")</f>
        <v/>
      </c>
    </row>
    <row r="977">
      <c r="W977" s="7" t="n"/>
      <c r="X977" s="7" t="n"/>
      <c r="Z977">
        <f>Z976+IF(W977="",0,IF(ISNA(MATCH(W977,W$256:W976,0)),1,0))</f>
        <v/>
      </c>
      <c r="AA977">
        <f>IF(Z977&gt;Z976,Z977,"")</f>
        <v/>
      </c>
      <c r="AB977">
        <f>AB976+IF(X977="",0,IF(ISNA(MATCH(X977,X$256:X976,0)),1,0))</f>
        <v/>
      </c>
      <c r="AC977">
        <f>IF(AB977&gt;AB976,AB977,"")</f>
        <v/>
      </c>
    </row>
    <row r="978">
      <c r="W978" s="7" t="n"/>
      <c r="X978" s="7" t="n"/>
      <c r="Z978">
        <f>Z977+IF(W978="",0,IF(ISNA(MATCH(W978,W$256:W977,0)),1,0))</f>
        <v/>
      </c>
      <c r="AA978">
        <f>IF(Z978&gt;Z977,Z978,"")</f>
        <v/>
      </c>
      <c r="AB978">
        <f>AB977+IF(X978="",0,IF(ISNA(MATCH(X978,X$256:X977,0)),1,0))</f>
        <v/>
      </c>
      <c r="AC978">
        <f>IF(AB978&gt;AB977,AB978,"")</f>
        <v/>
      </c>
    </row>
    <row r="979">
      <c r="W979" s="7" t="n"/>
      <c r="X979" s="7" t="n"/>
      <c r="Z979">
        <f>Z978+IF(W979="",0,IF(ISNA(MATCH(W979,W$256:W978,0)),1,0))</f>
        <v/>
      </c>
      <c r="AA979">
        <f>IF(Z979&gt;Z978,Z979,"")</f>
        <v/>
      </c>
      <c r="AB979">
        <f>AB978+IF(X979="",0,IF(ISNA(MATCH(X979,X$256:X978,0)),1,0))</f>
        <v/>
      </c>
      <c r="AC979">
        <f>IF(AB979&gt;AB978,AB979,"")</f>
        <v/>
      </c>
    </row>
    <row r="980">
      <c r="W980" s="7" t="n"/>
      <c r="X980" s="7" t="n"/>
      <c r="Z980">
        <f>Z979+IF(W980="",0,IF(ISNA(MATCH(W980,W$256:W979,0)),1,0))</f>
        <v/>
      </c>
      <c r="AA980">
        <f>IF(Z980&gt;Z979,Z980,"")</f>
        <v/>
      </c>
      <c r="AB980">
        <f>AB979+IF(X980="",0,IF(ISNA(MATCH(X980,X$256:X979,0)),1,0))</f>
        <v/>
      </c>
      <c r="AC980">
        <f>IF(AB980&gt;AB979,AB980,"")</f>
        <v/>
      </c>
    </row>
    <row r="981">
      <c r="W981" s="7" t="n"/>
      <c r="X981" s="7" t="n"/>
      <c r="Z981">
        <f>Z980+IF(W981="",0,IF(ISNA(MATCH(W981,W$256:W980,0)),1,0))</f>
        <v/>
      </c>
      <c r="AA981">
        <f>IF(Z981&gt;Z980,Z981,"")</f>
        <v/>
      </c>
      <c r="AB981">
        <f>AB980+IF(X981="",0,IF(ISNA(MATCH(X981,X$256:X980,0)),1,0))</f>
        <v/>
      </c>
      <c r="AC981">
        <f>IF(AB981&gt;AB980,AB981,"")</f>
        <v/>
      </c>
    </row>
    <row r="982">
      <c r="W982" s="7" t="n"/>
      <c r="X982" s="7" t="n"/>
      <c r="Z982">
        <f>Z981+IF(W982="",0,IF(ISNA(MATCH(W982,W$256:W981,0)),1,0))</f>
        <v/>
      </c>
      <c r="AA982">
        <f>IF(Z982&gt;Z981,Z982,"")</f>
        <v/>
      </c>
      <c r="AB982">
        <f>AB981+IF(X982="",0,IF(ISNA(MATCH(X982,X$256:X981,0)),1,0))</f>
        <v/>
      </c>
      <c r="AC982">
        <f>IF(AB982&gt;AB981,AB982,"")</f>
        <v/>
      </c>
    </row>
    <row r="983">
      <c r="W983" s="7" t="n"/>
      <c r="X983" s="7" t="n"/>
      <c r="Z983">
        <f>Z982+IF(W983="",0,IF(ISNA(MATCH(W983,W$256:W982,0)),1,0))</f>
        <v/>
      </c>
      <c r="AA983">
        <f>IF(Z983&gt;Z982,Z983,"")</f>
        <v/>
      </c>
      <c r="AB983">
        <f>AB982+IF(X983="",0,IF(ISNA(MATCH(X983,X$256:X982,0)),1,0))</f>
        <v/>
      </c>
      <c r="AC983">
        <f>IF(AB983&gt;AB982,AB983,"")</f>
        <v/>
      </c>
    </row>
    <row r="984">
      <c r="W984" s="7" t="n"/>
      <c r="X984" s="7" t="n"/>
      <c r="Z984">
        <f>Z983+IF(W984="",0,IF(ISNA(MATCH(W984,W$256:W983,0)),1,0))</f>
        <v/>
      </c>
      <c r="AA984">
        <f>IF(Z984&gt;Z983,Z984,"")</f>
        <v/>
      </c>
      <c r="AB984">
        <f>AB983+IF(X984="",0,IF(ISNA(MATCH(X984,X$256:X983,0)),1,0))</f>
        <v/>
      </c>
      <c r="AC984">
        <f>IF(AB984&gt;AB983,AB984,"")</f>
        <v/>
      </c>
    </row>
    <row r="985">
      <c r="W985" s="7" t="n"/>
      <c r="X985" s="7" t="n"/>
      <c r="Z985">
        <f>Z984+IF(W985="",0,IF(ISNA(MATCH(W985,W$256:W984,0)),1,0))</f>
        <v/>
      </c>
      <c r="AA985">
        <f>IF(Z985&gt;Z984,Z985,"")</f>
        <v/>
      </c>
      <c r="AB985">
        <f>AB984+IF(X985="",0,IF(ISNA(MATCH(X985,X$256:X984,0)),1,0))</f>
        <v/>
      </c>
      <c r="AC985">
        <f>IF(AB985&gt;AB984,AB985,"")</f>
        <v/>
      </c>
    </row>
    <row r="986">
      <c r="W986" s="7" t="n"/>
      <c r="X986" s="7" t="n"/>
      <c r="Z986">
        <f>Z985+IF(W986="",0,IF(ISNA(MATCH(W986,W$256:W985,0)),1,0))</f>
        <v/>
      </c>
      <c r="AA986">
        <f>IF(Z986&gt;Z985,Z986,"")</f>
        <v/>
      </c>
      <c r="AB986">
        <f>AB985+IF(X986="",0,IF(ISNA(MATCH(X986,X$256:X985,0)),1,0))</f>
        <v/>
      </c>
      <c r="AC986">
        <f>IF(AB986&gt;AB985,AB986,"")</f>
        <v/>
      </c>
    </row>
    <row r="987">
      <c r="W987" s="7" t="n"/>
      <c r="X987" s="7" t="n"/>
      <c r="Z987">
        <f>Z986+IF(W987="",0,IF(ISNA(MATCH(W987,W$256:W986,0)),1,0))</f>
        <v/>
      </c>
      <c r="AA987">
        <f>IF(Z987&gt;Z986,Z987,"")</f>
        <v/>
      </c>
      <c r="AB987">
        <f>AB986+IF(X987="",0,IF(ISNA(MATCH(X987,X$256:X986,0)),1,0))</f>
        <v/>
      </c>
      <c r="AC987">
        <f>IF(AB987&gt;AB986,AB987,"")</f>
        <v/>
      </c>
    </row>
    <row r="988">
      <c r="W988" s="7" t="n"/>
      <c r="X988" s="7" t="n"/>
      <c r="Z988">
        <f>Z987+IF(W988="",0,IF(ISNA(MATCH(W988,W$256:W987,0)),1,0))</f>
        <v/>
      </c>
      <c r="AA988">
        <f>IF(Z988&gt;Z987,Z988,"")</f>
        <v/>
      </c>
      <c r="AB988">
        <f>AB987+IF(X988="",0,IF(ISNA(MATCH(X988,X$256:X987,0)),1,0))</f>
        <v/>
      </c>
      <c r="AC988">
        <f>IF(AB988&gt;AB987,AB988,"")</f>
        <v/>
      </c>
    </row>
    <row r="989">
      <c r="W989" s="7" t="n"/>
      <c r="X989" s="7" t="n"/>
      <c r="Z989">
        <f>Z988+IF(W989="",0,IF(ISNA(MATCH(W989,W$256:W988,0)),1,0))</f>
        <v/>
      </c>
      <c r="AA989">
        <f>IF(Z989&gt;Z988,Z989,"")</f>
        <v/>
      </c>
      <c r="AB989">
        <f>AB988+IF(X989="",0,IF(ISNA(MATCH(X989,X$256:X988,0)),1,0))</f>
        <v/>
      </c>
      <c r="AC989">
        <f>IF(AB989&gt;AB988,AB989,"")</f>
        <v/>
      </c>
    </row>
    <row r="990">
      <c r="W990" s="7" t="n"/>
      <c r="X990" s="7" t="n"/>
      <c r="Z990">
        <f>Z989+IF(W990="",0,IF(ISNA(MATCH(W990,W$256:W989,0)),1,0))</f>
        <v/>
      </c>
      <c r="AA990">
        <f>IF(Z990&gt;Z989,Z990,"")</f>
        <v/>
      </c>
      <c r="AB990">
        <f>AB989+IF(X990="",0,IF(ISNA(MATCH(X990,X$256:X989,0)),1,0))</f>
        <v/>
      </c>
      <c r="AC990">
        <f>IF(AB990&gt;AB989,AB990,"")</f>
        <v/>
      </c>
    </row>
    <row r="991">
      <c r="W991" s="7" t="n"/>
      <c r="X991" s="7" t="n"/>
      <c r="Z991">
        <f>Z990+IF(W991="",0,IF(ISNA(MATCH(W991,W$256:W990,0)),1,0))</f>
        <v/>
      </c>
      <c r="AA991">
        <f>IF(Z991&gt;Z990,Z991,"")</f>
        <v/>
      </c>
      <c r="AB991">
        <f>AB990+IF(X991="",0,IF(ISNA(MATCH(X991,X$256:X990,0)),1,0))</f>
        <v/>
      </c>
      <c r="AC991">
        <f>IF(AB991&gt;AB990,AB991,"")</f>
        <v/>
      </c>
    </row>
    <row r="992">
      <c r="W992" s="7" t="n"/>
      <c r="X992" s="7" t="n"/>
      <c r="Z992">
        <f>Z991+IF(W992="",0,IF(ISNA(MATCH(W992,W$256:W991,0)),1,0))</f>
        <v/>
      </c>
      <c r="AA992">
        <f>IF(Z992&gt;Z991,Z992,"")</f>
        <v/>
      </c>
      <c r="AB992">
        <f>AB991+IF(X992="",0,IF(ISNA(MATCH(X992,X$256:X991,0)),1,0))</f>
        <v/>
      </c>
      <c r="AC992">
        <f>IF(AB992&gt;AB991,AB992,"")</f>
        <v/>
      </c>
    </row>
    <row r="993">
      <c r="W993" s="7" t="n"/>
      <c r="X993" s="7" t="n"/>
      <c r="Z993">
        <f>Z992+IF(W993="",0,IF(ISNA(MATCH(W993,W$256:W992,0)),1,0))</f>
        <v/>
      </c>
      <c r="AA993">
        <f>IF(Z993&gt;Z992,Z993,"")</f>
        <v/>
      </c>
      <c r="AB993">
        <f>AB992+IF(X993="",0,IF(ISNA(MATCH(X993,X$256:X992,0)),1,0))</f>
        <v/>
      </c>
      <c r="AC993">
        <f>IF(AB993&gt;AB992,AB993,"")</f>
        <v/>
      </c>
    </row>
    <row r="994">
      <c r="W994" s="7" t="n"/>
      <c r="X994" s="7" t="n"/>
      <c r="Z994">
        <f>Z993+IF(W994="",0,IF(ISNA(MATCH(W994,W$256:W993,0)),1,0))</f>
        <v/>
      </c>
      <c r="AA994">
        <f>IF(Z994&gt;Z993,Z994,"")</f>
        <v/>
      </c>
      <c r="AB994">
        <f>AB993+IF(X994="",0,IF(ISNA(MATCH(X994,X$256:X993,0)),1,0))</f>
        <v/>
      </c>
      <c r="AC994">
        <f>IF(AB994&gt;AB993,AB994,"")</f>
        <v/>
      </c>
    </row>
    <row r="995">
      <c r="W995" s="7" t="n"/>
      <c r="X995" s="7" t="n"/>
      <c r="Z995">
        <f>Z994+IF(W995="",0,IF(ISNA(MATCH(W995,W$256:W994,0)),1,0))</f>
        <v/>
      </c>
      <c r="AA995">
        <f>IF(Z995&gt;Z994,Z995,"")</f>
        <v/>
      </c>
      <c r="AB995">
        <f>AB994+IF(X995="",0,IF(ISNA(MATCH(X995,X$256:X994,0)),1,0))</f>
        <v/>
      </c>
      <c r="AC995">
        <f>IF(AB995&gt;AB994,AB995,"")</f>
        <v/>
      </c>
    </row>
    <row r="996">
      <c r="W996" s="7" t="n"/>
      <c r="X996" s="7" t="n"/>
      <c r="Z996">
        <f>Z995+IF(W996="",0,IF(ISNA(MATCH(W996,W$256:W995,0)),1,0))</f>
        <v/>
      </c>
      <c r="AA996">
        <f>IF(Z996&gt;Z995,Z996,"")</f>
        <v/>
      </c>
      <c r="AB996">
        <f>AB995+IF(X996="",0,IF(ISNA(MATCH(X996,X$256:X995,0)),1,0))</f>
        <v/>
      </c>
      <c r="AC996">
        <f>IF(AB996&gt;AB995,AB996,"")</f>
        <v/>
      </c>
    </row>
    <row r="997">
      <c r="W997" s="7" t="n"/>
      <c r="X997" s="7" t="n"/>
      <c r="Z997">
        <f>Z996+IF(W997="",0,IF(ISNA(MATCH(W997,W$256:W996,0)),1,0))</f>
        <v/>
      </c>
      <c r="AA997">
        <f>IF(Z997&gt;Z996,Z997,"")</f>
        <v/>
      </c>
      <c r="AB997">
        <f>AB996+IF(X997="",0,IF(ISNA(MATCH(X997,X$256:X996,0)),1,0))</f>
        <v/>
      </c>
      <c r="AC997">
        <f>IF(AB997&gt;AB996,AB997,"")</f>
        <v/>
      </c>
    </row>
    <row r="998">
      <c r="W998" s="7" t="n"/>
      <c r="X998" s="7" t="n"/>
      <c r="Z998">
        <f>Z997+IF(W998="",0,IF(ISNA(MATCH(W998,W$256:W997,0)),1,0))</f>
        <v/>
      </c>
      <c r="AA998">
        <f>IF(Z998&gt;Z997,Z998,"")</f>
        <v/>
      </c>
      <c r="AB998">
        <f>AB997+IF(X998="",0,IF(ISNA(MATCH(X998,X$256:X997,0)),1,0))</f>
        <v/>
      </c>
      <c r="AC998">
        <f>IF(AB998&gt;AB997,AB998,"")</f>
        <v/>
      </c>
    </row>
    <row r="999">
      <c r="W999" s="7" t="n"/>
      <c r="X999" s="7" t="n"/>
      <c r="Z999">
        <f>Z998+IF(W999="",0,IF(ISNA(MATCH(W999,W$256:W998,0)),1,0))</f>
        <v/>
      </c>
      <c r="AA999">
        <f>IF(Z999&gt;Z998,Z999,"")</f>
        <v/>
      </c>
      <c r="AB999">
        <f>AB998+IF(X999="",0,IF(ISNA(MATCH(X999,X$256:X998,0)),1,0))</f>
        <v/>
      </c>
      <c r="AC999">
        <f>IF(AB999&gt;AB998,AB999,"")</f>
        <v/>
      </c>
    </row>
    <row r="1000">
      <c r="W1000" s="7" t="n"/>
      <c r="X1000" s="7" t="n"/>
      <c r="Z1000">
        <f>Z999+IF(W1000="",0,IF(ISNA(MATCH(W1000,W$256:W999,0)),1,0))</f>
        <v/>
      </c>
      <c r="AA1000">
        <f>IF(Z1000&gt;Z999,Z1000,"")</f>
        <v/>
      </c>
      <c r="AB1000">
        <f>AB999+IF(X1000="",0,IF(ISNA(MATCH(X1000,X$256:X999,0)),1,0))</f>
        <v/>
      </c>
      <c r="AC1000">
        <f>IF(AB1000&gt;AB999,AB1000,"")</f>
        <v/>
      </c>
    </row>
    <row r="1001">
      <c r="W1001" s="7" t="n"/>
      <c r="X1001" s="7" t="n"/>
      <c r="Z1001">
        <f>Z1000+IF(W1001="",0,IF(ISNA(MATCH(W1001,W$256:W1000,0)),1,0))</f>
        <v/>
      </c>
      <c r="AA1001">
        <f>IF(Z1001&gt;Z1000,Z1001,"")</f>
        <v/>
      </c>
      <c r="AB1001">
        <f>AB1000+IF(X1001="",0,IF(ISNA(MATCH(X1001,X$256:X1000,0)),1,0))</f>
        <v/>
      </c>
      <c r="AC1001">
        <f>IF(AB1001&gt;AB1000,AB1001,"")</f>
        <v/>
      </c>
    </row>
    <row r="1002">
      <c r="W1002" s="7" t="n"/>
      <c r="X1002" s="7" t="n"/>
      <c r="Z1002">
        <f>Z1001+IF(W1002="",0,IF(ISNA(MATCH(W1002,W$256:W1001,0)),1,0))</f>
        <v/>
      </c>
      <c r="AA1002">
        <f>IF(Z1002&gt;Z1001,Z1002,"")</f>
        <v/>
      </c>
      <c r="AB1002">
        <f>AB1001+IF(X1002="",0,IF(ISNA(MATCH(X1002,X$256:X1001,0)),1,0))</f>
        <v/>
      </c>
      <c r="AC1002">
        <f>IF(AB1002&gt;AB1001,AB1002,"")</f>
        <v/>
      </c>
    </row>
    <row r="1003">
      <c r="W1003" s="7" t="n"/>
      <c r="X1003" s="7" t="n"/>
      <c r="Z1003">
        <f>Z1002+IF(W1003="",0,IF(ISNA(MATCH(W1003,W$256:W1002,0)),1,0))</f>
        <v/>
      </c>
      <c r="AA1003">
        <f>IF(Z1003&gt;Z1002,Z1003,"")</f>
        <v/>
      </c>
      <c r="AB1003">
        <f>AB1002+IF(X1003="",0,IF(ISNA(MATCH(X1003,X$256:X1002,0)),1,0))</f>
        <v/>
      </c>
      <c r="AC1003">
        <f>IF(AB1003&gt;AB1002,AB1003,"")</f>
        <v/>
      </c>
    </row>
    <row r="1004">
      <c r="W1004" s="7" t="n"/>
      <c r="X1004" s="7" t="n"/>
      <c r="Z1004">
        <f>Z1003+IF(W1004="",0,IF(ISNA(MATCH(W1004,W$256:W1003,0)),1,0))</f>
        <v/>
      </c>
      <c r="AA1004">
        <f>IF(Z1004&gt;Z1003,Z1004,"")</f>
        <v/>
      </c>
      <c r="AB1004">
        <f>AB1003+IF(X1004="",0,IF(ISNA(MATCH(X1004,X$256:X1003,0)),1,0))</f>
        <v/>
      </c>
      <c r="AC1004">
        <f>IF(AB1004&gt;AB1003,AB1004,"")</f>
        <v/>
      </c>
    </row>
    <row r="1005">
      <c r="W1005" s="7" t="n"/>
      <c r="X1005" s="7" t="n"/>
      <c r="Z1005">
        <f>Z1004+IF(W1005="",0,IF(ISNA(MATCH(W1005,W$256:W1004,0)),1,0))</f>
        <v/>
      </c>
      <c r="AA1005">
        <f>IF(Z1005&gt;Z1004,Z1005,"")</f>
        <v/>
      </c>
      <c r="AB1005">
        <f>AB1004+IF(X1005="",0,IF(ISNA(MATCH(X1005,X$256:X1004,0)),1,0))</f>
        <v/>
      </c>
      <c r="AC1005">
        <f>IF(AB1005&gt;AB1004,AB1005,"")</f>
        <v/>
      </c>
    </row>
    <row r="1006">
      <c r="W1006" s="7" t="n"/>
      <c r="X1006" s="7" t="n"/>
      <c r="Z1006">
        <f>Z1005+IF(W1006="",0,IF(ISNA(MATCH(W1006,W$256:W1005,0)),1,0))</f>
        <v/>
      </c>
      <c r="AA1006">
        <f>IF(Z1006&gt;Z1005,Z1006,"")</f>
        <v/>
      </c>
      <c r="AB1006">
        <f>AB1005+IF(X1006="",0,IF(ISNA(MATCH(X1006,X$256:X1005,0)),1,0))</f>
        <v/>
      </c>
      <c r="AC1006">
        <f>IF(AB1006&gt;AB1005,AB1006,"")</f>
        <v/>
      </c>
    </row>
    <row r="1007">
      <c r="W1007" s="7" t="n"/>
      <c r="X1007" s="7" t="n"/>
      <c r="Z1007">
        <f>Z1006+IF(W1007="",0,IF(ISNA(MATCH(W1007,W$256:W1006,0)),1,0))</f>
        <v/>
      </c>
      <c r="AA1007">
        <f>IF(Z1007&gt;Z1006,Z1007,"")</f>
        <v/>
      </c>
      <c r="AB1007">
        <f>AB1006+IF(X1007="",0,IF(ISNA(MATCH(X1007,X$256:X1006,0)),1,0))</f>
        <v/>
      </c>
      <c r="AC1007">
        <f>IF(AB1007&gt;AB1006,AB1007,"")</f>
        <v/>
      </c>
    </row>
    <row r="1008">
      <c r="W1008" s="7" t="n"/>
      <c r="X1008" s="7" t="n"/>
      <c r="Z1008">
        <f>Z1007+IF(W1008="",0,IF(ISNA(MATCH(W1008,W$256:W1007,0)),1,0))</f>
        <v/>
      </c>
      <c r="AA1008">
        <f>IF(Z1008&gt;Z1007,Z1008,"")</f>
        <v/>
      </c>
      <c r="AB1008">
        <f>AB1007+IF(X1008="",0,IF(ISNA(MATCH(X1008,X$256:X1007,0)),1,0))</f>
        <v/>
      </c>
      <c r="AC1008">
        <f>IF(AB1008&gt;AB1007,AB1008,"")</f>
        <v/>
      </c>
    </row>
    <row r="1009">
      <c r="W1009" s="7" t="n"/>
      <c r="X1009" s="7" t="n"/>
      <c r="Z1009">
        <f>Z1008+IF(W1009="",0,IF(ISNA(MATCH(W1009,W$256:W1008,0)),1,0))</f>
        <v/>
      </c>
      <c r="AA1009">
        <f>IF(Z1009&gt;Z1008,Z1009,"")</f>
        <v/>
      </c>
      <c r="AB1009">
        <f>AB1008+IF(X1009="",0,IF(ISNA(MATCH(X1009,X$256:X1008,0)),1,0))</f>
        <v/>
      </c>
      <c r="AC1009">
        <f>IF(AB1009&gt;AB1008,AB1009,"")</f>
        <v/>
      </c>
    </row>
    <row r="1010">
      <c r="W1010" s="7" t="n"/>
      <c r="X1010" s="7" t="n"/>
      <c r="Z1010">
        <f>Z1009+IF(W1010="",0,IF(ISNA(MATCH(W1010,W$256:W1009,0)),1,0))</f>
        <v/>
      </c>
      <c r="AA1010">
        <f>IF(Z1010&gt;Z1009,Z1010,"")</f>
        <v/>
      </c>
      <c r="AB1010">
        <f>AB1009+IF(X1010="",0,IF(ISNA(MATCH(X1010,X$256:X1009,0)),1,0))</f>
        <v/>
      </c>
      <c r="AC1010">
        <f>IF(AB1010&gt;AB1009,AB1010,"")</f>
        <v/>
      </c>
    </row>
    <row r="1011">
      <c r="W1011" s="7" t="n"/>
      <c r="X1011" s="7" t="n"/>
      <c r="Z1011">
        <f>Z1010+IF(W1011="",0,IF(ISNA(MATCH(W1011,W$256:W1010,0)),1,0))</f>
        <v/>
      </c>
      <c r="AA1011">
        <f>IF(Z1011&gt;Z1010,Z1011,"")</f>
        <v/>
      </c>
      <c r="AB1011">
        <f>AB1010+IF(X1011="",0,IF(ISNA(MATCH(X1011,X$256:X1010,0)),1,0))</f>
        <v/>
      </c>
      <c r="AC1011">
        <f>IF(AB1011&gt;AB1010,AB1011,"")</f>
        <v/>
      </c>
    </row>
    <row r="1012">
      <c r="W1012" s="7" t="n"/>
      <c r="X1012" s="7" t="n"/>
      <c r="Z1012">
        <f>Z1011+IF(W1012="",0,IF(ISNA(MATCH(W1012,W$256:W1011,0)),1,0))</f>
        <v/>
      </c>
      <c r="AA1012">
        <f>IF(Z1012&gt;Z1011,Z1012,"")</f>
        <v/>
      </c>
      <c r="AB1012">
        <f>AB1011+IF(X1012="",0,IF(ISNA(MATCH(X1012,X$256:X1011,0)),1,0))</f>
        <v/>
      </c>
      <c r="AC1012">
        <f>IF(AB1012&gt;AB1011,AB1012,"")</f>
        <v/>
      </c>
    </row>
    <row r="1013">
      <c r="W1013" s="7" t="n"/>
      <c r="X1013" s="7" t="n"/>
      <c r="Z1013">
        <f>Z1012+IF(W1013="",0,IF(ISNA(MATCH(W1013,W$256:W1012,0)),1,0))</f>
        <v/>
      </c>
      <c r="AA1013">
        <f>IF(Z1013&gt;Z1012,Z1013,"")</f>
        <v/>
      </c>
      <c r="AB1013">
        <f>AB1012+IF(X1013="",0,IF(ISNA(MATCH(X1013,X$256:X1012,0)),1,0))</f>
        <v/>
      </c>
      <c r="AC1013">
        <f>IF(AB1013&gt;AB1012,AB1013,"")</f>
        <v/>
      </c>
    </row>
    <row r="1014">
      <c r="W1014" s="7" t="n"/>
      <c r="X1014" s="7" t="n"/>
      <c r="Z1014">
        <f>Z1013+IF(W1014="",0,IF(ISNA(MATCH(W1014,W$256:W1013,0)),1,0))</f>
        <v/>
      </c>
      <c r="AA1014">
        <f>IF(Z1014&gt;Z1013,Z1014,"")</f>
        <v/>
      </c>
      <c r="AB1014">
        <f>AB1013+IF(X1014="",0,IF(ISNA(MATCH(X1014,X$256:X1013,0)),1,0))</f>
        <v/>
      </c>
      <c r="AC1014">
        <f>IF(AB1014&gt;AB1013,AB1014,"")</f>
        <v/>
      </c>
    </row>
    <row r="1015">
      <c r="W1015" s="7" t="n"/>
      <c r="X1015" s="7" t="n"/>
      <c r="Z1015">
        <f>Z1014+IF(W1015="",0,IF(ISNA(MATCH(W1015,W$256:W1014,0)),1,0))</f>
        <v/>
      </c>
      <c r="AA1015">
        <f>IF(Z1015&gt;Z1014,Z1015,"")</f>
        <v/>
      </c>
      <c r="AB1015">
        <f>AB1014+IF(X1015="",0,IF(ISNA(MATCH(X1015,X$256:X1014,0)),1,0))</f>
        <v/>
      </c>
      <c r="AC1015">
        <f>IF(AB1015&gt;AB1014,AB1015,"")</f>
        <v/>
      </c>
    </row>
    <row r="1016">
      <c r="W1016" s="7" t="n"/>
      <c r="X1016" s="7" t="n"/>
      <c r="Z1016">
        <f>Z1015+IF(W1016="",0,IF(ISNA(MATCH(W1016,W$256:W1015,0)),1,0))</f>
        <v/>
      </c>
      <c r="AA1016">
        <f>IF(Z1016&gt;Z1015,Z1016,"")</f>
        <v/>
      </c>
      <c r="AB1016">
        <f>AB1015+IF(X1016="",0,IF(ISNA(MATCH(X1016,X$256:X1015,0)),1,0))</f>
        <v/>
      </c>
      <c r="AC1016">
        <f>IF(AB1016&gt;AB1015,AB1016,"")</f>
        <v/>
      </c>
    </row>
    <row r="1017">
      <c r="W1017" s="7" t="n"/>
      <c r="X1017" s="7" t="n"/>
      <c r="Z1017">
        <f>Z1016+IF(W1017="",0,IF(ISNA(MATCH(W1017,W$256:W1016,0)),1,0))</f>
        <v/>
      </c>
      <c r="AA1017">
        <f>IF(Z1017&gt;Z1016,Z1017,"")</f>
        <v/>
      </c>
      <c r="AB1017">
        <f>AB1016+IF(X1017="",0,IF(ISNA(MATCH(X1017,X$256:X1016,0)),1,0))</f>
        <v/>
      </c>
      <c r="AC1017">
        <f>IF(AB1017&gt;AB1016,AB1017,"")</f>
        <v/>
      </c>
    </row>
    <row r="1018">
      <c r="W1018" s="7" t="n"/>
      <c r="X1018" s="7" t="n"/>
      <c r="Z1018">
        <f>Z1017+IF(W1018="",0,IF(ISNA(MATCH(W1018,W$256:W1017,0)),1,0))</f>
        <v/>
      </c>
      <c r="AA1018">
        <f>IF(Z1018&gt;Z1017,Z1018,"")</f>
        <v/>
      </c>
      <c r="AB1018">
        <f>AB1017+IF(X1018="",0,IF(ISNA(MATCH(X1018,X$256:X1017,0)),1,0))</f>
        <v/>
      </c>
      <c r="AC1018">
        <f>IF(AB1018&gt;AB1017,AB1018,"")</f>
        <v/>
      </c>
    </row>
    <row r="1019">
      <c r="W1019" s="7" t="n"/>
      <c r="X1019" s="7" t="n"/>
      <c r="Z1019">
        <f>Z1018+IF(W1019="",0,IF(ISNA(MATCH(W1019,W$256:W1018,0)),1,0))</f>
        <v/>
      </c>
      <c r="AA1019">
        <f>IF(Z1019&gt;Z1018,Z1019,"")</f>
        <v/>
      </c>
      <c r="AB1019">
        <f>AB1018+IF(X1019="",0,IF(ISNA(MATCH(X1019,X$256:X1018,0)),1,0))</f>
        <v/>
      </c>
      <c r="AC1019">
        <f>IF(AB1019&gt;AB1018,AB1019,"")</f>
        <v/>
      </c>
    </row>
    <row r="1020">
      <c r="W1020" s="7" t="n"/>
      <c r="X1020" s="7" t="n"/>
      <c r="Z1020">
        <f>Z1019+IF(W1020="",0,IF(ISNA(MATCH(W1020,W$256:W1019,0)),1,0))</f>
        <v/>
      </c>
      <c r="AA1020">
        <f>IF(Z1020&gt;Z1019,Z1020,"")</f>
        <v/>
      </c>
      <c r="AB1020">
        <f>AB1019+IF(X1020="",0,IF(ISNA(MATCH(X1020,X$256:X1019,0)),1,0))</f>
        <v/>
      </c>
      <c r="AC1020">
        <f>IF(AB1020&gt;AB1019,AB1020,"")</f>
        <v/>
      </c>
    </row>
    <row r="1021">
      <c r="W1021" s="7" t="n"/>
      <c r="X1021" s="7" t="n"/>
      <c r="Z1021">
        <f>Z1020+IF(W1021="",0,IF(ISNA(MATCH(W1021,W$256:W1020,0)),1,0))</f>
        <v/>
      </c>
      <c r="AA1021">
        <f>IF(Z1021&gt;Z1020,Z1021,"")</f>
        <v/>
      </c>
      <c r="AB1021">
        <f>AB1020+IF(X1021="",0,IF(ISNA(MATCH(X1021,X$256:X1020,0)),1,0))</f>
        <v/>
      </c>
      <c r="AC1021">
        <f>IF(AB1021&gt;AB1020,AB1021,"")</f>
        <v/>
      </c>
    </row>
    <row r="1022">
      <c r="W1022" s="7" t="n"/>
      <c r="X1022" s="7" t="n"/>
      <c r="Z1022">
        <f>Z1021+IF(W1022="",0,IF(ISNA(MATCH(W1022,W$256:W1021,0)),1,0))</f>
        <v/>
      </c>
      <c r="AA1022">
        <f>IF(Z1022&gt;Z1021,Z1022,"")</f>
        <v/>
      </c>
      <c r="AB1022">
        <f>AB1021+IF(X1022="",0,IF(ISNA(MATCH(X1022,X$256:X1021,0)),1,0))</f>
        <v/>
      </c>
      <c r="AC1022">
        <f>IF(AB1022&gt;AB1021,AB1022,"")</f>
        <v/>
      </c>
    </row>
    <row r="1023">
      <c r="W1023" s="7" t="n"/>
      <c r="X1023" s="7" t="n"/>
      <c r="Z1023">
        <f>Z1022+IF(W1023="",0,IF(ISNA(MATCH(W1023,W$256:W1022,0)),1,0))</f>
        <v/>
      </c>
      <c r="AA1023">
        <f>IF(Z1023&gt;Z1022,Z1023,"")</f>
        <v/>
      </c>
      <c r="AB1023">
        <f>AB1022+IF(X1023="",0,IF(ISNA(MATCH(X1023,X$256:X1022,0)),1,0))</f>
        <v/>
      </c>
      <c r="AC1023">
        <f>IF(AB1023&gt;AB1022,AB1023,"")</f>
        <v/>
      </c>
    </row>
    <row r="1024">
      <c r="W1024" s="7" t="n"/>
      <c r="X1024" s="7" t="n"/>
      <c r="Z1024">
        <f>Z1023+IF(W1024="",0,IF(ISNA(MATCH(W1024,W$256:W1023,0)),1,0))</f>
        <v/>
      </c>
      <c r="AA1024">
        <f>IF(Z1024&gt;Z1023,Z1024,"")</f>
        <v/>
      </c>
      <c r="AB1024">
        <f>AB1023+IF(X1024="",0,IF(ISNA(MATCH(X1024,X$256:X1023,0)),1,0))</f>
        <v/>
      </c>
      <c r="AC1024">
        <f>IF(AB1024&gt;AB1023,AB1024,"")</f>
        <v/>
      </c>
    </row>
    <row r="1025">
      <c r="W1025" s="7" t="n"/>
      <c r="X1025" s="7" t="n"/>
      <c r="Z1025">
        <f>Z1024+IF(W1025="",0,IF(ISNA(MATCH(W1025,W$256:W1024,0)),1,0))</f>
        <v/>
      </c>
      <c r="AA1025">
        <f>IF(Z1025&gt;Z1024,Z1025,"")</f>
        <v/>
      </c>
      <c r="AB1025">
        <f>AB1024+IF(X1025="",0,IF(ISNA(MATCH(X1025,X$256:X1024,0)),1,0))</f>
        <v/>
      </c>
      <c r="AC1025">
        <f>IF(AB1025&gt;AB1024,AB1025,"")</f>
        <v/>
      </c>
    </row>
    <row r="1026">
      <c r="W1026" s="7" t="n"/>
      <c r="X1026" s="7" t="n"/>
      <c r="Z1026">
        <f>Z1025+IF(W1026="",0,IF(ISNA(MATCH(W1026,W$256:W1025,0)),1,0))</f>
        <v/>
      </c>
      <c r="AA1026">
        <f>IF(Z1026&gt;Z1025,Z1026,"")</f>
        <v/>
      </c>
      <c r="AB1026">
        <f>AB1025+IF(X1026="",0,IF(ISNA(MATCH(X1026,X$256:X1025,0)),1,0))</f>
        <v/>
      </c>
      <c r="AC1026">
        <f>IF(AB1026&gt;AB1025,AB1026,"")</f>
        <v/>
      </c>
    </row>
    <row r="1027">
      <c r="W1027" s="7" t="n"/>
      <c r="X1027" s="7" t="n"/>
      <c r="Z1027">
        <f>Z1026+IF(W1027="",0,IF(ISNA(MATCH(W1027,W$256:W1026,0)),1,0))</f>
        <v/>
      </c>
      <c r="AA1027">
        <f>IF(Z1027&gt;Z1026,Z1027,"")</f>
        <v/>
      </c>
      <c r="AB1027">
        <f>AB1026+IF(X1027="",0,IF(ISNA(MATCH(X1027,X$256:X1026,0)),1,0))</f>
        <v/>
      </c>
      <c r="AC1027">
        <f>IF(AB1027&gt;AB1026,AB1027,"")</f>
        <v/>
      </c>
    </row>
    <row r="1028">
      <c r="W1028" s="7" t="n"/>
      <c r="X1028" s="7" t="n"/>
      <c r="Z1028">
        <f>Z1027+IF(W1028="",0,IF(ISNA(MATCH(W1028,W$256:W1027,0)),1,0))</f>
        <v/>
      </c>
      <c r="AA1028">
        <f>IF(Z1028&gt;Z1027,Z1028,"")</f>
        <v/>
      </c>
      <c r="AB1028">
        <f>AB1027+IF(X1028="",0,IF(ISNA(MATCH(X1028,X$256:X1027,0)),1,0))</f>
        <v/>
      </c>
      <c r="AC1028">
        <f>IF(AB1028&gt;AB1027,AB1028,"")</f>
        <v/>
      </c>
    </row>
    <row r="1029">
      <c r="W1029" s="7" t="n"/>
      <c r="X1029" s="7" t="n"/>
      <c r="Z1029">
        <f>Z1028+IF(W1029="",0,IF(ISNA(MATCH(W1029,W$256:W1028,0)),1,0))</f>
        <v/>
      </c>
      <c r="AA1029">
        <f>IF(Z1029&gt;Z1028,Z1029,"")</f>
        <v/>
      </c>
      <c r="AB1029">
        <f>AB1028+IF(X1029="",0,IF(ISNA(MATCH(X1029,X$256:X1028,0)),1,0))</f>
        <v/>
      </c>
      <c r="AC1029">
        <f>IF(AB1029&gt;AB1028,AB1029,"")</f>
        <v/>
      </c>
    </row>
    <row r="1030">
      <c r="W1030" s="7" t="n"/>
      <c r="X1030" s="7" t="n"/>
      <c r="Z1030">
        <f>Z1029+IF(W1030="",0,IF(ISNA(MATCH(W1030,W$256:W1029,0)),1,0))</f>
        <v/>
      </c>
      <c r="AA1030">
        <f>IF(Z1030&gt;Z1029,Z1030,"")</f>
        <v/>
      </c>
      <c r="AB1030">
        <f>AB1029+IF(X1030="",0,IF(ISNA(MATCH(X1030,X$256:X1029,0)),1,0))</f>
        <v/>
      </c>
      <c r="AC1030">
        <f>IF(AB1030&gt;AB1029,AB1030,"")</f>
        <v/>
      </c>
    </row>
    <row r="1031">
      <c r="W1031" s="7" t="n"/>
      <c r="X1031" s="7" t="n"/>
      <c r="Z1031">
        <f>Z1030+IF(W1031="",0,IF(ISNA(MATCH(W1031,W$256:W1030,0)),1,0))</f>
        <v/>
      </c>
      <c r="AA1031">
        <f>IF(Z1031&gt;Z1030,Z1031,"")</f>
        <v/>
      </c>
      <c r="AB1031">
        <f>AB1030+IF(X1031="",0,IF(ISNA(MATCH(X1031,X$256:X1030,0)),1,0))</f>
        <v/>
      </c>
      <c r="AC1031">
        <f>IF(AB1031&gt;AB1030,AB1031,"")</f>
        <v/>
      </c>
    </row>
    <row r="1032">
      <c r="W1032" s="7" t="n"/>
      <c r="X1032" s="7" t="n"/>
      <c r="Z1032">
        <f>Z1031+IF(W1032="",0,IF(ISNA(MATCH(W1032,W$256:W1031,0)),1,0))</f>
        <v/>
      </c>
      <c r="AA1032">
        <f>IF(Z1032&gt;Z1031,Z1032,"")</f>
        <v/>
      </c>
      <c r="AB1032">
        <f>AB1031+IF(X1032="",0,IF(ISNA(MATCH(X1032,X$256:X1031,0)),1,0))</f>
        <v/>
      </c>
      <c r="AC1032">
        <f>IF(AB1032&gt;AB1031,AB1032,"")</f>
        <v/>
      </c>
    </row>
    <row r="1033">
      <c r="W1033" s="7" t="n"/>
      <c r="X1033" s="7" t="n"/>
      <c r="Z1033">
        <f>Z1032+IF(W1033="",0,IF(ISNA(MATCH(W1033,W$256:W1032,0)),1,0))</f>
        <v/>
      </c>
      <c r="AA1033">
        <f>IF(Z1033&gt;Z1032,Z1033,"")</f>
        <v/>
      </c>
      <c r="AB1033">
        <f>AB1032+IF(X1033="",0,IF(ISNA(MATCH(X1033,X$256:X1032,0)),1,0))</f>
        <v/>
      </c>
      <c r="AC1033">
        <f>IF(AB1033&gt;AB1032,AB1033,"")</f>
        <v/>
      </c>
    </row>
    <row r="1034">
      <c r="W1034" s="7" t="n"/>
      <c r="X1034" s="7" t="n"/>
      <c r="Z1034">
        <f>Z1033+IF(W1034="",0,IF(ISNA(MATCH(W1034,W$256:W1033,0)),1,0))</f>
        <v/>
      </c>
      <c r="AA1034">
        <f>IF(Z1034&gt;Z1033,Z1034,"")</f>
        <v/>
      </c>
      <c r="AB1034">
        <f>AB1033+IF(X1034="",0,IF(ISNA(MATCH(X1034,X$256:X1033,0)),1,0))</f>
        <v/>
      </c>
      <c r="AC1034">
        <f>IF(AB1034&gt;AB1033,AB1034,"")</f>
        <v/>
      </c>
    </row>
    <row r="1035">
      <c r="W1035" s="7" t="n"/>
      <c r="X1035" s="7" t="n"/>
      <c r="Z1035">
        <f>Z1034+IF(W1035="",0,IF(ISNA(MATCH(W1035,W$256:W1034,0)),1,0))</f>
        <v/>
      </c>
      <c r="AA1035">
        <f>IF(Z1035&gt;Z1034,Z1035,"")</f>
        <v/>
      </c>
      <c r="AB1035">
        <f>AB1034+IF(X1035="",0,IF(ISNA(MATCH(X1035,X$256:X1034,0)),1,0))</f>
        <v/>
      </c>
      <c r="AC1035">
        <f>IF(AB1035&gt;AB1034,AB1035,"")</f>
        <v/>
      </c>
    </row>
    <row r="1036">
      <c r="W1036" s="7" t="n"/>
      <c r="X1036" s="7" t="n"/>
      <c r="Z1036">
        <f>Z1035+IF(W1036="",0,IF(ISNA(MATCH(W1036,W$256:W1035,0)),1,0))</f>
        <v/>
      </c>
      <c r="AA1036">
        <f>IF(Z1036&gt;Z1035,Z1036,"")</f>
        <v/>
      </c>
      <c r="AB1036">
        <f>AB1035+IF(X1036="",0,IF(ISNA(MATCH(X1036,X$256:X1035,0)),1,0))</f>
        <v/>
      </c>
      <c r="AC1036">
        <f>IF(AB1036&gt;AB1035,AB1036,"")</f>
        <v/>
      </c>
    </row>
    <row r="1037">
      <c r="W1037" s="7" t="n"/>
      <c r="X1037" s="7" t="n"/>
      <c r="Z1037">
        <f>Z1036+IF(W1037="",0,IF(ISNA(MATCH(W1037,W$256:W1036,0)),1,0))</f>
        <v/>
      </c>
      <c r="AA1037">
        <f>IF(Z1037&gt;Z1036,Z1037,"")</f>
        <v/>
      </c>
      <c r="AB1037">
        <f>AB1036+IF(X1037="",0,IF(ISNA(MATCH(X1037,X$256:X1036,0)),1,0))</f>
        <v/>
      </c>
      <c r="AC1037">
        <f>IF(AB1037&gt;AB1036,AB1037,"")</f>
        <v/>
      </c>
    </row>
    <row r="1038">
      <c r="W1038" s="7" t="n"/>
      <c r="X1038" s="7" t="n"/>
      <c r="Z1038">
        <f>Z1037+IF(W1038="",0,IF(ISNA(MATCH(W1038,W$256:W1037,0)),1,0))</f>
        <v/>
      </c>
      <c r="AA1038">
        <f>IF(Z1038&gt;Z1037,Z1038,"")</f>
        <v/>
      </c>
      <c r="AB1038">
        <f>AB1037+IF(X1038="",0,IF(ISNA(MATCH(X1038,X$256:X1037,0)),1,0))</f>
        <v/>
      </c>
      <c r="AC1038">
        <f>IF(AB1038&gt;AB1037,AB1038,"")</f>
        <v/>
      </c>
    </row>
    <row r="1039">
      <c r="W1039" s="7" t="n"/>
      <c r="X1039" s="7" t="n"/>
      <c r="Z1039">
        <f>Z1038+IF(W1039="",0,IF(ISNA(MATCH(W1039,W$256:W1038,0)),1,0))</f>
        <v/>
      </c>
      <c r="AA1039">
        <f>IF(Z1039&gt;Z1038,Z1039,"")</f>
        <v/>
      </c>
      <c r="AB1039">
        <f>AB1038+IF(X1039="",0,IF(ISNA(MATCH(X1039,X$256:X1038,0)),1,0))</f>
        <v/>
      </c>
      <c r="AC1039">
        <f>IF(AB1039&gt;AB1038,AB1039,"")</f>
        <v/>
      </c>
    </row>
    <row r="1040">
      <c r="W1040" s="7" t="n"/>
      <c r="X1040" s="7" t="n"/>
      <c r="Z1040">
        <f>Z1039+IF(W1040="",0,IF(ISNA(MATCH(W1040,W$256:W1039,0)),1,0))</f>
        <v/>
      </c>
      <c r="AA1040">
        <f>IF(Z1040&gt;Z1039,Z1040,"")</f>
        <v/>
      </c>
      <c r="AB1040">
        <f>AB1039+IF(X1040="",0,IF(ISNA(MATCH(X1040,X$256:X1039,0)),1,0))</f>
        <v/>
      </c>
      <c r="AC1040">
        <f>IF(AB1040&gt;AB1039,AB1040,"")</f>
        <v/>
      </c>
    </row>
    <row r="1041">
      <c r="W1041" s="7" t="n"/>
      <c r="X1041" s="7" t="n"/>
      <c r="Z1041">
        <f>Z1040+IF(W1041="",0,IF(ISNA(MATCH(W1041,W$256:W1040,0)),1,0))</f>
        <v/>
      </c>
      <c r="AA1041">
        <f>IF(Z1041&gt;Z1040,Z1041,"")</f>
        <v/>
      </c>
      <c r="AB1041">
        <f>AB1040+IF(X1041="",0,IF(ISNA(MATCH(X1041,X$256:X1040,0)),1,0))</f>
        <v/>
      </c>
      <c r="AC1041">
        <f>IF(AB1041&gt;AB1040,AB1041,"")</f>
        <v/>
      </c>
    </row>
    <row r="1042">
      <c r="W1042" s="7" t="n"/>
      <c r="X1042" s="7" t="n"/>
      <c r="Z1042">
        <f>Z1041+IF(W1042="",0,IF(ISNA(MATCH(W1042,W$256:W1041,0)),1,0))</f>
        <v/>
      </c>
      <c r="AA1042">
        <f>IF(Z1042&gt;Z1041,Z1042,"")</f>
        <v/>
      </c>
      <c r="AB1042">
        <f>AB1041+IF(X1042="",0,IF(ISNA(MATCH(X1042,X$256:X1041,0)),1,0))</f>
        <v/>
      </c>
      <c r="AC1042">
        <f>IF(AB1042&gt;AB1041,AB1042,"")</f>
        <v/>
      </c>
    </row>
    <row r="1043">
      <c r="W1043" s="7" t="n"/>
      <c r="X1043" s="7" t="n"/>
      <c r="Z1043">
        <f>Z1042+IF(W1043="",0,IF(ISNA(MATCH(W1043,W$256:W1042,0)),1,0))</f>
        <v/>
      </c>
      <c r="AA1043">
        <f>IF(Z1043&gt;Z1042,Z1043,"")</f>
        <v/>
      </c>
      <c r="AB1043">
        <f>AB1042+IF(X1043="",0,IF(ISNA(MATCH(X1043,X$256:X1042,0)),1,0))</f>
        <v/>
      </c>
      <c r="AC1043">
        <f>IF(AB1043&gt;AB1042,AB1043,"")</f>
        <v/>
      </c>
    </row>
    <row r="1044">
      <c r="W1044" s="7" t="n"/>
      <c r="X1044" s="7" t="n"/>
      <c r="Z1044">
        <f>Z1043+IF(W1044="",0,IF(ISNA(MATCH(W1044,W$256:W1043,0)),1,0))</f>
        <v/>
      </c>
      <c r="AA1044">
        <f>IF(Z1044&gt;Z1043,Z1044,"")</f>
        <v/>
      </c>
      <c r="AB1044">
        <f>AB1043+IF(X1044="",0,IF(ISNA(MATCH(X1044,X$256:X1043,0)),1,0))</f>
        <v/>
      </c>
      <c r="AC1044">
        <f>IF(AB1044&gt;AB1043,AB1044,"")</f>
        <v/>
      </c>
    </row>
    <row r="1045">
      <c r="W1045" s="7" t="n"/>
      <c r="X1045" s="7" t="n"/>
      <c r="Z1045">
        <f>Z1044+IF(W1045="",0,IF(ISNA(MATCH(W1045,W$256:W1044,0)),1,0))</f>
        <v/>
      </c>
      <c r="AA1045">
        <f>IF(Z1045&gt;Z1044,Z1045,"")</f>
        <v/>
      </c>
      <c r="AB1045">
        <f>AB1044+IF(X1045="",0,IF(ISNA(MATCH(X1045,X$256:X1044,0)),1,0))</f>
        <v/>
      </c>
      <c r="AC1045">
        <f>IF(AB1045&gt;AB1044,AB1045,"")</f>
        <v/>
      </c>
    </row>
    <row r="1046">
      <c r="W1046" s="7" t="n"/>
      <c r="X1046" s="7" t="n"/>
      <c r="Z1046">
        <f>Z1045+IF(W1046="",0,IF(ISNA(MATCH(W1046,W$256:W1045,0)),1,0))</f>
        <v/>
      </c>
      <c r="AA1046">
        <f>IF(Z1046&gt;Z1045,Z1046,"")</f>
        <v/>
      </c>
      <c r="AB1046">
        <f>AB1045+IF(X1046="",0,IF(ISNA(MATCH(X1046,X$256:X1045,0)),1,0))</f>
        <v/>
      </c>
      <c r="AC1046">
        <f>IF(AB1046&gt;AB1045,AB1046,"")</f>
        <v/>
      </c>
    </row>
    <row r="1047">
      <c r="W1047" s="7" t="n"/>
      <c r="X1047" s="7" t="n"/>
      <c r="Z1047">
        <f>Z1046+IF(W1047="",0,IF(ISNA(MATCH(W1047,W$256:W1046,0)),1,0))</f>
        <v/>
      </c>
      <c r="AA1047">
        <f>IF(Z1047&gt;Z1046,Z1047,"")</f>
        <v/>
      </c>
      <c r="AB1047">
        <f>AB1046+IF(X1047="",0,IF(ISNA(MATCH(X1047,X$256:X1046,0)),1,0))</f>
        <v/>
      </c>
      <c r="AC1047">
        <f>IF(AB1047&gt;AB1046,AB1047,"")</f>
        <v/>
      </c>
    </row>
    <row r="1048">
      <c r="W1048" s="7" t="n"/>
      <c r="X1048" s="7" t="n"/>
      <c r="Z1048">
        <f>Z1047+IF(W1048="",0,IF(ISNA(MATCH(W1048,W$256:W1047,0)),1,0))</f>
        <v/>
      </c>
      <c r="AA1048">
        <f>IF(Z1048&gt;Z1047,Z1048,"")</f>
        <v/>
      </c>
      <c r="AB1048">
        <f>AB1047+IF(X1048="",0,IF(ISNA(MATCH(X1048,X$256:X1047,0)),1,0))</f>
        <v/>
      </c>
      <c r="AC1048">
        <f>IF(AB1048&gt;AB1047,AB1048,"")</f>
        <v/>
      </c>
    </row>
    <row r="1049">
      <c r="W1049" s="7" t="n"/>
      <c r="X1049" s="7" t="n"/>
      <c r="Z1049">
        <f>Z1048+IF(W1049="",0,IF(ISNA(MATCH(W1049,W$256:W1048,0)),1,0))</f>
        <v/>
      </c>
      <c r="AA1049">
        <f>IF(Z1049&gt;Z1048,Z1049,"")</f>
        <v/>
      </c>
      <c r="AB1049">
        <f>AB1048+IF(X1049="",0,IF(ISNA(MATCH(X1049,X$256:X1048,0)),1,0))</f>
        <v/>
      </c>
      <c r="AC1049">
        <f>IF(AB1049&gt;AB1048,AB1049,"")</f>
        <v/>
      </c>
    </row>
    <row r="1050">
      <c r="W1050" s="7" t="n"/>
      <c r="X1050" s="7" t="n"/>
      <c r="Z1050">
        <f>Z1049+IF(W1050="",0,IF(ISNA(MATCH(W1050,W$256:W1049,0)),1,0))</f>
        <v/>
      </c>
      <c r="AA1050">
        <f>IF(Z1050&gt;Z1049,Z1050,"")</f>
        <v/>
      </c>
      <c r="AB1050">
        <f>AB1049+IF(X1050="",0,IF(ISNA(MATCH(X1050,X$256:X1049,0)),1,0))</f>
        <v/>
      </c>
      <c r="AC1050">
        <f>IF(AB1050&gt;AB1049,AB1050,"")</f>
        <v/>
      </c>
    </row>
    <row r="1051">
      <c r="W1051" s="7" t="n"/>
      <c r="X1051" s="7" t="n"/>
      <c r="Z1051">
        <f>Z1050+IF(W1051="",0,IF(ISNA(MATCH(W1051,W$256:W1050,0)),1,0))</f>
        <v/>
      </c>
      <c r="AA1051">
        <f>IF(Z1051&gt;Z1050,Z1051,"")</f>
        <v/>
      </c>
      <c r="AB1051">
        <f>AB1050+IF(X1051="",0,IF(ISNA(MATCH(X1051,X$256:X1050,0)),1,0))</f>
        <v/>
      </c>
      <c r="AC1051">
        <f>IF(AB1051&gt;AB1050,AB1051,"")</f>
        <v/>
      </c>
    </row>
    <row r="1052">
      <c r="W1052" s="7" t="n"/>
      <c r="X1052" s="7" t="n"/>
      <c r="Z1052">
        <f>Z1051+IF(W1052="",0,IF(ISNA(MATCH(W1052,W$256:W1051,0)),1,0))</f>
        <v/>
      </c>
      <c r="AA1052">
        <f>IF(Z1052&gt;Z1051,Z1052,"")</f>
        <v/>
      </c>
      <c r="AB1052">
        <f>AB1051+IF(X1052="",0,IF(ISNA(MATCH(X1052,X$256:X1051,0)),1,0))</f>
        <v/>
      </c>
      <c r="AC1052">
        <f>IF(AB1052&gt;AB1051,AB1052,"")</f>
        <v/>
      </c>
    </row>
    <row r="1053">
      <c r="W1053" s="7" t="n"/>
      <c r="X1053" s="7" t="n"/>
      <c r="Z1053">
        <f>Z1052+IF(W1053="",0,IF(ISNA(MATCH(W1053,W$256:W1052,0)),1,0))</f>
        <v/>
      </c>
      <c r="AA1053">
        <f>IF(Z1053&gt;Z1052,Z1053,"")</f>
        <v/>
      </c>
      <c r="AB1053">
        <f>AB1052+IF(X1053="",0,IF(ISNA(MATCH(X1053,X$256:X1052,0)),1,0))</f>
        <v/>
      </c>
      <c r="AC1053">
        <f>IF(AB1053&gt;AB1052,AB1053,"")</f>
        <v/>
      </c>
    </row>
    <row r="1054">
      <c r="W1054" s="7" t="n"/>
      <c r="X1054" s="7" t="n"/>
      <c r="Z1054">
        <f>Z1053+IF(W1054="",0,IF(ISNA(MATCH(W1054,W$256:W1053,0)),1,0))</f>
        <v/>
      </c>
      <c r="AA1054">
        <f>IF(Z1054&gt;Z1053,Z1054,"")</f>
        <v/>
      </c>
      <c r="AB1054">
        <f>AB1053+IF(X1054="",0,IF(ISNA(MATCH(X1054,X$256:X1053,0)),1,0))</f>
        <v/>
      </c>
      <c r="AC1054">
        <f>IF(AB1054&gt;AB1053,AB1054,"")</f>
        <v/>
      </c>
    </row>
    <row r="1055">
      <c r="W1055" s="7" t="n"/>
      <c r="X1055" s="7" t="n"/>
      <c r="Z1055">
        <f>Z1054+IF(W1055="",0,IF(ISNA(MATCH(W1055,W$256:W1054,0)),1,0))</f>
        <v/>
      </c>
      <c r="AA1055">
        <f>IF(Z1055&gt;Z1054,Z1055,"")</f>
        <v/>
      </c>
      <c r="AB1055">
        <f>AB1054+IF(X1055="",0,IF(ISNA(MATCH(X1055,X$256:X1054,0)),1,0))</f>
        <v/>
      </c>
      <c r="AC1055">
        <f>IF(AB1055&gt;AB1054,AB1055,"")</f>
        <v/>
      </c>
    </row>
    <row r="1056">
      <c r="W1056" s="7" t="n"/>
      <c r="X1056" s="7" t="n"/>
      <c r="Z1056">
        <f>Z1055+IF(W1056="",0,IF(ISNA(MATCH(W1056,W$256:W1055,0)),1,0))</f>
        <v/>
      </c>
      <c r="AA1056">
        <f>IF(Z1056&gt;Z1055,Z1056,"")</f>
        <v/>
      </c>
      <c r="AB1056">
        <f>AB1055+IF(X1056="",0,IF(ISNA(MATCH(X1056,X$256:X1055,0)),1,0))</f>
        <v/>
      </c>
      <c r="AC1056">
        <f>IF(AB1056&gt;AB1055,AB1056,"")</f>
        <v/>
      </c>
    </row>
    <row r="1057">
      <c r="W1057" s="7" t="n"/>
      <c r="X1057" s="7" t="n"/>
      <c r="Z1057">
        <f>Z1056+IF(W1057="",0,IF(ISNA(MATCH(W1057,W$256:W1056,0)),1,0))</f>
        <v/>
      </c>
      <c r="AA1057">
        <f>IF(Z1057&gt;Z1056,Z1057,"")</f>
        <v/>
      </c>
      <c r="AB1057">
        <f>AB1056+IF(X1057="",0,IF(ISNA(MATCH(X1057,X$256:X1056,0)),1,0))</f>
        <v/>
      </c>
      <c r="AC1057">
        <f>IF(AB1057&gt;AB1056,AB1057,"")</f>
        <v/>
      </c>
    </row>
    <row r="1058">
      <c r="W1058" s="7" t="n"/>
      <c r="X1058" s="7" t="n"/>
      <c r="Z1058">
        <f>Z1057+IF(W1058="",0,IF(ISNA(MATCH(W1058,W$256:W1057,0)),1,0))</f>
        <v/>
      </c>
      <c r="AA1058">
        <f>IF(Z1058&gt;Z1057,Z1058,"")</f>
        <v/>
      </c>
      <c r="AB1058">
        <f>AB1057+IF(X1058="",0,IF(ISNA(MATCH(X1058,X$256:X1057,0)),1,0))</f>
        <v/>
      </c>
      <c r="AC1058">
        <f>IF(AB1058&gt;AB1057,AB1058,"")</f>
        <v/>
      </c>
    </row>
    <row r="1059">
      <c r="W1059" s="7" t="n"/>
      <c r="X1059" s="7" t="n"/>
      <c r="Z1059">
        <f>Z1058+IF(W1059="",0,IF(ISNA(MATCH(W1059,W$256:W1058,0)),1,0))</f>
        <v/>
      </c>
      <c r="AA1059">
        <f>IF(Z1059&gt;Z1058,Z1059,"")</f>
        <v/>
      </c>
      <c r="AB1059">
        <f>AB1058+IF(X1059="",0,IF(ISNA(MATCH(X1059,X$256:X1058,0)),1,0))</f>
        <v/>
      </c>
      <c r="AC1059">
        <f>IF(AB1059&gt;AB1058,AB1059,"")</f>
        <v/>
      </c>
    </row>
    <row r="1060">
      <c r="W1060" s="7" t="n"/>
      <c r="X1060" s="7" t="n"/>
      <c r="Z1060">
        <f>Z1059+IF(W1060="",0,IF(ISNA(MATCH(W1060,W$256:W1059,0)),1,0))</f>
        <v/>
      </c>
      <c r="AA1060">
        <f>IF(Z1060&gt;Z1059,Z1060,"")</f>
        <v/>
      </c>
      <c r="AB1060">
        <f>AB1059+IF(X1060="",0,IF(ISNA(MATCH(X1060,X$256:X1059,0)),1,0))</f>
        <v/>
      </c>
      <c r="AC1060">
        <f>IF(AB1060&gt;AB1059,AB1060,"")</f>
        <v/>
      </c>
    </row>
    <row r="1061">
      <c r="W1061" s="7" t="n"/>
      <c r="X1061" s="7" t="n"/>
      <c r="Z1061">
        <f>Z1060+IF(W1061="",0,IF(ISNA(MATCH(W1061,W$256:W1060,0)),1,0))</f>
        <v/>
      </c>
      <c r="AA1061">
        <f>IF(Z1061&gt;Z1060,Z1061,"")</f>
        <v/>
      </c>
      <c r="AB1061">
        <f>AB1060+IF(X1061="",0,IF(ISNA(MATCH(X1061,X$256:X1060,0)),1,0))</f>
        <v/>
      </c>
      <c r="AC1061">
        <f>IF(AB1061&gt;AB1060,AB1061,"")</f>
        <v/>
      </c>
    </row>
    <row r="1062">
      <c r="W1062" s="7" t="n"/>
      <c r="X1062" s="7" t="n"/>
      <c r="Z1062">
        <f>Z1061+IF(W1062="",0,IF(ISNA(MATCH(W1062,W$256:W1061,0)),1,0))</f>
        <v/>
      </c>
      <c r="AA1062">
        <f>IF(Z1062&gt;Z1061,Z1062,"")</f>
        <v/>
      </c>
      <c r="AB1062">
        <f>AB1061+IF(X1062="",0,IF(ISNA(MATCH(X1062,X$256:X1061,0)),1,0))</f>
        <v/>
      </c>
      <c r="AC1062">
        <f>IF(AB1062&gt;AB1061,AB1062,"")</f>
        <v/>
      </c>
    </row>
    <row r="1063">
      <c r="W1063" s="7" t="n"/>
      <c r="X1063" s="7" t="n"/>
      <c r="Z1063">
        <f>Z1062+IF(W1063="",0,IF(ISNA(MATCH(W1063,W$256:W1062,0)),1,0))</f>
        <v/>
      </c>
      <c r="AA1063">
        <f>IF(Z1063&gt;Z1062,Z1063,"")</f>
        <v/>
      </c>
      <c r="AB1063">
        <f>AB1062+IF(X1063="",0,IF(ISNA(MATCH(X1063,X$256:X1062,0)),1,0))</f>
        <v/>
      </c>
      <c r="AC1063">
        <f>IF(AB1063&gt;AB1062,AB1063,"")</f>
        <v/>
      </c>
    </row>
    <row r="1064">
      <c r="W1064" s="7" t="n"/>
      <c r="X1064" s="7" t="n"/>
      <c r="Z1064">
        <f>Z1063+IF(W1064="",0,IF(ISNA(MATCH(W1064,W$256:W1063,0)),1,0))</f>
        <v/>
      </c>
      <c r="AA1064">
        <f>IF(Z1064&gt;Z1063,Z1064,"")</f>
        <v/>
      </c>
      <c r="AB1064">
        <f>AB1063+IF(X1064="",0,IF(ISNA(MATCH(X1064,X$256:X1063,0)),1,0))</f>
        <v/>
      </c>
      <c r="AC1064">
        <f>IF(AB1064&gt;AB1063,AB1064,"")</f>
        <v/>
      </c>
    </row>
    <row r="1065">
      <c r="W1065" s="7" t="n"/>
      <c r="X1065" s="7" t="n"/>
      <c r="Z1065">
        <f>Z1064+IF(W1065="",0,IF(ISNA(MATCH(W1065,W$256:W1064,0)),1,0))</f>
        <v/>
      </c>
      <c r="AA1065">
        <f>IF(Z1065&gt;Z1064,Z1065,"")</f>
        <v/>
      </c>
      <c r="AB1065">
        <f>AB1064+IF(X1065="",0,IF(ISNA(MATCH(X1065,X$256:X1064,0)),1,0))</f>
        <v/>
      </c>
      <c r="AC1065">
        <f>IF(AB1065&gt;AB1064,AB1065,"")</f>
        <v/>
      </c>
    </row>
    <row r="1066">
      <c r="W1066" s="7" t="n"/>
      <c r="X1066" s="7" t="n"/>
      <c r="Z1066">
        <f>Z1065+IF(W1066="",0,IF(ISNA(MATCH(W1066,W$256:W1065,0)),1,0))</f>
        <v/>
      </c>
      <c r="AA1066">
        <f>IF(Z1066&gt;Z1065,Z1066,"")</f>
        <v/>
      </c>
      <c r="AB1066">
        <f>AB1065+IF(X1066="",0,IF(ISNA(MATCH(X1066,X$256:X1065,0)),1,0))</f>
        <v/>
      </c>
      <c r="AC1066">
        <f>IF(AB1066&gt;AB1065,AB1066,"")</f>
        <v/>
      </c>
    </row>
    <row r="1067">
      <c r="W1067" s="7" t="n"/>
      <c r="X1067" s="7" t="n"/>
      <c r="Z1067">
        <f>Z1066+IF(W1067="",0,IF(ISNA(MATCH(W1067,W$256:W1066,0)),1,0))</f>
        <v/>
      </c>
      <c r="AA1067">
        <f>IF(Z1067&gt;Z1066,Z1067,"")</f>
        <v/>
      </c>
      <c r="AB1067">
        <f>AB1066+IF(X1067="",0,IF(ISNA(MATCH(X1067,X$256:X1066,0)),1,0))</f>
        <v/>
      </c>
      <c r="AC1067">
        <f>IF(AB1067&gt;AB1066,AB1067,"")</f>
        <v/>
      </c>
    </row>
    <row r="1068">
      <c r="W1068" s="7" t="n"/>
      <c r="X1068" s="7" t="n"/>
      <c r="Z1068">
        <f>Z1067+IF(W1068="",0,IF(ISNA(MATCH(W1068,W$256:W1067,0)),1,0))</f>
        <v/>
      </c>
      <c r="AA1068">
        <f>IF(Z1068&gt;Z1067,Z1068,"")</f>
        <v/>
      </c>
      <c r="AB1068">
        <f>AB1067+IF(X1068="",0,IF(ISNA(MATCH(X1068,X$256:X1067,0)),1,0))</f>
        <v/>
      </c>
      <c r="AC1068">
        <f>IF(AB1068&gt;AB1067,AB1068,"")</f>
        <v/>
      </c>
    </row>
    <row r="1069">
      <c r="W1069" s="7" t="n"/>
      <c r="X1069" s="7" t="n"/>
      <c r="Z1069">
        <f>Z1068+IF(W1069="",0,IF(ISNA(MATCH(W1069,W$256:W1068,0)),1,0))</f>
        <v/>
      </c>
      <c r="AA1069">
        <f>IF(Z1069&gt;Z1068,Z1069,"")</f>
        <v/>
      </c>
      <c r="AB1069">
        <f>AB1068+IF(X1069="",0,IF(ISNA(MATCH(X1069,X$256:X1068,0)),1,0))</f>
        <v/>
      </c>
      <c r="AC1069">
        <f>IF(AB1069&gt;AB1068,AB1069,"")</f>
        <v/>
      </c>
    </row>
    <row r="1070">
      <c r="W1070" s="7" t="n"/>
      <c r="X1070" s="7" t="n"/>
      <c r="Z1070">
        <f>Z1069+IF(W1070="",0,IF(ISNA(MATCH(W1070,W$256:W1069,0)),1,0))</f>
        <v/>
      </c>
      <c r="AA1070">
        <f>IF(Z1070&gt;Z1069,Z1070,"")</f>
        <v/>
      </c>
      <c r="AB1070">
        <f>AB1069+IF(X1070="",0,IF(ISNA(MATCH(X1070,X$256:X1069,0)),1,0))</f>
        <v/>
      </c>
      <c r="AC1070">
        <f>IF(AB1070&gt;AB1069,AB1070,"")</f>
        <v/>
      </c>
    </row>
    <row r="1071">
      <c r="W1071" s="7" t="n"/>
      <c r="X1071" s="7" t="n"/>
      <c r="Z1071">
        <f>Z1070+IF(W1071="",0,IF(ISNA(MATCH(W1071,W$256:W1070,0)),1,0))</f>
        <v/>
      </c>
      <c r="AA1071">
        <f>IF(Z1071&gt;Z1070,Z1071,"")</f>
        <v/>
      </c>
      <c r="AB1071">
        <f>AB1070+IF(X1071="",0,IF(ISNA(MATCH(X1071,X$256:X1070,0)),1,0))</f>
        <v/>
      </c>
      <c r="AC1071">
        <f>IF(AB1071&gt;AB1070,AB1071,"")</f>
        <v/>
      </c>
    </row>
    <row r="1072">
      <c r="W1072" s="7" t="n"/>
      <c r="X1072" s="7" t="n"/>
      <c r="Z1072">
        <f>Z1071+IF(W1072="",0,IF(ISNA(MATCH(W1072,W$256:W1071,0)),1,0))</f>
        <v/>
      </c>
      <c r="AA1072">
        <f>IF(Z1072&gt;Z1071,Z1072,"")</f>
        <v/>
      </c>
      <c r="AB1072">
        <f>AB1071+IF(X1072="",0,IF(ISNA(MATCH(X1072,X$256:X1071,0)),1,0))</f>
        <v/>
      </c>
      <c r="AC1072">
        <f>IF(AB1072&gt;AB1071,AB1072,"")</f>
        <v/>
      </c>
    </row>
    <row r="1073">
      <c r="W1073" s="7" t="n"/>
      <c r="X1073" s="7" t="n"/>
      <c r="Z1073">
        <f>Z1072+IF(W1073="",0,IF(ISNA(MATCH(W1073,W$256:W1072,0)),1,0))</f>
        <v/>
      </c>
      <c r="AA1073">
        <f>IF(Z1073&gt;Z1072,Z1073,"")</f>
        <v/>
      </c>
      <c r="AB1073">
        <f>AB1072+IF(X1073="",0,IF(ISNA(MATCH(X1073,X$256:X1072,0)),1,0))</f>
        <v/>
      </c>
      <c r="AC1073">
        <f>IF(AB1073&gt;AB1072,AB1073,"")</f>
        <v/>
      </c>
    </row>
    <row r="1074">
      <c r="W1074" s="7" t="n"/>
      <c r="X1074" s="7" t="n"/>
      <c r="Z1074">
        <f>Z1073+IF(W1074="",0,IF(ISNA(MATCH(W1074,W$256:W1073,0)),1,0))</f>
        <v/>
      </c>
      <c r="AA1074">
        <f>IF(Z1074&gt;Z1073,Z1074,"")</f>
        <v/>
      </c>
      <c r="AB1074">
        <f>AB1073+IF(X1074="",0,IF(ISNA(MATCH(X1074,X$256:X1073,0)),1,0))</f>
        <v/>
      </c>
      <c r="AC1074">
        <f>IF(AB1074&gt;AB1073,AB1074,"")</f>
        <v/>
      </c>
    </row>
    <row r="1075">
      <c r="W1075" s="7" t="n"/>
      <c r="X1075" s="7" t="n"/>
      <c r="Z1075">
        <f>Z1074+IF(W1075="",0,IF(ISNA(MATCH(W1075,W$256:W1074,0)),1,0))</f>
        <v/>
      </c>
      <c r="AA1075">
        <f>IF(Z1075&gt;Z1074,Z1075,"")</f>
        <v/>
      </c>
      <c r="AB1075">
        <f>AB1074+IF(X1075="",0,IF(ISNA(MATCH(X1075,X$256:X1074,0)),1,0))</f>
        <v/>
      </c>
      <c r="AC1075">
        <f>IF(AB1075&gt;AB1074,AB1075,"")</f>
        <v/>
      </c>
    </row>
    <row r="1076">
      <c r="W1076" s="7" t="n"/>
      <c r="X1076" s="7" t="n"/>
      <c r="Z1076">
        <f>Z1075+IF(W1076="",0,IF(ISNA(MATCH(W1076,W$256:W1075,0)),1,0))</f>
        <v/>
      </c>
      <c r="AA1076">
        <f>IF(Z1076&gt;Z1075,Z1076,"")</f>
        <v/>
      </c>
      <c r="AB1076">
        <f>AB1075+IF(X1076="",0,IF(ISNA(MATCH(X1076,X$256:X1075,0)),1,0))</f>
        <v/>
      </c>
      <c r="AC1076">
        <f>IF(AB1076&gt;AB1075,AB1076,"")</f>
        <v/>
      </c>
    </row>
    <row r="1077">
      <c r="W1077" s="7" t="n"/>
      <c r="X1077" s="7" t="n"/>
      <c r="Z1077">
        <f>Z1076+IF(W1077="",0,IF(ISNA(MATCH(W1077,W$256:W1076,0)),1,0))</f>
        <v/>
      </c>
      <c r="AA1077">
        <f>IF(Z1077&gt;Z1076,Z1077,"")</f>
        <v/>
      </c>
      <c r="AB1077">
        <f>AB1076+IF(X1077="",0,IF(ISNA(MATCH(X1077,X$256:X1076,0)),1,0))</f>
        <v/>
      </c>
      <c r="AC1077">
        <f>IF(AB1077&gt;AB1076,AB1077,"")</f>
        <v/>
      </c>
    </row>
    <row r="1078">
      <c r="W1078" s="7" t="n"/>
      <c r="X1078" s="7" t="n"/>
      <c r="Z1078">
        <f>Z1077+IF(W1078="",0,IF(ISNA(MATCH(W1078,W$256:W1077,0)),1,0))</f>
        <v/>
      </c>
      <c r="AA1078">
        <f>IF(Z1078&gt;Z1077,Z1078,"")</f>
        <v/>
      </c>
      <c r="AB1078">
        <f>AB1077+IF(X1078="",0,IF(ISNA(MATCH(X1078,X$256:X1077,0)),1,0))</f>
        <v/>
      </c>
      <c r="AC1078">
        <f>IF(AB1078&gt;AB1077,AB1078,"")</f>
        <v/>
      </c>
    </row>
    <row r="1079">
      <c r="W1079" s="7" t="n"/>
      <c r="X1079" s="7" t="n"/>
      <c r="Z1079">
        <f>Z1078+IF(W1079="",0,IF(ISNA(MATCH(W1079,W$256:W1078,0)),1,0))</f>
        <v/>
      </c>
      <c r="AA1079">
        <f>IF(Z1079&gt;Z1078,Z1079,"")</f>
        <v/>
      </c>
      <c r="AB1079">
        <f>AB1078+IF(X1079="",0,IF(ISNA(MATCH(X1079,X$256:X1078,0)),1,0))</f>
        <v/>
      </c>
      <c r="AC1079">
        <f>IF(AB1079&gt;AB1078,AB1079,"")</f>
        <v/>
      </c>
    </row>
    <row r="1080">
      <c r="W1080" s="7" t="n"/>
      <c r="X1080" s="7" t="n"/>
      <c r="Z1080">
        <f>Z1079+IF(W1080="",0,IF(ISNA(MATCH(W1080,W$256:W1079,0)),1,0))</f>
        <v/>
      </c>
      <c r="AA1080">
        <f>IF(Z1080&gt;Z1079,Z1080,"")</f>
        <v/>
      </c>
      <c r="AB1080">
        <f>AB1079+IF(X1080="",0,IF(ISNA(MATCH(X1080,X$256:X1079,0)),1,0))</f>
        <v/>
      </c>
      <c r="AC1080">
        <f>IF(AB1080&gt;AB1079,AB1080,"")</f>
        <v/>
      </c>
    </row>
    <row r="1081">
      <c r="W1081" s="7" t="n"/>
      <c r="X1081" s="7" t="n"/>
      <c r="Z1081">
        <f>Z1080+IF(W1081="",0,IF(ISNA(MATCH(W1081,W$256:W1080,0)),1,0))</f>
        <v/>
      </c>
      <c r="AA1081">
        <f>IF(Z1081&gt;Z1080,Z1081,"")</f>
        <v/>
      </c>
      <c r="AB1081">
        <f>AB1080+IF(X1081="",0,IF(ISNA(MATCH(X1081,X$256:X1080,0)),1,0))</f>
        <v/>
      </c>
      <c r="AC1081">
        <f>IF(AB1081&gt;AB1080,AB1081,"")</f>
        <v/>
      </c>
    </row>
    <row r="1082">
      <c r="W1082" s="7" t="n"/>
      <c r="X1082" s="7" t="n"/>
      <c r="Z1082">
        <f>Z1081+IF(W1082="",0,IF(ISNA(MATCH(W1082,W$256:W1081,0)),1,0))</f>
        <v/>
      </c>
      <c r="AA1082">
        <f>IF(Z1082&gt;Z1081,Z1082,"")</f>
        <v/>
      </c>
      <c r="AB1082">
        <f>AB1081+IF(X1082="",0,IF(ISNA(MATCH(X1082,X$256:X1081,0)),1,0))</f>
        <v/>
      </c>
      <c r="AC1082">
        <f>IF(AB1082&gt;AB1081,AB1082,"")</f>
        <v/>
      </c>
    </row>
    <row r="1083">
      <c r="W1083" s="7" t="n"/>
      <c r="X1083" s="7" t="n"/>
      <c r="Z1083">
        <f>Z1082+IF(W1083="",0,IF(ISNA(MATCH(W1083,W$256:W1082,0)),1,0))</f>
        <v/>
      </c>
      <c r="AA1083">
        <f>IF(Z1083&gt;Z1082,Z1083,"")</f>
        <v/>
      </c>
      <c r="AB1083">
        <f>AB1082+IF(X1083="",0,IF(ISNA(MATCH(X1083,X$256:X1082,0)),1,0))</f>
        <v/>
      </c>
      <c r="AC1083">
        <f>IF(AB1083&gt;AB1082,AB1083,"")</f>
        <v/>
      </c>
    </row>
    <row r="1084">
      <c r="W1084" s="7" t="n"/>
      <c r="X1084" s="7" t="n"/>
      <c r="Z1084">
        <f>Z1083+IF(W1084="",0,IF(ISNA(MATCH(W1084,W$256:W1083,0)),1,0))</f>
        <v/>
      </c>
      <c r="AA1084">
        <f>IF(Z1084&gt;Z1083,Z1084,"")</f>
        <v/>
      </c>
      <c r="AB1084">
        <f>AB1083+IF(X1084="",0,IF(ISNA(MATCH(X1084,X$256:X1083,0)),1,0))</f>
        <v/>
      </c>
      <c r="AC1084">
        <f>IF(AB1084&gt;AB1083,AB1084,"")</f>
        <v/>
      </c>
    </row>
    <row r="1085">
      <c r="W1085" s="7" t="n"/>
      <c r="X1085" s="7" t="n"/>
      <c r="Z1085">
        <f>Z1084+IF(W1085="",0,IF(ISNA(MATCH(W1085,W$256:W1084,0)),1,0))</f>
        <v/>
      </c>
      <c r="AA1085">
        <f>IF(Z1085&gt;Z1084,Z1085,"")</f>
        <v/>
      </c>
      <c r="AB1085">
        <f>AB1084+IF(X1085="",0,IF(ISNA(MATCH(X1085,X$256:X1084,0)),1,0))</f>
        <v/>
      </c>
      <c r="AC1085">
        <f>IF(AB1085&gt;AB1084,AB1085,"")</f>
        <v/>
      </c>
    </row>
    <row r="1086">
      <c r="W1086" s="7" t="n"/>
      <c r="X1086" s="7" t="n"/>
      <c r="Z1086">
        <f>Z1085+IF(W1086="",0,IF(ISNA(MATCH(W1086,W$256:W1085,0)),1,0))</f>
        <v/>
      </c>
      <c r="AA1086">
        <f>IF(Z1086&gt;Z1085,Z1086,"")</f>
        <v/>
      </c>
      <c r="AB1086">
        <f>AB1085+IF(X1086="",0,IF(ISNA(MATCH(X1086,X$256:X1085,0)),1,0))</f>
        <v/>
      </c>
      <c r="AC1086">
        <f>IF(AB1086&gt;AB1085,AB1086,"")</f>
        <v/>
      </c>
    </row>
    <row r="1087">
      <c r="W1087" s="7" t="n"/>
      <c r="X1087" s="7" t="n"/>
      <c r="Z1087">
        <f>Z1086+IF(W1087="",0,IF(ISNA(MATCH(W1087,W$256:W1086,0)),1,0))</f>
        <v/>
      </c>
      <c r="AA1087">
        <f>IF(Z1087&gt;Z1086,Z1087,"")</f>
        <v/>
      </c>
      <c r="AB1087">
        <f>AB1086+IF(X1087="",0,IF(ISNA(MATCH(X1087,X$256:X1086,0)),1,0))</f>
        <v/>
      </c>
      <c r="AC1087">
        <f>IF(AB1087&gt;AB1086,AB1087,"")</f>
        <v/>
      </c>
    </row>
    <row r="1088">
      <c r="W1088" s="7" t="n"/>
      <c r="X1088" s="7" t="n"/>
      <c r="Z1088">
        <f>Z1087+IF(W1088="",0,IF(ISNA(MATCH(W1088,W$256:W1087,0)),1,0))</f>
        <v/>
      </c>
      <c r="AA1088">
        <f>IF(Z1088&gt;Z1087,Z1088,"")</f>
        <v/>
      </c>
      <c r="AB1088">
        <f>AB1087+IF(X1088="",0,IF(ISNA(MATCH(X1088,X$256:X1087,0)),1,0))</f>
        <v/>
      </c>
      <c r="AC1088">
        <f>IF(AB1088&gt;AB1087,AB1088,"")</f>
        <v/>
      </c>
    </row>
    <row r="1089">
      <c r="W1089" s="7" t="n"/>
      <c r="X1089" s="7" t="n"/>
      <c r="Z1089">
        <f>Z1088+IF(W1089="",0,IF(ISNA(MATCH(W1089,W$256:W1088,0)),1,0))</f>
        <v/>
      </c>
      <c r="AA1089">
        <f>IF(Z1089&gt;Z1088,Z1089,"")</f>
        <v/>
      </c>
      <c r="AB1089">
        <f>AB1088+IF(X1089="",0,IF(ISNA(MATCH(X1089,X$256:X1088,0)),1,0))</f>
        <v/>
      </c>
      <c r="AC1089">
        <f>IF(AB1089&gt;AB1088,AB1089,"")</f>
        <v/>
      </c>
    </row>
    <row r="1090">
      <c r="W1090" s="7" t="n"/>
      <c r="X1090" s="7" t="n"/>
      <c r="Z1090">
        <f>Z1089+IF(W1090="",0,IF(ISNA(MATCH(W1090,W$256:W1089,0)),1,0))</f>
        <v/>
      </c>
      <c r="AA1090">
        <f>IF(Z1090&gt;Z1089,Z1090,"")</f>
        <v/>
      </c>
      <c r="AB1090">
        <f>AB1089+IF(X1090="",0,IF(ISNA(MATCH(X1090,X$256:X1089,0)),1,0))</f>
        <v/>
      </c>
      <c r="AC1090">
        <f>IF(AB1090&gt;AB1089,AB1090,"")</f>
        <v/>
      </c>
    </row>
    <row r="1091">
      <c r="W1091" s="7" t="n"/>
      <c r="X1091" s="7" t="n"/>
      <c r="Z1091">
        <f>Z1090+IF(W1091="",0,IF(ISNA(MATCH(W1091,W$256:W1090,0)),1,0))</f>
        <v/>
      </c>
      <c r="AA1091">
        <f>IF(Z1091&gt;Z1090,Z1091,"")</f>
        <v/>
      </c>
      <c r="AB1091">
        <f>AB1090+IF(X1091="",0,IF(ISNA(MATCH(X1091,X$256:X1090,0)),1,0))</f>
        <v/>
      </c>
      <c r="AC1091">
        <f>IF(AB1091&gt;AB1090,AB1091,"")</f>
        <v/>
      </c>
    </row>
    <row r="1092">
      <c r="W1092" s="7" t="n"/>
      <c r="X1092" s="7" t="n"/>
      <c r="Z1092">
        <f>Z1091+IF(W1092="",0,IF(ISNA(MATCH(W1092,W$256:W1091,0)),1,0))</f>
        <v/>
      </c>
      <c r="AA1092">
        <f>IF(Z1092&gt;Z1091,Z1092,"")</f>
        <v/>
      </c>
      <c r="AB1092">
        <f>AB1091+IF(X1092="",0,IF(ISNA(MATCH(X1092,X$256:X1091,0)),1,0))</f>
        <v/>
      </c>
      <c r="AC1092">
        <f>IF(AB1092&gt;AB1091,AB1092,"")</f>
        <v/>
      </c>
    </row>
    <row r="1093">
      <c r="W1093" s="7" t="n"/>
      <c r="X1093" s="7" t="n"/>
      <c r="Z1093">
        <f>Z1092+IF(W1093="",0,IF(ISNA(MATCH(W1093,W$256:W1092,0)),1,0))</f>
        <v/>
      </c>
      <c r="AA1093">
        <f>IF(Z1093&gt;Z1092,Z1093,"")</f>
        <v/>
      </c>
      <c r="AB1093">
        <f>AB1092+IF(X1093="",0,IF(ISNA(MATCH(X1093,X$256:X1092,0)),1,0))</f>
        <v/>
      </c>
      <c r="AC1093">
        <f>IF(AB1093&gt;AB1092,AB1093,"")</f>
        <v/>
      </c>
    </row>
    <row r="1094">
      <c r="W1094" s="7" t="n"/>
      <c r="X1094" s="7" t="n"/>
      <c r="Z1094">
        <f>Z1093+IF(W1094="",0,IF(ISNA(MATCH(W1094,W$256:W1093,0)),1,0))</f>
        <v/>
      </c>
      <c r="AA1094">
        <f>IF(Z1094&gt;Z1093,Z1094,"")</f>
        <v/>
      </c>
      <c r="AB1094">
        <f>AB1093+IF(X1094="",0,IF(ISNA(MATCH(X1094,X$256:X1093,0)),1,0))</f>
        <v/>
      </c>
      <c r="AC1094">
        <f>IF(AB1094&gt;AB1093,AB1094,"")</f>
        <v/>
      </c>
    </row>
    <row r="1095">
      <c r="W1095" s="7" t="n"/>
      <c r="X1095" s="7" t="n"/>
      <c r="Z1095">
        <f>Z1094+IF(W1095="",0,IF(ISNA(MATCH(W1095,W$256:W1094,0)),1,0))</f>
        <v/>
      </c>
      <c r="AA1095">
        <f>IF(Z1095&gt;Z1094,Z1095,"")</f>
        <v/>
      </c>
      <c r="AB1095">
        <f>AB1094+IF(X1095="",0,IF(ISNA(MATCH(X1095,X$256:X1094,0)),1,0))</f>
        <v/>
      </c>
      <c r="AC1095">
        <f>IF(AB1095&gt;AB1094,AB1095,"")</f>
        <v/>
      </c>
    </row>
    <row r="1096">
      <c r="W1096" s="7" t="n"/>
      <c r="X1096" s="7" t="n"/>
      <c r="Z1096">
        <f>Z1095+IF(W1096="",0,IF(ISNA(MATCH(W1096,W$256:W1095,0)),1,0))</f>
        <v/>
      </c>
      <c r="AA1096">
        <f>IF(Z1096&gt;Z1095,Z1096,"")</f>
        <v/>
      </c>
      <c r="AB1096">
        <f>AB1095+IF(X1096="",0,IF(ISNA(MATCH(X1096,X$256:X1095,0)),1,0))</f>
        <v/>
      </c>
      <c r="AC1096">
        <f>IF(AB1096&gt;AB1095,AB1096,"")</f>
        <v/>
      </c>
    </row>
    <row r="1097">
      <c r="W1097" s="7" t="n"/>
      <c r="X1097" s="7" t="n"/>
      <c r="Z1097">
        <f>Z1096+IF(W1097="",0,IF(ISNA(MATCH(W1097,W$256:W1096,0)),1,0))</f>
        <v/>
      </c>
      <c r="AA1097">
        <f>IF(Z1097&gt;Z1096,Z1097,"")</f>
        <v/>
      </c>
      <c r="AB1097">
        <f>AB1096+IF(X1097="",0,IF(ISNA(MATCH(X1097,X$256:X1096,0)),1,0))</f>
        <v/>
      </c>
      <c r="AC1097">
        <f>IF(AB1097&gt;AB1096,AB1097,"")</f>
        <v/>
      </c>
    </row>
    <row r="1098">
      <c r="W1098" s="7" t="n"/>
      <c r="X1098" s="7" t="n"/>
      <c r="Z1098">
        <f>Z1097+IF(W1098="",0,IF(ISNA(MATCH(W1098,W$256:W1097,0)),1,0))</f>
        <v/>
      </c>
      <c r="AA1098">
        <f>IF(Z1098&gt;Z1097,Z1098,"")</f>
        <v/>
      </c>
      <c r="AB1098">
        <f>AB1097+IF(X1098="",0,IF(ISNA(MATCH(X1098,X$256:X1097,0)),1,0))</f>
        <v/>
      </c>
      <c r="AC1098">
        <f>IF(AB1098&gt;AB1097,AB1098,"")</f>
        <v/>
      </c>
    </row>
    <row r="1099">
      <c r="W1099" s="7" t="n"/>
      <c r="X1099" s="7" t="n"/>
      <c r="Z1099">
        <f>Z1098+IF(W1099="",0,IF(ISNA(MATCH(W1099,W$256:W1098,0)),1,0))</f>
        <v/>
      </c>
      <c r="AA1099">
        <f>IF(Z1099&gt;Z1098,Z1099,"")</f>
        <v/>
      </c>
      <c r="AB1099">
        <f>AB1098+IF(X1099="",0,IF(ISNA(MATCH(X1099,X$256:X1098,0)),1,0))</f>
        <v/>
      </c>
      <c r="AC1099">
        <f>IF(AB1099&gt;AB1098,AB1099,"")</f>
        <v/>
      </c>
    </row>
    <row r="1100">
      <c r="W1100" s="7" t="n"/>
      <c r="X1100" s="7" t="n"/>
      <c r="Z1100">
        <f>Z1099+IF(W1100="",0,IF(ISNA(MATCH(W1100,W$256:W1099,0)),1,0))</f>
        <v/>
      </c>
      <c r="AA1100">
        <f>IF(Z1100&gt;Z1099,Z1100,"")</f>
        <v/>
      </c>
      <c r="AB1100">
        <f>AB1099+IF(X1100="",0,IF(ISNA(MATCH(X1100,X$256:X1099,0)),1,0))</f>
        <v/>
      </c>
      <c r="AC1100">
        <f>IF(AB1100&gt;AB1099,AB1100,"")</f>
        <v/>
      </c>
    </row>
    <row r="1101">
      <c r="W1101" s="7" t="n"/>
      <c r="X1101" s="7" t="n"/>
      <c r="Z1101">
        <f>Z1100+IF(W1101="",0,IF(ISNA(MATCH(W1101,W$256:W1100,0)),1,0))</f>
        <v/>
      </c>
      <c r="AA1101">
        <f>IF(Z1101&gt;Z1100,Z1101,"")</f>
        <v/>
      </c>
      <c r="AB1101">
        <f>AB1100+IF(X1101="",0,IF(ISNA(MATCH(X1101,X$256:X1100,0)),1,0))</f>
        <v/>
      </c>
      <c r="AC1101">
        <f>IF(AB1101&gt;AB1100,AB1101,"")</f>
        <v/>
      </c>
    </row>
    <row r="1102">
      <c r="W1102" s="7" t="n"/>
      <c r="X1102" s="7" t="n"/>
      <c r="Z1102">
        <f>Z1101+IF(W1102="",0,IF(ISNA(MATCH(W1102,W$256:W1101,0)),1,0))</f>
        <v/>
      </c>
      <c r="AA1102">
        <f>IF(Z1102&gt;Z1101,Z1102,"")</f>
        <v/>
      </c>
      <c r="AB1102">
        <f>AB1101+IF(X1102="",0,IF(ISNA(MATCH(X1102,X$256:X1101,0)),1,0))</f>
        <v/>
      </c>
      <c r="AC1102">
        <f>IF(AB1102&gt;AB1101,AB1102,"")</f>
        <v/>
      </c>
    </row>
    <row r="1103">
      <c r="W1103" s="7" t="n"/>
      <c r="X1103" s="7" t="n"/>
      <c r="Z1103">
        <f>Z1102+IF(W1103="",0,IF(ISNA(MATCH(W1103,W$256:W1102,0)),1,0))</f>
        <v/>
      </c>
      <c r="AA1103">
        <f>IF(Z1103&gt;Z1102,Z1103,"")</f>
        <v/>
      </c>
      <c r="AB1103">
        <f>AB1102+IF(X1103="",0,IF(ISNA(MATCH(X1103,X$256:X1102,0)),1,0))</f>
        <v/>
      </c>
      <c r="AC1103">
        <f>IF(AB1103&gt;AB1102,AB1103,"")</f>
        <v/>
      </c>
    </row>
    <row r="1104">
      <c r="W1104" s="7" t="n"/>
      <c r="X1104" s="7" t="n"/>
      <c r="Z1104">
        <f>Z1103+IF(W1104="",0,IF(ISNA(MATCH(W1104,W$256:W1103,0)),1,0))</f>
        <v/>
      </c>
      <c r="AA1104">
        <f>IF(Z1104&gt;Z1103,Z1104,"")</f>
        <v/>
      </c>
      <c r="AB1104">
        <f>AB1103+IF(X1104="",0,IF(ISNA(MATCH(X1104,X$256:X1103,0)),1,0))</f>
        <v/>
      </c>
      <c r="AC1104">
        <f>IF(AB1104&gt;AB1103,AB1104,"")</f>
        <v/>
      </c>
    </row>
    <row r="1105">
      <c r="W1105" s="7" t="n"/>
      <c r="X1105" s="7" t="n"/>
      <c r="Z1105">
        <f>Z1104+IF(W1105="",0,IF(ISNA(MATCH(W1105,W$256:W1104,0)),1,0))</f>
        <v/>
      </c>
      <c r="AA1105">
        <f>IF(Z1105&gt;Z1104,Z1105,"")</f>
        <v/>
      </c>
      <c r="AB1105">
        <f>AB1104+IF(X1105="",0,IF(ISNA(MATCH(X1105,X$256:X1104,0)),1,0))</f>
        <v/>
      </c>
      <c r="AC1105">
        <f>IF(AB1105&gt;AB1104,AB1105,"")</f>
        <v/>
      </c>
    </row>
    <row r="1106">
      <c r="W1106" s="7" t="n"/>
      <c r="X1106" s="7" t="n"/>
      <c r="Z1106">
        <f>Z1105+IF(W1106="",0,IF(ISNA(MATCH(W1106,W$256:W1105,0)),1,0))</f>
        <v/>
      </c>
      <c r="AA1106">
        <f>IF(Z1106&gt;Z1105,Z1106,"")</f>
        <v/>
      </c>
      <c r="AB1106">
        <f>AB1105+IF(X1106="",0,IF(ISNA(MATCH(X1106,X$256:X1105,0)),1,0))</f>
        <v/>
      </c>
      <c r="AC1106">
        <f>IF(AB1106&gt;AB1105,AB1106,"")</f>
        <v/>
      </c>
    </row>
    <row r="1107">
      <c r="W1107" s="7" t="n"/>
      <c r="X1107" s="7" t="n"/>
      <c r="Z1107">
        <f>Z1106+IF(W1107="",0,IF(ISNA(MATCH(W1107,W$256:W1106,0)),1,0))</f>
        <v/>
      </c>
      <c r="AA1107">
        <f>IF(Z1107&gt;Z1106,Z1107,"")</f>
        <v/>
      </c>
      <c r="AB1107">
        <f>AB1106+IF(X1107="",0,IF(ISNA(MATCH(X1107,X$256:X1106,0)),1,0))</f>
        <v/>
      </c>
      <c r="AC1107">
        <f>IF(AB1107&gt;AB1106,AB1107,"")</f>
        <v/>
      </c>
    </row>
    <row r="1108">
      <c r="W1108" s="7" t="n"/>
      <c r="X1108" s="7" t="n"/>
      <c r="Z1108">
        <f>Z1107+IF(W1108="",0,IF(ISNA(MATCH(W1108,W$256:W1107,0)),1,0))</f>
        <v/>
      </c>
      <c r="AA1108">
        <f>IF(Z1108&gt;Z1107,Z1108,"")</f>
        <v/>
      </c>
      <c r="AB1108">
        <f>AB1107+IF(X1108="",0,IF(ISNA(MATCH(X1108,X$256:X1107,0)),1,0))</f>
        <v/>
      </c>
      <c r="AC1108">
        <f>IF(AB1108&gt;AB1107,AB1108,"")</f>
        <v/>
      </c>
    </row>
    <row r="1109">
      <c r="W1109" s="7" t="n"/>
      <c r="X1109" s="7" t="n"/>
      <c r="Z1109">
        <f>Z1108+IF(W1109="",0,IF(ISNA(MATCH(W1109,W$256:W1108,0)),1,0))</f>
        <v/>
      </c>
      <c r="AA1109">
        <f>IF(Z1109&gt;Z1108,Z1109,"")</f>
        <v/>
      </c>
      <c r="AB1109">
        <f>AB1108+IF(X1109="",0,IF(ISNA(MATCH(X1109,X$256:X1108,0)),1,0))</f>
        <v/>
      </c>
      <c r="AC1109">
        <f>IF(AB1109&gt;AB1108,AB1109,"")</f>
        <v/>
      </c>
    </row>
    <row r="1110">
      <c r="W1110" s="7" t="n"/>
      <c r="X1110" s="7" t="n"/>
      <c r="Z1110">
        <f>Z1109+IF(W1110="",0,IF(ISNA(MATCH(W1110,W$256:W1109,0)),1,0))</f>
        <v/>
      </c>
      <c r="AA1110">
        <f>IF(Z1110&gt;Z1109,Z1110,"")</f>
        <v/>
      </c>
      <c r="AB1110">
        <f>AB1109+IF(X1110="",0,IF(ISNA(MATCH(X1110,X$256:X1109,0)),1,0))</f>
        <v/>
      </c>
      <c r="AC1110">
        <f>IF(AB1110&gt;AB1109,AB1110,"")</f>
        <v/>
      </c>
    </row>
    <row r="1111">
      <c r="W1111" s="7" t="n"/>
      <c r="X1111" s="7" t="n"/>
      <c r="Z1111">
        <f>Z1110+IF(W1111="",0,IF(ISNA(MATCH(W1111,W$256:W1110,0)),1,0))</f>
        <v/>
      </c>
      <c r="AA1111">
        <f>IF(Z1111&gt;Z1110,Z1111,"")</f>
        <v/>
      </c>
      <c r="AB1111">
        <f>AB1110+IF(X1111="",0,IF(ISNA(MATCH(X1111,X$256:X1110,0)),1,0))</f>
        <v/>
      </c>
      <c r="AC1111">
        <f>IF(AB1111&gt;AB1110,AB1111,"")</f>
        <v/>
      </c>
    </row>
    <row r="1112">
      <c r="W1112" s="7" t="n"/>
      <c r="X1112" s="7" t="n"/>
      <c r="Z1112">
        <f>Z1111+IF(W1112="",0,IF(ISNA(MATCH(W1112,W$256:W1111,0)),1,0))</f>
        <v/>
      </c>
      <c r="AA1112">
        <f>IF(Z1112&gt;Z1111,Z1112,"")</f>
        <v/>
      </c>
      <c r="AB1112">
        <f>AB1111+IF(X1112="",0,IF(ISNA(MATCH(X1112,X$256:X1111,0)),1,0))</f>
        <v/>
      </c>
      <c r="AC1112">
        <f>IF(AB1112&gt;AB1111,AB1112,"")</f>
        <v/>
      </c>
    </row>
    <row r="1113">
      <c r="W1113" s="7" t="n"/>
      <c r="X1113" s="7" t="n"/>
      <c r="Z1113">
        <f>Z1112+IF(W1113="",0,IF(ISNA(MATCH(W1113,W$256:W1112,0)),1,0))</f>
        <v/>
      </c>
      <c r="AA1113">
        <f>IF(Z1113&gt;Z1112,Z1113,"")</f>
        <v/>
      </c>
      <c r="AB1113">
        <f>AB1112+IF(X1113="",0,IF(ISNA(MATCH(X1113,X$256:X1112,0)),1,0))</f>
        <v/>
      </c>
      <c r="AC1113">
        <f>IF(AB1113&gt;AB1112,AB1113,"")</f>
        <v/>
      </c>
    </row>
    <row r="1114">
      <c r="W1114" s="7" t="n"/>
      <c r="X1114" s="7" t="n"/>
      <c r="Z1114">
        <f>Z1113+IF(W1114="",0,IF(ISNA(MATCH(W1114,W$256:W1113,0)),1,0))</f>
        <v/>
      </c>
      <c r="AA1114">
        <f>IF(Z1114&gt;Z1113,Z1114,"")</f>
        <v/>
      </c>
      <c r="AB1114">
        <f>AB1113+IF(X1114="",0,IF(ISNA(MATCH(X1114,X$256:X1113,0)),1,0))</f>
        <v/>
      </c>
      <c r="AC1114">
        <f>IF(AB1114&gt;AB1113,AB1114,"")</f>
        <v/>
      </c>
    </row>
    <row r="1115">
      <c r="W1115" s="7" t="n"/>
      <c r="X1115" s="7" t="n"/>
      <c r="Z1115">
        <f>Z1114+IF(W1115="",0,IF(ISNA(MATCH(W1115,W$256:W1114,0)),1,0))</f>
        <v/>
      </c>
      <c r="AA1115">
        <f>IF(Z1115&gt;Z1114,Z1115,"")</f>
        <v/>
      </c>
      <c r="AB1115">
        <f>AB1114+IF(X1115="",0,IF(ISNA(MATCH(X1115,X$256:X1114,0)),1,0))</f>
        <v/>
      </c>
      <c r="AC1115">
        <f>IF(AB1115&gt;AB1114,AB1115,"")</f>
        <v/>
      </c>
    </row>
    <row r="1116">
      <c r="W1116" s="7" t="n"/>
      <c r="X1116" s="7" t="n"/>
      <c r="Z1116">
        <f>Z1115+IF(W1116="",0,IF(ISNA(MATCH(W1116,W$256:W1115,0)),1,0))</f>
        <v/>
      </c>
      <c r="AA1116">
        <f>IF(Z1116&gt;Z1115,Z1116,"")</f>
        <v/>
      </c>
      <c r="AB1116">
        <f>AB1115+IF(X1116="",0,IF(ISNA(MATCH(X1116,X$256:X1115,0)),1,0))</f>
        <v/>
      </c>
      <c r="AC1116">
        <f>IF(AB1116&gt;AB1115,AB1116,"")</f>
        <v/>
      </c>
    </row>
    <row r="1117">
      <c r="W1117" s="7" t="n"/>
      <c r="X1117" s="7" t="n"/>
      <c r="Z1117">
        <f>Z1116+IF(W1117="",0,IF(ISNA(MATCH(W1117,W$256:W1116,0)),1,0))</f>
        <v/>
      </c>
      <c r="AA1117">
        <f>IF(Z1117&gt;Z1116,Z1117,"")</f>
        <v/>
      </c>
      <c r="AB1117">
        <f>AB1116+IF(X1117="",0,IF(ISNA(MATCH(X1117,X$256:X1116,0)),1,0))</f>
        <v/>
      </c>
      <c r="AC1117">
        <f>IF(AB1117&gt;AB1116,AB1117,"")</f>
        <v/>
      </c>
    </row>
    <row r="1118">
      <c r="W1118" s="7" t="n"/>
      <c r="X1118" s="7" t="n"/>
      <c r="Z1118">
        <f>Z1117+IF(W1118="",0,IF(ISNA(MATCH(W1118,W$256:W1117,0)),1,0))</f>
        <v/>
      </c>
      <c r="AA1118">
        <f>IF(Z1118&gt;Z1117,Z1118,"")</f>
        <v/>
      </c>
      <c r="AB1118">
        <f>AB1117+IF(X1118="",0,IF(ISNA(MATCH(X1118,X$256:X1117,0)),1,0))</f>
        <v/>
      </c>
      <c r="AC1118">
        <f>IF(AB1118&gt;AB1117,AB1118,"")</f>
        <v/>
      </c>
    </row>
    <row r="1119">
      <c r="W1119" s="7" t="n"/>
      <c r="X1119" s="7" t="n"/>
      <c r="Z1119">
        <f>Z1118+IF(W1119="",0,IF(ISNA(MATCH(W1119,W$256:W1118,0)),1,0))</f>
        <v/>
      </c>
      <c r="AA1119">
        <f>IF(Z1119&gt;Z1118,Z1119,"")</f>
        <v/>
      </c>
      <c r="AB1119">
        <f>AB1118+IF(X1119="",0,IF(ISNA(MATCH(X1119,X$256:X1118,0)),1,0))</f>
        <v/>
      </c>
      <c r="AC1119">
        <f>IF(AB1119&gt;AB1118,AB1119,"")</f>
        <v/>
      </c>
    </row>
    <row r="1120">
      <c r="W1120" s="7" t="n"/>
      <c r="X1120" s="7" t="n"/>
      <c r="Z1120">
        <f>Z1119+IF(W1120="",0,IF(ISNA(MATCH(W1120,W$256:W1119,0)),1,0))</f>
        <v/>
      </c>
      <c r="AA1120">
        <f>IF(Z1120&gt;Z1119,Z1120,"")</f>
        <v/>
      </c>
      <c r="AB1120">
        <f>AB1119+IF(X1120="",0,IF(ISNA(MATCH(X1120,X$256:X1119,0)),1,0))</f>
        <v/>
      </c>
      <c r="AC1120">
        <f>IF(AB1120&gt;AB1119,AB1120,"")</f>
        <v/>
      </c>
    </row>
    <row r="1121">
      <c r="W1121" s="7" t="n"/>
      <c r="X1121" s="7" t="n"/>
      <c r="Z1121">
        <f>Z1120+IF(W1121="",0,IF(ISNA(MATCH(W1121,W$256:W1120,0)),1,0))</f>
        <v/>
      </c>
      <c r="AA1121">
        <f>IF(Z1121&gt;Z1120,Z1121,"")</f>
        <v/>
      </c>
      <c r="AB1121">
        <f>AB1120+IF(X1121="",0,IF(ISNA(MATCH(X1121,X$256:X1120,0)),1,0))</f>
        <v/>
      </c>
      <c r="AC1121">
        <f>IF(AB1121&gt;AB1120,AB1121,"")</f>
        <v/>
      </c>
    </row>
    <row r="1122">
      <c r="W1122" s="7" t="n"/>
      <c r="X1122" s="7" t="n"/>
      <c r="Z1122">
        <f>Z1121+IF(W1122="",0,IF(ISNA(MATCH(W1122,W$256:W1121,0)),1,0))</f>
        <v/>
      </c>
      <c r="AA1122">
        <f>IF(Z1122&gt;Z1121,Z1122,"")</f>
        <v/>
      </c>
      <c r="AB1122">
        <f>AB1121+IF(X1122="",0,IF(ISNA(MATCH(X1122,X$256:X1121,0)),1,0))</f>
        <v/>
      </c>
      <c r="AC1122">
        <f>IF(AB1122&gt;AB1121,AB1122,"")</f>
        <v/>
      </c>
    </row>
    <row r="1123">
      <c r="W1123" s="7" t="n"/>
      <c r="X1123" s="7" t="n"/>
      <c r="Z1123">
        <f>Z1122+IF(W1123="",0,IF(ISNA(MATCH(W1123,W$256:W1122,0)),1,0))</f>
        <v/>
      </c>
      <c r="AA1123">
        <f>IF(Z1123&gt;Z1122,Z1123,"")</f>
        <v/>
      </c>
      <c r="AB1123">
        <f>AB1122+IF(X1123="",0,IF(ISNA(MATCH(X1123,X$256:X1122,0)),1,0))</f>
        <v/>
      </c>
      <c r="AC1123">
        <f>IF(AB1123&gt;AB1122,AB1123,"")</f>
        <v/>
      </c>
    </row>
    <row r="1124">
      <c r="W1124" s="7" t="n"/>
      <c r="X1124" s="7" t="n"/>
      <c r="Z1124">
        <f>Z1123+IF(W1124="",0,IF(ISNA(MATCH(W1124,W$256:W1123,0)),1,0))</f>
        <v/>
      </c>
      <c r="AA1124">
        <f>IF(Z1124&gt;Z1123,Z1124,"")</f>
        <v/>
      </c>
      <c r="AB1124">
        <f>AB1123+IF(X1124="",0,IF(ISNA(MATCH(X1124,X$256:X1123,0)),1,0))</f>
        <v/>
      </c>
      <c r="AC1124">
        <f>IF(AB1124&gt;AB1123,AB1124,"")</f>
        <v/>
      </c>
    </row>
    <row r="1125">
      <c r="W1125" s="7" t="n"/>
      <c r="X1125" s="7" t="n"/>
      <c r="Z1125">
        <f>Z1124+IF(W1125="",0,IF(ISNA(MATCH(W1125,W$256:W1124,0)),1,0))</f>
        <v/>
      </c>
      <c r="AA1125">
        <f>IF(Z1125&gt;Z1124,Z1125,"")</f>
        <v/>
      </c>
      <c r="AB1125">
        <f>AB1124+IF(X1125="",0,IF(ISNA(MATCH(X1125,X$256:X1124,0)),1,0))</f>
        <v/>
      </c>
      <c r="AC1125">
        <f>IF(AB1125&gt;AB1124,AB1125,"")</f>
        <v/>
      </c>
    </row>
    <row r="1126">
      <c r="W1126" s="7" t="n"/>
      <c r="X1126" s="7" t="n"/>
      <c r="Z1126">
        <f>Z1125+IF(W1126="",0,IF(ISNA(MATCH(W1126,W$256:W1125,0)),1,0))</f>
        <v/>
      </c>
      <c r="AA1126">
        <f>IF(Z1126&gt;Z1125,Z1126,"")</f>
        <v/>
      </c>
      <c r="AB1126">
        <f>AB1125+IF(X1126="",0,IF(ISNA(MATCH(X1126,X$256:X1125,0)),1,0))</f>
        <v/>
      </c>
      <c r="AC1126">
        <f>IF(AB1126&gt;AB1125,AB1126,"")</f>
        <v/>
      </c>
    </row>
    <row r="1127">
      <c r="W1127" s="7" t="n"/>
      <c r="X1127" s="7" t="n"/>
      <c r="Z1127">
        <f>Z1126+IF(W1127="",0,IF(ISNA(MATCH(W1127,W$256:W1126,0)),1,0))</f>
        <v/>
      </c>
      <c r="AA1127">
        <f>IF(Z1127&gt;Z1126,Z1127,"")</f>
        <v/>
      </c>
      <c r="AB1127">
        <f>AB1126+IF(X1127="",0,IF(ISNA(MATCH(X1127,X$256:X1126,0)),1,0))</f>
        <v/>
      </c>
      <c r="AC1127">
        <f>IF(AB1127&gt;AB1126,AB1127,"")</f>
        <v/>
      </c>
    </row>
    <row r="1128">
      <c r="W1128" s="7" t="n"/>
      <c r="X1128" s="7" t="n"/>
      <c r="Z1128">
        <f>Z1127+IF(W1128="",0,IF(ISNA(MATCH(W1128,W$256:W1127,0)),1,0))</f>
        <v/>
      </c>
      <c r="AA1128">
        <f>IF(Z1128&gt;Z1127,Z1128,"")</f>
        <v/>
      </c>
      <c r="AB1128">
        <f>AB1127+IF(X1128="",0,IF(ISNA(MATCH(X1128,X$256:X1127,0)),1,0))</f>
        <v/>
      </c>
      <c r="AC1128">
        <f>IF(AB1128&gt;AB1127,AB1128,"")</f>
        <v/>
      </c>
    </row>
    <row r="1129">
      <c r="W1129" s="7" t="n"/>
      <c r="X1129" s="7" t="n"/>
      <c r="Z1129">
        <f>Z1128+IF(W1129="",0,IF(ISNA(MATCH(W1129,W$256:W1128,0)),1,0))</f>
        <v/>
      </c>
      <c r="AA1129">
        <f>IF(Z1129&gt;Z1128,Z1129,"")</f>
        <v/>
      </c>
      <c r="AB1129">
        <f>AB1128+IF(X1129="",0,IF(ISNA(MATCH(X1129,X$256:X1128,0)),1,0))</f>
        <v/>
      </c>
      <c r="AC1129">
        <f>IF(AB1129&gt;AB1128,AB1129,"")</f>
        <v/>
      </c>
    </row>
    <row r="1130">
      <c r="W1130" s="7" t="n"/>
      <c r="X1130" s="7" t="n"/>
      <c r="Z1130">
        <f>Z1129+IF(W1130="",0,IF(ISNA(MATCH(W1130,W$256:W1129,0)),1,0))</f>
        <v/>
      </c>
      <c r="AA1130">
        <f>IF(Z1130&gt;Z1129,Z1130,"")</f>
        <v/>
      </c>
      <c r="AB1130">
        <f>AB1129+IF(X1130="",0,IF(ISNA(MATCH(X1130,X$256:X1129,0)),1,0))</f>
        <v/>
      </c>
      <c r="AC1130">
        <f>IF(AB1130&gt;AB1129,AB1130,"")</f>
        <v/>
      </c>
    </row>
    <row r="1131">
      <c r="W1131" s="7" t="n"/>
      <c r="X1131" s="7" t="n"/>
      <c r="Z1131">
        <f>Z1130+IF(W1131="",0,IF(ISNA(MATCH(W1131,W$256:W1130,0)),1,0))</f>
        <v/>
      </c>
      <c r="AA1131">
        <f>IF(Z1131&gt;Z1130,Z1131,"")</f>
        <v/>
      </c>
      <c r="AB1131">
        <f>AB1130+IF(X1131="",0,IF(ISNA(MATCH(X1131,X$256:X1130,0)),1,0))</f>
        <v/>
      </c>
      <c r="AC1131">
        <f>IF(AB1131&gt;AB1130,AB1131,"")</f>
        <v/>
      </c>
    </row>
    <row r="1132">
      <c r="W1132" s="7" t="n"/>
      <c r="X1132" s="7" t="n"/>
      <c r="Z1132">
        <f>Z1131+IF(W1132="",0,IF(ISNA(MATCH(W1132,W$256:W1131,0)),1,0))</f>
        <v/>
      </c>
      <c r="AA1132">
        <f>IF(Z1132&gt;Z1131,Z1132,"")</f>
        <v/>
      </c>
      <c r="AB1132">
        <f>AB1131+IF(X1132="",0,IF(ISNA(MATCH(X1132,X$256:X1131,0)),1,0))</f>
        <v/>
      </c>
      <c r="AC1132">
        <f>IF(AB1132&gt;AB1131,AB1132,"")</f>
        <v/>
      </c>
    </row>
    <row r="1133">
      <c r="W1133" s="7" t="n"/>
      <c r="X1133" s="7" t="n"/>
      <c r="Z1133">
        <f>Z1132+IF(W1133="",0,IF(ISNA(MATCH(W1133,W$256:W1132,0)),1,0))</f>
        <v/>
      </c>
      <c r="AA1133">
        <f>IF(Z1133&gt;Z1132,Z1133,"")</f>
        <v/>
      </c>
      <c r="AB1133">
        <f>AB1132+IF(X1133="",0,IF(ISNA(MATCH(X1133,X$256:X1132,0)),1,0))</f>
        <v/>
      </c>
      <c r="AC1133">
        <f>IF(AB1133&gt;AB1132,AB1133,"")</f>
        <v/>
      </c>
    </row>
    <row r="1134">
      <c r="W1134" s="7" t="n"/>
      <c r="X1134" s="7" t="n"/>
      <c r="Z1134">
        <f>Z1133+IF(W1134="",0,IF(ISNA(MATCH(W1134,W$256:W1133,0)),1,0))</f>
        <v/>
      </c>
      <c r="AA1134">
        <f>IF(Z1134&gt;Z1133,Z1134,"")</f>
        <v/>
      </c>
      <c r="AB1134">
        <f>AB1133+IF(X1134="",0,IF(ISNA(MATCH(X1134,X$256:X1133,0)),1,0))</f>
        <v/>
      </c>
      <c r="AC1134">
        <f>IF(AB1134&gt;AB1133,AB1134,"")</f>
        <v/>
      </c>
    </row>
    <row r="1135">
      <c r="W1135" s="7" t="n"/>
      <c r="X1135" s="7" t="n"/>
      <c r="Z1135">
        <f>Z1134+IF(W1135="",0,IF(ISNA(MATCH(W1135,W$256:W1134,0)),1,0))</f>
        <v/>
      </c>
      <c r="AA1135">
        <f>IF(Z1135&gt;Z1134,Z1135,"")</f>
        <v/>
      </c>
      <c r="AB1135">
        <f>AB1134+IF(X1135="",0,IF(ISNA(MATCH(X1135,X$256:X1134,0)),1,0))</f>
        <v/>
      </c>
      <c r="AC1135">
        <f>IF(AB1135&gt;AB1134,AB1135,"")</f>
        <v/>
      </c>
    </row>
    <row r="1136">
      <c r="W1136" s="7" t="n"/>
      <c r="X1136" s="7" t="n"/>
      <c r="Z1136">
        <f>Z1135+IF(W1136="",0,IF(ISNA(MATCH(W1136,W$256:W1135,0)),1,0))</f>
        <v/>
      </c>
      <c r="AA1136">
        <f>IF(Z1136&gt;Z1135,Z1136,"")</f>
        <v/>
      </c>
      <c r="AB1136">
        <f>AB1135+IF(X1136="",0,IF(ISNA(MATCH(X1136,X$256:X1135,0)),1,0))</f>
        <v/>
      </c>
      <c r="AC1136">
        <f>IF(AB1136&gt;AB1135,AB1136,"")</f>
        <v/>
      </c>
    </row>
    <row r="1137">
      <c r="W1137" s="7" t="n"/>
      <c r="X1137" s="7" t="n"/>
      <c r="Z1137">
        <f>Z1136+IF(W1137="",0,IF(ISNA(MATCH(W1137,W$256:W1136,0)),1,0))</f>
        <v/>
      </c>
      <c r="AA1137">
        <f>IF(Z1137&gt;Z1136,Z1137,"")</f>
        <v/>
      </c>
      <c r="AB1137">
        <f>AB1136+IF(X1137="",0,IF(ISNA(MATCH(X1137,X$256:X1136,0)),1,0))</f>
        <v/>
      </c>
      <c r="AC1137">
        <f>IF(AB1137&gt;AB1136,AB1137,"")</f>
        <v/>
      </c>
    </row>
    <row r="1138">
      <c r="W1138" s="7" t="n"/>
      <c r="X1138" s="7" t="n"/>
      <c r="Z1138">
        <f>Z1137+IF(W1138="",0,IF(ISNA(MATCH(W1138,W$256:W1137,0)),1,0))</f>
        <v/>
      </c>
      <c r="AA1138">
        <f>IF(Z1138&gt;Z1137,Z1138,"")</f>
        <v/>
      </c>
      <c r="AB1138">
        <f>AB1137+IF(X1138="",0,IF(ISNA(MATCH(X1138,X$256:X1137,0)),1,0))</f>
        <v/>
      </c>
      <c r="AC1138">
        <f>IF(AB1138&gt;AB1137,AB1138,"")</f>
        <v/>
      </c>
    </row>
    <row r="1139">
      <c r="W1139" s="7" t="n"/>
      <c r="X1139" s="7" t="n"/>
      <c r="Z1139">
        <f>Z1138+IF(W1139="",0,IF(ISNA(MATCH(W1139,W$256:W1138,0)),1,0))</f>
        <v/>
      </c>
      <c r="AA1139">
        <f>IF(Z1139&gt;Z1138,Z1139,"")</f>
        <v/>
      </c>
      <c r="AB1139">
        <f>AB1138+IF(X1139="",0,IF(ISNA(MATCH(X1139,X$256:X1138,0)),1,0))</f>
        <v/>
      </c>
      <c r="AC1139">
        <f>IF(AB1139&gt;AB1138,AB1139,"")</f>
        <v/>
      </c>
    </row>
    <row r="1140">
      <c r="W1140" s="7" t="n"/>
      <c r="X1140" s="7" t="n"/>
      <c r="Z1140">
        <f>Z1139+IF(W1140="",0,IF(ISNA(MATCH(W1140,W$256:W1139,0)),1,0))</f>
        <v/>
      </c>
      <c r="AA1140">
        <f>IF(Z1140&gt;Z1139,Z1140,"")</f>
        <v/>
      </c>
      <c r="AB1140">
        <f>AB1139+IF(X1140="",0,IF(ISNA(MATCH(X1140,X$256:X1139,0)),1,0))</f>
        <v/>
      </c>
      <c r="AC1140">
        <f>IF(AB1140&gt;AB1139,AB1140,"")</f>
        <v/>
      </c>
    </row>
    <row r="1141">
      <c r="W1141" s="7" t="n"/>
      <c r="X1141" s="7" t="n"/>
      <c r="Z1141">
        <f>Z1140+IF(W1141="",0,IF(ISNA(MATCH(W1141,W$256:W1140,0)),1,0))</f>
        <v/>
      </c>
      <c r="AA1141">
        <f>IF(Z1141&gt;Z1140,Z1141,"")</f>
        <v/>
      </c>
      <c r="AB1141">
        <f>AB1140+IF(X1141="",0,IF(ISNA(MATCH(X1141,X$256:X1140,0)),1,0))</f>
        <v/>
      </c>
      <c r="AC1141">
        <f>IF(AB1141&gt;AB1140,AB1141,"")</f>
        <v/>
      </c>
    </row>
    <row r="1142">
      <c r="W1142" s="7" t="n"/>
      <c r="X1142" s="7" t="n"/>
      <c r="Z1142">
        <f>Z1141+IF(W1142="",0,IF(ISNA(MATCH(W1142,W$256:W1141,0)),1,0))</f>
        <v/>
      </c>
      <c r="AA1142">
        <f>IF(Z1142&gt;Z1141,Z1142,"")</f>
        <v/>
      </c>
      <c r="AB1142">
        <f>AB1141+IF(X1142="",0,IF(ISNA(MATCH(X1142,X$256:X1141,0)),1,0))</f>
        <v/>
      </c>
      <c r="AC1142">
        <f>IF(AB1142&gt;AB1141,AB1142,"")</f>
        <v/>
      </c>
    </row>
    <row r="1143">
      <c r="W1143" s="7" t="n"/>
      <c r="X1143" s="7" t="n"/>
      <c r="Z1143">
        <f>Z1142+IF(W1143="",0,IF(ISNA(MATCH(W1143,W$256:W1142,0)),1,0))</f>
        <v/>
      </c>
      <c r="AA1143">
        <f>IF(Z1143&gt;Z1142,Z1143,"")</f>
        <v/>
      </c>
      <c r="AB1143">
        <f>AB1142+IF(X1143="",0,IF(ISNA(MATCH(X1143,X$256:X1142,0)),1,0))</f>
        <v/>
      </c>
      <c r="AC1143">
        <f>IF(AB1143&gt;AB1142,AB1143,"")</f>
        <v/>
      </c>
    </row>
    <row r="1144">
      <c r="W1144" s="7" t="n"/>
      <c r="X1144" s="7" t="n"/>
      <c r="Z1144">
        <f>Z1143+IF(W1144="",0,IF(ISNA(MATCH(W1144,W$256:W1143,0)),1,0))</f>
        <v/>
      </c>
      <c r="AA1144">
        <f>IF(Z1144&gt;Z1143,Z1144,"")</f>
        <v/>
      </c>
      <c r="AB1144">
        <f>AB1143+IF(X1144="",0,IF(ISNA(MATCH(X1144,X$256:X1143,0)),1,0))</f>
        <v/>
      </c>
      <c r="AC1144">
        <f>IF(AB1144&gt;AB1143,AB1144,"")</f>
        <v/>
      </c>
    </row>
    <row r="1145">
      <c r="W1145" s="7" t="n"/>
      <c r="X1145" s="7" t="n"/>
      <c r="Z1145">
        <f>Z1144+IF(W1145="",0,IF(ISNA(MATCH(W1145,W$256:W1144,0)),1,0))</f>
        <v/>
      </c>
      <c r="AA1145">
        <f>IF(Z1145&gt;Z1144,Z1145,"")</f>
        <v/>
      </c>
      <c r="AB1145">
        <f>AB1144+IF(X1145="",0,IF(ISNA(MATCH(X1145,X$256:X1144,0)),1,0))</f>
        <v/>
      </c>
      <c r="AC1145">
        <f>IF(AB1145&gt;AB1144,AB1145,"")</f>
        <v/>
      </c>
    </row>
    <row r="1146">
      <c r="W1146" s="7" t="n"/>
      <c r="X1146" s="7" t="n"/>
      <c r="Z1146">
        <f>Z1145+IF(W1146="",0,IF(ISNA(MATCH(W1146,W$256:W1145,0)),1,0))</f>
        <v/>
      </c>
      <c r="AA1146">
        <f>IF(Z1146&gt;Z1145,Z1146,"")</f>
        <v/>
      </c>
      <c r="AB1146">
        <f>AB1145+IF(X1146="",0,IF(ISNA(MATCH(X1146,X$256:X1145,0)),1,0))</f>
        <v/>
      </c>
      <c r="AC1146">
        <f>IF(AB1146&gt;AB1145,AB1146,"")</f>
        <v/>
      </c>
    </row>
    <row r="1147">
      <c r="W1147" s="7" t="n"/>
      <c r="X1147" s="7" t="n"/>
      <c r="Z1147">
        <f>Z1146+IF(W1147="",0,IF(ISNA(MATCH(W1147,W$256:W1146,0)),1,0))</f>
        <v/>
      </c>
      <c r="AA1147">
        <f>IF(Z1147&gt;Z1146,Z1147,"")</f>
        <v/>
      </c>
      <c r="AB1147">
        <f>AB1146+IF(X1147="",0,IF(ISNA(MATCH(X1147,X$256:X1146,0)),1,0))</f>
        <v/>
      </c>
      <c r="AC1147">
        <f>IF(AB1147&gt;AB1146,AB1147,"")</f>
        <v/>
      </c>
    </row>
    <row r="1148">
      <c r="W1148" s="7" t="n"/>
      <c r="X1148" s="7" t="n"/>
      <c r="Z1148">
        <f>Z1147+IF(W1148="",0,IF(ISNA(MATCH(W1148,W$256:W1147,0)),1,0))</f>
        <v/>
      </c>
      <c r="AA1148">
        <f>IF(Z1148&gt;Z1147,Z1148,"")</f>
        <v/>
      </c>
      <c r="AB1148">
        <f>AB1147+IF(X1148="",0,IF(ISNA(MATCH(X1148,X$256:X1147,0)),1,0))</f>
        <v/>
      </c>
      <c r="AC1148">
        <f>IF(AB1148&gt;AB1147,AB1148,"")</f>
        <v/>
      </c>
    </row>
    <row r="1149">
      <c r="W1149" s="7" t="n"/>
      <c r="X1149" s="7" t="n"/>
      <c r="Z1149">
        <f>Z1148+IF(W1149="",0,IF(ISNA(MATCH(W1149,W$256:W1148,0)),1,0))</f>
        <v/>
      </c>
      <c r="AA1149">
        <f>IF(Z1149&gt;Z1148,Z1149,"")</f>
        <v/>
      </c>
      <c r="AB1149">
        <f>AB1148+IF(X1149="",0,IF(ISNA(MATCH(X1149,X$256:X1148,0)),1,0))</f>
        <v/>
      </c>
      <c r="AC1149">
        <f>IF(AB1149&gt;AB1148,AB1149,"")</f>
        <v/>
      </c>
    </row>
    <row r="1150">
      <c r="W1150" s="7" t="n"/>
      <c r="X1150" s="7" t="n"/>
      <c r="Z1150">
        <f>Z1149+IF(W1150="",0,IF(ISNA(MATCH(W1150,W$256:W1149,0)),1,0))</f>
        <v/>
      </c>
      <c r="AA1150">
        <f>IF(Z1150&gt;Z1149,Z1150,"")</f>
        <v/>
      </c>
      <c r="AB1150">
        <f>AB1149+IF(X1150="",0,IF(ISNA(MATCH(X1150,X$256:X1149,0)),1,0))</f>
        <v/>
      </c>
      <c r="AC1150">
        <f>IF(AB1150&gt;AB1149,AB1150,"")</f>
        <v/>
      </c>
    </row>
    <row r="1151">
      <c r="W1151" s="7" t="n"/>
      <c r="X1151" s="7" t="n"/>
      <c r="Z1151">
        <f>Z1150+IF(W1151="",0,IF(ISNA(MATCH(W1151,W$256:W1150,0)),1,0))</f>
        <v/>
      </c>
      <c r="AA1151">
        <f>IF(Z1151&gt;Z1150,Z1151,"")</f>
        <v/>
      </c>
      <c r="AB1151">
        <f>AB1150+IF(X1151="",0,IF(ISNA(MATCH(X1151,X$256:X1150,0)),1,0))</f>
        <v/>
      </c>
      <c r="AC1151">
        <f>IF(AB1151&gt;AB1150,AB1151,"")</f>
        <v/>
      </c>
    </row>
    <row r="1152">
      <c r="W1152" s="7" t="n"/>
      <c r="X1152" s="7" t="n"/>
      <c r="Z1152">
        <f>Z1151+IF(W1152="",0,IF(ISNA(MATCH(W1152,W$256:W1151,0)),1,0))</f>
        <v/>
      </c>
      <c r="AA1152">
        <f>IF(Z1152&gt;Z1151,Z1152,"")</f>
        <v/>
      </c>
      <c r="AB1152">
        <f>AB1151+IF(X1152="",0,IF(ISNA(MATCH(X1152,X$256:X1151,0)),1,0))</f>
        <v/>
      </c>
      <c r="AC1152">
        <f>IF(AB1152&gt;AB1151,AB1152,"")</f>
        <v/>
      </c>
    </row>
    <row r="1153">
      <c r="W1153" s="7" t="n"/>
      <c r="X1153" s="7" t="n"/>
      <c r="Z1153">
        <f>Z1152+IF(W1153="",0,IF(ISNA(MATCH(W1153,W$256:W1152,0)),1,0))</f>
        <v/>
      </c>
      <c r="AA1153">
        <f>IF(Z1153&gt;Z1152,Z1153,"")</f>
        <v/>
      </c>
      <c r="AB1153">
        <f>AB1152+IF(X1153="",0,IF(ISNA(MATCH(X1153,X$256:X1152,0)),1,0))</f>
        <v/>
      </c>
      <c r="AC1153">
        <f>IF(AB1153&gt;AB1152,AB1153,"")</f>
        <v/>
      </c>
    </row>
    <row r="1154">
      <c r="W1154" s="7" t="n"/>
      <c r="X1154" s="7" t="n"/>
      <c r="Z1154">
        <f>Z1153+IF(W1154="",0,IF(ISNA(MATCH(W1154,W$256:W1153,0)),1,0))</f>
        <v/>
      </c>
      <c r="AA1154">
        <f>IF(Z1154&gt;Z1153,Z1154,"")</f>
        <v/>
      </c>
      <c r="AB1154">
        <f>AB1153+IF(X1154="",0,IF(ISNA(MATCH(X1154,X$256:X1153,0)),1,0))</f>
        <v/>
      </c>
      <c r="AC1154">
        <f>IF(AB1154&gt;AB1153,AB1154,"")</f>
        <v/>
      </c>
    </row>
    <row r="1155">
      <c r="W1155" s="7" t="n"/>
      <c r="X1155" s="7" t="n"/>
      <c r="Z1155">
        <f>Z1154+IF(W1155="",0,IF(ISNA(MATCH(W1155,W$256:W1154,0)),1,0))</f>
        <v/>
      </c>
      <c r="AA1155">
        <f>IF(Z1155&gt;Z1154,Z1155,"")</f>
        <v/>
      </c>
      <c r="AB1155">
        <f>AB1154+IF(X1155="",0,IF(ISNA(MATCH(X1155,X$256:X1154,0)),1,0))</f>
        <v/>
      </c>
      <c r="AC1155">
        <f>IF(AB1155&gt;AB1154,AB1155,"")</f>
        <v/>
      </c>
    </row>
    <row r="1156">
      <c r="W1156" s="7" t="n"/>
      <c r="X1156" s="7" t="n"/>
      <c r="Z1156">
        <f>Z1155+IF(W1156="",0,IF(ISNA(MATCH(W1156,W$256:W1155,0)),1,0))</f>
        <v/>
      </c>
      <c r="AA1156">
        <f>IF(Z1156&gt;Z1155,Z1156,"")</f>
        <v/>
      </c>
      <c r="AB1156">
        <f>AB1155+IF(X1156="",0,IF(ISNA(MATCH(X1156,X$256:X1155,0)),1,0))</f>
        <v/>
      </c>
      <c r="AC1156">
        <f>IF(AB1156&gt;AB1155,AB1156,"")</f>
        <v/>
      </c>
    </row>
    <row r="1157">
      <c r="W1157" s="7" t="n"/>
      <c r="X1157" s="7" t="n"/>
      <c r="Z1157">
        <f>Z1156+IF(W1157="",0,IF(ISNA(MATCH(W1157,W$256:W1156,0)),1,0))</f>
        <v/>
      </c>
      <c r="AA1157">
        <f>IF(Z1157&gt;Z1156,Z1157,"")</f>
        <v/>
      </c>
      <c r="AB1157">
        <f>AB1156+IF(X1157="",0,IF(ISNA(MATCH(X1157,X$256:X1156,0)),1,0))</f>
        <v/>
      </c>
      <c r="AC1157">
        <f>IF(AB1157&gt;AB1156,AB1157,"")</f>
        <v/>
      </c>
    </row>
    <row r="1158">
      <c r="W1158" s="7" t="n"/>
      <c r="X1158" s="7" t="n"/>
      <c r="Z1158">
        <f>Z1157+IF(W1158="",0,IF(ISNA(MATCH(W1158,W$256:W1157,0)),1,0))</f>
        <v/>
      </c>
      <c r="AA1158">
        <f>IF(Z1158&gt;Z1157,Z1158,"")</f>
        <v/>
      </c>
      <c r="AB1158">
        <f>AB1157+IF(X1158="",0,IF(ISNA(MATCH(X1158,X$256:X1157,0)),1,0))</f>
        <v/>
      </c>
      <c r="AC1158">
        <f>IF(AB1158&gt;AB1157,AB1158,"")</f>
        <v/>
      </c>
    </row>
    <row r="1159">
      <c r="W1159" s="7" t="n"/>
      <c r="X1159" s="7" t="n"/>
      <c r="Z1159">
        <f>Z1158+IF(W1159="",0,IF(ISNA(MATCH(W1159,W$256:W1158,0)),1,0))</f>
        <v/>
      </c>
      <c r="AA1159">
        <f>IF(Z1159&gt;Z1158,Z1159,"")</f>
        <v/>
      </c>
      <c r="AB1159">
        <f>AB1158+IF(X1159="",0,IF(ISNA(MATCH(X1159,X$256:X1158,0)),1,0))</f>
        <v/>
      </c>
      <c r="AC1159">
        <f>IF(AB1159&gt;AB1158,AB1159,"")</f>
        <v/>
      </c>
    </row>
    <row r="1160">
      <c r="W1160" s="7" t="n"/>
      <c r="X1160" s="7" t="n"/>
      <c r="Z1160">
        <f>Z1159+IF(W1160="",0,IF(ISNA(MATCH(W1160,W$256:W1159,0)),1,0))</f>
        <v/>
      </c>
      <c r="AA1160">
        <f>IF(Z1160&gt;Z1159,Z1160,"")</f>
        <v/>
      </c>
      <c r="AB1160">
        <f>AB1159+IF(X1160="",0,IF(ISNA(MATCH(X1160,X$256:X1159,0)),1,0))</f>
        <v/>
      </c>
      <c r="AC1160">
        <f>IF(AB1160&gt;AB1159,AB1160,"")</f>
        <v/>
      </c>
    </row>
    <row r="1161">
      <c r="W1161" s="7" t="n"/>
      <c r="X1161" s="7" t="n"/>
      <c r="Z1161">
        <f>Z1160+IF(W1161="",0,IF(ISNA(MATCH(W1161,W$256:W1160,0)),1,0))</f>
        <v/>
      </c>
      <c r="AA1161">
        <f>IF(Z1161&gt;Z1160,Z1161,"")</f>
        <v/>
      </c>
      <c r="AB1161">
        <f>AB1160+IF(X1161="",0,IF(ISNA(MATCH(X1161,X$256:X1160,0)),1,0))</f>
        <v/>
      </c>
      <c r="AC1161">
        <f>IF(AB1161&gt;AB1160,AB1161,"")</f>
        <v/>
      </c>
    </row>
    <row r="1162">
      <c r="W1162" s="7" t="n"/>
      <c r="X1162" s="7" t="n"/>
      <c r="Z1162">
        <f>Z1161+IF(W1162="",0,IF(ISNA(MATCH(W1162,W$256:W1161,0)),1,0))</f>
        <v/>
      </c>
      <c r="AA1162">
        <f>IF(Z1162&gt;Z1161,Z1162,"")</f>
        <v/>
      </c>
      <c r="AB1162">
        <f>AB1161+IF(X1162="",0,IF(ISNA(MATCH(X1162,X$256:X1161,0)),1,0))</f>
        <v/>
      </c>
      <c r="AC1162">
        <f>IF(AB1162&gt;AB1161,AB1162,"")</f>
        <v/>
      </c>
    </row>
    <row r="1163">
      <c r="W1163" s="7" t="n"/>
      <c r="X1163" s="7" t="n"/>
      <c r="Z1163">
        <f>Z1162+IF(W1163="",0,IF(ISNA(MATCH(W1163,W$256:W1162,0)),1,0))</f>
        <v/>
      </c>
      <c r="AA1163">
        <f>IF(Z1163&gt;Z1162,Z1163,"")</f>
        <v/>
      </c>
      <c r="AB1163">
        <f>AB1162+IF(X1163="",0,IF(ISNA(MATCH(X1163,X$256:X1162,0)),1,0))</f>
        <v/>
      </c>
      <c r="AC1163">
        <f>IF(AB1163&gt;AB1162,AB1163,"")</f>
        <v/>
      </c>
    </row>
    <row r="1164">
      <c r="W1164" s="7" t="n"/>
      <c r="X1164" s="7" t="n"/>
      <c r="Z1164">
        <f>Z1163+IF(W1164="",0,IF(ISNA(MATCH(W1164,W$256:W1163,0)),1,0))</f>
        <v/>
      </c>
      <c r="AA1164">
        <f>IF(Z1164&gt;Z1163,Z1164,"")</f>
        <v/>
      </c>
      <c r="AB1164">
        <f>AB1163+IF(X1164="",0,IF(ISNA(MATCH(X1164,X$256:X1163,0)),1,0))</f>
        <v/>
      </c>
      <c r="AC1164">
        <f>IF(AB1164&gt;AB1163,AB1164,"")</f>
        <v/>
      </c>
    </row>
    <row r="1165">
      <c r="W1165" s="7" t="n"/>
      <c r="X1165" s="7" t="n"/>
      <c r="Z1165">
        <f>Z1164+IF(W1165="",0,IF(ISNA(MATCH(W1165,W$256:W1164,0)),1,0))</f>
        <v/>
      </c>
      <c r="AA1165">
        <f>IF(Z1165&gt;Z1164,Z1165,"")</f>
        <v/>
      </c>
      <c r="AB1165">
        <f>AB1164+IF(X1165="",0,IF(ISNA(MATCH(X1165,X$256:X1164,0)),1,0))</f>
        <v/>
      </c>
      <c r="AC1165">
        <f>IF(AB1165&gt;AB1164,AB1165,"")</f>
        <v/>
      </c>
    </row>
    <row r="1166">
      <c r="W1166" s="7" t="n"/>
      <c r="X1166" s="7" t="n"/>
      <c r="Z1166">
        <f>Z1165+IF(W1166="",0,IF(ISNA(MATCH(W1166,W$256:W1165,0)),1,0))</f>
        <v/>
      </c>
      <c r="AA1166">
        <f>IF(Z1166&gt;Z1165,Z1166,"")</f>
        <v/>
      </c>
      <c r="AB1166">
        <f>AB1165+IF(X1166="",0,IF(ISNA(MATCH(X1166,X$256:X1165,0)),1,0))</f>
        <v/>
      </c>
      <c r="AC1166">
        <f>IF(AB1166&gt;AB1165,AB1166,"")</f>
        <v/>
      </c>
    </row>
    <row r="1167">
      <c r="W1167" s="7" t="n"/>
      <c r="X1167" s="7" t="n"/>
      <c r="Z1167">
        <f>Z1166+IF(W1167="",0,IF(ISNA(MATCH(W1167,W$256:W1166,0)),1,0))</f>
        <v/>
      </c>
      <c r="AA1167">
        <f>IF(Z1167&gt;Z1166,Z1167,"")</f>
        <v/>
      </c>
      <c r="AB1167">
        <f>AB1166+IF(X1167="",0,IF(ISNA(MATCH(X1167,X$256:X1166,0)),1,0))</f>
        <v/>
      </c>
      <c r="AC1167">
        <f>IF(AB1167&gt;AB1166,AB1167,"")</f>
        <v/>
      </c>
    </row>
    <row r="1168">
      <c r="W1168" s="7" t="n"/>
      <c r="X1168" s="7" t="n"/>
      <c r="Z1168">
        <f>Z1167+IF(W1168="",0,IF(ISNA(MATCH(W1168,W$256:W1167,0)),1,0))</f>
        <v/>
      </c>
      <c r="AA1168">
        <f>IF(Z1168&gt;Z1167,Z1168,"")</f>
        <v/>
      </c>
      <c r="AB1168">
        <f>AB1167+IF(X1168="",0,IF(ISNA(MATCH(X1168,X$256:X1167,0)),1,0))</f>
        <v/>
      </c>
      <c r="AC1168">
        <f>IF(AB1168&gt;AB1167,AB1168,"")</f>
        <v/>
      </c>
    </row>
    <row r="1169">
      <c r="W1169" s="7" t="n"/>
      <c r="X1169" s="7" t="n"/>
      <c r="Z1169">
        <f>Z1168+IF(W1169="",0,IF(ISNA(MATCH(W1169,W$256:W1168,0)),1,0))</f>
        <v/>
      </c>
      <c r="AA1169">
        <f>IF(Z1169&gt;Z1168,Z1169,"")</f>
        <v/>
      </c>
      <c r="AB1169">
        <f>AB1168+IF(X1169="",0,IF(ISNA(MATCH(X1169,X$256:X1168,0)),1,0))</f>
        <v/>
      </c>
      <c r="AC1169">
        <f>IF(AB1169&gt;AB1168,AB1169,"")</f>
        <v/>
      </c>
    </row>
    <row r="1170">
      <c r="W1170" s="7" t="n"/>
      <c r="X1170" s="7" t="n"/>
      <c r="Z1170">
        <f>Z1169+IF(W1170="",0,IF(ISNA(MATCH(W1170,W$256:W1169,0)),1,0))</f>
        <v/>
      </c>
      <c r="AA1170">
        <f>IF(Z1170&gt;Z1169,Z1170,"")</f>
        <v/>
      </c>
      <c r="AB1170">
        <f>AB1169+IF(X1170="",0,IF(ISNA(MATCH(X1170,X$256:X1169,0)),1,0))</f>
        <v/>
      </c>
      <c r="AC1170">
        <f>IF(AB1170&gt;AB1169,AB1170,"")</f>
        <v/>
      </c>
    </row>
    <row r="1171">
      <c r="W1171" s="7" t="n"/>
      <c r="X1171" s="7" t="n"/>
      <c r="Z1171">
        <f>Z1170+IF(W1171="",0,IF(ISNA(MATCH(W1171,W$256:W1170,0)),1,0))</f>
        <v/>
      </c>
      <c r="AA1171">
        <f>IF(Z1171&gt;Z1170,Z1171,"")</f>
        <v/>
      </c>
      <c r="AB1171">
        <f>AB1170+IF(X1171="",0,IF(ISNA(MATCH(X1171,X$256:X1170,0)),1,0))</f>
        <v/>
      </c>
      <c r="AC1171">
        <f>IF(AB1171&gt;AB1170,AB1171,"")</f>
        <v/>
      </c>
    </row>
    <row r="1172">
      <c r="W1172" s="7" t="n"/>
      <c r="X1172" s="7" t="n"/>
      <c r="Z1172">
        <f>Z1171+IF(W1172="",0,IF(ISNA(MATCH(W1172,W$256:W1171,0)),1,0))</f>
        <v/>
      </c>
      <c r="AA1172">
        <f>IF(Z1172&gt;Z1171,Z1172,"")</f>
        <v/>
      </c>
      <c r="AB1172">
        <f>AB1171+IF(X1172="",0,IF(ISNA(MATCH(X1172,X$256:X1171,0)),1,0))</f>
        <v/>
      </c>
      <c r="AC1172">
        <f>IF(AB1172&gt;AB1171,AB1172,"")</f>
        <v/>
      </c>
    </row>
    <row r="1173">
      <c r="W1173" s="7" t="n"/>
      <c r="X1173" s="7" t="n"/>
      <c r="Z1173">
        <f>Z1172+IF(W1173="",0,IF(ISNA(MATCH(W1173,W$256:W1172,0)),1,0))</f>
        <v/>
      </c>
      <c r="AA1173">
        <f>IF(Z1173&gt;Z1172,Z1173,"")</f>
        <v/>
      </c>
      <c r="AB1173">
        <f>AB1172+IF(X1173="",0,IF(ISNA(MATCH(X1173,X$256:X1172,0)),1,0))</f>
        <v/>
      </c>
      <c r="AC1173">
        <f>IF(AB1173&gt;AB1172,AB1173,"")</f>
        <v/>
      </c>
    </row>
    <row r="1174">
      <c r="W1174" s="7" t="n"/>
      <c r="X1174" s="7" t="n"/>
      <c r="Z1174">
        <f>Z1173+IF(W1174="",0,IF(ISNA(MATCH(W1174,W$256:W1173,0)),1,0))</f>
        <v/>
      </c>
      <c r="AA1174">
        <f>IF(Z1174&gt;Z1173,Z1174,"")</f>
        <v/>
      </c>
      <c r="AB1174">
        <f>AB1173+IF(X1174="",0,IF(ISNA(MATCH(X1174,X$256:X1173,0)),1,0))</f>
        <v/>
      </c>
      <c r="AC1174">
        <f>IF(AB1174&gt;AB1173,AB1174,"")</f>
        <v/>
      </c>
    </row>
    <row r="1175">
      <c r="W1175" s="7" t="n"/>
      <c r="X1175" s="7" t="n"/>
      <c r="Z1175">
        <f>Z1174+IF(W1175="",0,IF(ISNA(MATCH(W1175,W$256:W1174,0)),1,0))</f>
        <v/>
      </c>
      <c r="AA1175">
        <f>IF(Z1175&gt;Z1174,Z1175,"")</f>
        <v/>
      </c>
      <c r="AB1175">
        <f>AB1174+IF(X1175="",0,IF(ISNA(MATCH(X1175,X$256:X1174,0)),1,0))</f>
        <v/>
      </c>
      <c r="AC1175">
        <f>IF(AB1175&gt;AB1174,AB1175,"")</f>
        <v/>
      </c>
    </row>
    <row r="1176">
      <c r="W1176" s="7" t="n"/>
      <c r="X1176" s="7" t="n"/>
      <c r="Z1176">
        <f>Z1175+IF(W1176="",0,IF(ISNA(MATCH(W1176,W$256:W1175,0)),1,0))</f>
        <v/>
      </c>
      <c r="AA1176">
        <f>IF(Z1176&gt;Z1175,Z1176,"")</f>
        <v/>
      </c>
      <c r="AB1176">
        <f>AB1175+IF(X1176="",0,IF(ISNA(MATCH(X1176,X$256:X1175,0)),1,0))</f>
        <v/>
      </c>
      <c r="AC1176">
        <f>IF(AB1176&gt;AB1175,AB1176,"")</f>
        <v/>
      </c>
    </row>
    <row r="1177">
      <c r="W1177" s="7" t="n"/>
      <c r="X1177" s="7" t="n"/>
      <c r="Z1177">
        <f>Z1176+IF(W1177="",0,IF(ISNA(MATCH(W1177,W$256:W1176,0)),1,0))</f>
        <v/>
      </c>
      <c r="AA1177">
        <f>IF(Z1177&gt;Z1176,Z1177,"")</f>
        <v/>
      </c>
      <c r="AB1177">
        <f>AB1176+IF(X1177="",0,IF(ISNA(MATCH(X1177,X$256:X1176,0)),1,0))</f>
        <v/>
      </c>
      <c r="AC1177">
        <f>IF(AB1177&gt;AB1176,AB1177,"")</f>
        <v/>
      </c>
    </row>
    <row r="1178">
      <c r="W1178" s="7" t="n"/>
      <c r="X1178" s="7" t="n"/>
      <c r="Z1178">
        <f>Z1177+IF(W1178="",0,IF(ISNA(MATCH(W1178,W$256:W1177,0)),1,0))</f>
        <v/>
      </c>
      <c r="AA1178">
        <f>IF(Z1178&gt;Z1177,Z1178,"")</f>
        <v/>
      </c>
      <c r="AB1178">
        <f>AB1177+IF(X1178="",0,IF(ISNA(MATCH(X1178,X$256:X1177,0)),1,0))</f>
        <v/>
      </c>
      <c r="AC1178">
        <f>IF(AB1178&gt;AB1177,AB1178,"")</f>
        <v/>
      </c>
    </row>
    <row r="1179">
      <c r="W1179" s="7" t="n"/>
      <c r="X1179" s="7" t="n"/>
      <c r="Z1179">
        <f>Z1178+IF(W1179="",0,IF(ISNA(MATCH(W1179,W$256:W1178,0)),1,0))</f>
        <v/>
      </c>
      <c r="AA1179">
        <f>IF(Z1179&gt;Z1178,Z1179,"")</f>
        <v/>
      </c>
      <c r="AB1179">
        <f>AB1178+IF(X1179="",0,IF(ISNA(MATCH(X1179,X$256:X1178,0)),1,0))</f>
        <v/>
      </c>
      <c r="AC1179">
        <f>IF(AB1179&gt;AB1178,AB1179,"")</f>
        <v/>
      </c>
    </row>
    <row r="1180">
      <c r="W1180" s="7" t="n"/>
      <c r="X1180" s="7" t="n"/>
      <c r="Z1180">
        <f>Z1179+IF(W1180="",0,IF(ISNA(MATCH(W1180,W$256:W1179,0)),1,0))</f>
        <v/>
      </c>
      <c r="AA1180">
        <f>IF(Z1180&gt;Z1179,Z1180,"")</f>
        <v/>
      </c>
      <c r="AB1180">
        <f>AB1179+IF(X1180="",0,IF(ISNA(MATCH(X1180,X$256:X1179,0)),1,0))</f>
        <v/>
      </c>
      <c r="AC1180">
        <f>IF(AB1180&gt;AB1179,AB1180,"")</f>
        <v/>
      </c>
    </row>
    <row r="1181">
      <c r="W1181" s="7" t="n"/>
      <c r="X1181" s="7" t="n"/>
      <c r="Z1181">
        <f>Z1180+IF(W1181="",0,IF(ISNA(MATCH(W1181,W$256:W1180,0)),1,0))</f>
        <v/>
      </c>
      <c r="AA1181">
        <f>IF(Z1181&gt;Z1180,Z1181,"")</f>
        <v/>
      </c>
      <c r="AB1181">
        <f>AB1180+IF(X1181="",0,IF(ISNA(MATCH(X1181,X$256:X1180,0)),1,0))</f>
        <v/>
      </c>
      <c r="AC1181">
        <f>IF(AB1181&gt;AB1180,AB1181,"")</f>
        <v/>
      </c>
    </row>
    <row r="1182">
      <c r="W1182" s="7" t="n"/>
      <c r="X1182" s="7" t="n"/>
      <c r="Z1182">
        <f>Z1181+IF(W1182="",0,IF(ISNA(MATCH(W1182,W$256:W1181,0)),1,0))</f>
        <v/>
      </c>
      <c r="AA1182">
        <f>IF(Z1182&gt;Z1181,Z1182,"")</f>
        <v/>
      </c>
      <c r="AB1182">
        <f>AB1181+IF(X1182="",0,IF(ISNA(MATCH(X1182,X$256:X1181,0)),1,0))</f>
        <v/>
      </c>
      <c r="AC1182">
        <f>IF(AB1182&gt;AB1181,AB1182,"")</f>
        <v/>
      </c>
    </row>
    <row r="1183">
      <c r="W1183" s="7" t="n"/>
      <c r="X1183" s="7" t="n"/>
      <c r="Z1183">
        <f>Z1182+IF(W1183="",0,IF(ISNA(MATCH(W1183,W$256:W1182,0)),1,0))</f>
        <v/>
      </c>
      <c r="AA1183">
        <f>IF(Z1183&gt;Z1182,Z1183,"")</f>
        <v/>
      </c>
      <c r="AB1183">
        <f>AB1182+IF(X1183="",0,IF(ISNA(MATCH(X1183,X$256:X1182,0)),1,0))</f>
        <v/>
      </c>
      <c r="AC1183">
        <f>IF(AB1183&gt;AB1182,AB1183,"")</f>
        <v/>
      </c>
    </row>
    <row r="1184">
      <c r="W1184" s="7" t="n"/>
      <c r="X1184" s="7" t="n"/>
      <c r="Z1184">
        <f>Z1183+IF(W1184="",0,IF(ISNA(MATCH(W1184,W$256:W1183,0)),1,0))</f>
        <v/>
      </c>
      <c r="AA1184">
        <f>IF(Z1184&gt;Z1183,Z1184,"")</f>
        <v/>
      </c>
      <c r="AB1184">
        <f>AB1183+IF(X1184="",0,IF(ISNA(MATCH(X1184,X$256:X1183,0)),1,0))</f>
        <v/>
      </c>
      <c r="AC1184">
        <f>IF(AB1184&gt;AB1183,AB1184,"")</f>
        <v/>
      </c>
    </row>
    <row r="1185">
      <c r="W1185" s="7" t="n"/>
      <c r="X1185" s="7" t="n"/>
      <c r="Z1185">
        <f>Z1184+IF(W1185="",0,IF(ISNA(MATCH(W1185,W$256:W1184,0)),1,0))</f>
        <v/>
      </c>
      <c r="AA1185">
        <f>IF(Z1185&gt;Z1184,Z1185,"")</f>
        <v/>
      </c>
      <c r="AB1185">
        <f>AB1184+IF(X1185="",0,IF(ISNA(MATCH(X1185,X$256:X1184,0)),1,0))</f>
        <v/>
      </c>
      <c r="AC1185">
        <f>IF(AB1185&gt;AB1184,AB1185,"")</f>
        <v/>
      </c>
    </row>
    <row r="1186">
      <c r="W1186" s="7" t="n"/>
      <c r="X1186" s="7" t="n"/>
      <c r="Z1186">
        <f>Z1185+IF(W1186="",0,IF(ISNA(MATCH(W1186,W$256:W1185,0)),1,0))</f>
        <v/>
      </c>
      <c r="AA1186">
        <f>IF(Z1186&gt;Z1185,Z1186,"")</f>
        <v/>
      </c>
      <c r="AB1186">
        <f>AB1185+IF(X1186="",0,IF(ISNA(MATCH(X1186,X$256:X1185,0)),1,0))</f>
        <v/>
      </c>
      <c r="AC1186">
        <f>IF(AB1186&gt;AB1185,AB1186,"")</f>
        <v/>
      </c>
    </row>
    <row r="1187">
      <c r="W1187" s="7" t="n"/>
      <c r="X1187" s="7" t="n"/>
      <c r="Z1187">
        <f>Z1186+IF(W1187="",0,IF(ISNA(MATCH(W1187,W$256:W1186,0)),1,0))</f>
        <v/>
      </c>
      <c r="AA1187">
        <f>IF(Z1187&gt;Z1186,Z1187,"")</f>
        <v/>
      </c>
      <c r="AB1187">
        <f>AB1186+IF(X1187="",0,IF(ISNA(MATCH(X1187,X$256:X1186,0)),1,0))</f>
        <v/>
      </c>
      <c r="AC1187">
        <f>IF(AB1187&gt;AB1186,AB1187,"")</f>
        <v/>
      </c>
    </row>
    <row r="1188">
      <c r="W1188" s="7" t="n"/>
      <c r="X1188" s="7" t="n"/>
      <c r="Z1188">
        <f>Z1187+IF(W1188="",0,IF(ISNA(MATCH(W1188,W$256:W1187,0)),1,0))</f>
        <v/>
      </c>
      <c r="AA1188">
        <f>IF(Z1188&gt;Z1187,Z1188,"")</f>
        <v/>
      </c>
      <c r="AB1188">
        <f>AB1187+IF(X1188="",0,IF(ISNA(MATCH(X1188,X$256:X1187,0)),1,0))</f>
        <v/>
      </c>
      <c r="AC1188">
        <f>IF(AB1188&gt;AB1187,AB1188,"")</f>
        <v/>
      </c>
    </row>
    <row r="1189">
      <c r="W1189" s="7" t="n"/>
      <c r="X1189" s="7" t="n"/>
      <c r="Z1189">
        <f>Z1188+IF(W1189="",0,IF(ISNA(MATCH(W1189,W$256:W1188,0)),1,0))</f>
        <v/>
      </c>
      <c r="AA1189">
        <f>IF(Z1189&gt;Z1188,Z1189,"")</f>
        <v/>
      </c>
      <c r="AB1189">
        <f>AB1188+IF(X1189="",0,IF(ISNA(MATCH(X1189,X$256:X1188,0)),1,0))</f>
        <v/>
      </c>
      <c r="AC1189">
        <f>IF(AB1189&gt;AB1188,AB1189,"")</f>
        <v/>
      </c>
    </row>
    <row r="1190">
      <c r="W1190" s="7" t="n"/>
      <c r="X1190" s="7" t="n"/>
      <c r="Z1190">
        <f>Z1189+IF(W1190="",0,IF(ISNA(MATCH(W1190,W$256:W1189,0)),1,0))</f>
        <v/>
      </c>
      <c r="AA1190">
        <f>IF(Z1190&gt;Z1189,Z1190,"")</f>
        <v/>
      </c>
      <c r="AB1190">
        <f>AB1189+IF(X1190="",0,IF(ISNA(MATCH(X1190,X$256:X1189,0)),1,0))</f>
        <v/>
      </c>
      <c r="AC1190">
        <f>IF(AB1190&gt;AB1189,AB1190,"")</f>
        <v/>
      </c>
    </row>
    <row r="1191">
      <c r="W1191" s="7" t="n"/>
      <c r="X1191" s="7" t="n"/>
      <c r="Z1191">
        <f>Z1190+IF(W1191="",0,IF(ISNA(MATCH(W1191,W$256:W1190,0)),1,0))</f>
        <v/>
      </c>
      <c r="AA1191">
        <f>IF(Z1191&gt;Z1190,Z1191,"")</f>
        <v/>
      </c>
      <c r="AB1191">
        <f>AB1190+IF(X1191="",0,IF(ISNA(MATCH(X1191,X$256:X1190,0)),1,0))</f>
        <v/>
      </c>
      <c r="AC1191">
        <f>IF(AB1191&gt;AB1190,AB1191,"")</f>
        <v/>
      </c>
    </row>
    <row r="1192">
      <c r="W1192" s="7" t="n"/>
      <c r="X1192" s="7" t="n"/>
      <c r="Z1192">
        <f>Z1191+IF(W1192="",0,IF(ISNA(MATCH(W1192,W$256:W1191,0)),1,0))</f>
        <v/>
      </c>
      <c r="AA1192">
        <f>IF(Z1192&gt;Z1191,Z1192,"")</f>
        <v/>
      </c>
      <c r="AB1192">
        <f>AB1191+IF(X1192="",0,IF(ISNA(MATCH(X1192,X$256:X1191,0)),1,0))</f>
        <v/>
      </c>
      <c r="AC1192">
        <f>IF(AB1192&gt;AB1191,AB1192,"")</f>
        <v/>
      </c>
    </row>
    <row r="1193">
      <c r="W1193" s="7" t="n"/>
      <c r="X1193" s="7" t="n"/>
      <c r="Z1193">
        <f>Z1192+IF(W1193="",0,IF(ISNA(MATCH(W1193,W$256:W1192,0)),1,0))</f>
        <v/>
      </c>
      <c r="AA1193">
        <f>IF(Z1193&gt;Z1192,Z1193,"")</f>
        <v/>
      </c>
      <c r="AB1193">
        <f>AB1192+IF(X1193="",0,IF(ISNA(MATCH(X1193,X$256:X1192,0)),1,0))</f>
        <v/>
      </c>
      <c r="AC1193">
        <f>IF(AB1193&gt;AB1192,AB1193,"")</f>
        <v/>
      </c>
    </row>
    <row r="1194">
      <c r="W1194" s="7" t="n"/>
      <c r="X1194" s="7" t="n"/>
      <c r="Z1194">
        <f>Z1193+IF(W1194="",0,IF(ISNA(MATCH(W1194,W$256:W1193,0)),1,0))</f>
        <v/>
      </c>
      <c r="AA1194">
        <f>IF(Z1194&gt;Z1193,Z1194,"")</f>
        <v/>
      </c>
      <c r="AB1194">
        <f>AB1193+IF(X1194="",0,IF(ISNA(MATCH(X1194,X$256:X1193,0)),1,0))</f>
        <v/>
      </c>
      <c r="AC1194">
        <f>IF(AB1194&gt;AB1193,AB1194,"")</f>
        <v/>
      </c>
    </row>
    <row r="1195">
      <c r="W1195" s="7" t="n"/>
      <c r="X1195" s="7" t="n"/>
      <c r="Z1195">
        <f>Z1194+IF(W1195="",0,IF(ISNA(MATCH(W1195,W$256:W1194,0)),1,0))</f>
        <v/>
      </c>
      <c r="AA1195">
        <f>IF(Z1195&gt;Z1194,Z1195,"")</f>
        <v/>
      </c>
      <c r="AB1195">
        <f>AB1194+IF(X1195="",0,IF(ISNA(MATCH(X1195,X$256:X1194,0)),1,0))</f>
        <v/>
      </c>
      <c r="AC1195">
        <f>IF(AB1195&gt;AB1194,AB1195,"")</f>
        <v/>
      </c>
    </row>
    <row r="1196">
      <c r="W1196" s="7" t="n"/>
      <c r="X1196" s="7" t="n"/>
      <c r="Z1196">
        <f>Z1195+IF(W1196="",0,IF(ISNA(MATCH(W1196,W$256:W1195,0)),1,0))</f>
        <v/>
      </c>
      <c r="AA1196">
        <f>IF(Z1196&gt;Z1195,Z1196,"")</f>
        <v/>
      </c>
      <c r="AB1196">
        <f>AB1195+IF(X1196="",0,IF(ISNA(MATCH(X1196,X$256:X1195,0)),1,0))</f>
        <v/>
      </c>
      <c r="AC1196">
        <f>IF(AB1196&gt;AB1195,AB1196,"")</f>
        <v/>
      </c>
    </row>
    <row r="1197">
      <c r="W1197" s="7" t="n"/>
      <c r="X1197" s="7" t="n"/>
      <c r="Z1197">
        <f>Z1196+IF(W1197="",0,IF(ISNA(MATCH(W1197,W$256:W1196,0)),1,0))</f>
        <v/>
      </c>
      <c r="AA1197">
        <f>IF(Z1197&gt;Z1196,Z1197,"")</f>
        <v/>
      </c>
      <c r="AB1197">
        <f>AB1196+IF(X1197="",0,IF(ISNA(MATCH(X1197,X$256:X1196,0)),1,0))</f>
        <v/>
      </c>
      <c r="AC1197">
        <f>IF(AB1197&gt;AB1196,AB1197,"")</f>
        <v/>
      </c>
    </row>
    <row r="1198">
      <c r="W1198" s="7" t="n"/>
      <c r="X1198" s="7" t="n"/>
      <c r="Z1198">
        <f>Z1197+IF(W1198="",0,IF(ISNA(MATCH(W1198,W$256:W1197,0)),1,0))</f>
        <v/>
      </c>
      <c r="AA1198">
        <f>IF(Z1198&gt;Z1197,Z1198,"")</f>
        <v/>
      </c>
      <c r="AB1198">
        <f>AB1197+IF(X1198="",0,IF(ISNA(MATCH(X1198,X$256:X1197,0)),1,0))</f>
        <v/>
      </c>
      <c r="AC1198">
        <f>IF(AB1198&gt;AB1197,AB1198,"")</f>
        <v/>
      </c>
    </row>
    <row r="1199">
      <c r="W1199" s="7" t="n"/>
      <c r="X1199" s="7" t="n"/>
      <c r="Z1199">
        <f>Z1198+IF(W1199="",0,IF(ISNA(MATCH(W1199,W$256:W1198,0)),1,0))</f>
        <v/>
      </c>
      <c r="AA1199">
        <f>IF(Z1199&gt;Z1198,Z1199,"")</f>
        <v/>
      </c>
      <c r="AB1199">
        <f>AB1198+IF(X1199="",0,IF(ISNA(MATCH(X1199,X$256:X1198,0)),1,0))</f>
        <v/>
      </c>
      <c r="AC1199">
        <f>IF(AB1199&gt;AB1198,AB1199,"")</f>
        <v/>
      </c>
    </row>
    <row r="1200">
      <c r="W1200" s="7" t="n"/>
      <c r="X1200" s="7" t="n"/>
      <c r="Z1200">
        <f>Z1199+IF(W1200="",0,IF(ISNA(MATCH(W1200,W$256:W1199,0)),1,0))</f>
        <v/>
      </c>
      <c r="AA1200">
        <f>IF(Z1200&gt;Z1199,Z1200,"")</f>
        <v/>
      </c>
      <c r="AB1200">
        <f>AB1199+IF(X1200="",0,IF(ISNA(MATCH(X1200,X$256:X1199,0)),1,0))</f>
        <v/>
      </c>
      <c r="AC1200">
        <f>IF(AB1200&gt;AB1199,AB1200,"")</f>
        <v/>
      </c>
    </row>
    <row r="1201">
      <c r="W1201" s="7" t="n"/>
      <c r="X1201" s="7" t="n"/>
      <c r="Z1201">
        <f>Z1200+IF(W1201="",0,IF(ISNA(MATCH(W1201,W$256:W1200,0)),1,0))</f>
        <v/>
      </c>
      <c r="AA1201">
        <f>IF(Z1201&gt;Z1200,Z1201,"")</f>
        <v/>
      </c>
      <c r="AB1201">
        <f>AB1200+IF(X1201="",0,IF(ISNA(MATCH(X1201,X$256:X1200,0)),1,0))</f>
        <v/>
      </c>
      <c r="AC1201">
        <f>IF(AB1201&gt;AB1200,AB1201,"")</f>
        <v/>
      </c>
    </row>
    <row r="1202">
      <c r="W1202" s="7" t="n"/>
      <c r="X1202" s="7" t="n"/>
      <c r="Z1202">
        <f>Z1201+IF(W1202="",0,IF(ISNA(MATCH(W1202,W$256:W1201,0)),1,0))</f>
        <v/>
      </c>
      <c r="AA1202">
        <f>IF(Z1202&gt;Z1201,Z1202,"")</f>
        <v/>
      </c>
      <c r="AB1202">
        <f>AB1201+IF(X1202="",0,IF(ISNA(MATCH(X1202,X$256:X1201,0)),1,0))</f>
        <v/>
      </c>
      <c r="AC1202">
        <f>IF(AB1202&gt;AB1201,AB1202,"")</f>
        <v/>
      </c>
    </row>
    <row r="1203">
      <c r="W1203" s="7" t="n"/>
      <c r="X1203" s="7" t="n"/>
      <c r="Z1203">
        <f>Z1202+IF(W1203="",0,IF(ISNA(MATCH(W1203,W$256:W1202,0)),1,0))</f>
        <v/>
      </c>
      <c r="AA1203">
        <f>IF(Z1203&gt;Z1202,Z1203,"")</f>
        <v/>
      </c>
      <c r="AB1203">
        <f>AB1202+IF(X1203="",0,IF(ISNA(MATCH(X1203,X$256:X1202,0)),1,0))</f>
        <v/>
      </c>
      <c r="AC1203">
        <f>IF(AB1203&gt;AB1202,AB1203,"")</f>
        <v/>
      </c>
    </row>
    <row r="1204">
      <c r="W1204" s="7" t="n"/>
      <c r="X1204" s="7" t="n"/>
      <c r="Z1204">
        <f>Z1203+IF(W1204="",0,IF(ISNA(MATCH(W1204,W$256:W1203,0)),1,0))</f>
        <v/>
      </c>
      <c r="AA1204">
        <f>IF(Z1204&gt;Z1203,Z1204,"")</f>
        <v/>
      </c>
      <c r="AB1204">
        <f>AB1203+IF(X1204="",0,IF(ISNA(MATCH(X1204,X$256:X1203,0)),1,0))</f>
        <v/>
      </c>
      <c r="AC1204">
        <f>IF(AB1204&gt;AB1203,AB1204,"")</f>
        <v/>
      </c>
    </row>
    <row r="1205">
      <c r="W1205" s="7" t="n"/>
      <c r="X1205" s="7" t="n"/>
      <c r="Z1205">
        <f>Z1204+IF(W1205="",0,IF(ISNA(MATCH(W1205,W$256:W1204,0)),1,0))</f>
        <v/>
      </c>
      <c r="AA1205">
        <f>IF(Z1205&gt;Z1204,Z1205,"")</f>
        <v/>
      </c>
      <c r="AB1205">
        <f>AB1204+IF(X1205="",0,IF(ISNA(MATCH(X1205,X$256:X1204,0)),1,0))</f>
        <v/>
      </c>
      <c r="AC1205">
        <f>IF(AB1205&gt;AB1204,AB1205,"")</f>
        <v/>
      </c>
    </row>
    <row r="1206">
      <c r="W1206" s="7" t="n"/>
      <c r="X1206" s="7" t="n"/>
      <c r="Z1206">
        <f>Z1205+IF(W1206="",0,IF(ISNA(MATCH(W1206,W$256:W1205,0)),1,0))</f>
        <v/>
      </c>
      <c r="AA1206">
        <f>IF(Z1206&gt;Z1205,Z1206,"")</f>
        <v/>
      </c>
      <c r="AB1206">
        <f>AB1205+IF(X1206="",0,IF(ISNA(MATCH(X1206,X$256:X1205,0)),1,0))</f>
        <v/>
      </c>
      <c r="AC1206">
        <f>IF(AB1206&gt;AB1205,AB1206,"")</f>
        <v/>
      </c>
    </row>
    <row r="1207">
      <c r="W1207" s="7" t="n"/>
      <c r="X1207" s="7" t="n"/>
      <c r="Z1207">
        <f>Z1206+IF(W1207="",0,IF(ISNA(MATCH(W1207,W$256:W1206,0)),1,0))</f>
        <v/>
      </c>
      <c r="AA1207">
        <f>IF(Z1207&gt;Z1206,Z1207,"")</f>
        <v/>
      </c>
      <c r="AB1207">
        <f>AB1206+IF(X1207="",0,IF(ISNA(MATCH(X1207,X$256:X1206,0)),1,0))</f>
        <v/>
      </c>
      <c r="AC1207">
        <f>IF(AB1207&gt;AB1206,AB1207,"")</f>
        <v/>
      </c>
    </row>
    <row r="1208">
      <c r="W1208" s="7" t="n"/>
      <c r="X1208" s="7" t="n"/>
      <c r="Z1208">
        <f>Z1207+IF(W1208="",0,IF(ISNA(MATCH(W1208,W$256:W1207,0)),1,0))</f>
        <v/>
      </c>
      <c r="AA1208">
        <f>IF(Z1208&gt;Z1207,Z1208,"")</f>
        <v/>
      </c>
      <c r="AB1208">
        <f>AB1207+IF(X1208="",0,IF(ISNA(MATCH(X1208,X$256:X1207,0)),1,0))</f>
        <v/>
      </c>
      <c r="AC1208">
        <f>IF(AB1208&gt;AB1207,AB1208,"")</f>
        <v/>
      </c>
    </row>
    <row r="1209">
      <c r="W1209" s="7" t="n"/>
      <c r="X1209" s="7" t="n"/>
      <c r="Z1209">
        <f>Z1208+IF(W1209="",0,IF(ISNA(MATCH(W1209,W$256:W1208,0)),1,0))</f>
        <v/>
      </c>
      <c r="AA1209">
        <f>IF(Z1209&gt;Z1208,Z1209,"")</f>
        <v/>
      </c>
      <c r="AB1209">
        <f>AB1208+IF(X1209="",0,IF(ISNA(MATCH(X1209,X$256:X1208,0)),1,0))</f>
        <v/>
      </c>
      <c r="AC1209">
        <f>IF(AB1209&gt;AB1208,AB1209,"")</f>
        <v/>
      </c>
    </row>
    <row r="1210">
      <c r="W1210" s="7" t="n"/>
      <c r="X1210" s="7" t="n"/>
      <c r="Z1210">
        <f>Z1209+IF(W1210="",0,IF(ISNA(MATCH(W1210,W$256:W1209,0)),1,0))</f>
        <v/>
      </c>
      <c r="AA1210">
        <f>IF(Z1210&gt;Z1209,Z1210,"")</f>
        <v/>
      </c>
      <c r="AB1210">
        <f>AB1209+IF(X1210="",0,IF(ISNA(MATCH(X1210,X$256:X1209,0)),1,0))</f>
        <v/>
      </c>
      <c r="AC1210">
        <f>IF(AB1210&gt;AB1209,AB1210,"")</f>
        <v/>
      </c>
    </row>
    <row r="1211">
      <c r="W1211" s="7" t="n"/>
      <c r="X1211" s="7" t="n"/>
      <c r="Z1211">
        <f>Z1210+IF(W1211="",0,IF(ISNA(MATCH(W1211,W$256:W1210,0)),1,0))</f>
        <v/>
      </c>
      <c r="AA1211">
        <f>IF(Z1211&gt;Z1210,Z1211,"")</f>
        <v/>
      </c>
      <c r="AB1211">
        <f>AB1210+IF(X1211="",0,IF(ISNA(MATCH(X1211,X$256:X1210,0)),1,0))</f>
        <v/>
      </c>
      <c r="AC1211">
        <f>IF(AB1211&gt;AB1210,AB1211,"")</f>
        <v/>
      </c>
    </row>
    <row r="1212">
      <c r="W1212" s="7" t="n"/>
      <c r="X1212" s="7" t="n"/>
      <c r="Z1212">
        <f>Z1211+IF(W1212="",0,IF(ISNA(MATCH(W1212,W$256:W1211,0)),1,0))</f>
        <v/>
      </c>
      <c r="AA1212">
        <f>IF(Z1212&gt;Z1211,Z1212,"")</f>
        <v/>
      </c>
      <c r="AB1212">
        <f>AB1211+IF(X1212="",0,IF(ISNA(MATCH(X1212,X$256:X1211,0)),1,0))</f>
        <v/>
      </c>
      <c r="AC1212">
        <f>IF(AB1212&gt;AB1211,AB1212,"")</f>
        <v/>
      </c>
    </row>
    <row r="1213">
      <c r="W1213" s="7" t="n"/>
      <c r="X1213" s="7" t="n"/>
      <c r="Z1213">
        <f>Z1212+IF(W1213="",0,IF(ISNA(MATCH(W1213,W$256:W1212,0)),1,0))</f>
        <v/>
      </c>
      <c r="AA1213">
        <f>IF(Z1213&gt;Z1212,Z1213,"")</f>
        <v/>
      </c>
      <c r="AB1213">
        <f>AB1212+IF(X1213="",0,IF(ISNA(MATCH(X1213,X$256:X1212,0)),1,0))</f>
        <v/>
      </c>
      <c r="AC1213">
        <f>IF(AB1213&gt;AB1212,AB1213,"")</f>
        <v/>
      </c>
    </row>
    <row r="1214">
      <c r="W1214" s="7" t="n"/>
      <c r="X1214" s="7" t="n"/>
      <c r="Z1214">
        <f>Z1213+IF(W1214="",0,IF(ISNA(MATCH(W1214,W$256:W1213,0)),1,0))</f>
        <v/>
      </c>
      <c r="AA1214">
        <f>IF(Z1214&gt;Z1213,Z1214,"")</f>
        <v/>
      </c>
      <c r="AB1214">
        <f>AB1213+IF(X1214="",0,IF(ISNA(MATCH(X1214,X$256:X1213,0)),1,0))</f>
        <v/>
      </c>
      <c r="AC1214">
        <f>IF(AB1214&gt;AB1213,AB1214,"")</f>
        <v/>
      </c>
    </row>
    <row r="1215">
      <c r="W1215" s="7" t="n"/>
      <c r="X1215" s="7" t="n"/>
      <c r="Z1215">
        <f>Z1214+IF(W1215="",0,IF(ISNA(MATCH(W1215,W$256:W1214,0)),1,0))</f>
        <v/>
      </c>
      <c r="AA1215">
        <f>IF(Z1215&gt;Z1214,Z1215,"")</f>
        <v/>
      </c>
      <c r="AB1215">
        <f>AB1214+IF(X1215="",0,IF(ISNA(MATCH(X1215,X$256:X1214,0)),1,0))</f>
        <v/>
      </c>
      <c r="AC1215">
        <f>IF(AB1215&gt;AB1214,AB1215,"")</f>
        <v/>
      </c>
    </row>
    <row r="1216">
      <c r="W1216" s="7" t="n"/>
      <c r="X1216" s="7" t="n"/>
      <c r="Z1216">
        <f>Z1215+IF(W1216="",0,IF(ISNA(MATCH(W1216,W$256:W1215,0)),1,0))</f>
        <v/>
      </c>
      <c r="AA1216">
        <f>IF(Z1216&gt;Z1215,Z1216,"")</f>
        <v/>
      </c>
      <c r="AB1216">
        <f>AB1215+IF(X1216="",0,IF(ISNA(MATCH(X1216,X$256:X1215,0)),1,0))</f>
        <v/>
      </c>
      <c r="AC1216">
        <f>IF(AB1216&gt;AB1215,AB1216,"")</f>
        <v/>
      </c>
    </row>
    <row r="1217">
      <c r="W1217" s="7" t="n"/>
      <c r="X1217" s="7" t="n"/>
      <c r="Z1217">
        <f>Z1216+IF(W1217="",0,IF(ISNA(MATCH(W1217,W$256:W1216,0)),1,0))</f>
        <v/>
      </c>
      <c r="AA1217">
        <f>IF(Z1217&gt;Z1216,Z1217,"")</f>
        <v/>
      </c>
      <c r="AB1217">
        <f>AB1216+IF(X1217="",0,IF(ISNA(MATCH(X1217,X$256:X1216,0)),1,0))</f>
        <v/>
      </c>
      <c r="AC1217">
        <f>IF(AB1217&gt;AB1216,AB1217,"")</f>
        <v/>
      </c>
    </row>
    <row r="1218">
      <c r="W1218" s="7" t="n"/>
      <c r="X1218" s="7" t="n"/>
      <c r="Z1218">
        <f>Z1217+IF(W1218="",0,IF(ISNA(MATCH(W1218,W$256:W1217,0)),1,0))</f>
        <v/>
      </c>
      <c r="AA1218">
        <f>IF(Z1218&gt;Z1217,Z1218,"")</f>
        <v/>
      </c>
      <c r="AB1218">
        <f>AB1217+IF(X1218="",0,IF(ISNA(MATCH(X1218,X$256:X1217,0)),1,0))</f>
        <v/>
      </c>
      <c r="AC1218">
        <f>IF(AB1218&gt;AB1217,AB1218,"")</f>
        <v/>
      </c>
    </row>
    <row r="1219">
      <c r="W1219" s="7" t="n"/>
      <c r="X1219" s="7" t="n"/>
      <c r="Z1219">
        <f>Z1218+IF(W1219="",0,IF(ISNA(MATCH(W1219,W$256:W1218,0)),1,0))</f>
        <v/>
      </c>
      <c r="AA1219">
        <f>IF(Z1219&gt;Z1218,Z1219,"")</f>
        <v/>
      </c>
      <c r="AB1219">
        <f>AB1218+IF(X1219="",0,IF(ISNA(MATCH(X1219,X$256:X1218,0)),1,0))</f>
        <v/>
      </c>
      <c r="AC1219">
        <f>IF(AB1219&gt;AB1218,AB1219,"")</f>
        <v/>
      </c>
    </row>
    <row r="1220">
      <c r="W1220" s="7" t="n"/>
      <c r="X1220" s="7" t="n"/>
      <c r="Z1220">
        <f>Z1219+IF(W1220="",0,IF(ISNA(MATCH(W1220,W$256:W1219,0)),1,0))</f>
        <v/>
      </c>
      <c r="AA1220">
        <f>IF(Z1220&gt;Z1219,Z1220,"")</f>
        <v/>
      </c>
      <c r="AB1220">
        <f>AB1219+IF(X1220="",0,IF(ISNA(MATCH(X1220,X$256:X1219,0)),1,0))</f>
        <v/>
      </c>
      <c r="AC1220">
        <f>IF(AB1220&gt;AB1219,AB1220,"")</f>
        <v/>
      </c>
    </row>
    <row r="1221">
      <c r="W1221" s="7" t="n"/>
      <c r="X1221" s="7" t="n"/>
      <c r="Z1221">
        <f>Z1220+IF(W1221="",0,IF(ISNA(MATCH(W1221,W$256:W1220,0)),1,0))</f>
        <v/>
      </c>
      <c r="AA1221">
        <f>IF(Z1221&gt;Z1220,Z1221,"")</f>
        <v/>
      </c>
      <c r="AB1221">
        <f>AB1220+IF(X1221="",0,IF(ISNA(MATCH(X1221,X$256:X1220,0)),1,0))</f>
        <v/>
      </c>
      <c r="AC1221">
        <f>IF(AB1221&gt;AB1220,AB1221,"")</f>
        <v/>
      </c>
    </row>
    <row r="1222">
      <c r="W1222" s="7" t="n"/>
      <c r="X1222" s="7" t="n"/>
      <c r="Z1222">
        <f>Z1221+IF(W1222="",0,IF(ISNA(MATCH(W1222,W$256:W1221,0)),1,0))</f>
        <v/>
      </c>
      <c r="AA1222">
        <f>IF(Z1222&gt;Z1221,Z1222,"")</f>
        <v/>
      </c>
      <c r="AB1222">
        <f>AB1221+IF(X1222="",0,IF(ISNA(MATCH(X1222,X$256:X1221,0)),1,0))</f>
        <v/>
      </c>
      <c r="AC1222">
        <f>IF(AB1222&gt;AB1221,AB1222,"")</f>
        <v/>
      </c>
    </row>
    <row r="1223">
      <c r="W1223" s="7" t="n"/>
      <c r="X1223" s="7" t="n"/>
      <c r="Z1223">
        <f>Z1222+IF(W1223="",0,IF(ISNA(MATCH(W1223,W$256:W1222,0)),1,0))</f>
        <v/>
      </c>
      <c r="AA1223">
        <f>IF(Z1223&gt;Z1222,Z1223,"")</f>
        <v/>
      </c>
      <c r="AB1223">
        <f>AB1222+IF(X1223="",0,IF(ISNA(MATCH(X1223,X$256:X1222,0)),1,0))</f>
        <v/>
      </c>
      <c r="AC1223">
        <f>IF(AB1223&gt;AB1222,AB1223,"")</f>
        <v/>
      </c>
    </row>
    <row r="1224">
      <c r="W1224" s="7" t="n"/>
      <c r="X1224" s="7" t="n"/>
      <c r="Z1224">
        <f>Z1223+IF(W1224="",0,IF(ISNA(MATCH(W1224,W$256:W1223,0)),1,0))</f>
        <v/>
      </c>
      <c r="AA1224">
        <f>IF(Z1224&gt;Z1223,Z1224,"")</f>
        <v/>
      </c>
      <c r="AB1224">
        <f>AB1223+IF(X1224="",0,IF(ISNA(MATCH(X1224,X$256:X1223,0)),1,0))</f>
        <v/>
      </c>
      <c r="AC1224">
        <f>IF(AB1224&gt;AB1223,AB1224,"")</f>
        <v/>
      </c>
    </row>
    <row r="1225">
      <c r="W1225" s="7" t="n"/>
      <c r="X1225" s="7" t="n"/>
      <c r="Z1225">
        <f>Z1224+IF(W1225="",0,IF(ISNA(MATCH(W1225,W$256:W1224,0)),1,0))</f>
        <v/>
      </c>
      <c r="AA1225">
        <f>IF(Z1225&gt;Z1224,Z1225,"")</f>
        <v/>
      </c>
      <c r="AB1225">
        <f>AB1224+IF(X1225="",0,IF(ISNA(MATCH(X1225,X$256:X1224,0)),1,0))</f>
        <v/>
      </c>
      <c r="AC1225">
        <f>IF(AB1225&gt;AB1224,AB1225,"")</f>
        <v/>
      </c>
    </row>
    <row r="1226">
      <c r="W1226" s="7" t="n"/>
      <c r="X1226" s="7" t="n"/>
      <c r="Z1226">
        <f>Z1225+IF(W1226="",0,IF(ISNA(MATCH(W1226,W$256:W1225,0)),1,0))</f>
        <v/>
      </c>
      <c r="AA1226">
        <f>IF(Z1226&gt;Z1225,Z1226,"")</f>
        <v/>
      </c>
      <c r="AB1226">
        <f>AB1225+IF(X1226="",0,IF(ISNA(MATCH(X1226,X$256:X1225,0)),1,0))</f>
        <v/>
      </c>
      <c r="AC1226">
        <f>IF(AB1226&gt;AB1225,AB1226,"")</f>
        <v/>
      </c>
    </row>
    <row r="1227">
      <c r="W1227" s="7" t="n"/>
      <c r="X1227" s="7" t="n"/>
      <c r="Z1227">
        <f>Z1226+IF(W1227="",0,IF(ISNA(MATCH(W1227,W$256:W1226,0)),1,0))</f>
        <v/>
      </c>
      <c r="AA1227">
        <f>IF(Z1227&gt;Z1226,Z1227,"")</f>
        <v/>
      </c>
      <c r="AB1227">
        <f>AB1226+IF(X1227="",0,IF(ISNA(MATCH(X1227,X$256:X1226,0)),1,0))</f>
        <v/>
      </c>
      <c r="AC1227">
        <f>IF(AB1227&gt;AB1226,AB1227,"")</f>
        <v/>
      </c>
    </row>
    <row r="1228">
      <c r="W1228" s="7" t="n"/>
      <c r="X1228" s="7" t="n"/>
      <c r="Z1228">
        <f>Z1227+IF(W1228="",0,IF(ISNA(MATCH(W1228,W$256:W1227,0)),1,0))</f>
        <v/>
      </c>
      <c r="AA1228">
        <f>IF(Z1228&gt;Z1227,Z1228,"")</f>
        <v/>
      </c>
      <c r="AB1228">
        <f>AB1227+IF(X1228="",0,IF(ISNA(MATCH(X1228,X$256:X1227,0)),1,0))</f>
        <v/>
      </c>
      <c r="AC1228">
        <f>IF(AB1228&gt;AB1227,AB1228,"")</f>
        <v/>
      </c>
    </row>
    <row r="1229">
      <c r="W1229" s="7" t="n"/>
      <c r="X1229" s="7" t="n"/>
      <c r="Z1229">
        <f>Z1228+IF(W1229="",0,IF(ISNA(MATCH(W1229,W$256:W1228,0)),1,0))</f>
        <v/>
      </c>
      <c r="AA1229">
        <f>IF(Z1229&gt;Z1228,Z1229,"")</f>
        <v/>
      </c>
      <c r="AB1229">
        <f>AB1228+IF(X1229="",0,IF(ISNA(MATCH(X1229,X$256:X1228,0)),1,0))</f>
        <v/>
      </c>
      <c r="AC1229">
        <f>IF(AB1229&gt;AB1228,AB1229,"")</f>
        <v/>
      </c>
    </row>
    <row r="1230">
      <c r="W1230" s="7" t="n"/>
      <c r="X1230" s="7" t="n"/>
      <c r="Z1230">
        <f>Z1229+IF(W1230="",0,IF(ISNA(MATCH(W1230,W$256:W1229,0)),1,0))</f>
        <v/>
      </c>
      <c r="AA1230">
        <f>IF(Z1230&gt;Z1229,Z1230,"")</f>
        <v/>
      </c>
      <c r="AB1230">
        <f>AB1229+IF(X1230="",0,IF(ISNA(MATCH(X1230,X$256:X1229,0)),1,0))</f>
        <v/>
      </c>
      <c r="AC1230">
        <f>IF(AB1230&gt;AB1229,AB1230,"")</f>
        <v/>
      </c>
    </row>
    <row r="1231">
      <c r="W1231" s="7" t="n"/>
      <c r="X1231" s="7" t="n"/>
      <c r="Z1231">
        <f>Z1230+IF(W1231="",0,IF(ISNA(MATCH(W1231,W$256:W1230,0)),1,0))</f>
        <v/>
      </c>
      <c r="AA1231">
        <f>IF(Z1231&gt;Z1230,Z1231,"")</f>
        <v/>
      </c>
      <c r="AB1231">
        <f>AB1230+IF(X1231="",0,IF(ISNA(MATCH(X1231,X$256:X1230,0)),1,0))</f>
        <v/>
      </c>
      <c r="AC1231">
        <f>IF(AB1231&gt;AB1230,AB1231,"")</f>
        <v/>
      </c>
    </row>
    <row r="1232">
      <c r="W1232" s="7" t="n"/>
      <c r="X1232" s="7" t="n"/>
      <c r="Z1232">
        <f>Z1231+IF(W1232="",0,IF(ISNA(MATCH(W1232,W$256:W1231,0)),1,0))</f>
        <v/>
      </c>
      <c r="AA1232">
        <f>IF(Z1232&gt;Z1231,Z1232,"")</f>
        <v/>
      </c>
      <c r="AB1232">
        <f>AB1231+IF(X1232="",0,IF(ISNA(MATCH(X1232,X$256:X1231,0)),1,0))</f>
        <v/>
      </c>
      <c r="AC1232">
        <f>IF(AB1232&gt;AB1231,AB1232,"")</f>
        <v/>
      </c>
    </row>
    <row r="1233">
      <c r="W1233" s="7" t="n"/>
      <c r="X1233" s="7" t="n"/>
      <c r="Z1233">
        <f>Z1232+IF(W1233="",0,IF(ISNA(MATCH(W1233,W$256:W1232,0)),1,0))</f>
        <v/>
      </c>
      <c r="AA1233">
        <f>IF(Z1233&gt;Z1232,Z1233,"")</f>
        <v/>
      </c>
      <c r="AB1233">
        <f>AB1232+IF(X1233="",0,IF(ISNA(MATCH(X1233,X$256:X1232,0)),1,0))</f>
        <v/>
      </c>
      <c r="AC1233">
        <f>IF(AB1233&gt;AB1232,AB1233,"")</f>
        <v/>
      </c>
    </row>
    <row r="1234">
      <c r="W1234" s="7" t="n"/>
      <c r="X1234" s="7" t="n"/>
      <c r="Z1234">
        <f>Z1233+IF(W1234="",0,IF(ISNA(MATCH(W1234,W$256:W1233,0)),1,0))</f>
        <v/>
      </c>
      <c r="AA1234">
        <f>IF(Z1234&gt;Z1233,Z1234,"")</f>
        <v/>
      </c>
      <c r="AB1234">
        <f>AB1233+IF(X1234="",0,IF(ISNA(MATCH(X1234,X$256:X1233,0)),1,0))</f>
        <v/>
      </c>
      <c r="AC1234">
        <f>IF(AB1234&gt;AB1233,AB1234,"")</f>
        <v/>
      </c>
    </row>
    <row r="1235">
      <c r="W1235" s="7" t="n"/>
      <c r="X1235" s="7" t="n"/>
      <c r="Z1235">
        <f>Z1234+IF(W1235="",0,IF(ISNA(MATCH(W1235,W$256:W1234,0)),1,0))</f>
        <v/>
      </c>
      <c r="AA1235">
        <f>IF(Z1235&gt;Z1234,Z1235,"")</f>
        <v/>
      </c>
      <c r="AB1235">
        <f>AB1234+IF(X1235="",0,IF(ISNA(MATCH(X1235,X$256:X1234,0)),1,0))</f>
        <v/>
      </c>
      <c r="AC1235">
        <f>IF(AB1235&gt;AB1234,AB1235,"")</f>
        <v/>
      </c>
    </row>
    <row r="1236">
      <c r="W1236" s="7" t="n"/>
      <c r="X1236" s="7" t="n"/>
      <c r="Z1236">
        <f>Z1235+IF(W1236="",0,IF(ISNA(MATCH(W1236,W$256:W1235,0)),1,0))</f>
        <v/>
      </c>
      <c r="AA1236">
        <f>IF(Z1236&gt;Z1235,Z1236,"")</f>
        <v/>
      </c>
      <c r="AB1236">
        <f>AB1235+IF(X1236="",0,IF(ISNA(MATCH(X1236,X$256:X1235,0)),1,0))</f>
        <v/>
      </c>
      <c r="AC1236">
        <f>IF(AB1236&gt;AB1235,AB1236,"")</f>
        <v/>
      </c>
    </row>
    <row r="1237">
      <c r="W1237" s="7" t="n"/>
      <c r="X1237" s="7" t="n"/>
      <c r="Z1237">
        <f>Z1236+IF(W1237="",0,IF(ISNA(MATCH(W1237,W$256:W1236,0)),1,0))</f>
        <v/>
      </c>
      <c r="AA1237">
        <f>IF(Z1237&gt;Z1236,Z1237,"")</f>
        <v/>
      </c>
      <c r="AB1237">
        <f>AB1236+IF(X1237="",0,IF(ISNA(MATCH(X1237,X$256:X1236,0)),1,0))</f>
        <v/>
      </c>
      <c r="AC1237">
        <f>IF(AB1237&gt;AB1236,AB1237,"")</f>
        <v/>
      </c>
    </row>
    <row r="1238">
      <c r="W1238" s="7" t="n"/>
      <c r="X1238" s="7" t="n"/>
      <c r="Z1238">
        <f>Z1237+IF(W1238="",0,IF(ISNA(MATCH(W1238,W$256:W1237,0)),1,0))</f>
        <v/>
      </c>
      <c r="AA1238">
        <f>IF(Z1238&gt;Z1237,Z1238,"")</f>
        <v/>
      </c>
      <c r="AB1238">
        <f>AB1237+IF(X1238="",0,IF(ISNA(MATCH(X1238,X$256:X1237,0)),1,0))</f>
        <v/>
      </c>
      <c r="AC1238">
        <f>IF(AB1238&gt;AB1237,AB1238,"")</f>
        <v/>
      </c>
    </row>
    <row r="1239">
      <c r="W1239" s="7" t="n"/>
      <c r="X1239" s="7" t="n"/>
      <c r="Z1239">
        <f>Z1238+IF(W1239="",0,IF(ISNA(MATCH(W1239,W$256:W1238,0)),1,0))</f>
        <v/>
      </c>
      <c r="AA1239">
        <f>IF(Z1239&gt;Z1238,Z1239,"")</f>
        <v/>
      </c>
      <c r="AB1239">
        <f>AB1238+IF(X1239="",0,IF(ISNA(MATCH(X1239,X$256:X1238,0)),1,0))</f>
        <v/>
      </c>
      <c r="AC1239">
        <f>IF(AB1239&gt;AB1238,AB1239,"")</f>
        <v/>
      </c>
    </row>
    <row r="1240">
      <c r="W1240" s="7" t="n"/>
      <c r="X1240" s="7" t="n"/>
      <c r="Z1240">
        <f>Z1239+IF(W1240="",0,IF(ISNA(MATCH(W1240,W$256:W1239,0)),1,0))</f>
        <v/>
      </c>
      <c r="AA1240">
        <f>IF(Z1240&gt;Z1239,Z1240,"")</f>
        <v/>
      </c>
      <c r="AB1240">
        <f>AB1239+IF(X1240="",0,IF(ISNA(MATCH(X1240,X$256:X1239,0)),1,0))</f>
        <v/>
      </c>
      <c r="AC1240">
        <f>IF(AB1240&gt;AB1239,AB1240,"")</f>
        <v/>
      </c>
    </row>
    <row r="1241">
      <c r="W1241" s="7" t="n"/>
      <c r="X1241" s="7" t="n"/>
      <c r="Z1241">
        <f>Z1240+IF(W1241="",0,IF(ISNA(MATCH(W1241,W$256:W1240,0)),1,0))</f>
        <v/>
      </c>
      <c r="AA1241">
        <f>IF(Z1241&gt;Z1240,Z1241,"")</f>
        <v/>
      </c>
      <c r="AB1241">
        <f>AB1240+IF(X1241="",0,IF(ISNA(MATCH(X1241,X$256:X1240,0)),1,0))</f>
        <v/>
      </c>
      <c r="AC1241">
        <f>IF(AB1241&gt;AB1240,AB1241,"")</f>
        <v/>
      </c>
    </row>
    <row r="1242">
      <c r="W1242" s="7" t="n"/>
      <c r="X1242" s="7" t="n"/>
      <c r="Z1242">
        <f>Z1241+IF(W1242="",0,IF(ISNA(MATCH(W1242,W$256:W1241,0)),1,0))</f>
        <v/>
      </c>
      <c r="AA1242">
        <f>IF(Z1242&gt;Z1241,Z1242,"")</f>
        <v/>
      </c>
      <c r="AB1242">
        <f>AB1241+IF(X1242="",0,IF(ISNA(MATCH(X1242,X$256:X1241,0)),1,0))</f>
        <v/>
      </c>
      <c r="AC1242">
        <f>IF(AB1242&gt;AB1241,AB1242,"")</f>
        <v/>
      </c>
    </row>
    <row r="1243">
      <c r="W1243" s="7" t="n"/>
      <c r="X1243" s="7" t="n"/>
      <c r="Z1243">
        <f>Z1242+IF(W1243="",0,IF(ISNA(MATCH(W1243,W$256:W1242,0)),1,0))</f>
        <v/>
      </c>
      <c r="AA1243">
        <f>IF(Z1243&gt;Z1242,Z1243,"")</f>
        <v/>
      </c>
      <c r="AB1243">
        <f>AB1242+IF(X1243="",0,IF(ISNA(MATCH(X1243,X$256:X1242,0)),1,0))</f>
        <v/>
      </c>
      <c r="AC1243">
        <f>IF(AB1243&gt;AB1242,AB1243,"")</f>
        <v/>
      </c>
    </row>
    <row r="1244">
      <c r="W1244" s="7" t="n"/>
      <c r="X1244" s="7" t="n"/>
      <c r="Z1244">
        <f>Z1243+IF(W1244="",0,IF(ISNA(MATCH(W1244,W$256:W1243,0)),1,0))</f>
        <v/>
      </c>
      <c r="AA1244">
        <f>IF(Z1244&gt;Z1243,Z1244,"")</f>
        <v/>
      </c>
      <c r="AB1244">
        <f>AB1243+IF(X1244="",0,IF(ISNA(MATCH(X1244,X$256:X1243,0)),1,0))</f>
        <v/>
      </c>
      <c r="AC1244">
        <f>IF(AB1244&gt;AB1243,AB1244,"")</f>
        <v/>
      </c>
    </row>
    <row r="1245">
      <c r="W1245" s="7" t="n"/>
      <c r="X1245" s="7" t="n"/>
      <c r="Z1245">
        <f>Z1244+IF(W1245="",0,IF(ISNA(MATCH(W1245,W$256:W1244,0)),1,0))</f>
        <v/>
      </c>
      <c r="AA1245">
        <f>IF(Z1245&gt;Z1244,Z1245,"")</f>
        <v/>
      </c>
      <c r="AB1245">
        <f>AB1244+IF(X1245="",0,IF(ISNA(MATCH(X1245,X$256:X1244,0)),1,0))</f>
        <v/>
      </c>
      <c r="AC1245">
        <f>IF(AB1245&gt;AB1244,AB1245,"")</f>
        <v/>
      </c>
    </row>
    <row r="1246">
      <c r="W1246" s="7" t="n"/>
      <c r="X1246" s="7" t="n"/>
      <c r="Z1246">
        <f>Z1245+IF(W1246="",0,IF(ISNA(MATCH(W1246,W$256:W1245,0)),1,0))</f>
        <v/>
      </c>
      <c r="AA1246">
        <f>IF(Z1246&gt;Z1245,Z1246,"")</f>
        <v/>
      </c>
      <c r="AB1246">
        <f>AB1245+IF(X1246="",0,IF(ISNA(MATCH(X1246,X$256:X1245,0)),1,0))</f>
        <v/>
      </c>
      <c r="AC1246">
        <f>IF(AB1246&gt;AB1245,AB1246,"")</f>
        <v/>
      </c>
    </row>
    <row r="1247">
      <c r="W1247" s="7" t="n"/>
      <c r="X1247" s="7" t="n"/>
      <c r="Z1247">
        <f>Z1246+IF(W1247="",0,IF(ISNA(MATCH(W1247,W$256:W1246,0)),1,0))</f>
        <v/>
      </c>
      <c r="AA1247">
        <f>IF(Z1247&gt;Z1246,Z1247,"")</f>
        <v/>
      </c>
      <c r="AB1247">
        <f>AB1246+IF(X1247="",0,IF(ISNA(MATCH(X1247,X$256:X1246,0)),1,0))</f>
        <v/>
      </c>
      <c r="AC1247">
        <f>IF(AB1247&gt;AB1246,AB1247,"")</f>
        <v/>
      </c>
    </row>
    <row r="1248">
      <c r="W1248" s="7" t="n"/>
      <c r="X1248" s="7" t="n"/>
      <c r="Z1248">
        <f>Z1247+IF(W1248="",0,IF(ISNA(MATCH(W1248,W$256:W1247,0)),1,0))</f>
        <v/>
      </c>
      <c r="AA1248">
        <f>IF(Z1248&gt;Z1247,Z1248,"")</f>
        <v/>
      </c>
      <c r="AB1248">
        <f>AB1247+IF(X1248="",0,IF(ISNA(MATCH(X1248,X$256:X1247,0)),1,0))</f>
        <v/>
      </c>
      <c r="AC1248">
        <f>IF(AB1248&gt;AB1247,AB1248,"")</f>
        <v/>
      </c>
    </row>
    <row r="1249">
      <c r="W1249" s="7" t="n"/>
      <c r="X1249" s="7" t="n"/>
      <c r="Z1249">
        <f>Z1248+IF(W1249="",0,IF(ISNA(MATCH(W1249,W$256:W1248,0)),1,0))</f>
        <v/>
      </c>
      <c r="AA1249">
        <f>IF(Z1249&gt;Z1248,Z1249,"")</f>
        <v/>
      </c>
      <c r="AB1249">
        <f>AB1248+IF(X1249="",0,IF(ISNA(MATCH(X1249,X$256:X1248,0)),1,0))</f>
        <v/>
      </c>
      <c r="AC1249">
        <f>IF(AB1249&gt;AB1248,AB1249,"")</f>
        <v/>
      </c>
    </row>
    <row r="1250">
      <c r="W1250" s="7" t="n"/>
      <c r="X1250" s="7" t="n"/>
      <c r="Z1250">
        <f>Z1249+IF(W1250="",0,IF(ISNA(MATCH(W1250,W$256:W1249,0)),1,0))</f>
        <v/>
      </c>
      <c r="AA1250">
        <f>IF(Z1250&gt;Z1249,Z1250,"")</f>
        <v/>
      </c>
      <c r="AB1250">
        <f>AB1249+IF(X1250="",0,IF(ISNA(MATCH(X1250,X$256:X1249,0)),1,0))</f>
        <v/>
      </c>
      <c r="AC1250">
        <f>IF(AB1250&gt;AB1249,AB1250,"")</f>
        <v/>
      </c>
    </row>
    <row r="1251">
      <c r="W1251" s="7" t="n"/>
      <c r="X1251" s="7" t="n"/>
      <c r="Z1251">
        <f>Z1250+IF(W1251="",0,IF(ISNA(MATCH(W1251,W$256:W1250,0)),1,0))</f>
        <v/>
      </c>
      <c r="AA1251">
        <f>IF(Z1251&gt;Z1250,Z1251,"")</f>
        <v/>
      </c>
      <c r="AB1251">
        <f>AB1250+IF(X1251="",0,IF(ISNA(MATCH(X1251,X$256:X1250,0)),1,0))</f>
        <v/>
      </c>
      <c r="AC1251">
        <f>IF(AB1251&gt;AB1250,AB1251,"")</f>
        <v/>
      </c>
    </row>
    <row r="1252">
      <c r="W1252" s="7" t="n"/>
      <c r="X1252" s="7" t="n"/>
      <c r="Z1252">
        <f>Z1251+IF(W1252="",0,IF(ISNA(MATCH(W1252,W$256:W1251,0)),1,0))</f>
        <v/>
      </c>
      <c r="AA1252">
        <f>IF(Z1252&gt;Z1251,Z1252,"")</f>
        <v/>
      </c>
      <c r="AB1252">
        <f>AB1251+IF(X1252="",0,IF(ISNA(MATCH(X1252,X$256:X1251,0)),1,0))</f>
        <v/>
      </c>
      <c r="AC1252">
        <f>IF(AB1252&gt;AB1251,AB1252,"")</f>
        <v/>
      </c>
    </row>
    <row r="1253">
      <c r="W1253" s="7" t="n"/>
      <c r="X1253" s="7" t="n"/>
      <c r="Z1253">
        <f>Z1252+IF(W1253="",0,IF(ISNA(MATCH(W1253,W$256:W1252,0)),1,0))</f>
        <v/>
      </c>
      <c r="AA1253">
        <f>IF(Z1253&gt;Z1252,Z1253,"")</f>
        <v/>
      </c>
      <c r="AB1253">
        <f>AB1252+IF(X1253="",0,IF(ISNA(MATCH(X1253,X$256:X1252,0)),1,0))</f>
        <v/>
      </c>
      <c r="AC1253">
        <f>IF(AB1253&gt;AB1252,AB1253,"")</f>
        <v/>
      </c>
    </row>
    <row r="1254">
      <c r="W1254" s="7" t="n"/>
      <c r="X1254" s="7" t="n"/>
      <c r="Z1254">
        <f>Z1253+IF(W1254="",0,IF(ISNA(MATCH(W1254,W$256:W1253,0)),1,0))</f>
        <v/>
      </c>
      <c r="AA1254">
        <f>IF(Z1254&gt;Z1253,Z1254,"")</f>
        <v/>
      </c>
      <c r="AB1254">
        <f>AB1253+IF(X1254="",0,IF(ISNA(MATCH(X1254,X$256:X1253,0)),1,0))</f>
        <v/>
      </c>
      <c r="AC1254">
        <f>IF(AB1254&gt;AB1253,AB1254,"")</f>
        <v/>
      </c>
    </row>
    <row r="1255">
      <c r="W1255" s="7" t="n"/>
      <c r="X1255" s="7" t="n"/>
      <c r="Z1255">
        <f>Z1254+IF(W1255="",0,IF(ISNA(MATCH(W1255,W$256:W1254,0)),1,0))</f>
        <v/>
      </c>
      <c r="AA1255">
        <f>IF(Z1255&gt;Z1254,Z1255,"")</f>
        <v/>
      </c>
      <c r="AB1255">
        <f>AB1254+IF(X1255="",0,IF(ISNA(MATCH(X1255,X$256:X1254,0)),1,0))</f>
        <v/>
      </c>
      <c r="AC1255">
        <f>IF(AB1255&gt;AB1254,AB1255,"")</f>
        <v/>
      </c>
    </row>
    <row r="1256">
      <c r="W1256" s="7" t="n"/>
      <c r="X1256" s="7" t="n"/>
      <c r="Z1256">
        <f>Z1255+IF(W1256="",0,IF(ISNA(MATCH(W1256,W$256:W1255,0)),1,0))</f>
        <v/>
      </c>
      <c r="AA1256">
        <f>IF(Z1256&gt;Z1255,Z1256,"")</f>
        <v/>
      </c>
      <c r="AB1256">
        <f>AB1255+IF(X1256="",0,IF(ISNA(MATCH(X1256,X$256:X1255,0)),1,0))</f>
        <v/>
      </c>
      <c r="AC1256">
        <f>IF(AB1256&gt;AB1255,AB1256,"")</f>
        <v/>
      </c>
    </row>
    <row r="1257">
      <c r="W1257" s="7" t="n"/>
      <c r="X1257" s="7" t="n"/>
      <c r="Z1257">
        <f>Z1256+IF(W1257="",0,IF(ISNA(MATCH(W1257,W$256:W1256,0)),1,0))</f>
        <v/>
      </c>
      <c r="AA1257">
        <f>IF(Z1257&gt;Z1256,Z1257,"")</f>
        <v/>
      </c>
      <c r="AB1257">
        <f>AB1256+IF(X1257="",0,IF(ISNA(MATCH(X1257,X$256:X1256,0)),1,0))</f>
        <v/>
      </c>
      <c r="AC1257">
        <f>IF(AB1257&gt;AB1256,AB1257,"")</f>
        <v/>
      </c>
    </row>
    <row r="1258">
      <c r="W1258" s="7" t="n"/>
      <c r="X1258" s="7" t="n"/>
      <c r="Z1258">
        <f>Z1257+IF(W1258="",0,IF(ISNA(MATCH(W1258,W$256:W1257,0)),1,0))</f>
        <v/>
      </c>
      <c r="AA1258">
        <f>IF(Z1258&gt;Z1257,Z1258,"")</f>
        <v/>
      </c>
      <c r="AB1258">
        <f>AB1257+IF(X1258="",0,IF(ISNA(MATCH(X1258,X$256:X1257,0)),1,0))</f>
        <v/>
      </c>
      <c r="AC1258">
        <f>IF(AB1258&gt;AB1257,AB1258,"")</f>
        <v/>
      </c>
    </row>
    <row r="1259">
      <c r="W1259" s="7" t="n"/>
      <c r="X1259" s="7" t="n"/>
      <c r="Z1259">
        <f>Z1258+IF(W1259="",0,IF(ISNA(MATCH(W1259,W$256:W1258,0)),1,0))</f>
        <v/>
      </c>
      <c r="AA1259">
        <f>IF(Z1259&gt;Z1258,Z1259,"")</f>
        <v/>
      </c>
      <c r="AB1259">
        <f>AB1258+IF(X1259="",0,IF(ISNA(MATCH(X1259,X$256:X1258,0)),1,0))</f>
        <v/>
      </c>
      <c r="AC1259">
        <f>IF(AB1259&gt;AB1258,AB1259,"")</f>
        <v/>
      </c>
    </row>
    <row r="1260">
      <c r="W1260" s="7" t="n"/>
      <c r="X1260" s="7" t="n"/>
      <c r="Z1260">
        <f>Z1259+IF(W1260="",0,IF(ISNA(MATCH(W1260,W$256:W1259,0)),1,0))</f>
        <v/>
      </c>
      <c r="AA1260">
        <f>IF(Z1260&gt;Z1259,Z1260,"")</f>
        <v/>
      </c>
      <c r="AB1260">
        <f>AB1259+IF(X1260="",0,IF(ISNA(MATCH(X1260,X$256:X1259,0)),1,0))</f>
        <v/>
      </c>
      <c r="AC1260">
        <f>IF(AB1260&gt;AB1259,AB1260,"")</f>
        <v/>
      </c>
    </row>
    <row r="1261">
      <c r="W1261" s="7" t="n"/>
      <c r="X1261" s="7" t="n"/>
      <c r="Z1261">
        <f>Z1260+IF(W1261="",0,IF(ISNA(MATCH(W1261,W$256:W1260,0)),1,0))</f>
        <v/>
      </c>
      <c r="AA1261">
        <f>IF(Z1261&gt;Z1260,Z1261,"")</f>
        <v/>
      </c>
      <c r="AB1261">
        <f>AB1260+IF(X1261="",0,IF(ISNA(MATCH(X1261,X$256:X1260,0)),1,0))</f>
        <v/>
      </c>
      <c r="AC1261">
        <f>IF(AB1261&gt;AB1260,AB1261,"")</f>
        <v/>
      </c>
    </row>
    <row r="1262">
      <c r="W1262" s="7" t="n"/>
      <c r="X1262" s="7" t="n"/>
      <c r="Z1262">
        <f>Z1261+IF(W1262="",0,IF(ISNA(MATCH(W1262,W$256:W1261,0)),1,0))</f>
        <v/>
      </c>
      <c r="AA1262">
        <f>IF(Z1262&gt;Z1261,Z1262,"")</f>
        <v/>
      </c>
      <c r="AB1262">
        <f>AB1261+IF(X1262="",0,IF(ISNA(MATCH(X1262,X$256:X1261,0)),1,0))</f>
        <v/>
      </c>
      <c r="AC1262">
        <f>IF(AB1262&gt;AB1261,AB1262,"")</f>
        <v/>
      </c>
    </row>
    <row r="1263">
      <c r="W1263" s="7" t="n"/>
      <c r="X1263" s="7" t="n"/>
      <c r="Z1263">
        <f>Z1262+IF(W1263="",0,IF(ISNA(MATCH(W1263,W$256:W1262,0)),1,0))</f>
        <v/>
      </c>
      <c r="AA1263">
        <f>IF(Z1263&gt;Z1262,Z1263,"")</f>
        <v/>
      </c>
      <c r="AB1263">
        <f>AB1262+IF(X1263="",0,IF(ISNA(MATCH(X1263,X$256:X1262,0)),1,0))</f>
        <v/>
      </c>
      <c r="AC1263">
        <f>IF(AB1263&gt;AB1262,AB1263,"")</f>
        <v/>
      </c>
    </row>
    <row r="1264">
      <c r="W1264" s="7" t="n"/>
      <c r="X1264" s="7" t="n"/>
      <c r="Z1264">
        <f>Z1263+IF(W1264="",0,IF(ISNA(MATCH(W1264,W$256:W1263,0)),1,0))</f>
        <v/>
      </c>
      <c r="AA1264">
        <f>IF(Z1264&gt;Z1263,Z1264,"")</f>
        <v/>
      </c>
      <c r="AB1264">
        <f>AB1263+IF(X1264="",0,IF(ISNA(MATCH(X1264,X$256:X1263,0)),1,0))</f>
        <v/>
      </c>
      <c r="AC1264">
        <f>IF(AB1264&gt;AB1263,AB1264,"")</f>
        <v/>
      </c>
    </row>
    <row r="1265">
      <c r="W1265" s="7" t="n"/>
      <c r="X1265" s="7" t="n"/>
      <c r="Z1265">
        <f>Z1264+IF(W1265="",0,IF(ISNA(MATCH(W1265,W$256:W1264,0)),1,0))</f>
        <v/>
      </c>
      <c r="AA1265">
        <f>IF(Z1265&gt;Z1264,Z1265,"")</f>
        <v/>
      </c>
      <c r="AB1265">
        <f>AB1264+IF(X1265="",0,IF(ISNA(MATCH(X1265,X$256:X1264,0)),1,0))</f>
        <v/>
      </c>
      <c r="AC1265">
        <f>IF(AB1265&gt;AB1264,AB1265,"")</f>
        <v/>
      </c>
    </row>
    <row r="1266">
      <c r="W1266" s="7" t="n"/>
      <c r="X1266" s="7" t="n"/>
      <c r="Z1266">
        <f>Z1265+IF(W1266="",0,IF(ISNA(MATCH(W1266,W$256:W1265,0)),1,0))</f>
        <v/>
      </c>
      <c r="AA1266">
        <f>IF(Z1266&gt;Z1265,Z1266,"")</f>
        <v/>
      </c>
      <c r="AB1266">
        <f>AB1265+IF(X1266="",0,IF(ISNA(MATCH(X1266,X$256:X1265,0)),1,0))</f>
        <v/>
      </c>
      <c r="AC1266">
        <f>IF(AB1266&gt;AB1265,AB1266,"")</f>
        <v/>
      </c>
    </row>
    <row r="1267">
      <c r="W1267" s="7" t="n"/>
      <c r="X1267" s="7" t="n"/>
      <c r="Z1267">
        <f>Z1266+IF(W1267="",0,IF(ISNA(MATCH(W1267,W$256:W1266,0)),1,0))</f>
        <v/>
      </c>
      <c r="AA1267">
        <f>IF(Z1267&gt;Z1266,Z1267,"")</f>
        <v/>
      </c>
      <c r="AB1267">
        <f>AB1266+IF(X1267="",0,IF(ISNA(MATCH(X1267,X$256:X1266,0)),1,0))</f>
        <v/>
      </c>
      <c r="AC1267">
        <f>IF(AB1267&gt;AB1266,AB1267,"")</f>
        <v/>
      </c>
    </row>
    <row r="1268">
      <c r="W1268" s="7" t="n"/>
      <c r="X1268" s="7" t="n"/>
      <c r="Z1268">
        <f>Z1267+IF(W1268="",0,IF(ISNA(MATCH(W1268,W$256:W1267,0)),1,0))</f>
        <v/>
      </c>
      <c r="AA1268">
        <f>IF(Z1268&gt;Z1267,Z1268,"")</f>
        <v/>
      </c>
      <c r="AB1268">
        <f>AB1267+IF(X1268="",0,IF(ISNA(MATCH(X1268,X$256:X1267,0)),1,0))</f>
        <v/>
      </c>
      <c r="AC1268">
        <f>IF(AB1268&gt;AB1267,AB1268,"")</f>
        <v/>
      </c>
    </row>
    <row r="1269">
      <c r="W1269" s="7" t="n"/>
      <c r="X1269" s="7" t="n"/>
      <c r="Z1269">
        <f>Z1268+IF(W1269="",0,IF(ISNA(MATCH(W1269,W$256:W1268,0)),1,0))</f>
        <v/>
      </c>
      <c r="AA1269">
        <f>IF(Z1269&gt;Z1268,Z1269,"")</f>
        <v/>
      </c>
      <c r="AB1269">
        <f>AB1268+IF(X1269="",0,IF(ISNA(MATCH(X1269,X$256:X1268,0)),1,0))</f>
        <v/>
      </c>
      <c r="AC1269">
        <f>IF(AB1269&gt;AB1268,AB1269,"")</f>
        <v/>
      </c>
    </row>
    <row r="1270">
      <c r="W1270" s="7" t="n"/>
      <c r="X1270" s="7" t="n"/>
      <c r="Z1270">
        <f>Z1269+IF(W1270="",0,IF(ISNA(MATCH(W1270,W$256:W1269,0)),1,0))</f>
        <v/>
      </c>
      <c r="AA1270">
        <f>IF(Z1270&gt;Z1269,Z1270,"")</f>
        <v/>
      </c>
      <c r="AB1270">
        <f>AB1269+IF(X1270="",0,IF(ISNA(MATCH(X1270,X$256:X1269,0)),1,0))</f>
        <v/>
      </c>
      <c r="AC1270">
        <f>IF(AB1270&gt;AB1269,AB1270,"")</f>
        <v/>
      </c>
    </row>
    <row r="1271">
      <c r="W1271" s="7" t="n"/>
      <c r="X1271" s="7" t="n"/>
      <c r="Z1271">
        <f>Z1270+IF(W1271="",0,IF(ISNA(MATCH(W1271,W$256:W1270,0)),1,0))</f>
        <v/>
      </c>
      <c r="AA1271">
        <f>IF(Z1271&gt;Z1270,Z1271,"")</f>
        <v/>
      </c>
      <c r="AB1271">
        <f>AB1270+IF(X1271="",0,IF(ISNA(MATCH(X1271,X$256:X1270,0)),1,0))</f>
        <v/>
      </c>
      <c r="AC1271">
        <f>IF(AB1271&gt;AB1270,AB1271,"")</f>
        <v/>
      </c>
    </row>
    <row r="1272">
      <c r="W1272" s="7" t="n"/>
      <c r="X1272" s="7" t="n"/>
      <c r="Z1272">
        <f>Z1271+IF(W1272="",0,IF(ISNA(MATCH(W1272,W$256:W1271,0)),1,0))</f>
        <v/>
      </c>
      <c r="AA1272">
        <f>IF(Z1272&gt;Z1271,Z1272,"")</f>
        <v/>
      </c>
      <c r="AB1272">
        <f>AB1271+IF(X1272="",0,IF(ISNA(MATCH(X1272,X$256:X1271,0)),1,0))</f>
        <v/>
      </c>
      <c r="AC1272">
        <f>IF(AB1272&gt;AB1271,AB1272,"")</f>
        <v/>
      </c>
    </row>
    <row r="1273">
      <c r="W1273" s="7" t="n"/>
      <c r="X1273" s="7" t="n"/>
      <c r="Z1273">
        <f>Z1272+IF(W1273="",0,IF(ISNA(MATCH(W1273,W$256:W1272,0)),1,0))</f>
        <v/>
      </c>
      <c r="AA1273">
        <f>IF(Z1273&gt;Z1272,Z1273,"")</f>
        <v/>
      </c>
      <c r="AB1273">
        <f>AB1272+IF(X1273="",0,IF(ISNA(MATCH(X1273,X$256:X1272,0)),1,0))</f>
        <v/>
      </c>
      <c r="AC1273">
        <f>IF(AB1273&gt;AB1272,AB1273,"")</f>
        <v/>
      </c>
    </row>
    <row r="1274">
      <c r="W1274" s="7" t="n"/>
      <c r="X1274" s="7" t="n"/>
      <c r="Z1274">
        <f>Z1273+IF(W1274="",0,IF(ISNA(MATCH(W1274,W$256:W1273,0)),1,0))</f>
        <v/>
      </c>
      <c r="AA1274">
        <f>IF(Z1274&gt;Z1273,Z1274,"")</f>
        <v/>
      </c>
      <c r="AB1274">
        <f>AB1273+IF(X1274="",0,IF(ISNA(MATCH(X1274,X$256:X1273,0)),1,0))</f>
        <v/>
      </c>
      <c r="AC1274">
        <f>IF(AB1274&gt;AB1273,AB1274,"")</f>
        <v/>
      </c>
    </row>
    <row r="1275">
      <c r="W1275" s="7" t="n"/>
      <c r="X1275" s="7" t="n"/>
      <c r="Z1275">
        <f>Z1274+IF(W1275="",0,IF(ISNA(MATCH(W1275,W$256:W1274,0)),1,0))</f>
        <v/>
      </c>
      <c r="AA1275">
        <f>IF(Z1275&gt;Z1274,Z1275,"")</f>
        <v/>
      </c>
      <c r="AB1275">
        <f>AB1274+IF(X1275="",0,IF(ISNA(MATCH(X1275,X$256:X1274,0)),1,0))</f>
        <v/>
      </c>
      <c r="AC1275">
        <f>IF(AB1275&gt;AB1274,AB1275,"")</f>
        <v/>
      </c>
    </row>
    <row r="1276">
      <c r="W1276" s="7" t="n"/>
      <c r="X1276" s="7" t="n"/>
      <c r="Z1276">
        <f>Z1275+IF(W1276="",0,IF(ISNA(MATCH(W1276,W$256:W1275,0)),1,0))</f>
        <v/>
      </c>
      <c r="AA1276">
        <f>IF(Z1276&gt;Z1275,Z1276,"")</f>
        <v/>
      </c>
      <c r="AB1276">
        <f>AB1275+IF(X1276="",0,IF(ISNA(MATCH(X1276,X$256:X1275,0)),1,0))</f>
        <v/>
      </c>
      <c r="AC1276">
        <f>IF(AB1276&gt;AB1275,AB1276,"")</f>
        <v/>
      </c>
    </row>
    <row r="1277">
      <c r="W1277" s="7" t="n"/>
      <c r="X1277" s="7" t="n"/>
      <c r="Z1277">
        <f>Z1276+IF(W1277="",0,IF(ISNA(MATCH(W1277,W$256:W1276,0)),1,0))</f>
        <v/>
      </c>
      <c r="AA1277">
        <f>IF(Z1277&gt;Z1276,Z1277,"")</f>
        <v/>
      </c>
      <c r="AB1277">
        <f>AB1276+IF(X1277="",0,IF(ISNA(MATCH(X1277,X$256:X1276,0)),1,0))</f>
        <v/>
      </c>
      <c r="AC1277">
        <f>IF(AB1277&gt;AB1276,AB1277,"")</f>
        <v/>
      </c>
    </row>
    <row r="1278">
      <c r="W1278" s="7" t="n"/>
      <c r="X1278" s="7" t="n"/>
      <c r="Z1278">
        <f>Z1277+IF(W1278="",0,IF(ISNA(MATCH(W1278,W$256:W1277,0)),1,0))</f>
        <v/>
      </c>
      <c r="AA1278">
        <f>IF(Z1278&gt;Z1277,Z1278,"")</f>
        <v/>
      </c>
      <c r="AB1278">
        <f>AB1277+IF(X1278="",0,IF(ISNA(MATCH(X1278,X$256:X1277,0)),1,0))</f>
        <v/>
      </c>
      <c r="AC1278">
        <f>IF(AB1278&gt;AB1277,AB1278,"")</f>
        <v/>
      </c>
    </row>
    <row r="1279">
      <c r="W1279" s="7" t="n"/>
      <c r="X1279" s="7" t="n"/>
      <c r="Z1279">
        <f>Z1278+IF(W1279="",0,IF(ISNA(MATCH(W1279,W$256:W1278,0)),1,0))</f>
        <v/>
      </c>
      <c r="AA1279">
        <f>IF(Z1279&gt;Z1278,Z1279,"")</f>
        <v/>
      </c>
      <c r="AB1279">
        <f>AB1278+IF(X1279="",0,IF(ISNA(MATCH(X1279,X$256:X1278,0)),1,0))</f>
        <v/>
      </c>
      <c r="AC1279">
        <f>IF(AB1279&gt;AB1278,AB1279,"")</f>
        <v/>
      </c>
    </row>
    <row r="1280">
      <c r="W1280" s="7" t="n"/>
      <c r="X1280" s="7" t="n"/>
      <c r="Z1280">
        <f>Z1279+IF(W1280="",0,IF(ISNA(MATCH(W1280,W$256:W1279,0)),1,0))</f>
        <v/>
      </c>
      <c r="AA1280">
        <f>IF(Z1280&gt;Z1279,Z1280,"")</f>
        <v/>
      </c>
      <c r="AB1280">
        <f>AB1279+IF(X1280="",0,IF(ISNA(MATCH(X1280,X$256:X1279,0)),1,0))</f>
        <v/>
      </c>
      <c r="AC1280">
        <f>IF(AB1280&gt;AB1279,AB1280,"")</f>
        <v/>
      </c>
    </row>
    <row r="1281">
      <c r="W1281" s="7" t="n"/>
      <c r="X1281" s="7" t="n"/>
      <c r="Z1281">
        <f>Z1280+IF(W1281="",0,IF(ISNA(MATCH(W1281,W$256:W1280,0)),1,0))</f>
        <v/>
      </c>
      <c r="AA1281">
        <f>IF(Z1281&gt;Z1280,Z1281,"")</f>
        <v/>
      </c>
      <c r="AB1281">
        <f>AB1280+IF(X1281="",0,IF(ISNA(MATCH(X1281,X$256:X1280,0)),1,0))</f>
        <v/>
      </c>
      <c r="AC1281">
        <f>IF(AB1281&gt;AB1280,AB1281,"")</f>
        <v/>
      </c>
    </row>
    <row r="1282">
      <c r="W1282" s="7" t="n"/>
      <c r="X1282" s="7" t="n"/>
      <c r="Z1282">
        <f>Z1281+IF(W1282="",0,IF(ISNA(MATCH(W1282,W$256:W1281,0)),1,0))</f>
        <v/>
      </c>
      <c r="AA1282">
        <f>IF(Z1282&gt;Z1281,Z1282,"")</f>
        <v/>
      </c>
      <c r="AB1282">
        <f>AB1281+IF(X1282="",0,IF(ISNA(MATCH(X1282,X$256:X1281,0)),1,0))</f>
        <v/>
      </c>
      <c r="AC1282">
        <f>IF(AB1282&gt;AB1281,AB1282,"")</f>
        <v/>
      </c>
    </row>
    <row r="1283">
      <c r="W1283" s="7" t="n"/>
      <c r="X1283" s="7" t="n"/>
      <c r="Z1283">
        <f>Z1282+IF(W1283="",0,IF(ISNA(MATCH(W1283,W$256:W1282,0)),1,0))</f>
        <v/>
      </c>
      <c r="AA1283">
        <f>IF(Z1283&gt;Z1282,Z1283,"")</f>
        <v/>
      </c>
      <c r="AB1283">
        <f>AB1282+IF(X1283="",0,IF(ISNA(MATCH(X1283,X$256:X1282,0)),1,0))</f>
        <v/>
      </c>
      <c r="AC1283">
        <f>IF(AB1283&gt;AB1282,AB1283,"")</f>
        <v/>
      </c>
    </row>
    <row r="1284">
      <c r="W1284" s="7" t="n"/>
      <c r="X1284" s="7" t="n"/>
      <c r="Z1284">
        <f>Z1283+IF(W1284="",0,IF(ISNA(MATCH(W1284,W$256:W1283,0)),1,0))</f>
        <v/>
      </c>
      <c r="AA1284">
        <f>IF(Z1284&gt;Z1283,Z1284,"")</f>
        <v/>
      </c>
      <c r="AB1284">
        <f>AB1283+IF(X1284="",0,IF(ISNA(MATCH(X1284,X$256:X1283,0)),1,0))</f>
        <v/>
      </c>
      <c r="AC1284">
        <f>IF(AB1284&gt;AB1283,AB1284,"")</f>
        <v/>
      </c>
    </row>
    <row r="1285">
      <c r="W1285" s="7" t="n"/>
      <c r="X1285" s="7" t="n"/>
      <c r="Z1285">
        <f>Z1284+IF(W1285="",0,IF(ISNA(MATCH(W1285,W$256:W1284,0)),1,0))</f>
        <v/>
      </c>
      <c r="AA1285">
        <f>IF(Z1285&gt;Z1284,Z1285,"")</f>
        <v/>
      </c>
      <c r="AB1285">
        <f>AB1284+IF(X1285="",0,IF(ISNA(MATCH(X1285,X$256:X1284,0)),1,0))</f>
        <v/>
      </c>
      <c r="AC1285">
        <f>IF(AB1285&gt;AB1284,AB1285,"")</f>
        <v/>
      </c>
    </row>
    <row r="1286">
      <c r="W1286" s="7" t="n"/>
      <c r="X1286" s="7" t="n"/>
      <c r="Z1286">
        <f>Z1285+IF(W1286="",0,IF(ISNA(MATCH(W1286,W$256:W1285,0)),1,0))</f>
        <v/>
      </c>
      <c r="AA1286">
        <f>IF(Z1286&gt;Z1285,Z1286,"")</f>
        <v/>
      </c>
      <c r="AB1286">
        <f>AB1285+IF(X1286="",0,IF(ISNA(MATCH(X1286,X$256:X1285,0)),1,0))</f>
        <v/>
      </c>
      <c r="AC1286">
        <f>IF(AB1286&gt;AB1285,AB1286,"")</f>
        <v/>
      </c>
    </row>
    <row r="1287">
      <c r="W1287" s="7" t="n"/>
      <c r="X1287" s="7" t="n"/>
      <c r="Z1287">
        <f>Z1286+IF(W1287="",0,IF(ISNA(MATCH(W1287,W$256:W1286,0)),1,0))</f>
        <v/>
      </c>
      <c r="AA1287">
        <f>IF(Z1287&gt;Z1286,Z1287,"")</f>
        <v/>
      </c>
      <c r="AB1287">
        <f>AB1286+IF(X1287="",0,IF(ISNA(MATCH(X1287,X$256:X1286,0)),1,0))</f>
        <v/>
      </c>
      <c r="AC1287">
        <f>IF(AB1287&gt;AB1286,AB1287,"")</f>
        <v/>
      </c>
    </row>
    <row r="1288">
      <c r="W1288" s="7" t="n"/>
      <c r="X1288" s="7" t="n"/>
      <c r="Z1288">
        <f>Z1287+IF(W1288="",0,IF(ISNA(MATCH(W1288,W$256:W1287,0)),1,0))</f>
        <v/>
      </c>
      <c r="AA1288">
        <f>IF(Z1288&gt;Z1287,Z1288,"")</f>
        <v/>
      </c>
      <c r="AB1288">
        <f>AB1287+IF(X1288="",0,IF(ISNA(MATCH(X1288,X$256:X1287,0)),1,0))</f>
        <v/>
      </c>
      <c r="AC1288">
        <f>IF(AB1288&gt;AB1287,AB1288,"")</f>
        <v/>
      </c>
    </row>
    <row r="1289">
      <c r="W1289" s="7" t="n"/>
      <c r="X1289" s="7" t="n"/>
      <c r="Z1289">
        <f>Z1288+IF(W1289="",0,IF(ISNA(MATCH(W1289,W$256:W1288,0)),1,0))</f>
        <v/>
      </c>
      <c r="AA1289">
        <f>IF(Z1289&gt;Z1288,Z1289,"")</f>
        <v/>
      </c>
      <c r="AB1289">
        <f>AB1288+IF(X1289="",0,IF(ISNA(MATCH(X1289,X$256:X1288,0)),1,0))</f>
        <v/>
      </c>
      <c r="AC1289">
        <f>IF(AB1289&gt;AB1288,AB1289,"")</f>
        <v/>
      </c>
    </row>
    <row r="1290">
      <c r="W1290" s="7" t="n"/>
      <c r="X1290" s="7" t="n"/>
      <c r="Z1290">
        <f>Z1289+IF(W1290="",0,IF(ISNA(MATCH(W1290,W$256:W1289,0)),1,0))</f>
        <v/>
      </c>
      <c r="AA1290">
        <f>IF(Z1290&gt;Z1289,Z1290,"")</f>
        <v/>
      </c>
      <c r="AB1290">
        <f>AB1289+IF(X1290="",0,IF(ISNA(MATCH(X1290,X$256:X1289,0)),1,0))</f>
        <v/>
      </c>
      <c r="AC1290">
        <f>IF(AB1290&gt;AB1289,AB1290,"")</f>
        <v/>
      </c>
    </row>
    <row r="1291">
      <c r="W1291" s="7" t="n"/>
      <c r="X1291" s="7" t="n"/>
      <c r="Z1291">
        <f>Z1290+IF(W1291="",0,IF(ISNA(MATCH(W1291,W$256:W1290,0)),1,0))</f>
        <v/>
      </c>
      <c r="AA1291">
        <f>IF(Z1291&gt;Z1290,Z1291,"")</f>
        <v/>
      </c>
      <c r="AB1291">
        <f>AB1290+IF(X1291="",0,IF(ISNA(MATCH(X1291,X$256:X1290,0)),1,0))</f>
        <v/>
      </c>
      <c r="AC1291">
        <f>IF(AB1291&gt;AB1290,AB1291,"")</f>
        <v/>
      </c>
    </row>
    <row r="1292">
      <c r="W1292" s="7" t="n"/>
      <c r="X1292" s="7" t="n"/>
      <c r="Z1292">
        <f>Z1291+IF(W1292="",0,IF(ISNA(MATCH(W1292,W$256:W1291,0)),1,0))</f>
        <v/>
      </c>
      <c r="AA1292">
        <f>IF(Z1292&gt;Z1291,Z1292,"")</f>
        <v/>
      </c>
      <c r="AB1292">
        <f>AB1291+IF(X1292="",0,IF(ISNA(MATCH(X1292,X$256:X1291,0)),1,0))</f>
        <v/>
      </c>
      <c r="AC1292">
        <f>IF(AB1292&gt;AB1291,AB1292,"")</f>
        <v/>
      </c>
    </row>
    <row r="1293">
      <c r="W1293" s="7" t="n"/>
      <c r="X1293" s="7" t="n"/>
      <c r="Z1293">
        <f>Z1292+IF(W1293="",0,IF(ISNA(MATCH(W1293,W$256:W1292,0)),1,0))</f>
        <v/>
      </c>
      <c r="AA1293">
        <f>IF(Z1293&gt;Z1292,Z1293,"")</f>
        <v/>
      </c>
      <c r="AB1293">
        <f>AB1292+IF(X1293="",0,IF(ISNA(MATCH(X1293,X$256:X1292,0)),1,0))</f>
        <v/>
      </c>
      <c r="AC1293">
        <f>IF(AB1293&gt;AB1292,AB1293,"")</f>
        <v/>
      </c>
    </row>
    <row r="1294">
      <c r="W1294" s="7" t="n"/>
      <c r="X1294" s="7" t="n"/>
      <c r="Z1294">
        <f>Z1293+IF(W1294="",0,IF(ISNA(MATCH(W1294,W$256:W1293,0)),1,0))</f>
        <v/>
      </c>
      <c r="AA1294">
        <f>IF(Z1294&gt;Z1293,Z1294,"")</f>
        <v/>
      </c>
      <c r="AB1294">
        <f>AB1293+IF(X1294="",0,IF(ISNA(MATCH(X1294,X$256:X1293,0)),1,0))</f>
        <v/>
      </c>
      <c r="AC1294">
        <f>IF(AB1294&gt;AB1293,AB1294,"")</f>
        <v/>
      </c>
    </row>
    <row r="1295">
      <c r="W1295" s="7" t="n"/>
      <c r="X1295" s="7" t="n"/>
      <c r="Z1295">
        <f>Z1294+IF(W1295="",0,IF(ISNA(MATCH(W1295,W$256:W1294,0)),1,0))</f>
        <v/>
      </c>
      <c r="AA1295">
        <f>IF(Z1295&gt;Z1294,Z1295,"")</f>
        <v/>
      </c>
      <c r="AB1295">
        <f>AB1294+IF(X1295="",0,IF(ISNA(MATCH(X1295,X$256:X1294,0)),1,0))</f>
        <v/>
      </c>
      <c r="AC1295">
        <f>IF(AB1295&gt;AB1294,AB1295,"")</f>
        <v/>
      </c>
    </row>
    <row r="1296">
      <c r="W1296" s="7" t="n"/>
      <c r="X1296" s="7" t="n"/>
      <c r="Z1296">
        <f>Z1295+IF(W1296="",0,IF(ISNA(MATCH(W1296,W$256:W1295,0)),1,0))</f>
        <v/>
      </c>
      <c r="AA1296">
        <f>IF(Z1296&gt;Z1295,Z1296,"")</f>
        <v/>
      </c>
      <c r="AB1296">
        <f>AB1295+IF(X1296="",0,IF(ISNA(MATCH(X1296,X$256:X1295,0)),1,0))</f>
        <v/>
      </c>
      <c r="AC1296">
        <f>IF(AB1296&gt;AB1295,AB1296,"")</f>
        <v/>
      </c>
    </row>
    <row r="1297">
      <c r="W1297" s="7" t="n"/>
      <c r="X1297" s="7" t="n"/>
      <c r="Z1297">
        <f>Z1296+IF(W1297="",0,IF(ISNA(MATCH(W1297,W$256:W1296,0)),1,0))</f>
        <v/>
      </c>
      <c r="AA1297">
        <f>IF(Z1297&gt;Z1296,Z1297,"")</f>
        <v/>
      </c>
      <c r="AB1297">
        <f>AB1296+IF(X1297="",0,IF(ISNA(MATCH(X1297,X$256:X1296,0)),1,0))</f>
        <v/>
      </c>
      <c r="AC1297">
        <f>IF(AB1297&gt;AB1296,AB1297,"")</f>
        <v/>
      </c>
    </row>
    <row r="1298">
      <c r="W1298" s="7" t="n"/>
      <c r="X1298" s="7" t="n"/>
      <c r="Z1298">
        <f>Z1297+IF(W1298="",0,IF(ISNA(MATCH(W1298,W$256:W1297,0)),1,0))</f>
        <v/>
      </c>
      <c r="AA1298">
        <f>IF(Z1298&gt;Z1297,Z1298,"")</f>
        <v/>
      </c>
      <c r="AB1298">
        <f>AB1297+IF(X1298="",0,IF(ISNA(MATCH(X1298,X$256:X1297,0)),1,0))</f>
        <v/>
      </c>
      <c r="AC1298">
        <f>IF(AB1298&gt;AB1297,AB1298,"")</f>
        <v/>
      </c>
    </row>
    <row r="1299">
      <c r="W1299" s="7" t="n"/>
      <c r="X1299" s="7" t="n"/>
      <c r="Z1299">
        <f>Z1298+IF(W1299="",0,IF(ISNA(MATCH(W1299,W$256:W1298,0)),1,0))</f>
        <v/>
      </c>
      <c r="AA1299">
        <f>IF(Z1299&gt;Z1298,Z1299,"")</f>
        <v/>
      </c>
      <c r="AB1299">
        <f>AB1298+IF(X1299="",0,IF(ISNA(MATCH(X1299,X$256:X1298,0)),1,0))</f>
        <v/>
      </c>
      <c r="AC1299">
        <f>IF(AB1299&gt;AB1298,AB1299,"")</f>
        <v/>
      </c>
    </row>
    <row r="1300">
      <c r="W1300" s="7" t="n"/>
      <c r="X1300" s="7" t="n"/>
      <c r="Z1300">
        <f>Z1299+IF(W1300="",0,IF(ISNA(MATCH(W1300,W$256:W1299,0)),1,0))</f>
        <v/>
      </c>
      <c r="AA1300">
        <f>IF(Z1300&gt;Z1299,Z1300,"")</f>
        <v/>
      </c>
      <c r="AB1300">
        <f>AB1299+IF(X1300="",0,IF(ISNA(MATCH(X1300,X$256:X1299,0)),1,0))</f>
        <v/>
      </c>
      <c r="AC1300">
        <f>IF(AB1300&gt;AB1299,AB1300,"")</f>
        <v/>
      </c>
    </row>
    <row r="1301">
      <c r="W1301" s="7" t="n"/>
      <c r="X1301" s="7" t="n"/>
      <c r="Z1301">
        <f>Z1300+IF(W1301="",0,IF(ISNA(MATCH(W1301,W$256:W1300,0)),1,0))</f>
        <v/>
      </c>
      <c r="AA1301">
        <f>IF(Z1301&gt;Z1300,Z1301,"")</f>
        <v/>
      </c>
      <c r="AB1301">
        <f>AB1300+IF(X1301="",0,IF(ISNA(MATCH(X1301,X$256:X1300,0)),1,0))</f>
        <v/>
      </c>
      <c r="AC1301">
        <f>IF(AB1301&gt;AB1300,AB1301,"")</f>
        <v/>
      </c>
    </row>
    <row r="1302">
      <c r="W1302" s="7" t="n"/>
      <c r="X1302" s="7" t="n"/>
      <c r="Z1302">
        <f>Z1301+IF(W1302="",0,IF(ISNA(MATCH(W1302,W$256:W1301,0)),1,0))</f>
        <v/>
      </c>
      <c r="AA1302">
        <f>IF(Z1302&gt;Z1301,Z1302,"")</f>
        <v/>
      </c>
      <c r="AB1302">
        <f>AB1301+IF(X1302="",0,IF(ISNA(MATCH(X1302,X$256:X1301,0)),1,0))</f>
        <v/>
      </c>
      <c r="AC1302">
        <f>IF(AB1302&gt;AB1301,AB1302,"")</f>
        <v/>
      </c>
    </row>
    <row r="1303">
      <c r="W1303" s="7" t="n"/>
      <c r="X1303" s="7" t="n"/>
      <c r="Z1303">
        <f>Z1302+IF(W1303="",0,IF(ISNA(MATCH(W1303,W$256:W1302,0)),1,0))</f>
        <v/>
      </c>
      <c r="AA1303">
        <f>IF(Z1303&gt;Z1302,Z1303,"")</f>
        <v/>
      </c>
      <c r="AB1303">
        <f>AB1302+IF(X1303="",0,IF(ISNA(MATCH(X1303,X$256:X1302,0)),1,0))</f>
        <v/>
      </c>
      <c r="AC1303">
        <f>IF(AB1303&gt;AB1302,AB1303,"")</f>
        <v/>
      </c>
    </row>
    <row r="1304">
      <c r="W1304" s="7" t="n"/>
      <c r="X1304" s="7" t="n"/>
      <c r="Z1304">
        <f>Z1303+IF(W1304="",0,IF(ISNA(MATCH(W1304,W$256:W1303,0)),1,0))</f>
        <v/>
      </c>
      <c r="AA1304">
        <f>IF(Z1304&gt;Z1303,Z1304,"")</f>
        <v/>
      </c>
      <c r="AB1304">
        <f>AB1303+IF(X1304="",0,IF(ISNA(MATCH(X1304,X$256:X1303,0)),1,0))</f>
        <v/>
      </c>
      <c r="AC1304">
        <f>IF(AB1304&gt;AB1303,AB1304,"")</f>
        <v/>
      </c>
    </row>
    <row r="1305">
      <c r="W1305" s="7" t="n"/>
      <c r="X1305" s="7" t="n"/>
      <c r="Z1305">
        <f>Z1304+IF(W1305="",0,IF(ISNA(MATCH(W1305,W$256:W1304,0)),1,0))</f>
        <v/>
      </c>
      <c r="AA1305">
        <f>IF(Z1305&gt;Z1304,Z1305,"")</f>
        <v/>
      </c>
      <c r="AB1305">
        <f>AB1304+IF(X1305="",0,IF(ISNA(MATCH(X1305,X$256:X1304,0)),1,0))</f>
        <v/>
      </c>
      <c r="AC1305">
        <f>IF(AB1305&gt;AB1304,AB1305,"")</f>
        <v/>
      </c>
    </row>
    <row r="1306">
      <c r="W1306" s="7" t="n"/>
      <c r="X1306" s="7" t="n"/>
      <c r="Z1306">
        <f>Z1305+IF(W1306="",0,IF(ISNA(MATCH(W1306,W$256:W1305,0)),1,0))</f>
        <v/>
      </c>
      <c r="AA1306">
        <f>IF(Z1306&gt;Z1305,Z1306,"")</f>
        <v/>
      </c>
      <c r="AB1306">
        <f>AB1305+IF(X1306="",0,IF(ISNA(MATCH(X1306,X$256:X1305,0)),1,0))</f>
        <v/>
      </c>
      <c r="AC1306">
        <f>IF(AB1306&gt;AB1305,AB1306,"")</f>
        <v/>
      </c>
    </row>
    <row r="1307">
      <c r="W1307" s="7" t="n"/>
      <c r="X1307" s="7" t="n"/>
      <c r="Z1307">
        <f>Z1306+IF(W1307="",0,IF(ISNA(MATCH(W1307,W$256:W1306,0)),1,0))</f>
        <v/>
      </c>
      <c r="AA1307">
        <f>IF(Z1307&gt;Z1306,Z1307,"")</f>
        <v/>
      </c>
      <c r="AB1307">
        <f>AB1306+IF(X1307="",0,IF(ISNA(MATCH(X1307,X$256:X1306,0)),1,0))</f>
        <v/>
      </c>
      <c r="AC1307">
        <f>IF(AB1307&gt;AB1306,AB1307,"")</f>
        <v/>
      </c>
    </row>
    <row r="1308">
      <c r="W1308" s="7" t="n"/>
      <c r="X1308" s="7" t="n"/>
      <c r="Z1308">
        <f>Z1307+IF(W1308="",0,IF(ISNA(MATCH(W1308,W$256:W1307,0)),1,0))</f>
        <v/>
      </c>
      <c r="AA1308">
        <f>IF(Z1308&gt;Z1307,Z1308,"")</f>
        <v/>
      </c>
      <c r="AB1308">
        <f>AB1307+IF(X1308="",0,IF(ISNA(MATCH(X1308,X$256:X1307,0)),1,0))</f>
        <v/>
      </c>
      <c r="AC1308">
        <f>IF(AB1308&gt;AB1307,AB1308,"")</f>
        <v/>
      </c>
    </row>
    <row r="1309">
      <c r="W1309" s="7" t="n"/>
      <c r="X1309" s="7" t="n"/>
      <c r="Z1309">
        <f>Z1308+IF(W1309="",0,IF(ISNA(MATCH(W1309,W$256:W1308,0)),1,0))</f>
        <v/>
      </c>
      <c r="AA1309">
        <f>IF(Z1309&gt;Z1308,Z1309,"")</f>
        <v/>
      </c>
      <c r="AB1309">
        <f>AB1308+IF(X1309="",0,IF(ISNA(MATCH(X1309,X$256:X1308,0)),1,0))</f>
        <v/>
      </c>
      <c r="AC1309">
        <f>IF(AB1309&gt;AB1308,AB1309,"")</f>
        <v/>
      </c>
    </row>
    <row r="1310">
      <c r="W1310" s="7" t="n"/>
      <c r="X1310" s="7" t="n"/>
      <c r="Z1310">
        <f>Z1309+IF(W1310="",0,IF(ISNA(MATCH(W1310,W$256:W1309,0)),1,0))</f>
        <v/>
      </c>
      <c r="AA1310">
        <f>IF(Z1310&gt;Z1309,Z1310,"")</f>
        <v/>
      </c>
      <c r="AB1310">
        <f>AB1309+IF(X1310="",0,IF(ISNA(MATCH(X1310,X$256:X1309,0)),1,0))</f>
        <v/>
      </c>
      <c r="AC1310">
        <f>IF(AB1310&gt;AB1309,AB1310,"")</f>
        <v/>
      </c>
    </row>
    <row r="1311">
      <c r="W1311" s="7" t="n"/>
      <c r="X1311" s="7" t="n"/>
      <c r="Z1311">
        <f>Z1310+IF(W1311="",0,IF(ISNA(MATCH(W1311,W$256:W1310,0)),1,0))</f>
        <v/>
      </c>
      <c r="AA1311">
        <f>IF(Z1311&gt;Z1310,Z1311,"")</f>
        <v/>
      </c>
      <c r="AB1311">
        <f>AB1310+IF(X1311="",0,IF(ISNA(MATCH(X1311,X$256:X1310,0)),1,0))</f>
        <v/>
      </c>
      <c r="AC1311">
        <f>IF(AB1311&gt;AB1310,AB1311,"")</f>
        <v/>
      </c>
    </row>
    <row r="1312">
      <c r="W1312" s="7" t="n"/>
      <c r="X1312" s="7" t="n"/>
      <c r="Z1312">
        <f>Z1311+IF(W1312="",0,IF(ISNA(MATCH(W1312,W$256:W1311,0)),1,0))</f>
        <v/>
      </c>
      <c r="AA1312">
        <f>IF(Z1312&gt;Z1311,Z1312,"")</f>
        <v/>
      </c>
      <c r="AB1312">
        <f>AB1311+IF(X1312="",0,IF(ISNA(MATCH(X1312,X$256:X1311,0)),1,0))</f>
        <v/>
      </c>
      <c r="AC1312">
        <f>IF(AB1312&gt;AB1311,AB1312,"")</f>
        <v/>
      </c>
    </row>
    <row r="1313">
      <c r="W1313" s="7" t="n"/>
      <c r="X1313" s="7" t="n"/>
      <c r="Z1313">
        <f>Z1312+IF(W1313="",0,IF(ISNA(MATCH(W1313,W$256:W1312,0)),1,0))</f>
        <v/>
      </c>
      <c r="AA1313">
        <f>IF(Z1313&gt;Z1312,Z1313,"")</f>
        <v/>
      </c>
      <c r="AB1313">
        <f>AB1312+IF(X1313="",0,IF(ISNA(MATCH(X1313,X$256:X1312,0)),1,0))</f>
        <v/>
      </c>
      <c r="AC1313">
        <f>IF(AB1313&gt;AB1312,AB1313,"")</f>
        <v/>
      </c>
    </row>
    <row r="1314">
      <c r="W1314" s="7" t="n"/>
      <c r="X1314" s="7" t="n"/>
      <c r="Z1314">
        <f>Z1313+IF(W1314="",0,IF(ISNA(MATCH(W1314,W$256:W1313,0)),1,0))</f>
        <v/>
      </c>
      <c r="AA1314">
        <f>IF(Z1314&gt;Z1313,Z1314,"")</f>
        <v/>
      </c>
      <c r="AB1314">
        <f>AB1313+IF(X1314="",0,IF(ISNA(MATCH(X1314,X$256:X1313,0)),1,0))</f>
        <v/>
      </c>
      <c r="AC1314">
        <f>IF(AB1314&gt;AB1313,AB1314,"")</f>
        <v/>
      </c>
    </row>
    <row r="1315">
      <c r="W1315" s="7" t="n"/>
      <c r="X1315" s="7" t="n"/>
      <c r="Z1315">
        <f>Z1314+IF(W1315="",0,IF(ISNA(MATCH(W1315,W$256:W1314,0)),1,0))</f>
        <v/>
      </c>
      <c r="AA1315">
        <f>IF(Z1315&gt;Z1314,Z1315,"")</f>
        <v/>
      </c>
      <c r="AB1315">
        <f>AB1314+IF(X1315="",0,IF(ISNA(MATCH(X1315,X$256:X1314,0)),1,0))</f>
        <v/>
      </c>
      <c r="AC1315">
        <f>IF(AB1315&gt;AB1314,AB1315,"")</f>
        <v/>
      </c>
    </row>
    <row r="1316">
      <c r="W1316" s="7" t="n"/>
      <c r="X1316" s="7" t="n"/>
      <c r="Z1316">
        <f>Z1315+IF(W1316="",0,IF(ISNA(MATCH(W1316,W$256:W1315,0)),1,0))</f>
        <v/>
      </c>
      <c r="AA1316">
        <f>IF(Z1316&gt;Z1315,Z1316,"")</f>
        <v/>
      </c>
      <c r="AB1316">
        <f>AB1315+IF(X1316="",0,IF(ISNA(MATCH(X1316,X$256:X1315,0)),1,0))</f>
        <v/>
      </c>
      <c r="AC1316">
        <f>IF(AB1316&gt;AB1315,AB1316,"")</f>
        <v/>
      </c>
    </row>
    <row r="1317">
      <c r="W1317" s="7" t="n"/>
      <c r="X1317" s="7" t="n"/>
      <c r="Z1317">
        <f>Z1316+IF(W1317="",0,IF(ISNA(MATCH(W1317,W$256:W1316,0)),1,0))</f>
        <v/>
      </c>
      <c r="AA1317">
        <f>IF(Z1317&gt;Z1316,Z1317,"")</f>
        <v/>
      </c>
      <c r="AB1317">
        <f>AB1316+IF(X1317="",0,IF(ISNA(MATCH(X1317,X$256:X1316,0)),1,0))</f>
        <v/>
      </c>
      <c r="AC1317">
        <f>IF(AB1317&gt;AB1316,AB1317,"")</f>
        <v/>
      </c>
    </row>
    <row r="1318">
      <c r="W1318" s="7" t="n"/>
      <c r="X1318" s="7" t="n"/>
      <c r="Z1318">
        <f>Z1317+IF(W1318="",0,IF(ISNA(MATCH(W1318,W$256:W1317,0)),1,0))</f>
        <v/>
      </c>
      <c r="AA1318">
        <f>IF(Z1318&gt;Z1317,Z1318,"")</f>
        <v/>
      </c>
      <c r="AB1318">
        <f>AB1317+IF(X1318="",0,IF(ISNA(MATCH(X1318,X$256:X1317,0)),1,0))</f>
        <v/>
      </c>
      <c r="AC1318">
        <f>IF(AB1318&gt;AB1317,AB1318,"")</f>
        <v/>
      </c>
    </row>
    <row r="1319">
      <c r="W1319" s="7" t="n"/>
      <c r="X1319" s="7" t="n"/>
      <c r="Z1319">
        <f>Z1318+IF(W1319="",0,IF(ISNA(MATCH(W1319,W$256:W1318,0)),1,0))</f>
        <v/>
      </c>
      <c r="AA1319">
        <f>IF(Z1319&gt;Z1318,Z1319,"")</f>
        <v/>
      </c>
      <c r="AB1319">
        <f>AB1318+IF(X1319="",0,IF(ISNA(MATCH(X1319,X$256:X1318,0)),1,0))</f>
        <v/>
      </c>
      <c r="AC1319">
        <f>IF(AB1319&gt;AB1318,AB1319,"")</f>
        <v/>
      </c>
    </row>
    <row r="1320">
      <c r="W1320" s="7" t="n"/>
      <c r="X1320" s="7" t="n"/>
      <c r="Z1320">
        <f>Z1319+IF(W1320="",0,IF(ISNA(MATCH(W1320,W$256:W1319,0)),1,0))</f>
        <v/>
      </c>
      <c r="AA1320">
        <f>IF(Z1320&gt;Z1319,Z1320,"")</f>
        <v/>
      </c>
      <c r="AB1320">
        <f>AB1319+IF(X1320="",0,IF(ISNA(MATCH(X1320,X$256:X1319,0)),1,0))</f>
        <v/>
      </c>
      <c r="AC1320">
        <f>IF(AB1320&gt;AB1319,AB1320,"")</f>
        <v/>
      </c>
    </row>
    <row r="1321">
      <c r="W1321" s="7" t="n"/>
      <c r="X1321" s="7" t="n"/>
      <c r="Z1321">
        <f>Z1320+IF(W1321="",0,IF(ISNA(MATCH(W1321,W$256:W1320,0)),1,0))</f>
        <v/>
      </c>
      <c r="AA1321">
        <f>IF(Z1321&gt;Z1320,Z1321,"")</f>
        <v/>
      </c>
      <c r="AB1321">
        <f>AB1320+IF(X1321="",0,IF(ISNA(MATCH(X1321,X$256:X1320,0)),1,0))</f>
        <v/>
      </c>
      <c r="AC1321">
        <f>IF(AB1321&gt;AB1320,AB1321,"")</f>
        <v/>
      </c>
    </row>
    <row r="1322">
      <c r="W1322" s="7" t="n"/>
      <c r="X1322" s="7" t="n"/>
      <c r="Z1322">
        <f>Z1321+IF(W1322="",0,IF(ISNA(MATCH(W1322,W$256:W1321,0)),1,0))</f>
        <v/>
      </c>
      <c r="AA1322">
        <f>IF(Z1322&gt;Z1321,Z1322,"")</f>
        <v/>
      </c>
      <c r="AB1322">
        <f>AB1321+IF(X1322="",0,IF(ISNA(MATCH(X1322,X$256:X1321,0)),1,0))</f>
        <v/>
      </c>
      <c r="AC1322">
        <f>IF(AB1322&gt;AB1321,AB1322,"")</f>
        <v/>
      </c>
    </row>
    <row r="1323">
      <c r="W1323" s="7" t="n"/>
      <c r="X1323" s="7" t="n"/>
      <c r="Z1323">
        <f>Z1322+IF(W1323="",0,IF(ISNA(MATCH(W1323,W$256:W1322,0)),1,0))</f>
        <v/>
      </c>
      <c r="AA1323">
        <f>IF(Z1323&gt;Z1322,Z1323,"")</f>
        <v/>
      </c>
      <c r="AB1323">
        <f>AB1322+IF(X1323="",0,IF(ISNA(MATCH(X1323,X$256:X1322,0)),1,0))</f>
        <v/>
      </c>
      <c r="AC1323">
        <f>IF(AB1323&gt;AB1322,AB1323,"")</f>
        <v/>
      </c>
    </row>
    <row r="1324">
      <c r="W1324" s="7" t="n"/>
      <c r="X1324" s="7" t="n"/>
      <c r="Z1324">
        <f>Z1323+IF(W1324="",0,IF(ISNA(MATCH(W1324,W$256:W1323,0)),1,0))</f>
        <v/>
      </c>
      <c r="AA1324">
        <f>IF(Z1324&gt;Z1323,Z1324,"")</f>
        <v/>
      </c>
      <c r="AB1324">
        <f>AB1323+IF(X1324="",0,IF(ISNA(MATCH(X1324,X$256:X1323,0)),1,0))</f>
        <v/>
      </c>
      <c r="AC1324">
        <f>IF(AB1324&gt;AB1323,AB1324,"")</f>
        <v/>
      </c>
    </row>
    <row r="1325">
      <c r="W1325" s="7" t="n"/>
      <c r="X1325" s="7" t="n"/>
      <c r="Z1325">
        <f>Z1324+IF(W1325="",0,IF(ISNA(MATCH(W1325,W$256:W1324,0)),1,0))</f>
        <v/>
      </c>
      <c r="AA1325">
        <f>IF(Z1325&gt;Z1324,Z1325,"")</f>
        <v/>
      </c>
      <c r="AB1325">
        <f>AB1324+IF(X1325="",0,IF(ISNA(MATCH(X1325,X$256:X1324,0)),1,0))</f>
        <v/>
      </c>
      <c r="AC1325">
        <f>IF(AB1325&gt;AB1324,AB1325,"")</f>
        <v/>
      </c>
    </row>
    <row r="1326">
      <c r="W1326" s="7" t="n"/>
      <c r="X1326" s="7" t="n"/>
      <c r="Z1326">
        <f>Z1325+IF(W1326="",0,IF(ISNA(MATCH(W1326,W$256:W1325,0)),1,0))</f>
        <v/>
      </c>
      <c r="AA1326">
        <f>IF(Z1326&gt;Z1325,Z1326,"")</f>
        <v/>
      </c>
      <c r="AB1326">
        <f>AB1325+IF(X1326="",0,IF(ISNA(MATCH(X1326,X$256:X1325,0)),1,0))</f>
        <v/>
      </c>
      <c r="AC1326">
        <f>IF(AB1326&gt;AB1325,AB1326,"")</f>
        <v/>
      </c>
    </row>
    <row r="1327">
      <c r="W1327" s="7" t="n"/>
      <c r="X1327" s="7" t="n"/>
      <c r="Z1327">
        <f>Z1326+IF(W1327="",0,IF(ISNA(MATCH(W1327,W$256:W1326,0)),1,0))</f>
        <v/>
      </c>
      <c r="AA1327">
        <f>IF(Z1327&gt;Z1326,Z1327,"")</f>
        <v/>
      </c>
      <c r="AB1327">
        <f>AB1326+IF(X1327="",0,IF(ISNA(MATCH(X1327,X$256:X1326,0)),1,0))</f>
        <v/>
      </c>
      <c r="AC1327">
        <f>IF(AB1327&gt;AB1326,AB1327,"")</f>
        <v/>
      </c>
    </row>
    <row r="1328">
      <c r="W1328" s="7" t="n"/>
      <c r="X1328" s="7" t="n"/>
      <c r="Z1328">
        <f>Z1327+IF(W1328="",0,IF(ISNA(MATCH(W1328,W$256:W1327,0)),1,0))</f>
        <v/>
      </c>
      <c r="AA1328">
        <f>IF(Z1328&gt;Z1327,Z1328,"")</f>
        <v/>
      </c>
      <c r="AB1328">
        <f>AB1327+IF(X1328="",0,IF(ISNA(MATCH(X1328,X$256:X1327,0)),1,0))</f>
        <v/>
      </c>
      <c r="AC1328">
        <f>IF(AB1328&gt;AB1327,AB1328,"")</f>
        <v/>
      </c>
    </row>
    <row r="1329">
      <c r="W1329" s="7" t="n"/>
      <c r="X1329" s="7" t="n"/>
      <c r="Z1329">
        <f>Z1328+IF(W1329="",0,IF(ISNA(MATCH(W1329,W$256:W1328,0)),1,0))</f>
        <v/>
      </c>
      <c r="AA1329">
        <f>IF(Z1329&gt;Z1328,Z1329,"")</f>
        <v/>
      </c>
      <c r="AB1329">
        <f>AB1328+IF(X1329="",0,IF(ISNA(MATCH(X1329,X$256:X1328,0)),1,0))</f>
        <v/>
      </c>
      <c r="AC1329">
        <f>IF(AB1329&gt;AB1328,AB1329,"")</f>
        <v/>
      </c>
    </row>
    <row r="1330">
      <c r="W1330" s="7" t="n"/>
      <c r="X1330" s="7" t="n"/>
      <c r="Z1330">
        <f>Z1329+IF(W1330="",0,IF(ISNA(MATCH(W1330,W$256:W1329,0)),1,0))</f>
        <v/>
      </c>
      <c r="AA1330">
        <f>IF(Z1330&gt;Z1329,Z1330,"")</f>
        <v/>
      </c>
      <c r="AB1330">
        <f>AB1329+IF(X1330="",0,IF(ISNA(MATCH(X1330,X$256:X1329,0)),1,0))</f>
        <v/>
      </c>
      <c r="AC1330">
        <f>IF(AB1330&gt;AB1329,AB1330,"")</f>
        <v/>
      </c>
    </row>
    <row r="1331">
      <c r="W1331" s="7" t="n"/>
      <c r="X1331" s="7" t="n"/>
      <c r="Z1331">
        <f>Z1330+IF(W1331="",0,IF(ISNA(MATCH(W1331,W$256:W1330,0)),1,0))</f>
        <v/>
      </c>
      <c r="AA1331">
        <f>IF(Z1331&gt;Z1330,Z1331,"")</f>
        <v/>
      </c>
      <c r="AB1331">
        <f>AB1330+IF(X1331="",0,IF(ISNA(MATCH(X1331,X$256:X1330,0)),1,0))</f>
        <v/>
      </c>
      <c r="AC1331">
        <f>IF(AB1331&gt;AB1330,AB1331,"")</f>
        <v/>
      </c>
    </row>
    <row r="1332">
      <c r="W1332" s="7" t="n"/>
      <c r="X1332" s="7" t="n"/>
      <c r="Z1332">
        <f>Z1331+IF(W1332="",0,IF(ISNA(MATCH(W1332,W$256:W1331,0)),1,0))</f>
        <v/>
      </c>
      <c r="AA1332">
        <f>IF(Z1332&gt;Z1331,Z1332,"")</f>
        <v/>
      </c>
      <c r="AB1332">
        <f>AB1331+IF(X1332="",0,IF(ISNA(MATCH(X1332,X$256:X1331,0)),1,0))</f>
        <v/>
      </c>
      <c r="AC1332">
        <f>IF(AB1332&gt;AB1331,AB1332,"")</f>
        <v/>
      </c>
    </row>
    <row r="1333">
      <c r="W1333" s="7" t="n"/>
      <c r="X1333" s="7" t="n"/>
      <c r="Z1333">
        <f>Z1332+IF(W1333="",0,IF(ISNA(MATCH(W1333,W$256:W1332,0)),1,0))</f>
        <v/>
      </c>
      <c r="AA1333">
        <f>IF(Z1333&gt;Z1332,Z1333,"")</f>
        <v/>
      </c>
      <c r="AB1333">
        <f>AB1332+IF(X1333="",0,IF(ISNA(MATCH(X1333,X$256:X1332,0)),1,0))</f>
        <v/>
      </c>
      <c r="AC1333">
        <f>IF(AB1333&gt;AB1332,AB1333,"")</f>
        <v/>
      </c>
    </row>
    <row r="1334">
      <c r="W1334" s="7" t="n"/>
      <c r="X1334" s="7" t="n"/>
      <c r="Z1334">
        <f>Z1333+IF(W1334="",0,IF(ISNA(MATCH(W1334,W$256:W1333,0)),1,0))</f>
        <v/>
      </c>
      <c r="AA1334">
        <f>IF(Z1334&gt;Z1333,Z1334,"")</f>
        <v/>
      </c>
      <c r="AB1334">
        <f>AB1333+IF(X1334="",0,IF(ISNA(MATCH(X1334,X$256:X1333,0)),1,0))</f>
        <v/>
      </c>
      <c r="AC1334">
        <f>IF(AB1334&gt;AB1333,AB1334,"")</f>
        <v/>
      </c>
    </row>
    <row r="1335">
      <c r="W1335" s="7" t="n"/>
      <c r="X1335" s="7" t="n"/>
      <c r="Z1335">
        <f>Z1334+IF(W1335="",0,IF(ISNA(MATCH(W1335,W$256:W1334,0)),1,0))</f>
        <v/>
      </c>
      <c r="AA1335">
        <f>IF(Z1335&gt;Z1334,Z1335,"")</f>
        <v/>
      </c>
      <c r="AB1335">
        <f>AB1334+IF(X1335="",0,IF(ISNA(MATCH(X1335,X$256:X1334,0)),1,0))</f>
        <v/>
      </c>
      <c r="AC1335">
        <f>IF(AB1335&gt;AB1334,AB1335,"")</f>
        <v/>
      </c>
    </row>
    <row r="1336">
      <c r="W1336" s="7" t="n"/>
      <c r="X1336" s="7" t="n"/>
      <c r="Z1336">
        <f>Z1335+IF(W1336="",0,IF(ISNA(MATCH(W1336,W$256:W1335,0)),1,0))</f>
        <v/>
      </c>
      <c r="AA1336">
        <f>IF(Z1336&gt;Z1335,Z1336,"")</f>
        <v/>
      </c>
      <c r="AB1336">
        <f>AB1335+IF(X1336="",0,IF(ISNA(MATCH(X1336,X$256:X1335,0)),1,0))</f>
        <v/>
      </c>
      <c r="AC1336">
        <f>IF(AB1336&gt;AB1335,AB1336,"")</f>
        <v/>
      </c>
    </row>
    <row r="1337">
      <c r="W1337" s="7" t="n"/>
      <c r="X1337" s="7" t="n"/>
      <c r="Z1337">
        <f>Z1336+IF(W1337="",0,IF(ISNA(MATCH(W1337,W$256:W1336,0)),1,0))</f>
        <v/>
      </c>
      <c r="AA1337">
        <f>IF(Z1337&gt;Z1336,Z1337,"")</f>
        <v/>
      </c>
      <c r="AB1337">
        <f>AB1336+IF(X1337="",0,IF(ISNA(MATCH(X1337,X$256:X1336,0)),1,0))</f>
        <v/>
      </c>
      <c r="AC1337">
        <f>IF(AB1337&gt;AB1336,AB1337,"")</f>
        <v/>
      </c>
    </row>
    <row r="1338">
      <c r="W1338" s="7" t="n"/>
      <c r="X1338" s="7" t="n"/>
      <c r="Z1338">
        <f>Z1337+IF(W1338="",0,IF(ISNA(MATCH(W1338,W$256:W1337,0)),1,0))</f>
        <v/>
      </c>
      <c r="AA1338">
        <f>IF(Z1338&gt;Z1337,Z1338,"")</f>
        <v/>
      </c>
      <c r="AB1338">
        <f>AB1337+IF(X1338="",0,IF(ISNA(MATCH(X1338,X$256:X1337,0)),1,0))</f>
        <v/>
      </c>
      <c r="AC1338">
        <f>IF(AB1338&gt;AB1337,AB1338,"")</f>
        <v/>
      </c>
    </row>
    <row r="1339">
      <c r="W1339" s="7" t="n"/>
      <c r="X1339" s="7" t="n"/>
      <c r="Z1339">
        <f>Z1338+IF(W1339="",0,IF(ISNA(MATCH(W1339,W$256:W1338,0)),1,0))</f>
        <v/>
      </c>
      <c r="AA1339">
        <f>IF(Z1339&gt;Z1338,Z1339,"")</f>
        <v/>
      </c>
      <c r="AB1339">
        <f>AB1338+IF(X1339="",0,IF(ISNA(MATCH(X1339,X$256:X1338,0)),1,0))</f>
        <v/>
      </c>
      <c r="AC1339">
        <f>IF(AB1339&gt;AB1338,AB1339,"")</f>
        <v/>
      </c>
    </row>
    <row r="1340">
      <c r="W1340" s="7" t="n"/>
      <c r="X1340" s="7" t="n"/>
      <c r="Z1340">
        <f>Z1339+IF(W1340="",0,IF(ISNA(MATCH(W1340,W$256:W1339,0)),1,0))</f>
        <v/>
      </c>
      <c r="AA1340">
        <f>IF(Z1340&gt;Z1339,Z1340,"")</f>
        <v/>
      </c>
      <c r="AB1340">
        <f>AB1339+IF(X1340="",0,IF(ISNA(MATCH(X1340,X$256:X1339,0)),1,0))</f>
        <v/>
      </c>
      <c r="AC1340">
        <f>IF(AB1340&gt;AB1339,AB1340,"")</f>
        <v/>
      </c>
    </row>
    <row r="1341">
      <c r="W1341" s="7" t="n"/>
      <c r="X1341" s="7" t="n"/>
      <c r="Z1341">
        <f>Z1340+IF(W1341="",0,IF(ISNA(MATCH(W1341,W$256:W1340,0)),1,0))</f>
        <v/>
      </c>
      <c r="AA1341">
        <f>IF(Z1341&gt;Z1340,Z1341,"")</f>
        <v/>
      </c>
      <c r="AB1341">
        <f>AB1340+IF(X1341="",0,IF(ISNA(MATCH(X1341,X$256:X1340,0)),1,0))</f>
        <v/>
      </c>
      <c r="AC1341">
        <f>IF(AB1341&gt;AB1340,AB1341,"")</f>
        <v/>
      </c>
    </row>
    <row r="1342">
      <c r="W1342" s="7" t="n"/>
      <c r="X1342" s="7" t="n"/>
      <c r="Z1342">
        <f>Z1341+IF(W1342="",0,IF(ISNA(MATCH(W1342,W$256:W1341,0)),1,0))</f>
        <v/>
      </c>
      <c r="AA1342">
        <f>IF(Z1342&gt;Z1341,Z1342,"")</f>
        <v/>
      </c>
      <c r="AB1342">
        <f>AB1341+IF(X1342="",0,IF(ISNA(MATCH(X1342,X$256:X1341,0)),1,0))</f>
        <v/>
      </c>
      <c r="AC1342">
        <f>IF(AB1342&gt;AB1341,AB1342,"")</f>
        <v/>
      </c>
    </row>
    <row r="1343">
      <c r="W1343" s="7" t="n"/>
      <c r="X1343" s="7" t="n"/>
      <c r="Z1343">
        <f>Z1342+IF(W1343="",0,IF(ISNA(MATCH(W1343,W$256:W1342,0)),1,0))</f>
        <v/>
      </c>
      <c r="AA1343">
        <f>IF(Z1343&gt;Z1342,Z1343,"")</f>
        <v/>
      </c>
      <c r="AB1343">
        <f>AB1342+IF(X1343="",0,IF(ISNA(MATCH(X1343,X$256:X1342,0)),1,0))</f>
        <v/>
      </c>
      <c r="AC1343">
        <f>IF(AB1343&gt;AB1342,AB1343,"")</f>
        <v/>
      </c>
    </row>
    <row r="1344">
      <c r="W1344" s="7" t="n"/>
      <c r="X1344" s="7" t="n"/>
      <c r="Z1344">
        <f>Z1343+IF(W1344="",0,IF(ISNA(MATCH(W1344,W$256:W1343,0)),1,0))</f>
        <v/>
      </c>
      <c r="AA1344">
        <f>IF(Z1344&gt;Z1343,Z1344,"")</f>
        <v/>
      </c>
      <c r="AB1344">
        <f>AB1343+IF(X1344="",0,IF(ISNA(MATCH(X1344,X$256:X1343,0)),1,0))</f>
        <v/>
      </c>
      <c r="AC1344">
        <f>IF(AB1344&gt;AB1343,AB1344,"")</f>
        <v/>
      </c>
    </row>
    <row r="1345">
      <c r="W1345" s="7" t="n"/>
      <c r="X1345" s="7" t="n"/>
      <c r="Z1345">
        <f>Z1344+IF(W1345="",0,IF(ISNA(MATCH(W1345,W$256:W1344,0)),1,0))</f>
        <v/>
      </c>
      <c r="AA1345">
        <f>IF(Z1345&gt;Z1344,Z1345,"")</f>
        <v/>
      </c>
      <c r="AB1345">
        <f>AB1344+IF(X1345="",0,IF(ISNA(MATCH(X1345,X$256:X1344,0)),1,0))</f>
        <v/>
      </c>
      <c r="AC1345">
        <f>IF(AB1345&gt;AB1344,AB1345,"")</f>
        <v/>
      </c>
    </row>
    <row r="1346">
      <c r="W1346" s="7" t="n"/>
      <c r="X1346" s="7" t="n"/>
      <c r="Z1346">
        <f>Z1345+IF(W1346="",0,IF(ISNA(MATCH(W1346,W$256:W1345,0)),1,0))</f>
        <v/>
      </c>
      <c r="AA1346">
        <f>IF(Z1346&gt;Z1345,Z1346,"")</f>
        <v/>
      </c>
      <c r="AB1346">
        <f>AB1345+IF(X1346="",0,IF(ISNA(MATCH(X1346,X$256:X1345,0)),1,0))</f>
        <v/>
      </c>
      <c r="AC1346">
        <f>IF(AB1346&gt;AB1345,AB1346,"")</f>
        <v/>
      </c>
    </row>
    <row r="1347">
      <c r="W1347" s="7" t="n"/>
      <c r="X1347" s="7" t="n"/>
      <c r="Z1347">
        <f>Z1346+IF(W1347="",0,IF(ISNA(MATCH(W1347,W$256:W1346,0)),1,0))</f>
        <v/>
      </c>
      <c r="AA1347">
        <f>IF(Z1347&gt;Z1346,Z1347,"")</f>
        <v/>
      </c>
      <c r="AB1347">
        <f>AB1346+IF(X1347="",0,IF(ISNA(MATCH(X1347,X$256:X1346,0)),1,0))</f>
        <v/>
      </c>
      <c r="AC1347">
        <f>IF(AB1347&gt;AB1346,AB1347,"")</f>
        <v/>
      </c>
    </row>
    <row r="1348">
      <c r="W1348" s="7" t="n"/>
      <c r="X1348" s="7" t="n"/>
      <c r="Z1348">
        <f>Z1347+IF(W1348="",0,IF(ISNA(MATCH(W1348,W$256:W1347,0)),1,0))</f>
        <v/>
      </c>
      <c r="AA1348">
        <f>IF(Z1348&gt;Z1347,Z1348,"")</f>
        <v/>
      </c>
      <c r="AB1348">
        <f>AB1347+IF(X1348="",0,IF(ISNA(MATCH(X1348,X$256:X1347,0)),1,0))</f>
        <v/>
      </c>
      <c r="AC1348">
        <f>IF(AB1348&gt;AB1347,AB1348,"")</f>
        <v/>
      </c>
    </row>
    <row r="1349">
      <c r="W1349" s="7" t="n"/>
      <c r="X1349" s="7" t="n"/>
      <c r="Z1349">
        <f>Z1348+IF(W1349="",0,IF(ISNA(MATCH(W1349,W$256:W1348,0)),1,0))</f>
        <v/>
      </c>
      <c r="AA1349">
        <f>IF(Z1349&gt;Z1348,Z1349,"")</f>
        <v/>
      </c>
      <c r="AB1349">
        <f>AB1348+IF(X1349="",0,IF(ISNA(MATCH(X1349,X$256:X1348,0)),1,0))</f>
        <v/>
      </c>
      <c r="AC1349">
        <f>IF(AB1349&gt;AB1348,AB1349,"")</f>
        <v/>
      </c>
    </row>
    <row r="1350">
      <c r="W1350" s="7" t="n"/>
      <c r="X1350" s="7" t="n"/>
      <c r="Z1350">
        <f>Z1349+IF(W1350="",0,IF(ISNA(MATCH(W1350,W$256:W1349,0)),1,0))</f>
        <v/>
      </c>
      <c r="AA1350">
        <f>IF(Z1350&gt;Z1349,Z1350,"")</f>
        <v/>
      </c>
      <c r="AB1350">
        <f>AB1349+IF(X1350="",0,IF(ISNA(MATCH(X1350,X$256:X1349,0)),1,0))</f>
        <v/>
      </c>
      <c r="AC1350">
        <f>IF(AB1350&gt;AB1349,AB1350,"")</f>
        <v/>
      </c>
    </row>
    <row r="1351">
      <c r="W1351" s="7" t="n"/>
      <c r="X1351" s="7" t="n"/>
      <c r="Z1351">
        <f>Z1350+IF(W1351="",0,IF(ISNA(MATCH(W1351,W$256:W1350,0)),1,0))</f>
        <v/>
      </c>
      <c r="AA1351">
        <f>IF(Z1351&gt;Z1350,Z1351,"")</f>
        <v/>
      </c>
      <c r="AB1351">
        <f>AB1350+IF(X1351="",0,IF(ISNA(MATCH(X1351,X$256:X1350,0)),1,0))</f>
        <v/>
      </c>
      <c r="AC1351">
        <f>IF(AB1351&gt;AB1350,AB1351,"")</f>
        <v/>
      </c>
    </row>
    <row r="1352">
      <c r="W1352" s="7" t="n"/>
      <c r="X1352" s="7" t="n"/>
      <c r="Z1352">
        <f>Z1351+IF(W1352="",0,IF(ISNA(MATCH(W1352,W$256:W1351,0)),1,0))</f>
        <v/>
      </c>
      <c r="AA1352">
        <f>IF(Z1352&gt;Z1351,Z1352,"")</f>
        <v/>
      </c>
      <c r="AB1352">
        <f>AB1351+IF(X1352="",0,IF(ISNA(MATCH(X1352,X$256:X1351,0)),1,0))</f>
        <v/>
      </c>
      <c r="AC1352">
        <f>IF(AB1352&gt;AB1351,AB1352,"")</f>
        <v/>
      </c>
    </row>
    <row r="1353">
      <c r="W1353" s="7" t="n"/>
      <c r="X1353" s="7" t="n"/>
      <c r="Z1353">
        <f>Z1352+IF(W1353="",0,IF(ISNA(MATCH(W1353,W$256:W1352,0)),1,0))</f>
        <v/>
      </c>
      <c r="AA1353">
        <f>IF(Z1353&gt;Z1352,Z1353,"")</f>
        <v/>
      </c>
      <c r="AB1353">
        <f>AB1352+IF(X1353="",0,IF(ISNA(MATCH(X1353,X$256:X1352,0)),1,0))</f>
        <v/>
      </c>
      <c r="AC1353">
        <f>IF(AB1353&gt;AB1352,AB1353,"")</f>
        <v/>
      </c>
    </row>
    <row r="1354">
      <c r="W1354" s="7" t="n"/>
      <c r="X1354" s="7" t="n"/>
      <c r="Z1354">
        <f>Z1353+IF(W1354="",0,IF(ISNA(MATCH(W1354,W$256:W1353,0)),1,0))</f>
        <v/>
      </c>
      <c r="AA1354">
        <f>IF(Z1354&gt;Z1353,Z1354,"")</f>
        <v/>
      </c>
      <c r="AB1354">
        <f>AB1353+IF(X1354="",0,IF(ISNA(MATCH(X1354,X$256:X1353,0)),1,0))</f>
        <v/>
      </c>
      <c r="AC1354">
        <f>IF(AB1354&gt;AB1353,AB1354,"")</f>
        <v/>
      </c>
    </row>
    <row r="1355">
      <c r="W1355" s="7" t="n"/>
      <c r="X1355" s="7" t="n"/>
      <c r="Z1355">
        <f>Z1354+IF(W1355="",0,IF(ISNA(MATCH(W1355,W$256:W1354,0)),1,0))</f>
        <v/>
      </c>
      <c r="AA1355">
        <f>IF(Z1355&gt;Z1354,Z1355,"")</f>
        <v/>
      </c>
      <c r="AB1355">
        <f>AB1354+IF(X1355="",0,IF(ISNA(MATCH(X1355,X$256:X1354,0)),1,0))</f>
        <v/>
      </c>
      <c r="AC1355">
        <f>IF(AB1355&gt;AB1354,AB1355,"")</f>
        <v/>
      </c>
    </row>
    <row r="1356">
      <c r="W1356" s="7" t="n"/>
      <c r="X1356" s="7" t="n"/>
      <c r="Z1356">
        <f>Z1355+IF(W1356="",0,IF(ISNA(MATCH(W1356,W$256:W1355,0)),1,0))</f>
        <v/>
      </c>
      <c r="AA1356">
        <f>IF(Z1356&gt;Z1355,Z1356,"")</f>
        <v/>
      </c>
      <c r="AB1356">
        <f>AB1355+IF(X1356="",0,IF(ISNA(MATCH(X1356,X$256:X1355,0)),1,0))</f>
        <v/>
      </c>
      <c r="AC1356">
        <f>IF(AB1356&gt;AB1355,AB1356,"")</f>
        <v/>
      </c>
    </row>
    <row r="1357">
      <c r="W1357" s="7" t="n"/>
      <c r="X1357" s="7" t="n"/>
      <c r="Z1357">
        <f>Z1356+IF(W1357="",0,IF(ISNA(MATCH(W1357,W$256:W1356,0)),1,0))</f>
        <v/>
      </c>
      <c r="AA1357">
        <f>IF(Z1357&gt;Z1356,Z1357,"")</f>
        <v/>
      </c>
      <c r="AB1357">
        <f>AB1356+IF(X1357="",0,IF(ISNA(MATCH(X1357,X$256:X1356,0)),1,0))</f>
        <v/>
      </c>
      <c r="AC1357">
        <f>IF(AB1357&gt;AB1356,AB1357,"")</f>
        <v/>
      </c>
    </row>
    <row r="1358">
      <c r="W1358" s="7" t="n"/>
      <c r="X1358" s="7" t="n"/>
      <c r="Z1358">
        <f>Z1357+IF(W1358="",0,IF(ISNA(MATCH(W1358,W$256:W1357,0)),1,0))</f>
        <v/>
      </c>
      <c r="AA1358">
        <f>IF(Z1358&gt;Z1357,Z1358,"")</f>
        <v/>
      </c>
      <c r="AB1358">
        <f>AB1357+IF(X1358="",0,IF(ISNA(MATCH(X1358,X$256:X1357,0)),1,0))</f>
        <v/>
      </c>
      <c r="AC1358">
        <f>IF(AB1358&gt;AB1357,AB1358,"")</f>
        <v/>
      </c>
    </row>
    <row r="1359">
      <c r="W1359" s="7" t="n"/>
      <c r="X1359" s="7" t="n"/>
      <c r="Z1359">
        <f>Z1358+IF(W1359="",0,IF(ISNA(MATCH(W1359,W$256:W1358,0)),1,0))</f>
        <v/>
      </c>
      <c r="AA1359">
        <f>IF(Z1359&gt;Z1358,Z1359,"")</f>
        <v/>
      </c>
      <c r="AB1359">
        <f>AB1358+IF(X1359="",0,IF(ISNA(MATCH(X1359,X$256:X1358,0)),1,0))</f>
        <v/>
      </c>
      <c r="AC1359">
        <f>IF(AB1359&gt;AB1358,AB1359,"")</f>
        <v/>
      </c>
    </row>
    <row r="1360">
      <c r="W1360" s="7" t="n"/>
      <c r="X1360" s="7" t="n"/>
      <c r="Z1360">
        <f>Z1359+IF(W1360="",0,IF(ISNA(MATCH(W1360,W$256:W1359,0)),1,0))</f>
        <v/>
      </c>
      <c r="AA1360">
        <f>IF(Z1360&gt;Z1359,Z1360,"")</f>
        <v/>
      </c>
      <c r="AB1360">
        <f>AB1359+IF(X1360="",0,IF(ISNA(MATCH(X1360,X$256:X1359,0)),1,0))</f>
        <v/>
      </c>
      <c r="AC1360">
        <f>IF(AB1360&gt;AB1359,AB1360,"")</f>
        <v/>
      </c>
    </row>
    <row r="1361">
      <c r="W1361" s="7" t="n"/>
      <c r="X1361" s="7" t="n"/>
      <c r="Z1361">
        <f>Z1360+IF(W1361="",0,IF(ISNA(MATCH(W1361,W$256:W1360,0)),1,0))</f>
        <v/>
      </c>
      <c r="AA1361">
        <f>IF(Z1361&gt;Z1360,Z1361,"")</f>
        <v/>
      </c>
      <c r="AB1361">
        <f>AB1360+IF(X1361="",0,IF(ISNA(MATCH(X1361,X$256:X1360,0)),1,0))</f>
        <v/>
      </c>
      <c r="AC1361">
        <f>IF(AB1361&gt;AB1360,AB1361,"")</f>
        <v/>
      </c>
    </row>
    <row r="1362">
      <c r="W1362" s="7" t="n"/>
      <c r="X1362" s="7" t="n"/>
      <c r="Z1362">
        <f>Z1361+IF(W1362="",0,IF(ISNA(MATCH(W1362,W$256:W1361,0)),1,0))</f>
        <v/>
      </c>
      <c r="AA1362">
        <f>IF(Z1362&gt;Z1361,Z1362,"")</f>
        <v/>
      </c>
      <c r="AB1362">
        <f>AB1361+IF(X1362="",0,IF(ISNA(MATCH(X1362,X$256:X1361,0)),1,0))</f>
        <v/>
      </c>
      <c r="AC1362">
        <f>IF(AB1362&gt;AB1361,AB1362,"")</f>
        <v/>
      </c>
    </row>
    <row r="1363">
      <c r="W1363" s="7" t="n"/>
      <c r="X1363" s="7" t="n"/>
      <c r="Z1363">
        <f>Z1362+IF(W1363="",0,IF(ISNA(MATCH(W1363,W$256:W1362,0)),1,0))</f>
        <v/>
      </c>
      <c r="AA1363">
        <f>IF(Z1363&gt;Z1362,Z1363,"")</f>
        <v/>
      </c>
      <c r="AB1363">
        <f>AB1362+IF(X1363="",0,IF(ISNA(MATCH(X1363,X$256:X1362,0)),1,0))</f>
        <v/>
      </c>
      <c r="AC1363">
        <f>IF(AB1363&gt;AB1362,AB1363,"")</f>
        <v/>
      </c>
    </row>
    <row r="1364">
      <c r="W1364" s="7" t="n"/>
      <c r="X1364" s="7" t="n"/>
      <c r="Z1364">
        <f>Z1363+IF(W1364="",0,IF(ISNA(MATCH(W1364,W$256:W1363,0)),1,0))</f>
        <v/>
      </c>
      <c r="AA1364">
        <f>IF(Z1364&gt;Z1363,Z1364,"")</f>
        <v/>
      </c>
      <c r="AB1364">
        <f>AB1363+IF(X1364="",0,IF(ISNA(MATCH(X1364,X$256:X1363,0)),1,0))</f>
        <v/>
      </c>
      <c r="AC1364">
        <f>IF(AB1364&gt;AB1363,AB1364,"")</f>
        <v/>
      </c>
    </row>
    <row r="1365">
      <c r="W1365" s="7" t="n"/>
      <c r="X1365" s="7" t="n"/>
      <c r="Z1365">
        <f>Z1364+IF(W1365="",0,IF(ISNA(MATCH(W1365,W$256:W1364,0)),1,0))</f>
        <v/>
      </c>
      <c r="AA1365">
        <f>IF(Z1365&gt;Z1364,Z1365,"")</f>
        <v/>
      </c>
      <c r="AB1365">
        <f>AB1364+IF(X1365="",0,IF(ISNA(MATCH(X1365,X$256:X1364,0)),1,0))</f>
        <v/>
      </c>
      <c r="AC1365">
        <f>IF(AB1365&gt;AB1364,AB1365,"")</f>
        <v/>
      </c>
    </row>
    <row r="1366">
      <c r="W1366" s="7" t="n"/>
      <c r="X1366" s="7" t="n"/>
      <c r="Z1366">
        <f>Z1365+IF(W1366="",0,IF(ISNA(MATCH(W1366,W$256:W1365,0)),1,0))</f>
        <v/>
      </c>
      <c r="AA1366">
        <f>IF(Z1366&gt;Z1365,Z1366,"")</f>
        <v/>
      </c>
      <c r="AB1366">
        <f>AB1365+IF(X1366="",0,IF(ISNA(MATCH(X1366,X$256:X1365,0)),1,0))</f>
        <v/>
      </c>
      <c r="AC1366">
        <f>IF(AB1366&gt;AB1365,AB1366,"")</f>
        <v/>
      </c>
    </row>
    <row r="1367">
      <c r="W1367" s="7" t="n"/>
      <c r="X1367" s="7" t="n"/>
      <c r="Z1367">
        <f>Z1366+IF(W1367="",0,IF(ISNA(MATCH(W1367,W$256:W1366,0)),1,0))</f>
        <v/>
      </c>
      <c r="AA1367">
        <f>IF(Z1367&gt;Z1366,Z1367,"")</f>
        <v/>
      </c>
      <c r="AB1367">
        <f>AB1366+IF(X1367="",0,IF(ISNA(MATCH(X1367,X$256:X1366,0)),1,0))</f>
        <v/>
      </c>
      <c r="AC1367">
        <f>IF(AB1367&gt;AB1366,AB1367,"")</f>
        <v/>
      </c>
    </row>
    <row r="1368">
      <c r="W1368" s="7" t="n"/>
      <c r="X1368" s="7" t="n"/>
      <c r="Z1368">
        <f>Z1367+IF(W1368="",0,IF(ISNA(MATCH(W1368,W$256:W1367,0)),1,0))</f>
        <v/>
      </c>
      <c r="AA1368">
        <f>IF(Z1368&gt;Z1367,Z1368,"")</f>
        <v/>
      </c>
      <c r="AB1368">
        <f>AB1367+IF(X1368="",0,IF(ISNA(MATCH(X1368,X$256:X1367,0)),1,0))</f>
        <v/>
      </c>
      <c r="AC1368">
        <f>IF(AB1368&gt;AB1367,AB1368,"")</f>
        <v/>
      </c>
    </row>
    <row r="1369">
      <c r="W1369" s="7" t="n"/>
      <c r="X1369" s="7" t="n"/>
      <c r="Z1369">
        <f>Z1368+IF(W1369="",0,IF(ISNA(MATCH(W1369,W$256:W1368,0)),1,0))</f>
        <v/>
      </c>
      <c r="AA1369">
        <f>IF(Z1369&gt;Z1368,Z1369,"")</f>
        <v/>
      </c>
      <c r="AB1369">
        <f>AB1368+IF(X1369="",0,IF(ISNA(MATCH(X1369,X$256:X1368,0)),1,0))</f>
        <v/>
      </c>
      <c r="AC1369">
        <f>IF(AB1369&gt;AB1368,AB1369,"")</f>
        <v/>
      </c>
    </row>
    <row r="1370">
      <c r="W1370" s="7" t="n"/>
      <c r="X1370" s="7" t="n"/>
      <c r="Z1370">
        <f>Z1369+IF(W1370="",0,IF(ISNA(MATCH(W1370,W$256:W1369,0)),1,0))</f>
        <v/>
      </c>
      <c r="AA1370">
        <f>IF(Z1370&gt;Z1369,Z1370,"")</f>
        <v/>
      </c>
      <c r="AB1370">
        <f>AB1369+IF(X1370="",0,IF(ISNA(MATCH(X1370,X$256:X1369,0)),1,0))</f>
        <v/>
      </c>
      <c r="AC1370">
        <f>IF(AB1370&gt;AB1369,AB1370,"")</f>
        <v/>
      </c>
    </row>
    <row r="1371">
      <c r="W1371" s="7" t="n"/>
      <c r="X1371" s="7" t="n"/>
      <c r="Z1371">
        <f>Z1370+IF(W1371="",0,IF(ISNA(MATCH(W1371,W$256:W1370,0)),1,0))</f>
        <v/>
      </c>
      <c r="AA1371">
        <f>IF(Z1371&gt;Z1370,Z1371,"")</f>
        <v/>
      </c>
      <c r="AB1371">
        <f>AB1370+IF(X1371="",0,IF(ISNA(MATCH(X1371,X$256:X1370,0)),1,0))</f>
        <v/>
      </c>
      <c r="AC1371">
        <f>IF(AB1371&gt;AB1370,AB1371,"")</f>
        <v/>
      </c>
    </row>
    <row r="1372">
      <c r="W1372" s="7" t="n"/>
      <c r="X1372" s="7" t="n"/>
      <c r="Z1372">
        <f>Z1371+IF(W1372="",0,IF(ISNA(MATCH(W1372,W$256:W1371,0)),1,0))</f>
        <v/>
      </c>
      <c r="AA1372">
        <f>IF(Z1372&gt;Z1371,Z1372,"")</f>
        <v/>
      </c>
      <c r="AB1372">
        <f>AB1371+IF(X1372="",0,IF(ISNA(MATCH(X1372,X$256:X1371,0)),1,0))</f>
        <v/>
      </c>
      <c r="AC1372">
        <f>IF(AB1372&gt;AB1371,AB1372,"")</f>
        <v/>
      </c>
    </row>
    <row r="1373">
      <c r="W1373" s="7" t="n"/>
      <c r="X1373" s="7" t="n"/>
      <c r="Z1373">
        <f>Z1372+IF(W1373="",0,IF(ISNA(MATCH(W1373,W$256:W1372,0)),1,0))</f>
        <v/>
      </c>
      <c r="AA1373">
        <f>IF(Z1373&gt;Z1372,Z1373,"")</f>
        <v/>
      </c>
      <c r="AB1373">
        <f>AB1372+IF(X1373="",0,IF(ISNA(MATCH(X1373,X$256:X1372,0)),1,0))</f>
        <v/>
      </c>
      <c r="AC1373">
        <f>IF(AB1373&gt;AB1372,AB1373,"")</f>
        <v/>
      </c>
    </row>
    <row r="1374">
      <c r="W1374" s="7" t="n"/>
      <c r="X1374" s="7" t="n"/>
      <c r="Z1374">
        <f>Z1373+IF(W1374="",0,IF(ISNA(MATCH(W1374,W$256:W1373,0)),1,0))</f>
        <v/>
      </c>
      <c r="AA1374">
        <f>IF(Z1374&gt;Z1373,Z1374,"")</f>
        <v/>
      </c>
      <c r="AB1374">
        <f>AB1373+IF(X1374="",0,IF(ISNA(MATCH(X1374,X$256:X1373,0)),1,0))</f>
        <v/>
      </c>
      <c r="AC1374">
        <f>IF(AB1374&gt;AB1373,AB1374,"")</f>
        <v/>
      </c>
    </row>
    <row r="1375">
      <c r="W1375" s="7" t="n"/>
      <c r="X1375" s="7" t="n"/>
      <c r="Z1375">
        <f>Z1374+IF(W1375="",0,IF(ISNA(MATCH(W1375,W$256:W1374,0)),1,0))</f>
        <v/>
      </c>
      <c r="AA1375">
        <f>IF(Z1375&gt;Z1374,Z1375,"")</f>
        <v/>
      </c>
      <c r="AB1375">
        <f>AB1374+IF(X1375="",0,IF(ISNA(MATCH(X1375,X$256:X1374,0)),1,0))</f>
        <v/>
      </c>
      <c r="AC1375">
        <f>IF(AB1375&gt;AB1374,AB1375,"")</f>
        <v/>
      </c>
    </row>
    <row r="1376">
      <c r="W1376" s="7" t="n"/>
      <c r="X1376" s="7" t="n"/>
      <c r="Z1376">
        <f>Z1375+IF(W1376="",0,IF(ISNA(MATCH(W1376,W$256:W1375,0)),1,0))</f>
        <v/>
      </c>
      <c r="AA1376">
        <f>IF(Z1376&gt;Z1375,Z1376,"")</f>
        <v/>
      </c>
      <c r="AB1376">
        <f>AB1375+IF(X1376="",0,IF(ISNA(MATCH(X1376,X$256:X1375,0)),1,0))</f>
        <v/>
      </c>
      <c r="AC1376">
        <f>IF(AB1376&gt;AB1375,AB1376,"")</f>
        <v/>
      </c>
    </row>
    <row r="1377">
      <c r="W1377" s="7" t="n"/>
      <c r="X1377" s="7" t="n"/>
      <c r="Z1377">
        <f>Z1376+IF(W1377="",0,IF(ISNA(MATCH(W1377,W$256:W1376,0)),1,0))</f>
        <v/>
      </c>
      <c r="AA1377">
        <f>IF(Z1377&gt;Z1376,Z1377,"")</f>
        <v/>
      </c>
      <c r="AB1377">
        <f>AB1376+IF(X1377="",0,IF(ISNA(MATCH(X1377,X$256:X1376,0)),1,0))</f>
        <v/>
      </c>
      <c r="AC1377">
        <f>IF(AB1377&gt;AB1376,AB1377,"")</f>
        <v/>
      </c>
    </row>
    <row r="1378">
      <c r="W1378" s="7" t="n"/>
      <c r="X1378" s="7" t="n"/>
      <c r="Z1378">
        <f>Z1377+IF(W1378="",0,IF(ISNA(MATCH(W1378,W$256:W1377,0)),1,0))</f>
        <v/>
      </c>
      <c r="AA1378">
        <f>IF(Z1378&gt;Z1377,Z1378,"")</f>
        <v/>
      </c>
      <c r="AB1378">
        <f>AB1377+IF(X1378="",0,IF(ISNA(MATCH(X1378,X$256:X1377,0)),1,0))</f>
        <v/>
      </c>
      <c r="AC1378">
        <f>IF(AB1378&gt;AB1377,AB1378,"")</f>
        <v/>
      </c>
    </row>
    <row r="1379">
      <c r="W1379" s="7" t="n"/>
      <c r="X1379" s="7" t="n"/>
      <c r="Z1379">
        <f>Z1378+IF(W1379="",0,IF(ISNA(MATCH(W1379,W$256:W1378,0)),1,0))</f>
        <v/>
      </c>
      <c r="AA1379">
        <f>IF(Z1379&gt;Z1378,Z1379,"")</f>
        <v/>
      </c>
      <c r="AB1379">
        <f>AB1378+IF(X1379="",0,IF(ISNA(MATCH(X1379,X$256:X1378,0)),1,0))</f>
        <v/>
      </c>
      <c r="AC1379">
        <f>IF(AB1379&gt;AB1378,AB1379,"")</f>
        <v/>
      </c>
    </row>
    <row r="1380">
      <c r="W1380" s="7" t="n"/>
      <c r="X1380" s="7" t="n"/>
      <c r="Z1380">
        <f>Z1379+IF(W1380="",0,IF(ISNA(MATCH(W1380,W$256:W1379,0)),1,0))</f>
        <v/>
      </c>
      <c r="AA1380">
        <f>IF(Z1380&gt;Z1379,Z1380,"")</f>
        <v/>
      </c>
      <c r="AB1380">
        <f>AB1379+IF(X1380="",0,IF(ISNA(MATCH(X1380,X$256:X1379,0)),1,0))</f>
        <v/>
      </c>
      <c r="AC1380">
        <f>IF(AB1380&gt;AB1379,AB1380,"")</f>
        <v/>
      </c>
    </row>
    <row r="1381">
      <c r="W1381" s="7" t="n"/>
      <c r="X1381" s="7" t="n"/>
      <c r="Z1381">
        <f>Z1380+IF(W1381="",0,IF(ISNA(MATCH(W1381,W$256:W1380,0)),1,0))</f>
        <v/>
      </c>
      <c r="AA1381">
        <f>IF(Z1381&gt;Z1380,Z1381,"")</f>
        <v/>
      </c>
      <c r="AB1381">
        <f>AB1380+IF(X1381="",0,IF(ISNA(MATCH(X1381,X$256:X1380,0)),1,0))</f>
        <v/>
      </c>
      <c r="AC1381">
        <f>IF(AB1381&gt;AB1380,AB1381,"")</f>
        <v/>
      </c>
    </row>
    <row r="1382">
      <c r="W1382" s="7" t="n"/>
      <c r="X1382" s="7" t="n"/>
      <c r="Z1382">
        <f>Z1381+IF(W1382="",0,IF(ISNA(MATCH(W1382,W$256:W1381,0)),1,0))</f>
        <v/>
      </c>
      <c r="AA1382">
        <f>IF(Z1382&gt;Z1381,Z1382,"")</f>
        <v/>
      </c>
      <c r="AB1382">
        <f>AB1381+IF(X1382="",0,IF(ISNA(MATCH(X1382,X$256:X1381,0)),1,0))</f>
        <v/>
      </c>
      <c r="AC1382">
        <f>IF(AB1382&gt;AB1381,AB1382,"")</f>
        <v/>
      </c>
    </row>
    <row r="1383">
      <c r="W1383" s="7" t="n"/>
      <c r="X1383" s="7" t="n"/>
      <c r="Z1383">
        <f>Z1382+IF(W1383="",0,IF(ISNA(MATCH(W1383,W$256:W1382,0)),1,0))</f>
        <v/>
      </c>
      <c r="AA1383">
        <f>IF(Z1383&gt;Z1382,Z1383,"")</f>
        <v/>
      </c>
      <c r="AB1383">
        <f>AB1382+IF(X1383="",0,IF(ISNA(MATCH(X1383,X$256:X1382,0)),1,0))</f>
        <v/>
      </c>
      <c r="AC1383">
        <f>IF(AB1383&gt;AB1382,AB1383,"")</f>
        <v/>
      </c>
    </row>
    <row r="1384">
      <c r="W1384" s="7" t="n"/>
      <c r="X1384" s="7" t="n"/>
      <c r="Z1384">
        <f>Z1383+IF(W1384="",0,IF(ISNA(MATCH(W1384,W$256:W1383,0)),1,0))</f>
        <v/>
      </c>
      <c r="AA1384">
        <f>IF(Z1384&gt;Z1383,Z1384,"")</f>
        <v/>
      </c>
      <c r="AB1384">
        <f>AB1383+IF(X1384="",0,IF(ISNA(MATCH(X1384,X$256:X1383,0)),1,0))</f>
        <v/>
      </c>
      <c r="AC1384">
        <f>IF(AB1384&gt;AB1383,AB1384,"")</f>
        <v/>
      </c>
    </row>
    <row r="1385">
      <c r="W1385" s="7" t="n"/>
      <c r="X1385" s="7" t="n"/>
      <c r="Z1385">
        <f>Z1384+IF(W1385="",0,IF(ISNA(MATCH(W1385,W$256:W1384,0)),1,0))</f>
        <v/>
      </c>
      <c r="AA1385">
        <f>IF(Z1385&gt;Z1384,Z1385,"")</f>
        <v/>
      </c>
      <c r="AB1385">
        <f>AB1384+IF(X1385="",0,IF(ISNA(MATCH(X1385,X$256:X1384,0)),1,0))</f>
        <v/>
      </c>
      <c r="AC1385">
        <f>IF(AB1385&gt;AB1384,AB1385,"")</f>
        <v/>
      </c>
    </row>
    <row r="1386">
      <c r="W1386" s="7" t="n"/>
      <c r="X1386" s="7" t="n"/>
      <c r="Z1386">
        <f>Z1385+IF(W1386="",0,IF(ISNA(MATCH(W1386,W$256:W1385,0)),1,0))</f>
        <v/>
      </c>
      <c r="AA1386">
        <f>IF(Z1386&gt;Z1385,Z1386,"")</f>
        <v/>
      </c>
      <c r="AB1386">
        <f>AB1385+IF(X1386="",0,IF(ISNA(MATCH(X1386,X$256:X1385,0)),1,0))</f>
        <v/>
      </c>
      <c r="AC1386">
        <f>IF(AB1386&gt;AB1385,AB1386,"")</f>
        <v/>
      </c>
    </row>
    <row r="1387">
      <c r="W1387" s="7" t="n"/>
      <c r="X1387" s="7" t="n"/>
      <c r="Z1387">
        <f>Z1386+IF(W1387="",0,IF(ISNA(MATCH(W1387,W$256:W1386,0)),1,0))</f>
        <v/>
      </c>
      <c r="AA1387">
        <f>IF(Z1387&gt;Z1386,Z1387,"")</f>
        <v/>
      </c>
      <c r="AB1387">
        <f>AB1386+IF(X1387="",0,IF(ISNA(MATCH(X1387,X$256:X1386,0)),1,0))</f>
        <v/>
      </c>
      <c r="AC1387">
        <f>IF(AB1387&gt;AB1386,AB1387,"")</f>
        <v/>
      </c>
    </row>
    <row r="1388">
      <c r="W1388" s="7" t="n"/>
      <c r="X1388" s="7" t="n"/>
      <c r="Z1388">
        <f>Z1387+IF(W1388="",0,IF(ISNA(MATCH(W1388,W$256:W1387,0)),1,0))</f>
        <v/>
      </c>
      <c r="AA1388">
        <f>IF(Z1388&gt;Z1387,Z1388,"")</f>
        <v/>
      </c>
      <c r="AB1388">
        <f>AB1387+IF(X1388="",0,IF(ISNA(MATCH(X1388,X$256:X1387,0)),1,0))</f>
        <v/>
      </c>
      <c r="AC1388">
        <f>IF(AB1388&gt;AB1387,AB1388,"")</f>
        <v/>
      </c>
    </row>
    <row r="1389">
      <c r="W1389" s="7" t="n"/>
      <c r="X1389" s="7" t="n"/>
      <c r="Z1389">
        <f>Z1388+IF(W1389="",0,IF(ISNA(MATCH(W1389,W$256:W1388,0)),1,0))</f>
        <v/>
      </c>
      <c r="AA1389">
        <f>IF(Z1389&gt;Z1388,Z1389,"")</f>
        <v/>
      </c>
      <c r="AB1389">
        <f>AB1388+IF(X1389="",0,IF(ISNA(MATCH(X1389,X$256:X1388,0)),1,0))</f>
        <v/>
      </c>
      <c r="AC1389">
        <f>IF(AB1389&gt;AB1388,AB1389,"")</f>
        <v/>
      </c>
    </row>
    <row r="1390">
      <c r="W1390" s="7" t="n"/>
      <c r="X1390" s="7" t="n"/>
      <c r="Z1390">
        <f>Z1389+IF(W1390="",0,IF(ISNA(MATCH(W1390,W$256:W1389,0)),1,0))</f>
        <v/>
      </c>
      <c r="AA1390">
        <f>IF(Z1390&gt;Z1389,Z1390,"")</f>
        <v/>
      </c>
      <c r="AB1390">
        <f>AB1389+IF(X1390="",0,IF(ISNA(MATCH(X1390,X$256:X1389,0)),1,0))</f>
        <v/>
      </c>
      <c r="AC1390">
        <f>IF(AB1390&gt;AB1389,AB1390,"")</f>
        <v/>
      </c>
    </row>
    <row r="1391">
      <c r="W1391" s="7" t="n"/>
      <c r="X1391" s="7" t="n"/>
      <c r="Z1391">
        <f>Z1390+IF(W1391="",0,IF(ISNA(MATCH(W1391,W$256:W1390,0)),1,0))</f>
        <v/>
      </c>
      <c r="AA1391">
        <f>IF(Z1391&gt;Z1390,Z1391,"")</f>
        <v/>
      </c>
      <c r="AB1391">
        <f>AB1390+IF(X1391="",0,IF(ISNA(MATCH(X1391,X$256:X1390,0)),1,0))</f>
        <v/>
      </c>
      <c r="AC1391">
        <f>IF(AB1391&gt;AB1390,AB1391,"")</f>
        <v/>
      </c>
    </row>
    <row r="1392">
      <c r="W1392" s="7" t="n"/>
      <c r="X1392" s="7" t="n"/>
      <c r="Z1392">
        <f>Z1391+IF(W1392="",0,IF(ISNA(MATCH(W1392,W$256:W1391,0)),1,0))</f>
        <v/>
      </c>
      <c r="AA1392">
        <f>IF(Z1392&gt;Z1391,Z1392,"")</f>
        <v/>
      </c>
      <c r="AB1392">
        <f>AB1391+IF(X1392="",0,IF(ISNA(MATCH(X1392,X$256:X1391,0)),1,0))</f>
        <v/>
      </c>
      <c r="AC1392">
        <f>IF(AB1392&gt;AB1391,AB1392,"")</f>
        <v/>
      </c>
    </row>
    <row r="1393">
      <c r="W1393" s="7" t="n"/>
      <c r="X1393" s="7" t="n"/>
      <c r="Z1393">
        <f>Z1392+IF(W1393="",0,IF(ISNA(MATCH(W1393,W$256:W1392,0)),1,0))</f>
        <v/>
      </c>
      <c r="AA1393">
        <f>IF(Z1393&gt;Z1392,Z1393,"")</f>
        <v/>
      </c>
      <c r="AB1393">
        <f>AB1392+IF(X1393="",0,IF(ISNA(MATCH(X1393,X$256:X1392,0)),1,0))</f>
        <v/>
      </c>
      <c r="AC1393">
        <f>IF(AB1393&gt;AB1392,AB1393,"")</f>
        <v/>
      </c>
    </row>
    <row r="1394">
      <c r="W1394" s="7" t="n"/>
      <c r="X1394" s="7" t="n"/>
      <c r="Z1394">
        <f>Z1393+IF(W1394="",0,IF(ISNA(MATCH(W1394,W$256:W1393,0)),1,0))</f>
        <v/>
      </c>
      <c r="AA1394">
        <f>IF(Z1394&gt;Z1393,Z1394,"")</f>
        <v/>
      </c>
      <c r="AB1394">
        <f>AB1393+IF(X1394="",0,IF(ISNA(MATCH(X1394,X$256:X1393,0)),1,0))</f>
        <v/>
      </c>
      <c r="AC1394">
        <f>IF(AB1394&gt;AB1393,AB1394,"")</f>
        <v/>
      </c>
    </row>
    <row r="1395">
      <c r="W1395" s="7" t="n"/>
      <c r="X1395" s="7" t="n"/>
      <c r="Z1395">
        <f>Z1394+IF(W1395="",0,IF(ISNA(MATCH(W1395,W$256:W1394,0)),1,0))</f>
        <v/>
      </c>
      <c r="AA1395">
        <f>IF(Z1395&gt;Z1394,Z1395,"")</f>
        <v/>
      </c>
      <c r="AB1395">
        <f>AB1394+IF(X1395="",0,IF(ISNA(MATCH(X1395,X$256:X1394,0)),1,0))</f>
        <v/>
      </c>
      <c r="AC1395">
        <f>IF(AB1395&gt;AB1394,AB1395,"")</f>
        <v/>
      </c>
    </row>
    <row r="1396">
      <c r="W1396" s="7" t="n"/>
      <c r="X1396" s="7" t="n"/>
      <c r="Z1396">
        <f>Z1395+IF(W1396="",0,IF(ISNA(MATCH(W1396,W$256:W1395,0)),1,0))</f>
        <v/>
      </c>
      <c r="AA1396">
        <f>IF(Z1396&gt;Z1395,Z1396,"")</f>
        <v/>
      </c>
      <c r="AB1396">
        <f>AB1395+IF(X1396="",0,IF(ISNA(MATCH(X1396,X$256:X1395,0)),1,0))</f>
        <v/>
      </c>
      <c r="AC1396">
        <f>IF(AB1396&gt;AB1395,AB1396,"")</f>
        <v/>
      </c>
    </row>
    <row r="1397">
      <c r="W1397" s="7" t="n"/>
      <c r="X1397" s="7" t="n"/>
      <c r="Z1397">
        <f>Z1396+IF(W1397="",0,IF(ISNA(MATCH(W1397,W$256:W1396,0)),1,0))</f>
        <v/>
      </c>
      <c r="AA1397">
        <f>IF(Z1397&gt;Z1396,Z1397,"")</f>
        <v/>
      </c>
      <c r="AB1397">
        <f>AB1396+IF(X1397="",0,IF(ISNA(MATCH(X1397,X$256:X1396,0)),1,0))</f>
        <v/>
      </c>
      <c r="AC1397">
        <f>IF(AB1397&gt;AB1396,AB1397,"")</f>
        <v/>
      </c>
    </row>
    <row r="1398">
      <c r="W1398" s="7" t="n"/>
      <c r="X1398" s="7" t="n"/>
      <c r="Z1398">
        <f>Z1397+IF(W1398="",0,IF(ISNA(MATCH(W1398,W$256:W1397,0)),1,0))</f>
        <v/>
      </c>
      <c r="AA1398">
        <f>IF(Z1398&gt;Z1397,Z1398,"")</f>
        <v/>
      </c>
      <c r="AB1398">
        <f>AB1397+IF(X1398="",0,IF(ISNA(MATCH(X1398,X$256:X1397,0)),1,0))</f>
        <v/>
      </c>
      <c r="AC1398">
        <f>IF(AB1398&gt;AB1397,AB1398,"")</f>
        <v/>
      </c>
    </row>
    <row r="1399">
      <c r="W1399" s="7" t="n"/>
      <c r="X1399" s="7" t="n"/>
      <c r="Z1399">
        <f>Z1398+IF(W1399="",0,IF(ISNA(MATCH(W1399,W$256:W1398,0)),1,0))</f>
        <v/>
      </c>
      <c r="AA1399">
        <f>IF(Z1399&gt;Z1398,Z1399,"")</f>
        <v/>
      </c>
      <c r="AB1399">
        <f>AB1398+IF(X1399="",0,IF(ISNA(MATCH(X1399,X$256:X1398,0)),1,0))</f>
        <v/>
      </c>
      <c r="AC1399">
        <f>IF(AB1399&gt;AB1398,AB1399,"")</f>
        <v/>
      </c>
    </row>
    <row r="1400">
      <c r="W1400" s="7" t="n"/>
      <c r="X1400" s="7" t="n"/>
      <c r="Z1400">
        <f>Z1399+IF(W1400="",0,IF(ISNA(MATCH(W1400,W$256:W1399,0)),1,0))</f>
        <v/>
      </c>
      <c r="AA1400">
        <f>IF(Z1400&gt;Z1399,Z1400,"")</f>
        <v/>
      </c>
      <c r="AB1400">
        <f>AB1399+IF(X1400="",0,IF(ISNA(MATCH(X1400,X$256:X1399,0)),1,0))</f>
        <v/>
      </c>
      <c r="AC1400">
        <f>IF(AB1400&gt;AB1399,AB1400,"")</f>
        <v/>
      </c>
    </row>
    <row r="1401">
      <c r="W1401" s="7" t="n"/>
      <c r="X1401" s="7" t="n"/>
      <c r="Z1401">
        <f>Z1400+IF(W1401="",0,IF(ISNA(MATCH(W1401,W$256:W1400,0)),1,0))</f>
        <v/>
      </c>
      <c r="AA1401">
        <f>IF(Z1401&gt;Z1400,Z1401,"")</f>
        <v/>
      </c>
      <c r="AB1401">
        <f>AB1400+IF(X1401="",0,IF(ISNA(MATCH(X1401,X$256:X1400,0)),1,0))</f>
        <v/>
      </c>
      <c r="AC1401">
        <f>IF(AB1401&gt;AB1400,AB1401,"")</f>
        <v/>
      </c>
    </row>
    <row r="1402">
      <c r="W1402" s="7" t="n"/>
      <c r="X1402" s="7" t="n"/>
      <c r="Z1402">
        <f>Z1401+IF(W1402="",0,IF(ISNA(MATCH(W1402,W$256:W1401,0)),1,0))</f>
        <v/>
      </c>
      <c r="AA1402">
        <f>IF(Z1402&gt;Z1401,Z1402,"")</f>
        <v/>
      </c>
      <c r="AB1402">
        <f>AB1401+IF(X1402="",0,IF(ISNA(MATCH(X1402,X$256:X1401,0)),1,0))</f>
        <v/>
      </c>
      <c r="AC1402">
        <f>IF(AB1402&gt;AB1401,AB1402,"")</f>
        <v/>
      </c>
    </row>
    <row r="1403">
      <c r="W1403" s="7" t="n"/>
      <c r="X1403" s="7" t="n"/>
      <c r="Z1403">
        <f>Z1402+IF(W1403="",0,IF(ISNA(MATCH(W1403,W$256:W1402,0)),1,0))</f>
        <v/>
      </c>
      <c r="AA1403">
        <f>IF(Z1403&gt;Z1402,Z1403,"")</f>
        <v/>
      </c>
      <c r="AB1403">
        <f>AB1402+IF(X1403="",0,IF(ISNA(MATCH(X1403,X$256:X1402,0)),1,0))</f>
        <v/>
      </c>
      <c r="AC1403">
        <f>IF(AB1403&gt;AB1402,AB1403,"")</f>
        <v/>
      </c>
    </row>
    <row r="1404">
      <c r="W1404" s="7" t="n"/>
      <c r="X1404" s="7" t="n"/>
      <c r="Z1404">
        <f>Z1403+IF(W1404="",0,IF(ISNA(MATCH(W1404,W$256:W1403,0)),1,0))</f>
        <v/>
      </c>
      <c r="AA1404">
        <f>IF(Z1404&gt;Z1403,Z1404,"")</f>
        <v/>
      </c>
      <c r="AB1404">
        <f>AB1403+IF(X1404="",0,IF(ISNA(MATCH(X1404,X$256:X1403,0)),1,0))</f>
        <v/>
      </c>
      <c r="AC1404">
        <f>IF(AB1404&gt;AB1403,AB1404,"")</f>
        <v/>
      </c>
    </row>
    <row r="1405">
      <c r="W1405" s="7" t="n"/>
      <c r="X1405" s="7" t="n"/>
      <c r="Z1405">
        <f>Z1404+IF(W1405="",0,IF(ISNA(MATCH(W1405,W$256:W1404,0)),1,0))</f>
        <v/>
      </c>
      <c r="AA1405">
        <f>IF(Z1405&gt;Z1404,Z1405,"")</f>
        <v/>
      </c>
      <c r="AB1405">
        <f>AB1404+IF(X1405="",0,IF(ISNA(MATCH(X1405,X$256:X1404,0)),1,0))</f>
        <v/>
      </c>
      <c r="AC1405">
        <f>IF(AB1405&gt;AB1404,AB1405,"")</f>
        <v/>
      </c>
    </row>
    <row r="1406">
      <c r="W1406" s="7" t="n"/>
      <c r="X1406" s="7" t="n"/>
      <c r="Z1406">
        <f>Z1405+IF(W1406="",0,IF(ISNA(MATCH(W1406,W$256:W1405,0)),1,0))</f>
        <v/>
      </c>
      <c r="AA1406">
        <f>IF(Z1406&gt;Z1405,Z1406,"")</f>
        <v/>
      </c>
      <c r="AB1406">
        <f>AB1405+IF(X1406="",0,IF(ISNA(MATCH(X1406,X$256:X1405,0)),1,0))</f>
        <v/>
      </c>
      <c r="AC1406">
        <f>IF(AB1406&gt;AB1405,AB1406,"")</f>
        <v/>
      </c>
    </row>
    <row r="1407">
      <c r="W1407" s="7" t="n"/>
      <c r="X1407" s="7" t="n"/>
      <c r="Z1407">
        <f>Z1406+IF(W1407="",0,IF(ISNA(MATCH(W1407,W$256:W1406,0)),1,0))</f>
        <v/>
      </c>
      <c r="AA1407">
        <f>IF(Z1407&gt;Z1406,Z1407,"")</f>
        <v/>
      </c>
      <c r="AB1407">
        <f>AB1406+IF(X1407="",0,IF(ISNA(MATCH(X1407,X$256:X1406,0)),1,0))</f>
        <v/>
      </c>
      <c r="AC1407">
        <f>IF(AB1407&gt;AB1406,AB1407,"")</f>
        <v/>
      </c>
    </row>
    <row r="1408">
      <c r="W1408" s="7" t="n"/>
      <c r="X1408" s="7" t="n"/>
      <c r="Z1408">
        <f>Z1407+IF(W1408="",0,IF(ISNA(MATCH(W1408,W$256:W1407,0)),1,0))</f>
        <v/>
      </c>
      <c r="AA1408">
        <f>IF(Z1408&gt;Z1407,Z1408,"")</f>
        <v/>
      </c>
      <c r="AB1408">
        <f>AB1407+IF(X1408="",0,IF(ISNA(MATCH(X1408,X$256:X1407,0)),1,0))</f>
        <v/>
      </c>
      <c r="AC1408">
        <f>IF(AB1408&gt;AB1407,AB1408,"")</f>
        <v/>
      </c>
    </row>
    <row r="1409">
      <c r="W1409" s="7" t="n"/>
      <c r="X1409" s="7" t="n"/>
      <c r="Z1409">
        <f>Z1408+IF(W1409="",0,IF(ISNA(MATCH(W1409,W$256:W1408,0)),1,0))</f>
        <v/>
      </c>
      <c r="AA1409">
        <f>IF(Z1409&gt;Z1408,Z1409,"")</f>
        <v/>
      </c>
      <c r="AB1409">
        <f>AB1408+IF(X1409="",0,IF(ISNA(MATCH(X1409,X$256:X1408,0)),1,0))</f>
        <v/>
      </c>
      <c r="AC1409">
        <f>IF(AB1409&gt;AB1408,AB1409,"")</f>
        <v/>
      </c>
    </row>
    <row r="1410">
      <c r="W1410" s="7" t="n"/>
      <c r="X1410" s="7" t="n"/>
      <c r="Z1410">
        <f>Z1409+IF(W1410="",0,IF(ISNA(MATCH(W1410,W$256:W1409,0)),1,0))</f>
        <v/>
      </c>
      <c r="AA1410">
        <f>IF(Z1410&gt;Z1409,Z1410,"")</f>
        <v/>
      </c>
      <c r="AB1410">
        <f>AB1409+IF(X1410="",0,IF(ISNA(MATCH(X1410,X$256:X1409,0)),1,0))</f>
        <v/>
      </c>
      <c r="AC1410">
        <f>IF(AB1410&gt;AB1409,AB1410,"")</f>
        <v/>
      </c>
    </row>
    <row r="1411">
      <c r="W1411" s="7" t="n"/>
      <c r="X1411" s="7" t="n"/>
      <c r="Z1411">
        <f>Z1410+IF(W1411="",0,IF(ISNA(MATCH(W1411,W$256:W1410,0)),1,0))</f>
        <v/>
      </c>
      <c r="AA1411">
        <f>IF(Z1411&gt;Z1410,Z1411,"")</f>
        <v/>
      </c>
      <c r="AB1411">
        <f>AB1410+IF(X1411="",0,IF(ISNA(MATCH(X1411,X$256:X1410,0)),1,0))</f>
        <v/>
      </c>
      <c r="AC1411">
        <f>IF(AB1411&gt;AB1410,AB1411,"")</f>
        <v/>
      </c>
    </row>
    <row r="1412">
      <c r="W1412" s="7" t="n"/>
      <c r="X1412" s="7" t="n"/>
      <c r="Z1412">
        <f>Z1411+IF(W1412="",0,IF(ISNA(MATCH(W1412,W$256:W1411,0)),1,0))</f>
        <v/>
      </c>
      <c r="AA1412">
        <f>IF(Z1412&gt;Z1411,Z1412,"")</f>
        <v/>
      </c>
      <c r="AB1412">
        <f>AB1411+IF(X1412="",0,IF(ISNA(MATCH(X1412,X$256:X1411,0)),1,0))</f>
        <v/>
      </c>
      <c r="AC1412">
        <f>IF(AB1412&gt;AB1411,AB1412,"")</f>
        <v/>
      </c>
    </row>
    <row r="1413">
      <c r="W1413" s="7" t="n"/>
      <c r="X1413" s="7" t="n"/>
      <c r="Z1413">
        <f>Z1412+IF(W1413="",0,IF(ISNA(MATCH(W1413,W$256:W1412,0)),1,0))</f>
        <v/>
      </c>
      <c r="AA1413">
        <f>IF(Z1413&gt;Z1412,Z1413,"")</f>
        <v/>
      </c>
      <c r="AB1413">
        <f>AB1412+IF(X1413="",0,IF(ISNA(MATCH(X1413,X$256:X1412,0)),1,0))</f>
        <v/>
      </c>
      <c r="AC1413">
        <f>IF(AB1413&gt;AB1412,AB1413,"")</f>
        <v/>
      </c>
    </row>
    <row r="1414">
      <c r="W1414" s="7" t="n"/>
      <c r="X1414" s="7" t="n"/>
      <c r="Z1414">
        <f>Z1413+IF(W1414="",0,IF(ISNA(MATCH(W1414,W$256:W1413,0)),1,0))</f>
        <v/>
      </c>
      <c r="AA1414">
        <f>IF(Z1414&gt;Z1413,Z1414,"")</f>
        <v/>
      </c>
      <c r="AB1414">
        <f>AB1413+IF(X1414="",0,IF(ISNA(MATCH(X1414,X$256:X1413,0)),1,0))</f>
        <v/>
      </c>
      <c r="AC1414">
        <f>IF(AB1414&gt;AB1413,AB1414,"")</f>
        <v/>
      </c>
    </row>
    <row r="1415">
      <c r="W1415" s="7" t="n"/>
      <c r="X1415" s="7" t="n"/>
      <c r="Z1415">
        <f>Z1414+IF(W1415="",0,IF(ISNA(MATCH(W1415,W$256:W1414,0)),1,0))</f>
        <v/>
      </c>
      <c r="AA1415">
        <f>IF(Z1415&gt;Z1414,Z1415,"")</f>
        <v/>
      </c>
      <c r="AB1415">
        <f>AB1414+IF(X1415="",0,IF(ISNA(MATCH(X1415,X$256:X1414,0)),1,0))</f>
        <v/>
      </c>
      <c r="AC1415">
        <f>IF(AB1415&gt;AB1414,AB1415,"")</f>
        <v/>
      </c>
    </row>
    <row r="1416">
      <c r="W1416" s="7" t="n"/>
      <c r="X1416" s="7" t="n"/>
      <c r="Z1416">
        <f>Z1415+IF(W1416="",0,IF(ISNA(MATCH(W1416,W$256:W1415,0)),1,0))</f>
        <v/>
      </c>
      <c r="AA1416">
        <f>IF(Z1416&gt;Z1415,Z1416,"")</f>
        <v/>
      </c>
      <c r="AB1416">
        <f>AB1415+IF(X1416="",0,IF(ISNA(MATCH(X1416,X$256:X1415,0)),1,0))</f>
        <v/>
      </c>
      <c r="AC1416">
        <f>IF(AB1416&gt;AB1415,AB1416,"")</f>
        <v/>
      </c>
    </row>
    <row r="1417">
      <c r="W1417" s="7" t="n"/>
      <c r="X1417" s="7" t="n"/>
      <c r="Z1417">
        <f>Z1416+IF(W1417="",0,IF(ISNA(MATCH(W1417,W$256:W1416,0)),1,0))</f>
        <v/>
      </c>
      <c r="AA1417">
        <f>IF(Z1417&gt;Z1416,Z1417,"")</f>
        <v/>
      </c>
      <c r="AB1417">
        <f>AB1416+IF(X1417="",0,IF(ISNA(MATCH(X1417,X$256:X1416,0)),1,0))</f>
        <v/>
      </c>
      <c r="AC1417">
        <f>IF(AB1417&gt;AB1416,AB1417,"")</f>
        <v/>
      </c>
    </row>
    <row r="1418">
      <c r="W1418" s="7" t="n"/>
      <c r="X1418" s="7" t="n"/>
      <c r="Z1418">
        <f>Z1417+IF(W1418="",0,IF(ISNA(MATCH(W1418,W$256:W1417,0)),1,0))</f>
        <v/>
      </c>
      <c r="AA1418">
        <f>IF(Z1418&gt;Z1417,Z1418,"")</f>
        <v/>
      </c>
      <c r="AB1418">
        <f>AB1417+IF(X1418="",0,IF(ISNA(MATCH(X1418,X$256:X1417,0)),1,0))</f>
        <v/>
      </c>
      <c r="AC1418">
        <f>IF(AB1418&gt;AB1417,AB1418,"")</f>
        <v/>
      </c>
    </row>
    <row r="1419">
      <c r="W1419" s="7" t="n"/>
      <c r="X1419" s="7" t="n"/>
      <c r="Z1419">
        <f>Z1418+IF(W1419="",0,IF(ISNA(MATCH(W1419,W$256:W1418,0)),1,0))</f>
        <v/>
      </c>
      <c r="AA1419">
        <f>IF(Z1419&gt;Z1418,Z1419,"")</f>
        <v/>
      </c>
      <c r="AB1419">
        <f>AB1418+IF(X1419="",0,IF(ISNA(MATCH(X1419,X$256:X1418,0)),1,0))</f>
        <v/>
      </c>
      <c r="AC1419">
        <f>IF(AB1419&gt;AB1418,AB1419,"")</f>
        <v/>
      </c>
    </row>
    <row r="1420">
      <c r="W1420" s="7" t="n"/>
      <c r="X1420" s="7" t="n"/>
      <c r="Z1420">
        <f>Z1419+IF(W1420="",0,IF(ISNA(MATCH(W1420,W$256:W1419,0)),1,0))</f>
        <v/>
      </c>
      <c r="AA1420">
        <f>IF(Z1420&gt;Z1419,Z1420,"")</f>
        <v/>
      </c>
      <c r="AB1420">
        <f>AB1419+IF(X1420="",0,IF(ISNA(MATCH(X1420,X$256:X1419,0)),1,0))</f>
        <v/>
      </c>
      <c r="AC1420">
        <f>IF(AB1420&gt;AB1419,AB1420,"")</f>
        <v/>
      </c>
    </row>
    <row r="1421">
      <c r="W1421" s="7" t="n"/>
      <c r="X1421" s="7" t="n"/>
      <c r="Z1421">
        <f>Z1420+IF(W1421="",0,IF(ISNA(MATCH(W1421,W$256:W1420,0)),1,0))</f>
        <v/>
      </c>
      <c r="AA1421">
        <f>IF(Z1421&gt;Z1420,Z1421,"")</f>
        <v/>
      </c>
      <c r="AB1421">
        <f>AB1420+IF(X1421="",0,IF(ISNA(MATCH(X1421,X$256:X1420,0)),1,0))</f>
        <v/>
      </c>
      <c r="AC1421">
        <f>IF(AB1421&gt;AB1420,AB1421,"")</f>
        <v/>
      </c>
    </row>
    <row r="1422">
      <c r="W1422" s="7" t="n"/>
      <c r="X1422" s="7" t="n"/>
      <c r="Z1422">
        <f>Z1421+IF(W1422="",0,IF(ISNA(MATCH(W1422,W$256:W1421,0)),1,0))</f>
        <v/>
      </c>
      <c r="AA1422">
        <f>IF(Z1422&gt;Z1421,Z1422,"")</f>
        <v/>
      </c>
      <c r="AB1422">
        <f>AB1421+IF(X1422="",0,IF(ISNA(MATCH(X1422,X$256:X1421,0)),1,0))</f>
        <v/>
      </c>
      <c r="AC1422">
        <f>IF(AB1422&gt;AB1421,AB1422,"")</f>
        <v/>
      </c>
    </row>
    <row r="1423">
      <c r="W1423" s="7" t="n"/>
      <c r="X1423" s="7" t="n"/>
      <c r="Z1423">
        <f>Z1422+IF(W1423="",0,IF(ISNA(MATCH(W1423,W$256:W1422,0)),1,0))</f>
        <v/>
      </c>
      <c r="AA1423">
        <f>IF(Z1423&gt;Z1422,Z1423,"")</f>
        <v/>
      </c>
      <c r="AB1423">
        <f>AB1422+IF(X1423="",0,IF(ISNA(MATCH(X1423,X$256:X1422,0)),1,0))</f>
        <v/>
      </c>
      <c r="AC1423">
        <f>IF(AB1423&gt;AB1422,AB1423,"")</f>
        <v/>
      </c>
    </row>
    <row r="1424">
      <c r="W1424" s="7" t="n"/>
      <c r="X1424" s="7" t="n"/>
      <c r="Z1424">
        <f>Z1423+IF(W1424="",0,IF(ISNA(MATCH(W1424,W$256:W1423,0)),1,0))</f>
        <v/>
      </c>
      <c r="AA1424">
        <f>IF(Z1424&gt;Z1423,Z1424,"")</f>
        <v/>
      </c>
      <c r="AB1424">
        <f>AB1423+IF(X1424="",0,IF(ISNA(MATCH(X1424,X$256:X1423,0)),1,0))</f>
        <v/>
      </c>
      <c r="AC1424">
        <f>IF(AB1424&gt;AB1423,AB1424,"")</f>
        <v/>
      </c>
    </row>
    <row r="1425">
      <c r="W1425" s="7" t="n"/>
      <c r="X1425" s="7" t="n"/>
      <c r="Z1425">
        <f>Z1424+IF(W1425="",0,IF(ISNA(MATCH(W1425,W$256:W1424,0)),1,0))</f>
        <v/>
      </c>
      <c r="AA1425">
        <f>IF(Z1425&gt;Z1424,Z1425,"")</f>
        <v/>
      </c>
      <c r="AB1425">
        <f>AB1424+IF(X1425="",0,IF(ISNA(MATCH(X1425,X$256:X1424,0)),1,0))</f>
        <v/>
      </c>
      <c r="AC1425">
        <f>IF(AB1425&gt;AB1424,AB1425,"")</f>
        <v/>
      </c>
    </row>
    <row r="1426">
      <c r="W1426" s="7" t="n"/>
      <c r="X1426" s="7" t="n"/>
      <c r="Z1426">
        <f>Z1425+IF(W1426="",0,IF(ISNA(MATCH(W1426,W$256:W1425,0)),1,0))</f>
        <v/>
      </c>
      <c r="AA1426">
        <f>IF(Z1426&gt;Z1425,Z1426,"")</f>
        <v/>
      </c>
      <c r="AB1426">
        <f>AB1425+IF(X1426="",0,IF(ISNA(MATCH(X1426,X$256:X1425,0)),1,0))</f>
        <v/>
      </c>
      <c r="AC1426">
        <f>IF(AB1426&gt;AB1425,AB1426,"")</f>
        <v/>
      </c>
    </row>
    <row r="1427">
      <c r="W1427" s="7" t="n"/>
      <c r="X1427" s="7" t="n"/>
      <c r="Z1427">
        <f>Z1426+IF(W1427="",0,IF(ISNA(MATCH(W1427,W$256:W1426,0)),1,0))</f>
        <v/>
      </c>
      <c r="AA1427">
        <f>IF(Z1427&gt;Z1426,Z1427,"")</f>
        <v/>
      </c>
      <c r="AB1427">
        <f>AB1426+IF(X1427="",0,IF(ISNA(MATCH(X1427,X$256:X1426,0)),1,0))</f>
        <v/>
      </c>
      <c r="AC1427">
        <f>IF(AB1427&gt;AB1426,AB1427,"")</f>
        <v/>
      </c>
    </row>
    <row r="1428">
      <c r="W1428" s="7" t="n"/>
      <c r="X1428" s="7" t="n"/>
      <c r="Z1428">
        <f>Z1427+IF(W1428="",0,IF(ISNA(MATCH(W1428,W$256:W1427,0)),1,0))</f>
        <v/>
      </c>
      <c r="AA1428">
        <f>IF(Z1428&gt;Z1427,Z1428,"")</f>
        <v/>
      </c>
      <c r="AB1428">
        <f>AB1427+IF(X1428="",0,IF(ISNA(MATCH(X1428,X$256:X1427,0)),1,0))</f>
        <v/>
      </c>
      <c r="AC1428">
        <f>IF(AB1428&gt;AB1427,AB1428,"")</f>
        <v/>
      </c>
    </row>
    <row r="1429">
      <c r="W1429" s="7" t="n"/>
      <c r="X1429" s="7" t="n"/>
      <c r="Z1429">
        <f>Z1428+IF(W1429="",0,IF(ISNA(MATCH(W1429,W$256:W1428,0)),1,0))</f>
        <v/>
      </c>
      <c r="AA1429">
        <f>IF(Z1429&gt;Z1428,Z1429,"")</f>
        <v/>
      </c>
      <c r="AB1429">
        <f>AB1428+IF(X1429="",0,IF(ISNA(MATCH(X1429,X$256:X1428,0)),1,0))</f>
        <v/>
      </c>
      <c r="AC1429">
        <f>IF(AB1429&gt;AB1428,AB1429,"")</f>
        <v/>
      </c>
    </row>
    <row r="1430">
      <c r="W1430" s="7" t="n"/>
      <c r="X1430" s="7" t="n"/>
      <c r="Z1430">
        <f>Z1429+IF(W1430="",0,IF(ISNA(MATCH(W1430,W$256:W1429,0)),1,0))</f>
        <v/>
      </c>
      <c r="AA1430">
        <f>IF(Z1430&gt;Z1429,Z1430,"")</f>
        <v/>
      </c>
      <c r="AB1430">
        <f>AB1429+IF(X1430="",0,IF(ISNA(MATCH(X1430,X$256:X1429,0)),1,0))</f>
        <v/>
      </c>
      <c r="AC1430">
        <f>IF(AB1430&gt;AB1429,AB1430,"")</f>
        <v/>
      </c>
    </row>
    <row r="1431">
      <c r="W1431" s="7" t="n"/>
      <c r="X1431" s="7" t="n"/>
      <c r="Z1431">
        <f>Z1430+IF(W1431="",0,IF(ISNA(MATCH(W1431,W$256:W1430,0)),1,0))</f>
        <v/>
      </c>
      <c r="AA1431">
        <f>IF(Z1431&gt;Z1430,Z1431,"")</f>
        <v/>
      </c>
      <c r="AB1431">
        <f>AB1430+IF(X1431="",0,IF(ISNA(MATCH(X1431,X$256:X1430,0)),1,0))</f>
        <v/>
      </c>
      <c r="AC1431">
        <f>IF(AB1431&gt;AB1430,AB1431,"")</f>
        <v/>
      </c>
    </row>
    <row r="1432">
      <c r="W1432" s="7" t="n"/>
      <c r="X1432" s="7" t="n"/>
      <c r="Z1432">
        <f>Z1431+IF(W1432="",0,IF(ISNA(MATCH(W1432,W$256:W1431,0)),1,0))</f>
        <v/>
      </c>
      <c r="AA1432">
        <f>IF(Z1432&gt;Z1431,Z1432,"")</f>
        <v/>
      </c>
      <c r="AB1432">
        <f>AB1431+IF(X1432="",0,IF(ISNA(MATCH(X1432,X$256:X1431,0)),1,0))</f>
        <v/>
      </c>
      <c r="AC1432">
        <f>IF(AB1432&gt;AB1431,AB1432,"")</f>
        <v/>
      </c>
    </row>
    <row r="1433">
      <c r="W1433" s="7" t="n"/>
      <c r="X1433" s="7" t="n"/>
      <c r="Z1433">
        <f>Z1432+IF(W1433="",0,IF(ISNA(MATCH(W1433,W$256:W1432,0)),1,0))</f>
        <v/>
      </c>
      <c r="AA1433">
        <f>IF(Z1433&gt;Z1432,Z1433,"")</f>
        <v/>
      </c>
      <c r="AB1433">
        <f>AB1432+IF(X1433="",0,IF(ISNA(MATCH(X1433,X$256:X1432,0)),1,0))</f>
        <v/>
      </c>
      <c r="AC1433">
        <f>IF(AB1433&gt;AB1432,AB1433,"")</f>
        <v/>
      </c>
    </row>
    <row r="1434">
      <c r="W1434" s="7" t="n"/>
      <c r="X1434" s="7" t="n"/>
      <c r="Z1434">
        <f>Z1433+IF(W1434="",0,IF(ISNA(MATCH(W1434,W$256:W1433,0)),1,0))</f>
        <v/>
      </c>
      <c r="AA1434">
        <f>IF(Z1434&gt;Z1433,Z1434,"")</f>
        <v/>
      </c>
      <c r="AB1434">
        <f>AB1433+IF(X1434="",0,IF(ISNA(MATCH(X1434,X$256:X1433,0)),1,0))</f>
        <v/>
      </c>
      <c r="AC1434">
        <f>IF(AB1434&gt;AB1433,AB1434,"")</f>
        <v/>
      </c>
    </row>
    <row r="1435">
      <c r="W1435" s="7" t="n"/>
      <c r="X1435" s="7" t="n"/>
      <c r="Z1435">
        <f>Z1434+IF(W1435="",0,IF(ISNA(MATCH(W1435,W$256:W1434,0)),1,0))</f>
        <v/>
      </c>
      <c r="AA1435">
        <f>IF(Z1435&gt;Z1434,Z1435,"")</f>
        <v/>
      </c>
      <c r="AB1435">
        <f>AB1434+IF(X1435="",0,IF(ISNA(MATCH(X1435,X$256:X1434,0)),1,0))</f>
        <v/>
      </c>
      <c r="AC1435">
        <f>IF(AB1435&gt;AB1434,AB1435,"")</f>
        <v/>
      </c>
    </row>
    <row r="1436">
      <c r="W1436" s="7" t="n"/>
      <c r="X1436" s="7" t="n"/>
      <c r="Z1436">
        <f>Z1435+IF(W1436="",0,IF(ISNA(MATCH(W1436,W$256:W1435,0)),1,0))</f>
        <v/>
      </c>
      <c r="AA1436">
        <f>IF(Z1436&gt;Z1435,Z1436,"")</f>
        <v/>
      </c>
      <c r="AB1436">
        <f>AB1435+IF(X1436="",0,IF(ISNA(MATCH(X1436,X$256:X1435,0)),1,0))</f>
        <v/>
      </c>
      <c r="AC1436">
        <f>IF(AB1436&gt;AB1435,AB1436,"")</f>
        <v/>
      </c>
    </row>
    <row r="1437">
      <c r="W1437" s="7" t="n"/>
      <c r="X1437" s="7" t="n"/>
      <c r="Z1437">
        <f>Z1436+IF(W1437="",0,IF(ISNA(MATCH(W1437,W$256:W1436,0)),1,0))</f>
        <v/>
      </c>
      <c r="AA1437">
        <f>IF(Z1437&gt;Z1436,Z1437,"")</f>
        <v/>
      </c>
      <c r="AB1437">
        <f>AB1436+IF(X1437="",0,IF(ISNA(MATCH(X1437,X$256:X1436,0)),1,0))</f>
        <v/>
      </c>
      <c r="AC1437">
        <f>IF(AB1437&gt;AB1436,AB1437,"")</f>
        <v/>
      </c>
    </row>
    <row r="1438">
      <c r="W1438" s="7" t="n"/>
      <c r="X1438" s="7" t="n"/>
      <c r="Z1438">
        <f>Z1437+IF(W1438="",0,IF(ISNA(MATCH(W1438,W$256:W1437,0)),1,0))</f>
        <v/>
      </c>
      <c r="AA1438">
        <f>IF(Z1438&gt;Z1437,Z1438,"")</f>
        <v/>
      </c>
      <c r="AB1438">
        <f>AB1437+IF(X1438="",0,IF(ISNA(MATCH(X1438,X$256:X1437,0)),1,0))</f>
        <v/>
      </c>
      <c r="AC1438">
        <f>IF(AB1438&gt;AB1437,AB1438,"")</f>
        <v/>
      </c>
    </row>
    <row r="1439">
      <c r="W1439" s="7" t="n"/>
      <c r="X1439" s="7" t="n"/>
      <c r="Z1439">
        <f>Z1438+IF(W1439="",0,IF(ISNA(MATCH(W1439,W$256:W1438,0)),1,0))</f>
        <v/>
      </c>
      <c r="AA1439">
        <f>IF(Z1439&gt;Z1438,Z1439,"")</f>
        <v/>
      </c>
      <c r="AB1439">
        <f>AB1438+IF(X1439="",0,IF(ISNA(MATCH(X1439,X$256:X1438,0)),1,0))</f>
        <v/>
      </c>
      <c r="AC1439">
        <f>IF(AB1439&gt;AB1438,AB1439,"")</f>
        <v/>
      </c>
    </row>
    <row r="1440">
      <c r="W1440" s="7" t="n"/>
      <c r="X1440" s="7" t="n"/>
      <c r="Z1440">
        <f>Z1439+IF(W1440="",0,IF(ISNA(MATCH(W1440,W$256:W1439,0)),1,0))</f>
        <v/>
      </c>
      <c r="AA1440">
        <f>IF(Z1440&gt;Z1439,Z1440,"")</f>
        <v/>
      </c>
      <c r="AB1440">
        <f>AB1439+IF(X1440="",0,IF(ISNA(MATCH(X1440,X$256:X1439,0)),1,0))</f>
        <v/>
      </c>
      <c r="AC1440">
        <f>IF(AB1440&gt;AB1439,AB1440,"")</f>
        <v/>
      </c>
    </row>
    <row r="1441">
      <c r="W1441" s="7" t="n"/>
      <c r="X1441" s="7" t="n"/>
      <c r="Z1441">
        <f>Z1440+IF(W1441="",0,IF(ISNA(MATCH(W1441,W$256:W1440,0)),1,0))</f>
        <v/>
      </c>
      <c r="AA1441">
        <f>IF(Z1441&gt;Z1440,Z1441,"")</f>
        <v/>
      </c>
      <c r="AB1441">
        <f>AB1440+IF(X1441="",0,IF(ISNA(MATCH(X1441,X$256:X1440,0)),1,0))</f>
        <v/>
      </c>
      <c r="AC1441">
        <f>IF(AB1441&gt;AB1440,AB1441,"")</f>
        <v/>
      </c>
    </row>
    <row r="1442">
      <c r="W1442" s="7" t="n"/>
      <c r="X1442" s="7" t="n"/>
      <c r="Z1442">
        <f>Z1441+IF(W1442="",0,IF(ISNA(MATCH(W1442,W$256:W1441,0)),1,0))</f>
        <v/>
      </c>
      <c r="AA1442">
        <f>IF(Z1442&gt;Z1441,Z1442,"")</f>
        <v/>
      </c>
      <c r="AB1442">
        <f>AB1441+IF(X1442="",0,IF(ISNA(MATCH(X1442,X$256:X1441,0)),1,0))</f>
        <v/>
      </c>
      <c r="AC1442">
        <f>IF(AB1442&gt;AB1441,AB1442,"")</f>
        <v/>
      </c>
    </row>
    <row r="1443">
      <c r="W1443" s="7" t="n"/>
      <c r="X1443" s="7" t="n"/>
      <c r="Z1443">
        <f>Z1442+IF(W1443="",0,IF(ISNA(MATCH(W1443,W$256:W1442,0)),1,0))</f>
        <v/>
      </c>
      <c r="AA1443">
        <f>IF(Z1443&gt;Z1442,Z1443,"")</f>
        <v/>
      </c>
      <c r="AB1443">
        <f>AB1442+IF(X1443="",0,IF(ISNA(MATCH(X1443,X$256:X1442,0)),1,0))</f>
        <v/>
      </c>
      <c r="AC1443">
        <f>IF(AB1443&gt;AB1442,AB1443,"")</f>
        <v/>
      </c>
    </row>
    <row r="1444">
      <c r="W1444" s="7" t="n"/>
      <c r="X1444" s="7" t="n"/>
      <c r="Z1444">
        <f>Z1443+IF(W1444="",0,IF(ISNA(MATCH(W1444,W$256:W1443,0)),1,0))</f>
        <v/>
      </c>
      <c r="AA1444">
        <f>IF(Z1444&gt;Z1443,Z1444,"")</f>
        <v/>
      </c>
      <c r="AB1444">
        <f>AB1443+IF(X1444="",0,IF(ISNA(MATCH(X1444,X$256:X1443,0)),1,0))</f>
        <v/>
      </c>
      <c r="AC1444">
        <f>IF(AB1444&gt;AB1443,AB1444,"")</f>
        <v/>
      </c>
    </row>
    <row r="1445">
      <c r="W1445" s="7" t="n"/>
      <c r="X1445" s="7" t="n"/>
      <c r="Z1445">
        <f>Z1444+IF(W1445="",0,IF(ISNA(MATCH(W1445,W$256:W1444,0)),1,0))</f>
        <v/>
      </c>
      <c r="AA1445">
        <f>IF(Z1445&gt;Z1444,Z1445,"")</f>
        <v/>
      </c>
      <c r="AB1445">
        <f>AB1444+IF(X1445="",0,IF(ISNA(MATCH(X1445,X$256:X1444,0)),1,0))</f>
        <v/>
      </c>
      <c r="AC1445">
        <f>IF(AB1445&gt;AB1444,AB1445,"")</f>
        <v/>
      </c>
    </row>
    <row r="1446">
      <c r="W1446" s="7" t="n"/>
      <c r="X1446" s="7" t="n"/>
      <c r="Z1446">
        <f>Z1445+IF(W1446="",0,IF(ISNA(MATCH(W1446,W$256:W1445,0)),1,0))</f>
        <v/>
      </c>
      <c r="AA1446">
        <f>IF(Z1446&gt;Z1445,Z1446,"")</f>
        <v/>
      </c>
      <c r="AB1446">
        <f>AB1445+IF(X1446="",0,IF(ISNA(MATCH(X1446,X$256:X1445,0)),1,0))</f>
        <v/>
      </c>
      <c r="AC1446">
        <f>IF(AB1446&gt;AB1445,AB1446,"")</f>
        <v/>
      </c>
    </row>
    <row r="1447">
      <c r="W1447" s="7" t="n"/>
      <c r="X1447" s="7" t="n"/>
      <c r="Z1447">
        <f>Z1446+IF(W1447="",0,IF(ISNA(MATCH(W1447,W$256:W1446,0)),1,0))</f>
        <v/>
      </c>
      <c r="AA1447">
        <f>IF(Z1447&gt;Z1446,Z1447,"")</f>
        <v/>
      </c>
      <c r="AB1447">
        <f>AB1446+IF(X1447="",0,IF(ISNA(MATCH(X1447,X$256:X1446,0)),1,0))</f>
        <v/>
      </c>
      <c r="AC1447">
        <f>IF(AB1447&gt;AB1446,AB1447,"")</f>
        <v/>
      </c>
    </row>
    <row r="1448">
      <c r="W1448" s="7" t="n"/>
      <c r="X1448" s="7" t="n"/>
      <c r="Z1448">
        <f>Z1447+IF(W1448="",0,IF(ISNA(MATCH(W1448,W$256:W1447,0)),1,0))</f>
        <v/>
      </c>
      <c r="AA1448">
        <f>IF(Z1448&gt;Z1447,Z1448,"")</f>
        <v/>
      </c>
      <c r="AB1448">
        <f>AB1447+IF(X1448="",0,IF(ISNA(MATCH(X1448,X$256:X1447,0)),1,0))</f>
        <v/>
      </c>
      <c r="AC1448">
        <f>IF(AB1448&gt;AB1447,AB1448,"")</f>
        <v/>
      </c>
    </row>
    <row r="1449">
      <c r="W1449" s="7" t="n"/>
      <c r="X1449" s="7" t="n"/>
      <c r="Z1449">
        <f>Z1448+IF(W1449="",0,IF(ISNA(MATCH(W1449,W$256:W1448,0)),1,0))</f>
        <v/>
      </c>
      <c r="AA1449">
        <f>IF(Z1449&gt;Z1448,Z1449,"")</f>
        <v/>
      </c>
      <c r="AB1449">
        <f>AB1448+IF(X1449="",0,IF(ISNA(MATCH(X1449,X$256:X1448,0)),1,0))</f>
        <v/>
      </c>
      <c r="AC1449">
        <f>IF(AB1449&gt;AB1448,AB1449,"")</f>
        <v/>
      </c>
    </row>
    <row r="1450">
      <c r="W1450" s="7" t="n"/>
      <c r="X1450" s="7" t="n"/>
      <c r="Z1450">
        <f>Z1449+IF(W1450="",0,IF(ISNA(MATCH(W1450,W$256:W1449,0)),1,0))</f>
        <v/>
      </c>
      <c r="AA1450">
        <f>IF(Z1450&gt;Z1449,Z1450,"")</f>
        <v/>
      </c>
      <c r="AB1450">
        <f>AB1449+IF(X1450="",0,IF(ISNA(MATCH(X1450,X$256:X1449,0)),1,0))</f>
        <v/>
      </c>
      <c r="AC1450">
        <f>IF(AB1450&gt;AB1449,AB1450,"")</f>
        <v/>
      </c>
    </row>
    <row r="1451">
      <c r="W1451" s="7" t="n"/>
      <c r="X1451" s="7" t="n"/>
      <c r="Z1451">
        <f>Z1450+IF(W1451="",0,IF(ISNA(MATCH(W1451,W$256:W1450,0)),1,0))</f>
        <v/>
      </c>
      <c r="AA1451">
        <f>IF(Z1451&gt;Z1450,Z1451,"")</f>
        <v/>
      </c>
      <c r="AB1451">
        <f>AB1450+IF(X1451="",0,IF(ISNA(MATCH(X1451,X$256:X1450,0)),1,0))</f>
        <v/>
      </c>
      <c r="AC1451">
        <f>IF(AB1451&gt;AB1450,AB1451,"")</f>
        <v/>
      </c>
    </row>
    <row r="1452">
      <c r="W1452" s="7" t="n"/>
      <c r="X1452" s="7" t="n"/>
      <c r="Z1452">
        <f>Z1451+IF(W1452="",0,IF(ISNA(MATCH(W1452,W$256:W1451,0)),1,0))</f>
        <v/>
      </c>
      <c r="AA1452">
        <f>IF(Z1452&gt;Z1451,Z1452,"")</f>
        <v/>
      </c>
      <c r="AB1452">
        <f>AB1451+IF(X1452="",0,IF(ISNA(MATCH(X1452,X$256:X1451,0)),1,0))</f>
        <v/>
      </c>
      <c r="AC1452">
        <f>IF(AB1452&gt;AB1451,AB1452,"")</f>
        <v/>
      </c>
    </row>
    <row r="1453">
      <c r="W1453" s="7" t="n"/>
      <c r="X1453" s="7" t="n"/>
      <c r="Z1453">
        <f>Z1452+IF(W1453="",0,IF(ISNA(MATCH(W1453,W$256:W1452,0)),1,0))</f>
        <v/>
      </c>
      <c r="AA1453">
        <f>IF(Z1453&gt;Z1452,Z1453,"")</f>
        <v/>
      </c>
      <c r="AB1453">
        <f>AB1452+IF(X1453="",0,IF(ISNA(MATCH(X1453,X$256:X1452,0)),1,0))</f>
        <v/>
      </c>
      <c r="AC1453">
        <f>IF(AB1453&gt;AB1452,AB1453,"")</f>
        <v/>
      </c>
    </row>
    <row r="1454">
      <c r="W1454" s="7" t="n"/>
      <c r="X1454" s="7" t="n"/>
      <c r="Z1454">
        <f>Z1453+IF(W1454="",0,IF(ISNA(MATCH(W1454,W$256:W1453,0)),1,0))</f>
        <v/>
      </c>
      <c r="AA1454">
        <f>IF(Z1454&gt;Z1453,Z1454,"")</f>
        <v/>
      </c>
      <c r="AB1454">
        <f>AB1453+IF(X1454="",0,IF(ISNA(MATCH(X1454,X$256:X1453,0)),1,0))</f>
        <v/>
      </c>
      <c r="AC1454">
        <f>IF(AB1454&gt;AB1453,AB1454,"")</f>
        <v/>
      </c>
    </row>
    <row r="1455">
      <c r="W1455" s="7" t="n"/>
      <c r="X1455" s="7" t="n"/>
      <c r="Z1455">
        <f>Z1454+IF(W1455="",0,IF(ISNA(MATCH(W1455,W$256:W1454,0)),1,0))</f>
        <v/>
      </c>
      <c r="AA1455">
        <f>IF(Z1455&gt;Z1454,Z1455,"")</f>
        <v/>
      </c>
      <c r="AB1455">
        <f>AB1454+IF(X1455="",0,IF(ISNA(MATCH(X1455,X$256:X1454,0)),1,0))</f>
        <v/>
      </c>
      <c r="AC1455">
        <f>IF(AB1455&gt;AB1454,AB1455,"")</f>
        <v/>
      </c>
    </row>
    <row r="1456">
      <c r="W1456" s="7" t="n"/>
      <c r="X1456" s="7" t="n"/>
      <c r="Z1456">
        <f>Z1455+IF(W1456="",0,IF(ISNA(MATCH(W1456,W$256:W1455,0)),1,0))</f>
        <v/>
      </c>
      <c r="AA1456">
        <f>IF(Z1456&gt;Z1455,Z1456,"")</f>
        <v/>
      </c>
      <c r="AB1456">
        <f>AB1455+IF(X1456="",0,IF(ISNA(MATCH(X1456,X$256:X1455,0)),1,0))</f>
        <v/>
      </c>
      <c r="AC1456">
        <f>IF(AB1456&gt;AB1455,AB1456,"")</f>
        <v/>
      </c>
    </row>
    <row r="1457">
      <c r="W1457" s="7" t="n"/>
      <c r="X1457" s="7" t="n"/>
      <c r="Z1457">
        <f>Z1456+IF(W1457="",0,IF(ISNA(MATCH(W1457,W$256:W1456,0)),1,0))</f>
        <v/>
      </c>
      <c r="AA1457">
        <f>IF(Z1457&gt;Z1456,Z1457,"")</f>
        <v/>
      </c>
      <c r="AB1457">
        <f>AB1456+IF(X1457="",0,IF(ISNA(MATCH(X1457,X$256:X1456,0)),1,0))</f>
        <v/>
      </c>
      <c r="AC1457">
        <f>IF(AB1457&gt;AB1456,AB1457,"")</f>
        <v/>
      </c>
    </row>
    <row r="1458">
      <c r="W1458" s="7" t="n"/>
      <c r="X1458" s="7" t="n"/>
      <c r="Z1458">
        <f>Z1457+IF(W1458="",0,IF(ISNA(MATCH(W1458,W$256:W1457,0)),1,0))</f>
        <v/>
      </c>
      <c r="AA1458">
        <f>IF(Z1458&gt;Z1457,Z1458,"")</f>
        <v/>
      </c>
      <c r="AB1458">
        <f>AB1457+IF(X1458="",0,IF(ISNA(MATCH(X1458,X$256:X1457,0)),1,0))</f>
        <v/>
      </c>
      <c r="AC1458">
        <f>IF(AB1458&gt;AB1457,AB1458,"")</f>
        <v/>
      </c>
    </row>
    <row r="1459">
      <c r="W1459" s="7" t="n"/>
      <c r="X1459" s="7" t="n"/>
      <c r="Z1459">
        <f>Z1458+IF(W1459="",0,IF(ISNA(MATCH(W1459,W$256:W1458,0)),1,0))</f>
        <v/>
      </c>
      <c r="AA1459">
        <f>IF(Z1459&gt;Z1458,Z1459,"")</f>
        <v/>
      </c>
      <c r="AB1459">
        <f>AB1458+IF(X1459="",0,IF(ISNA(MATCH(X1459,X$256:X1458,0)),1,0))</f>
        <v/>
      </c>
      <c r="AC1459">
        <f>IF(AB1459&gt;AB1458,AB1459,"")</f>
        <v/>
      </c>
    </row>
    <row r="1460">
      <c r="W1460" s="7" t="n"/>
      <c r="X1460" s="7" t="n"/>
      <c r="Z1460">
        <f>Z1459+IF(W1460="",0,IF(ISNA(MATCH(W1460,W$256:W1459,0)),1,0))</f>
        <v/>
      </c>
      <c r="AA1460">
        <f>IF(Z1460&gt;Z1459,Z1460,"")</f>
        <v/>
      </c>
      <c r="AB1460">
        <f>AB1459+IF(X1460="",0,IF(ISNA(MATCH(X1460,X$256:X1459,0)),1,0))</f>
        <v/>
      </c>
      <c r="AC1460">
        <f>IF(AB1460&gt;AB1459,AB1460,"")</f>
        <v/>
      </c>
    </row>
    <row r="1461">
      <c r="W1461" s="7" t="n"/>
      <c r="X1461" s="7" t="n"/>
      <c r="Z1461">
        <f>Z1460+IF(W1461="",0,IF(ISNA(MATCH(W1461,W$256:W1460,0)),1,0))</f>
        <v/>
      </c>
      <c r="AA1461">
        <f>IF(Z1461&gt;Z1460,Z1461,"")</f>
        <v/>
      </c>
      <c r="AB1461">
        <f>AB1460+IF(X1461="",0,IF(ISNA(MATCH(X1461,X$256:X1460,0)),1,0))</f>
        <v/>
      </c>
      <c r="AC1461">
        <f>IF(AB1461&gt;AB1460,AB1461,"")</f>
        <v/>
      </c>
    </row>
    <row r="1462">
      <c r="W1462" s="7" t="n"/>
      <c r="X1462" s="7" t="n"/>
      <c r="Z1462">
        <f>Z1461+IF(W1462="",0,IF(ISNA(MATCH(W1462,W$256:W1461,0)),1,0))</f>
        <v/>
      </c>
      <c r="AA1462">
        <f>IF(Z1462&gt;Z1461,Z1462,"")</f>
        <v/>
      </c>
      <c r="AB1462">
        <f>AB1461+IF(X1462="",0,IF(ISNA(MATCH(X1462,X$256:X1461,0)),1,0))</f>
        <v/>
      </c>
      <c r="AC1462">
        <f>IF(AB1462&gt;AB1461,AB1462,"")</f>
        <v/>
      </c>
    </row>
    <row r="1463">
      <c r="W1463" s="7" t="n"/>
      <c r="X1463" s="7" t="n"/>
      <c r="Z1463">
        <f>Z1462+IF(W1463="",0,IF(ISNA(MATCH(W1463,W$256:W1462,0)),1,0))</f>
        <v/>
      </c>
      <c r="AA1463">
        <f>IF(Z1463&gt;Z1462,Z1463,"")</f>
        <v/>
      </c>
      <c r="AB1463">
        <f>AB1462+IF(X1463="",0,IF(ISNA(MATCH(X1463,X$256:X1462,0)),1,0))</f>
        <v/>
      </c>
      <c r="AC1463">
        <f>IF(AB1463&gt;AB1462,AB1463,"")</f>
        <v/>
      </c>
    </row>
    <row r="1464">
      <c r="W1464" s="7" t="n"/>
      <c r="X1464" s="7" t="n"/>
      <c r="Z1464">
        <f>Z1463+IF(W1464="",0,IF(ISNA(MATCH(W1464,W$256:W1463,0)),1,0))</f>
        <v/>
      </c>
      <c r="AA1464">
        <f>IF(Z1464&gt;Z1463,Z1464,"")</f>
        <v/>
      </c>
      <c r="AB1464">
        <f>AB1463+IF(X1464="",0,IF(ISNA(MATCH(X1464,X$256:X1463,0)),1,0))</f>
        <v/>
      </c>
      <c r="AC1464">
        <f>IF(AB1464&gt;AB1463,AB1464,"")</f>
        <v/>
      </c>
    </row>
    <row r="1465">
      <c r="W1465" s="7" t="n"/>
      <c r="X1465" s="7" t="n"/>
      <c r="Z1465">
        <f>Z1464+IF(W1465="",0,IF(ISNA(MATCH(W1465,W$256:W1464,0)),1,0))</f>
        <v/>
      </c>
      <c r="AA1465">
        <f>IF(Z1465&gt;Z1464,Z1465,"")</f>
        <v/>
      </c>
      <c r="AB1465">
        <f>AB1464+IF(X1465="",0,IF(ISNA(MATCH(X1465,X$256:X1464,0)),1,0))</f>
        <v/>
      </c>
      <c r="AC1465">
        <f>IF(AB1465&gt;AB1464,AB1465,"")</f>
        <v/>
      </c>
    </row>
    <row r="1466">
      <c r="W1466" s="7" t="n"/>
      <c r="X1466" s="7" t="n"/>
      <c r="Z1466">
        <f>Z1465+IF(W1466="",0,IF(ISNA(MATCH(W1466,W$256:W1465,0)),1,0))</f>
        <v/>
      </c>
      <c r="AA1466">
        <f>IF(Z1466&gt;Z1465,Z1466,"")</f>
        <v/>
      </c>
      <c r="AB1466">
        <f>AB1465+IF(X1466="",0,IF(ISNA(MATCH(X1466,X$256:X1465,0)),1,0))</f>
        <v/>
      </c>
      <c r="AC1466">
        <f>IF(AB1466&gt;AB1465,AB1466,"")</f>
        <v/>
      </c>
    </row>
    <row r="1467">
      <c r="W1467" s="7" t="n"/>
      <c r="X1467" s="7" t="n"/>
      <c r="Z1467">
        <f>Z1466+IF(W1467="",0,IF(ISNA(MATCH(W1467,W$256:W1466,0)),1,0))</f>
        <v/>
      </c>
      <c r="AA1467">
        <f>IF(Z1467&gt;Z1466,Z1467,"")</f>
        <v/>
      </c>
      <c r="AB1467">
        <f>AB1466+IF(X1467="",0,IF(ISNA(MATCH(X1467,X$256:X1466,0)),1,0))</f>
        <v/>
      </c>
      <c r="AC1467">
        <f>IF(AB1467&gt;AB1466,AB1467,"")</f>
        <v/>
      </c>
    </row>
    <row r="1468">
      <c r="W1468" s="7" t="n"/>
      <c r="X1468" s="7" t="n"/>
      <c r="Z1468">
        <f>Z1467+IF(W1468="",0,IF(ISNA(MATCH(W1468,W$256:W1467,0)),1,0))</f>
        <v/>
      </c>
      <c r="AA1468">
        <f>IF(Z1468&gt;Z1467,Z1468,"")</f>
        <v/>
      </c>
      <c r="AB1468">
        <f>AB1467+IF(X1468="",0,IF(ISNA(MATCH(X1468,X$256:X1467,0)),1,0))</f>
        <v/>
      </c>
      <c r="AC1468">
        <f>IF(AB1468&gt;AB1467,AB1468,"")</f>
        <v/>
      </c>
    </row>
    <row r="1469">
      <c r="W1469" s="7" t="n"/>
      <c r="X1469" s="7" t="n"/>
      <c r="Z1469">
        <f>Z1468+IF(W1469="",0,IF(ISNA(MATCH(W1469,W$256:W1468,0)),1,0))</f>
        <v/>
      </c>
      <c r="AA1469">
        <f>IF(Z1469&gt;Z1468,Z1469,"")</f>
        <v/>
      </c>
      <c r="AB1469">
        <f>AB1468+IF(X1469="",0,IF(ISNA(MATCH(X1469,X$256:X1468,0)),1,0))</f>
        <v/>
      </c>
      <c r="AC1469">
        <f>IF(AB1469&gt;AB1468,AB1469,"")</f>
        <v/>
      </c>
    </row>
    <row r="1470">
      <c r="W1470" s="7" t="n"/>
      <c r="X1470" s="7" t="n"/>
      <c r="Z1470">
        <f>Z1469+IF(W1470="",0,IF(ISNA(MATCH(W1470,W$256:W1469,0)),1,0))</f>
        <v/>
      </c>
      <c r="AA1470">
        <f>IF(Z1470&gt;Z1469,Z1470,"")</f>
        <v/>
      </c>
      <c r="AB1470">
        <f>AB1469+IF(X1470="",0,IF(ISNA(MATCH(X1470,X$256:X1469,0)),1,0))</f>
        <v/>
      </c>
      <c r="AC1470">
        <f>IF(AB1470&gt;AB1469,AB1470,"")</f>
        <v/>
      </c>
    </row>
    <row r="1471">
      <c r="W1471" s="7" t="n"/>
      <c r="X1471" s="7" t="n"/>
      <c r="Z1471">
        <f>Z1470+IF(W1471="",0,IF(ISNA(MATCH(W1471,W$256:W1470,0)),1,0))</f>
        <v/>
      </c>
      <c r="AA1471">
        <f>IF(Z1471&gt;Z1470,Z1471,"")</f>
        <v/>
      </c>
      <c r="AB1471">
        <f>AB1470+IF(X1471="",0,IF(ISNA(MATCH(X1471,X$256:X1470,0)),1,0))</f>
        <v/>
      </c>
      <c r="AC1471">
        <f>IF(AB1471&gt;AB1470,AB1471,"")</f>
        <v/>
      </c>
    </row>
    <row r="1472">
      <c r="W1472" s="7" t="n"/>
      <c r="X1472" s="7" t="n"/>
      <c r="Z1472">
        <f>Z1471+IF(W1472="",0,IF(ISNA(MATCH(W1472,W$256:W1471,0)),1,0))</f>
        <v/>
      </c>
      <c r="AA1472">
        <f>IF(Z1472&gt;Z1471,Z1472,"")</f>
        <v/>
      </c>
      <c r="AB1472">
        <f>AB1471+IF(X1472="",0,IF(ISNA(MATCH(X1472,X$256:X1471,0)),1,0))</f>
        <v/>
      </c>
      <c r="AC1472">
        <f>IF(AB1472&gt;AB1471,AB1472,"")</f>
        <v/>
      </c>
    </row>
    <row r="1473">
      <c r="W1473" s="7" t="n"/>
      <c r="X1473" s="7" t="n"/>
      <c r="Z1473">
        <f>Z1472+IF(W1473="",0,IF(ISNA(MATCH(W1473,W$256:W1472,0)),1,0))</f>
        <v/>
      </c>
      <c r="AA1473">
        <f>IF(Z1473&gt;Z1472,Z1473,"")</f>
        <v/>
      </c>
      <c r="AB1473">
        <f>AB1472+IF(X1473="",0,IF(ISNA(MATCH(X1473,X$256:X1472,0)),1,0))</f>
        <v/>
      </c>
      <c r="AC1473">
        <f>IF(AB1473&gt;AB1472,AB1473,"")</f>
        <v/>
      </c>
    </row>
    <row r="1474">
      <c r="W1474" s="7" t="n"/>
      <c r="X1474" s="7" t="n"/>
      <c r="Z1474">
        <f>Z1473+IF(W1474="",0,IF(ISNA(MATCH(W1474,W$256:W1473,0)),1,0))</f>
        <v/>
      </c>
      <c r="AA1474">
        <f>IF(Z1474&gt;Z1473,Z1474,"")</f>
        <v/>
      </c>
      <c r="AB1474">
        <f>AB1473+IF(X1474="",0,IF(ISNA(MATCH(X1474,X$256:X1473,0)),1,0))</f>
        <v/>
      </c>
      <c r="AC1474">
        <f>IF(AB1474&gt;AB1473,AB1474,"")</f>
        <v/>
      </c>
    </row>
    <row r="1475">
      <c r="W1475" s="7" t="n"/>
      <c r="X1475" s="7" t="n"/>
      <c r="Z1475">
        <f>Z1474+IF(W1475="",0,IF(ISNA(MATCH(W1475,W$256:W1474,0)),1,0))</f>
        <v/>
      </c>
      <c r="AA1475">
        <f>IF(Z1475&gt;Z1474,Z1475,"")</f>
        <v/>
      </c>
      <c r="AB1475">
        <f>AB1474+IF(X1475="",0,IF(ISNA(MATCH(X1475,X$256:X1474,0)),1,0))</f>
        <v/>
      </c>
      <c r="AC1475">
        <f>IF(AB1475&gt;AB1474,AB1475,"")</f>
        <v/>
      </c>
    </row>
    <row r="1476">
      <c r="W1476" s="7" t="n"/>
      <c r="X1476" s="7" t="n"/>
      <c r="Z1476">
        <f>Z1475+IF(W1476="",0,IF(ISNA(MATCH(W1476,W$256:W1475,0)),1,0))</f>
        <v/>
      </c>
      <c r="AA1476">
        <f>IF(Z1476&gt;Z1475,Z1476,"")</f>
        <v/>
      </c>
      <c r="AB1476">
        <f>AB1475+IF(X1476="",0,IF(ISNA(MATCH(X1476,X$256:X1475,0)),1,0))</f>
        <v/>
      </c>
      <c r="AC1476">
        <f>IF(AB1476&gt;AB1475,AB1476,"")</f>
        <v/>
      </c>
    </row>
    <row r="1477">
      <c r="W1477" s="7" t="n"/>
      <c r="X1477" s="7" t="n"/>
      <c r="Z1477">
        <f>Z1476+IF(W1477="",0,IF(ISNA(MATCH(W1477,W$256:W1476,0)),1,0))</f>
        <v/>
      </c>
      <c r="AA1477">
        <f>IF(Z1477&gt;Z1476,Z1477,"")</f>
        <v/>
      </c>
      <c r="AB1477">
        <f>AB1476+IF(X1477="",0,IF(ISNA(MATCH(X1477,X$256:X1476,0)),1,0))</f>
        <v/>
      </c>
      <c r="AC1477">
        <f>IF(AB1477&gt;AB1476,AB1477,"")</f>
        <v/>
      </c>
    </row>
    <row r="1478">
      <c r="W1478" s="7" t="n"/>
      <c r="X1478" s="7" t="n"/>
      <c r="Z1478">
        <f>Z1477+IF(W1478="",0,IF(ISNA(MATCH(W1478,W$256:W1477,0)),1,0))</f>
        <v/>
      </c>
      <c r="AA1478">
        <f>IF(Z1478&gt;Z1477,Z1478,"")</f>
        <v/>
      </c>
      <c r="AB1478">
        <f>AB1477+IF(X1478="",0,IF(ISNA(MATCH(X1478,X$256:X1477,0)),1,0))</f>
        <v/>
      </c>
      <c r="AC1478">
        <f>IF(AB1478&gt;AB1477,AB1478,"")</f>
        <v/>
      </c>
    </row>
    <row r="1479">
      <c r="W1479" s="7" t="n"/>
      <c r="X1479" s="7" t="n"/>
      <c r="Z1479">
        <f>Z1478+IF(W1479="",0,IF(ISNA(MATCH(W1479,W$256:W1478,0)),1,0))</f>
        <v/>
      </c>
      <c r="AA1479">
        <f>IF(Z1479&gt;Z1478,Z1479,"")</f>
        <v/>
      </c>
      <c r="AB1479">
        <f>AB1478+IF(X1479="",0,IF(ISNA(MATCH(X1479,X$256:X1478,0)),1,0))</f>
        <v/>
      </c>
      <c r="AC1479">
        <f>IF(AB1479&gt;AB1478,AB1479,"")</f>
        <v/>
      </c>
    </row>
    <row r="1480">
      <c r="W1480" s="7" t="n"/>
      <c r="X1480" s="7" t="n"/>
      <c r="Z1480">
        <f>Z1479+IF(W1480="",0,IF(ISNA(MATCH(W1480,W$256:W1479,0)),1,0))</f>
        <v/>
      </c>
      <c r="AA1480">
        <f>IF(Z1480&gt;Z1479,Z1480,"")</f>
        <v/>
      </c>
      <c r="AB1480">
        <f>AB1479+IF(X1480="",0,IF(ISNA(MATCH(X1480,X$256:X1479,0)),1,0))</f>
        <v/>
      </c>
      <c r="AC1480">
        <f>IF(AB1480&gt;AB1479,AB1480,"")</f>
        <v/>
      </c>
    </row>
    <row r="1481">
      <c r="W1481" s="7" t="n"/>
      <c r="X1481" s="7" t="n"/>
      <c r="Z1481">
        <f>Z1480+IF(W1481="",0,IF(ISNA(MATCH(W1481,W$256:W1480,0)),1,0))</f>
        <v/>
      </c>
      <c r="AA1481">
        <f>IF(Z1481&gt;Z1480,Z1481,"")</f>
        <v/>
      </c>
      <c r="AB1481">
        <f>AB1480+IF(X1481="",0,IF(ISNA(MATCH(X1481,X$256:X1480,0)),1,0))</f>
        <v/>
      </c>
      <c r="AC1481">
        <f>IF(AB1481&gt;AB1480,AB1481,"")</f>
        <v/>
      </c>
    </row>
    <row r="1482">
      <c r="W1482" s="7" t="n"/>
      <c r="X1482" s="7" t="n"/>
      <c r="Z1482">
        <f>Z1481+IF(W1482="",0,IF(ISNA(MATCH(W1482,W$256:W1481,0)),1,0))</f>
        <v/>
      </c>
      <c r="AA1482">
        <f>IF(Z1482&gt;Z1481,Z1482,"")</f>
        <v/>
      </c>
      <c r="AB1482">
        <f>AB1481+IF(X1482="",0,IF(ISNA(MATCH(X1482,X$256:X1481,0)),1,0))</f>
        <v/>
      </c>
      <c r="AC1482">
        <f>IF(AB1482&gt;AB1481,AB1482,"")</f>
        <v/>
      </c>
    </row>
    <row r="1483">
      <c r="W1483" s="7" t="n"/>
      <c r="X1483" s="7" t="n"/>
      <c r="Z1483">
        <f>Z1482+IF(W1483="",0,IF(ISNA(MATCH(W1483,W$256:W1482,0)),1,0))</f>
        <v/>
      </c>
      <c r="AA1483">
        <f>IF(Z1483&gt;Z1482,Z1483,"")</f>
        <v/>
      </c>
      <c r="AB1483">
        <f>AB1482+IF(X1483="",0,IF(ISNA(MATCH(X1483,X$256:X1482,0)),1,0))</f>
        <v/>
      </c>
      <c r="AC1483">
        <f>IF(AB1483&gt;AB1482,AB1483,"")</f>
        <v/>
      </c>
    </row>
    <row r="1484">
      <c r="W1484" s="7" t="n"/>
      <c r="X1484" s="7" t="n"/>
      <c r="Z1484">
        <f>Z1483+IF(W1484="",0,IF(ISNA(MATCH(W1484,W$256:W1483,0)),1,0))</f>
        <v/>
      </c>
      <c r="AA1484">
        <f>IF(Z1484&gt;Z1483,Z1484,"")</f>
        <v/>
      </c>
      <c r="AB1484">
        <f>AB1483+IF(X1484="",0,IF(ISNA(MATCH(X1484,X$256:X1483,0)),1,0))</f>
        <v/>
      </c>
      <c r="AC1484">
        <f>IF(AB1484&gt;AB1483,AB1484,"")</f>
        <v/>
      </c>
    </row>
    <row r="1485">
      <c r="W1485" s="7" t="n"/>
      <c r="X1485" s="7" t="n"/>
      <c r="Z1485">
        <f>Z1484+IF(W1485="",0,IF(ISNA(MATCH(W1485,W$256:W1484,0)),1,0))</f>
        <v/>
      </c>
      <c r="AA1485">
        <f>IF(Z1485&gt;Z1484,Z1485,"")</f>
        <v/>
      </c>
      <c r="AB1485">
        <f>AB1484+IF(X1485="",0,IF(ISNA(MATCH(X1485,X$256:X1484,0)),1,0))</f>
        <v/>
      </c>
      <c r="AC1485">
        <f>IF(AB1485&gt;AB1484,AB1485,"")</f>
        <v/>
      </c>
    </row>
    <row r="1486">
      <c r="W1486" s="7" t="n"/>
      <c r="X1486" s="7" t="n"/>
      <c r="Z1486">
        <f>Z1485+IF(W1486="",0,IF(ISNA(MATCH(W1486,W$256:W1485,0)),1,0))</f>
        <v/>
      </c>
      <c r="AA1486">
        <f>IF(Z1486&gt;Z1485,Z1486,"")</f>
        <v/>
      </c>
      <c r="AB1486">
        <f>AB1485+IF(X1486="",0,IF(ISNA(MATCH(X1486,X$256:X1485,0)),1,0))</f>
        <v/>
      </c>
      <c r="AC1486">
        <f>IF(AB1486&gt;AB1485,AB1486,"")</f>
        <v/>
      </c>
    </row>
    <row r="1487">
      <c r="W1487" s="7" t="n"/>
      <c r="X1487" s="7" t="n"/>
      <c r="Z1487">
        <f>Z1486+IF(W1487="",0,IF(ISNA(MATCH(W1487,W$256:W1486,0)),1,0))</f>
        <v/>
      </c>
      <c r="AA1487">
        <f>IF(Z1487&gt;Z1486,Z1487,"")</f>
        <v/>
      </c>
      <c r="AB1487">
        <f>AB1486+IF(X1487="",0,IF(ISNA(MATCH(X1487,X$256:X1486,0)),1,0))</f>
        <v/>
      </c>
      <c r="AC1487">
        <f>IF(AB1487&gt;AB1486,AB1487,"")</f>
        <v/>
      </c>
    </row>
    <row r="1488">
      <c r="W1488" s="7" t="n"/>
      <c r="X1488" s="7" t="n"/>
      <c r="Z1488">
        <f>Z1487+IF(W1488="",0,IF(ISNA(MATCH(W1488,W$256:W1487,0)),1,0))</f>
        <v/>
      </c>
      <c r="AA1488">
        <f>IF(Z1488&gt;Z1487,Z1488,"")</f>
        <v/>
      </c>
      <c r="AB1488">
        <f>AB1487+IF(X1488="",0,IF(ISNA(MATCH(X1488,X$256:X1487,0)),1,0))</f>
        <v/>
      </c>
      <c r="AC1488">
        <f>IF(AB1488&gt;AB1487,AB1488,"")</f>
        <v/>
      </c>
    </row>
    <row r="1489">
      <c r="W1489" s="7" t="n"/>
      <c r="X1489" s="7" t="n"/>
      <c r="Z1489">
        <f>Z1488+IF(W1489="",0,IF(ISNA(MATCH(W1489,W$256:W1488,0)),1,0))</f>
        <v/>
      </c>
      <c r="AA1489">
        <f>IF(Z1489&gt;Z1488,Z1489,"")</f>
        <v/>
      </c>
      <c r="AB1489">
        <f>AB1488+IF(X1489="",0,IF(ISNA(MATCH(X1489,X$256:X1488,0)),1,0))</f>
        <v/>
      </c>
      <c r="AC1489">
        <f>IF(AB1489&gt;AB1488,AB1489,"")</f>
        <v/>
      </c>
    </row>
    <row r="1490">
      <c r="W1490" s="7" t="n"/>
      <c r="X1490" s="7" t="n"/>
      <c r="Z1490">
        <f>Z1489+IF(W1490="",0,IF(ISNA(MATCH(W1490,W$256:W1489,0)),1,0))</f>
        <v/>
      </c>
      <c r="AA1490">
        <f>IF(Z1490&gt;Z1489,Z1490,"")</f>
        <v/>
      </c>
      <c r="AB1490">
        <f>AB1489+IF(X1490="",0,IF(ISNA(MATCH(X1490,X$256:X1489,0)),1,0))</f>
        <v/>
      </c>
      <c r="AC1490">
        <f>IF(AB1490&gt;AB1489,AB1490,"")</f>
        <v/>
      </c>
    </row>
    <row r="1491">
      <c r="W1491" s="7" t="n"/>
      <c r="X1491" s="7" t="n"/>
      <c r="Z1491">
        <f>Z1490+IF(W1491="",0,IF(ISNA(MATCH(W1491,W$256:W1490,0)),1,0))</f>
        <v/>
      </c>
      <c r="AA1491">
        <f>IF(Z1491&gt;Z1490,Z1491,"")</f>
        <v/>
      </c>
      <c r="AB1491">
        <f>AB1490+IF(X1491="",0,IF(ISNA(MATCH(X1491,X$256:X1490,0)),1,0))</f>
        <v/>
      </c>
      <c r="AC1491">
        <f>IF(AB1491&gt;AB1490,AB1491,"")</f>
        <v/>
      </c>
    </row>
    <row r="1492">
      <c r="W1492" s="7" t="n"/>
      <c r="X1492" s="7" t="n"/>
      <c r="Z1492">
        <f>Z1491+IF(W1492="",0,IF(ISNA(MATCH(W1492,W$256:W1491,0)),1,0))</f>
        <v/>
      </c>
      <c r="AA1492">
        <f>IF(Z1492&gt;Z1491,Z1492,"")</f>
        <v/>
      </c>
      <c r="AB1492">
        <f>AB1491+IF(X1492="",0,IF(ISNA(MATCH(X1492,X$256:X1491,0)),1,0))</f>
        <v/>
      </c>
      <c r="AC1492">
        <f>IF(AB1492&gt;AB1491,AB1492,"")</f>
        <v/>
      </c>
    </row>
    <row r="1493">
      <c r="W1493" s="7" t="n"/>
      <c r="X1493" s="7" t="n"/>
      <c r="Z1493">
        <f>Z1492+IF(W1493="",0,IF(ISNA(MATCH(W1493,W$256:W1492,0)),1,0))</f>
        <v/>
      </c>
      <c r="AA1493">
        <f>IF(Z1493&gt;Z1492,Z1493,"")</f>
        <v/>
      </c>
      <c r="AB1493">
        <f>AB1492+IF(X1493="",0,IF(ISNA(MATCH(X1493,X$256:X1492,0)),1,0))</f>
        <v/>
      </c>
      <c r="AC1493">
        <f>IF(AB1493&gt;AB1492,AB1493,"")</f>
        <v/>
      </c>
    </row>
    <row r="1494">
      <c r="W1494" s="7" t="n"/>
      <c r="X1494" s="7" t="n"/>
      <c r="Z1494">
        <f>Z1493+IF(W1494="",0,IF(ISNA(MATCH(W1494,W$256:W1493,0)),1,0))</f>
        <v/>
      </c>
      <c r="AA1494">
        <f>IF(Z1494&gt;Z1493,Z1494,"")</f>
        <v/>
      </c>
      <c r="AB1494">
        <f>AB1493+IF(X1494="",0,IF(ISNA(MATCH(X1494,X$256:X1493,0)),1,0))</f>
        <v/>
      </c>
      <c r="AC1494">
        <f>IF(AB1494&gt;AB1493,AB1494,"")</f>
        <v/>
      </c>
    </row>
    <row r="1495">
      <c r="W1495" s="7" t="n"/>
      <c r="X1495" s="7" t="n"/>
      <c r="Z1495">
        <f>Z1494+IF(W1495="",0,IF(ISNA(MATCH(W1495,W$256:W1494,0)),1,0))</f>
        <v/>
      </c>
      <c r="AA1495">
        <f>IF(Z1495&gt;Z1494,Z1495,"")</f>
        <v/>
      </c>
      <c r="AB1495">
        <f>AB1494+IF(X1495="",0,IF(ISNA(MATCH(X1495,X$256:X1494,0)),1,0))</f>
        <v/>
      </c>
      <c r="AC1495">
        <f>IF(AB1495&gt;AB1494,AB1495,"")</f>
        <v/>
      </c>
    </row>
    <row r="1496">
      <c r="W1496" s="7" t="n"/>
      <c r="X1496" s="7" t="n"/>
      <c r="Z1496">
        <f>Z1495+IF(W1496="",0,IF(ISNA(MATCH(W1496,W$256:W1495,0)),1,0))</f>
        <v/>
      </c>
      <c r="AA1496">
        <f>IF(Z1496&gt;Z1495,Z1496,"")</f>
        <v/>
      </c>
      <c r="AB1496">
        <f>AB1495+IF(X1496="",0,IF(ISNA(MATCH(X1496,X$256:X1495,0)),1,0))</f>
        <v/>
      </c>
      <c r="AC1496">
        <f>IF(AB1496&gt;AB1495,AB1496,"")</f>
        <v/>
      </c>
    </row>
    <row r="1497">
      <c r="W1497" s="7" t="n"/>
      <c r="X1497" s="7" t="n"/>
      <c r="Z1497">
        <f>Z1496+IF(W1497="",0,IF(ISNA(MATCH(W1497,W$256:W1496,0)),1,0))</f>
        <v/>
      </c>
      <c r="AA1497">
        <f>IF(Z1497&gt;Z1496,Z1497,"")</f>
        <v/>
      </c>
      <c r="AB1497">
        <f>AB1496+IF(X1497="",0,IF(ISNA(MATCH(X1497,X$256:X1496,0)),1,0))</f>
        <v/>
      </c>
      <c r="AC1497">
        <f>IF(AB1497&gt;AB1496,AB1497,"")</f>
        <v/>
      </c>
    </row>
    <row r="1498">
      <c r="W1498" s="7" t="n"/>
      <c r="X1498" s="7" t="n"/>
      <c r="Z1498">
        <f>Z1497+IF(W1498="",0,IF(ISNA(MATCH(W1498,W$256:W1497,0)),1,0))</f>
        <v/>
      </c>
      <c r="AA1498">
        <f>IF(Z1498&gt;Z1497,Z1498,"")</f>
        <v/>
      </c>
      <c r="AB1498">
        <f>AB1497+IF(X1498="",0,IF(ISNA(MATCH(X1498,X$256:X1497,0)),1,0))</f>
        <v/>
      </c>
      <c r="AC1498">
        <f>IF(AB1498&gt;AB1497,AB1498,"")</f>
        <v/>
      </c>
    </row>
    <row r="1499">
      <c r="W1499" s="7" t="n"/>
      <c r="X1499" s="7" t="n"/>
      <c r="Z1499">
        <f>Z1498+IF(W1499="",0,IF(ISNA(MATCH(W1499,W$256:W1498,0)),1,0))</f>
        <v/>
      </c>
      <c r="AA1499">
        <f>IF(Z1499&gt;Z1498,Z1499,"")</f>
        <v/>
      </c>
      <c r="AB1499">
        <f>AB1498+IF(X1499="",0,IF(ISNA(MATCH(X1499,X$256:X1498,0)),1,0))</f>
        <v/>
      </c>
      <c r="AC1499">
        <f>IF(AB1499&gt;AB1498,AB1499,"")</f>
        <v/>
      </c>
    </row>
    <row r="1500">
      <c r="W1500" s="7" t="n"/>
      <c r="X1500" s="7" t="n"/>
      <c r="Z1500">
        <f>Z1499+IF(W1500="",0,IF(ISNA(MATCH(W1500,W$256:W1499,0)),1,0))</f>
        <v/>
      </c>
      <c r="AA1500">
        <f>IF(Z1500&gt;Z1499,Z1500,"")</f>
        <v/>
      </c>
      <c r="AB1500">
        <f>AB1499+IF(X1500="",0,IF(ISNA(MATCH(X1500,X$256:X1499,0)),1,0))</f>
        <v/>
      </c>
      <c r="AC1500">
        <f>IF(AB1500&gt;AB1499,AB1500,"")</f>
        <v/>
      </c>
    </row>
    <row r="1501">
      <c r="W1501" s="7" t="n"/>
      <c r="X1501" s="7" t="n"/>
      <c r="Z1501">
        <f>Z1500+IF(W1501="",0,IF(ISNA(MATCH(W1501,W$256:W1500,0)),1,0))</f>
        <v/>
      </c>
      <c r="AA1501">
        <f>IF(Z1501&gt;Z1500,Z1501,"")</f>
        <v/>
      </c>
      <c r="AB1501">
        <f>AB1500+IF(X1501="",0,IF(ISNA(MATCH(X1501,X$256:X1500,0)),1,0))</f>
        <v/>
      </c>
      <c r="AC1501">
        <f>IF(AB1501&gt;AB1500,AB1501,"")</f>
        <v/>
      </c>
    </row>
    <row r="1502">
      <c r="W1502" s="7" t="n"/>
      <c r="X1502" s="7" t="n"/>
      <c r="Z1502">
        <f>Z1501+IF(W1502="",0,IF(ISNA(MATCH(W1502,W$256:W1501,0)),1,0))</f>
        <v/>
      </c>
      <c r="AA1502">
        <f>IF(Z1502&gt;Z1501,Z1502,"")</f>
        <v/>
      </c>
      <c r="AB1502">
        <f>AB1501+IF(X1502="",0,IF(ISNA(MATCH(X1502,X$256:X1501,0)),1,0))</f>
        <v/>
      </c>
      <c r="AC1502">
        <f>IF(AB1502&gt;AB1501,AB1502,"")</f>
        <v/>
      </c>
    </row>
    <row r="1503">
      <c r="W1503" s="7" t="n"/>
      <c r="X1503" s="7" t="n"/>
      <c r="Z1503">
        <f>Z1502+IF(W1503="",0,IF(ISNA(MATCH(W1503,W$256:W1502,0)),1,0))</f>
        <v/>
      </c>
      <c r="AA1503">
        <f>IF(Z1503&gt;Z1502,Z1503,"")</f>
        <v/>
      </c>
      <c r="AB1503">
        <f>AB1502+IF(X1503="",0,IF(ISNA(MATCH(X1503,X$256:X1502,0)),1,0))</f>
        <v/>
      </c>
      <c r="AC1503">
        <f>IF(AB1503&gt;AB1502,AB1503,"")</f>
        <v/>
      </c>
    </row>
    <row r="1504">
      <c r="W1504" s="7" t="n"/>
      <c r="X1504" s="7" t="n"/>
      <c r="Z1504">
        <f>Z1503+IF(W1504="",0,IF(ISNA(MATCH(W1504,W$256:W1503,0)),1,0))</f>
        <v/>
      </c>
      <c r="AA1504">
        <f>IF(Z1504&gt;Z1503,Z1504,"")</f>
        <v/>
      </c>
      <c r="AB1504">
        <f>AB1503+IF(X1504="",0,IF(ISNA(MATCH(X1504,X$256:X1503,0)),1,0))</f>
        <v/>
      </c>
      <c r="AC1504">
        <f>IF(AB1504&gt;AB1503,AB1504,"")</f>
        <v/>
      </c>
    </row>
    <row r="1505">
      <c r="W1505" s="7" t="n"/>
      <c r="X1505" s="7" t="n"/>
      <c r="Z1505">
        <f>Z1504+IF(W1505="",0,IF(ISNA(MATCH(W1505,W$256:W1504,0)),1,0))</f>
        <v/>
      </c>
      <c r="AA1505">
        <f>IF(Z1505&gt;Z1504,Z1505,"")</f>
        <v/>
      </c>
      <c r="AB1505">
        <f>AB1504+IF(X1505="",0,IF(ISNA(MATCH(X1505,X$256:X1504,0)),1,0))</f>
        <v/>
      </c>
      <c r="AC1505">
        <f>IF(AB1505&gt;AB1504,AB1505,"")</f>
        <v/>
      </c>
    </row>
    <row r="1506">
      <c r="W1506" s="7" t="n"/>
      <c r="X1506" s="7" t="n"/>
      <c r="Z1506">
        <f>Z1505+IF(W1506="",0,IF(ISNA(MATCH(W1506,W$256:W1505,0)),1,0))</f>
        <v/>
      </c>
      <c r="AA1506">
        <f>IF(Z1506&gt;Z1505,Z1506,"")</f>
        <v/>
      </c>
      <c r="AB1506">
        <f>AB1505+IF(X1506="",0,IF(ISNA(MATCH(X1506,X$256:X1505,0)),1,0))</f>
        <v/>
      </c>
      <c r="AC1506">
        <f>IF(AB1506&gt;AB1505,AB1506,"")</f>
        <v/>
      </c>
    </row>
    <row r="1507">
      <c r="W1507" s="7" t="n"/>
      <c r="X1507" s="7" t="n"/>
      <c r="Z1507">
        <f>Z1506+IF(W1507="",0,IF(ISNA(MATCH(W1507,W$256:W1506,0)),1,0))</f>
        <v/>
      </c>
      <c r="AA1507">
        <f>IF(Z1507&gt;Z1506,Z1507,"")</f>
        <v/>
      </c>
      <c r="AB1507">
        <f>AB1506+IF(X1507="",0,IF(ISNA(MATCH(X1507,X$256:X1506,0)),1,0))</f>
        <v/>
      </c>
      <c r="AC1507">
        <f>IF(AB1507&gt;AB1506,AB1507,"")</f>
        <v/>
      </c>
    </row>
    <row r="1508">
      <c r="W1508" s="7" t="n"/>
      <c r="X1508" s="7" t="n"/>
      <c r="Z1508">
        <f>Z1507+IF(W1508="",0,IF(ISNA(MATCH(W1508,W$256:W1507,0)),1,0))</f>
        <v/>
      </c>
      <c r="AA1508">
        <f>IF(Z1508&gt;Z1507,Z1508,"")</f>
        <v/>
      </c>
      <c r="AB1508">
        <f>AB1507+IF(X1508="",0,IF(ISNA(MATCH(X1508,X$256:X1507,0)),1,0))</f>
        <v/>
      </c>
      <c r="AC1508">
        <f>IF(AB1508&gt;AB1507,AB1508,"")</f>
        <v/>
      </c>
    </row>
    <row r="1509">
      <c r="W1509" s="7" t="n"/>
      <c r="X1509" s="7" t="n"/>
      <c r="Z1509">
        <f>Z1508+IF(W1509="",0,IF(ISNA(MATCH(W1509,W$256:W1508,0)),1,0))</f>
        <v/>
      </c>
      <c r="AA1509">
        <f>IF(Z1509&gt;Z1508,Z1509,"")</f>
        <v/>
      </c>
      <c r="AB1509">
        <f>AB1508+IF(X1509="",0,IF(ISNA(MATCH(X1509,X$256:X1508,0)),1,0))</f>
        <v/>
      </c>
      <c r="AC1509">
        <f>IF(AB1509&gt;AB1508,AB1509,"")</f>
        <v/>
      </c>
    </row>
    <row r="1510">
      <c r="W1510" s="7" t="n"/>
      <c r="X1510" s="7" t="n"/>
      <c r="Z1510">
        <f>Z1509+IF(W1510="",0,IF(ISNA(MATCH(W1510,W$256:W1509,0)),1,0))</f>
        <v/>
      </c>
      <c r="AA1510">
        <f>IF(Z1510&gt;Z1509,Z1510,"")</f>
        <v/>
      </c>
      <c r="AB1510">
        <f>AB1509+IF(X1510="",0,IF(ISNA(MATCH(X1510,X$256:X1509,0)),1,0))</f>
        <v/>
      </c>
      <c r="AC1510">
        <f>IF(AB1510&gt;AB1509,AB1510,"")</f>
        <v/>
      </c>
    </row>
    <row r="1511">
      <c r="W1511" s="7" t="n"/>
      <c r="X1511" s="7" t="n"/>
      <c r="Z1511">
        <f>Z1510+IF(W1511="",0,IF(ISNA(MATCH(W1511,W$256:W1510,0)),1,0))</f>
        <v/>
      </c>
      <c r="AA1511">
        <f>IF(Z1511&gt;Z1510,Z1511,"")</f>
        <v/>
      </c>
      <c r="AB1511">
        <f>AB1510+IF(X1511="",0,IF(ISNA(MATCH(X1511,X$256:X1510,0)),1,0))</f>
        <v/>
      </c>
      <c r="AC1511">
        <f>IF(AB1511&gt;AB1510,AB1511,"")</f>
        <v/>
      </c>
    </row>
    <row r="1512">
      <c r="W1512" s="7" t="n"/>
      <c r="X1512" s="7" t="n"/>
      <c r="Z1512">
        <f>Z1511+IF(W1512="",0,IF(ISNA(MATCH(W1512,W$256:W1511,0)),1,0))</f>
        <v/>
      </c>
      <c r="AA1512">
        <f>IF(Z1512&gt;Z1511,Z1512,"")</f>
        <v/>
      </c>
      <c r="AB1512">
        <f>AB1511+IF(X1512="",0,IF(ISNA(MATCH(X1512,X$256:X1511,0)),1,0))</f>
        <v/>
      </c>
      <c r="AC1512">
        <f>IF(AB1512&gt;AB1511,AB1512,"")</f>
        <v/>
      </c>
    </row>
    <row r="1513">
      <c r="W1513" s="7" t="n"/>
      <c r="X1513" s="7" t="n"/>
      <c r="Z1513">
        <f>Z1512+IF(W1513="",0,IF(ISNA(MATCH(W1513,W$256:W1512,0)),1,0))</f>
        <v/>
      </c>
      <c r="AA1513">
        <f>IF(Z1513&gt;Z1512,Z1513,"")</f>
        <v/>
      </c>
      <c r="AB1513">
        <f>AB1512+IF(X1513="",0,IF(ISNA(MATCH(X1513,X$256:X1512,0)),1,0))</f>
        <v/>
      </c>
      <c r="AC1513">
        <f>IF(AB1513&gt;AB1512,AB1513,"")</f>
        <v/>
      </c>
    </row>
    <row r="1514">
      <c r="W1514" s="7" t="n"/>
      <c r="X1514" s="7" t="n"/>
      <c r="Z1514">
        <f>Z1513+IF(W1514="",0,IF(ISNA(MATCH(W1514,W$256:W1513,0)),1,0))</f>
        <v/>
      </c>
      <c r="AA1514">
        <f>IF(Z1514&gt;Z1513,Z1514,"")</f>
        <v/>
      </c>
      <c r="AB1514">
        <f>AB1513+IF(X1514="",0,IF(ISNA(MATCH(X1514,X$256:X1513,0)),1,0))</f>
        <v/>
      </c>
      <c r="AC1514">
        <f>IF(AB1514&gt;AB1513,AB1514,"")</f>
        <v/>
      </c>
    </row>
    <row r="1515">
      <c r="W1515" s="7" t="n"/>
      <c r="X1515" s="7" t="n"/>
      <c r="Z1515">
        <f>Z1514+IF(W1515="",0,IF(ISNA(MATCH(W1515,W$256:W1514,0)),1,0))</f>
        <v/>
      </c>
      <c r="AA1515">
        <f>IF(Z1515&gt;Z1514,Z1515,"")</f>
        <v/>
      </c>
      <c r="AB1515">
        <f>AB1514+IF(X1515="",0,IF(ISNA(MATCH(X1515,X$256:X1514,0)),1,0))</f>
        <v/>
      </c>
      <c r="AC1515">
        <f>IF(AB1515&gt;AB1514,AB1515,"")</f>
        <v/>
      </c>
    </row>
    <row r="1516">
      <c r="W1516" s="7" t="n"/>
      <c r="X1516" s="7" t="n"/>
      <c r="Z1516">
        <f>Z1515+IF(W1516="",0,IF(ISNA(MATCH(W1516,W$256:W1515,0)),1,0))</f>
        <v/>
      </c>
      <c r="AA1516">
        <f>IF(Z1516&gt;Z1515,Z1516,"")</f>
        <v/>
      </c>
      <c r="AB1516">
        <f>AB1515+IF(X1516="",0,IF(ISNA(MATCH(X1516,X$256:X1515,0)),1,0))</f>
        <v/>
      </c>
      <c r="AC1516">
        <f>IF(AB1516&gt;AB1515,AB1516,"")</f>
        <v/>
      </c>
    </row>
    <row r="1517">
      <c r="W1517" s="7" t="n"/>
      <c r="X1517" s="7" t="n"/>
      <c r="Z1517">
        <f>Z1516+IF(W1517="",0,IF(ISNA(MATCH(W1517,W$256:W1516,0)),1,0))</f>
        <v/>
      </c>
      <c r="AA1517">
        <f>IF(Z1517&gt;Z1516,Z1517,"")</f>
        <v/>
      </c>
      <c r="AB1517">
        <f>AB1516+IF(X1517="",0,IF(ISNA(MATCH(X1517,X$256:X1516,0)),1,0))</f>
        <v/>
      </c>
      <c r="AC1517">
        <f>IF(AB1517&gt;AB1516,AB1517,"")</f>
        <v/>
      </c>
    </row>
    <row r="1518">
      <c r="W1518" s="7" t="n"/>
      <c r="X1518" s="7" t="n"/>
      <c r="Z1518">
        <f>Z1517+IF(W1518="",0,IF(ISNA(MATCH(W1518,W$256:W1517,0)),1,0))</f>
        <v/>
      </c>
      <c r="AA1518">
        <f>IF(Z1518&gt;Z1517,Z1518,"")</f>
        <v/>
      </c>
      <c r="AB1518">
        <f>AB1517+IF(X1518="",0,IF(ISNA(MATCH(X1518,X$256:X1517,0)),1,0))</f>
        <v/>
      </c>
      <c r="AC1518">
        <f>IF(AB1518&gt;AB1517,AB1518,"")</f>
        <v/>
      </c>
    </row>
    <row r="1519">
      <c r="W1519" s="7" t="n"/>
      <c r="X1519" s="7" t="n"/>
      <c r="Z1519">
        <f>Z1518+IF(W1519="",0,IF(ISNA(MATCH(W1519,W$256:W1518,0)),1,0))</f>
        <v/>
      </c>
      <c r="AA1519">
        <f>IF(Z1519&gt;Z1518,Z1519,"")</f>
        <v/>
      </c>
      <c r="AB1519">
        <f>AB1518+IF(X1519="",0,IF(ISNA(MATCH(X1519,X$256:X1518,0)),1,0))</f>
        <v/>
      </c>
      <c r="AC1519">
        <f>IF(AB1519&gt;AB1518,AB1519,"")</f>
        <v/>
      </c>
    </row>
    <row r="1520">
      <c r="W1520" s="7" t="n"/>
      <c r="X1520" s="7" t="n"/>
      <c r="Z1520">
        <f>Z1519+IF(W1520="",0,IF(ISNA(MATCH(W1520,W$256:W1519,0)),1,0))</f>
        <v/>
      </c>
      <c r="AA1520">
        <f>IF(Z1520&gt;Z1519,Z1520,"")</f>
        <v/>
      </c>
      <c r="AB1520">
        <f>AB1519+IF(X1520="",0,IF(ISNA(MATCH(X1520,X$256:X1519,0)),1,0))</f>
        <v/>
      </c>
      <c r="AC1520">
        <f>IF(AB1520&gt;AB1519,AB1520,"")</f>
        <v/>
      </c>
    </row>
    <row r="1521">
      <c r="W1521" s="7" t="n"/>
      <c r="X1521" s="7" t="n"/>
      <c r="Z1521">
        <f>Z1520+IF(W1521="",0,IF(ISNA(MATCH(W1521,W$256:W1520,0)),1,0))</f>
        <v/>
      </c>
      <c r="AA1521">
        <f>IF(Z1521&gt;Z1520,Z1521,"")</f>
        <v/>
      </c>
      <c r="AB1521">
        <f>AB1520+IF(X1521="",0,IF(ISNA(MATCH(X1521,X$256:X1520,0)),1,0))</f>
        <v/>
      </c>
      <c r="AC1521">
        <f>IF(AB1521&gt;AB1520,AB1521,"")</f>
        <v/>
      </c>
    </row>
    <row r="1522">
      <c r="W1522" s="7" t="n"/>
      <c r="X1522" s="7" t="n"/>
      <c r="Z1522">
        <f>Z1521+IF(W1522="",0,IF(ISNA(MATCH(W1522,W$256:W1521,0)),1,0))</f>
        <v/>
      </c>
      <c r="AA1522">
        <f>IF(Z1522&gt;Z1521,Z1522,"")</f>
        <v/>
      </c>
      <c r="AB1522">
        <f>AB1521+IF(X1522="",0,IF(ISNA(MATCH(X1522,X$256:X1521,0)),1,0))</f>
        <v/>
      </c>
      <c r="AC1522">
        <f>IF(AB1522&gt;AB1521,AB1522,"")</f>
        <v/>
      </c>
    </row>
    <row r="1523">
      <c r="W1523" s="7" t="n"/>
      <c r="X1523" s="7" t="n"/>
      <c r="Z1523">
        <f>Z1522+IF(W1523="",0,IF(ISNA(MATCH(W1523,W$256:W1522,0)),1,0))</f>
        <v/>
      </c>
      <c r="AA1523">
        <f>IF(Z1523&gt;Z1522,Z1523,"")</f>
        <v/>
      </c>
      <c r="AB1523">
        <f>AB1522+IF(X1523="",0,IF(ISNA(MATCH(X1523,X$256:X1522,0)),1,0))</f>
        <v/>
      </c>
      <c r="AC1523">
        <f>IF(AB1523&gt;AB1522,AB1523,"")</f>
        <v/>
      </c>
    </row>
    <row r="1524">
      <c r="W1524" s="7" t="n"/>
      <c r="X1524" s="7" t="n"/>
      <c r="Z1524">
        <f>Z1523+IF(W1524="",0,IF(ISNA(MATCH(W1524,W$256:W1523,0)),1,0))</f>
        <v/>
      </c>
      <c r="AA1524">
        <f>IF(Z1524&gt;Z1523,Z1524,"")</f>
        <v/>
      </c>
      <c r="AB1524">
        <f>AB1523+IF(X1524="",0,IF(ISNA(MATCH(X1524,X$256:X1523,0)),1,0))</f>
        <v/>
      </c>
      <c r="AC1524">
        <f>IF(AB1524&gt;AB1523,AB1524,"")</f>
        <v/>
      </c>
    </row>
    <row r="1525">
      <c r="W1525" s="7" t="n"/>
      <c r="X1525" s="7" t="n"/>
      <c r="Z1525">
        <f>Z1524+IF(W1525="",0,IF(ISNA(MATCH(W1525,W$256:W1524,0)),1,0))</f>
        <v/>
      </c>
      <c r="AA1525">
        <f>IF(Z1525&gt;Z1524,Z1525,"")</f>
        <v/>
      </c>
      <c r="AB1525">
        <f>AB1524+IF(X1525="",0,IF(ISNA(MATCH(X1525,X$256:X1524,0)),1,0))</f>
        <v/>
      </c>
      <c r="AC1525">
        <f>IF(AB1525&gt;AB1524,AB1525,"")</f>
        <v/>
      </c>
    </row>
    <row r="1526">
      <c r="W1526" s="7" t="n"/>
      <c r="X1526" s="7" t="n"/>
      <c r="Z1526">
        <f>Z1525+IF(W1526="",0,IF(ISNA(MATCH(W1526,W$256:W1525,0)),1,0))</f>
        <v/>
      </c>
      <c r="AA1526">
        <f>IF(Z1526&gt;Z1525,Z1526,"")</f>
        <v/>
      </c>
      <c r="AB1526">
        <f>AB1525+IF(X1526="",0,IF(ISNA(MATCH(X1526,X$256:X1525,0)),1,0))</f>
        <v/>
      </c>
      <c r="AC1526">
        <f>IF(AB1526&gt;AB1525,AB1526,"")</f>
        <v/>
      </c>
    </row>
    <row r="1527">
      <c r="W1527" s="7" t="n"/>
      <c r="X1527" s="7" t="n"/>
      <c r="Z1527">
        <f>Z1526+IF(W1527="",0,IF(ISNA(MATCH(W1527,W$256:W1526,0)),1,0))</f>
        <v/>
      </c>
      <c r="AA1527">
        <f>IF(Z1527&gt;Z1526,Z1527,"")</f>
        <v/>
      </c>
      <c r="AB1527">
        <f>AB1526+IF(X1527="",0,IF(ISNA(MATCH(X1527,X$256:X1526,0)),1,0))</f>
        <v/>
      </c>
      <c r="AC1527">
        <f>IF(AB1527&gt;AB1526,AB1527,"")</f>
        <v/>
      </c>
    </row>
    <row r="1528">
      <c r="W1528" s="7" t="n"/>
      <c r="X1528" s="7" t="n"/>
      <c r="Z1528">
        <f>Z1527+IF(W1528="",0,IF(ISNA(MATCH(W1528,W$256:W1527,0)),1,0))</f>
        <v/>
      </c>
      <c r="AA1528">
        <f>IF(Z1528&gt;Z1527,Z1528,"")</f>
        <v/>
      </c>
      <c r="AB1528">
        <f>AB1527+IF(X1528="",0,IF(ISNA(MATCH(X1528,X$256:X1527,0)),1,0))</f>
        <v/>
      </c>
      <c r="AC1528">
        <f>IF(AB1528&gt;AB1527,AB1528,"")</f>
        <v/>
      </c>
    </row>
    <row r="1529">
      <c r="W1529" s="7" t="n"/>
      <c r="X1529" s="7" t="n"/>
      <c r="Z1529">
        <f>Z1528+IF(W1529="",0,IF(ISNA(MATCH(W1529,W$256:W1528,0)),1,0))</f>
        <v/>
      </c>
      <c r="AA1529">
        <f>IF(Z1529&gt;Z1528,Z1529,"")</f>
        <v/>
      </c>
      <c r="AB1529">
        <f>AB1528+IF(X1529="",0,IF(ISNA(MATCH(X1529,X$256:X1528,0)),1,0))</f>
        <v/>
      </c>
      <c r="AC1529">
        <f>IF(AB1529&gt;AB1528,AB1529,"")</f>
        <v/>
      </c>
    </row>
    <row r="1530">
      <c r="W1530" s="7" t="n"/>
      <c r="X1530" s="7" t="n"/>
      <c r="Z1530">
        <f>Z1529+IF(W1530="",0,IF(ISNA(MATCH(W1530,W$256:W1529,0)),1,0))</f>
        <v/>
      </c>
      <c r="AA1530">
        <f>IF(Z1530&gt;Z1529,Z1530,"")</f>
        <v/>
      </c>
      <c r="AB1530">
        <f>AB1529+IF(X1530="",0,IF(ISNA(MATCH(X1530,X$256:X1529,0)),1,0))</f>
        <v/>
      </c>
      <c r="AC1530">
        <f>IF(AB1530&gt;AB1529,AB1530,"")</f>
        <v/>
      </c>
    </row>
    <row r="1531">
      <c r="W1531" s="7" t="n"/>
      <c r="X1531" s="7" t="n"/>
      <c r="Z1531">
        <f>Z1530+IF(W1531="",0,IF(ISNA(MATCH(W1531,W$256:W1530,0)),1,0))</f>
        <v/>
      </c>
      <c r="AA1531">
        <f>IF(Z1531&gt;Z1530,Z1531,"")</f>
        <v/>
      </c>
      <c r="AB1531">
        <f>AB1530+IF(X1531="",0,IF(ISNA(MATCH(X1531,X$256:X1530,0)),1,0))</f>
        <v/>
      </c>
      <c r="AC1531">
        <f>IF(AB1531&gt;AB1530,AB1531,"")</f>
        <v/>
      </c>
    </row>
    <row r="1532">
      <c r="W1532" s="7" t="n"/>
      <c r="X1532" s="7" t="n"/>
      <c r="Z1532">
        <f>Z1531+IF(W1532="",0,IF(ISNA(MATCH(W1532,W$256:W1531,0)),1,0))</f>
        <v/>
      </c>
      <c r="AA1532">
        <f>IF(Z1532&gt;Z1531,Z1532,"")</f>
        <v/>
      </c>
      <c r="AB1532">
        <f>AB1531+IF(X1532="",0,IF(ISNA(MATCH(X1532,X$256:X1531,0)),1,0))</f>
        <v/>
      </c>
      <c r="AC1532">
        <f>IF(AB1532&gt;AB1531,AB1532,"")</f>
        <v/>
      </c>
    </row>
    <row r="1533">
      <c r="W1533" s="7" t="n"/>
      <c r="X1533" s="7" t="n"/>
      <c r="Z1533">
        <f>Z1532+IF(W1533="",0,IF(ISNA(MATCH(W1533,W$256:W1532,0)),1,0))</f>
        <v/>
      </c>
      <c r="AA1533">
        <f>IF(Z1533&gt;Z1532,Z1533,"")</f>
        <v/>
      </c>
      <c r="AB1533">
        <f>AB1532+IF(X1533="",0,IF(ISNA(MATCH(X1533,X$256:X1532,0)),1,0))</f>
        <v/>
      </c>
      <c r="AC1533">
        <f>IF(AB1533&gt;AB1532,AB1533,"")</f>
        <v/>
      </c>
    </row>
    <row r="1534">
      <c r="W1534" s="7" t="n"/>
      <c r="X1534" s="7" t="n"/>
      <c r="Z1534">
        <f>Z1533+IF(W1534="",0,IF(ISNA(MATCH(W1534,W$256:W1533,0)),1,0))</f>
        <v/>
      </c>
      <c r="AA1534">
        <f>IF(Z1534&gt;Z1533,Z1534,"")</f>
        <v/>
      </c>
      <c r="AB1534">
        <f>AB1533+IF(X1534="",0,IF(ISNA(MATCH(X1534,X$256:X1533,0)),1,0))</f>
        <v/>
      </c>
      <c r="AC1534">
        <f>IF(AB1534&gt;AB1533,AB1534,"")</f>
        <v/>
      </c>
    </row>
    <row r="1535">
      <c r="W1535" s="7" t="n"/>
      <c r="X1535" s="7" t="n"/>
      <c r="Z1535">
        <f>Z1534+IF(W1535="",0,IF(ISNA(MATCH(W1535,W$256:W1534,0)),1,0))</f>
        <v/>
      </c>
      <c r="AA1535">
        <f>IF(Z1535&gt;Z1534,Z1535,"")</f>
        <v/>
      </c>
      <c r="AB1535">
        <f>AB1534+IF(X1535="",0,IF(ISNA(MATCH(X1535,X$256:X1534,0)),1,0))</f>
        <v/>
      </c>
      <c r="AC1535">
        <f>IF(AB1535&gt;AB1534,AB1535,"")</f>
        <v/>
      </c>
    </row>
    <row r="1536">
      <c r="W1536" s="7" t="n"/>
      <c r="X1536" s="7" t="n"/>
      <c r="Z1536">
        <f>Z1535+IF(W1536="",0,IF(ISNA(MATCH(W1536,W$256:W1535,0)),1,0))</f>
        <v/>
      </c>
      <c r="AA1536">
        <f>IF(Z1536&gt;Z1535,Z1536,"")</f>
        <v/>
      </c>
      <c r="AB1536">
        <f>AB1535+IF(X1536="",0,IF(ISNA(MATCH(X1536,X$256:X1535,0)),1,0))</f>
        <v/>
      </c>
      <c r="AC1536">
        <f>IF(AB1536&gt;AB1535,AB1536,"")</f>
        <v/>
      </c>
    </row>
    <row r="1537">
      <c r="W1537" s="7" t="n"/>
      <c r="X1537" s="7" t="n"/>
      <c r="Z1537">
        <f>Z1536+IF(W1537="",0,IF(ISNA(MATCH(W1537,W$256:W1536,0)),1,0))</f>
        <v/>
      </c>
      <c r="AA1537">
        <f>IF(Z1537&gt;Z1536,Z1537,"")</f>
        <v/>
      </c>
      <c r="AB1537">
        <f>AB1536+IF(X1537="",0,IF(ISNA(MATCH(X1537,X$256:X1536,0)),1,0))</f>
        <v/>
      </c>
      <c r="AC1537">
        <f>IF(AB1537&gt;AB1536,AB1537,"")</f>
        <v/>
      </c>
    </row>
    <row r="1538">
      <c r="W1538" s="7" t="n"/>
      <c r="X1538" s="7" t="n"/>
      <c r="Z1538">
        <f>Z1537+IF(W1538="",0,IF(ISNA(MATCH(W1538,W$256:W1537,0)),1,0))</f>
        <v/>
      </c>
      <c r="AA1538">
        <f>IF(Z1538&gt;Z1537,Z1538,"")</f>
        <v/>
      </c>
      <c r="AB1538">
        <f>AB1537+IF(X1538="",0,IF(ISNA(MATCH(X1538,X$256:X1537,0)),1,0))</f>
        <v/>
      </c>
      <c r="AC1538">
        <f>IF(AB1538&gt;AB1537,AB1538,"")</f>
        <v/>
      </c>
    </row>
    <row r="1539">
      <c r="W1539" s="7" t="n"/>
      <c r="X1539" s="7" t="n"/>
      <c r="Z1539">
        <f>Z1538+IF(W1539="",0,IF(ISNA(MATCH(W1539,W$256:W1538,0)),1,0))</f>
        <v/>
      </c>
      <c r="AA1539">
        <f>IF(Z1539&gt;Z1538,Z1539,"")</f>
        <v/>
      </c>
      <c r="AB1539">
        <f>AB1538+IF(X1539="",0,IF(ISNA(MATCH(X1539,X$256:X1538,0)),1,0))</f>
        <v/>
      </c>
      <c r="AC1539">
        <f>IF(AB1539&gt;AB1538,AB1539,"")</f>
        <v/>
      </c>
    </row>
    <row r="1540">
      <c r="W1540" s="7" t="n"/>
      <c r="X1540" s="7" t="n"/>
      <c r="Z1540">
        <f>Z1539+IF(W1540="",0,IF(ISNA(MATCH(W1540,W$256:W1539,0)),1,0))</f>
        <v/>
      </c>
      <c r="AA1540">
        <f>IF(Z1540&gt;Z1539,Z1540,"")</f>
        <v/>
      </c>
      <c r="AB1540">
        <f>AB1539+IF(X1540="",0,IF(ISNA(MATCH(X1540,X$256:X1539,0)),1,0))</f>
        <v/>
      </c>
      <c r="AC1540">
        <f>IF(AB1540&gt;AB1539,AB1540,"")</f>
        <v/>
      </c>
    </row>
    <row r="1541">
      <c r="W1541" s="7" t="n"/>
      <c r="X1541" s="7" t="n"/>
      <c r="Z1541">
        <f>Z1540+IF(W1541="",0,IF(ISNA(MATCH(W1541,W$256:W1540,0)),1,0))</f>
        <v/>
      </c>
      <c r="AA1541">
        <f>IF(Z1541&gt;Z1540,Z1541,"")</f>
        <v/>
      </c>
      <c r="AB1541">
        <f>AB1540+IF(X1541="",0,IF(ISNA(MATCH(X1541,X$256:X1540,0)),1,0))</f>
        <v/>
      </c>
      <c r="AC1541">
        <f>IF(AB1541&gt;AB1540,AB1541,"")</f>
        <v/>
      </c>
    </row>
    <row r="1542">
      <c r="W1542" s="7" t="n"/>
      <c r="X1542" s="7" t="n"/>
      <c r="Z1542">
        <f>Z1541+IF(W1542="",0,IF(ISNA(MATCH(W1542,W$256:W1541,0)),1,0))</f>
        <v/>
      </c>
      <c r="AA1542">
        <f>IF(Z1542&gt;Z1541,Z1542,"")</f>
        <v/>
      </c>
      <c r="AB1542">
        <f>AB1541+IF(X1542="",0,IF(ISNA(MATCH(X1542,X$256:X1541,0)),1,0))</f>
        <v/>
      </c>
      <c r="AC1542">
        <f>IF(AB1542&gt;AB1541,AB1542,"")</f>
        <v/>
      </c>
    </row>
    <row r="1543">
      <c r="W1543" s="7" t="n"/>
      <c r="X1543" s="7" t="n"/>
      <c r="Z1543">
        <f>Z1542+IF(W1543="",0,IF(ISNA(MATCH(W1543,W$256:W1542,0)),1,0))</f>
        <v/>
      </c>
      <c r="AA1543">
        <f>IF(Z1543&gt;Z1542,Z1543,"")</f>
        <v/>
      </c>
      <c r="AB1543">
        <f>AB1542+IF(X1543="",0,IF(ISNA(MATCH(X1543,X$256:X1542,0)),1,0))</f>
        <v/>
      </c>
      <c r="AC1543">
        <f>IF(AB1543&gt;AB1542,AB1543,"")</f>
        <v/>
      </c>
    </row>
    <row r="1544">
      <c r="W1544" s="7" t="n"/>
      <c r="X1544" s="7" t="n"/>
      <c r="Z1544">
        <f>Z1543+IF(W1544="",0,IF(ISNA(MATCH(W1544,W$256:W1543,0)),1,0))</f>
        <v/>
      </c>
      <c r="AA1544">
        <f>IF(Z1544&gt;Z1543,Z1544,"")</f>
        <v/>
      </c>
      <c r="AB1544">
        <f>AB1543+IF(X1544="",0,IF(ISNA(MATCH(X1544,X$256:X1543,0)),1,0))</f>
        <v/>
      </c>
      <c r="AC1544">
        <f>IF(AB1544&gt;AB1543,AB1544,"")</f>
        <v/>
      </c>
    </row>
    <row r="1545">
      <c r="W1545" s="7" t="n"/>
      <c r="X1545" s="7" t="n"/>
      <c r="Z1545">
        <f>Z1544+IF(W1545="",0,IF(ISNA(MATCH(W1545,W$256:W1544,0)),1,0))</f>
        <v/>
      </c>
      <c r="AA1545">
        <f>IF(Z1545&gt;Z1544,Z1545,"")</f>
        <v/>
      </c>
      <c r="AB1545">
        <f>AB1544+IF(X1545="",0,IF(ISNA(MATCH(X1545,X$256:X1544,0)),1,0))</f>
        <v/>
      </c>
      <c r="AC1545">
        <f>IF(AB1545&gt;AB1544,AB1545,"")</f>
        <v/>
      </c>
    </row>
    <row r="1546">
      <c r="W1546" s="7" t="n"/>
      <c r="X1546" s="7" t="n"/>
      <c r="Z1546">
        <f>Z1545+IF(W1546="",0,IF(ISNA(MATCH(W1546,W$256:W1545,0)),1,0))</f>
        <v/>
      </c>
      <c r="AA1546">
        <f>IF(Z1546&gt;Z1545,Z1546,"")</f>
        <v/>
      </c>
      <c r="AB1546">
        <f>AB1545+IF(X1546="",0,IF(ISNA(MATCH(X1546,X$256:X1545,0)),1,0))</f>
        <v/>
      </c>
      <c r="AC1546">
        <f>IF(AB1546&gt;AB1545,AB1546,"")</f>
        <v/>
      </c>
    </row>
    <row r="1547">
      <c r="W1547" s="7" t="n"/>
      <c r="X1547" s="7" t="n"/>
      <c r="Z1547">
        <f>Z1546+IF(W1547="",0,IF(ISNA(MATCH(W1547,W$256:W1546,0)),1,0))</f>
        <v/>
      </c>
      <c r="AA1547">
        <f>IF(Z1547&gt;Z1546,Z1547,"")</f>
        <v/>
      </c>
      <c r="AB1547">
        <f>AB1546+IF(X1547="",0,IF(ISNA(MATCH(X1547,X$256:X1546,0)),1,0))</f>
        <v/>
      </c>
      <c r="AC1547">
        <f>IF(AB1547&gt;AB1546,AB1547,"")</f>
        <v/>
      </c>
    </row>
    <row r="1548">
      <c r="W1548" s="7" t="n"/>
      <c r="X1548" s="7" t="n"/>
      <c r="Z1548">
        <f>Z1547+IF(W1548="",0,IF(ISNA(MATCH(W1548,W$256:W1547,0)),1,0))</f>
        <v/>
      </c>
      <c r="AA1548">
        <f>IF(Z1548&gt;Z1547,Z1548,"")</f>
        <v/>
      </c>
      <c r="AB1548">
        <f>AB1547+IF(X1548="",0,IF(ISNA(MATCH(X1548,X$256:X1547,0)),1,0))</f>
        <v/>
      </c>
      <c r="AC1548">
        <f>IF(AB1548&gt;AB1547,AB1548,"")</f>
        <v/>
      </c>
    </row>
    <row r="1549">
      <c r="W1549" s="7" t="n"/>
      <c r="X1549" s="7" t="n"/>
      <c r="Z1549">
        <f>Z1548+IF(W1549="",0,IF(ISNA(MATCH(W1549,W$256:W1548,0)),1,0))</f>
        <v/>
      </c>
      <c r="AA1549">
        <f>IF(Z1549&gt;Z1548,Z1549,"")</f>
        <v/>
      </c>
      <c r="AB1549">
        <f>AB1548+IF(X1549="",0,IF(ISNA(MATCH(X1549,X$256:X1548,0)),1,0))</f>
        <v/>
      </c>
      <c r="AC1549">
        <f>IF(AB1549&gt;AB1548,AB1549,"")</f>
        <v/>
      </c>
    </row>
    <row r="1550">
      <c r="W1550" s="7" t="n"/>
      <c r="X1550" s="7" t="n"/>
      <c r="Z1550">
        <f>Z1549+IF(W1550="",0,IF(ISNA(MATCH(W1550,W$256:W1549,0)),1,0))</f>
        <v/>
      </c>
      <c r="AA1550">
        <f>IF(Z1550&gt;Z1549,Z1550,"")</f>
        <v/>
      </c>
      <c r="AB1550">
        <f>AB1549+IF(X1550="",0,IF(ISNA(MATCH(X1550,X$256:X1549,0)),1,0))</f>
        <v/>
      </c>
      <c r="AC1550">
        <f>IF(AB1550&gt;AB1549,AB1550,"")</f>
        <v/>
      </c>
    </row>
    <row r="1551">
      <c r="W1551" s="7" t="n"/>
      <c r="X1551" s="7" t="n"/>
      <c r="Z1551">
        <f>Z1550+IF(W1551="",0,IF(ISNA(MATCH(W1551,W$256:W1550,0)),1,0))</f>
        <v/>
      </c>
      <c r="AA1551">
        <f>IF(Z1551&gt;Z1550,Z1551,"")</f>
        <v/>
      </c>
      <c r="AB1551">
        <f>AB1550+IF(X1551="",0,IF(ISNA(MATCH(X1551,X$256:X1550,0)),1,0))</f>
        <v/>
      </c>
      <c r="AC1551">
        <f>IF(AB1551&gt;AB1550,AB1551,"")</f>
        <v/>
      </c>
    </row>
    <row r="1552">
      <c r="W1552" s="7" t="n"/>
      <c r="X1552" s="7" t="n"/>
      <c r="Z1552">
        <f>Z1551+IF(W1552="",0,IF(ISNA(MATCH(W1552,W$256:W1551,0)),1,0))</f>
        <v/>
      </c>
      <c r="AA1552">
        <f>IF(Z1552&gt;Z1551,Z1552,"")</f>
        <v/>
      </c>
      <c r="AB1552">
        <f>AB1551+IF(X1552="",0,IF(ISNA(MATCH(X1552,X$256:X1551,0)),1,0))</f>
        <v/>
      </c>
      <c r="AC1552">
        <f>IF(AB1552&gt;AB1551,AB1552,"")</f>
        <v/>
      </c>
    </row>
    <row r="1553">
      <c r="W1553" s="7" t="n"/>
      <c r="X1553" s="7" t="n"/>
      <c r="Z1553">
        <f>Z1552+IF(W1553="",0,IF(ISNA(MATCH(W1553,W$256:W1552,0)),1,0))</f>
        <v/>
      </c>
      <c r="AA1553">
        <f>IF(Z1553&gt;Z1552,Z1553,"")</f>
        <v/>
      </c>
      <c r="AB1553">
        <f>AB1552+IF(X1553="",0,IF(ISNA(MATCH(X1553,X$256:X1552,0)),1,0))</f>
        <v/>
      </c>
      <c r="AC1553">
        <f>IF(AB1553&gt;AB1552,AB1553,"")</f>
        <v/>
      </c>
    </row>
    <row r="1554">
      <c r="W1554" s="7" t="n"/>
      <c r="X1554" s="7" t="n"/>
      <c r="Z1554">
        <f>Z1553+IF(W1554="",0,IF(ISNA(MATCH(W1554,W$256:W1553,0)),1,0))</f>
        <v/>
      </c>
      <c r="AA1554">
        <f>IF(Z1554&gt;Z1553,Z1554,"")</f>
        <v/>
      </c>
      <c r="AB1554">
        <f>AB1553+IF(X1554="",0,IF(ISNA(MATCH(X1554,X$256:X1553,0)),1,0))</f>
        <v/>
      </c>
      <c r="AC1554">
        <f>IF(AB1554&gt;AB1553,AB1554,"")</f>
        <v/>
      </c>
    </row>
    <row r="1555">
      <c r="W1555" s="7" t="n"/>
      <c r="X1555" s="7" t="n"/>
      <c r="Z1555">
        <f>Z1554+IF(W1555="",0,IF(ISNA(MATCH(W1555,W$256:W1554,0)),1,0))</f>
        <v/>
      </c>
      <c r="AA1555">
        <f>IF(Z1555&gt;Z1554,Z1555,"")</f>
        <v/>
      </c>
      <c r="AB1555">
        <f>AB1554+IF(X1555="",0,IF(ISNA(MATCH(X1555,X$256:X1554,0)),1,0))</f>
        <v/>
      </c>
      <c r="AC1555">
        <f>IF(AB1555&gt;AB1554,AB1555,"")</f>
        <v/>
      </c>
    </row>
    <row r="1556">
      <c r="W1556" s="7" t="n"/>
      <c r="X1556" s="7" t="n"/>
      <c r="Z1556">
        <f>Z1555+IF(W1556="",0,IF(ISNA(MATCH(W1556,W$256:W1555,0)),1,0))</f>
        <v/>
      </c>
      <c r="AA1556">
        <f>IF(Z1556&gt;Z1555,Z1556,"")</f>
        <v/>
      </c>
      <c r="AB1556">
        <f>AB1555+IF(X1556="",0,IF(ISNA(MATCH(X1556,X$256:X1555,0)),1,0))</f>
        <v/>
      </c>
      <c r="AC1556">
        <f>IF(AB1556&gt;AB1555,AB1556,"")</f>
        <v/>
      </c>
    </row>
    <row r="1557">
      <c r="W1557" s="7" t="n"/>
      <c r="X1557" s="7" t="n"/>
      <c r="Z1557">
        <f>Z1556+IF(W1557="",0,IF(ISNA(MATCH(W1557,W$256:W1556,0)),1,0))</f>
        <v/>
      </c>
      <c r="AA1557">
        <f>IF(Z1557&gt;Z1556,Z1557,"")</f>
        <v/>
      </c>
      <c r="AB1557">
        <f>AB1556+IF(X1557="",0,IF(ISNA(MATCH(X1557,X$256:X1556,0)),1,0))</f>
        <v/>
      </c>
      <c r="AC1557">
        <f>IF(AB1557&gt;AB1556,AB1557,"")</f>
        <v/>
      </c>
    </row>
    <row r="1558">
      <c r="W1558" s="7" t="n"/>
      <c r="X1558" s="7" t="n"/>
      <c r="Z1558">
        <f>Z1557+IF(W1558="",0,IF(ISNA(MATCH(W1558,W$256:W1557,0)),1,0))</f>
        <v/>
      </c>
      <c r="AA1558">
        <f>IF(Z1558&gt;Z1557,Z1558,"")</f>
        <v/>
      </c>
      <c r="AB1558">
        <f>AB1557+IF(X1558="",0,IF(ISNA(MATCH(X1558,X$256:X1557,0)),1,0))</f>
        <v/>
      </c>
      <c r="AC1558">
        <f>IF(AB1558&gt;AB1557,AB1558,"")</f>
        <v/>
      </c>
    </row>
    <row r="1559">
      <c r="W1559" s="7" t="n"/>
      <c r="X1559" s="7" t="n"/>
      <c r="Z1559">
        <f>Z1558+IF(W1559="",0,IF(ISNA(MATCH(W1559,W$256:W1558,0)),1,0))</f>
        <v/>
      </c>
      <c r="AA1559">
        <f>IF(Z1559&gt;Z1558,Z1559,"")</f>
        <v/>
      </c>
      <c r="AB1559">
        <f>AB1558+IF(X1559="",0,IF(ISNA(MATCH(X1559,X$256:X1558,0)),1,0))</f>
        <v/>
      </c>
      <c r="AC1559">
        <f>IF(AB1559&gt;AB1558,AB1559,"")</f>
        <v/>
      </c>
    </row>
    <row r="1560">
      <c r="W1560" s="7" t="n"/>
      <c r="X1560" s="7" t="n"/>
      <c r="Z1560">
        <f>Z1559+IF(W1560="",0,IF(ISNA(MATCH(W1560,W$256:W1559,0)),1,0))</f>
        <v/>
      </c>
      <c r="AA1560">
        <f>IF(Z1560&gt;Z1559,Z1560,"")</f>
        <v/>
      </c>
      <c r="AB1560">
        <f>AB1559+IF(X1560="",0,IF(ISNA(MATCH(X1560,X$256:X1559,0)),1,0))</f>
        <v/>
      </c>
      <c r="AC1560">
        <f>IF(AB1560&gt;AB1559,AB1560,"")</f>
        <v/>
      </c>
    </row>
    <row r="1561">
      <c r="W1561" s="7" t="n"/>
      <c r="X1561" s="7" t="n"/>
      <c r="Z1561">
        <f>Z1560+IF(W1561="",0,IF(ISNA(MATCH(W1561,W$256:W1560,0)),1,0))</f>
        <v/>
      </c>
      <c r="AA1561">
        <f>IF(Z1561&gt;Z1560,Z1561,"")</f>
        <v/>
      </c>
      <c r="AB1561">
        <f>AB1560+IF(X1561="",0,IF(ISNA(MATCH(X1561,X$256:X1560,0)),1,0))</f>
        <v/>
      </c>
      <c r="AC1561">
        <f>IF(AB1561&gt;AB1560,AB1561,"")</f>
        <v/>
      </c>
    </row>
    <row r="1562">
      <c r="W1562" s="7" t="n"/>
      <c r="X1562" s="7" t="n"/>
      <c r="Z1562">
        <f>Z1561+IF(W1562="",0,IF(ISNA(MATCH(W1562,W$256:W1561,0)),1,0))</f>
        <v/>
      </c>
      <c r="AA1562">
        <f>IF(Z1562&gt;Z1561,Z1562,"")</f>
        <v/>
      </c>
      <c r="AB1562">
        <f>AB1561+IF(X1562="",0,IF(ISNA(MATCH(X1562,X$256:X1561,0)),1,0))</f>
        <v/>
      </c>
      <c r="AC1562">
        <f>IF(AB1562&gt;AB1561,AB1562,"")</f>
        <v/>
      </c>
    </row>
    <row r="1563">
      <c r="W1563" s="7" t="n"/>
      <c r="X1563" s="7" t="n"/>
      <c r="Z1563">
        <f>Z1562+IF(W1563="",0,IF(ISNA(MATCH(W1563,W$256:W1562,0)),1,0))</f>
        <v/>
      </c>
      <c r="AA1563">
        <f>IF(Z1563&gt;Z1562,Z1563,"")</f>
        <v/>
      </c>
      <c r="AB1563">
        <f>AB1562+IF(X1563="",0,IF(ISNA(MATCH(X1563,X$256:X1562,0)),1,0))</f>
        <v/>
      </c>
      <c r="AC1563">
        <f>IF(AB1563&gt;AB1562,AB1563,"")</f>
        <v/>
      </c>
    </row>
    <row r="1564">
      <c r="W1564" s="7" t="n"/>
      <c r="X1564" s="7" t="n"/>
      <c r="Z1564">
        <f>Z1563+IF(W1564="",0,IF(ISNA(MATCH(W1564,W$256:W1563,0)),1,0))</f>
        <v/>
      </c>
      <c r="AA1564">
        <f>IF(Z1564&gt;Z1563,Z1564,"")</f>
        <v/>
      </c>
      <c r="AB1564">
        <f>AB1563+IF(X1564="",0,IF(ISNA(MATCH(X1564,X$256:X1563,0)),1,0))</f>
        <v/>
      </c>
      <c r="AC1564">
        <f>IF(AB1564&gt;AB1563,AB1564,"")</f>
        <v/>
      </c>
    </row>
    <row r="1565">
      <c r="W1565" s="7" t="n"/>
      <c r="X1565" s="7" t="n"/>
      <c r="Z1565">
        <f>Z1564+IF(W1565="",0,IF(ISNA(MATCH(W1565,W$256:W1564,0)),1,0))</f>
        <v/>
      </c>
      <c r="AA1565">
        <f>IF(Z1565&gt;Z1564,Z1565,"")</f>
        <v/>
      </c>
      <c r="AB1565">
        <f>AB1564+IF(X1565="",0,IF(ISNA(MATCH(X1565,X$256:X1564,0)),1,0))</f>
        <v/>
      </c>
      <c r="AC1565">
        <f>IF(AB1565&gt;AB1564,AB1565,"")</f>
        <v/>
      </c>
    </row>
    <row r="1566">
      <c r="W1566" s="7" t="n"/>
      <c r="X1566" s="7" t="n"/>
      <c r="Z1566">
        <f>Z1565+IF(W1566="",0,IF(ISNA(MATCH(W1566,W$256:W1565,0)),1,0))</f>
        <v/>
      </c>
      <c r="AA1566">
        <f>IF(Z1566&gt;Z1565,Z1566,"")</f>
        <v/>
      </c>
      <c r="AB1566">
        <f>AB1565+IF(X1566="",0,IF(ISNA(MATCH(X1566,X$256:X1565,0)),1,0))</f>
        <v/>
      </c>
      <c r="AC1566">
        <f>IF(AB1566&gt;AB1565,AB1566,"")</f>
        <v/>
      </c>
    </row>
    <row r="1567">
      <c r="W1567" s="7" t="n"/>
      <c r="X1567" s="7" t="n"/>
      <c r="Z1567">
        <f>Z1566+IF(W1567="",0,IF(ISNA(MATCH(W1567,W$256:W1566,0)),1,0))</f>
        <v/>
      </c>
      <c r="AA1567">
        <f>IF(Z1567&gt;Z1566,Z1567,"")</f>
        <v/>
      </c>
      <c r="AB1567">
        <f>AB1566+IF(X1567="",0,IF(ISNA(MATCH(X1567,X$256:X1566,0)),1,0))</f>
        <v/>
      </c>
      <c r="AC1567">
        <f>IF(AB1567&gt;AB1566,AB1567,"")</f>
        <v/>
      </c>
    </row>
    <row r="1568">
      <c r="W1568" s="7" t="n"/>
      <c r="X1568" s="7" t="n"/>
      <c r="Z1568">
        <f>Z1567+IF(W1568="",0,IF(ISNA(MATCH(W1568,W$256:W1567,0)),1,0))</f>
        <v/>
      </c>
      <c r="AA1568">
        <f>IF(Z1568&gt;Z1567,Z1568,"")</f>
        <v/>
      </c>
      <c r="AB1568">
        <f>AB1567+IF(X1568="",0,IF(ISNA(MATCH(X1568,X$256:X1567,0)),1,0))</f>
        <v/>
      </c>
      <c r="AC1568">
        <f>IF(AB1568&gt;AB1567,AB1568,"")</f>
        <v/>
      </c>
    </row>
    <row r="1569">
      <c r="W1569" s="7" t="n"/>
      <c r="X1569" s="7" t="n"/>
      <c r="Z1569">
        <f>Z1568+IF(W1569="",0,IF(ISNA(MATCH(W1569,W$256:W1568,0)),1,0))</f>
        <v/>
      </c>
      <c r="AA1569">
        <f>IF(Z1569&gt;Z1568,Z1569,"")</f>
        <v/>
      </c>
      <c r="AB1569">
        <f>AB1568+IF(X1569="",0,IF(ISNA(MATCH(X1569,X$256:X1568,0)),1,0))</f>
        <v/>
      </c>
      <c r="AC1569">
        <f>IF(AB1569&gt;AB1568,AB1569,"")</f>
        <v/>
      </c>
    </row>
    <row r="1570">
      <c r="W1570" s="7" t="n"/>
      <c r="X1570" s="7" t="n"/>
      <c r="Z1570">
        <f>Z1569+IF(W1570="",0,IF(ISNA(MATCH(W1570,W$256:W1569,0)),1,0))</f>
        <v/>
      </c>
      <c r="AA1570">
        <f>IF(Z1570&gt;Z1569,Z1570,"")</f>
        <v/>
      </c>
      <c r="AB1570">
        <f>AB1569+IF(X1570="",0,IF(ISNA(MATCH(X1570,X$256:X1569,0)),1,0))</f>
        <v/>
      </c>
      <c r="AC1570">
        <f>IF(AB1570&gt;AB1569,AB1570,"")</f>
        <v/>
      </c>
    </row>
    <row r="1571">
      <c r="W1571" s="7" t="n"/>
      <c r="X1571" s="7" t="n"/>
      <c r="Z1571">
        <f>Z1570+IF(W1571="",0,IF(ISNA(MATCH(W1571,W$256:W1570,0)),1,0))</f>
        <v/>
      </c>
      <c r="AA1571">
        <f>IF(Z1571&gt;Z1570,Z1571,"")</f>
        <v/>
      </c>
      <c r="AB1571">
        <f>AB1570+IF(X1571="",0,IF(ISNA(MATCH(X1571,X$256:X1570,0)),1,0))</f>
        <v/>
      </c>
      <c r="AC1571">
        <f>IF(AB1571&gt;AB1570,AB1571,"")</f>
        <v/>
      </c>
    </row>
    <row r="1572">
      <c r="W1572" s="7" t="n"/>
      <c r="X1572" s="7" t="n"/>
      <c r="Z1572">
        <f>Z1571+IF(W1572="",0,IF(ISNA(MATCH(W1572,W$256:W1571,0)),1,0))</f>
        <v/>
      </c>
      <c r="AA1572">
        <f>IF(Z1572&gt;Z1571,Z1572,"")</f>
        <v/>
      </c>
      <c r="AB1572">
        <f>AB1571+IF(X1572="",0,IF(ISNA(MATCH(X1572,X$256:X1571,0)),1,0))</f>
        <v/>
      </c>
      <c r="AC1572">
        <f>IF(AB1572&gt;AB1571,AB1572,"")</f>
        <v/>
      </c>
    </row>
    <row r="1573">
      <c r="W1573" s="7" t="n"/>
      <c r="X1573" s="7" t="n"/>
      <c r="Z1573">
        <f>Z1572+IF(W1573="",0,IF(ISNA(MATCH(W1573,W$256:W1572,0)),1,0))</f>
        <v/>
      </c>
      <c r="AA1573">
        <f>IF(Z1573&gt;Z1572,Z1573,"")</f>
        <v/>
      </c>
      <c r="AB1573">
        <f>AB1572+IF(X1573="",0,IF(ISNA(MATCH(X1573,X$256:X1572,0)),1,0))</f>
        <v/>
      </c>
      <c r="AC1573">
        <f>IF(AB1573&gt;AB1572,AB1573,"")</f>
        <v/>
      </c>
    </row>
    <row r="1574">
      <c r="W1574" s="7" t="n"/>
      <c r="X1574" s="7" t="n"/>
      <c r="Z1574">
        <f>Z1573+IF(W1574="",0,IF(ISNA(MATCH(W1574,W$256:W1573,0)),1,0))</f>
        <v/>
      </c>
      <c r="AA1574">
        <f>IF(Z1574&gt;Z1573,Z1574,"")</f>
        <v/>
      </c>
      <c r="AB1574">
        <f>AB1573+IF(X1574="",0,IF(ISNA(MATCH(X1574,X$256:X1573,0)),1,0))</f>
        <v/>
      </c>
      <c r="AC1574">
        <f>IF(AB1574&gt;AB1573,AB1574,"")</f>
        <v/>
      </c>
    </row>
    <row r="1575">
      <c r="W1575" s="7" t="n"/>
      <c r="X1575" s="7" t="n"/>
      <c r="Z1575">
        <f>Z1574+IF(W1575="",0,IF(ISNA(MATCH(W1575,W$256:W1574,0)),1,0))</f>
        <v/>
      </c>
      <c r="AA1575">
        <f>IF(Z1575&gt;Z1574,Z1575,"")</f>
        <v/>
      </c>
      <c r="AB1575">
        <f>AB1574+IF(X1575="",0,IF(ISNA(MATCH(X1575,X$256:X1574,0)),1,0))</f>
        <v/>
      </c>
      <c r="AC1575">
        <f>IF(AB1575&gt;AB1574,AB1575,"")</f>
        <v/>
      </c>
    </row>
    <row r="1576">
      <c r="W1576" s="7" t="n"/>
      <c r="X1576" s="7" t="n"/>
      <c r="Z1576">
        <f>Z1575+IF(W1576="",0,IF(ISNA(MATCH(W1576,W$256:W1575,0)),1,0))</f>
        <v/>
      </c>
      <c r="AA1576">
        <f>IF(Z1576&gt;Z1575,Z1576,"")</f>
        <v/>
      </c>
      <c r="AB1576">
        <f>AB1575+IF(X1576="",0,IF(ISNA(MATCH(X1576,X$256:X1575,0)),1,0))</f>
        <v/>
      </c>
      <c r="AC1576">
        <f>IF(AB1576&gt;AB1575,AB1576,"")</f>
        <v/>
      </c>
    </row>
    <row r="1577">
      <c r="W1577" s="7" t="n"/>
      <c r="X1577" s="7" t="n"/>
      <c r="Z1577">
        <f>Z1576+IF(W1577="",0,IF(ISNA(MATCH(W1577,W$256:W1576,0)),1,0))</f>
        <v/>
      </c>
      <c r="AA1577">
        <f>IF(Z1577&gt;Z1576,Z1577,"")</f>
        <v/>
      </c>
      <c r="AB1577">
        <f>AB1576+IF(X1577="",0,IF(ISNA(MATCH(X1577,X$256:X1576,0)),1,0))</f>
        <v/>
      </c>
      <c r="AC1577">
        <f>IF(AB1577&gt;AB1576,AB1577,"")</f>
        <v/>
      </c>
    </row>
    <row r="1578">
      <c r="W1578" s="7" t="n"/>
      <c r="X1578" s="7" t="n"/>
      <c r="Z1578">
        <f>Z1577+IF(W1578="",0,IF(ISNA(MATCH(W1578,W$256:W1577,0)),1,0))</f>
        <v/>
      </c>
      <c r="AA1578">
        <f>IF(Z1578&gt;Z1577,Z1578,"")</f>
        <v/>
      </c>
      <c r="AB1578">
        <f>AB1577+IF(X1578="",0,IF(ISNA(MATCH(X1578,X$256:X1577,0)),1,0))</f>
        <v/>
      </c>
      <c r="AC1578">
        <f>IF(AB1578&gt;AB1577,AB1578,"")</f>
        <v/>
      </c>
    </row>
    <row r="1579">
      <c r="W1579" s="7" t="n"/>
      <c r="X1579" s="7" t="n"/>
      <c r="Z1579">
        <f>Z1578+IF(W1579="",0,IF(ISNA(MATCH(W1579,W$256:W1578,0)),1,0))</f>
        <v/>
      </c>
      <c r="AA1579">
        <f>IF(Z1579&gt;Z1578,Z1579,"")</f>
        <v/>
      </c>
      <c r="AB1579">
        <f>AB1578+IF(X1579="",0,IF(ISNA(MATCH(X1579,X$256:X1578,0)),1,0))</f>
        <v/>
      </c>
      <c r="AC1579">
        <f>IF(AB1579&gt;AB1578,AB1579,"")</f>
        <v/>
      </c>
    </row>
    <row r="1580">
      <c r="W1580" s="7" t="n"/>
      <c r="X1580" s="7" t="n"/>
      <c r="Z1580">
        <f>Z1579+IF(W1580="",0,IF(ISNA(MATCH(W1580,W$256:W1579,0)),1,0))</f>
        <v/>
      </c>
      <c r="AA1580">
        <f>IF(Z1580&gt;Z1579,Z1580,"")</f>
        <v/>
      </c>
      <c r="AB1580">
        <f>AB1579+IF(X1580="",0,IF(ISNA(MATCH(X1580,X$256:X1579,0)),1,0))</f>
        <v/>
      </c>
      <c r="AC1580">
        <f>IF(AB1580&gt;AB1579,AB1580,"")</f>
        <v/>
      </c>
    </row>
    <row r="1581">
      <c r="W1581" s="7" t="n"/>
      <c r="X1581" s="7" t="n"/>
      <c r="Z1581">
        <f>Z1580+IF(W1581="",0,IF(ISNA(MATCH(W1581,W$256:W1580,0)),1,0))</f>
        <v/>
      </c>
      <c r="AA1581">
        <f>IF(Z1581&gt;Z1580,Z1581,"")</f>
        <v/>
      </c>
      <c r="AB1581">
        <f>AB1580+IF(X1581="",0,IF(ISNA(MATCH(X1581,X$256:X1580,0)),1,0))</f>
        <v/>
      </c>
      <c r="AC1581">
        <f>IF(AB1581&gt;AB1580,AB1581,"")</f>
        <v/>
      </c>
    </row>
    <row r="1582">
      <c r="W1582" s="7" t="n"/>
      <c r="X1582" s="7" t="n"/>
      <c r="Z1582">
        <f>Z1581+IF(W1582="",0,IF(ISNA(MATCH(W1582,W$256:W1581,0)),1,0))</f>
        <v/>
      </c>
      <c r="AA1582">
        <f>IF(Z1582&gt;Z1581,Z1582,"")</f>
        <v/>
      </c>
      <c r="AB1582">
        <f>AB1581+IF(X1582="",0,IF(ISNA(MATCH(X1582,X$256:X1581,0)),1,0))</f>
        <v/>
      </c>
      <c r="AC1582">
        <f>IF(AB1582&gt;AB1581,AB1582,"")</f>
        <v/>
      </c>
    </row>
    <row r="1583">
      <c r="W1583" s="7" t="n"/>
      <c r="X1583" s="7" t="n"/>
      <c r="Z1583">
        <f>Z1582+IF(W1583="",0,IF(ISNA(MATCH(W1583,W$256:W1582,0)),1,0))</f>
        <v/>
      </c>
      <c r="AA1583">
        <f>IF(Z1583&gt;Z1582,Z1583,"")</f>
        <v/>
      </c>
      <c r="AB1583">
        <f>AB1582+IF(X1583="",0,IF(ISNA(MATCH(X1583,X$256:X1582,0)),1,0))</f>
        <v/>
      </c>
      <c r="AC1583">
        <f>IF(AB1583&gt;AB1582,AB1583,"")</f>
        <v/>
      </c>
    </row>
    <row r="1584">
      <c r="W1584" s="7" t="n"/>
      <c r="X1584" s="7" t="n"/>
      <c r="Z1584">
        <f>Z1583+IF(W1584="",0,IF(ISNA(MATCH(W1584,W$256:W1583,0)),1,0))</f>
        <v/>
      </c>
      <c r="AA1584">
        <f>IF(Z1584&gt;Z1583,Z1584,"")</f>
        <v/>
      </c>
      <c r="AB1584">
        <f>AB1583+IF(X1584="",0,IF(ISNA(MATCH(X1584,X$256:X1583,0)),1,0))</f>
        <v/>
      </c>
      <c r="AC1584">
        <f>IF(AB1584&gt;AB1583,AB1584,"")</f>
        <v/>
      </c>
    </row>
    <row r="1585">
      <c r="W1585" s="7" t="n"/>
      <c r="X1585" s="7" t="n"/>
      <c r="Z1585">
        <f>Z1584+IF(W1585="",0,IF(ISNA(MATCH(W1585,W$256:W1584,0)),1,0))</f>
        <v/>
      </c>
      <c r="AA1585">
        <f>IF(Z1585&gt;Z1584,Z1585,"")</f>
        <v/>
      </c>
      <c r="AB1585">
        <f>AB1584+IF(X1585="",0,IF(ISNA(MATCH(X1585,X$256:X1584,0)),1,0))</f>
        <v/>
      </c>
      <c r="AC1585">
        <f>IF(AB1585&gt;AB1584,AB1585,"")</f>
        <v/>
      </c>
    </row>
    <row r="1586">
      <c r="W1586" s="7" t="n"/>
      <c r="X1586" s="7" t="n"/>
      <c r="Z1586">
        <f>Z1585+IF(W1586="",0,IF(ISNA(MATCH(W1586,W$256:W1585,0)),1,0))</f>
        <v/>
      </c>
      <c r="AA1586">
        <f>IF(Z1586&gt;Z1585,Z1586,"")</f>
        <v/>
      </c>
      <c r="AB1586">
        <f>AB1585+IF(X1586="",0,IF(ISNA(MATCH(X1586,X$256:X1585,0)),1,0))</f>
        <v/>
      </c>
      <c r="AC1586">
        <f>IF(AB1586&gt;AB1585,AB1586,"")</f>
        <v/>
      </c>
    </row>
    <row r="1587">
      <c r="W1587" s="7" t="n"/>
      <c r="X1587" s="7" t="n"/>
      <c r="Z1587">
        <f>Z1586+IF(W1587="",0,IF(ISNA(MATCH(W1587,W$256:W1586,0)),1,0))</f>
        <v/>
      </c>
      <c r="AA1587">
        <f>IF(Z1587&gt;Z1586,Z1587,"")</f>
        <v/>
      </c>
      <c r="AB1587">
        <f>AB1586+IF(X1587="",0,IF(ISNA(MATCH(X1587,X$256:X1586,0)),1,0))</f>
        <v/>
      </c>
      <c r="AC1587">
        <f>IF(AB1587&gt;AB1586,AB1587,"")</f>
        <v/>
      </c>
    </row>
    <row r="1588">
      <c r="W1588" s="7" t="n"/>
      <c r="X1588" s="7" t="n"/>
      <c r="Z1588">
        <f>Z1587+IF(W1588="",0,IF(ISNA(MATCH(W1588,W$256:W1587,0)),1,0))</f>
        <v/>
      </c>
      <c r="AA1588">
        <f>IF(Z1588&gt;Z1587,Z1588,"")</f>
        <v/>
      </c>
      <c r="AB1588">
        <f>AB1587+IF(X1588="",0,IF(ISNA(MATCH(X1588,X$256:X1587,0)),1,0))</f>
        <v/>
      </c>
      <c r="AC1588">
        <f>IF(AB1588&gt;AB1587,AB1588,"")</f>
        <v/>
      </c>
    </row>
    <row r="1589">
      <c r="W1589" s="7" t="n"/>
      <c r="X1589" s="7" t="n"/>
      <c r="Z1589">
        <f>Z1588+IF(W1589="",0,IF(ISNA(MATCH(W1589,W$256:W1588,0)),1,0))</f>
        <v/>
      </c>
      <c r="AA1589">
        <f>IF(Z1589&gt;Z1588,Z1589,"")</f>
        <v/>
      </c>
      <c r="AB1589">
        <f>AB1588+IF(X1589="",0,IF(ISNA(MATCH(X1589,X$256:X1588,0)),1,0))</f>
        <v/>
      </c>
      <c r="AC1589">
        <f>IF(AB1589&gt;AB1588,AB1589,"")</f>
        <v/>
      </c>
    </row>
    <row r="1590">
      <c r="W1590" s="7" t="n"/>
      <c r="X1590" s="7" t="n"/>
      <c r="Z1590">
        <f>Z1589+IF(W1590="",0,IF(ISNA(MATCH(W1590,W$256:W1589,0)),1,0))</f>
        <v/>
      </c>
      <c r="AA1590">
        <f>IF(Z1590&gt;Z1589,Z1590,"")</f>
        <v/>
      </c>
      <c r="AB1590">
        <f>AB1589+IF(X1590="",0,IF(ISNA(MATCH(X1590,X$256:X1589,0)),1,0))</f>
        <v/>
      </c>
      <c r="AC1590">
        <f>IF(AB1590&gt;AB1589,AB1590,"")</f>
        <v/>
      </c>
    </row>
    <row r="1591">
      <c r="W1591" s="7" t="n"/>
      <c r="X1591" s="7" t="n"/>
      <c r="Z1591">
        <f>Z1590+IF(W1591="",0,IF(ISNA(MATCH(W1591,W$256:W1590,0)),1,0))</f>
        <v/>
      </c>
      <c r="AA1591">
        <f>IF(Z1591&gt;Z1590,Z1591,"")</f>
        <v/>
      </c>
      <c r="AB1591">
        <f>AB1590+IF(X1591="",0,IF(ISNA(MATCH(X1591,X$256:X1590,0)),1,0))</f>
        <v/>
      </c>
      <c r="AC1591">
        <f>IF(AB1591&gt;AB1590,AB1591,"")</f>
        <v/>
      </c>
    </row>
    <row r="1592">
      <c r="W1592" s="7" t="n"/>
      <c r="X1592" s="7" t="n"/>
      <c r="Z1592">
        <f>Z1591+IF(W1592="",0,IF(ISNA(MATCH(W1592,W$256:W1591,0)),1,0))</f>
        <v/>
      </c>
      <c r="AA1592">
        <f>IF(Z1592&gt;Z1591,Z1592,"")</f>
        <v/>
      </c>
      <c r="AB1592">
        <f>AB1591+IF(X1592="",0,IF(ISNA(MATCH(X1592,X$256:X1591,0)),1,0))</f>
        <v/>
      </c>
      <c r="AC1592">
        <f>IF(AB1592&gt;AB1591,AB1592,"")</f>
        <v/>
      </c>
    </row>
    <row r="1593">
      <c r="W1593" s="7" t="n"/>
      <c r="X1593" s="7" t="n"/>
      <c r="Z1593">
        <f>Z1592+IF(W1593="",0,IF(ISNA(MATCH(W1593,W$256:W1592,0)),1,0))</f>
        <v/>
      </c>
      <c r="AA1593">
        <f>IF(Z1593&gt;Z1592,Z1593,"")</f>
        <v/>
      </c>
      <c r="AB1593">
        <f>AB1592+IF(X1593="",0,IF(ISNA(MATCH(X1593,X$256:X1592,0)),1,0))</f>
        <v/>
      </c>
      <c r="AC1593">
        <f>IF(AB1593&gt;AB1592,AB1593,"")</f>
        <v/>
      </c>
    </row>
    <row r="1594">
      <c r="W1594" s="7" t="n"/>
      <c r="X1594" s="7" t="n"/>
      <c r="Z1594">
        <f>Z1593+IF(W1594="",0,IF(ISNA(MATCH(W1594,W$256:W1593,0)),1,0))</f>
        <v/>
      </c>
      <c r="AA1594">
        <f>IF(Z1594&gt;Z1593,Z1594,"")</f>
        <v/>
      </c>
      <c r="AB1594">
        <f>AB1593+IF(X1594="",0,IF(ISNA(MATCH(X1594,X$256:X1593,0)),1,0))</f>
        <v/>
      </c>
      <c r="AC1594">
        <f>IF(AB1594&gt;AB1593,AB1594,"")</f>
        <v/>
      </c>
    </row>
    <row r="1595">
      <c r="W1595" s="7" t="n"/>
      <c r="X1595" s="7" t="n"/>
      <c r="Z1595">
        <f>Z1594+IF(W1595="",0,IF(ISNA(MATCH(W1595,W$256:W1594,0)),1,0))</f>
        <v/>
      </c>
      <c r="AA1595">
        <f>IF(Z1595&gt;Z1594,Z1595,"")</f>
        <v/>
      </c>
      <c r="AB1595">
        <f>AB1594+IF(X1595="",0,IF(ISNA(MATCH(X1595,X$256:X1594,0)),1,0))</f>
        <v/>
      </c>
      <c r="AC1595">
        <f>IF(AB1595&gt;AB1594,AB1595,"")</f>
        <v/>
      </c>
    </row>
    <row r="1596">
      <c r="W1596" s="7" t="n"/>
      <c r="X1596" s="7" t="n"/>
      <c r="Z1596">
        <f>Z1595+IF(W1596="",0,IF(ISNA(MATCH(W1596,W$256:W1595,0)),1,0))</f>
        <v/>
      </c>
      <c r="AA1596">
        <f>IF(Z1596&gt;Z1595,Z1596,"")</f>
        <v/>
      </c>
      <c r="AB1596">
        <f>AB1595+IF(X1596="",0,IF(ISNA(MATCH(X1596,X$256:X1595,0)),1,0))</f>
        <v/>
      </c>
      <c r="AC1596">
        <f>IF(AB1596&gt;AB1595,AB1596,"")</f>
        <v/>
      </c>
    </row>
    <row r="1597">
      <c r="W1597" s="7" t="n"/>
      <c r="X1597" s="7" t="n"/>
      <c r="Z1597">
        <f>Z1596+IF(W1597="",0,IF(ISNA(MATCH(W1597,W$256:W1596,0)),1,0))</f>
        <v/>
      </c>
      <c r="AA1597">
        <f>IF(Z1597&gt;Z1596,Z1597,"")</f>
        <v/>
      </c>
      <c r="AB1597">
        <f>AB1596+IF(X1597="",0,IF(ISNA(MATCH(X1597,X$256:X1596,0)),1,0))</f>
        <v/>
      </c>
      <c r="AC1597">
        <f>IF(AB1597&gt;AB1596,AB1597,"")</f>
        <v/>
      </c>
    </row>
    <row r="1598">
      <c r="W1598" s="7" t="n"/>
      <c r="X1598" s="7" t="n"/>
      <c r="Z1598">
        <f>Z1597+IF(W1598="",0,IF(ISNA(MATCH(W1598,W$256:W1597,0)),1,0))</f>
        <v/>
      </c>
      <c r="AA1598">
        <f>IF(Z1598&gt;Z1597,Z1598,"")</f>
        <v/>
      </c>
      <c r="AB1598">
        <f>AB1597+IF(X1598="",0,IF(ISNA(MATCH(X1598,X$256:X1597,0)),1,0))</f>
        <v/>
      </c>
      <c r="AC1598">
        <f>IF(AB1598&gt;AB1597,AB1598,"")</f>
        <v/>
      </c>
    </row>
    <row r="1599">
      <c r="W1599" s="7" t="n"/>
      <c r="X1599" s="7" t="n"/>
      <c r="Z1599">
        <f>Z1598+IF(W1599="",0,IF(ISNA(MATCH(W1599,W$256:W1598,0)),1,0))</f>
        <v/>
      </c>
      <c r="AA1599">
        <f>IF(Z1599&gt;Z1598,Z1599,"")</f>
        <v/>
      </c>
      <c r="AB1599">
        <f>AB1598+IF(X1599="",0,IF(ISNA(MATCH(X1599,X$256:X1598,0)),1,0))</f>
        <v/>
      </c>
      <c r="AC1599">
        <f>IF(AB1599&gt;AB1598,AB1599,"")</f>
        <v/>
      </c>
    </row>
    <row r="1600">
      <c r="W1600" s="7" t="n"/>
      <c r="X1600" s="7" t="n"/>
      <c r="Z1600">
        <f>Z1599+IF(W1600="",0,IF(ISNA(MATCH(W1600,W$256:W1599,0)),1,0))</f>
        <v/>
      </c>
      <c r="AA1600">
        <f>IF(Z1600&gt;Z1599,Z1600,"")</f>
        <v/>
      </c>
      <c r="AB1600">
        <f>AB1599+IF(X1600="",0,IF(ISNA(MATCH(X1600,X$256:X1599,0)),1,0))</f>
        <v/>
      </c>
      <c r="AC1600">
        <f>IF(AB1600&gt;AB1599,AB1600,"")</f>
        <v/>
      </c>
    </row>
    <row r="1601">
      <c r="W1601" s="7" t="n"/>
      <c r="X1601" s="7" t="n"/>
      <c r="Z1601">
        <f>Z1600+IF(W1601="",0,IF(ISNA(MATCH(W1601,W$256:W1600,0)),1,0))</f>
        <v/>
      </c>
      <c r="AA1601">
        <f>IF(Z1601&gt;Z1600,Z1601,"")</f>
        <v/>
      </c>
      <c r="AB1601">
        <f>AB1600+IF(X1601="",0,IF(ISNA(MATCH(X1601,X$256:X1600,0)),1,0))</f>
        <v/>
      </c>
      <c r="AC1601">
        <f>IF(AB1601&gt;AB1600,AB1601,"")</f>
        <v/>
      </c>
    </row>
    <row r="1602">
      <c r="W1602" s="7" t="n"/>
      <c r="X1602" s="7" t="n"/>
      <c r="Z1602">
        <f>Z1601+IF(W1602="",0,IF(ISNA(MATCH(W1602,W$256:W1601,0)),1,0))</f>
        <v/>
      </c>
      <c r="AA1602">
        <f>IF(Z1602&gt;Z1601,Z1602,"")</f>
        <v/>
      </c>
      <c r="AB1602">
        <f>AB1601+IF(X1602="",0,IF(ISNA(MATCH(X1602,X$256:X1601,0)),1,0))</f>
        <v/>
      </c>
      <c r="AC1602">
        <f>IF(AB1602&gt;AB1601,AB1602,"")</f>
        <v/>
      </c>
    </row>
    <row r="1603">
      <c r="W1603" s="7" t="n"/>
      <c r="X1603" s="7" t="n"/>
      <c r="Z1603">
        <f>Z1602+IF(W1603="",0,IF(ISNA(MATCH(W1603,W$256:W1602,0)),1,0))</f>
        <v/>
      </c>
      <c r="AA1603">
        <f>IF(Z1603&gt;Z1602,Z1603,"")</f>
        <v/>
      </c>
      <c r="AB1603">
        <f>AB1602+IF(X1603="",0,IF(ISNA(MATCH(X1603,X$256:X1602,0)),1,0))</f>
        <v/>
      </c>
      <c r="AC1603">
        <f>IF(AB1603&gt;AB1602,AB1603,"")</f>
        <v/>
      </c>
    </row>
    <row r="1604">
      <c r="W1604" s="7" t="n"/>
      <c r="X1604" s="7" t="n"/>
      <c r="Z1604">
        <f>Z1603+IF(W1604="",0,IF(ISNA(MATCH(W1604,W$256:W1603,0)),1,0))</f>
        <v/>
      </c>
      <c r="AA1604">
        <f>IF(Z1604&gt;Z1603,Z1604,"")</f>
        <v/>
      </c>
      <c r="AB1604">
        <f>AB1603+IF(X1604="",0,IF(ISNA(MATCH(X1604,X$256:X1603,0)),1,0))</f>
        <v/>
      </c>
      <c r="AC1604">
        <f>IF(AB1604&gt;AB1603,AB1604,"")</f>
        <v/>
      </c>
    </row>
    <row r="1605">
      <c r="W1605" s="7" t="n"/>
      <c r="X1605" s="7" t="n"/>
      <c r="Z1605">
        <f>Z1604+IF(W1605="",0,IF(ISNA(MATCH(W1605,W$256:W1604,0)),1,0))</f>
        <v/>
      </c>
      <c r="AA1605">
        <f>IF(Z1605&gt;Z1604,Z1605,"")</f>
        <v/>
      </c>
      <c r="AB1605">
        <f>AB1604+IF(X1605="",0,IF(ISNA(MATCH(X1605,X$256:X1604,0)),1,0))</f>
        <v/>
      </c>
      <c r="AC1605">
        <f>IF(AB1605&gt;AB1604,AB1605,"")</f>
        <v/>
      </c>
    </row>
    <row r="1606">
      <c r="W1606" s="7" t="n"/>
      <c r="X1606" s="7" t="n"/>
      <c r="Z1606">
        <f>Z1605+IF(W1606="",0,IF(ISNA(MATCH(W1606,W$256:W1605,0)),1,0))</f>
        <v/>
      </c>
      <c r="AA1606">
        <f>IF(Z1606&gt;Z1605,Z1606,"")</f>
        <v/>
      </c>
      <c r="AB1606">
        <f>AB1605+IF(X1606="",0,IF(ISNA(MATCH(X1606,X$256:X1605,0)),1,0))</f>
        <v/>
      </c>
      <c r="AC1606">
        <f>IF(AB1606&gt;AB1605,AB1606,"")</f>
        <v/>
      </c>
    </row>
    <row r="1607">
      <c r="W1607" s="7" t="n"/>
      <c r="X1607" s="7" t="n"/>
      <c r="Z1607">
        <f>Z1606+IF(W1607="",0,IF(ISNA(MATCH(W1607,W$256:W1606,0)),1,0))</f>
        <v/>
      </c>
      <c r="AA1607">
        <f>IF(Z1607&gt;Z1606,Z1607,"")</f>
        <v/>
      </c>
      <c r="AB1607">
        <f>AB1606+IF(X1607="",0,IF(ISNA(MATCH(X1607,X$256:X1606,0)),1,0))</f>
        <v/>
      </c>
      <c r="AC1607">
        <f>IF(AB1607&gt;AB1606,AB1607,"")</f>
        <v/>
      </c>
    </row>
    <row r="1608">
      <c r="W1608" s="7" t="n"/>
      <c r="X1608" s="7" t="n"/>
      <c r="Z1608">
        <f>Z1607+IF(W1608="",0,IF(ISNA(MATCH(W1608,W$256:W1607,0)),1,0))</f>
        <v/>
      </c>
      <c r="AA1608">
        <f>IF(Z1608&gt;Z1607,Z1608,"")</f>
        <v/>
      </c>
      <c r="AB1608">
        <f>AB1607+IF(X1608="",0,IF(ISNA(MATCH(X1608,X$256:X1607,0)),1,0))</f>
        <v/>
      </c>
      <c r="AC1608">
        <f>IF(AB1608&gt;AB1607,AB1608,"")</f>
        <v/>
      </c>
    </row>
    <row r="1609">
      <c r="W1609" s="7" t="n"/>
      <c r="X1609" s="7" t="n"/>
      <c r="Z1609">
        <f>Z1608+IF(W1609="",0,IF(ISNA(MATCH(W1609,W$256:W1608,0)),1,0))</f>
        <v/>
      </c>
      <c r="AA1609">
        <f>IF(Z1609&gt;Z1608,Z1609,"")</f>
        <v/>
      </c>
      <c r="AB1609">
        <f>AB1608+IF(X1609="",0,IF(ISNA(MATCH(X1609,X$256:X1608,0)),1,0))</f>
        <v/>
      </c>
      <c r="AC1609">
        <f>IF(AB1609&gt;AB1608,AB1609,"")</f>
        <v/>
      </c>
    </row>
    <row r="1610">
      <c r="W1610" s="7" t="n"/>
      <c r="X1610" s="7" t="n"/>
      <c r="Z1610">
        <f>Z1609+IF(W1610="",0,IF(ISNA(MATCH(W1610,W$256:W1609,0)),1,0))</f>
        <v/>
      </c>
      <c r="AA1610">
        <f>IF(Z1610&gt;Z1609,Z1610,"")</f>
        <v/>
      </c>
      <c r="AB1610">
        <f>AB1609+IF(X1610="",0,IF(ISNA(MATCH(X1610,X$256:X1609,0)),1,0))</f>
        <v/>
      </c>
      <c r="AC1610">
        <f>IF(AB1610&gt;AB1609,AB1610,"")</f>
        <v/>
      </c>
    </row>
    <row r="1611">
      <c r="W1611" s="7" t="n"/>
      <c r="X1611" s="7" t="n"/>
      <c r="Z1611">
        <f>Z1610+IF(W1611="",0,IF(ISNA(MATCH(W1611,W$256:W1610,0)),1,0))</f>
        <v/>
      </c>
      <c r="AA1611">
        <f>IF(Z1611&gt;Z1610,Z1611,"")</f>
        <v/>
      </c>
      <c r="AB1611">
        <f>AB1610+IF(X1611="",0,IF(ISNA(MATCH(X1611,X$256:X1610,0)),1,0))</f>
        <v/>
      </c>
      <c r="AC1611">
        <f>IF(AB1611&gt;AB1610,AB1611,"")</f>
        <v/>
      </c>
    </row>
    <row r="1612">
      <c r="W1612" s="7" t="n"/>
      <c r="X1612" s="7" t="n"/>
      <c r="Z1612">
        <f>Z1611+IF(W1612="",0,IF(ISNA(MATCH(W1612,W$256:W1611,0)),1,0))</f>
        <v/>
      </c>
      <c r="AA1612">
        <f>IF(Z1612&gt;Z1611,Z1612,"")</f>
        <v/>
      </c>
      <c r="AB1612">
        <f>AB1611+IF(X1612="",0,IF(ISNA(MATCH(X1612,X$256:X1611,0)),1,0))</f>
        <v/>
      </c>
      <c r="AC1612">
        <f>IF(AB1612&gt;AB1611,AB1612,"")</f>
        <v/>
      </c>
    </row>
    <row r="1613">
      <c r="W1613" s="7" t="n"/>
      <c r="X1613" s="7" t="n"/>
      <c r="Z1613">
        <f>Z1612+IF(W1613="",0,IF(ISNA(MATCH(W1613,W$256:W1612,0)),1,0))</f>
        <v/>
      </c>
      <c r="AA1613">
        <f>IF(Z1613&gt;Z1612,Z1613,"")</f>
        <v/>
      </c>
      <c r="AB1613">
        <f>AB1612+IF(X1613="",0,IF(ISNA(MATCH(X1613,X$256:X1612,0)),1,0))</f>
        <v/>
      </c>
      <c r="AC1613">
        <f>IF(AB1613&gt;AB1612,AB1613,"")</f>
        <v/>
      </c>
    </row>
    <row r="1614">
      <c r="W1614" s="7" t="n"/>
      <c r="X1614" s="7" t="n"/>
      <c r="Z1614">
        <f>Z1613+IF(W1614="",0,IF(ISNA(MATCH(W1614,W$256:W1613,0)),1,0))</f>
        <v/>
      </c>
      <c r="AA1614">
        <f>IF(Z1614&gt;Z1613,Z1614,"")</f>
        <v/>
      </c>
      <c r="AB1614">
        <f>AB1613+IF(X1614="",0,IF(ISNA(MATCH(X1614,X$256:X1613,0)),1,0))</f>
        <v/>
      </c>
      <c r="AC1614">
        <f>IF(AB1614&gt;AB1613,AB1614,"")</f>
        <v/>
      </c>
    </row>
    <row r="1615">
      <c r="W1615" s="7" t="n"/>
      <c r="X1615" s="7" t="n"/>
      <c r="Z1615">
        <f>Z1614+IF(W1615="",0,IF(ISNA(MATCH(W1615,W$256:W1614,0)),1,0))</f>
        <v/>
      </c>
      <c r="AA1615">
        <f>IF(Z1615&gt;Z1614,Z1615,"")</f>
        <v/>
      </c>
      <c r="AB1615">
        <f>AB1614+IF(X1615="",0,IF(ISNA(MATCH(X1615,X$256:X1614,0)),1,0))</f>
        <v/>
      </c>
      <c r="AC1615">
        <f>IF(AB1615&gt;AB1614,AB1615,"")</f>
        <v/>
      </c>
    </row>
    <row r="1616">
      <c r="W1616" s="7" t="n"/>
      <c r="X1616" s="7" t="n"/>
      <c r="Z1616">
        <f>Z1615+IF(W1616="",0,IF(ISNA(MATCH(W1616,W$256:W1615,0)),1,0))</f>
        <v/>
      </c>
      <c r="AA1616">
        <f>IF(Z1616&gt;Z1615,Z1616,"")</f>
        <v/>
      </c>
      <c r="AB1616">
        <f>AB1615+IF(X1616="",0,IF(ISNA(MATCH(X1616,X$256:X1615,0)),1,0))</f>
        <v/>
      </c>
      <c r="AC1616">
        <f>IF(AB1616&gt;AB1615,AB1616,"")</f>
        <v/>
      </c>
    </row>
    <row r="1617">
      <c r="W1617" s="7" t="n"/>
      <c r="X1617" s="7" t="n"/>
      <c r="Z1617">
        <f>Z1616+IF(W1617="",0,IF(ISNA(MATCH(W1617,W$256:W1616,0)),1,0))</f>
        <v/>
      </c>
      <c r="AA1617">
        <f>IF(Z1617&gt;Z1616,Z1617,"")</f>
        <v/>
      </c>
      <c r="AB1617">
        <f>AB1616+IF(X1617="",0,IF(ISNA(MATCH(X1617,X$256:X1616,0)),1,0))</f>
        <v/>
      </c>
      <c r="AC1617">
        <f>IF(AB1617&gt;AB1616,AB1617,"")</f>
        <v/>
      </c>
    </row>
    <row r="1618">
      <c r="W1618" s="7" t="n"/>
      <c r="X1618" s="7" t="n"/>
      <c r="Z1618">
        <f>Z1617+IF(W1618="",0,IF(ISNA(MATCH(W1618,W$256:W1617,0)),1,0))</f>
        <v/>
      </c>
      <c r="AA1618">
        <f>IF(Z1618&gt;Z1617,Z1618,"")</f>
        <v/>
      </c>
      <c r="AB1618">
        <f>AB1617+IF(X1618="",0,IF(ISNA(MATCH(X1618,X$256:X1617,0)),1,0))</f>
        <v/>
      </c>
      <c r="AC1618">
        <f>IF(AB1618&gt;AB1617,AB1618,"")</f>
        <v/>
      </c>
    </row>
    <row r="1619">
      <c r="W1619" s="7" t="n"/>
      <c r="X1619" s="7" t="n"/>
      <c r="Z1619">
        <f>Z1618+IF(W1619="",0,IF(ISNA(MATCH(W1619,W$256:W1618,0)),1,0))</f>
        <v/>
      </c>
      <c r="AA1619">
        <f>IF(Z1619&gt;Z1618,Z1619,"")</f>
        <v/>
      </c>
      <c r="AB1619">
        <f>AB1618+IF(X1619="",0,IF(ISNA(MATCH(X1619,X$256:X1618,0)),1,0))</f>
        <v/>
      </c>
      <c r="AC1619">
        <f>IF(AB1619&gt;AB1618,AB1619,"")</f>
        <v/>
      </c>
    </row>
    <row r="1620">
      <c r="W1620" s="7" t="n"/>
      <c r="X1620" s="7" t="n"/>
      <c r="Z1620">
        <f>Z1619+IF(W1620="",0,IF(ISNA(MATCH(W1620,W$256:W1619,0)),1,0))</f>
        <v/>
      </c>
      <c r="AA1620">
        <f>IF(Z1620&gt;Z1619,Z1620,"")</f>
        <v/>
      </c>
      <c r="AB1620">
        <f>AB1619+IF(X1620="",0,IF(ISNA(MATCH(X1620,X$256:X1619,0)),1,0))</f>
        <v/>
      </c>
      <c r="AC1620">
        <f>IF(AB1620&gt;AB1619,AB1620,"")</f>
        <v/>
      </c>
    </row>
    <row r="1621">
      <c r="W1621" s="7" t="n"/>
      <c r="X1621" s="7" t="n"/>
      <c r="Z1621">
        <f>Z1620+IF(W1621="",0,IF(ISNA(MATCH(W1621,W$256:W1620,0)),1,0))</f>
        <v/>
      </c>
      <c r="AA1621">
        <f>IF(Z1621&gt;Z1620,Z1621,"")</f>
        <v/>
      </c>
      <c r="AB1621">
        <f>AB1620+IF(X1621="",0,IF(ISNA(MATCH(X1621,X$256:X1620,0)),1,0))</f>
        <v/>
      </c>
      <c r="AC1621">
        <f>IF(AB1621&gt;AB1620,AB1621,"")</f>
        <v/>
      </c>
    </row>
    <row r="1622">
      <c r="W1622" s="7" t="n"/>
      <c r="X1622" s="7" t="n"/>
      <c r="Z1622">
        <f>Z1621+IF(W1622="",0,IF(ISNA(MATCH(W1622,W$256:W1621,0)),1,0))</f>
        <v/>
      </c>
      <c r="AA1622">
        <f>IF(Z1622&gt;Z1621,Z1622,"")</f>
        <v/>
      </c>
      <c r="AB1622">
        <f>AB1621+IF(X1622="",0,IF(ISNA(MATCH(X1622,X$256:X1621,0)),1,0))</f>
        <v/>
      </c>
      <c r="AC1622">
        <f>IF(AB1622&gt;AB1621,AB1622,"")</f>
        <v/>
      </c>
    </row>
    <row r="1623">
      <c r="W1623" s="7" t="n"/>
      <c r="X1623" s="7" t="n"/>
      <c r="Z1623">
        <f>Z1622+IF(W1623="",0,IF(ISNA(MATCH(W1623,W$256:W1622,0)),1,0))</f>
        <v/>
      </c>
      <c r="AA1623">
        <f>IF(Z1623&gt;Z1622,Z1623,"")</f>
        <v/>
      </c>
      <c r="AB1623">
        <f>AB1622+IF(X1623="",0,IF(ISNA(MATCH(X1623,X$256:X1622,0)),1,0))</f>
        <v/>
      </c>
      <c r="AC1623">
        <f>IF(AB1623&gt;AB1622,AB1623,"")</f>
        <v/>
      </c>
    </row>
    <row r="1624">
      <c r="W1624" s="7" t="n"/>
      <c r="X1624" s="7" t="n"/>
      <c r="Z1624">
        <f>Z1623+IF(W1624="",0,IF(ISNA(MATCH(W1624,W$256:W1623,0)),1,0))</f>
        <v/>
      </c>
      <c r="AA1624">
        <f>IF(Z1624&gt;Z1623,Z1624,"")</f>
        <v/>
      </c>
      <c r="AB1624">
        <f>AB1623+IF(X1624="",0,IF(ISNA(MATCH(X1624,X$256:X1623,0)),1,0))</f>
        <v/>
      </c>
      <c r="AC1624">
        <f>IF(AB1624&gt;AB1623,AB1624,"")</f>
        <v/>
      </c>
    </row>
    <row r="1625">
      <c r="W1625" s="7" t="n"/>
      <c r="X1625" s="7" t="n"/>
      <c r="Z1625">
        <f>Z1624+IF(W1625="",0,IF(ISNA(MATCH(W1625,W$256:W1624,0)),1,0))</f>
        <v/>
      </c>
      <c r="AA1625">
        <f>IF(Z1625&gt;Z1624,Z1625,"")</f>
        <v/>
      </c>
      <c r="AB1625">
        <f>AB1624+IF(X1625="",0,IF(ISNA(MATCH(X1625,X$256:X1624,0)),1,0))</f>
        <v/>
      </c>
      <c r="AC1625">
        <f>IF(AB1625&gt;AB1624,AB1625,"")</f>
        <v/>
      </c>
    </row>
    <row r="1626">
      <c r="W1626" s="7" t="n"/>
      <c r="X1626" s="7" t="n"/>
      <c r="Z1626">
        <f>Z1625+IF(W1626="",0,IF(ISNA(MATCH(W1626,W$256:W1625,0)),1,0))</f>
        <v/>
      </c>
      <c r="AA1626">
        <f>IF(Z1626&gt;Z1625,Z1626,"")</f>
        <v/>
      </c>
      <c r="AB1626">
        <f>AB1625+IF(X1626="",0,IF(ISNA(MATCH(X1626,X$256:X1625,0)),1,0))</f>
        <v/>
      </c>
      <c r="AC1626">
        <f>IF(AB1626&gt;AB1625,AB1626,"")</f>
        <v/>
      </c>
    </row>
    <row r="1627">
      <c r="W1627" s="7" t="n"/>
      <c r="X1627" s="7" t="n"/>
      <c r="Z1627">
        <f>Z1626+IF(W1627="",0,IF(ISNA(MATCH(W1627,W$256:W1626,0)),1,0))</f>
        <v/>
      </c>
      <c r="AA1627">
        <f>IF(Z1627&gt;Z1626,Z1627,"")</f>
        <v/>
      </c>
      <c r="AB1627">
        <f>AB1626+IF(X1627="",0,IF(ISNA(MATCH(X1627,X$256:X1626,0)),1,0))</f>
        <v/>
      </c>
      <c r="AC1627">
        <f>IF(AB1627&gt;AB1626,AB1627,"")</f>
        <v/>
      </c>
    </row>
    <row r="1628">
      <c r="W1628" s="7" t="n"/>
      <c r="X1628" s="7" t="n"/>
      <c r="Z1628">
        <f>Z1627+IF(W1628="",0,IF(ISNA(MATCH(W1628,W$256:W1627,0)),1,0))</f>
        <v/>
      </c>
      <c r="AA1628">
        <f>IF(Z1628&gt;Z1627,Z1628,"")</f>
        <v/>
      </c>
      <c r="AB1628">
        <f>AB1627+IF(X1628="",0,IF(ISNA(MATCH(X1628,X$256:X1627,0)),1,0))</f>
        <v/>
      </c>
      <c r="AC1628">
        <f>IF(AB1628&gt;AB1627,AB1628,"")</f>
        <v/>
      </c>
    </row>
    <row r="1629">
      <c r="W1629" s="7" t="n"/>
      <c r="X1629" s="7" t="n"/>
      <c r="Z1629">
        <f>Z1628+IF(W1629="",0,IF(ISNA(MATCH(W1629,W$256:W1628,0)),1,0))</f>
        <v/>
      </c>
      <c r="AA1629">
        <f>IF(Z1629&gt;Z1628,Z1629,"")</f>
        <v/>
      </c>
      <c r="AB1629">
        <f>AB1628+IF(X1629="",0,IF(ISNA(MATCH(X1629,X$256:X1628,0)),1,0))</f>
        <v/>
      </c>
      <c r="AC1629">
        <f>IF(AB1629&gt;AB1628,AB1629,"")</f>
        <v/>
      </c>
    </row>
    <row r="1630">
      <c r="W1630" s="7" t="n"/>
      <c r="X1630" s="7" t="n"/>
      <c r="Z1630">
        <f>Z1629+IF(W1630="",0,IF(ISNA(MATCH(W1630,W$256:W1629,0)),1,0))</f>
        <v/>
      </c>
      <c r="AA1630">
        <f>IF(Z1630&gt;Z1629,Z1630,"")</f>
        <v/>
      </c>
      <c r="AB1630">
        <f>AB1629+IF(X1630="",0,IF(ISNA(MATCH(X1630,X$256:X1629,0)),1,0))</f>
        <v/>
      </c>
      <c r="AC1630">
        <f>IF(AB1630&gt;AB1629,AB1630,"")</f>
        <v/>
      </c>
    </row>
    <row r="1631">
      <c r="W1631" s="7" t="n"/>
      <c r="X1631" s="7" t="n"/>
      <c r="Z1631">
        <f>Z1630+IF(W1631="",0,IF(ISNA(MATCH(W1631,W$256:W1630,0)),1,0))</f>
        <v/>
      </c>
      <c r="AA1631">
        <f>IF(Z1631&gt;Z1630,Z1631,"")</f>
        <v/>
      </c>
      <c r="AB1631">
        <f>AB1630+IF(X1631="",0,IF(ISNA(MATCH(X1631,X$256:X1630,0)),1,0))</f>
        <v/>
      </c>
      <c r="AC1631">
        <f>IF(AB1631&gt;AB1630,AB1631,"")</f>
        <v/>
      </c>
    </row>
    <row r="1632">
      <c r="W1632" s="7" t="n"/>
      <c r="X1632" s="7" t="n"/>
      <c r="Z1632">
        <f>Z1631+IF(W1632="",0,IF(ISNA(MATCH(W1632,W$256:W1631,0)),1,0))</f>
        <v/>
      </c>
      <c r="AA1632">
        <f>IF(Z1632&gt;Z1631,Z1632,"")</f>
        <v/>
      </c>
      <c r="AB1632">
        <f>AB1631+IF(X1632="",0,IF(ISNA(MATCH(X1632,X$256:X1631,0)),1,0))</f>
        <v/>
      </c>
      <c r="AC1632">
        <f>IF(AB1632&gt;AB1631,AB1632,"")</f>
        <v/>
      </c>
    </row>
    <row r="1633">
      <c r="W1633" s="7" t="n"/>
      <c r="X1633" s="7" t="n"/>
      <c r="Z1633">
        <f>Z1632+IF(W1633="",0,IF(ISNA(MATCH(W1633,W$256:W1632,0)),1,0))</f>
        <v/>
      </c>
      <c r="AA1633">
        <f>IF(Z1633&gt;Z1632,Z1633,"")</f>
        <v/>
      </c>
      <c r="AB1633">
        <f>AB1632+IF(X1633="",0,IF(ISNA(MATCH(X1633,X$256:X1632,0)),1,0))</f>
        <v/>
      </c>
      <c r="AC1633">
        <f>IF(AB1633&gt;AB1632,AB1633,"")</f>
        <v/>
      </c>
    </row>
    <row r="1634">
      <c r="W1634" s="7" t="n"/>
      <c r="X1634" s="7" t="n"/>
      <c r="Z1634">
        <f>Z1633+IF(W1634="",0,IF(ISNA(MATCH(W1634,W$256:W1633,0)),1,0))</f>
        <v/>
      </c>
      <c r="AA1634">
        <f>IF(Z1634&gt;Z1633,Z1634,"")</f>
        <v/>
      </c>
      <c r="AB1634">
        <f>AB1633+IF(X1634="",0,IF(ISNA(MATCH(X1634,X$256:X1633,0)),1,0))</f>
        <v/>
      </c>
      <c r="AC1634">
        <f>IF(AB1634&gt;AB1633,AB1634,"")</f>
        <v/>
      </c>
    </row>
    <row r="1635">
      <c r="W1635" s="7" t="n"/>
      <c r="X1635" s="7" t="n"/>
      <c r="Z1635">
        <f>Z1634+IF(W1635="",0,IF(ISNA(MATCH(W1635,W$256:W1634,0)),1,0))</f>
        <v/>
      </c>
      <c r="AA1635">
        <f>IF(Z1635&gt;Z1634,Z1635,"")</f>
        <v/>
      </c>
      <c r="AB1635">
        <f>AB1634+IF(X1635="",0,IF(ISNA(MATCH(X1635,X$256:X1634,0)),1,0))</f>
        <v/>
      </c>
      <c r="AC1635">
        <f>IF(AB1635&gt;AB1634,AB1635,"")</f>
        <v/>
      </c>
    </row>
    <row r="1636">
      <c r="W1636" s="7" t="n"/>
      <c r="X1636" s="7" t="n"/>
      <c r="Z1636">
        <f>Z1635+IF(W1636="",0,IF(ISNA(MATCH(W1636,W$256:W1635,0)),1,0))</f>
        <v/>
      </c>
      <c r="AA1636">
        <f>IF(Z1636&gt;Z1635,Z1636,"")</f>
        <v/>
      </c>
      <c r="AB1636">
        <f>AB1635+IF(X1636="",0,IF(ISNA(MATCH(X1636,X$256:X1635,0)),1,0))</f>
        <v/>
      </c>
      <c r="AC1636">
        <f>IF(AB1636&gt;AB1635,AB1636,"")</f>
        <v/>
      </c>
    </row>
    <row r="1637">
      <c r="W1637" s="7" t="n"/>
      <c r="X1637" s="7" t="n"/>
      <c r="Z1637">
        <f>Z1636+IF(W1637="",0,IF(ISNA(MATCH(W1637,W$256:W1636,0)),1,0))</f>
        <v/>
      </c>
      <c r="AA1637">
        <f>IF(Z1637&gt;Z1636,Z1637,"")</f>
        <v/>
      </c>
      <c r="AB1637">
        <f>AB1636+IF(X1637="",0,IF(ISNA(MATCH(X1637,X$256:X1636,0)),1,0))</f>
        <v/>
      </c>
      <c r="AC1637">
        <f>IF(AB1637&gt;AB1636,AB1637,"")</f>
        <v/>
      </c>
    </row>
    <row r="1638">
      <c r="W1638" s="7" t="n"/>
      <c r="X1638" s="7" t="n"/>
      <c r="Z1638">
        <f>Z1637+IF(W1638="",0,IF(ISNA(MATCH(W1638,W$256:W1637,0)),1,0))</f>
        <v/>
      </c>
      <c r="AA1638">
        <f>IF(Z1638&gt;Z1637,Z1638,"")</f>
        <v/>
      </c>
      <c r="AB1638">
        <f>AB1637+IF(X1638="",0,IF(ISNA(MATCH(X1638,X$256:X1637,0)),1,0))</f>
        <v/>
      </c>
      <c r="AC1638">
        <f>IF(AB1638&gt;AB1637,AB1638,"")</f>
        <v/>
      </c>
    </row>
    <row r="1639">
      <c r="W1639" s="7" t="n"/>
      <c r="X1639" s="7" t="n"/>
      <c r="Z1639">
        <f>Z1638+IF(W1639="",0,IF(ISNA(MATCH(W1639,W$256:W1638,0)),1,0))</f>
        <v/>
      </c>
      <c r="AA1639">
        <f>IF(Z1639&gt;Z1638,Z1639,"")</f>
        <v/>
      </c>
      <c r="AB1639">
        <f>AB1638+IF(X1639="",0,IF(ISNA(MATCH(X1639,X$256:X1638,0)),1,0))</f>
        <v/>
      </c>
      <c r="AC1639">
        <f>IF(AB1639&gt;AB1638,AB1639,"")</f>
        <v/>
      </c>
    </row>
    <row r="1640">
      <c r="W1640" s="7" t="n"/>
      <c r="X1640" s="7" t="n"/>
      <c r="Z1640">
        <f>Z1639+IF(W1640="",0,IF(ISNA(MATCH(W1640,W$256:W1639,0)),1,0))</f>
        <v/>
      </c>
      <c r="AA1640">
        <f>IF(Z1640&gt;Z1639,Z1640,"")</f>
        <v/>
      </c>
      <c r="AB1640">
        <f>AB1639+IF(X1640="",0,IF(ISNA(MATCH(X1640,X$256:X1639,0)),1,0))</f>
        <v/>
      </c>
      <c r="AC1640">
        <f>IF(AB1640&gt;AB1639,AB1640,"")</f>
        <v/>
      </c>
    </row>
    <row r="1641">
      <c r="W1641" s="7" t="n"/>
      <c r="X1641" s="7" t="n"/>
      <c r="Z1641">
        <f>Z1640+IF(W1641="",0,IF(ISNA(MATCH(W1641,W$256:W1640,0)),1,0))</f>
        <v/>
      </c>
      <c r="AA1641">
        <f>IF(Z1641&gt;Z1640,Z1641,"")</f>
        <v/>
      </c>
      <c r="AB1641">
        <f>AB1640+IF(X1641="",0,IF(ISNA(MATCH(X1641,X$256:X1640,0)),1,0))</f>
        <v/>
      </c>
      <c r="AC1641">
        <f>IF(AB1641&gt;AB1640,AB1641,"")</f>
        <v/>
      </c>
    </row>
    <row r="1642">
      <c r="W1642" s="7" t="n"/>
      <c r="X1642" s="7" t="n"/>
      <c r="Z1642">
        <f>Z1641+IF(W1642="",0,IF(ISNA(MATCH(W1642,W$256:W1641,0)),1,0))</f>
        <v/>
      </c>
      <c r="AA1642">
        <f>IF(Z1642&gt;Z1641,Z1642,"")</f>
        <v/>
      </c>
      <c r="AB1642">
        <f>AB1641+IF(X1642="",0,IF(ISNA(MATCH(X1642,X$256:X1641,0)),1,0))</f>
        <v/>
      </c>
      <c r="AC1642">
        <f>IF(AB1642&gt;AB1641,AB1642,"")</f>
        <v/>
      </c>
    </row>
    <row r="1643">
      <c r="W1643" s="7" t="n"/>
      <c r="X1643" s="7" t="n"/>
      <c r="Z1643">
        <f>Z1642+IF(W1643="",0,IF(ISNA(MATCH(W1643,W$256:W1642,0)),1,0))</f>
        <v/>
      </c>
      <c r="AA1643">
        <f>IF(Z1643&gt;Z1642,Z1643,"")</f>
        <v/>
      </c>
      <c r="AB1643">
        <f>AB1642+IF(X1643="",0,IF(ISNA(MATCH(X1643,X$256:X1642,0)),1,0))</f>
        <v/>
      </c>
      <c r="AC1643">
        <f>IF(AB1643&gt;AB1642,AB1643,"")</f>
        <v/>
      </c>
    </row>
    <row r="1644">
      <c r="W1644" s="7" t="n"/>
      <c r="X1644" s="7" t="n"/>
      <c r="Z1644">
        <f>Z1643+IF(W1644="",0,IF(ISNA(MATCH(W1644,W$256:W1643,0)),1,0))</f>
        <v/>
      </c>
      <c r="AA1644">
        <f>IF(Z1644&gt;Z1643,Z1644,"")</f>
        <v/>
      </c>
      <c r="AB1644">
        <f>AB1643+IF(X1644="",0,IF(ISNA(MATCH(X1644,X$256:X1643,0)),1,0))</f>
        <v/>
      </c>
      <c r="AC1644">
        <f>IF(AB1644&gt;AB1643,AB1644,"")</f>
        <v/>
      </c>
    </row>
    <row r="1645">
      <c r="W1645" s="7" t="n"/>
      <c r="X1645" s="7" t="n"/>
      <c r="Z1645">
        <f>Z1644+IF(W1645="",0,IF(ISNA(MATCH(W1645,W$256:W1644,0)),1,0))</f>
        <v/>
      </c>
      <c r="AA1645">
        <f>IF(Z1645&gt;Z1644,Z1645,"")</f>
        <v/>
      </c>
      <c r="AB1645">
        <f>AB1644+IF(X1645="",0,IF(ISNA(MATCH(X1645,X$256:X1644,0)),1,0))</f>
        <v/>
      </c>
      <c r="AC1645">
        <f>IF(AB1645&gt;AB1644,AB1645,"")</f>
        <v/>
      </c>
    </row>
    <row r="1646">
      <c r="W1646" s="7" t="n"/>
      <c r="X1646" s="7" t="n"/>
      <c r="Z1646">
        <f>Z1645+IF(W1646="",0,IF(ISNA(MATCH(W1646,W$256:W1645,0)),1,0))</f>
        <v/>
      </c>
      <c r="AA1646">
        <f>IF(Z1646&gt;Z1645,Z1646,"")</f>
        <v/>
      </c>
      <c r="AB1646">
        <f>AB1645+IF(X1646="",0,IF(ISNA(MATCH(X1646,X$256:X1645,0)),1,0))</f>
        <v/>
      </c>
      <c r="AC1646">
        <f>IF(AB1646&gt;AB1645,AB1646,"")</f>
        <v/>
      </c>
    </row>
    <row r="1647">
      <c r="W1647" s="7" t="n"/>
      <c r="X1647" s="7" t="n"/>
      <c r="Z1647">
        <f>Z1646+IF(W1647="",0,IF(ISNA(MATCH(W1647,W$256:W1646,0)),1,0))</f>
        <v/>
      </c>
      <c r="AA1647">
        <f>IF(Z1647&gt;Z1646,Z1647,"")</f>
        <v/>
      </c>
      <c r="AB1647">
        <f>AB1646+IF(X1647="",0,IF(ISNA(MATCH(X1647,X$256:X1646,0)),1,0))</f>
        <v/>
      </c>
      <c r="AC1647">
        <f>IF(AB1647&gt;AB1646,AB1647,"")</f>
        <v/>
      </c>
    </row>
    <row r="1648">
      <c r="W1648" s="7" t="n"/>
      <c r="X1648" s="7" t="n"/>
      <c r="Z1648">
        <f>Z1647+IF(W1648="",0,IF(ISNA(MATCH(W1648,W$256:W1647,0)),1,0))</f>
        <v/>
      </c>
      <c r="AA1648">
        <f>IF(Z1648&gt;Z1647,Z1648,"")</f>
        <v/>
      </c>
      <c r="AB1648">
        <f>AB1647+IF(X1648="",0,IF(ISNA(MATCH(X1648,X$256:X1647,0)),1,0))</f>
        <v/>
      </c>
      <c r="AC1648">
        <f>IF(AB1648&gt;AB1647,AB1648,"")</f>
        <v/>
      </c>
    </row>
    <row r="1649">
      <c r="W1649" s="7" t="n"/>
      <c r="X1649" s="7" t="n"/>
      <c r="Z1649">
        <f>Z1648+IF(W1649="",0,IF(ISNA(MATCH(W1649,W$256:W1648,0)),1,0))</f>
        <v/>
      </c>
      <c r="AA1649">
        <f>IF(Z1649&gt;Z1648,Z1649,"")</f>
        <v/>
      </c>
      <c r="AB1649">
        <f>AB1648+IF(X1649="",0,IF(ISNA(MATCH(X1649,X$256:X1648,0)),1,0))</f>
        <v/>
      </c>
      <c r="AC1649">
        <f>IF(AB1649&gt;AB1648,AB1649,"")</f>
        <v/>
      </c>
    </row>
    <row r="1650">
      <c r="W1650" s="7" t="n"/>
      <c r="X1650" s="7" t="n"/>
      <c r="Z1650">
        <f>Z1649+IF(W1650="",0,IF(ISNA(MATCH(W1650,W$256:W1649,0)),1,0))</f>
        <v/>
      </c>
      <c r="AA1650">
        <f>IF(Z1650&gt;Z1649,Z1650,"")</f>
        <v/>
      </c>
      <c r="AB1650">
        <f>AB1649+IF(X1650="",0,IF(ISNA(MATCH(X1650,X$256:X1649,0)),1,0))</f>
        <v/>
      </c>
      <c r="AC1650">
        <f>IF(AB1650&gt;AB1649,AB1650,"")</f>
        <v/>
      </c>
    </row>
    <row r="1651">
      <c r="W1651" s="7" t="n"/>
      <c r="X1651" s="7" t="n"/>
      <c r="Z1651">
        <f>Z1650+IF(W1651="",0,IF(ISNA(MATCH(W1651,W$256:W1650,0)),1,0))</f>
        <v/>
      </c>
      <c r="AA1651">
        <f>IF(Z1651&gt;Z1650,Z1651,"")</f>
        <v/>
      </c>
      <c r="AB1651">
        <f>AB1650+IF(X1651="",0,IF(ISNA(MATCH(X1651,X$256:X1650,0)),1,0))</f>
        <v/>
      </c>
      <c r="AC1651">
        <f>IF(AB1651&gt;AB1650,AB1651,"")</f>
        <v/>
      </c>
    </row>
    <row r="1652">
      <c r="W1652" s="7" t="n"/>
      <c r="X1652" s="7" t="n"/>
      <c r="Z1652">
        <f>Z1651+IF(W1652="",0,IF(ISNA(MATCH(W1652,W$256:W1651,0)),1,0))</f>
        <v/>
      </c>
      <c r="AA1652">
        <f>IF(Z1652&gt;Z1651,Z1652,"")</f>
        <v/>
      </c>
      <c r="AB1652">
        <f>AB1651+IF(X1652="",0,IF(ISNA(MATCH(X1652,X$256:X1651,0)),1,0))</f>
        <v/>
      </c>
      <c r="AC1652">
        <f>IF(AB1652&gt;AB1651,AB1652,"")</f>
        <v/>
      </c>
    </row>
    <row r="1653">
      <c r="W1653" s="7" t="n"/>
      <c r="X1653" s="7" t="n"/>
      <c r="Z1653">
        <f>Z1652+IF(W1653="",0,IF(ISNA(MATCH(W1653,W$256:W1652,0)),1,0))</f>
        <v/>
      </c>
      <c r="AA1653">
        <f>IF(Z1653&gt;Z1652,Z1653,"")</f>
        <v/>
      </c>
      <c r="AB1653">
        <f>AB1652+IF(X1653="",0,IF(ISNA(MATCH(X1653,X$256:X1652,0)),1,0))</f>
        <v/>
      </c>
      <c r="AC1653">
        <f>IF(AB1653&gt;AB1652,AB1653,"")</f>
        <v/>
      </c>
    </row>
    <row r="1654">
      <c r="W1654" s="7" t="n"/>
      <c r="X1654" s="7" t="n"/>
      <c r="Z1654">
        <f>Z1653+IF(W1654="",0,IF(ISNA(MATCH(W1654,W$256:W1653,0)),1,0))</f>
        <v/>
      </c>
      <c r="AA1654">
        <f>IF(Z1654&gt;Z1653,Z1654,"")</f>
        <v/>
      </c>
      <c r="AB1654">
        <f>AB1653+IF(X1654="",0,IF(ISNA(MATCH(X1654,X$256:X1653,0)),1,0))</f>
        <v/>
      </c>
      <c r="AC1654">
        <f>IF(AB1654&gt;AB1653,AB1654,"")</f>
        <v/>
      </c>
    </row>
    <row r="1655">
      <c r="W1655" s="7" t="n"/>
      <c r="X1655" s="7" t="n"/>
      <c r="Z1655">
        <f>Z1654+IF(W1655="",0,IF(ISNA(MATCH(W1655,W$256:W1654,0)),1,0))</f>
        <v/>
      </c>
      <c r="AA1655">
        <f>IF(Z1655&gt;Z1654,Z1655,"")</f>
        <v/>
      </c>
      <c r="AB1655">
        <f>AB1654+IF(X1655="",0,IF(ISNA(MATCH(X1655,X$256:X1654,0)),1,0))</f>
        <v/>
      </c>
      <c r="AC1655">
        <f>IF(AB1655&gt;AB1654,AB1655,"")</f>
        <v/>
      </c>
    </row>
    <row r="1656">
      <c r="W1656" s="7" t="n"/>
      <c r="X1656" s="7" t="n"/>
      <c r="Z1656">
        <f>Z1655+IF(W1656="",0,IF(ISNA(MATCH(W1656,W$256:W1655,0)),1,0))</f>
        <v/>
      </c>
      <c r="AA1656">
        <f>IF(Z1656&gt;Z1655,Z1656,"")</f>
        <v/>
      </c>
      <c r="AB1656">
        <f>AB1655+IF(X1656="",0,IF(ISNA(MATCH(X1656,X$256:X1655,0)),1,0))</f>
        <v/>
      </c>
      <c r="AC1656">
        <f>IF(AB1656&gt;AB1655,AB1656,"")</f>
        <v/>
      </c>
    </row>
    <row r="1657">
      <c r="W1657" s="7" t="n"/>
      <c r="X1657" s="7" t="n"/>
      <c r="Z1657">
        <f>Z1656+IF(W1657="",0,IF(ISNA(MATCH(W1657,W$256:W1656,0)),1,0))</f>
        <v/>
      </c>
      <c r="AA1657">
        <f>IF(Z1657&gt;Z1656,Z1657,"")</f>
        <v/>
      </c>
      <c r="AB1657">
        <f>AB1656+IF(X1657="",0,IF(ISNA(MATCH(X1657,X$256:X1656,0)),1,0))</f>
        <v/>
      </c>
      <c r="AC1657">
        <f>IF(AB1657&gt;AB1656,AB1657,"")</f>
        <v/>
      </c>
    </row>
    <row r="1658">
      <c r="W1658" s="7" t="n"/>
      <c r="X1658" s="7" t="n"/>
      <c r="Z1658">
        <f>Z1657+IF(W1658="",0,IF(ISNA(MATCH(W1658,W$256:W1657,0)),1,0))</f>
        <v/>
      </c>
      <c r="AA1658">
        <f>IF(Z1658&gt;Z1657,Z1658,"")</f>
        <v/>
      </c>
      <c r="AB1658">
        <f>AB1657+IF(X1658="",0,IF(ISNA(MATCH(X1658,X$256:X1657,0)),1,0))</f>
        <v/>
      </c>
      <c r="AC1658">
        <f>IF(AB1658&gt;AB1657,AB1658,"")</f>
        <v/>
      </c>
    </row>
    <row r="1659">
      <c r="W1659" s="7" t="n"/>
      <c r="X1659" s="7" t="n"/>
      <c r="Z1659">
        <f>Z1658+IF(W1659="",0,IF(ISNA(MATCH(W1659,W$256:W1658,0)),1,0))</f>
        <v/>
      </c>
      <c r="AA1659">
        <f>IF(Z1659&gt;Z1658,Z1659,"")</f>
        <v/>
      </c>
      <c r="AB1659">
        <f>AB1658+IF(X1659="",0,IF(ISNA(MATCH(X1659,X$256:X1658,0)),1,0))</f>
        <v/>
      </c>
      <c r="AC1659">
        <f>IF(AB1659&gt;AB1658,AB1659,"")</f>
        <v/>
      </c>
    </row>
    <row r="1660">
      <c r="W1660" s="7" t="n"/>
      <c r="X1660" s="7" t="n"/>
      <c r="Z1660">
        <f>Z1659+IF(W1660="",0,IF(ISNA(MATCH(W1660,W$256:W1659,0)),1,0))</f>
        <v/>
      </c>
      <c r="AA1660">
        <f>IF(Z1660&gt;Z1659,Z1660,"")</f>
        <v/>
      </c>
      <c r="AB1660">
        <f>AB1659+IF(X1660="",0,IF(ISNA(MATCH(X1660,X$256:X1659,0)),1,0))</f>
        <v/>
      </c>
      <c r="AC1660">
        <f>IF(AB1660&gt;AB1659,AB1660,"")</f>
        <v/>
      </c>
    </row>
    <row r="1661">
      <c r="W1661" s="7" t="n"/>
      <c r="X1661" s="7" t="n"/>
      <c r="Z1661">
        <f>Z1660+IF(W1661="",0,IF(ISNA(MATCH(W1661,W$256:W1660,0)),1,0))</f>
        <v/>
      </c>
      <c r="AA1661">
        <f>IF(Z1661&gt;Z1660,Z1661,"")</f>
        <v/>
      </c>
      <c r="AB1661">
        <f>AB1660+IF(X1661="",0,IF(ISNA(MATCH(X1661,X$256:X1660,0)),1,0))</f>
        <v/>
      </c>
      <c r="AC1661">
        <f>IF(AB1661&gt;AB1660,AB1661,"")</f>
        <v/>
      </c>
    </row>
    <row r="1662">
      <c r="W1662" s="7" t="n"/>
      <c r="X1662" s="7" t="n"/>
      <c r="Z1662">
        <f>Z1661+IF(W1662="",0,IF(ISNA(MATCH(W1662,W$256:W1661,0)),1,0))</f>
        <v/>
      </c>
      <c r="AA1662">
        <f>IF(Z1662&gt;Z1661,Z1662,"")</f>
        <v/>
      </c>
      <c r="AB1662">
        <f>AB1661+IF(X1662="",0,IF(ISNA(MATCH(X1662,X$256:X1661,0)),1,0))</f>
        <v/>
      </c>
      <c r="AC1662">
        <f>IF(AB1662&gt;AB1661,AB1662,"")</f>
        <v/>
      </c>
    </row>
    <row r="1663">
      <c r="W1663" s="7" t="n"/>
      <c r="X1663" s="7" t="n"/>
      <c r="Z1663">
        <f>Z1662+IF(W1663="",0,IF(ISNA(MATCH(W1663,W$256:W1662,0)),1,0))</f>
        <v/>
      </c>
      <c r="AA1663">
        <f>IF(Z1663&gt;Z1662,Z1663,"")</f>
        <v/>
      </c>
      <c r="AB1663">
        <f>AB1662+IF(X1663="",0,IF(ISNA(MATCH(X1663,X$256:X1662,0)),1,0))</f>
        <v/>
      </c>
      <c r="AC1663">
        <f>IF(AB1663&gt;AB1662,AB1663,"")</f>
        <v/>
      </c>
    </row>
    <row r="1664">
      <c r="W1664" s="7" t="n"/>
      <c r="X1664" s="7" t="n"/>
      <c r="Z1664">
        <f>Z1663+IF(W1664="",0,IF(ISNA(MATCH(W1664,W$256:W1663,0)),1,0))</f>
        <v/>
      </c>
      <c r="AA1664">
        <f>IF(Z1664&gt;Z1663,Z1664,"")</f>
        <v/>
      </c>
      <c r="AB1664">
        <f>AB1663+IF(X1664="",0,IF(ISNA(MATCH(X1664,X$256:X1663,0)),1,0))</f>
        <v/>
      </c>
      <c r="AC1664">
        <f>IF(AB1664&gt;AB1663,AB1664,"")</f>
        <v/>
      </c>
    </row>
    <row r="1665">
      <c r="W1665" s="7" t="n"/>
      <c r="X1665" s="7" t="n"/>
      <c r="Z1665">
        <f>Z1664+IF(W1665="",0,IF(ISNA(MATCH(W1665,W$256:W1664,0)),1,0))</f>
        <v/>
      </c>
      <c r="AA1665">
        <f>IF(Z1665&gt;Z1664,Z1665,"")</f>
        <v/>
      </c>
      <c r="AB1665">
        <f>AB1664+IF(X1665="",0,IF(ISNA(MATCH(X1665,X$256:X1664,0)),1,0))</f>
        <v/>
      </c>
      <c r="AC1665">
        <f>IF(AB1665&gt;AB1664,AB1665,"")</f>
        <v/>
      </c>
    </row>
    <row r="1666">
      <c r="W1666" s="7" t="n"/>
      <c r="X1666" s="7" t="n"/>
      <c r="Z1666">
        <f>Z1665+IF(W1666="",0,IF(ISNA(MATCH(W1666,W$256:W1665,0)),1,0))</f>
        <v/>
      </c>
      <c r="AA1666">
        <f>IF(Z1666&gt;Z1665,Z1666,"")</f>
        <v/>
      </c>
      <c r="AB1666">
        <f>AB1665+IF(X1666="",0,IF(ISNA(MATCH(X1666,X$256:X1665,0)),1,0))</f>
        <v/>
      </c>
      <c r="AC1666">
        <f>IF(AB1666&gt;AB1665,AB1666,"")</f>
        <v/>
      </c>
    </row>
    <row r="1667">
      <c r="W1667" s="7" t="n"/>
      <c r="X1667" s="7" t="n"/>
      <c r="Z1667">
        <f>Z1666+IF(W1667="",0,IF(ISNA(MATCH(W1667,W$256:W1666,0)),1,0))</f>
        <v/>
      </c>
      <c r="AA1667">
        <f>IF(Z1667&gt;Z1666,Z1667,"")</f>
        <v/>
      </c>
      <c r="AB1667">
        <f>AB1666+IF(X1667="",0,IF(ISNA(MATCH(X1667,X$256:X1666,0)),1,0))</f>
        <v/>
      </c>
      <c r="AC1667">
        <f>IF(AB1667&gt;AB1666,AB1667,"")</f>
        <v/>
      </c>
    </row>
    <row r="1668">
      <c r="W1668" s="7" t="n"/>
      <c r="X1668" s="7" t="n"/>
      <c r="Z1668">
        <f>Z1667+IF(W1668="",0,IF(ISNA(MATCH(W1668,W$256:W1667,0)),1,0))</f>
        <v/>
      </c>
      <c r="AA1668">
        <f>IF(Z1668&gt;Z1667,Z1668,"")</f>
        <v/>
      </c>
      <c r="AB1668">
        <f>AB1667+IF(X1668="",0,IF(ISNA(MATCH(X1668,X$256:X1667,0)),1,0))</f>
        <v/>
      </c>
      <c r="AC1668">
        <f>IF(AB1668&gt;AB1667,AB1668,"")</f>
        <v/>
      </c>
    </row>
    <row r="1669">
      <c r="W1669" s="7" t="n"/>
      <c r="X1669" s="7" t="n"/>
      <c r="Z1669">
        <f>Z1668+IF(W1669="",0,IF(ISNA(MATCH(W1669,W$256:W1668,0)),1,0))</f>
        <v/>
      </c>
      <c r="AA1669">
        <f>IF(Z1669&gt;Z1668,Z1669,"")</f>
        <v/>
      </c>
      <c r="AB1669">
        <f>AB1668+IF(X1669="",0,IF(ISNA(MATCH(X1669,X$256:X1668,0)),1,0))</f>
        <v/>
      </c>
      <c r="AC1669">
        <f>IF(AB1669&gt;AB1668,AB1669,"")</f>
        <v/>
      </c>
    </row>
    <row r="1670">
      <c r="W1670" s="7" t="n"/>
      <c r="X1670" s="7" t="n"/>
      <c r="Z1670">
        <f>Z1669+IF(W1670="",0,IF(ISNA(MATCH(W1670,W$256:W1669,0)),1,0))</f>
        <v/>
      </c>
      <c r="AA1670">
        <f>IF(Z1670&gt;Z1669,Z1670,"")</f>
        <v/>
      </c>
      <c r="AB1670">
        <f>AB1669+IF(X1670="",0,IF(ISNA(MATCH(X1670,X$256:X1669,0)),1,0))</f>
        <v/>
      </c>
      <c r="AC1670">
        <f>IF(AB1670&gt;AB1669,AB1670,"")</f>
        <v/>
      </c>
    </row>
    <row r="1671">
      <c r="W1671" s="7" t="n"/>
      <c r="X1671" s="7" t="n"/>
      <c r="Z1671">
        <f>Z1670+IF(W1671="",0,IF(ISNA(MATCH(W1671,W$256:W1670,0)),1,0))</f>
        <v/>
      </c>
      <c r="AA1671">
        <f>IF(Z1671&gt;Z1670,Z1671,"")</f>
        <v/>
      </c>
      <c r="AB1671">
        <f>AB1670+IF(X1671="",0,IF(ISNA(MATCH(X1671,X$256:X1670,0)),1,0))</f>
        <v/>
      </c>
      <c r="AC1671">
        <f>IF(AB1671&gt;AB1670,AB1671,"")</f>
        <v/>
      </c>
    </row>
    <row r="1672">
      <c r="W1672" s="7" t="n"/>
      <c r="X1672" s="7" t="n"/>
      <c r="Z1672">
        <f>Z1671+IF(W1672="",0,IF(ISNA(MATCH(W1672,W$256:W1671,0)),1,0))</f>
        <v/>
      </c>
      <c r="AA1672">
        <f>IF(Z1672&gt;Z1671,Z1672,"")</f>
        <v/>
      </c>
      <c r="AB1672">
        <f>AB1671+IF(X1672="",0,IF(ISNA(MATCH(X1672,X$256:X1671,0)),1,0))</f>
        <v/>
      </c>
      <c r="AC1672">
        <f>IF(AB1672&gt;AB1671,AB1672,"")</f>
        <v/>
      </c>
    </row>
    <row r="1673">
      <c r="W1673" s="7" t="n"/>
      <c r="X1673" s="7" t="n"/>
      <c r="Z1673">
        <f>Z1672+IF(W1673="",0,IF(ISNA(MATCH(W1673,W$256:W1672,0)),1,0))</f>
        <v/>
      </c>
      <c r="AA1673">
        <f>IF(Z1673&gt;Z1672,Z1673,"")</f>
        <v/>
      </c>
      <c r="AB1673">
        <f>AB1672+IF(X1673="",0,IF(ISNA(MATCH(X1673,X$256:X1672,0)),1,0))</f>
        <v/>
      </c>
      <c r="AC1673">
        <f>IF(AB1673&gt;AB1672,AB1673,"")</f>
        <v/>
      </c>
    </row>
    <row r="1674">
      <c r="W1674" s="7" t="n"/>
      <c r="X1674" s="7" t="n"/>
      <c r="Z1674">
        <f>Z1673+IF(W1674="",0,IF(ISNA(MATCH(W1674,W$256:W1673,0)),1,0))</f>
        <v/>
      </c>
      <c r="AA1674">
        <f>IF(Z1674&gt;Z1673,Z1674,"")</f>
        <v/>
      </c>
      <c r="AB1674">
        <f>AB1673+IF(X1674="",0,IF(ISNA(MATCH(X1674,X$256:X1673,0)),1,0))</f>
        <v/>
      </c>
      <c r="AC1674">
        <f>IF(AB1674&gt;AB1673,AB1674,"")</f>
        <v/>
      </c>
    </row>
    <row r="1675">
      <c r="W1675" s="7" t="n"/>
      <c r="X1675" s="7" t="n"/>
      <c r="Z1675">
        <f>Z1674+IF(W1675="",0,IF(ISNA(MATCH(W1675,W$256:W1674,0)),1,0))</f>
        <v/>
      </c>
      <c r="AA1675">
        <f>IF(Z1675&gt;Z1674,Z1675,"")</f>
        <v/>
      </c>
      <c r="AB1675">
        <f>AB1674+IF(X1675="",0,IF(ISNA(MATCH(X1675,X$256:X1674,0)),1,0))</f>
        <v/>
      </c>
      <c r="AC1675">
        <f>IF(AB1675&gt;AB1674,AB1675,"")</f>
        <v/>
      </c>
    </row>
    <row r="1676">
      <c r="W1676" s="7" t="n"/>
      <c r="X1676" s="7" t="n"/>
      <c r="Z1676">
        <f>Z1675+IF(W1676="",0,IF(ISNA(MATCH(W1676,W$256:W1675,0)),1,0))</f>
        <v/>
      </c>
      <c r="AA1676">
        <f>IF(Z1676&gt;Z1675,Z1676,"")</f>
        <v/>
      </c>
      <c r="AB1676">
        <f>AB1675+IF(X1676="",0,IF(ISNA(MATCH(X1676,X$256:X1675,0)),1,0))</f>
        <v/>
      </c>
      <c r="AC1676">
        <f>IF(AB1676&gt;AB1675,AB1676,"")</f>
        <v/>
      </c>
    </row>
    <row r="1677">
      <c r="W1677" s="7" t="n"/>
      <c r="X1677" s="7" t="n"/>
      <c r="Z1677">
        <f>Z1676+IF(W1677="",0,IF(ISNA(MATCH(W1677,W$256:W1676,0)),1,0))</f>
        <v/>
      </c>
      <c r="AA1677">
        <f>IF(Z1677&gt;Z1676,Z1677,"")</f>
        <v/>
      </c>
      <c r="AB1677">
        <f>AB1676+IF(X1677="",0,IF(ISNA(MATCH(X1677,X$256:X1676,0)),1,0))</f>
        <v/>
      </c>
      <c r="AC1677">
        <f>IF(AB1677&gt;AB1676,AB1677,"")</f>
        <v/>
      </c>
    </row>
    <row r="1678">
      <c r="W1678" s="7" t="n"/>
      <c r="X1678" s="7" t="n"/>
      <c r="Z1678">
        <f>Z1677+IF(W1678="",0,IF(ISNA(MATCH(W1678,W$256:W1677,0)),1,0))</f>
        <v/>
      </c>
      <c r="AA1678">
        <f>IF(Z1678&gt;Z1677,Z1678,"")</f>
        <v/>
      </c>
      <c r="AB1678">
        <f>AB1677+IF(X1678="",0,IF(ISNA(MATCH(X1678,X$256:X1677,0)),1,0))</f>
        <v/>
      </c>
      <c r="AC1678">
        <f>IF(AB1678&gt;AB1677,AB1678,"")</f>
        <v/>
      </c>
    </row>
    <row r="1679">
      <c r="W1679" s="7" t="n"/>
      <c r="X1679" s="7" t="n"/>
      <c r="Z1679">
        <f>Z1678+IF(W1679="",0,IF(ISNA(MATCH(W1679,W$256:W1678,0)),1,0))</f>
        <v/>
      </c>
      <c r="AA1679">
        <f>IF(Z1679&gt;Z1678,Z1679,"")</f>
        <v/>
      </c>
      <c r="AB1679">
        <f>AB1678+IF(X1679="",0,IF(ISNA(MATCH(X1679,X$256:X1678,0)),1,0))</f>
        <v/>
      </c>
      <c r="AC1679">
        <f>IF(AB1679&gt;AB1678,AB1679,"")</f>
        <v/>
      </c>
    </row>
    <row r="1680">
      <c r="W1680" s="7" t="n"/>
      <c r="X1680" s="7" t="n"/>
      <c r="Z1680">
        <f>Z1679+IF(W1680="",0,IF(ISNA(MATCH(W1680,W$256:W1679,0)),1,0))</f>
        <v/>
      </c>
      <c r="AA1680">
        <f>IF(Z1680&gt;Z1679,Z1680,"")</f>
        <v/>
      </c>
      <c r="AB1680">
        <f>AB1679+IF(X1680="",0,IF(ISNA(MATCH(X1680,X$256:X1679,0)),1,0))</f>
        <v/>
      </c>
      <c r="AC1680">
        <f>IF(AB1680&gt;AB1679,AB1680,"")</f>
        <v/>
      </c>
    </row>
    <row r="1681">
      <c r="W1681" s="7" t="n"/>
      <c r="X1681" s="7" t="n"/>
      <c r="Z1681">
        <f>Z1680+IF(W1681="",0,IF(ISNA(MATCH(W1681,W$256:W1680,0)),1,0))</f>
        <v/>
      </c>
      <c r="AA1681">
        <f>IF(Z1681&gt;Z1680,Z1681,"")</f>
        <v/>
      </c>
      <c r="AB1681">
        <f>AB1680+IF(X1681="",0,IF(ISNA(MATCH(X1681,X$256:X1680,0)),1,0))</f>
        <v/>
      </c>
      <c r="AC1681">
        <f>IF(AB1681&gt;AB1680,AB1681,"")</f>
        <v/>
      </c>
    </row>
    <row r="1682">
      <c r="W1682" s="7" t="n"/>
      <c r="X1682" s="7" t="n"/>
      <c r="Z1682">
        <f>Z1681+IF(W1682="",0,IF(ISNA(MATCH(W1682,W$256:W1681,0)),1,0))</f>
        <v/>
      </c>
      <c r="AA1682">
        <f>IF(Z1682&gt;Z1681,Z1682,"")</f>
        <v/>
      </c>
      <c r="AB1682">
        <f>AB1681+IF(X1682="",0,IF(ISNA(MATCH(X1682,X$256:X1681,0)),1,0))</f>
        <v/>
      </c>
      <c r="AC1682">
        <f>IF(AB1682&gt;AB1681,AB1682,"")</f>
        <v/>
      </c>
    </row>
    <row r="1683">
      <c r="W1683" s="7" t="n"/>
      <c r="X1683" s="7" t="n"/>
      <c r="Z1683">
        <f>Z1682+IF(W1683="",0,IF(ISNA(MATCH(W1683,W$256:W1682,0)),1,0))</f>
        <v/>
      </c>
      <c r="AA1683">
        <f>IF(Z1683&gt;Z1682,Z1683,"")</f>
        <v/>
      </c>
      <c r="AB1683">
        <f>AB1682+IF(X1683="",0,IF(ISNA(MATCH(X1683,X$256:X1682,0)),1,0))</f>
        <v/>
      </c>
      <c r="AC1683">
        <f>IF(AB1683&gt;AB1682,AB1683,"")</f>
        <v/>
      </c>
    </row>
    <row r="1684">
      <c r="W1684" s="7" t="n"/>
      <c r="X1684" s="7" t="n"/>
      <c r="Z1684">
        <f>Z1683+IF(W1684="",0,IF(ISNA(MATCH(W1684,W$256:W1683,0)),1,0))</f>
        <v/>
      </c>
      <c r="AA1684">
        <f>IF(Z1684&gt;Z1683,Z1684,"")</f>
        <v/>
      </c>
      <c r="AB1684">
        <f>AB1683+IF(X1684="",0,IF(ISNA(MATCH(X1684,X$256:X1683,0)),1,0))</f>
        <v/>
      </c>
      <c r="AC1684">
        <f>IF(AB1684&gt;AB1683,AB1684,"")</f>
        <v/>
      </c>
    </row>
    <row r="1685">
      <c r="W1685" s="7" t="n"/>
      <c r="X1685" s="7" t="n"/>
      <c r="Z1685">
        <f>Z1684+IF(W1685="",0,IF(ISNA(MATCH(W1685,W$256:W1684,0)),1,0))</f>
        <v/>
      </c>
      <c r="AA1685">
        <f>IF(Z1685&gt;Z1684,Z1685,"")</f>
        <v/>
      </c>
      <c r="AB1685">
        <f>AB1684+IF(X1685="",0,IF(ISNA(MATCH(X1685,X$256:X1684,0)),1,0))</f>
        <v/>
      </c>
      <c r="AC1685">
        <f>IF(AB1685&gt;AB1684,AB1685,"")</f>
        <v/>
      </c>
    </row>
    <row r="1686">
      <c r="W1686" s="7" t="n"/>
      <c r="X1686" s="7" t="n"/>
      <c r="Z1686">
        <f>Z1685+IF(W1686="",0,IF(ISNA(MATCH(W1686,W$256:W1685,0)),1,0))</f>
        <v/>
      </c>
      <c r="AA1686">
        <f>IF(Z1686&gt;Z1685,Z1686,"")</f>
        <v/>
      </c>
      <c r="AB1686">
        <f>AB1685+IF(X1686="",0,IF(ISNA(MATCH(X1686,X$256:X1685,0)),1,0))</f>
        <v/>
      </c>
      <c r="AC1686">
        <f>IF(AB1686&gt;AB1685,AB1686,"")</f>
        <v/>
      </c>
    </row>
    <row r="1687">
      <c r="W1687" s="7" t="n"/>
      <c r="X1687" s="7" t="n"/>
      <c r="Z1687">
        <f>Z1686+IF(W1687="",0,IF(ISNA(MATCH(W1687,W$256:W1686,0)),1,0))</f>
        <v/>
      </c>
      <c r="AA1687">
        <f>IF(Z1687&gt;Z1686,Z1687,"")</f>
        <v/>
      </c>
      <c r="AB1687">
        <f>AB1686+IF(X1687="",0,IF(ISNA(MATCH(X1687,X$256:X1686,0)),1,0))</f>
        <v/>
      </c>
      <c r="AC1687">
        <f>IF(AB1687&gt;AB1686,AB1687,"")</f>
        <v/>
      </c>
    </row>
    <row r="1688">
      <c r="W1688" s="7" t="n"/>
      <c r="X1688" s="7" t="n"/>
      <c r="Z1688">
        <f>Z1687+IF(W1688="",0,IF(ISNA(MATCH(W1688,W$256:W1687,0)),1,0))</f>
        <v/>
      </c>
      <c r="AA1688">
        <f>IF(Z1688&gt;Z1687,Z1688,"")</f>
        <v/>
      </c>
      <c r="AB1688">
        <f>AB1687+IF(X1688="",0,IF(ISNA(MATCH(X1688,X$256:X1687,0)),1,0))</f>
        <v/>
      </c>
      <c r="AC1688">
        <f>IF(AB1688&gt;AB1687,AB1688,"")</f>
        <v/>
      </c>
    </row>
    <row r="1689">
      <c r="W1689" s="7" t="n"/>
      <c r="X1689" s="7" t="n"/>
      <c r="Z1689">
        <f>Z1688+IF(W1689="",0,IF(ISNA(MATCH(W1689,W$256:W1688,0)),1,0))</f>
        <v/>
      </c>
      <c r="AA1689">
        <f>IF(Z1689&gt;Z1688,Z1689,"")</f>
        <v/>
      </c>
      <c r="AB1689">
        <f>AB1688+IF(X1689="",0,IF(ISNA(MATCH(X1689,X$256:X1688,0)),1,0))</f>
        <v/>
      </c>
      <c r="AC1689">
        <f>IF(AB1689&gt;AB1688,AB1689,"")</f>
        <v/>
      </c>
    </row>
    <row r="1690">
      <c r="W1690" s="7" t="n"/>
      <c r="X1690" s="7" t="n"/>
      <c r="Z1690">
        <f>Z1689+IF(W1690="",0,IF(ISNA(MATCH(W1690,W$256:W1689,0)),1,0))</f>
        <v/>
      </c>
      <c r="AA1690">
        <f>IF(Z1690&gt;Z1689,Z1690,"")</f>
        <v/>
      </c>
      <c r="AB1690">
        <f>AB1689+IF(X1690="",0,IF(ISNA(MATCH(X1690,X$256:X1689,0)),1,0))</f>
        <v/>
      </c>
      <c r="AC1690">
        <f>IF(AB1690&gt;AB1689,AB1690,"")</f>
        <v/>
      </c>
    </row>
    <row r="1691">
      <c r="W1691" s="7" t="n"/>
      <c r="X1691" s="7" t="n"/>
      <c r="Z1691">
        <f>Z1690+IF(W1691="",0,IF(ISNA(MATCH(W1691,W$256:W1690,0)),1,0))</f>
        <v/>
      </c>
      <c r="AA1691">
        <f>IF(Z1691&gt;Z1690,Z1691,"")</f>
        <v/>
      </c>
      <c r="AB1691">
        <f>AB1690+IF(X1691="",0,IF(ISNA(MATCH(X1691,X$256:X1690,0)),1,0))</f>
        <v/>
      </c>
      <c r="AC1691">
        <f>IF(AB1691&gt;AB1690,AB1691,"")</f>
        <v/>
      </c>
    </row>
    <row r="1692">
      <c r="W1692" s="7" t="n"/>
      <c r="X1692" s="7" t="n"/>
      <c r="Z1692">
        <f>Z1691+IF(W1692="",0,IF(ISNA(MATCH(W1692,W$256:W1691,0)),1,0))</f>
        <v/>
      </c>
      <c r="AA1692">
        <f>IF(Z1692&gt;Z1691,Z1692,"")</f>
        <v/>
      </c>
      <c r="AB1692">
        <f>AB1691+IF(X1692="",0,IF(ISNA(MATCH(X1692,X$256:X1691,0)),1,0))</f>
        <v/>
      </c>
      <c r="AC1692">
        <f>IF(AB1692&gt;AB1691,AB1692,"")</f>
        <v/>
      </c>
    </row>
    <row r="1693">
      <c r="W1693" s="7" t="n"/>
      <c r="X1693" s="7" t="n"/>
      <c r="Z1693">
        <f>Z1692+IF(W1693="",0,IF(ISNA(MATCH(W1693,W$256:W1692,0)),1,0))</f>
        <v/>
      </c>
      <c r="AA1693">
        <f>IF(Z1693&gt;Z1692,Z1693,"")</f>
        <v/>
      </c>
      <c r="AB1693">
        <f>AB1692+IF(X1693="",0,IF(ISNA(MATCH(X1693,X$256:X1692,0)),1,0))</f>
        <v/>
      </c>
      <c r="AC1693">
        <f>IF(AB1693&gt;AB1692,AB1693,"")</f>
        <v/>
      </c>
    </row>
    <row r="1694">
      <c r="W1694" s="7" t="n"/>
      <c r="X1694" s="7" t="n"/>
      <c r="Z1694">
        <f>Z1693+IF(W1694="",0,IF(ISNA(MATCH(W1694,W$256:W1693,0)),1,0))</f>
        <v/>
      </c>
      <c r="AA1694">
        <f>IF(Z1694&gt;Z1693,Z1694,"")</f>
        <v/>
      </c>
      <c r="AB1694">
        <f>AB1693+IF(X1694="",0,IF(ISNA(MATCH(X1694,X$256:X1693,0)),1,0))</f>
        <v/>
      </c>
      <c r="AC1694">
        <f>IF(AB1694&gt;AB1693,AB1694,"")</f>
        <v/>
      </c>
    </row>
    <row r="1695">
      <c r="W1695" s="7" t="n"/>
      <c r="X1695" s="7" t="n"/>
      <c r="Z1695">
        <f>Z1694+IF(W1695="",0,IF(ISNA(MATCH(W1695,W$256:W1694,0)),1,0))</f>
        <v/>
      </c>
      <c r="AA1695">
        <f>IF(Z1695&gt;Z1694,Z1695,"")</f>
        <v/>
      </c>
      <c r="AB1695">
        <f>AB1694+IF(X1695="",0,IF(ISNA(MATCH(X1695,X$256:X1694,0)),1,0))</f>
        <v/>
      </c>
      <c r="AC1695">
        <f>IF(AB1695&gt;AB1694,AB1695,"")</f>
        <v/>
      </c>
    </row>
    <row r="1696">
      <c r="W1696" s="7" t="n"/>
      <c r="X1696" s="7" t="n"/>
      <c r="Z1696">
        <f>Z1695+IF(W1696="",0,IF(ISNA(MATCH(W1696,W$256:W1695,0)),1,0))</f>
        <v/>
      </c>
      <c r="AA1696">
        <f>IF(Z1696&gt;Z1695,Z1696,"")</f>
        <v/>
      </c>
      <c r="AB1696">
        <f>AB1695+IF(X1696="",0,IF(ISNA(MATCH(X1696,X$256:X1695,0)),1,0))</f>
        <v/>
      </c>
      <c r="AC1696">
        <f>IF(AB1696&gt;AB1695,AB1696,"")</f>
        <v/>
      </c>
    </row>
    <row r="1697">
      <c r="W1697" s="7" t="n"/>
      <c r="X1697" s="7" t="n"/>
      <c r="Z1697">
        <f>Z1696+IF(W1697="",0,IF(ISNA(MATCH(W1697,W$256:W1696,0)),1,0))</f>
        <v/>
      </c>
      <c r="AA1697">
        <f>IF(Z1697&gt;Z1696,Z1697,"")</f>
        <v/>
      </c>
      <c r="AB1697">
        <f>AB1696+IF(X1697="",0,IF(ISNA(MATCH(X1697,X$256:X1696,0)),1,0))</f>
        <v/>
      </c>
      <c r="AC1697">
        <f>IF(AB1697&gt;AB1696,AB1697,"")</f>
        <v/>
      </c>
    </row>
    <row r="1698">
      <c r="W1698" s="7" t="n"/>
      <c r="X1698" s="7" t="n"/>
      <c r="Z1698">
        <f>Z1697+IF(W1698="",0,IF(ISNA(MATCH(W1698,W$256:W1697,0)),1,0))</f>
        <v/>
      </c>
      <c r="AA1698">
        <f>IF(Z1698&gt;Z1697,Z1698,"")</f>
        <v/>
      </c>
      <c r="AB1698">
        <f>AB1697+IF(X1698="",0,IF(ISNA(MATCH(X1698,X$256:X1697,0)),1,0))</f>
        <v/>
      </c>
      <c r="AC1698">
        <f>IF(AB1698&gt;AB1697,AB1698,"")</f>
        <v/>
      </c>
    </row>
    <row r="1699">
      <c r="W1699" s="7" t="n"/>
      <c r="X1699" s="7" t="n"/>
      <c r="Z1699">
        <f>Z1698+IF(W1699="",0,IF(ISNA(MATCH(W1699,W$256:W1698,0)),1,0))</f>
        <v/>
      </c>
      <c r="AA1699">
        <f>IF(Z1699&gt;Z1698,Z1699,"")</f>
        <v/>
      </c>
      <c r="AB1699">
        <f>AB1698+IF(X1699="",0,IF(ISNA(MATCH(X1699,X$256:X1698,0)),1,0))</f>
        <v/>
      </c>
      <c r="AC1699">
        <f>IF(AB1699&gt;AB1698,AB1699,"")</f>
        <v/>
      </c>
    </row>
    <row r="1700">
      <c r="W1700" s="7" t="n"/>
      <c r="X1700" s="7" t="n"/>
      <c r="Z1700">
        <f>Z1699+IF(W1700="",0,IF(ISNA(MATCH(W1700,W$256:W1699,0)),1,0))</f>
        <v/>
      </c>
      <c r="AA1700">
        <f>IF(Z1700&gt;Z1699,Z1700,"")</f>
        <v/>
      </c>
      <c r="AB1700">
        <f>AB1699+IF(X1700="",0,IF(ISNA(MATCH(X1700,X$256:X1699,0)),1,0))</f>
        <v/>
      </c>
      <c r="AC1700">
        <f>IF(AB1700&gt;AB1699,AB1700,"")</f>
        <v/>
      </c>
    </row>
    <row r="1701">
      <c r="W1701" s="7" t="n"/>
      <c r="X1701" s="7" t="n"/>
      <c r="Z1701">
        <f>Z1700+IF(W1701="",0,IF(ISNA(MATCH(W1701,W$256:W1700,0)),1,0))</f>
        <v/>
      </c>
      <c r="AA1701">
        <f>IF(Z1701&gt;Z1700,Z1701,"")</f>
        <v/>
      </c>
      <c r="AB1701">
        <f>AB1700+IF(X1701="",0,IF(ISNA(MATCH(X1701,X$256:X1700,0)),1,0))</f>
        <v/>
      </c>
      <c r="AC1701">
        <f>IF(AB1701&gt;AB1700,AB1701,"")</f>
        <v/>
      </c>
    </row>
    <row r="1702">
      <c r="W1702" s="7" t="n"/>
      <c r="X1702" s="7" t="n"/>
      <c r="Z1702">
        <f>Z1701+IF(W1702="",0,IF(ISNA(MATCH(W1702,W$256:W1701,0)),1,0))</f>
        <v/>
      </c>
      <c r="AA1702">
        <f>IF(Z1702&gt;Z1701,Z1702,"")</f>
        <v/>
      </c>
      <c r="AB1702">
        <f>AB1701+IF(X1702="",0,IF(ISNA(MATCH(X1702,X$256:X1701,0)),1,0))</f>
        <v/>
      </c>
      <c r="AC1702">
        <f>IF(AB1702&gt;AB1701,AB1702,"")</f>
        <v/>
      </c>
    </row>
    <row r="1703">
      <c r="W1703" s="7" t="n"/>
      <c r="X1703" s="7" t="n"/>
      <c r="Z1703">
        <f>Z1702+IF(W1703="",0,IF(ISNA(MATCH(W1703,W$256:W1702,0)),1,0))</f>
        <v/>
      </c>
      <c r="AA1703">
        <f>IF(Z1703&gt;Z1702,Z1703,"")</f>
        <v/>
      </c>
      <c r="AB1703">
        <f>AB1702+IF(X1703="",0,IF(ISNA(MATCH(X1703,X$256:X1702,0)),1,0))</f>
        <v/>
      </c>
      <c r="AC1703">
        <f>IF(AB1703&gt;AB1702,AB1703,"")</f>
        <v/>
      </c>
    </row>
    <row r="1704">
      <c r="W1704" s="7" t="n"/>
      <c r="X1704" s="7" t="n"/>
      <c r="Z1704">
        <f>Z1703+IF(W1704="",0,IF(ISNA(MATCH(W1704,W$256:W1703,0)),1,0))</f>
        <v/>
      </c>
      <c r="AA1704">
        <f>IF(Z1704&gt;Z1703,Z1704,"")</f>
        <v/>
      </c>
      <c r="AB1704">
        <f>AB1703+IF(X1704="",0,IF(ISNA(MATCH(X1704,X$256:X1703,0)),1,0))</f>
        <v/>
      </c>
      <c r="AC1704">
        <f>IF(AB1704&gt;AB1703,AB1704,"")</f>
        <v/>
      </c>
    </row>
    <row r="1705">
      <c r="W1705" s="7" t="n"/>
      <c r="X1705" s="7" t="n"/>
      <c r="Z1705">
        <f>Z1704+IF(W1705="",0,IF(ISNA(MATCH(W1705,W$256:W1704,0)),1,0))</f>
        <v/>
      </c>
      <c r="AA1705">
        <f>IF(Z1705&gt;Z1704,Z1705,"")</f>
        <v/>
      </c>
      <c r="AB1705">
        <f>AB1704+IF(X1705="",0,IF(ISNA(MATCH(X1705,X$256:X1704,0)),1,0))</f>
        <v/>
      </c>
      <c r="AC1705">
        <f>IF(AB1705&gt;AB1704,AB1705,"")</f>
        <v/>
      </c>
    </row>
    <row r="1706">
      <c r="W1706" s="7" t="n"/>
      <c r="X1706" s="7" t="n"/>
      <c r="Z1706">
        <f>Z1705+IF(W1706="",0,IF(ISNA(MATCH(W1706,W$256:W1705,0)),1,0))</f>
        <v/>
      </c>
      <c r="AA1706">
        <f>IF(Z1706&gt;Z1705,Z1706,"")</f>
        <v/>
      </c>
      <c r="AB1706">
        <f>AB1705+IF(X1706="",0,IF(ISNA(MATCH(X1706,X$256:X1705,0)),1,0))</f>
        <v/>
      </c>
      <c r="AC1706">
        <f>IF(AB1706&gt;AB1705,AB1706,"")</f>
        <v/>
      </c>
    </row>
    <row r="1707">
      <c r="W1707" s="7" t="n"/>
      <c r="X1707" s="7" t="n"/>
      <c r="Z1707">
        <f>Z1706+IF(W1707="",0,IF(ISNA(MATCH(W1707,W$256:W1706,0)),1,0))</f>
        <v/>
      </c>
      <c r="AA1707">
        <f>IF(Z1707&gt;Z1706,Z1707,"")</f>
        <v/>
      </c>
      <c r="AB1707">
        <f>AB1706+IF(X1707="",0,IF(ISNA(MATCH(X1707,X$256:X1706,0)),1,0))</f>
        <v/>
      </c>
      <c r="AC1707">
        <f>IF(AB1707&gt;AB1706,AB1707,"")</f>
        <v/>
      </c>
    </row>
    <row r="1708">
      <c r="W1708" s="7" t="n"/>
      <c r="X1708" s="7" t="n"/>
      <c r="Z1708">
        <f>Z1707+IF(W1708="",0,IF(ISNA(MATCH(W1708,W$256:W1707,0)),1,0))</f>
        <v/>
      </c>
      <c r="AA1708">
        <f>IF(Z1708&gt;Z1707,Z1708,"")</f>
        <v/>
      </c>
      <c r="AB1708">
        <f>AB1707+IF(X1708="",0,IF(ISNA(MATCH(X1708,X$256:X1707,0)),1,0))</f>
        <v/>
      </c>
      <c r="AC1708">
        <f>IF(AB1708&gt;AB1707,AB1708,"")</f>
        <v/>
      </c>
    </row>
    <row r="1709">
      <c r="W1709" s="7" t="n"/>
      <c r="X1709" s="7" t="n"/>
      <c r="Z1709">
        <f>Z1708+IF(W1709="",0,IF(ISNA(MATCH(W1709,W$256:W1708,0)),1,0))</f>
        <v/>
      </c>
      <c r="AA1709">
        <f>IF(Z1709&gt;Z1708,Z1709,"")</f>
        <v/>
      </c>
      <c r="AB1709">
        <f>AB1708+IF(X1709="",0,IF(ISNA(MATCH(X1709,X$256:X1708,0)),1,0))</f>
        <v/>
      </c>
      <c r="AC1709">
        <f>IF(AB1709&gt;AB1708,AB1709,"")</f>
        <v/>
      </c>
    </row>
    <row r="1710">
      <c r="W1710" s="7" t="n"/>
      <c r="X1710" s="7" t="n"/>
      <c r="Z1710">
        <f>Z1709+IF(W1710="",0,IF(ISNA(MATCH(W1710,W$256:W1709,0)),1,0))</f>
        <v/>
      </c>
      <c r="AA1710">
        <f>IF(Z1710&gt;Z1709,Z1710,"")</f>
        <v/>
      </c>
      <c r="AB1710">
        <f>AB1709+IF(X1710="",0,IF(ISNA(MATCH(X1710,X$256:X1709,0)),1,0))</f>
        <v/>
      </c>
      <c r="AC1710">
        <f>IF(AB1710&gt;AB1709,AB1710,"")</f>
        <v/>
      </c>
    </row>
    <row r="1711">
      <c r="W1711" s="7" t="n"/>
      <c r="X1711" s="7" t="n"/>
      <c r="Z1711">
        <f>Z1710+IF(W1711="",0,IF(ISNA(MATCH(W1711,W$256:W1710,0)),1,0))</f>
        <v/>
      </c>
      <c r="AA1711">
        <f>IF(Z1711&gt;Z1710,Z1711,"")</f>
        <v/>
      </c>
      <c r="AB1711">
        <f>AB1710+IF(X1711="",0,IF(ISNA(MATCH(X1711,X$256:X1710,0)),1,0))</f>
        <v/>
      </c>
      <c r="AC1711">
        <f>IF(AB1711&gt;AB1710,AB1711,"")</f>
        <v/>
      </c>
    </row>
    <row r="1712">
      <c r="W1712" s="7" t="n"/>
      <c r="X1712" s="7" t="n"/>
      <c r="Z1712">
        <f>Z1711+IF(W1712="",0,IF(ISNA(MATCH(W1712,W$256:W1711,0)),1,0))</f>
        <v/>
      </c>
      <c r="AA1712">
        <f>IF(Z1712&gt;Z1711,Z1712,"")</f>
        <v/>
      </c>
      <c r="AB1712">
        <f>AB1711+IF(X1712="",0,IF(ISNA(MATCH(X1712,X$256:X1711,0)),1,0))</f>
        <v/>
      </c>
      <c r="AC1712">
        <f>IF(AB1712&gt;AB1711,AB1712,"")</f>
        <v/>
      </c>
    </row>
    <row r="1713">
      <c r="W1713" s="7" t="n"/>
      <c r="X1713" s="7" t="n"/>
      <c r="Z1713">
        <f>Z1712+IF(W1713="",0,IF(ISNA(MATCH(W1713,W$256:W1712,0)),1,0))</f>
        <v/>
      </c>
      <c r="AA1713">
        <f>IF(Z1713&gt;Z1712,Z1713,"")</f>
        <v/>
      </c>
      <c r="AB1713">
        <f>AB1712+IF(X1713="",0,IF(ISNA(MATCH(X1713,X$256:X1712,0)),1,0))</f>
        <v/>
      </c>
      <c r="AC1713">
        <f>IF(AB1713&gt;AB1712,AB1713,"")</f>
        <v/>
      </c>
    </row>
    <row r="1714">
      <c r="W1714" s="7" t="n"/>
      <c r="X1714" s="7" t="n"/>
      <c r="Z1714">
        <f>Z1713+IF(W1714="",0,IF(ISNA(MATCH(W1714,W$256:W1713,0)),1,0))</f>
        <v/>
      </c>
      <c r="AA1714">
        <f>IF(Z1714&gt;Z1713,Z1714,"")</f>
        <v/>
      </c>
      <c r="AB1714">
        <f>AB1713+IF(X1714="",0,IF(ISNA(MATCH(X1714,X$256:X1713,0)),1,0))</f>
        <v/>
      </c>
      <c r="AC1714">
        <f>IF(AB1714&gt;AB1713,AB1714,"")</f>
        <v/>
      </c>
    </row>
    <row r="1715">
      <c r="W1715" s="7" t="n"/>
      <c r="X1715" s="7" t="n"/>
      <c r="Z1715">
        <f>Z1714+IF(W1715="",0,IF(ISNA(MATCH(W1715,W$256:W1714,0)),1,0))</f>
        <v/>
      </c>
      <c r="AA1715">
        <f>IF(Z1715&gt;Z1714,Z1715,"")</f>
        <v/>
      </c>
      <c r="AB1715">
        <f>AB1714+IF(X1715="",0,IF(ISNA(MATCH(X1715,X$256:X1714,0)),1,0))</f>
        <v/>
      </c>
      <c r="AC1715">
        <f>IF(AB1715&gt;AB1714,AB1715,"")</f>
        <v/>
      </c>
    </row>
    <row r="1716">
      <c r="W1716" s="7" t="n"/>
      <c r="X1716" s="7" t="n"/>
      <c r="Z1716">
        <f>Z1715+IF(W1716="",0,IF(ISNA(MATCH(W1716,W$256:W1715,0)),1,0))</f>
        <v/>
      </c>
      <c r="AA1716">
        <f>IF(Z1716&gt;Z1715,Z1716,"")</f>
        <v/>
      </c>
      <c r="AB1716">
        <f>AB1715+IF(X1716="",0,IF(ISNA(MATCH(X1716,X$256:X1715,0)),1,0))</f>
        <v/>
      </c>
      <c r="AC1716">
        <f>IF(AB1716&gt;AB1715,AB1716,"")</f>
        <v/>
      </c>
    </row>
    <row r="1717">
      <c r="W1717" s="7" t="n"/>
      <c r="X1717" s="7" t="n"/>
      <c r="Z1717">
        <f>Z1716+IF(W1717="",0,IF(ISNA(MATCH(W1717,W$256:W1716,0)),1,0))</f>
        <v/>
      </c>
      <c r="AA1717">
        <f>IF(Z1717&gt;Z1716,Z1717,"")</f>
        <v/>
      </c>
      <c r="AB1717">
        <f>AB1716+IF(X1717="",0,IF(ISNA(MATCH(X1717,X$256:X1716,0)),1,0))</f>
        <v/>
      </c>
      <c r="AC1717">
        <f>IF(AB1717&gt;AB1716,AB1717,"")</f>
        <v/>
      </c>
    </row>
    <row r="1718">
      <c r="W1718" s="7" t="n"/>
      <c r="X1718" s="7" t="n"/>
      <c r="Z1718">
        <f>Z1717+IF(W1718="",0,IF(ISNA(MATCH(W1718,W$256:W1717,0)),1,0))</f>
        <v/>
      </c>
      <c r="AA1718">
        <f>IF(Z1718&gt;Z1717,Z1718,"")</f>
        <v/>
      </c>
      <c r="AB1718">
        <f>AB1717+IF(X1718="",0,IF(ISNA(MATCH(X1718,X$256:X1717,0)),1,0))</f>
        <v/>
      </c>
      <c r="AC1718">
        <f>IF(AB1718&gt;AB1717,AB1718,"")</f>
        <v/>
      </c>
    </row>
    <row r="1719">
      <c r="W1719" s="7" t="n"/>
      <c r="X1719" s="7" t="n"/>
      <c r="Z1719">
        <f>Z1718+IF(W1719="",0,IF(ISNA(MATCH(W1719,W$256:W1718,0)),1,0))</f>
        <v/>
      </c>
      <c r="AA1719">
        <f>IF(Z1719&gt;Z1718,Z1719,"")</f>
        <v/>
      </c>
      <c r="AB1719">
        <f>AB1718+IF(X1719="",0,IF(ISNA(MATCH(X1719,X$256:X1718,0)),1,0))</f>
        <v/>
      </c>
      <c r="AC1719">
        <f>IF(AB1719&gt;AB1718,AB1719,"")</f>
        <v/>
      </c>
    </row>
    <row r="1720">
      <c r="W1720" s="7" t="n"/>
      <c r="X1720" s="7" t="n"/>
      <c r="Z1720">
        <f>Z1719+IF(W1720="",0,IF(ISNA(MATCH(W1720,W$256:W1719,0)),1,0))</f>
        <v/>
      </c>
      <c r="AA1720">
        <f>IF(Z1720&gt;Z1719,Z1720,"")</f>
        <v/>
      </c>
      <c r="AB1720">
        <f>AB1719+IF(X1720="",0,IF(ISNA(MATCH(X1720,X$256:X1719,0)),1,0))</f>
        <v/>
      </c>
      <c r="AC1720">
        <f>IF(AB1720&gt;AB1719,AB1720,"")</f>
        <v/>
      </c>
    </row>
    <row r="1721">
      <c r="W1721" s="7" t="n"/>
      <c r="X1721" s="7" t="n"/>
      <c r="Z1721">
        <f>Z1720+IF(W1721="",0,IF(ISNA(MATCH(W1721,W$256:W1720,0)),1,0))</f>
        <v/>
      </c>
      <c r="AA1721">
        <f>IF(Z1721&gt;Z1720,Z1721,"")</f>
        <v/>
      </c>
      <c r="AB1721">
        <f>AB1720+IF(X1721="",0,IF(ISNA(MATCH(X1721,X$256:X1720,0)),1,0))</f>
        <v/>
      </c>
      <c r="AC1721">
        <f>IF(AB1721&gt;AB1720,AB1721,"")</f>
        <v/>
      </c>
    </row>
    <row r="1722">
      <c r="W1722" s="7" t="n"/>
      <c r="X1722" s="7" t="n"/>
      <c r="Z1722">
        <f>Z1721+IF(W1722="",0,IF(ISNA(MATCH(W1722,W$256:W1721,0)),1,0))</f>
        <v/>
      </c>
      <c r="AA1722">
        <f>IF(Z1722&gt;Z1721,Z1722,"")</f>
        <v/>
      </c>
      <c r="AB1722">
        <f>AB1721+IF(X1722="",0,IF(ISNA(MATCH(X1722,X$256:X1721,0)),1,0))</f>
        <v/>
      </c>
      <c r="AC1722">
        <f>IF(AB1722&gt;AB1721,AB1722,"")</f>
        <v/>
      </c>
    </row>
    <row r="1723">
      <c r="W1723" s="7" t="n"/>
      <c r="X1723" s="7" t="n"/>
      <c r="Z1723">
        <f>Z1722+IF(W1723="",0,IF(ISNA(MATCH(W1723,W$256:W1722,0)),1,0))</f>
        <v/>
      </c>
      <c r="AA1723">
        <f>IF(Z1723&gt;Z1722,Z1723,"")</f>
        <v/>
      </c>
      <c r="AB1723">
        <f>AB1722+IF(X1723="",0,IF(ISNA(MATCH(X1723,X$256:X1722,0)),1,0))</f>
        <v/>
      </c>
      <c r="AC1723">
        <f>IF(AB1723&gt;AB1722,AB1723,"")</f>
        <v/>
      </c>
    </row>
    <row r="1724">
      <c r="W1724" s="7" t="n"/>
      <c r="X1724" s="7" t="n"/>
      <c r="Z1724">
        <f>Z1723+IF(W1724="",0,IF(ISNA(MATCH(W1724,W$256:W1723,0)),1,0))</f>
        <v/>
      </c>
      <c r="AA1724">
        <f>IF(Z1724&gt;Z1723,Z1724,"")</f>
        <v/>
      </c>
      <c r="AB1724">
        <f>AB1723+IF(X1724="",0,IF(ISNA(MATCH(X1724,X$256:X1723,0)),1,0))</f>
        <v/>
      </c>
      <c r="AC1724">
        <f>IF(AB1724&gt;AB1723,AB1724,"")</f>
        <v/>
      </c>
    </row>
    <row r="1725">
      <c r="W1725" s="7" t="n"/>
      <c r="X1725" s="7" t="n"/>
      <c r="Z1725">
        <f>Z1724+IF(W1725="",0,IF(ISNA(MATCH(W1725,W$256:W1724,0)),1,0))</f>
        <v/>
      </c>
      <c r="AA1725">
        <f>IF(Z1725&gt;Z1724,Z1725,"")</f>
        <v/>
      </c>
      <c r="AB1725">
        <f>AB1724+IF(X1725="",0,IF(ISNA(MATCH(X1725,X$256:X1724,0)),1,0))</f>
        <v/>
      </c>
      <c r="AC1725">
        <f>IF(AB1725&gt;AB1724,AB1725,"")</f>
        <v/>
      </c>
    </row>
    <row r="1726">
      <c r="W1726" s="7" t="n"/>
      <c r="X1726" s="7" t="n"/>
      <c r="Z1726">
        <f>Z1725+IF(W1726="",0,IF(ISNA(MATCH(W1726,W$256:W1725,0)),1,0))</f>
        <v/>
      </c>
      <c r="AA1726">
        <f>IF(Z1726&gt;Z1725,Z1726,"")</f>
        <v/>
      </c>
      <c r="AB1726">
        <f>AB1725+IF(X1726="",0,IF(ISNA(MATCH(X1726,X$256:X1725,0)),1,0))</f>
        <v/>
      </c>
      <c r="AC1726">
        <f>IF(AB1726&gt;AB1725,AB1726,"")</f>
        <v/>
      </c>
    </row>
    <row r="1727">
      <c r="W1727" s="7" t="n"/>
      <c r="X1727" s="7" t="n"/>
      <c r="Z1727">
        <f>Z1726+IF(W1727="",0,IF(ISNA(MATCH(W1727,W$256:W1726,0)),1,0))</f>
        <v/>
      </c>
      <c r="AA1727">
        <f>IF(Z1727&gt;Z1726,Z1727,"")</f>
        <v/>
      </c>
      <c r="AB1727">
        <f>AB1726+IF(X1727="",0,IF(ISNA(MATCH(X1727,X$256:X1726,0)),1,0))</f>
        <v/>
      </c>
      <c r="AC1727">
        <f>IF(AB1727&gt;AB1726,AB1727,"")</f>
        <v/>
      </c>
    </row>
    <row r="1728">
      <c r="W1728" s="7" t="n"/>
      <c r="X1728" s="7" t="n"/>
      <c r="Z1728">
        <f>Z1727+IF(W1728="",0,IF(ISNA(MATCH(W1728,W$256:W1727,0)),1,0))</f>
        <v/>
      </c>
      <c r="AA1728">
        <f>IF(Z1728&gt;Z1727,Z1728,"")</f>
        <v/>
      </c>
      <c r="AB1728">
        <f>AB1727+IF(X1728="",0,IF(ISNA(MATCH(X1728,X$256:X1727,0)),1,0))</f>
        <v/>
      </c>
      <c r="AC1728">
        <f>IF(AB1728&gt;AB1727,AB1728,"")</f>
        <v/>
      </c>
    </row>
    <row r="1729">
      <c r="W1729" s="7" t="n"/>
      <c r="X1729" s="7" t="n"/>
      <c r="Z1729">
        <f>Z1728+IF(W1729="",0,IF(ISNA(MATCH(W1729,W$256:W1728,0)),1,0))</f>
        <v/>
      </c>
      <c r="AA1729">
        <f>IF(Z1729&gt;Z1728,Z1729,"")</f>
        <v/>
      </c>
      <c r="AB1729">
        <f>AB1728+IF(X1729="",0,IF(ISNA(MATCH(X1729,X$256:X1728,0)),1,0))</f>
        <v/>
      </c>
      <c r="AC1729">
        <f>IF(AB1729&gt;AB1728,AB1729,"")</f>
        <v/>
      </c>
    </row>
    <row r="1730">
      <c r="W1730" s="7" t="n"/>
      <c r="X1730" s="7" t="n"/>
      <c r="Z1730">
        <f>Z1729+IF(W1730="",0,IF(ISNA(MATCH(W1730,W$256:W1729,0)),1,0))</f>
        <v/>
      </c>
      <c r="AA1730">
        <f>IF(Z1730&gt;Z1729,Z1730,"")</f>
        <v/>
      </c>
      <c r="AB1730">
        <f>AB1729+IF(X1730="",0,IF(ISNA(MATCH(X1730,X$256:X1729,0)),1,0))</f>
        <v/>
      </c>
      <c r="AC1730">
        <f>IF(AB1730&gt;AB1729,AB1730,"")</f>
        <v/>
      </c>
    </row>
    <row r="1731">
      <c r="W1731" s="7" t="n"/>
      <c r="X1731" s="7" t="n"/>
      <c r="Z1731">
        <f>Z1730+IF(W1731="",0,IF(ISNA(MATCH(W1731,W$256:W1730,0)),1,0))</f>
        <v/>
      </c>
      <c r="AA1731">
        <f>IF(Z1731&gt;Z1730,Z1731,"")</f>
        <v/>
      </c>
      <c r="AB1731">
        <f>AB1730+IF(X1731="",0,IF(ISNA(MATCH(X1731,X$256:X1730,0)),1,0))</f>
        <v/>
      </c>
      <c r="AC1731">
        <f>IF(AB1731&gt;AB1730,AB1731,"")</f>
        <v/>
      </c>
    </row>
    <row r="1732">
      <c r="W1732" s="7" t="n"/>
      <c r="X1732" s="7" t="n"/>
      <c r="Z1732">
        <f>Z1731+IF(W1732="",0,IF(ISNA(MATCH(W1732,W$256:W1731,0)),1,0))</f>
        <v/>
      </c>
      <c r="AA1732">
        <f>IF(Z1732&gt;Z1731,Z1732,"")</f>
        <v/>
      </c>
      <c r="AB1732">
        <f>AB1731+IF(X1732="",0,IF(ISNA(MATCH(X1732,X$256:X1731,0)),1,0))</f>
        <v/>
      </c>
      <c r="AC1732">
        <f>IF(AB1732&gt;AB1731,AB1732,"")</f>
        <v/>
      </c>
    </row>
    <row r="1733">
      <c r="W1733" s="7" t="n"/>
      <c r="X1733" s="7" t="n"/>
      <c r="Z1733">
        <f>Z1732+IF(W1733="",0,IF(ISNA(MATCH(W1733,W$256:W1732,0)),1,0))</f>
        <v/>
      </c>
      <c r="AA1733">
        <f>IF(Z1733&gt;Z1732,Z1733,"")</f>
        <v/>
      </c>
      <c r="AB1733">
        <f>AB1732+IF(X1733="",0,IF(ISNA(MATCH(X1733,X$256:X1732,0)),1,0))</f>
        <v/>
      </c>
      <c r="AC1733">
        <f>IF(AB1733&gt;AB1732,AB1733,"")</f>
        <v/>
      </c>
    </row>
    <row r="1734">
      <c r="W1734" s="7" t="n"/>
      <c r="X1734" s="7" t="n"/>
      <c r="Z1734">
        <f>Z1733+IF(W1734="",0,IF(ISNA(MATCH(W1734,W$256:W1733,0)),1,0))</f>
        <v/>
      </c>
      <c r="AA1734">
        <f>IF(Z1734&gt;Z1733,Z1734,"")</f>
        <v/>
      </c>
      <c r="AB1734">
        <f>AB1733+IF(X1734="",0,IF(ISNA(MATCH(X1734,X$256:X1733,0)),1,0))</f>
        <v/>
      </c>
      <c r="AC1734">
        <f>IF(AB1734&gt;AB1733,AB1734,"")</f>
        <v/>
      </c>
    </row>
    <row r="1735">
      <c r="W1735" s="7" t="n"/>
      <c r="X1735" s="7" t="n"/>
      <c r="Z1735">
        <f>Z1734+IF(W1735="",0,IF(ISNA(MATCH(W1735,W$256:W1734,0)),1,0))</f>
        <v/>
      </c>
      <c r="AA1735">
        <f>IF(Z1735&gt;Z1734,Z1735,"")</f>
        <v/>
      </c>
      <c r="AB1735">
        <f>AB1734+IF(X1735="",0,IF(ISNA(MATCH(X1735,X$256:X1734,0)),1,0))</f>
        <v/>
      </c>
      <c r="AC1735">
        <f>IF(AB1735&gt;AB1734,AB1735,"")</f>
        <v/>
      </c>
    </row>
    <row r="1736">
      <c r="W1736" s="7" t="n"/>
      <c r="X1736" s="7" t="n"/>
      <c r="Z1736">
        <f>Z1735+IF(W1736="",0,IF(ISNA(MATCH(W1736,W$256:W1735,0)),1,0))</f>
        <v/>
      </c>
      <c r="AA1736">
        <f>IF(Z1736&gt;Z1735,Z1736,"")</f>
        <v/>
      </c>
      <c r="AB1736">
        <f>AB1735+IF(X1736="",0,IF(ISNA(MATCH(X1736,X$256:X1735,0)),1,0))</f>
        <v/>
      </c>
      <c r="AC1736">
        <f>IF(AB1736&gt;AB1735,AB1736,"")</f>
        <v/>
      </c>
    </row>
    <row r="1737">
      <c r="W1737" s="7" t="n"/>
      <c r="X1737" s="7" t="n"/>
      <c r="Z1737">
        <f>Z1736+IF(W1737="",0,IF(ISNA(MATCH(W1737,W$256:W1736,0)),1,0))</f>
        <v/>
      </c>
      <c r="AA1737">
        <f>IF(Z1737&gt;Z1736,Z1737,"")</f>
        <v/>
      </c>
      <c r="AB1737">
        <f>AB1736+IF(X1737="",0,IF(ISNA(MATCH(X1737,X$256:X1736,0)),1,0))</f>
        <v/>
      </c>
      <c r="AC1737">
        <f>IF(AB1737&gt;AB1736,AB1737,"")</f>
        <v/>
      </c>
    </row>
    <row r="1738">
      <c r="W1738" s="7" t="n"/>
      <c r="X1738" s="7" t="n"/>
      <c r="Z1738">
        <f>Z1737+IF(W1738="",0,IF(ISNA(MATCH(W1738,W$256:W1737,0)),1,0))</f>
        <v/>
      </c>
      <c r="AA1738">
        <f>IF(Z1738&gt;Z1737,Z1738,"")</f>
        <v/>
      </c>
      <c r="AB1738">
        <f>AB1737+IF(X1738="",0,IF(ISNA(MATCH(X1738,X$256:X1737,0)),1,0))</f>
        <v/>
      </c>
      <c r="AC1738">
        <f>IF(AB1738&gt;AB1737,AB1738,"")</f>
        <v/>
      </c>
    </row>
    <row r="1739">
      <c r="W1739" s="7" t="n"/>
      <c r="X1739" s="7" t="n"/>
      <c r="Z1739">
        <f>Z1738+IF(W1739="",0,IF(ISNA(MATCH(W1739,W$256:W1738,0)),1,0))</f>
        <v/>
      </c>
      <c r="AA1739">
        <f>IF(Z1739&gt;Z1738,Z1739,"")</f>
        <v/>
      </c>
      <c r="AB1739">
        <f>AB1738+IF(X1739="",0,IF(ISNA(MATCH(X1739,X$256:X1738,0)),1,0))</f>
        <v/>
      </c>
      <c r="AC1739">
        <f>IF(AB1739&gt;AB1738,AB1739,"")</f>
        <v/>
      </c>
    </row>
    <row r="1740">
      <c r="W1740" s="7" t="n"/>
      <c r="X1740" s="7" t="n"/>
      <c r="Z1740">
        <f>Z1739+IF(W1740="",0,IF(ISNA(MATCH(W1740,W$256:W1739,0)),1,0))</f>
        <v/>
      </c>
      <c r="AA1740">
        <f>IF(Z1740&gt;Z1739,Z1740,"")</f>
        <v/>
      </c>
      <c r="AB1740">
        <f>AB1739+IF(X1740="",0,IF(ISNA(MATCH(X1740,X$256:X1739,0)),1,0))</f>
        <v/>
      </c>
      <c r="AC1740">
        <f>IF(AB1740&gt;AB1739,AB1740,"")</f>
        <v/>
      </c>
    </row>
    <row r="1741">
      <c r="W1741" s="7" t="n"/>
      <c r="X1741" s="7" t="n"/>
      <c r="Z1741">
        <f>Z1740+IF(W1741="",0,IF(ISNA(MATCH(W1741,W$256:W1740,0)),1,0))</f>
        <v/>
      </c>
      <c r="AA1741">
        <f>IF(Z1741&gt;Z1740,Z1741,"")</f>
        <v/>
      </c>
      <c r="AB1741">
        <f>AB1740+IF(X1741="",0,IF(ISNA(MATCH(X1741,X$256:X1740,0)),1,0))</f>
        <v/>
      </c>
      <c r="AC1741">
        <f>IF(AB1741&gt;AB1740,AB1741,"")</f>
        <v/>
      </c>
    </row>
    <row r="1742">
      <c r="W1742" s="7" t="n"/>
      <c r="X1742" s="7" t="n"/>
      <c r="Z1742">
        <f>Z1741+IF(W1742="",0,IF(ISNA(MATCH(W1742,W$256:W1741,0)),1,0))</f>
        <v/>
      </c>
      <c r="AA1742">
        <f>IF(Z1742&gt;Z1741,Z1742,"")</f>
        <v/>
      </c>
      <c r="AB1742">
        <f>AB1741+IF(X1742="",0,IF(ISNA(MATCH(X1742,X$256:X1741,0)),1,0))</f>
        <v/>
      </c>
      <c r="AC1742">
        <f>IF(AB1742&gt;AB1741,AB1742,"")</f>
        <v/>
      </c>
    </row>
    <row r="1743">
      <c r="W1743" s="7" t="n"/>
      <c r="X1743" s="7" t="n"/>
      <c r="Z1743">
        <f>Z1742+IF(W1743="",0,IF(ISNA(MATCH(W1743,W$256:W1742,0)),1,0))</f>
        <v/>
      </c>
      <c r="AA1743">
        <f>IF(Z1743&gt;Z1742,Z1743,"")</f>
        <v/>
      </c>
      <c r="AB1743">
        <f>AB1742+IF(X1743="",0,IF(ISNA(MATCH(X1743,X$256:X1742,0)),1,0))</f>
        <v/>
      </c>
      <c r="AC1743">
        <f>IF(AB1743&gt;AB1742,AB1743,"")</f>
        <v/>
      </c>
    </row>
    <row r="1744">
      <c r="W1744" s="7" t="n"/>
      <c r="X1744" s="7" t="n"/>
      <c r="Z1744">
        <f>Z1743+IF(W1744="",0,IF(ISNA(MATCH(W1744,W$256:W1743,0)),1,0))</f>
        <v/>
      </c>
      <c r="AA1744">
        <f>IF(Z1744&gt;Z1743,Z1744,"")</f>
        <v/>
      </c>
      <c r="AB1744">
        <f>AB1743+IF(X1744="",0,IF(ISNA(MATCH(X1744,X$256:X1743,0)),1,0))</f>
        <v/>
      </c>
      <c r="AC1744">
        <f>IF(AB1744&gt;AB1743,AB1744,"")</f>
        <v/>
      </c>
    </row>
    <row r="1745">
      <c r="W1745" s="7" t="n"/>
      <c r="X1745" s="7" t="n"/>
      <c r="Z1745">
        <f>Z1744+IF(W1745="",0,IF(ISNA(MATCH(W1745,W$256:W1744,0)),1,0))</f>
        <v/>
      </c>
      <c r="AA1745">
        <f>IF(Z1745&gt;Z1744,Z1745,"")</f>
        <v/>
      </c>
      <c r="AB1745">
        <f>AB1744+IF(X1745="",0,IF(ISNA(MATCH(X1745,X$256:X1744,0)),1,0))</f>
        <v/>
      </c>
      <c r="AC1745">
        <f>IF(AB1745&gt;AB1744,AB1745,"")</f>
        <v/>
      </c>
    </row>
    <row r="1746">
      <c r="W1746" s="7" t="n"/>
      <c r="X1746" s="7" t="n"/>
      <c r="Z1746">
        <f>Z1745+IF(W1746="",0,IF(ISNA(MATCH(W1746,W$256:W1745,0)),1,0))</f>
        <v/>
      </c>
      <c r="AA1746">
        <f>IF(Z1746&gt;Z1745,Z1746,"")</f>
        <v/>
      </c>
      <c r="AB1746">
        <f>AB1745+IF(X1746="",0,IF(ISNA(MATCH(X1746,X$256:X1745,0)),1,0))</f>
        <v/>
      </c>
      <c r="AC1746">
        <f>IF(AB1746&gt;AB1745,AB1746,"")</f>
        <v/>
      </c>
    </row>
    <row r="1747">
      <c r="W1747" s="7" t="n"/>
      <c r="X1747" s="7" t="n"/>
      <c r="Z1747">
        <f>Z1746+IF(W1747="",0,IF(ISNA(MATCH(W1747,W$256:W1746,0)),1,0))</f>
        <v/>
      </c>
      <c r="AA1747">
        <f>IF(Z1747&gt;Z1746,Z1747,"")</f>
        <v/>
      </c>
      <c r="AB1747">
        <f>AB1746+IF(X1747="",0,IF(ISNA(MATCH(X1747,X$256:X1746,0)),1,0))</f>
        <v/>
      </c>
      <c r="AC1747">
        <f>IF(AB1747&gt;AB1746,AB1747,"")</f>
        <v/>
      </c>
    </row>
    <row r="1748">
      <c r="W1748" s="7" t="n"/>
      <c r="X1748" s="7" t="n"/>
      <c r="Z1748">
        <f>Z1747+IF(W1748="",0,IF(ISNA(MATCH(W1748,W$256:W1747,0)),1,0))</f>
        <v/>
      </c>
      <c r="AA1748">
        <f>IF(Z1748&gt;Z1747,Z1748,"")</f>
        <v/>
      </c>
      <c r="AB1748">
        <f>AB1747+IF(X1748="",0,IF(ISNA(MATCH(X1748,X$256:X1747,0)),1,0))</f>
        <v/>
      </c>
      <c r="AC1748">
        <f>IF(AB1748&gt;AB1747,AB1748,"")</f>
        <v/>
      </c>
    </row>
    <row r="1749">
      <c r="W1749" s="7" t="n"/>
      <c r="X1749" s="7" t="n"/>
      <c r="Z1749">
        <f>Z1748+IF(W1749="",0,IF(ISNA(MATCH(W1749,W$256:W1748,0)),1,0))</f>
        <v/>
      </c>
      <c r="AA1749">
        <f>IF(Z1749&gt;Z1748,Z1749,"")</f>
        <v/>
      </c>
      <c r="AB1749">
        <f>AB1748+IF(X1749="",0,IF(ISNA(MATCH(X1749,X$256:X1748,0)),1,0))</f>
        <v/>
      </c>
      <c r="AC1749">
        <f>IF(AB1749&gt;AB1748,AB1749,"")</f>
        <v/>
      </c>
    </row>
    <row r="1750">
      <c r="W1750" s="7" t="n"/>
      <c r="X1750" s="7" t="n"/>
      <c r="Z1750">
        <f>Z1749+IF(W1750="",0,IF(ISNA(MATCH(W1750,W$256:W1749,0)),1,0))</f>
        <v/>
      </c>
      <c r="AA1750">
        <f>IF(Z1750&gt;Z1749,Z1750,"")</f>
        <v/>
      </c>
      <c r="AB1750">
        <f>AB1749+IF(X1750="",0,IF(ISNA(MATCH(X1750,X$256:X1749,0)),1,0))</f>
        <v/>
      </c>
      <c r="AC1750">
        <f>IF(AB1750&gt;AB1749,AB1750,"")</f>
        <v/>
      </c>
    </row>
    <row r="1751">
      <c r="W1751" s="7" t="n"/>
      <c r="X1751" s="7" t="n"/>
      <c r="Z1751">
        <f>Z1750+IF(W1751="",0,IF(ISNA(MATCH(W1751,W$256:W1750,0)),1,0))</f>
        <v/>
      </c>
      <c r="AA1751">
        <f>IF(Z1751&gt;Z1750,Z1751,"")</f>
        <v/>
      </c>
      <c r="AB1751">
        <f>AB1750+IF(X1751="",0,IF(ISNA(MATCH(X1751,X$256:X1750,0)),1,0))</f>
        <v/>
      </c>
      <c r="AC1751">
        <f>IF(AB1751&gt;AB1750,AB1751,"")</f>
        <v/>
      </c>
    </row>
    <row r="1752">
      <c r="W1752" s="7" t="n"/>
      <c r="X1752" s="7" t="n"/>
      <c r="Z1752">
        <f>Z1751+IF(W1752="",0,IF(ISNA(MATCH(W1752,W$256:W1751,0)),1,0))</f>
        <v/>
      </c>
      <c r="AA1752">
        <f>IF(Z1752&gt;Z1751,Z1752,"")</f>
        <v/>
      </c>
      <c r="AB1752">
        <f>AB1751+IF(X1752="",0,IF(ISNA(MATCH(X1752,X$256:X1751,0)),1,0))</f>
        <v/>
      </c>
      <c r="AC1752">
        <f>IF(AB1752&gt;AB1751,AB1752,"")</f>
        <v/>
      </c>
    </row>
    <row r="1753">
      <c r="W1753" s="7" t="n"/>
      <c r="X1753" s="7" t="n"/>
      <c r="Z1753">
        <f>Z1752+IF(W1753="",0,IF(ISNA(MATCH(W1753,W$256:W1752,0)),1,0))</f>
        <v/>
      </c>
      <c r="AA1753">
        <f>IF(Z1753&gt;Z1752,Z1753,"")</f>
        <v/>
      </c>
      <c r="AB1753">
        <f>AB1752+IF(X1753="",0,IF(ISNA(MATCH(X1753,X$256:X1752,0)),1,0))</f>
        <v/>
      </c>
      <c r="AC1753">
        <f>IF(AB1753&gt;AB1752,AB1753,"")</f>
        <v/>
      </c>
    </row>
    <row r="1754">
      <c r="W1754" s="7" t="n"/>
      <c r="X1754" s="7" t="n"/>
      <c r="Z1754">
        <f>Z1753+IF(W1754="",0,IF(ISNA(MATCH(W1754,W$256:W1753,0)),1,0))</f>
        <v/>
      </c>
      <c r="AA1754">
        <f>IF(Z1754&gt;Z1753,Z1754,"")</f>
        <v/>
      </c>
      <c r="AB1754">
        <f>AB1753+IF(X1754="",0,IF(ISNA(MATCH(X1754,X$256:X1753,0)),1,0))</f>
        <v/>
      </c>
      <c r="AC1754">
        <f>IF(AB1754&gt;AB1753,AB1754,"")</f>
        <v/>
      </c>
    </row>
    <row r="1755">
      <c r="W1755" s="7" t="n"/>
      <c r="X1755" s="7" t="n"/>
      <c r="Z1755">
        <f>Z1754+IF(W1755="",0,IF(ISNA(MATCH(W1755,W$256:W1754,0)),1,0))</f>
        <v/>
      </c>
      <c r="AA1755">
        <f>IF(Z1755&gt;Z1754,Z1755,"")</f>
        <v/>
      </c>
      <c r="AB1755">
        <f>AB1754+IF(X1755="",0,IF(ISNA(MATCH(X1755,X$256:X1754,0)),1,0))</f>
        <v/>
      </c>
      <c r="AC1755">
        <f>IF(AB1755&gt;AB1754,AB1755,"")</f>
        <v/>
      </c>
    </row>
    <row r="1756">
      <c r="W1756" s="7" t="n"/>
      <c r="X1756" s="7" t="n"/>
      <c r="Z1756">
        <f>Z1755+IF(W1756="",0,IF(ISNA(MATCH(W1756,W$256:W1755,0)),1,0))</f>
        <v/>
      </c>
      <c r="AA1756">
        <f>IF(Z1756&gt;Z1755,Z1756,"")</f>
        <v/>
      </c>
      <c r="AB1756">
        <f>AB1755+IF(X1756="",0,IF(ISNA(MATCH(X1756,X$256:X1755,0)),1,0))</f>
        <v/>
      </c>
      <c r="AC1756">
        <f>IF(AB1756&gt;AB1755,AB1756,"")</f>
        <v/>
      </c>
    </row>
    <row r="1757">
      <c r="W1757" s="7" t="n"/>
      <c r="X1757" s="7" t="n"/>
      <c r="Z1757">
        <f>Z1756+IF(W1757="",0,IF(ISNA(MATCH(W1757,W$256:W1756,0)),1,0))</f>
        <v/>
      </c>
      <c r="AA1757">
        <f>IF(Z1757&gt;Z1756,Z1757,"")</f>
        <v/>
      </c>
      <c r="AB1757">
        <f>AB1756+IF(X1757="",0,IF(ISNA(MATCH(X1757,X$256:X1756,0)),1,0))</f>
        <v/>
      </c>
      <c r="AC1757">
        <f>IF(AB1757&gt;AB1756,AB1757,"")</f>
        <v/>
      </c>
    </row>
    <row r="1758">
      <c r="W1758" s="7" t="n"/>
      <c r="X1758" s="7" t="n"/>
      <c r="Z1758">
        <f>Z1757+IF(W1758="",0,IF(ISNA(MATCH(W1758,W$256:W1757,0)),1,0))</f>
        <v/>
      </c>
      <c r="AA1758">
        <f>IF(Z1758&gt;Z1757,Z1758,"")</f>
        <v/>
      </c>
      <c r="AB1758">
        <f>AB1757+IF(X1758="",0,IF(ISNA(MATCH(X1758,X$256:X1757,0)),1,0))</f>
        <v/>
      </c>
      <c r="AC1758">
        <f>IF(AB1758&gt;AB1757,AB1758,"")</f>
        <v/>
      </c>
    </row>
    <row r="1759">
      <c r="W1759" s="7" t="n"/>
      <c r="X1759" s="7" t="n"/>
      <c r="Z1759">
        <f>Z1758+IF(W1759="",0,IF(ISNA(MATCH(W1759,W$256:W1758,0)),1,0))</f>
        <v/>
      </c>
      <c r="AA1759">
        <f>IF(Z1759&gt;Z1758,Z1759,"")</f>
        <v/>
      </c>
      <c r="AB1759">
        <f>AB1758+IF(X1759="",0,IF(ISNA(MATCH(X1759,X$256:X1758,0)),1,0))</f>
        <v/>
      </c>
      <c r="AC1759">
        <f>IF(AB1759&gt;AB1758,AB1759,"")</f>
        <v/>
      </c>
    </row>
    <row r="1760">
      <c r="W1760" s="7" t="n"/>
      <c r="X1760" s="7" t="n"/>
      <c r="Z1760">
        <f>Z1759+IF(W1760="",0,IF(ISNA(MATCH(W1760,W$256:W1759,0)),1,0))</f>
        <v/>
      </c>
      <c r="AA1760">
        <f>IF(Z1760&gt;Z1759,Z1760,"")</f>
        <v/>
      </c>
      <c r="AB1760">
        <f>AB1759+IF(X1760="",0,IF(ISNA(MATCH(X1760,X$256:X1759,0)),1,0))</f>
        <v/>
      </c>
      <c r="AC1760">
        <f>IF(AB1760&gt;AB1759,AB1760,"")</f>
        <v/>
      </c>
    </row>
    <row r="1761">
      <c r="W1761" s="7" t="n"/>
      <c r="X1761" s="7" t="n"/>
      <c r="Z1761">
        <f>Z1760+IF(W1761="",0,IF(ISNA(MATCH(W1761,W$256:W1760,0)),1,0))</f>
        <v/>
      </c>
      <c r="AA1761">
        <f>IF(Z1761&gt;Z1760,Z1761,"")</f>
        <v/>
      </c>
      <c r="AB1761">
        <f>AB1760+IF(X1761="",0,IF(ISNA(MATCH(X1761,X$256:X1760,0)),1,0))</f>
        <v/>
      </c>
      <c r="AC1761">
        <f>IF(AB1761&gt;AB1760,AB1761,"")</f>
        <v/>
      </c>
    </row>
    <row r="1762">
      <c r="W1762" s="7" t="n"/>
      <c r="X1762" s="7" t="n"/>
      <c r="Z1762">
        <f>Z1761+IF(W1762="",0,IF(ISNA(MATCH(W1762,W$256:W1761,0)),1,0))</f>
        <v/>
      </c>
      <c r="AA1762">
        <f>IF(Z1762&gt;Z1761,Z1762,"")</f>
        <v/>
      </c>
      <c r="AB1762">
        <f>AB1761+IF(X1762="",0,IF(ISNA(MATCH(X1762,X$256:X1761,0)),1,0))</f>
        <v/>
      </c>
      <c r="AC1762">
        <f>IF(AB1762&gt;AB1761,AB1762,"")</f>
        <v/>
      </c>
    </row>
    <row r="1763">
      <c r="W1763" s="7" t="n"/>
      <c r="X1763" s="7" t="n"/>
      <c r="Z1763">
        <f>Z1762+IF(W1763="",0,IF(ISNA(MATCH(W1763,W$256:W1762,0)),1,0))</f>
        <v/>
      </c>
      <c r="AA1763">
        <f>IF(Z1763&gt;Z1762,Z1763,"")</f>
        <v/>
      </c>
      <c r="AB1763">
        <f>AB1762+IF(X1763="",0,IF(ISNA(MATCH(X1763,X$256:X1762,0)),1,0))</f>
        <v/>
      </c>
      <c r="AC1763">
        <f>IF(AB1763&gt;AB1762,AB1763,"")</f>
        <v/>
      </c>
    </row>
    <row r="1764">
      <c r="W1764" s="7" t="n"/>
      <c r="X1764" s="7" t="n"/>
      <c r="Z1764">
        <f>Z1763+IF(W1764="",0,IF(ISNA(MATCH(W1764,W$256:W1763,0)),1,0))</f>
        <v/>
      </c>
      <c r="AA1764">
        <f>IF(Z1764&gt;Z1763,Z1764,"")</f>
        <v/>
      </c>
      <c r="AB1764">
        <f>AB1763+IF(X1764="",0,IF(ISNA(MATCH(X1764,X$256:X1763,0)),1,0))</f>
        <v/>
      </c>
      <c r="AC1764">
        <f>IF(AB1764&gt;AB1763,AB1764,"")</f>
        <v/>
      </c>
    </row>
    <row r="1765">
      <c r="W1765" s="7" t="n"/>
      <c r="X1765" s="7" t="n"/>
      <c r="Z1765">
        <f>Z1764+IF(W1765="",0,IF(ISNA(MATCH(W1765,W$256:W1764,0)),1,0))</f>
        <v/>
      </c>
      <c r="AA1765">
        <f>IF(Z1765&gt;Z1764,Z1765,"")</f>
        <v/>
      </c>
      <c r="AB1765">
        <f>AB1764+IF(X1765="",0,IF(ISNA(MATCH(X1765,X$256:X1764,0)),1,0))</f>
        <v/>
      </c>
      <c r="AC1765">
        <f>IF(AB1765&gt;AB1764,AB1765,"")</f>
        <v/>
      </c>
    </row>
    <row r="1766">
      <c r="W1766" s="7" t="n"/>
      <c r="X1766" s="7" t="n"/>
      <c r="Z1766">
        <f>Z1765+IF(W1766="",0,IF(ISNA(MATCH(W1766,W$256:W1765,0)),1,0))</f>
        <v/>
      </c>
      <c r="AA1766">
        <f>IF(Z1766&gt;Z1765,Z1766,"")</f>
        <v/>
      </c>
      <c r="AB1766">
        <f>AB1765+IF(X1766="",0,IF(ISNA(MATCH(X1766,X$256:X1765,0)),1,0))</f>
        <v/>
      </c>
      <c r="AC1766">
        <f>IF(AB1766&gt;AB1765,AB1766,"")</f>
        <v/>
      </c>
    </row>
    <row r="1767">
      <c r="W1767" s="7" t="n"/>
      <c r="X1767" s="7" t="n"/>
      <c r="Z1767">
        <f>Z1766+IF(W1767="",0,IF(ISNA(MATCH(W1767,W$256:W1766,0)),1,0))</f>
        <v/>
      </c>
      <c r="AA1767">
        <f>IF(Z1767&gt;Z1766,Z1767,"")</f>
        <v/>
      </c>
      <c r="AB1767">
        <f>AB1766+IF(X1767="",0,IF(ISNA(MATCH(X1767,X$256:X1766,0)),1,0))</f>
        <v/>
      </c>
      <c r="AC1767">
        <f>IF(AB1767&gt;AB1766,AB1767,"")</f>
        <v/>
      </c>
    </row>
    <row r="1768">
      <c r="W1768" s="7" t="n"/>
      <c r="X1768" s="7" t="n"/>
      <c r="Z1768">
        <f>Z1767+IF(W1768="",0,IF(ISNA(MATCH(W1768,W$256:W1767,0)),1,0))</f>
        <v/>
      </c>
      <c r="AA1768">
        <f>IF(Z1768&gt;Z1767,Z1768,"")</f>
        <v/>
      </c>
      <c r="AB1768">
        <f>AB1767+IF(X1768="",0,IF(ISNA(MATCH(X1768,X$256:X1767,0)),1,0))</f>
        <v/>
      </c>
      <c r="AC1768">
        <f>IF(AB1768&gt;AB1767,AB1768,"")</f>
        <v/>
      </c>
    </row>
    <row r="1769">
      <c r="W1769" s="7" t="n"/>
      <c r="X1769" s="7" t="n"/>
      <c r="Z1769">
        <f>Z1768+IF(W1769="",0,IF(ISNA(MATCH(W1769,W$256:W1768,0)),1,0))</f>
        <v/>
      </c>
      <c r="AA1769">
        <f>IF(Z1769&gt;Z1768,Z1769,"")</f>
        <v/>
      </c>
      <c r="AB1769">
        <f>AB1768+IF(X1769="",0,IF(ISNA(MATCH(X1769,X$256:X1768,0)),1,0))</f>
        <v/>
      </c>
      <c r="AC1769">
        <f>IF(AB1769&gt;AB1768,AB1769,"")</f>
        <v/>
      </c>
    </row>
    <row r="1770">
      <c r="W1770" s="7" t="n"/>
      <c r="X1770" s="7" t="n"/>
      <c r="Z1770">
        <f>Z1769+IF(W1770="",0,IF(ISNA(MATCH(W1770,W$256:W1769,0)),1,0))</f>
        <v/>
      </c>
      <c r="AA1770">
        <f>IF(Z1770&gt;Z1769,Z1770,"")</f>
        <v/>
      </c>
      <c r="AB1770">
        <f>AB1769+IF(X1770="",0,IF(ISNA(MATCH(X1770,X$256:X1769,0)),1,0))</f>
        <v/>
      </c>
      <c r="AC1770">
        <f>IF(AB1770&gt;AB1769,AB1770,"")</f>
        <v/>
      </c>
    </row>
    <row r="1771">
      <c r="W1771" s="7" t="n"/>
      <c r="X1771" s="7" t="n"/>
      <c r="Z1771">
        <f>Z1770+IF(W1771="",0,IF(ISNA(MATCH(W1771,W$256:W1770,0)),1,0))</f>
        <v/>
      </c>
      <c r="AA1771">
        <f>IF(Z1771&gt;Z1770,Z1771,"")</f>
        <v/>
      </c>
      <c r="AB1771">
        <f>AB1770+IF(X1771="",0,IF(ISNA(MATCH(X1771,X$256:X1770,0)),1,0))</f>
        <v/>
      </c>
      <c r="AC1771">
        <f>IF(AB1771&gt;AB1770,AB1771,"")</f>
        <v/>
      </c>
    </row>
    <row r="1772">
      <c r="W1772" s="7" t="n"/>
      <c r="X1772" s="7" t="n"/>
      <c r="Z1772">
        <f>Z1771+IF(W1772="",0,IF(ISNA(MATCH(W1772,W$256:W1771,0)),1,0))</f>
        <v/>
      </c>
      <c r="AA1772">
        <f>IF(Z1772&gt;Z1771,Z1772,"")</f>
        <v/>
      </c>
      <c r="AB1772">
        <f>AB1771+IF(X1772="",0,IF(ISNA(MATCH(X1772,X$256:X1771,0)),1,0))</f>
        <v/>
      </c>
      <c r="AC1772">
        <f>IF(AB1772&gt;AB1771,AB1772,"")</f>
        <v/>
      </c>
    </row>
    <row r="1773">
      <c r="W1773" s="7" t="n"/>
      <c r="X1773" s="7" t="n"/>
      <c r="Z1773">
        <f>Z1772+IF(W1773="",0,IF(ISNA(MATCH(W1773,W$256:W1772,0)),1,0))</f>
        <v/>
      </c>
      <c r="AA1773">
        <f>IF(Z1773&gt;Z1772,Z1773,"")</f>
        <v/>
      </c>
      <c r="AB1773">
        <f>AB1772+IF(X1773="",0,IF(ISNA(MATCH(X1773,X$256:X1772,0)),1,0))</f>
        <v/>
      </c>
      <c r="AC1773">
        <f>IF(AB1773&gt;AB1772,AB1773,"")</f>
        <v/>
      </c>
    </row>
    <row r="1774">
      <c r="W1774" s="7" t="n"/>
      <c r="X1774" s="7" t="n"/>
      <c r="Z1774">
        <f>Z1773+IF(W1774="",0,IF(ISNA(MATCH(W1774,W$256:W1773,0)),1,0))</f>
        <v/>
      </c>
      <c r="AA1774">
        <f>IF(Z1774&gt;Z1773,Z1774,"")</f>
        <v/>
      </c>
      <c r="AB1774">
        <f>AB1773+IF(X1774="",0,IF(ISNA(MATCH(X1774,X$256:X1773,0)),1,0))</f>
        <v/>
      </c>
      <c r="AC1774">
        <f>IF(AB1774&gt;AB1773,AB1774,"")</f>
        <v/>
      </c>
    </row>
    <row r="1775">
      <c r="W1775" s="7" t="n"/>
      <c r="X1775" s="7" t="n"/>
      <c r="Z1775">
        <f>Z1774+IF(W1775="",0,IF(ISNA(MATCH(W1775,W$256:W1774,0)),1,0))</f>
        <v/>
      </c>
      <c r="AA1775">
        <f>IF(Z1775&gt;Z1774,Z1775,"")</f>
        <v/>
      </c>
      <c r="AB1775">
        <f>AB1774+IF(X1775="",0,IF(ISNA(MATCH(X1775,X$256:X1774,0)),1,0))</f>
        <v/>
      </c>
      <c r="AC1775">
        <f>IF(AB1775&gt;AB1774,AB1775,"")</f>
        <v/>
      </c>
    </row>
    <row r="1776">
      <c r="W1776" s="7" t="n"/>
      <c r="X1776" s="7" t="n"/>
      <c r="Z1776">
        <f>Z1775+IF(W1776="",0,IF(ISNA(MATCH(W1776,W$256:W1775,0)),1,0))</f>
        <v/>
      </c>
      <c r="AA1776">
        <f>IF(Z1776&gt;Z1775,Z1776,"")</f>
        <v/>
      </c>
      <c r="AB1776">
        <f>AB1775+IF(X1776="",0,IF(ISNA(MATCH(X1776,X$256:X1775,0)),1,0))</f>
        <v/>
      </c>
      <c r="AC1776">
        <f>IF(AB1776&gt;AB1775,AB1776,"")</f>
        <v/>
      </c>
    </row>
    <row r="1777">
      <c r="W1777" s="7" t="n"/>
      <c r="X1777" s="7" t="n"/>
      <c r="Z1777">
        <f>Z1776+IF(W1777="",0,IF(ISNA(MATCH(W1777,W$256:W1776,0)),1,0))</f>
        <v/>
      </c>
      <c r="AA1777">
        <f>IF(Z1777&gt;Z1776,Z1777,"")</f>
        <v/>
      </c>
      <c r="AB1777">
        <f>AB1776+IF(X1777="",0,IF(ISNA(MATCH(X1777,X$256:X1776,0)),1,0))</f>
        <v/>
      </c>
      <c r="AC1777">
        <f>IF(AB1777&gt;AB1776,AB1777,"")</f>
        <v/>
      </c>
    </row>
    <row r="1778">
      <c r="W1778" s="7" t="n"/>
      <c r="X1778" s="7" t="n"/>
      <c r="Z1778">
        <f>Z1777+IF(W1778="",0,IF(ISNA(MATCH(W1778,W$256:W1777,0)),1,0))</f>
        <v/>
      </c>
      <c r="AA1778">
        <f>IF(Z1778&gt;Z1777,Z1778,"")</f>
        <v/>
      </c>
      <c r="AB1778">
        <f>AB1777+IF(X1778="",0,IF(ISNA(MATCH(X1778,X$256:X1777,0)),1,0))</f>
        <v/>
      </c>
      <c r="AC1778">
        <f>IF(AB1778&gt;AB1777,AB1778,"")</f>
        <v/>
      </c>
    </row>
    <row r="1779">
      <c r="W1779" s="7" t="n"/>
      <c r="X1779" s="7" t="n"/>
      <c r="Z1779">
        <f>Z1778+IF(W1779="",0,IF(ISNA(MATCH(W1779,W$256:W1778,0)),1,0))</f>
        <v/>
      </c>
      <c r="AA1779">
        <f>IF(Z1779&gt;Z1778,Z1779,"")</f>
        <v/>
      </c>
      <c r="AB1779">
        <f>AB1778+IF(X1779="",0,IF(ISNA(MATCH(X1779,X$256:X1778,0)),1,0))</f>
        <v/>
      </c>
      <c r="AC1779">
        <f>IF(AB1779&gt;AB1778,AB1779,"")</f>
        <v/>
      </c>
    </row>
    <row r="1780">
      <c r="W1780" s="7" t="n"/>
      <c r="X1780" s="7" t="n"/>
      <c r="Z1780">
        <f>Z1779+IF(W1780="",0,IF(ISNA(MATCH(W1780,W$256:W1779,0)),1,0))</f>
        <v/>
      </c>
      <c r="AA1780">
        <f>IF(Z1780&gt;Z1779,Z1780,"")</f>
        <v/>
      </c>
      <c r="AB1780">
        <f>AB1779+IF(X1780="",0,IF(ISNA(MATCH(X1780,X$256:X1779,0)),1,0))</f>
        <v/>
      </c>
      <c r="AC1780">
        <f>IF(AB1780&gt;AB1779,AB1780,"")</f>
        <v/>
      </c>
    </row>
    <row r="1781">
      <c r="W1781" s="7" t="n"/>
      <c r="X1781" s="7" t="n"/>
      <c r="Z1781">
        <f>Z1780+IF(W1781="",0,IF(ISNA(MATCH(W1781,W$256:W1780,0)),1,0))</f>
        <v/>
      </c>
      <c r="AA1781">
        <f>IF(Z1781&gt;Z1780,Z1781,"")</f>
        <v/>
      </c>
      <c r="AB1781">
        <f>AB1780+IF(X1781="",0,IF(ISNA(MATCH(X1781,X$256:X1780,0)),1,0))</f>
        <v/>
      </c>
      <c r="AC1781">
        <f>IF(AB1781&gt;AB1780,AB1781,"")</f>
        <v/>
      </c>
    </row>
    <row r="1782">
      <c r="W1782" s="7" t="n"/>
      <c r="X1782" s="7" t="n"/>
      <c r="Z1782">
        <f>Z1781+IF(W1782="",0,IF(ISNA(MATCH(W1782,W$256:W1781,0)),1,0))</f>
        <v/>
      </c>
      <c r="AA1782">
        <f>IF(Z1782&gt;Z1781,Z1782,"")</f>
        <v/>
      </c>
      <c r="AB1782">
        <f>AB1781+IF(X1782="",0,IF(ISNA(MATCH(X1782,X$256:X1781,0)),1,0))</f>
        <v/>
      </c>
      <c r="AC1782">
        <f>IF(AB1782&gt;AB1781,AB1782,"")</f>
        <v/>
      </c>
    </row>
    <row r="1783">
      <c r="W1783" s="7" t="n"/>
      <c r="X1783" s="7" t="n"/>
      <c r="Z1783">
        <f>Z1782+IF(W1783="",0,IF(ISNA(MATCH(W1783,W$256:W1782,0)),1,0))</f>
        <v/>
      </c>
      <c r="AA1783">
        <f>IF(Z1783&gt;Z1782,Z1783,"")</f>
        <v/>
      </c>
      <c r="AB1783">
        <f>AB1782+IF(X1783="",0,IF(ISNA(MATCH(X1783,X$256:X1782,0)),1,0))</f>
        <v/>
      </c>
      <c r="AC1783">
        <f>IF(AB1783&gt;AB1782,AB1783,"")</f>
        <v/>
      </c>
    </row>
    <row r="1784">
      <c r="W1784" s="7" t="n"/>
      <c r="X1784" s="7" t="n"/>
      <c r="Z1784">
        <f>Z1783+IF(W1784="",0,IF(ISNA(MATCH(W1784,W$256:W1783,0)),1,0))</f>
        <v/>
      </c>
      <c r="AA1784">
        <f>IF(Z1784&gt;Z1783,Z1784,"")</f>
        <v/>
      </c>
      <c r="AB1784">
        <f>AB1783+IF(X1784="",0,IF(ISNA(MATCH(X1784,X$256:X1783,0)),1,0))</f>
        <v/>
      </c>
      <c r="AC1784">
        <f>IF(AB1784&gt;AB1783,AB1784,"")</f>
        <v/>
      </c>
    </row>
    <row r="1785">
      <c r="W1785" s="7" t="n"/>
      <c r="X1785" s="7" t="n"/>
      <c r="Z1785">
        <f>Z1784+IF(W1785="",0,IF(ISNA(MATCH(W1785,W$256:W1784,0)),1,0))</f>
        <v/>
      </c>
      <c r="AA1785">
        <f>IF(Z1785&gt;Z1784,Z1785,"")</f>
        <v/>
      </c>
      <c r="AB1785">
        <f>AB1784+IF(X1785="",0,IF(ISNA(MATCH(X1785,X$256:X1784,0)),1,0))</f>
        <v/>
      </c>
      <c r="AC1785">
        <f>IF(AB1785&gt;AB1784,AB1785,"")</f>
        <v/>
      </c>
    </row>
    <row r="1786">
      <c r="W1786" s="7" t="n"/>
      <c r="X1786" s="7" t="n"/>
      <c r="Z1786">
        <f>Z1785+IF(W1786="",0,IF(ISNA(MATCH(W1786,W$256:W1785,0)),1,0))</f>
        <v/>
      </c>
      <c r="AA1786">
        <f>IF(Z1786&gt;Z1785,Z1786,"")</f>
        <v/>
      </c>
      <c r="AB1786">
        <f>AB1785+IF(X1786="",0,IF(ISNA(MATCH(X1786,X$256:X1785,0)),1,0))</f>
        <v/>
      </c>
      <c r="AC1786">
        <f>IF(AB1786&gt;AB1785,AB1786,"")</f>
        <v/>
      </c>
    </row>
    <row r="1787">
      <c r="W1787" s="7" t="n"/>
      <c r="X1787" s="7" t="n"/>
      <c r="Z1787">
        <f>Z1786+IF(W1787="",0,IF(ISNA(MATCH(W1787,W$256:W1786,0)),1,0))</f>
        <v/>
      </c>
      <c r="AA1787">
        <f>IF(Z1787&gt;Z1786,Z1787,"")</f>
        <v/>
      </c>
      <c r="AB1787">
        <f>AB1786+IF(X1787="",0,IF(ISNA(MATCH(X1787,X$256:X1786,0)),1,0))</f>
        <v/>
      </c>
      <c r="AC1787">
        <f>IF(AB1787&gt;AB1786,AB1787,"")</f>
        <v/>
      </c>
    </row>
    <row r="1788">
      <c r="W1788" s="7" t="n"/>
      <c r="X1788" s="7" t="n"/>
      <c r="Z1788">
        <f>Z1787+IF(W1788="",0,IF(ISNA(MATCH(W1788,W$256:W1787,0)),1,0))</f>
        <v/>
      </c>
      <c r="AA1788">
        <f>IF(Z1788&gt;Z1787,Z1788,"")</f>
        <v/>
      </c>
      <c r="AB1788">
        <f>AB1787+IF(X1788="",0,IF(ISNA(MATCH(X1788,X$256:X1787,0)),1,0))</f>
        <v/>
      </c>
      <c r="AC1788">
        <f>IF(AB1788&gt;AB1787,AB1788,"")</f>
        <v/>
      </c>
    </row>
    <row r="1789">
      <c r="W1789" s="7" t="n"/>
      <c r="X1789" s="7" t="n"/>
      <c r="Z1789">
        <f>Z1788+IF(W1789="",0,IF(ISNA(MATCH(W1789,W$256:W1788,0)),1,0))</f>
        <v/>
      </c>
      <c r="AA1789">
        <f>IF(Z1789&gt;Z1788,Z1789,"")</f>
        <v/>
      </c>
      <c r="AB1789">
        <f>AB1788+IF(X1789="",0,IF(ISNA(MATCH(X1789,X$256:X1788,0)),1,0))</f>
        <v/>
      </c>
      <c r="AC1789">
        <f>IF(AB1789&gt;AB1788,AB1789,"")</f>
        <v/>
      </c>
    </row>
    <row r="1790">
      <c r="W1790" s="7" t="n"/>
      <c r="X1790" s="7" t="n"/>
      <c r="Z1790">
        <f>Z1789+IF(W1790="",0,IF(ISNA(MATCH(W1790,W$256:W1789,0)),1,0))</f>
        <v/>
      </c>
      <c r="AA1790">
        <f>IF(Z1790&gt;Z1789,Z1790,"")</f>
        <v/>
      </c>
      <c r="AB1790">
        <f>AB1789+IF(X1790="",0,IF(ISNA(MATCH(X1790,X$256:X1789,0)),1,0))</f>
        <v/>
      </c>
      <c r="AC1790">
        <f>IF(AB1790&gt;AB1789,AB1790,"")</f>
        <v/>
      </c>
    </row>
    <row r="1791">
      <c r="W1791" s="7" t="n"/>
      <c r="X1791" s="7" t="n"/>
      <c r="Z1791">
        <f>Z1790+IF(W1791="",0,IF(ISNA(MATCH(W1791,W$256:W1790,0)),1,0))</f>
        <v/>
      </c>
      <c r="AA1791">
        <f>IF(Z1791&gt;Z1790,Z1791,"")</f>
        <v/>
      </c>
      <c r="AB1791">
        <f>AB1790+IF(X1791="",0,IF(ISNA(MATCH(X1791,X$256:X1790,0)),1,0))</f>
        <v/>
      </c>
      <c r="AC1791">
        <f>IF(AB1791&gt;AB1790,AB1791,"")</f>
        <v/>
      </c>
    </row>
    <row r="1792">
      <c r="W1792" s="7" t="n"/>
      <c r="X1792" s="7" t="n"/>
      <c r="Z1792">
        <f>Z1791+IF(W1792="",0,IF(ISNA(MATCH(W1792,W$256:W1791,0)),1,0))</f>
        <v/>
      </c>
      <c r="AA1792">
        <f>IF(Z1792&gt;Z1791,Z1792,"")</f>
        <v/>
      </c>
      <c r="AB1792">
        <f>AB1791+IF(X1792="",0,IF(ISNA(MATCH(X1792,X$256:X1791,0)),1,0))</f>
        <v/>
      </c>
      <c r="AC1792">
        <f>IF(AB1792&gt;AB1791,AB1792,"")</f>
        <v/>
      </c>
    </row>
    <row r="1793">
      <c r="W1793" s="7" t="n"/>
      <c r="X1793" s="7" t="n"/>
      <c r="Z1793">
        <f>Z1792+IF(W1793="",0,IF(ISNA(MATCH(W1793,W$256:W1792,0)),1,0))</f>
        <v/>
      </c>
      <c r="AA1793">
        <f>IF(Z1793&gt;Z1792,Z1793,"")</f>
        <v/>
      </c>
      <c r="AB1793">
        <f>AB1792+IF(X1793="",0,IF(ISNA(MATCH(X1793,X$256:X1792,0)),1,0))</f>
        <v/>
      </c>
      <c r="AC1793">
        <f>IF(AB1793&gt;AB1792,AB1793,"")</f>
        <v/>
      </c>
    </row>
    <row r="1794">
      <c r="W1794" s="7" t="n"/>
      <c r="X1794" s="7" t="n"/>
      <c r="Z1794">
        <f>Z1793+IF(W1794="",0,IF(ISNA(MATCH(W1794,W$256:W1793,0)),1,0))</f>
        <v/>
      </c>
      <c r="AA1794">
        <f>IF(Z1794&gt;Z1793,Z1794,"")</f>
        <v/>
      </c>
      <c r="AB1794">
        <f>AB1793+IF(X1794="",0,IF(ISNA(MATCH(X1794,X$256:X1793,0)),1,0))</f>
        <v/>
      </c>
      <c r="AC1794">
        <f>IF(AB1794&gt;AB1793,AB1794,"")</f>
        <v/>
      </c>
    </row>
    <row r="1795">
      <c r="W1795" s="7" t="n"/>
      <c r="X1795" s="7" t="n"/>
      <c r="Z1795">
        <f>Z1794+IF(W1795="",0,IF(ISNA(MATCH(W1795,W$256:W1794,0)),1,0))</f>
        <v/>
      </c>
      <c r="AA1795">
        <f>IF(Z1795&gt;Z1794,Z1795,"")</f>
        <v/>
      </c>
      <c r="AB1795">
        <f>AB1794+IF(X1795="",0,IF(ISNA(MATCH(X1795,X$256:X1794,0)),1,0))</f>
        <v/>
      </c>
      <c r="AC1795">
        <f>IF(AB1795&gt;AB1794,AB1795,"")</f>
        <v/>
      </c>
    </row>
    <row r="1796">
      <c r="W1796" s="7" t="n"/>
      <c r="X1796" s="7" t="n"/>
      <c r="Z1796">
        <f>Z1795+IF(W1796="",0,IF(ISNA(MATCH(W1796,W$256:W1795,0)),1,0))</f>
        <v/>
      </c>
      <c r="AA1796">
        <f>IF(Z1796&gt;Z1795,Z1796,"")</f>
        <v/>
      </c>
      <c r="AB1796">
        <f>AB1795+IF(X1796="",0,IF(ISNA(MATCH(X1796,X$256:X1795,0)),1,0))</f>
        <v/>
      </c>
      <c r="AC1796">
        <f>IF(AB1796&gt;AB1795,AB1796,"")</f>
        <v/>
      </c>
    </row>
    <row r="1797">
      <c r="W1797" s="7" t="n"/>
      <c r="X1797" s="7" t="n"/>
      <c r="Z1797">
        <f>Z1796+IF(W1797="",0,IF(ISNA(MATCH(W1797,W$256:W1796,0)),1,0))</f>
        <v/>
      </c>
      <c r="AA1797">
        <f>IF(Z1797&gt;Z1796,Z1797,"")</f>
        <v/>
      </c>
      <c r="AB1797">
        <f>AB1796+IF(X1797="",0,IF(ISNA(MATCH(X1797,X$256:X1796,0)),1,0))</f>
        <v/>
      </c>
      <c r="AC1797">
        <f>IF(AB1797&gt;AB1796,AB1797,"")</f>
        <v/>
      </c>
    </row>
    <row r="1798">
      <c r="W1798" s="7" t="n"/>
      <c r="X1798" s="7" t="n"/>
      <c r="Z1798">
        <f>Z1797+IF(W1798="",0,IF(ISNA(MATCH(W1798,W$256:W1797,0)),1,0))</f>
        <v/>
      </c>
      <c r="AA1798">
        <f>IF(Z1798&gt;Z1797,Z1798,"")</f>
        <v/>
      </c>
      <c r="AB1798">
        <f>AB1797+IF(X1798="",0,IF(ISNA(MATCH(X1798,X$256:X1797,0)),1,0))</f>
        <v/>
      </c>
      <c r="AC1798">
        <f>IF(AB1798&gt;AB1797,AB1798,"")</f>
        <v/>
      </c>
    </row>
    <row r="1799">
      <c r="W1799" s="7" t="n"/>
      <c r="X1799" s="7" t="n"/>
      <c r="Z1799">
        <f>Z1798+IF(W1799="",0,IF(ISNA(MATCH(W1799,W$256:W1798,0)),1,0))</f>
        <v/>
      </c>
      <c r="AA1799">
        <f>IF(Z1799&gt;Z1798,Z1799,"")</f>
        <v/>
      </c>
      <c r="AB1799">
        <f>AB1798+IF(X1799="",0,IF(ISNA(MATCH(X1799,X$256:X1798,0)),1,0))</f>
        <v/>
      </c>
      <c r="AC1799">
        <f>IF(AB1799&gt;AB1798,AB1799,"")</f>
        <v/>
      </c>
    </row>
    <row r="1800">
      <c r="W1800" s="7" t="n"/>
      <c r="X1800" s="7" t="n"/>
      <c r="Z1800">
        <f>Z1799+IF(W1800="",0,IF(ISNA(MATCH(W1800,W$256:W1799,0)),1,0))</f>
        <v/>
      </c>
      <c r="AA1800">
        <f>IF(Z1800&gt;Z1799,Z1800,"")</f>
        <v/>
      </c>
      <c r="AB1800">
        <f>AB1799+IF(X1800="",0,IF(ISNA(MATCH(X1800,X$256:X1799,0)),1,0))</f>
        <v/>
      </c>
      <c r="AC1800">
        <f>IF(AB1800&gt;AB1799,AB1800,"")</f>
        <v/>
      </c>
    </row>
    <row r="1801">
      <c r="W1801" s="7" t="n"/>
      <c r="X1801" s="7" t="n"/>
      <c r="Z1801">
        <f>Z1800+IF(W1801="",0,IF(ISNA(MATCH(W1801,W$256:W1800,0)),1,0))</f>
        <v/>
      </c>
      <c r="AA1801">
        <f>IF(Z1801&gt;Z1800,Z1801,"")</f>
        <v/>
      </c>
      <c r="AB1801">
        <f>AB1800+IF(X1801="",0,IF(ISNA(MATCH(X1801,X$256:X1800,0)),1,0))</f>
        <v/>
      </c>
      <c r="AC1801">
        <f>IF(AB1801&gt;AB1800,AB1801,"")</f>
        <v/>
      </c>
    </row>
    <row r="1802">
      <c r="W1802" s="7" t="n"/>
      <c r="X1802" s="7" t="n"/>
      <c r="Z1802">
        <f>Z1801+IF(W1802="",0,IF(ISNA(MATCH(W1802,W$256:W1801,0)),1,0))</f>
        <v/>
      </c>
      <c r="AA1802">
        <f>IF(Z1802&gt;Z1801,Z1802,"")</f>
        <v/>
      </c>
      <c r="AB1802">
        <f>AB1801+IF(X1802="",0,IF(ISNA(MATCH(X1802,X$256:X1801,0)),1,0))</f>
        <v/>
      </c>
      <c r="AC1802">
        <f>IF(AB1802&gt;AB1801,AB1802,"")</f>
        <v/>
      </c>
    </row>
    <row r="1803">
      <c r="W1803" s="7" t="n"/>
      <c r="X1803" s="7" t="n"/>
      <c r="Z1803">
        <f>Z1802+IF(W1803="",0,IF(ISNA(MATCH(W1803,W$256:W1802,0)),1,0))</f>
        <v/>
      </c>
      <c r="AA1803">
        <f>IF(Z1803&gt;Z1802,Z1803,"")</f>
        <v/>
      </c>
      <c r="AB1803">
        <f>AB1802+IF(X1803="",0,IF(ISNA(MATCH(X1803,X$256:X1802,0)),1,0))</f>
        <v/>
      </c>
      <c r="AC1803">
        <f>IF(AB1803&gt;AB1802,AB1803,"")</f>
        <v/>
      </c>
    </row>
    <row r="1804">
      <c r="W1804" s="7" t="n"/>
      <c r="X1804" s="7" t="n"/>
      <c r="Z1804">
        <f>Z1803+IF(W1804="",0,IF(ISNA(MATCH(W1804,W$256:W1803,0)),1,0))</f>
        <v/>
      </c>
      <c r="AA1804">
        <f>IF(Z1804&gt;Z1803,Z1804,"")</f>
        <v/>
      </c>
      <c r="AB1804">
        <f>AB1803+IF(X1804="",0,IF(ISNA(MATCH(X1804,X$256:X1803,0)),1,0))</f>
        <v/>
      </c>
      <c r="AC1804">
        <f>IF(AB1804&gt;AB1803,AB1804,"")</f>
        <v/>
      </c>
    </row>
    <row r="1805">
      <c r="W1805" s="7" t="n"/>
      <c r="X1805" s="7" t="n"/>
      <c r="Z1805">
        <f>Z1804+IF(W1805="",0,IF(ISNA(MATCH(W1805,W$256:W1804,0)),1,0))</f>
        <v/>
      </c>
      <c r="AA1805">
        <f>IF(Z1805&gt;Z1804,Z1805,"")</f>
        <v/>
      </c>
      <c r="AB1805">
        <f>AB1804+IF(X1805="",0,IF(ISNA(MATCH(X1805,X$256:X1804,0)),1,0))</f>
        <v/>
      </c>
      <c r="AC1805">
        <f>IF(AB1805&gt;AB1804,AB1805,"")</f>
        <v/>
      </c>
    </row>
    <row r="1806">
      <c r="W1806" s="7" t="n"/>
      <c r="X1806" s="7" t="n"/>
      <c r="Z1806">
        <f>Z1805+IF(W1806="",0,IF(ISNA(MATCH(W1806,W$256:W1805,0)),1,0))</f>
        <v/>
      </c>
      <c r="AA1806">
        <f>IF(Z1806&gt;Z1805,Z1806,"")</f>
        <v/>
      </c>
      <c r="AB1806">
        <f>AB1805+IF(X1806="",0,IF(ISNA(MATCH(X1806,X$256:X1805,0)),1,0))</f>
        <v/>
      </c>
      <c r="AC1806">
        <f>IF(AB1806&gt;AB1805,AB1806,"")</f>
        <v/>
      </c>
    </row>
    <row r="1807">
      <c r="W1807" s="7" t="n"/>
      <c r="X1807" s="7" t="n"/>
      <c r="Z1807">
        <f>Z1806+IF(W1807="",0,IF(ISNA(MATCH(W1807,W$256:W1806,0)),1,0))</f>
        <v/>
      </c>
      <c r="AA1807">
        <f>IF(Z1807&gt;Z1806,Z1807,"")</f>
        <v/>
      </c>
      <c r="AB1807">
        <f>AB1806+IF(X1807="",0,IF(ISNA(MATCH(X1807,X$256:X1806,0)),1,0))</f>
        <v/>
      </c>
      <c r="AC1807">
        <f>IF(AB1807&gt;AB1806,AB1807,"")</f>
        <v/>
      </c>
    </row>
    <row r="1808">
      <c r="W1808" s="7" t="n"/>
      <c r="X1808" s="7" t="n"/>
      <c r="Z1808">
        <f>Z1807+IF(W1808="",0,IF(ISNA(MATCH(W1808,W$256:W1807,0)),1,0))</f>
        <v/>
      </c>
      <c r="AA1808">
        <f>IF(Z1808&gt;Z1807,Z1808,"")</f>
        <v/>
      </c>
      <c r="AB1808">
        <f>AB1807+IF(X1808="",0,IF(ISNA(MATCH(X1808,X$256:X1807,0)),1,0))</f>
        <v/>
      </c>
      <c r="AC1808">
        <f>IF(AB1808&gt;AB1807,AB1808,"")</f>
        <v/>
      </c>
    </row>
    <row r="1809">
      <c r="W1809" s="7" t="n"/>
      <c r="X1809" s="7" t="n"/>
      <c r="Z1809">
        <f>Z1808+IF(W1809="",0,IF(ISNA(MATCH(W1809,W$256:W1808,0)),1,0))</f>
        <v/>
      </c>
      <c r="AA1809">
        <f>IF(Z1809&gt;Z1808,Z1809,"")</f>
        <v/>
      </c>
      <c r="AB1809">
        <f>AB1808+IF(X1809="",0,IF(ISNA(MATCH(X1809,X$256:X1808,0)),1,0))</f>
        <v/>
      </c>
      <c r="AC1809">
        <f>IF(AB1809&gt;AB1808,AB1809,"")</f>
        <v/>
      </c>
    </row>
    <row r="1810">
      <c r="W1810" s="7" t="n"/>
      <c r="X1810" s="7" t="n"/>
      <c r="Z1810">
        <f>Z1809+IF(W1810="",0,IF(ISNA(MATCH(W1810,W$256:W1809,0)),1,0))</f>
        <v/>
      </c>
      <c r="AA1810">
        <f>IF(Z1810&gt;Z1809,Z1810,"")</f>
        <v/>
      </c>
      <c r="AB1810">
        <f>AB1809+IF(X1810="",0,IF(ISNA(MATCH(X1810,X$256:X1809,0)),1,0))</f>
        <v/>
      </c>
      <c r="AC1810">
        <f>IF(AB1810&gt;AB1809,AB1810,"")</f>
        <v/>
      </c>
    </row>
    <row r="1811">
      <c r="W1811" s="7" t="n"/>
      <c r="X1811" s="7" t="n"/>
      <c r="Z1811">
        <f>Z1810+IF(W1811="",0,IF(ISNA(MATCH(W1811,W$256:W1810,0)),1,0))</f>
        <v/>
      </c>
      <c r="AA1811">
        <f>IF(Z1811&gt;Z1810,Z1811,"")</f>
        <v/>
      </c>
      <c r="AB1811">
        <f>AB1810+IF(X1811="",0,IF(ISNA(MATCH(X1811,X$256:X1810,0)),1,0))</f>
        <v/>
      </c>
      <c r="AC1811">
        <f>IF(AB1811&gt;AB1810,AB1811,"")</f>
        <v/>
      </c>
    </row>
    <row r="1812">
      <c r="W1812" s="7" t="n"/>
      <c r="X1812" s="7" t="n"/>
      <c r="Z1812">
        <f>Z1811+IF(W1812="",0,IF(ISNA(MATCH(W1812,W$256:W1811,0)),1,0))</f>
        <v/>
      </c>
      <c r="AA1812">
        <f>IF(Z1812&gt;Z1811,Z1812,"")</f>
        <v/>
      </c>
      <c r="AB1812">
        <f>AB1811+IF(X1812="",0,IF(ISNA(MATCH(X1812,X$256:X1811,0)),1,0))</f>
        <v/>
      </c>
      <c r="AC1812">
        <f>IF(AB1812&gt;AB1811,AB1812,"")</f>
        <v/>
      </c>
    </row>
    <row r="1813">
      <c r="W1813" s="7" t="n"/>
      <c r="X1813" s="7" t="n"/>
      <c r="Z1813">
        <f>Z1812+IF(W1813="",0,IF(ISNA(MATCH(W1813,W$256:W1812,0)),1,0))</f>
        <v/>
      </c>
      <c r="AA1813">
        <f>IF(Z1813&gt;Z1812,Z1813,"")</f>
        <v/>
      </c>
      <c r="AB1813">
        <f>AB1812+IF(X1813="",0,IF(ISNA(MATCH(X1813,X$256:X1812,0)),1,0))</f>
        <v/>
      </c>
      <c r="AC1813">
        <f>IF(AB1813&gt;AB1812,AB1813,"")</f>
        <v/>
      </c>
    </row>
    <row r="1814">
      <c r="W1814" s="7" t="n"/>
      <c r="X1814" s="7" t="n"/>
      <c r="Z1814">
        <f>Z1813+IF(W1814="",0,IF(ISNA(MATCH(W1814,W$256:W1813,0)),1,0))</f>
        <v/>
      </c>
      <c r="AA1814">
        <f>IF(Z1814&gt;Z1813,Z1814,"")</f>
        <v/>
      </c>
      <c r="AB1814">
        <f>AB1813+IF(X1814="",0,IF(ISNA(MATCH(X1814,X$256:X1813,0)),1,0))</f>
        <v/>
      </c>
      <c r="AC1814">
        <f>IF(AB1814&gt;AB1813,AB1814,"")</f>
        <v/>
      </c>
    </row>
    <row r="1815">
      <c r="W1815" s="7" t="n"/>
      <c r="X1815" s="7" t="n"/>
      <c r="Z1815">
        <f>Z1814+IF(W1815="",0,IF(ISNA(MATCH(W1815,W$256:W1814,0)),1,0))</f>
        <v/>
      </c>
      <c r="AA1815">
        <f>IF(Z1815&gt;Z1814,Z1815,"")</f>
        <v/>
      </c>
      <c r="AB1815">
        <f>AB1814+IF(X1815="",0,IF(ISNA(MATCH(X1815,X$256:X1814,0)),1,0))</f>
        <v/>
      </c>
      <c r="AC1815">
        <f>IF(AB1815&gt;AB1814,AB1815,"")</f>
        <v/>
      </c>
    </row>
    <row r="1816">
      <c r="W1816" s="7" t="n"/>
      <c r="X1816" s="7" t="n"/>
      <c r="Z1816">
        <f>Z1815+IF(W1816="",0,IF(ISNA(MATCH(W1816,W$256:W1815,0)),1,0))</f>
        <v/>
      </c>
      <c r="AA1816">
        <f>IF(Z1816&gt;Z1815,Z1816,"")</f>
        <v/>
      </c>
      <c r="AB1816">
        <f>AB1815+IF(X1816="",0,IF(ISNA(MATCH(X1816,X$256:X1815,0)),1,0))</f>
        <v/>
      </c>
      <c r="AC1816">
        <f>IF(AB1816&gt;AB1815,AB1816,"")</f>
        <v/>
      </c>
    </row>
    <row r="1817">
      <c r="W1817" s="7" t="n"/>
      <c r="X1817" s="7" t="n"/>
      <c r="Z1817">
        <f>Z1816+IF(W1817="",0,IF(ISNA(MATCH(W1817,W$256:W1816,0)),1,0))</f>
        <v/>
      </c>
      <c r="AA1817">
        <f>IF(Z1817&gt;Z1816,Z1817,"")</f>
        <v/>
      </c>
      <c r="AB1817">
        <f>AB1816+IF(X1817="",0,IF(ISNA(MATCH(X1817,X$256:X1816,0)),1,0))</f>
        <v/>
      </c>
      <c r="AC1817">
        <f>IF(AB1817&gt;AB1816,AB1817,"")</f>
        <v/>
      </c>
    </row>
    <row r="1818">
      <c r="W1818" s="7" t="n"/>
      <c r="X1818" s="7" t="n"/>
      <c r="Z1818">
        <f>Z1817+IF(W1818="",0,IF(ISNA(MATCH(W1818,W$256:W1817,0)),1,0))</f>
        <v/>
      </c>
      <c r="AA1818">
        <f>IF(Z1818&gt;Z1817,Z1818,"")</f>
        <v/>
      </c>
      <c r="AB1818">
        <f>AB1817+IF(X1818="",0,IF(ISNA(MATCH(X1818,X$256:X1817,0)),1,0))</f>
        <v/>
      </c>
      <c r="AC1818">
        <f>IF(AB1818&gt;AB1817,AB1818,"")</f>
        <v/>
      </c>
    </row>
    <row r="1819">
      <c r="W1819" s="7" t="n"/>
      <c r="X1819" s="7" t="n"/>
      <c r="Z1819">
        <f>Z1818+IF(W1819="",0,IF(ISNA(MATCH(W1819,W$256:W1818,0)),1,0))</f>
        <v/>
      </c>
      <c r="AA1819">
        <f>IF(Z1819&gt;Z1818,Z1819,"")</f>
        <v/>
      </c>
      <c r="AB1819">
        <f>AB1818+IF(X1819="",0,IF(ISNA(MATCH(X1819,X$256:X1818,0)),1,0))</f>
        <v/>
      </c>
      <c r="AC1819">
        <f>IF(AB1819&gt;AB1818,AB1819,"")</f>
        <v/>
      </c>
    </row>
    <row r="1820">
      <c r="W1820" s="7" t="n"/>
      <c r="X1820" s="7" t="n"/>
      <c r="Z1820">
        <f>Z1819+IF(W1820="",0,IF(ISNA(MATCH(W1820,W$256:W1819,0)),1,0))</f>
        <v/>
      </c>
      <c r="AA1820">
        <f>IF(Z1820&gt;Z1819,Z1820,"")</f>
        <v/>
      </c>
      <c r="AB1820">
        <f>AB1819+IF(X1820="",0,IF(ISNA(MATCH(X1820,X$256:X1819,0)),1,0))</f>
        <v/>
      </c>
      <c r="AC1820">
        <f>IF(AB1820&gt;AB1819,AB1820,"")</f>
        <v/>
      </c>
    </row>
    <row r="1821">
      <c r="W1821" s="7" t="n"/>
      <c r="X1821" s="7" t="n"/>
      <c r="Z1821">
        <f>Z1820+IF(W1821="",0,IF(ISNA(MATCH(W1821,W$256:W1820,0)),1,0))</f>
        <v/>
      </c>
      <c r="AA1821">
        <f>IF(Z1821&gt;Z1820,Z1821,"")</f>
        <v/>
      </c>
      <c r="AB1821">
        <f>AB1820+IF(X1821="",0,IF(ISNA(MATCH(X1821,X$256:X1820,0)),1,0))</f>
        <v/>
      </c>
      <c r="AC1821">
        <f>IF(AB1821&gt;AB1820,AB1821,"")</f>
        <v/>
      </c>
    </row>
    <row r="1822">
      <c r="W1822" s="7" t="n"/>
      <c r="X1822" s="7" t="n"/>
      <c r="Z1822">
        <f>Z1821+IF(W1822="",0,IF(ISNA(MATCH(W1822,W$256:W1821,0)),1,0))</f>
        <v/>
      </c>
      <c r="AA1822">
        <f>IF(Z1822&gt;Z1821,Z1822,"")</f>
        <v/>
      </c>
      <c r="AB1822">
        <f>AB1821+IF(X1822="",0,IF(ISNA(MATCH(X1822,X$256:X1821,0)),1,0))</f>
        <v/>
      </c>
      <c r="AC1822">
        <f>IF(AB1822&gt;AB1821,AB1822,"")</f>
        <v/>
      </c>
    </row>
    <row r="1823">
      <c r="W1823" s="7" t="n"/>
      <c r="X1823" s="7" t="n"/>
      <c r="Z1823">
        <f>Z1822+IF(W1823="",0,IF(ISNA(MATCH(W1823,W$256:W1822,0)),1,0))</f>
        <v/>
      </c>
      <c r="AA1823">
        <f>IF(Z1823&gt;Z1822,Z1823,"")</f>
        <v/>
      </c>
      <c r="AB1823">
        <f>AB1822+IF(X1823="",0,IF(ISNA(MATCH(X1823,X$256:X1822,0)),1,0))</f>
        <v/>
      </c>
      <c r="AC1823">
        <f>IF(AB1823&gt;AB1822,AB1823,"")</f>
        <v/>
      </c>
    </row>
    <row r="1824">
      <c r="W1824" s="7" t="n"/>
      <c r="X1824" s="7" t="n"/>
      <c r="Z1824">
        <f>Z1823+IF(W1824="",0,IF(ISNA(MATCH(W1824,W$256:W1823,0)),1,0))</f>
        <v/>
      </c>
      <c r="AA1824">
        <f>IF(Z1824&gt;Z1823,Z1824,"")</f>
        <v/>
      </c>
      <c r="AB1824">
        <f>AB1823+IF(X1824="",0,IF(ISNA(MATCH(X1824,X$256:X1823,0)),1,0))</f>
        <v/>
      </c>
      <c r="AC1824">
        <f>IF(AB1824&gt;AB1823,AB1824,"")</f>
        <v/>
      </c>
    </row>
    <row r="1825">
      <c r="W1825" s="7" t="n"/>
      <c r="X1825" s="7" t="n"/>
      <c r="Z1825">
        <f>Z1824+IF(W1825="",0,IF(ISNA(MATCH(W1825,W$256:W1824,0)),1,0))</f>
        <v/>
      </c>
      <c r="AA1825">
        <f>IF(Z1825&gt;Z1824,Z1825,"")</f>
        <v/>
      </c>
      <c r="AB1825">
        <f>AB1824+IF(X1825="",0,IF(ISNA(MATCH(X1825,X$256:X1824,0)),1,0))</f>
        <v/>
      </c>
      <c r="AC1825">
        <f>IF(AB1825&gt;AB1824,AB1825,"")</f>
        <v/>
      </c>
    </row>
    <row r="1826">
      <c r="W1826" s="7" t="n"/>
      <c r="X1826" s="7" t="n"/>
      <c r="Z1826">
        <f>Z1825+IF(W1826="",0,IF(ISNA(MATCH(W1826,W$256:W1825,0)),1,0))</f>
        <v/>
      </c>
      <c r="AA1826">
        <f>IF(Z1826&gt;Z1825,Z1826,"")</f>
        <v/>
      </c>
      <c r="AB1826">
        <f>AB1825+IF(X1826="",0,IF(ISNA(MATCH(X1826,X$256:X1825,0)),1,0))</f>
        <v/>
      </c>
      <c r="AC1826">
        <f>IF(AB1826&gt;AB1825,AB1826,"")</f>
        <v/>
      </c>
    </row>
    <row r="1827">
      <c r="W1827" s="7" t="n"/>
      <c r="X1827" s="7" t="n"/>
      <c r="Z1827">
        <f>Z1826+IF(W1827="",0,IF(ISNA(MATCH(W1827,W$256:W1826,0)),1,0))</f>
        <v/>
      </c>
      <c r="AA1827">
        <f>IF(Z1827&gt;Z1826,Z1827,"")</f>
        <v/>
      </c>
      <c r="AB1827">
        <f>AB1826+IF(X1827="",0,IF(ISNA(MATCH(X1827,X$256:X1826,0)),1,0))</f>
        <v/>
      </c>
      <c r="AC1827">
        <f>IF(AB1827&gt;AB1826,AB1827,"")</f>
        <v/>
      </c>
    </row>
    <row r="1828">
      <c r="W1828" s="7" t="n"/>
      <c r="X1828" s="7" t="n"/>
      <c r="Z1828">
        <f>Z1827+IF(W1828="",0,IF(ISNA(MATCH(W1828,W$256:W1827,0)),1,0))</f>
        <v/>
      </c>
      <c r="AA1828">
        <f>IF(Z1828&gt;Z1827,Z1828,"")</f>
        <v/>
      </c>
      <c r="AB1828">
        <f>AB1827+IF(X1828="",0,IF(ISNA(MATCH(X1828,X$256:X1827,0)),1,0))</f>
        <v/>
      </c>
      <c r="AC1828">
        <f>IF(AB1828&gt;AB1827,AB1828,"")</f>
        <v/>
      </c>
    </row>
    <row r="1829">
      <c r="W1829" s="7" t="n"/>
      <c r="X1829" s="7" t="n"/>
      <c r="Z1829">
        <f>Z1828+IF(W1829="",0,IF(ISNA(MATCH(W1829,W$256:W1828,0)),1,0))</f>
        <v/>
      </c>
      <c r="AA1829">
        <f>IF(Z1829&gt;Z1828,Z1829,"")</f>
        <v/>
      </c>
      <c r="AB1829">
        <f>AB1828+IF(X1829="",0,IF(ISNA(MATCH(X1829,X$256:X1828,0)),1,0))</f>
        <v/>
      </c>
      <c r="AC1829">
        <f>IF(AB1829&gt;AB1828,AB1829,"")</f>
        <v/>
      </c>
    </row>
    <row r="1830">
      <c r="W1830" s="7" t="n"/>
      <c r="X1830" s="7" t="n"/>
      <c r="Z1830">
        <f>Z1829+IF(W1830="",0,IF(ISNA(MATCH(W1830,W$256:W1829,0)),1,0))</f>
        <v/>
      </c>
      <c r="AA1830">
        <f>IF(Z1830&gt;Z1829,Z1830,"")</f>
        <v/>
      </c>
      <c r="AB1830">
        <f>AB1829+IF(X1830="",0,IF(ISNA(MATCH(X1830,X$256:X1829,0)),1,0))</f>
        <v/>
      </c>
      <c r="AC1830">
        <f>IF(AB1830&gt;AB1829,AB1830,"")</f>
        <v/>
      </c>
    </row>
    <row r="1831">
      <c r="W1831" s="7" t="n"/>
      <c r="X1831" s="7" t="n"/>
      <c r="Z1831">
        <f>Z1830+IF(W1831="",0,IF(ISNA(MATCH(W1831,W$256:W1830,0)),1,0))</f>
        <v/>
      </c>
      <c r="AA1831">
        <f>IF(Z1831&gt;Z1830,Z1831,"")</f>
        <v/>
      </c>
      <c r="AB1831">
        <f>AB1830+IF(X1831="",0,IF(ISNA(MATCH(X1831,X$256:X1830,0)),1,0))</f>
        <v/>
      </c>
      <c r="AC1831">
        <f>IF(AB1831&gt;AB1830,AB1831,"")</f>
        <v/>
      </c>
    </row>
    <row r="1832">
      <c r="W1832" s="7" t="n"/>
      <c r="X1832" s="7" t="n"/>
      <c r="Z1832">
        <f>Z1831+IF(W1832="",0,IF(ISNA(MATCH(W1832,W$256:W1831,0)),1,0))</f>
        <v/>
      </c>
      <c r="AA1832">
        <f>IF(Z1832&gt;Z1831,Z1832,"")</f>
        <v/>
      </c>
      <c r="AB1832">
        <f>AB1831+IF(X1832="",0,IF(ISNA(MATCH(X1832,X$256:X1831,0)),1,0))</f>
        <v/>
      </c>
      <c r="AC1832">
        <f>IF(AB1832&gt;AB1831,AB1832,"")</f>
        <v/>
      </c>
    </row>
    <row r="1833">
      <c r="W1833" s="7" t="n"/>
      <c r="X1833" s="7" t="n"/>
      <c r="Z1833">
        <f>Z1832+IF(W1833="",0,IF(ISNA(MATCH(W1833,W$256:W1832,0)),1,0))</f>
        <v/>
      </c>
      <c r="AA1833">
        <f>IF(Z1833&gt;Z1832,Z1833,"")</f>
        <v/>
      </c>
      <c r="AB1833">
        <f>AB1832+IF(X1833="",0,IF(ISNA(MATCH(X1833,X$256:X1832,0)),1,0))</f>
        <v/>
      </c>
      <c r="AC1833">
        <f>IF(AB1833&gt;AB1832,AB1833,"")</f>
        <v/>
      </c>
    </row>
    <row r="1834">
      <c r="W1834" s="7" t="n"/>
      <c r="X1834" s="7" t="n"/>
      <c r="Z1834">
        <f>Z1833+IF(W1834="",0,IF(ISNA(MATCH(W1834,W$256:W1833,0)),1,0))</f>
        <v/>
      </c>
      <c r="AA1834">
        <f>IF(Z1834&gt;Z1833,Z1834,"")</f>
        <v/>
      </c>
      <c r="AB1834">
        <f>AB1833+IF(X1834="",0,IF(ISNA(MATCH(X1834,X$256:X1833,0)),1,0))</f>
        <v/>
      </c>
      <c r="AC1834">
        <f>IF(AB1834&gt;AB1833,AB1834,"")</f>
        <v/>
      </c>
    </row>
    <row r="1835">
      <c r="W1835" s="7" t="n"/>
      <c r="X1835" s="7" t="n"/>
      <c r="Z1835">
        <f>Z1834+IF(W1835="",0,IF(ISNA(MATCH(W1835,W$256:W1834,0)),1,0))</f>
        <v/>
      </c>
      <c r="AA1835">
        <f>IF(Z1835&gt;Z1834,Z1835,"")</f>
        <v/>
      </c>
      <c r="AB1835">
        <f>AB1834+IF(X1835="",0,IF(ISNA(MATCH(X1835,X$256:X1834,0)),1,0))</f>
        <v/>
      </c>
      <c r="AC1835">
        <f>IF(AB1835&gt;AB1834,AB1835,"")</f>
        <v/>
      </c>
    </row>
    <row r="1836">
      <c r="W1836" s="7" t="n"/>
      <c r="X1836" s="7" t="n"/>
      <c r="Z1836">
        <f>Z1835+IF(W1836="",0,IF(ISNA(MATCH(W1836,W$256:W1835,0)),1,0))</f>
        <v/>
      </c>
      <c r="AA1836">
        <f>IF(Z1836&gt;Z1835,Z1836,"")</f>
        <v/>
      </c>
      <c r="AB1836">
        <f>AB1835+IF(X1836="",0,IF(ISNA(MATCH(X1836,X$256:X1835,0)),1,0))</f>
        <v/>
      </c>
      <c r="AC1836">
        <f>IF(AB1836&gt;AB1835,AB1836,"")</f>
        <v/>
      </c>
    </row>
    <row r="1837">
      <c r="W1837" s="7" t="n"/>
      <c r="X1837" s="7" t="n"/>
      <c r="Z1837">
        <f>Z1836+IF(W1837="",0,IF(ISNA(MATCH(W1837,W$256:W1836,0)),1,0))</f>
        <v/>
      </c>
      <c r="AA1837">
        <f>IF(Z1837&gt;Z1836,Z1837,"")</f>
        <v/>
      </c>
      <c r="AB1837">
        <f>AB1836+IF(X1837="",0,IF(ISNA(MATCH(X1837,X$256:X1836,0)),1,0))</f>
        <v/>
      </c>
      <c r="AC1837">
        <f>IF(AB1837&gt;AB1836,AB1837,"")</f>
        <v/>
      </c>
    </row>
    <row r="1838">
      <c r="W1838" s="7" t="n"/>
      <c r="X1838" s="7" t="n"/>
      <c r="Z1838">
        <f>Z1837+IF(W1838="",0,IF(ISNA(MATCH(W1838,W$256:W1837,0)),1,0))</f>
        <v/>
      </c>
      <c r="AA1838">
        <f>IF(Z1838&gt;Z1837,Z1838,"")</f>
        <v/>
      </c>
      <c r="AB1838">
        <f>AB1837+IF(X1838="",0,IF(ISNA(MATCH(X1838,X$256:X1837,0)),1,0))</f>
        <v/>
      </c>
      <c r="AC1838">
        <f>IF(AB1838&gt;AB1837,AB1838,"")</f>
        <v/>
      </c>
    </row>
    <row r="1839">
      <c r="W1839" s="7" t="n"/>
      <c r="X1839" s="7" t="n"/>
      <c r="Z1839">
        <f>Z1838+IF(W1839="",0,IF(ISNA(MATCH(W1839,W$256:W1838,0)),1,0))</f>
        <v/>
      </c>
      <c r="AA1839">
        <f>IF(Z1839&gt;Z1838,Z1839,"")</f>
        <v/>
      </c>
      <c r="AB1839">
        <f>AB1838+IF(X1839="",0,IF(ISNA(MATCH(X1839,X$256:X1838,0)),1,0))</f>
        <v/>
      </c>
      <c r="AC1839">
        <f>IF(AB1839&gt;AB1838,AB1839,"")</f>
        <v/>
      </c>
    </row>
    <row r="1840">
      <c r="W1840" s="7" t="n"/>
      <c r="X1840" s="7" t="n"/>
      <c r="Z1840">
        <f>Z1839+IF(W1840="",0,IF(ISNA(MATCH(W1840,W$256:W1839,0)),1,0))</f>
        <v/>
      </c>
      <c r="AA1840">
        <f>IF(Z1840&gt;Z1839,Z1840,"")</f>
        <v/>
      </c>
      <c r="AB1840">
        <f>AB1839+IF(X1840="",0,IF(ISNA(MATCH(X1840,X$256:X1839,0)),1,0))</f>
        <v/>
      </c>
      <c r="AC1840">
        <f>IF(AB1840&gt;AB1839,AB1840,"")</f>
        <v/>
      </c>
    </row>
    <row r="1841">
      <c r="W1841" s="7" t="n"/>
      <c r="X1841" s="7" t="n"/>
      <c r="Z1841">
        <f>Z1840+IF(W1841="",0,IF(ISNA(MATCH(W1841,W$256:W1840,0)),1,0))</f>
        <v/>
      </c>
      <c r="AA1841">
        <f>IF(Z1841&gt;Z1840,Z1841,"")</f>
        <v/>
      </c>
      <c r="AB1841">
        <f>AB1840+IF(X1841="",0,IF(ISNA(MATCH(X1841,X$256:X1840,0)),1,0))</f>
        <v/>
      </c>
      <c r="AC1841">
        <f>IF(AB1841&gt;AB1840,AB1841,"")</f>
        <v/>
      </c>
    </row>
    <row r="1842">
      <c r="W1842" s="7" t="n"/>
      <c r="X1842" s="7" t="n"/>
      <c r="Z1842">
        <f>Z1841+IF(W1842="",0,IF(ISNA(MATCH(W1842,W$256:W1841,0)),1,0))</f>
        <v/>
      </c>
      <c r="AA1842">
        <f>IF(Z1842&gt;Z1841,Z1842,"")</f>
        <v/>
      </c>
      <c r="AB1842">
        <f>AB1841+IF(X1842="",0,IF(ISNA(MATCH(X1842,X$256:X1841,0)),1,0))</f>
        <v/>
      </c>
      <c r="AC1842">
        <f>IF(AB1842&gt;AB1841,AB1842,"")</f>
        <v/>
      </c>
    </row>
    <row r="1843">
      <c r="W1843" s="7" t="n"/>
      <c r="X1843" s="7" t="n"/>
      <c r="Z1843">
        <f>Z1842+IF(W1843="",0,IF(ISNA(MATCH(W1843,W$256:W1842,0)),1,0))</f>
        <v/>
      </c>
      <c r="AA1843">
        <f>IF(Z1843&gt;Z1842,Z1843,"")</f>
        <v/>
      </c>
      <c r="AB1843">
        <f>AB1842+IF(X1843="",0,IF(ISNA(MATCH(X1843,X$256:X1842,0)),1,0))</f>
        <v/>
      </c>
      <c r="AC1843">
        <f>IF(AB1843&gt;AB1842,AB1843,"")</f>
        <v/>
      </c>
    </row>
    <row r="1844">
      <c r="W1844" s="7" t="n"/>
      <c r="X1844" s="7" t="n"/>
      <c r="Z1844">
        <f>Z1843+IF(W1844="",0,IF(ISNA(MATCH(W1844,W$256:W1843,0)),1,0))</f>
        <v/>
      </c>
      <c r="AA1844">
        <f>IF(Z1844&gt;Z1843,Z1844,"")</f>
        <v/>
      </c>
      <c r="AB1844">
        <f>AB1843+IF(X1844="",0,IF(ISNA(MATCH(X1844,X$256:X1843,0)),1,0))</f>
        <v/>
      </c>
      <c r="AC1844">
        <f>IF(AB1844&gt;AB1843,AB1844,"")</f>
        <v/>
      </c>
    </row>
    <row r="1845">
      <c r="W1845" s="7" t="n"/>
      <c r="X1845" s="7" t="n"/>
      <c r="Z1845">
        <f>Z1844+IF(W1845="",0,IF(ISNA(MATCH(W1845,W$256:W1844,0)),1,0))</f>
        <v/>
      </c>
      <c r="AA1845">
        <f>IF(Z1845&gt;Z1844,Z1845,"")</f>
        <v/>
      </c>
      <c r="AB1845">
        <f>AB1844+IF(X1845="",0,IF(ISNA(MATCH(X1845,X$256:X1844,0)),1,0))</f>
        <v/>
      </c>
      <c r="AC1845">
        <f>IF(AB1845&gt;AB1844,AB1845,"")</f>
        <v/>
      </c>
    </row>
    <row r="1846">
      <c r="W1846" s="7" t="n"/>
      <c r="X1846" s="7" t="n"/>
      <c r="Z1846">
        <f>Z1845+IF(W1846="",0,IF(ISNA(MATCH(W1846,W$256:W1845,0)),1,0))</f>
        <v/>
      </c>
      <c r="AA1846">
        <f>IF(Z1846&gt;Z1845,Z1846,"")</f>
        <v/>
      </c>
      <c r="AB1846">
        <f>AB1845+IF(X1846="",0,IF(ISNA(MATCH(X1846,X$256:X1845,0)),1,0))</f>
        <v/>
      </c>
      <c r="AC1846">
        <f>IF(AB1846&gt;AB1845,AB1846,"")</f>
        <v/>
      </c>
    </row>
    <row r="1847">
      <c r="W1847" s="7" t="n"/>
      <c r="X1847" s="7" t="n"/>
      <c r="Z1847">
        <f>Z1846+IF(W1847="",0,IF(ISNA(MATCH(W1847,W$256:W1846,0)),1,0))</f>
        <v/>
      </c>
      <c r="AA1847">
        <f>IF(Z1847&gt;Z1846,Z1847,"")</f>
        <v/>
      </c>
      <c r="AB1847">
        <f>AB1846+IF(X1847="",0,IF(ISNA(MATCH(X1847,X$256:X1846,0)),1,0))</f>
        <v/>
      </c>
      <c r="AC1847">
        <f>IF(AB1847&gt;AB1846,AB1847,"")</f>
        <v/>
      </c>
    </row>
    <row r="1848">
      <c r="W1848" s="7" t="n"/>
      <c r="X1848" s="7" t="n"/>
      <c r="Z1848">
        <f>Z1847+IF(W1848="",0,IF(ISNA(MATCH(W1848,W$256:W1847,0)),1,0))</f>
        <v/>
      </c>
      <c r="AA1848">
        <f>IF(Z1848&gt;Z1847,Z1848,"")</f>
        <v/>
      </c>
      <c r="AB1848">
        <f>AB1847+IF(X1848="",0,IF(ISNA(MATCH(X1848,X$256:X1847,0)),1,0))</f>
        <v/>
      </c>
      <c r="AC1848">
        <f>IF(AB1848&gt;AB1847,AB1848,"")</f>
        <v/>
      </c>
    </row>
    <row r="1849">
      <c r="W1849" s="7" t="n"/>
      <c r="X1849" s="7" t="n"/>
      <c r="Z1849">
        <f>Z1848+IF(W1849="",0,IF(ISNA(MATCH(W1849,W$256:W1848,0)),1,0))</f>
        <v/>
      </c>
      <c r="AA1849">
        <f>IF(Z1849&gt;Z1848,Z1849,"")</f>
        <v/>
      </c>
      <c r="AB1849">
        <f>AB1848+IF(X1849="",0,IF(ISNA(MATCH(X1849,X$256:X1848,0)),1,0))</f>
        <v/>
      </c>
      <c r="AC1849">
        <f>IF(AB1849&gt;AB1848,AB1849,"")</f>
        <v/>
      </c>
    </row>
    <row r="1850">
      <c r="W1850" s="7" t="n"/>
      <c r="X1850" s="7" t="n"/>
      <c r="Z1850">
        <f>Z1849+IF(W1850="",0,IF(ISNA(MATCH(W1850,W$256:W1849,0)),1,0))</f>
        <v/>
      </c>
      <c r="AA1850">
        <f>IF(Z1850&gt;Z1849,Z1850,"")</f>
        <v/>
      </c>
      <c r="AB1850">
        <f>AB1849+IF(X1850="",0,IF(ISNA(MATCH(X1850,X$256:X1849,0)),1,0))</f>
        <v/>
      </c>
      <c r="AC1850">
        <f>IF(AB1850&gt;AB1849,AB1850,"")</f>
        <v/>
      </c>
    </row>
    <row r="1851">
      <c r="W1851" s="7" t="n"/>
      <c r="X1851" s="7" t="n"/>
      <c r="Z1851">
        <f>Z1850+IF(W1851="",0,IF(ISNA(MATCH(W1851,W$256:W1850,0)),1,0))</f>
        <v/>
      </c>
      <c r="AA1851">
        <f>IF(Z1851&gt;Z1850,Z1851,"")</f>
        <v/>
      </c>
      <c r="AB1851">
        <f>AB1850+IF(X1851="",0,IF(ISNA(MATCH(X1851,X$256:X1850,0)),1,0))</f>
        <v/>
      </c>
      <c r="AC1851">
        <f>IF(AB1851&gt;AB1850,AB1851,"")</f>
        <v/>
      </c>
    </row>
    <row r="1852">
      <c r="W1852" s="7" t="n"/>
      <c r="X1852" s="7" t="n"/>
      <c r="Z1852">
        <f>Z1851+IF(W1852="",0,IF(ISNA(MATCH(W1852,W$256:W1851,0)),1,0))</f>
        <v/>
      </c>
      <c r="AA1852">
        <f>IF(Z1852&gt;Z1851,Z1852,"")</f>
        <v/>
      </c>
      <c r="AB1852">
        <f>AB1851+IF(X1852="",0,IF(ISNA(MATCH(X1852,X$256:X1851,0)),1,0))</f>
        <v/>
      </c>
      <c r="AC1852">
        <f>IF(AB1852&gt;AB1851,AB1852,"")</f>
        <v/>
      </c>
    </row>
    <row r="1853">
      <c r="W1853" s="7" t="n"/>
      <c r="X1853" s="7" t="n"/>
      <c r="Z1853">
        <f>Z1852+IF(W1853="",0,IF(ISNA(MATCH(W1853,W$256:W1852,0)),1,0))</f>
        <v/>
      </c>
      <c r="AA1853">
        <f>IF(Z1853&gt;Z1852,Z1853,"")</f>
        <v/>
      </c>
      <c r="AB1853">
        <f>AB1852+IF(X1853="",0,IF(ISNA(MATCH(X1853,X$256:X1852,0)),1,0))</f>
        <v/>
      </c>
      <c r="AC1853">
        <f>IF(AB1853&gt;AB1852,AB1853,"")</f>
        <v/>
      </c>
    </row>
    <row r="1854">
      <c r="W1854" s="7" t="n"/>
      <c r="X1854" s="7" t="n"/>
      <c r="Z1854">
        <f>Z1853+IF(W1854="",0,IF(ISNA(MATCH(W1854,W$256:W1853,0)),1,0))</f>
        <v/>
      </c>
      <c r="AA1854">
        <f>IF(Z1854&gt;Z1853,Z1854,"")</f>
        <v/>
      </c>
      <c r="AB1854">
        <f>AB1853+IF(X1854="",0,IF(ISNA(MATCH(X1854,X$256:X1853,0)),1,0))</f>
        <v/>
      </c>
      <c r="AC1854">
        <f>IF(AB1854&gt;AB1853,AB1854,"")</f>
        <v/>
      </c>
    </row>
    <row r="1855">
      <c r="W1855" s="7" t="n"/>
      <c r="X1855" s="7" t="n"/>
      <c r="Z1855">
        <f>Z1854+IF(W1855="",0,IF(ISNA(MATCH(W1855,W$256:W1854,0)),1,0))</f>
        <v/>
      </c>
      <c r="AA1855">
        <f>IF(Z1855&gt;Z1854,Z1855,"")</f>
        <v/>
      </c>
      <c r="AB1855">
        <f>AB1854+IF(X1855="",0,IF(ISNA(MATCH(X1855,X$256:X1854,0)),1,0))</f>
        <v/>
      </c>
      <c r="AC1855">
        <f>IF(AB1855&gt;AB1854,AB1855,"")</f>
        <v/>
      </c>
    </row>
    <row r="1856">
      <c r="W1856" s="7" t="n"/>
      <c r="X1856" s="7" t="n"/>
      <c r="Z1856">
        <f>Z1855+IF(W1856="",0,IF(ISNA(MATCH(W1856,W$256:W1855,0)),1,0))</f>
        <v/>
      </c>
      <c r="AA1856">
        <f>IF(Z1856&gt;Z1855,Z1856,"")</f>
        <v/>
      </c>
      <c r="AB1856">
        <f>AB1855+IF(X1856="",0,IF(ISNA(MATCH(X1856,X$256:X1855,0)),1,0))</f>
        <v/>
      </c>
      <c r="AC1856">
        <f>IF(AB1856&gt;AB1855,AB1856,"")</f>
        <v/>
      </c>
    </row>
    <row r="1857">
      <c r="W1857" s="7" t="n"/>
      <c r="X1857" s="7" t="n"/>
      <c r="Z1857">
        <f>Z1856+IF(W1857="",0,IF(ISNA(MATCH(W1857,W$256:W1856,0)),1,0))</f>
        <v/>
      </c>
      <c r="AA1857">
        <f>IF(Z1857&gt;Z1856,Z1857,"")</f>
        <v/>
      </c>
      <c r="AB1857">
        <f>AB1856+IF(X1857="",0,IF(ISNA(MATCH(X1857,X$256:X1856,0)),1,0))</f>
        <v/>
      </c>
      <c r="AC1857">
        <f>IF(AB1857&gt;AB1856,AB1857,"")</f>
        <v/>
      </c>
    </row>
    <row r="1858">
      <c r="W1858" s="7" t="n"/>
      <c r="X1858" s="7" t="n"/>
      <c r="Z1858">
        <f>Z1857+IF(W1858="",0,IF(ISNA(MATCH(W1858,W$256:W1857,0)),1,0))</f>
        <v/>
      </c>
      <c r="AA1858">
        <f>IF(Z1858&gt;Z1857,Z1858,"")</f>
        <v/>
      </c>
      <c r="AB1858">
        <f>AB1857+IF(X1858="",0,IF(ISNA(MATCH(X1858,X$256:X1857,0)),1,0))</f>
        <v/>
      </c>
      <c r="AC1858">
        <f>IF(AB1858&gt;AB1857,AB1858,"")</f>
        <v/>
      </c>
    </row>
    <row r="1859">
      <c r="W1859" s="7" t="n"/>
      <c r="X1859" s="7" t="n"/>
      <c r="Z1859">
        <f>Z1858+IF(W1859="",0,IF(ISNA(MATCH(W1859,W$256:W1858,0)),1,0))</f>
        <v/>
      </c>
      <c r="AA1859">
        <f>IF(Z1859&gt;Z1858,Z1859,"")</f>
        <v/>
      </c>
      <c r="AB1859">
        <f>AB1858+IF(X1859="",0,IF(ISNA(MATCH(X1859,X$256:X1858,0)),1,0))</f>
        <v/>
      </c>
      <c r="AC1859">
        <f>IF(AB1859&gt;AB1858,AB1859,"")</f>
        <v/>
      </c>
    </row>
    <row r="1860">
      <c r="W1860" s="7" t="n"/>
      <c r="X1860" s="7" t="n"/>
      <c r="Z1860">
        <f>Z1859+IF(W1860="",0,IF(ISNA(MATCH(W1860,W$256:W1859,0)),1,0))</f>
        <v/>
      </c>
      <c r="AA1860">
        <f>IF(Z1860&gt;Z1859,Z1860,"")</f>
        <v/>
      </c>
      <c r="AB1860">
        <f>AB1859+IF(X1860="",0,IF(ISNA(MATCH(X1860,X$256:X1859,0)),1,0))</f>
        <v/>
      </c>
      <c r="AC1860">
        <f>IF(AB1860&gt;AB1859,AB1860,"")</f>
        <v/>
      </c>
    </row>
    <row r="1861">
      <c r="W1861" s="7" t="n"/>
      <c r="X1861" s="7" t="n"/>
      <c r="Z1861">
        <f>Z1860+IF(W1861="",0,IF(ISNA(MATCH(W1861,W$256:W1860,0)),1,0))</f>
        <v/>
      </c>
      <c r="AA1861">
        <f>IF(Z1861&gt;Z1860,Z1861,"")</f>
        <v/>
      </c>
      <c r="AB1861">
        <f>AB1860+IF(X1861="",0,IF(ISNA(MATCH(X1861,X$256:X1860,0)),1,0))</f>
        <v/>
      </c>
      <c r="AC1861">
        <f>IF(AB1861&gt;AB1860,AB1861,"")</f>
        <v/>
      </c>
    </row>
    <row r="1862">
      <c r="W1862" s="7" t="n"/>
      <c r="X1862" s="7" t="n"/>
      <c r="Z1862">
        <f>Z1861+IF(W1862="",0,IF(ISNA(MATCH(W1862,W$256:W1861,0)),1,0))</f>
        <v/>
      </c>
      <c r="AA1862">
        <f>IF(Z1862&gt;Z1861,Z1862,"")</f>
        <v/>
      </c>
      <c r="AB1862">
        <f>AB1861+IF(X1862="",0,IF(ISNA(MATCH(X1862,X$256:X1861,0)),1,0))</f>
        <v/>
      </c>
      <c r="AC1862">
        <f>IF(AB1862&gt;AB1861,AB1862,"")</f>
        <v/>
      </c>
    </row>
    <row r="1863">
      <c r="W1863" s="7" t="n"/>
      <c r="X1863" s="7" t="n"/>
      <c r="Z1863">
        <f>Z1862+IF(W1863="",0,IF(ISNA(MATCH(W1863,W$256:W1862,0)),1,0))</f>
        <v/>
      </c>
      <c r="AA1863">
        <f>IF(Z1863&gt;Z1862,Z1863,"")</f>
        <v/>
      </c>
      <c r="AB1863">
        <f>AB1862+IF(X1863="",0,IF(ISNA(MATCH(X1863,X$256:X1862,0)),1,0))</f>
        <v/>
      </c>
      <c r="AC1863">
        <f>IF(AB1863&gt;AB1862,AB1863,"")</f>
        <v/>
      </c>
    </row>
    <row r="1864">
      <c r="W1864" s="7" t="n"/>
      <c r="X1864" s="7" t="n"/>
      <c r="Z1864">
        <f>Z1863+IF(W1864="",0,IF(ISNA(MATCH(W1864,W$256:W1863,0)),1,0))</f>
        <v/>
      </c>
      <c r="AA1864">
        <f>IF(Z1864&gt;Z1863,Z1864,"")</f>
        <v/>
      </c>
      <c r="AB1864">
        <f>AB1863+IF(X1864="",0,IF(ISNA(MATCH(X1864,X$256:X1863,0)),1,0))</f>
        <v/>
      </c>
      <c r="AC1864">
        <f>IF(AB1864&gt;AB1863,AB1864,"")</f>
        <v/>
      </c>
    </row>
    <row r="1865">
      <c r="W1865" s="7" t="n"/>
      <c r="X1865" s="7" t="n"/>
      <c r="Z1865">
        <f>Z1864+IF(W1865="",0,IF(ISNA(MATCH(W1865,W$256:W1864,0)),1,0))</f>
        <v/>
      </c>
      <c r="AA1865">
        <f>IF(Z1865&gt;Z1864,Z1865,"")</f>
        <v/>
      </c>
      <c r="AB1865">
        <f>AB1864+IF(X1865="",0,IF(ISNA(MATCH(X1865,X$256:X1864,0)),1,0))</f>
        <v/>
      </c>
      <c r="AC1865">
        <f>IF(AB1865&gt;AB1864,AB1865,"")</f>
        <v/>
      </c>
    </row>
    <row r="1866">
      <c r="W1866" s="7" t="n"/>
      <c r="X1866" s="7" t="n"/>
      <c r="Z1866">
        <f>Z1865+IF(W1866="",0,IF(ISNA(MATCH(W1866,W$256:W1865,0)),1,0))</f>
        <v/>
      </c>
      <c r="AA1866">
        <f>IF(Z1866&gt;Z1865,Z1866,"")</f>
        <v/>
      </c>
      <c r="AB1866">
        <f>AB1865+IF(X1866="",0,IF(ISNA(MATCH(X1866,X$256:X1865,0)),1,0))</f>
        <v/>
      </c>
      <c r="AC1866">
        <f>IF(AB1866&gt;AB1865,AB1866,"")</f>
        <v/>
      </c>
    </row>
    <row r="1867">
      <c r="W1867" s="7" t="n"/>
      <c r="X1867" s="7" t="n"/>
      <c r="Z1867">
        <f>Z1866+IF(W1867="",0,IF(ISNA(MATCH(W1867,W$256:W1866,0)),1,0))</f>
        <v/>
      </c>
      <c r="AA1867">
        <f>IF(Z1867&gt;Z1866,Z1867,"")</f>
        <v/>
      </c>
      <c r="AB1867">
        <f>AB1866+IF(X1867="",0,IF(ISNA(MATCH(X1867,X$256:X1866,0)),1,0))</f>
        <v/>
      </c>
      <c r="AC1867">
        <f>IF(AB1867&gt;AB1866,AB1867,"")</f>
        <v/>
      </c>
    </row>
    <row r="1868">
      <c r="W1868" s="7" t="n"/>
      <c r="X1868" s="7" t="n"/>
      <c r="Z1868">
        <f>Z1867+IF(W1868="",0,IF(ISNA(MATCH(W1868,W$256:W1867,0)),1,0))</f>
        <v/>
      </c>
      <c r="AA1868">
        <f>IF(Z1868&gt;Z1867,Z1868,"")</f>
        <v/>
      </c>
      <c r="AB1868">
        <f>AB1867+IF(X1868="",0,IF(ISNA(MATCH(X1868,X$256:X1867,0)),1,0))</f>
        <v/>
      </c>
      <c r="AC1868">
        <f>IF(AB1868&gt;AB1867,AB1868,"")</f>
        <v/>
      </c>
    </row>
    <row r="1869">
      <c r="W1869" s="7" t="n"/>
      <c r="X1869" s="7" t="n"/>
      <c r="Z1869">
        <f>Z1868+IF(W1869="",0,IF(ISNA(MATCH(W1869,W$256:W1868,0)),1,0))</f>
        <v/>
      </c>
      <c r="AA1869">
        <f>IF(Z1869&gt;Z1868,Z1869,"")</f>
        <v/>
      </c>
      <c r="AB1869">
        <f>AB1868+IF(X1869="",0,IF(ISNA(MATCH(X1869,X$256:X1868,0)),1,0))</f>
        <v/>
      </c>
      <c r="AC1869">
        <f>IF(AB1869&gt;AB1868,AB1869,"")</f>
        <v/>
      </c>
    </row>
    <row r="1870">
      <c r="W1870" s="7" t="n"/>
      <c r="X1870" s="7" t="n"/>
      <c r="Z1870">
        <f>Z1869+IF(W1870="",0,IF(ISNA(MATCH(W1870,W$256:W1869,0)),1,0))</f>
        <v/>
      </c>
      <c r="AA1870">
        <f>IF(Z1870&gt;Z1869,Z1870,"")</f>
        <v/>
      </c>
      <c r="AB1870">
        <f>AB1869+IF(X1870="",0,IF(ISNA(MATCH(X1870,X$256:X1869,0)),1,0))</f>
        <v/>
      </c>
      <c r="AC1870">
        <f>IF(AB1870&gt;AB1869,AB1870,"")</f>
        <v/>
      </c>
    </row>
    <row r="1871">
      <c r="W1871" s="7" t="n"/>
      <c r="X1871" s="7" t="n"/>
      <c r="Z1871">
        <f>Z1870+IF(W1871="",0,IF(ISNA(MATCH(W1871,W$256:W1870,0)),1,0))</f>
        <v/>
      </c>
      <c r="AA1871">
        <f>IF(Z1871&gt;Z1870,Z1871,"")</f>
        <v/>
      </c>
      <c r="AB1871">
        <f>AB1870+IF(X1871="",0,IF(ISNA(MATCH(X1871,X$256:X1870,0)),1,0))</f>
        <v/>
      </c>
      <c r="AC1871">
        <f>IF(AB1871&gt;AB1870,AB1871,"")</f>
        <v/>
      </c>
    </row>
    <row r="1872">
      <c r="W1872" s="7" t="n"/>
      <c r="X1872" s="7" t="n"/>
      <c r="Z1872">
        <f>Z1871+IF(W1872="",0,IF(ISNA(MATCH(W1872,W$256:W1871,0)),1,0))</f>
        <v/>
      </c>
      <c r="AA1872">
        <f>IF(Z1872&gt;Z1871,Z1872,"")</f>
        <v/>
      </c>
      <c r="AB1872">
        <f>AB1871+IF(X1872="",0,IF(ISNA(MATCH(X1872,X$256:X1871,0)),1,0))</f>
        <v/>
      </c>
      <c r="AC1872">
        <f>IF(AB1872&gt;AB1871,AB1872,"")</f>
        <v/>
      </c>
    </row>
    <row r="1873">
      <c r="W1873" s="7" t="n"/>
      <c r="X1873" s="7" t="n"/>
      <c r="Z1873">
        <f>Z1872+IF(W1873="",0,IF(ISNA(MATCH(W1873,W$256:W1872,0)),1,0))</f>
        <v/>
      </c>
      <c r="AA1873">
        <f>IF(Z1873&gt;Z1872,Z1873,"")</f>
        <v/>
      </c>
      <c r="AB1873">
        <f>AB1872+IF(X1873="",0,IF(ISNA(MATCH(X1873,X$256:X1872,0)),1,0))</f>
        <v/>
      </c>
      <c r="AC1873">
        <f>IF(AB1873&gt;AB1872,AB1873,"")</f>
        <v/>
      </c>
    </row>
    <row r="1874">
      <c r="W1874" s="7" t="n"/>
      <c r="X1874" s="7" t="n"/>
      <c r="Z1874">
        <f>Z1873+IF(W1874="",0,IF(ISNA(MATCH(W1874,W$256:W1873,0)),1,0))</f>
        <v/>
      </c>
      <c r="AA1874">
        <f>IF(Z1874&gt;Z1873,Z1874,"")</f>
        <v/>
      </c>
      <c r="AB1874">
        <f>AB1873+IF(X1874="",0,IF(ISNA(MATCH(X1874,X$256:X1873,0)),1,0))</f>
        <v/>
      </c>
      <c r="AC1874">
        <f>IF(AB1874&gt;AB1873,AB1874,"")</f>
        <v/>
      </c>
    </row>
    <row r="1875">
      <c r="W1875" s="7" t="n"/>
      <c r="X1875" s="7" t="n"/>
      <c r="Z1875">
        <f>Z1874+IF(W1875="",0,IF(ISNA(MATCH(W1875,W$256:W1874,0)),1,0))</f>
        <v/>
      </c>
      <c r="AA1875">
        <f>IF(Z1875&gt;Z1874,Z1875,"")</f>
        <v/>
      </c>
      <c r="AB1875">
        <f>AB1874+IF(X1875="",0,IF(ISNA(MATCH(X1875,X$256:X1874,0)),1,0))</f>
        <v/>
      </c>
      <c r="AC1875">
        <f>IF(AB1875&gt;AB1874,AB1875,"")</f>
        <v/>
      </c>
    </row>
    <row r="1876">
      <c r="W1876" s="7" t="n"/>
      <c r="X1876" s="7" t="n"/>
      <c r="Z1876">
        <f>Z1875+IF(W1876="",0,IF(ISNA(MATCH(W1876,W$256:W1875,0)),1,0))</f>
        <v/>
      </c>
      <c r="AA1876">
        <f>IF(Z1876&gt;Z1875,Z1876,"")</f>
        <v/>
      </c>
      <c r="AB1876">
        <f>AB1875+IF(X1876="",0,IF(ISNA(MATCH(X1876,X$256:X1875,0)),1,0))</f>
        <v/>
      </c>
      <c r="AC1876">
        <f>IF(AB1876&gt;AB1875,AB1876,"")</f>
        <v/>
      </c>
    </row>
    <row r="1877">
      <c r="W1877" s="7" t="n"/>
      <c r="X1877" s="7" t="n"/>
      <c r="Z1877">
        <f>Z1876+IF(W1877="",0,IF(ISNA(MATCH(W1877,W$256:W1876,0)),1,0))</f>
        <v/>
      </c>
      <c r="AA1877">
        <f>IF(Z1877&gt;Z1876,Z1877,"")</f>
        <v/>
      </c>
      <c r="AB1877">
        <f>AB1876+IF(X1877="",0,IF(ISNA(MATCH(X1877,X$256:X1876,0)),1,0))</f>
        <v/>
      </c>
      <c r="AC1877">
        <f>IF(AB1877&gt;AB1876,AB1877,"")</f>
        <v/>
      </c>
    </row>
    <row r="1878">
      <c r="W1878" s="7" t="n"/>
      <c r="X1878" s="7" t="n"/>
      <c r="Z1878">
        <f>Z1877+IF(W1878="",0,IF(ISNA(MATCH(W1878,W$256:W1877,0)),1,0))</f>
        <v/>
      </c>
      <c r="AA1878">
        <f>IF(Z1878&gt;Z1877,Z1878,"")</f>
        <v/>
      </c>
      <c r="AB1878">
        <f>AB1877+IF(X1878="",0,IF(ISNA(MATCH(X1878,X$256:X1877,0)),1,0))</f>
        <v/>
      </c>
      <c r="AC1878">
        <f>IF(AB1878&gt;AB1877,AB1878,"")</f>
        <v/>
      </c>
    </row>
    <row r="1879">
      <c r="W1879" s="7" t="n"/>
      <c r="X1879" s="7" t="n"/>
      <c r="Z1879">
        <f>Z1878+IF(W1879="",0,IF(ISNA(MATCH(W1879,W$256:W1878,0)),1,0))</f>
        <v/>
      </c>
      <c r="AA1879">
        <f>IF(Z1879&gt;Z1878,Z1879,"")</f>
        <v/>
      </c>
      <c r="AB1879">
        <f>AB1878+IF(X1879="",0,IF(ISNA(MATCH(X1879,X$256:X1878,0)),1,0))</f>
        <v/>
      </c>
      <c r="AC1879">
        <f>IF(AB1879&gt;AB1878,AB1879,"")</f>
        <v/>
      </c>
    </row>
    <row r="1880">
      <c r="W1880" s="7" t="n"/>
      <c r="X1880" s="7" t="n"/>
      <c r="Z1880">
        <f>Z1879+IF(W1880="",0,IF(ISNA(MATCH(W1880,W$256:W1879,0)),1,0))</f>
        <v/>
      </c>
      <c r="AA1880">
        <f>IF(Z1880&gt;Z1879,Z1880,"")</f>
        <v/>
      </c>
      <c r="AB1880">
        <f>AB1879+IF(X1880="",0,IF(ISNA(MATCH(X1880,X$256:X1879,0)),1,0))</f>
        <v/>
      </c>
      <c r="AC1880">
        <f>IF(AB1880&gt;AB1879,AB1880,"")</f>
        <v/>
      </c>
    </row>
    <row r="1881">
      <c r="W1881" s="7" t="n"/>
      <c r="X1881" s="7" t="n"/>
      <c r="Z1881">
        <f>Z1880+IF(W1881="",0,IF(ISNA(MATCH(W1881,W$256:W1880,0)),1,0))</f>
        <v/>
      </c>
      <c r="AA1881">
        <f>IF(Z1881&gt;Z1880,Z1881,"")</f>
        <v/>
      </c>
      <c r="AB1881">
        <f>AB1880+IF(X1881="",0,IF(ISNA(MATCH(X1881,X$256:X1880,0)),1,0))</f>
        <v/>
      </c>
      <c r="AC1881">
        <f>IF(AB1881&gt;AB1880,AB1881,"")</f>
        <v/>
      </c>
    </row>
    <row r="1882">
      <c r="W1882" s="7" t="n"/>
      <c r="X1882" s="7" t="n"/>
      <c r="Z1882">
        <f>Z1881+IF(W1882="",0,IF(ISNA(MATCH(W1882,W$256:W1881,0)),1,0))</f>
        <v/>
      </c>
      <c r="AA1882">
        <f>IF(Z1882&gt;Z1881,Z1882,"")</f>
        <v/>
      </c>
      <c r="AB1882">
        <f>AB1881+IF(X1882="",0,IF(ISNA(MATCH(X1882,X$256:X1881,0)),1,0))</f>
        <v/>
      </c>
      <c r="AC1882">
        <f>IF(AB1882&gt;AB1881,AB1882,"")</f>
        <v/>
      </c>
    </row>
    <row r="1883">
      <c r="W1883" s="7" t="n"/>
      <c r="X1883" s="7" t="n"/>
      <c r="Z1883">
        <f>Z1882+IF(W1883="",0,IF(ISNA(MATCH(W1883,W$256:W1882,0)),1,0))</f>
        <v/>
      </c>
      <c r="AA1883">
        <f>IF(Z1883&gt;Z1882,Z1883,"")</f>
        <v/>
      </c>
      <c r="AB1883">
        <f>AB1882+IF(X1883="",0,IF(ISNA(MATCH(X1883,X$256:X1882,0)),1,0))</f>
        <v/>
      </c>
      <c r="AC1883">
        <f>IF(AB1883&gt;AB1882,AB1883,"")</f>
        <v/>
      </c>
    </row>
    <row r="1884">
      <c r="W1884" s="7" t="n"/>
      <c r="X1884" s="7" t="n"/>
      <c r="Z1884">
        <f>Z1883+IF(W1884="",0,IF(ISNA(MATCH(W1884,W$256:W1883,0)),1,0))</f>
        <v/>
      </c>
      <c r="AA1884">
        <f>IF(Z1884&gt;Z1883,Z1884,"")</f>
        <v/>
      </c>
      <c r="AB1884">
        <f>AB1883+IF(X1884="",0,IF(ISNA(MATCH(X1884,X$256:X1883,0)),1,0))</f>
        <v/>
      </c>
      <c r="AC1884">
        <f>IF(AB1884&gt;AB1883,AB1884,"")</f>
        <v/>
      </c>
    </row>
    <row r="1885">
      <c r="W1885" s="7" t="n"/>
      <c r="X1885" s="7" t="n"/>
      <c r="Z1885">
        <f>Z1884+IF(W1885="",0,IF(ISNA(MATCH(W1885,W$256:W1884,0)),1,0))</f>
        <v/>
      </c>
      <c r="AA1885">
        <f>IF(Z1885&gt;Z1884,Z1885,"")</f>
        <v/>
      </c>
      <c r="AB1885">
        <f>AB1884+IF(X1885="",0,IF(ISNA(MATCH(X1885,X$256:X1884,0)),1,0))</f>
        <v/>
      </c>
      <c r="AC1885">
        <f>IF(AB1885&gt;AB1884,AB1885,"")</f>
        <v/>
      </c>
    </row>
    <row r="1886">
      <c r="W1886" s="7" t="n"/>
      <c r="X1886" s="7" t="n"/>
      <c r="Z1886">
        <f>Z1885+IF(W1886="",0,IF(ISNA(MATCH(W1886,W$256:W1885,0)),1,0))</f>
        <v/>
      </c>
      <c r="AA1886">
        <f>IF(Z1886&gt;Z1885,Z1886,"")</f>
        <v/>
      </c>
      <c r="AB1886">
        <f>AB1885+IF(X1886="",0,IF(ISNA(MATCH(X1886,X$256:X1885,0)),1,0))</f>
        <v/>
      </c>
      <c r="AC1886">
        <f>IF(AB1886&gt;AB1885,AB1886,"")</f>
        <v/>
      </c>
    </row>
    <row r="1887">
      <c r="W1887" s="7" t="n"/>
      <c r="X1887" s="7" t="n"/>
      <c r="Z1887">
        <f>Z1886+IF(W1887="",0,IF(ISNA(MATCH(W1887,W$256:W1886,0)),1,0))</f>
        <v/>
      </c>
      <c r="AA1887">
        <f>IF(Z1887&gt;Z1886,Z1887,"")</f>
        <v/>
      </c>
      <c r="AB1887">
        <f>AB1886+IF(X1887="",0,IF(ISNA(MATCH(X1887,X$256:X1886,0)),1,0))</f>
        <v/>
      </c>
      <c r="AC1887">
        <f>IF(AB1887&gt;AB1886,AB1887,"")</f>
        <v/>
      </c>
    </row>
    <row r="1888">
      <c r="W1888" s="7" t="n"/>
      <c r="X1888" s="7" t="n"/>
      <c r="Z1888">
        <f>Z1887+IF(W1888="",0,IF(ISNA(MATCH(W1888,W$256:W1887,0)),1,0))</f>
        <v/>
      </c>
      <c r="AA1888">
        <f>IF(Z1888&gt;Z1887,Z1888,"")</f>
        <v/>
      </c>
      <c r="AB1888">
        <f>AB1887+IF(X1888="",0,IF(ISNA(MATCH(X1888,X$256:X1887,0)),1,0))</f>
        <v/>
      </c>
      <c r="AC1888">
        <f>IF(AB1888&gt;AB1887,AB1888,"")</f>
        <v/>
      </c>
    </row>
    <row r="1889">
      <c r="W1889" s="7" t="n"/>
      <c r="X1889" s="7" t="n"/>
      <c r="Z1889">
        <f>Z1888+IF(W1889="",0,IF(ISNA(MATCH(W1889,W$256:W1888,0)),1,0))</f>
        <v/>
      </c>
      <c r="AA1889">
        <f>IF(Z1889&gt;Z1888,Z1889,"")</f>
        <v/>
      </c>
      <c r="AB1889">
        <f>AB1888+IF(X1889="",0,IF(ISNA(MATCH(X1889,X$256:X1888,0)),1,0))</f>
        <v/>
      </c>
      <c r="AC1889">
        <f>IF(AB1889&gt;AB1888,AB1889,"")</f>
        <v/>
      </c>
    </row>
    <row r="1890">
      <c r="W1890" s="7" t="n"/>
      <c r="X1890" s="7" t="n"/>
      <c r="Z1890">
        <f>Z1889+IF(W1890="",0,IF(ISNA(MATCH(W1890,W$256:W1889,0)),1,0))</f>
        <v/>
      </c>
      <c r="AA1890">
        <f>IF(Z1890&gt;Z1889,Z1890,"")</f>
        <v/>
      </c>
      <c r="AB1890">
        <f>AB1889+IF(X1890="",0,IF(ISNA(MATCH(X1890,X$256:X1889,0)),1,0))</f>
        <v/>
      </c>
      <c r="AC1890">
        <f>IF(AB1890&gt;AB1889,AB1890,"")</f>
        <v/>
      </c>
    </row>
    <row r="1891">
      <c r="W1891" s="7" t="n"/>
      <c r="X1891" s="7" t="n"/>
      <c r="Z1891">
        <f>Z1890+IF(W1891="",0,IF(ISNA(MATCH(W1891,W$256:W1890,0)),1,0))</f>
        <v/>
      </c>
      <c r="AA1891">
        <f>IF(Z1891&gt;Z1890,Z1891,"")</f>
        <v/>
      </c>
      <c r="AB1891">
        <f>AB1890+IF(X1891="",0,IF(ISNA(MATCH(X1891,X$256:X1890,0)),1,0))</f>
        <v/>
      </c>
      <c r="AC1891">
        <f>IF(AB1891&gt;AB1890,AB1891,"")</f>
        <v/>
      </c>
    </row>
    <row r="1892">
      <c r="W1892" s="7" t="n"/>
      <c r="X1892" s="7" t="n"/>
      <c r="Z1892">
        <f>Z1891+IF(W1892="",0,IF(ISNA(MATCH(W1892,W$256:W1891,0)),1,0))</f>
        <v/>
      </c>
      <c r="AA1892">
        <f>IF(Z1892&gt;Z1891,Z1892,"")</f>
        <v/>
      </c>
      <c r="AB1892">
        <f>AB1891+IF(X1892="",0,IF(ISNA(MATCH(X1892,X$256:X1891,0)),1,0))</f>
        <v/>
      </c>
      <c r="AC1892">
        <f>IF(AB1892&gt;AB1891,AB1892,"")</f>
        <v/>
      </c>
    </row>
    <row r="1893">
      <c r="W1893" s="7" t="n"/>
      <c r="X1893" s="7" t="n"/>
      <c r="Z1893">
        <f>Z1892+IF(W1893="",0,IF(ISNA(MATCH(W1893,W$256:W1892,0)),1,0))</f>
        <v/>
      </c>
      <c r="AA1893">
        <f>IF(Z1893&gt;Z1892,Z1893,"")</f>
        <v/>
      </c>
      <c r="AB1893">
        <f>AB1892+IF(X1893="",0,IF(ISNA(MATCH(X1893,X$256:X1892,0)),1,0))</f>
        <v/>
      </c>
      <c r="AC1893">
        <f>IF(AB1893&gt;AB1892,AB1893,"")</f>
        <v/>
      </c>
    </row>
    <row r="1894">
      <c r="W1894" s="7" t="n"/>
      <c r="X1894" s="7" t="n"/>
      <c r="Z1894">
        <f>Z1893+IF(W1894="",0,IF(ISNA(MATCH(W1894,W$256:W1893,0)),1,0))</f>
        <v/>
      </c>
      <c r="AA1894">
        <f>IF(Z1894&gt;Z1893,Z1894,"")</f>
        <v/>
      </c>
      <c r="AB1894">
        <f>AB1893+IF(X1894="",0,IF(ISNA(MATCH(X1894,X$256:X1893,0)),1,0))</f>
        <v/>
      </c>
      <c r="AC1894">
        <f>IF(AB1894&gt;AB1893,AB1894,"")</f>
        <v/>
      </c>
    </row>
    <row r="1895">
      <c r="W1895" s="7" t="n"/>
      <c r="X1895" s="7" t="n"/>
      <c r="Z1895">
        <f>Z1894+IF(W1895="",0,IF(ISNA(MATCH(W1895,W$256:W1894,0)),1,0))</f>
        <v/>
      </c>
      <c r="AA1895">
        <f>IF(Z1895&gt;Z1894,Z1895,"")</f>
        <v/>
      </c>
      <c r="AB1895">
        <f>AB1894+IF(X1895="",0,IF(ISNA(MATCH(X1895,X$256:X1894,0)),1,0))</f>
        <v/>
      </c>
      <c r="AC1895">
        <f>IF(AB1895&gt;AB1894,AB1895,"")</f>
        <v/>
      </c>
    </row>
    <row r="1896">
      <c r="W1896" s="7" t="n"/>
      <c r="X1896" s="7" t="n"/>
      <c r="Z1896">
        <f>Z1895+IF(W1896="",0,IF(ISNA(MATCH(W1896,W$256:W1895,0)),1,0))</f>
        <v/>
      </c>
      <c r="AA1896">
        <f>IF(Z1896&gt;Z1895,Z1896,"")</f>
        <v/>
      </c>
      <c r="AB1896">
        <f>AB1895+IF(X1896="",0,IF(ISNA(MATCH(X1896,X$256:X1895,0)),1,0))</f>
        <v/>
      </c>
      <c r="AC1896">
        <f>IF(AB1896&gt;AB1895,AB1896,"")</f>
        <v/>
      </c>
    </row>
    <row r="1897">
      <c r="W1897" s="7" t="n"/>
      <c r="X1897" s="7" t="n"/>
      <c r="Z1897">
        <f>Z1896+IF(W1897="",0,IF(ISNA(MATCH(W1897,W$256:W1896,0)),1,0))</f>
        <v/>
      </c>
      <c r="AA1897">
        <f>IF(Z1897&gt;Z1896,Z1897,"")</f>
        <v/>
      </c>
      <c r="AB1897">
        <f>AB1896+IF(X1897="",0,IF(ISNA(MATCH(X1897,X$256:X1896,0)),1,0))</f>
        <v/>
      </c>
      <c r="AC1897">
        <f>IF(AB1897&gt;AB1896,AB1897,"")</f>
        <v/>
      </c>
    </row>
    <row r="1898">
      <c r="W1898" s="7" t="n"/>
      <c r="X1898" s="7" t="n"/>
      <c r="Z1898">
        <f>Z1897+IF(W1898="",0,IF(ISNA(MATCH(W1898,W$256:W1897,0)),1,0))</f>
        <v/>
      </c>
      <c r="AA1898">
        <f>IF(Z1898&gt;Z1897,Z1898,"")</f>
        <v/>
      </c>
      <c r="AB1898">
        <f>AB1897+IF(X1898="",0,IF(ISNA(MATCH(X1898,X$256:X1897,0)),1,0))</f>
        <v/>
      </c>
      <c r="AC1898">
        <f>IF(AB1898&gt;AB1897,AB1898,"")</f>
        <v/>
      </c>
    </row>
    <row r="1899">
      <c r="W1899" s="7" t="n"/>
      <c r="X1899" s="7" t="n"/>
      <c r="Z1899">
        <f>Z1898+IF(W1899="",0,IF(ISNA(MATCH(W1899,W$256:W1898,0)),1,0))</f>
        <v/>
      </c>
      <c r="AA1899">
        <f>IF(Z1899&gt;Z1898,Z1899,"")</f>
        <v/>
      </c>
      <c r="AB1899">
        <f>AB1898+IF(X1899="",0,IF(ISNA(MATCH(X1899,X$256:X1898,0)),1,0))</f>
        <v/>
      </c>
      <c r="AC1899">
        <f>IF(AB1899&gt;AB1898,AB1899,"")</f>
        <v/>
      </c>
    </row>
    <row r="1900">
      <c r="W1900" s="7" t="n"/>
      <c r="X1900" s="7" t="n"/>
      <c r="Z1900">
        <f>Z1899+IF(W1900="",0,IF(ISNA(MATCH(W1900,W$256:W1899,0)),1,0))</f>
        <v/>
      </c>
      <c r="AA1900">
        <f>IF(Z1900&gt;Z1899,Z1900,"")</f>
        <v/>
      </c>
      <c r="AB1900">
        <f>AB1899+IF(X1900="",0,IF(ISNA(MATCH(X1900,X$256:X1899,0)),1,0))</f>
        <v/>
      </c>
      <c r="AC1900">
        <f>IF(AB1900&gt;AB1899,AB1900,"")</f>
        <v/>
      </c>
    </row>
    <row r="1901">
      <c r="W1901" s="7" t="n"/>
      <c r="X1901" s="7" t="n"/>
      <c r="Z1901">
        <f>Z1900+IF(W1901="",0,IF(ISNA(MATCH(W1901,W$256:W1900,0)),1,0))</f>
        <v/>
      </c>
      <c r="AA1901">
        <f>IF(Z1901&gt;Z1900,Z1901,"")</f>
        <v/>
      </c>
      <c r="AB1901">
        <f>AB1900+IF(X1901="",0,IF(ISNA(MATCH(X1901,X$256:X1900,0)),1,0))</f>
        <v/>
      </c>
      <c r="AC1901">
        <f>IF(AB1901&gt;AB1900,AB1901,"")</f>
        <v/>
      </c>
    </row>
    <row r="1902">
      <c r="W1902" s="7" t="n"/>
      <c r="X1902" s="7" t="n"/>
      <c r="Z1902">
        <f>Z1901+IF(W1902="",0,IF(ISNA(MATCH(W1902,W$256:W1901,0)),1,0))</f>
        <v/>
      </c>
      <c r="AA1902">
        <f>IF(Z1902&gt;Z1901,Z1902,"")</f>
        <v/>
      </c>
      <c r="AB1902">
        <f>AB1901+IF(X1902="",0,IF(ISNA(MATCH(X1902,X$256:X1901,0)),1,0))</f>
        <v/>
      </c>
      <c r="AC1902">
        <f>IF(AB1902&gt;AB1901,AB1902,"")</f>
        <v/>
      </c>
    </row>
    <row r="1903">
      <c r="W1903" s="7" t="n"/>
      <c r="X1903" s="7" t="n"/>
      <c r="Z1903">
        <f>Z1902+IF(W1903="",0,IF(ISNA(MATCH(W1903,W$256:W1902,0)),1,0))</f>
        <v/>
      </c>
      <c r="AA1903">
        <f>IF(Z1903&gt;Z1902,Z1903,"")</f>
        <v/>
      </c>
      <c r="AB1903">
        <f>AB1902+IF(X1903="",0,IF(ISNA(MATCH(X1903,X$256:X1902,0)),1,0))</f>
        <v/>
      </c>
      <c r="AC1903">
        <f>IF(AB1903&gt;AB1902,AB1903,"")</f>
        <v/>
      </c>
    </row>
    <row r="1904">
      <c r="W1904" s="7" t="n"/>
      <c r="X1904" s="7" t="n"/>
      <c r="Z1904">
        <f>Z1903+IF(W1904="",0,IF(ISNA(MATCH(W1904,W$256:W1903,0)),1,0))</f>
        <v/>
      </c>
      <c r="AA1904">
        <f>IF(Z1904&gt;Z1903,Z1904,"")</f>
        <v/>
      </c>
      <c r="AB1904">
        <f>AB1903+IF(X1904="",0,IF(ISNA(MATCH(X1904,X$256:X1903,0)),1,0))</f>
        <v/>
      </c>
      <c r="AC1904">
        <f>IF(AB1904&gt;AB1903,AB1904,"")</f>
        <v/>
      </c>
    </row>
    <row r="1905">
      <c r="W1905" s="7" t="n"/>
      <c r="X1905" s="7" t="n"/>
      <c r="Z1905">
        <f>Z1904+IF(W1905="",0,IF(ISNA(MATCH(W1905,W$256:W1904,0)),1,0))</f>
        <v/>
      </c>
      <c r="AA1905">
        <f>IF(Z1905&gt;Z1904,Z1905,"")</f>
        <v/>
      </c>
      <c r="AB1905">
        <f>AB1904+IF(X1905="",0,IF(ISNA(MATCH(X1905,X$256:X1904,0)),1,0))</f>
        <v/>
      </c>
      <c r="AC1905">
        <f>IF(AB1905&gt;AB1904,AB1905,"")</f>
        <v/>
      </c>
    </row>
    <row r="1906">
      <c r="W1906" s="7" t="n"/>
      <c r="X1906" s="7" t="n"/>
      <c r="Z1906">
        <f>Z1905+IF(W1906="",0,IF(ISNA(MATCH(W1906,W$256:W1905,0)),1,0))</f>
        <v/>
      </c>
      <c r="AA1906">
        <f>IF(Z1906&gt;Z1905,Z1906,"")</f>
        <v/>
      </c>
      <c r="AB1906">
        <f>AB1905+IF(X1906="",0,IF(ISNA(MATCH(X1906,X$256:X1905,0)),1,0))</f>
        <v/>
      </c>
      <c r="AC1906">
        <f>IF(AB1906&gt;AB1905,AB1906,"")</f>
        <v/>
      </c>
    </row>
    <row r="1907">
      <c r="W1907" s="7" t="n"/>
      <c r="X1907" s="7" t="n"/>
      <c r="Z1907">
        <f>Z1906+IF(W1907="",0,IF(ISNA(MATCH(W1907,W$256:W1906,0)),1,0))</f>
        <v/>
      </c>
      <c r="AA1907">
        <f>IF(Z1907&gt;Z1906,Z1907,"")</f>
        <v/>
      </c>
      <c r="AB1907">
        <f>AB1906+IF(X1907="",0,IF(ISNA(MATCH(X1907,X$256:X1906,0)),1,0))</f>
        <v/>
      </c>
      <c r="AC1907">
        <f>IF(AB1907&gt;AB1906,AB1907,"")</f>
        <v/>
      </c>
    </row>
    <row r="1908">
      <c r="W1908" s="7" t="n"/>
      <c r="X1908" s="7" t="n"/>
      <c r="Z1908">
        <f>Z1907+IF(W1908="",0,IF(ISNA(MATCH(W1908,W$256:W1907,0)),1,0))</f>
        <v/>
      </c>
      <c r="AA1908">
        <f>IF(Z1908&gt;Z1907,Z1908,"")</f>
        <v/>
      </c>
      <c r="AB1908">
        <f>AB1907+IF(X1908="",0,IF(ISNA(MATCH(X1908,X$256:X1907,0)),1,0))</f>
        <v/>
      </c>
      <c r="AC1908">
        <f>IF(AB1908&gt;AB1907,AB1908,"")</f>
        <v/>
      </c>
    </row>
    <row r="1909">
      <c r="W1909" s="7" t="n"/>
      <c r="X1909" s="7" t="n"/>
      <c r="Z1909">
        <f>Z1908+IF(W1909="",0,IF(ISNA(MATCH(W1909,W$256:W1908,0)),1,0))</f>
        <v/>
      </c>
      <c r="AA1909">
        <f>IF(Z1909&gt;Z1908,Z1909,"")</f>
        <v/>
      </c>
      <c r="AB1909">
        <f>AB1908+IF(X1909="",0,IF(ISNA(MATCH(X1909,X$256:X1908,0)),1,0))</f>
        <v/>
      </c>
      <c r="AC1909">
        <f>IF(AB1909&gt;AB1908,AB1909,"")</f>
        <v/>
      </c>
    </row>
    <row r="1910">
      <c r="W1910" s="7" t="n"/>
      <c r="X1910" s="7" t="n"/>
      <c r="Z1910">
        <f>Z1909+IF(W1910="",0,IF(ISNA(MATCH(W1910,W$256:W1909,0)),1,0))</f>
        <v/>
      </c>
      <c r="AA1910">
        <f>IF(Z1910&gt;Z1909,Z1910,"")</f>
        <v/>
      </c>
      <c r="AB1910">
        <f>AB1909+IF(X1910="",0,IF(ISNA(MATCH(X1910,X$256:X1909,0)),1,0))</f>
        <v/>
      </c>
      <c r="AC1910">
        <f>IF(AB1910&gt;AB1909,AB1910,"")</f>
        <v/>
      </c>
    </row>
    <row r="1911">
      <c r="W1911" s="7" t="n"/>
      <c r="X1911" s="7" t="n"/>
      <c r="Z1911">
        <f>Z1910+IF(W1911="",0,IF(ISNA(MATCH(W1911,W$256:W1910,0)),1,0))</f>
        <v/>
      </c>
      <c r="AA1911">
        <f>IF(Z1911&gt;Z1910,Z1911,"")</f>
        <v/>
      </c>
      <c r="AB1911">
        <f>AB1910+IF(X1911="",0,IF(ISNA(MATCH(X1911,X$256:X1910,0)),1,0))</f>
        <v/>
      </c>
      <c r="AC1911">
        <f>IF(AB1911&gt;AB1910,AB1911,"")</f>
        <v/>
      </c>
    </row>
    <row r="1912">
      <c r="W1912" s="7" t="n"/>
      <c r="X1912" s="7" t="n"/>
      <c r="Z1912">
        <f>Z1911+IF(W1912="",0,IF(ISNA(MATCH(W1912,W$256:W1911,0)),1,0))</f>
        <v/>
      </c>
      <c r="AA1912">
        <f>IF(Z1912&gt;Z1911,Z1912,"")</f>
        <v/>
      </c>
      <c r="AB1912">
        <f>AB1911+IF(X1912="",0,IF(ISNA(MATCH(X1912,X$256:X1911,0)),1,0))</f>
        <v/>
      </c>
      <c r="AC1912">
        <f>IF(AB1912&gt;AB1911,AB1912,"")</f>
        <v/>
      </c>
    </row>
    <row r="1913">
      <c r="W1913" s="7" t="n"/>
      <c r="X1913" s="7" t="n"/>
      <c r="Z1913">
        <f>Z1912+IF(W1913="",0,IF(ISNA(MATCH(W1913,W$256:W1912,0)),1,0))</f>
        <v/>
      </c>
      <c r="AA1913">
        <f>IF(Z1913&gt;Z1912,Z1913,"")</f>
        <v/>
      </c>
      <c r="AB1913">
        <f>AB1912+IF(X1913="",0,IF(ISNA(MATCH(X1913,X$256:X1912,0)),1,0))</f>
        <v/>
      </c>
      <c r="AC1913">
        <f>IF(AB1913&gt;AB1912,AB1913,"")</f>
        <v/>
      </c>
    </row>
    <row r="1914">
      <c r="W1914" s="7" t="n"/>
      <c r="X1914" s="7" t="n"/>
      <c r="Z1914">
        <f>Z1913+IF(W1914="",0,IF(ISNA(MATCH(W1914,W$256:W1913,0)),1,0))</f>
        <v/>
      </c>
      <c r="AA1914">
        <f>IF(Z1914&gt;Z1913,Z1914,"")</f>
        <v/>
      </c>
      <c r="AB1914">
        <f>AB1913+IF(X1914="",0,IF(ISNA(MATCH(X1914,X$256:X1913,0)),1,0))</f>
        <v/>
      </c>
      <c r="AC1914">
        <f>IF(AB1914&gt;AB1913,AB1914,"")</f>
        <v/>
      </c>
    </row>
    <row r="1915">
      <c r="W1915" s="7" t="n"/>
      <c r="X1915" s="7" t="n"/>
      <c r="Z1915">
        <f>Z1914+IF(W1915="",0,IF(ISNA(MATCH(W1915,W$256:W1914,0)),1,0))</f>
        <v/>
      </c>
      <c r="AA1915">
        <f>IF(Z1915&gt;Z1914,Z1915,"")</f>
        <v/>
      </c>
      <c r="AB1915">
        <f>AB1914+IF(X1915="",0,IF(ISNA(MATCH(X1915,X$256:X1914,0)),1,0))</f>
        <v/>
      </c>
      <c r="AC1915">
        <f>IF(AB1915&gt;AB1914,AB1915,"")</f>
        <v/>
      </c>
    </row>
    <row r="1916">
      <c r="W1916" s="7" t="n"/>
      <c r="X1916" s="7" t="n"/>
      <c r="Z1916">
        <f>Z1915+IF(W1916="",0,IF(ISNA(MATCH(W1916,W$256:W1915,0)),1,0))</f>
        <v/>
      </c>
      <c r="AA1916">
        <f>IF(Z1916&gt;Z1915,Z1916,"")</f>
        <v/>
      </c>
      <c r="AB1916">
        <f>AB1915+IF(X1916="",0,IF(ISNA(MATCH(X1916,X$256:X1915,0)),1,0))</f>
        <v/>
      </c>
      <c r="AC1916">
        <f>IF(AB1916&gt;AB1915,AB1916,"")</f>
        <v/>
      </c>
    </row>
    <row r="1917">
      <c r="W1917" s="7" t="n"/>
      <c r="X1917" s="7" t="n"/>
      <c r="Z1917">
        <f>Z1916+IF(W1917="",0,IF(ISNA(MATCH(W1917,W$256:W1916,0)),1,0))</f>
        <v/>
      </c>
      <c r="AA1917">
        <f>IF(Z1917&gt;Z1916,Z1917,"")</f>
        <v/>
      </c>
      <c r="AB1917">
        <f>AB1916+IF(X1917="",0,IF(ISNA(MATCH(X1917,X$256:X1916,0)),1,0))</f>
        <v/>
      </c>
      <c r="AC1917">
        <f>IF(AB1917&gt;AB1916,AB1917,"")</f>
        <v/>
      </c>
    </row>
    <row r="1918">
      <c r="W1918" s="7" t="n"/>
      <c r="X1918" s="7" t="n"/>
      <c r="Z1918">
        <f>Z1917+IF(W1918="",0,IF(ISNA(MATCH(W1918,W$256:W1917,0)),1,0))</f>
        <v/>
      </c>
      <c r="AA1918">
        <f>IF(Z1918&gt;Z1917,Z1918,"")</f>
        <v/>
      </c>
      <c r="AB1918">
        <f>AB1917+IF(X1918="",0,IF(ISNA(MATCH(X1918,X$256:X1917,0)),1,0))</f>
        <v/>
      </c>
      <c r="AC1918">
        <f>IF(AB1918&gt;AB1917,AB1918,"")</f>
        <v/>
      </c>
    </row>
    <row r="1919">
      <c r="W1919" s="7" t="n"/>
      <c r="X1919" s="7" t="n"/>
      <c r="Z1919">
        <f>Z1918+IF(W1919="",0,IF(ISNA(MATCH(W1919,W$256:W1918,0)),1,0))</f>
        <v/>
      </c>
      <c r="AA1919">
        <f>IF(Z1919&gt;Z1918,Z1919,"")</f>
        <v/>
      </c>
      <c r="AB1919">
        <f>AB1918+IF(X1919="",0,IF(ISNA(MATCH(X1919,X$256:X1918,0)),1,0))</f>
        <v/>
      </c>
      <c r="AC1919">
        <f>IF(AB1919&gt;AB1918,AB1919,"")</f>
        <v/>
      </c>
    </row>
    <row r="1920">
      <c r="W1920" s="7" t="n"/>
      <c r="X1920" s="7" t="n"/>
      <c r="Z1920">
        <f>Z1919+IF(W1920="",0,IF(ISNA(MATCH(W1920,W$256:W1919,0)),1,0))</f>
        <v/>
      </c>
      <c r="AA1920">
        <f>IF(Z1920&gt;Z1919,Z1920,"")</f>
        <v/>
      </c>
      <c r="AB1920">
        <f>AB1919+IF(X1920="",0,IF(ISNA(MATCH(X1920,X$256:X1919,0)),1,0))</f>
        <v/>
      </c>
      <c r="AC1920">
        <f>IF(AB1920&gt;AB1919,AB1920,"")</f>
        <v/>
      </c>
    </row>
    <row r="1921">
      <c r="W1921" s="7" t="n"/>
      <c r="X1921" s="7" t="n"/>
      <c r="Z1921">
        <f>Z1920+IF(W1921="",0,IF(ISNA(MATCH(W1921,W$256:W1920,0)),1,0))</f>
        <v/>
      </c>
      <c r="AA1921">
        <f>IF(Z1921&gt;Z1920,Z1921,"")</f>
        <v/>
      </c>
      <c r="AB1921">
        <f>AB1920+IF(X1921="",0,IF(ISNA(MATCH(X1921,X$256:X1920,0)),1,0))</f>
        <v/>
      </c>
      <c r="AC1921">
        <f>IF(AB1921&gt;AB1920,AB1921,"")</f>
        <v/>
      </c>
    </row>
    <row r="1922">
      <c r="W1922" s="7" t="n"/>
      <c r="X1922" s="7" t="n"/>
      <c r="Z1922">
        <f>Z1921+IF(W1922="",0,IF(ISNA(MATCH(W1922,W$256:W1921,0)),1,0))</f>
        <v/>
      </c>
      <c r="AA1922">
        <f>IF(Z1922&gt;Z1921,Z1922,"")</f>
        <v/>
      </c>
      <c r="AB1922">
        <f>AB1921+IF(X1922="",0,IF(ISNA(MATCH(X1922,X$256:X1921,0)),1,0))</f>
        <v/>
      </c>
      <c r="AC1922">
        <f>IF(AB1922&gt;AB1921,AB1922,"")</f>
        <v/>
      </c>
    </row>
    <row r="1923">
      <c r="W1923" s="7" t="n"/>
      <c r="X1923" s="7" t="n"/>
      <c r="Z1923">
        <f>Z1922+IF(W1923="",0,IF(ISNA(MATCH(W1923,W$256:W1922,0)),1,0))</f>
        <v/>
      </c>
      <c r="AA1923">
        <f>IF(Z1923&gt;Z1922,Z1923,"")</f>
        <v/>
      </c>
      <c r="AB1923">
        <f>AB1922+IF(X1923="",0,IF(ISNA(MATCH(X1923,X$256:X1922,0)),1,0))</f>
        <v/>
      </c>
      <c r="AC1923">
        <f>IF(AB1923&gt;AB1922,AB1923,"")</f>
        <v/>
      </c>
    </row>
    <row r="1924">
      <c r="W1924" s="7" t="n"/>
      <c r="X1924" s="7" t="n"/>
      <c r="Z1924">
        <f>Z1923+IF(W1924="",0,IF(ISNA(MATCH(W1924,W$256:W1923,0)),1,0))</f>
        <v/>
      </c>
      <c r="AA1924">
        <f>IF(Z1924&gt;Z1923,Z1924,"")</f>
        <v/>
      </c>
      <c r="AB1924">
        <f>AB1923+IF(X1924="",0,IF(ISNA(MATCH(X1924,X$256:X1923,0)),1,0))</f>
        <v/>
      </c>
      <c r="AC1924">
        <f>IF(AB1924&gt;AB1923,AB1924,"")</f>
        <v/>
      </c>
    </row>
    <row r="1925">
      <c r="W1925" s="7" t="n"/>
      <c r="X1925" s="7" t="n"/>
      <c r="Z1925">
        <f>Z1924+IF(W1925="",0,IF(ISNA(MATCH(W1925,W$256:W1924,0)),1,0))</f>
        <v/>
      </c>
      <c r="AA1925">
        <f>IF(Z1925&gt;Z1924,Z1925,"")</f>
        <v/>
      </c>
      <c r="AB1925">
        <f>AB1924+IF(X1925="",0,IF(ISNA(MATCH(X1925,X$256:X1924,0)),1,0))</f>
        <v/>
      </c>
      <c r="AC1925">
        <f>IF(AB1925&gt;AB1924,AB1925,"")</f>
        <v/>
      </c>
    </row>
    <row r="1926">
      <c r="W1926" s="7" t="n"/>
      <c r="X1926" s="7" t="n"/>
      <c r="Z1926">
        <f>Z1925+IF(W1926="",0,IF(ISNA(MATCH(W1926,W$256:W1925,0)),1,0))</f>
        <v/>
      </c>
      <c r="AA1926">
        <f>IF(Z1926&gt;Z1925,Z1926,"")</f>
        <v/>
      </c>
      <c r="AB1926">
        <f>AB1925+IF(X1926="",0,IF(ISNA(MATCH(X1926,X$256:X1925,0)),1,0))</f>
        <v/>
      </c>
      <c r="AC1926">
        <f>IF(AB1926&gt;AB1925,AB1926,"")</f>
        <v/>
      </c>
    </row>
    <row r="1927">
      <c r="W1927" s="7" t="n"/>
      <c r="X1927" s="7" t="n"/>
      <c r="Z1927">
        <f>Z1926+IF(W1927="",0,IF(ISNA(MATCH(W1927,W$256:W1926,0)),1,0))</f>
        <v/>
      </c>
      <c r="AA1927">
        <f>IF(Z1927&gt;Z1926,Z1927,"")</f>
        <v/>
      </c>
      <c r="AB1927">
        <f>AB1926+IF(X1927="",0,IF(ISNA(MATCH(X1927,X$256:X1926,0)),1,0))</f>
        <v/>
      </c>
      <c r="AC1927">
        <f>IF(AB1927&gt;AB1926,AB1927,"")</f>
        <v/>
      </c>
    </row>
    <row r="1928">
      <c r="W1928" s="7" t="n"/>
      <c r="X1928" s="7" t="n"/>
      <c r="Z1928">
        <f>Z1927+IF(W1928="",0,IF(ISNA(MATCH(W1928,W$256:W1927,0)),1,0))</f>
        <v/>
      </c>
      <c r="AA1928">
        <f>IF(Z1928&gt;Z1927,Z1928,"")</f>
        <v/>
      </c>
      <c r="AB1928">
        <f>AB1927+IF(X1928="",0,IF(ISNA(MATCH(X1928,X$256:X1927,0)),1,0))</f>
        <v/>
      </c>
      <c r="AC1928">
        <f>IF(AB1928&gt;AB1927,AB1928,"")</f>
        <v/>
      </c>
    </row>
    <row r="1929">
      <c r="W1929" s="7" t="n"/>
      <c r="X1929" s="7" t="n"/>
      <c r="Z1929">
        <f>Z1928+IF(W1929="",0,IF(ISNA(MATCH(W1929,W$256:W1928,0)),1,0))</f>
        <v/>
      </c>
      <c r="AA1929">
        <f>IF(Z1929&gt;Z1928,Z1929,"")</f>
        <v/>
      </c>
      <c r="AB1929">
        <f>AB1928+IF(X1929="",0,IF(ISNA(MATCH(X1929,X$256:X1928,0)),1,0))</f>
        <v/>
      </c>
      <c r="AC1929">
        <f>IF(AB1929&gt;AB1928,AB1929,"")</f>
        <v/>
      </c>
    </row>
    <row r="1930">
      <c r="W1930" s="7" t="n"/>
      <c r="X1930" s="7" t="n"/>
      <c r="Z1930">
        <f>Z1929+IF(W1930="",0,IF(ISNA(MATCH(W1930,W$256:W1929,0)),1,0))</f>
        <v/>
      </c>
      <c r="AA1930">
        <f>IF(Z1930&gt;Z1929,Z1930,"")</f>
        <v/>
      </c>
      <c r="AB1930">
        <f>AB1929+IF(X1930="",0,IF(ISNA(MATCH(X1930,X$256:X1929,0)),1,0))</f>
        <v/>
      </c>
      <c r="AC1930">
        <f>IF(AB1930&gt;AB1929,AB1930,"")</f>
        <v/>
      </c>
    </row>
    <row r="1931">
      <c r="W1931" s="7" t="n"/>
      <c r="X1931" s="7" t="n"/>
      <c r="Z1931">
        <f>Z1930+IF(W1931="",0,IF(ISNA(MATCH(W1931,W$256:W1930,0)),1,0))</f>
        <v/>
      </c>
      <c r="AA1931">
        <f>IF(Z1931&gt;Z1930,Z1931,"")</f>
        <v/>
      </c>
      <c r="AB1931">
        <f>AB1930+IF(X1931="",0,IF(ISNA(MATCH(X1931,X$256:X1930,0)),1,0))</f>
        <v/>
      </c>
      <c r="AC1931">
        <f>IF(AB1931&gt;AB1930,AB1931,"")</f>
        <v/>
      </c>
    </row>
    <row r="1932">
      <c r="W1932" s="7" t="n"/>
      <c r="X1932" s="7" t="n"/>
      <c r="Z1932">
        <f>Z1931+IF(W1932="",0,IF(ISNA(MATCH(W1932,W$256:W1931,0)),1,0))</f>
        <v/>
      </c>
      <c r="AA1932">
        <f>IF(Z1932&gt;Z1931,Z1932,"")</f>
        <v/>
      </c>
      <c r="AB1932">
        <f>AB1931+IF(X1932="",0,IF(ISNA(MATCH(X1932,X$256:X1931,0)),1,0))</f>
        <v/>
      </c>
      <c r="AC1932">
        <f>IF(AB1932&gt;AB1931,AB1932,"")</f>
        <v/>
      </c>
    </row>
    <row r="1933">
      <c r="W1933" s="7" t="n"/>
      <c r="X1933" s="7" t="n"/>
      <c r="Z1933">
        <f>Z1932+IF(W1933="",0,IF(ISNA(MATCH(W1933,W$256:W1932,0)),1,0))</f>
        <v/>
      </c>
      <c r="AA1933">
        <f>IF(Z1933&gt;Z1932,Z1933,"")</f>
        <v/>
      </c>
      <c r="AB1933">
        <f>AB1932+IF(X1933="",0,IF(ISNA(MATCH(X1933,X$256:X1932,0)),1,0))</f>
        <v/>
      </c>
      <c r="AC1933">
        <f>IF(AB1933&gt;AB1932,AB1933,"")</f>
        <v/>
      </c>
    </row>
    <row r="1934">
      <c r="W1934" s="7" t="n"/>
      <c r="X1934" s="7" t="n"/>
      <c r="Z1934">
        <f>Z1933+IF(W1934="",0,IF(ISNA(MATCH(W1934,W$256:W1933,0)),1,0))</f>
        <v/>
      </c>
      <c r="AA1934">
        <f>IF(Z1934&gt;Z1933,Z1934,"")</f>
        <v/>
      </c>
      <c r="AB1934">
        <f>AB1933+IF(X1934="",0,IF(ISNA(MATCH(X1934,X$256:X1933,0)),1,0))</f>
        <v/>
      </c>
      <c r="AC1934">
        <f>IF(AB1934&gt;AB1933,AB1934,"")</f>
        <v/>
      </c>
    </row>
    <row r="1935">
      <c r="W1935" s="7" t="n"/>
      <c r="X1935" s="7" t="n"/>
      <c r="Z1935">
        <f>Z1934+IF(W1935="",0,IF(ISNA(MATCH(W1935,W$256:W1934,0)),1,0))</f>
        <v/>
      </c>
      <c r="AA1935">
        <f>IF(Z1935&gt;Z1934,Z1935,"")</f>
        <v/>
      </c>
      <c r="AB1935">
        <f>AB1934+IF(X1935="",0,IF(ISNA(MATCH(X1935,X$256:X1934,0)),1,0))</f>
        <v/>
      </c>
      <c r="AC1935">
        <f>IF(AB1935&gt;AB1934,AB1935,"")</f>
        <v/>
      </c>
    </row>
    <row r="1936">
      <c r="W1936" s="7" t="n"/>
      <c r="X1936" s="7" t="n"/>
      <c r="Z1936">
        <f>Z1935+IF(W1936="",0,IF(ISNA(MATCH(W1936,W$256:W1935,0)),1,0))</f>
        <v/>
      </c>
      <c r="AA1936">
        <f>IF(Z1936&gt;Z1935,Z1936,"")</f>
        <v/>
      </c>
      <c r="AB1936">
        <f>AB1935+IF(X1936="",0,IF(ISNA(MATCH(X1936,X$256:X1935,0)),1,0))</f>
        <v/>
      </c>
      <c r="AC1936">
        <f>IF(AB1936&gt;AB1935,AB1936,"")</f>
        <v/>
      </c>
    </row>
    <row r="1937">
      <c r="W1937" s="7" t="n"/>
      <c r="X1937" s="7" t="n"/>
      <c r="Z1937">
        <f>Z1936+IF(W1937="",0,IF(ISNA(MATCH(W1937,W$256:W1936,0)),1,0))</f>
        <v/>
      </c>
      <c r="AA1937">
        <f>IF(Z1937&gt;Z1936,Z1937,"")</f>
        <v/>
      </c>
      <c r="AB1937">
        <f>AB1936+IF(X1937="",0,IF(ISNA(MATCH(X1937,X$256:X1936,0)),1,0))</f>
        <v/>
      </c>
      <c r="AC1937">
        <f>IF(AB1937&gt;AB1936,AB1937,"")</f>
        <v/>
      </c>
    </row>
    <row r="1938">
      <c r="W1938" s="7" t="n"/>
      <c r="X1938" s="7" t="n"/>
      <c r="Z1938">
        <f>Z1937+IF(W1938="",0,IF(ISNA(MATCH(W1938,W$256:W1937,0)),1,0))</f>
        <v/>
      </c>
      <c r="AA1938">
        <f>IF(Z1938&gt;Z1937,Z1938,"")</f>
        <v/>
      </c>
      <c r="AB1938">
        <f>AB1937+IF(X1938="",0,IF(ISNA(MATCH(X1938,X$256:X1937,0)),1,0))</f>
        <v/>
      </c>
      <c r="AC1938">
        <f>IF(AB1938&gt;AB1937,AB1938,"")</f>
        <v/>
      </c>
    </row>
    <row r="1939">
      <c r="W1939" s="7" t="n"/>
      <c r="X1939" s="7" t="n"/>
      <c r="Z1939">
        <f>Z1938+IF(W1939="",0,IF(ISNA(MATCH(W1939,W$256:W1938,0)),1,0))</f>
        <v/>
      </c>
      <c r="AA1939">
        <f>IF(Z1939&gt;Z1938,Z1939,"")</f>
        <v/>
      </c>
      <c r="AB1939">
        <f>AB1938+IF(X1939="",0,IF(ISNA(MATCH(X1939,X$256:X1938,0)),1,0))</f>
        <v/>
      </c>
      <c r="AC1939">
        <f>IF(AB1939&gt;AB1938,AB1939,"")</f>
        <v/>
      </c>
    </row>
    <row r="1940">
      <c r="W1940" s="7" t="n"/>
      <c r="X1940" s="7" t="n"/>
      <c r="Z1940">
        <f>Z1939+IF(W1940="",0,IF(ISNA(MATCH(W1940,W$256:W1939,0)),1,0))</f>
        <v/>
      </c>
      <c r="AA1940">
        <f>IF(Z1940&gt;Z1939,Z1940,"")</f>
        <v/>
      </c>
      <c r="AB1940">
        <f>AB1939+IF(X1940="",0,IF(ISNA(MATCH(X1940,X$256:X1939,0)),1,0))</f>
        <v/>
      </c>
      <c r="AC1940">
        <f>IF(AB1940&gt;AB1939,AB1940,"")</f>
        <v/>
      </c>
    </row>
    <row r="1941">
      <c r="W1941" s="7" t="n"/>
      <c r="X1941" s="7" t="n"/>
      <c r="Z1941">
        <f>Z1940+IF(W1941="",0,IF(ISNA(MATCH(W1941,W$256:W1940,0)),1,0))</f>
        <v/>
      </c>
      <c r="AA1941">
        <f>IF(Z1941&gt;Z1940,Z1941,"")</f>
        <v/>
      </c>
      <c r="AB1941">
        <f>AB1940+IF(X1941="",0,IF(ISNA(MATCH(X1941,X$256:X1940,0)),1,0))</f>
        <v/>
      </c>
      <c r="AC1941">
        <f>IF(AB1941&gt;AB1940,AB1941,"")</f>
        <v/>
      </c>
    </row>
    <row r="1942">
      <c r="W1942" s="7" t="n"/>
      <c r="X1942" s="7" t="n"/>
      <c r="Z1942">
        <f>Z1941+IF(W1942="",0,IF(ISNA(MATCH(W1942,W$256:W1941,0)),1,0))</f>
        <v/>
      </c>
      <c r="AA1942">
        <f>IF(Z1942&gt;Z1941,Z1942,"")</f>
        <v/>
      </c>
      <c r="AB1942">
        <f>AB1941+IF(X1942="",0,IF(ISNA(MATCH(X1942,X$256:X1941,0)),1,0))</f>
        <v/>
      </c>
      <c r="AC1942">
        <f>IF(AB1942&gt;AB1941,AB1942,"")</f>
        <v/>
      </c>
    </row>
    <row r="1943">
      <c r="W1943" s="7" t="n"/>
      <c r="X1943" s="7" t="n"/>
      <c r="Z1943">
        <f>Z1942+IF(W1943="",0,IF(ISNA(MATCH(W1943,W$256:W1942,0)),1,0))</f>
        <v/>
      </c>
      <c r="AA1943">
        <f>IF(Z1943&gt;Z1942,Z1943,"")</f>
        <v/>
      </c>
      <c r="AB1943">
        <f>AB1942+IF(X1943="",0,IF(ISNA(MATCH(X1943,X$256:X1942,0)),1,0))</f>
        <v/>
      </c>
      <c r="AC1943">
        <f>IF(AB1943&gt;AB1942,AB1943,"")</f>
        <v/>
      </c>
    </row>
    <row r="1944">
      <c r="W1944" s="7" t="n"/>
      <c r="X1944" s="7" t="n"/>
      <c r="Z1944">
        <f>Z1943+IF(W1944="",0,IF(ISNA(MATCH(W1944,W$256:W1943,0)),1,0))</f>
        <v/>
      </c>
      <c r="AA1944">
        <f>IF(Z1944&gt;Z1943,Z1944,"")</f>
        <v/>
      </c>
      <c r="AB1944">
        <f>AB1943+IF(X1944="",0,IF(ISNA(MATCH(X1944,X$256:X1943,0)),1,0))</f>
        <v/>
      </c>
      <c r="AC1944">
        <f>IF(AB1944&gt;AB1943,AB1944,"")</f>
        <v/>
      </c>
    </row>
    <row r="1945">
      <c r="W1945" s="7" t="n"/>
      <c r="X1945" s="7" t="n"/>
      <c r="Z1945">
        <f>Z1944+IF(W1945="",0,IF(ISNA(MATCH(W1945,W$256:W1944,0)),1,0))</f>
        <v/>
      </c>
      <c r="AA1945">
        <f>IF(Z1945&gt;Z1944,Z1945,"")</f>
        <v/>
      </c>
      <c r="AB1945">
        <f>AB1944+IF(X1945="",0,IF(ISNA(MATCH(X1945,X$256:X1944,0)),1,0))</f>
        <v/>
      </c>
      <c r="AC1945">
        <f>IF(AB1945&gt;AB1944,AB1945,"")</f>
        <v/>
      </c>
    </row>
    <row r="1946">
      <c r="W1946" s="7" t="n"/>
      <c r="X1946" s="7" t="n"/>
      <c r="Z1946">
        <f>Z1945+IF(W1946="",0,IF(ISNA(MATCH(W1946,W$256:W1945,0)),1,0))</f>
        <v/>
      </c>
      <c r="AA1946">
        <f>IF(Z1946&gt;Z1945,Z1946,"")</f>
        <v/>
      </c>
      <c r="AB1946">
        <f>AB1945+IF(X1946="",0,IF(ISNA(MATCH(X1946,X$256:X1945,0)),1,0))</f>
        <v/>
      </c>
      <c r="AC1946">
        <f>IF(AB1946&gt;AB1945,AB1946,"")</f>
        <v/>
      </c>
    </row>
    <row r="1947">
      <c r="W1947" s="7" t="n"/>
      <c r="X1947" s="7" t="n"/>
      <c r="Z1947">
        <f>Z1946+IF(W1947="",0,IF(ISNA(MATCH(W1947,W$256:W1946,0)),1,0))</f>
        <v/>
      </c>
      <c r="AA1947">
        <f>IF(Z1947&gt;Z1946,Z1947,"")</f>
        <v/>
      </c>
      <c r="AB1947">
        <f>AB1946+IF(X1947="",0,IF(ISNA(MATCH(X1947,X$256:X1946,0)),1,0))</f>
        <v/>
      </c>
      <c r="AC1947">
        <f>IF(AB1947&gt;AB1946,AB1947,"")</f>
        <v/>
      </c>
    </row>
    <row r="1948">
      <c r="W1948" s="7" t="n"/>
      <c r="X1948" s="7" t="n"/>
      <c r="Z1948">
        <f>Z1947+IF(W1948="",0,IF(ISNA(MATCH(W1948,W$256:W1947,0)),1,0))</f>
        <v/>
      </c>
      <c r="AA1948">
        <f>IF(Z1948&gt;Z1947,Z1948,"")</f>
        <v/>
      </c>
      <c r="AB1948">
        <f>AB1947+IF(X1948="",0,IF(ISNA(MATCH(X1948,X$256:X1947,0)),1,0))</f>
        <v/>
      </c>
      <c r="AC1948">
        <f>IF(AB1948&gt;AB1947,AB1948,"")</f>
        <v/>
      </c>
    </row>
    <row r="1949">
      <c r="W1949" s="7" t="n"/>
      <c r="X1949" s="7" t="n"/>
      <c r="Z1949">
        <f>Z1948+IF(W1949="",0,IF(ISNA(MATCH(W1949,W$256:W1948,0)),1,0))</f>
        <v/>
      </c>
      <c r="AA1949">
        <f>IF(Z1949&gt;Z1948,Z1949,"")</f>
        <v/>
      </c>
      <c r="AB1949">
        <f>AB1948+IF(X1949="",0,IF(ISNA(MATCH(X1949,X$256:X1948,0)),1,0))</f>
        <v/>
      </c>
      <c r="AC1949">
        <f>IF(AB1949&gt;AB1948,AB1949,"")</f>
        <v/>
      </c>
    </row>
    <row r="1950">
      <c r="W1950" s="7" t="n"/>
      <c r="X1950" s="7" t="n"/>
      <c r="Z1950">
        <f>Z1949+IF(W1950="",0,IF(ISNA(MATCH(W1950,W$256:W1949,0)),1,0))</f>
        <v/>
      </c>
      <c r="AA1950">
        <f>IF(Z1950&gt;Z1949,Z1950,"")</f>
        <v/>
      </c>
      <c r="AB1950">
        <f>AB1949+IF(X1950="",0,IF(ISNA(MATCH(X1950,X$256:X1949,0)),1,0))</f>
        <v/>
      </c>
      <c r="AC1950">
        <f>IF(AB1950&gt;AB1949,AB1950,"")</f>
        <v/>
      </c>
    </row>
    <row r="1951">
      <c r="W1951" s="7" t="n"/>
      <c r="X1951" s="7" t="n"/>
      <c r="Z1951">
        <f>Z1950+IF(W1951="",0,IF(ISNA(MATCH(W1951,W$256:W1950,0)),1,0))</f>
        <v/>
      </c>
      <c r="AA1951">
        <f>IF(Z1951&gt;Z1950,Z1951,"")</f>
        <v/>
      </c>
      <c r="AB1951">
        <f>AB1950+IF(X1951="",0,IF(ISNA(MATCH(X1951,X$256:X1950,0)),1,0))</f>
        <v/>
      </c>
      <c r="AC1951">
        <f>IF(AB1951&gt;AB1950,AB1951,"")</f>
        <v/>
      </c>
    </row>
    <row r="1952">
      <c r="W1952" s="7" t="n"/>
      <c r="X1952" s="7" t="n"/>
      <c r="Z1952">
        <f>Z1951+IF(W1952="",0,IF(ISNA(MATCH(W1952,W$256:W1951,0)),1,0))</f>
        <v/>
      </c>
      <c r="AA1952">
        <f>IF(Z1952&gt;Z1951,Z1952,"")</f>
        <v/>
      </c>
      <c r="AB1952">
        <f>AB1951+IF(X1952="",0,IF(ISNA(MATCH(X1952,X$256:X1951,0)),1,0))</f>
        <v/>
      </c>
      <c r="AC1952">
        <f>IF(AB1952&gt;AB1951,AB1952,"")</f>
        <v/>
      </c>
    </row>
    <row r="1953">
      <c r="W1953" s="7" t="n"/>
      <c r="X1953" s="7" t="n"/>
      <c r="Z1953">
        <f>Z1952+IF(W1953="",0,IF(ISNA(MATCH(W1953,W$256:W1952,0)),1,0))</f>
        <v/>
      </c>
      <c r="AA1953">
        <f>IF(Z1953&gt;Z1952,Z1953,"")</f>
        <v/>
      </c>
      <c r="AB1953">
        <f>AB1952+IF(X1953="",0,IF(ISNA(MATCH(X1953,X$256:X1952,0)),1,0))</f>
        <v/>
      </c>
      <c r="AC1953">
        <f>IF(AB1953&gt;AB1952,AB1953,"")</f>
        <v/>
      </c>
    </row>
    <row r="1954">
      <c r="W1954" s="7" t="n"/>
      <c r="X1954" s="7" t="n"/>
      <c r="Z1954">
        <f>Z1953+IF(W1954="",0,IF(ISNA(MATCH(W1954,W$256:W1953,0)),1,0))</f>
        <v/>
      </c>
      <c r="AA1954">
        <f>IF(Z1954&gt;Z1953,Z1954,"")</f>
        <v/>
      </c>
      <c r="AB1954">
        <f>AB1953+IF(X1954="",0,IF(ISNA(MATCH(X1954,X$256:X1953,0)),1,0))</f>
        <v/>
      </c>
      <c r="AC1954">
        <f>IF(AB1954&gt;AB1953,AB1954,"")</f>
        <v/>
      </c>
    </row>
    <row r="1955">
      <c r="W1955" s="7" t="n"/>
      <c r="X1955" s="7" t="n"/>
      <c r="Z1955">
        <f>Z1954+IF(W1955="",0,IF(ISNA(MATCH(W1955,W$256:W1954,0)),1,0))</f>
        <v/>
      </c>
      <c r="AA1955">
        <f>IF(Z1955&gt;Z1954,Z1955,"")</f>
        <v/>
      </c>
      <c r="AB1955">
        <f>AB1954+IF(X1955="",0,IF(ISNA(MATCH(X1955,X$256:X1954,0)),1,0))</f>
        <v/>
      </c>
      <c r="AC1955">
        <f>IF(AB1955&gt;AB1954,AB1955,"")</f>
        <v/>
      </c>
    </row>
    <row r="1956">
      <c r="W1956" s="7" t="n"/>
      <c r="X1956" s="7" t="n"/>
      <c r="Z1956">
        <f>Z1955+IF(W1956="",0,IF(ISNA(MATCH(W1956,W$256:W1955,0)),1,0))</f>
        <v/>
      </c>
      <c r="AA1956">
        <f>IF(Z1956&gt;Z1955,Z1956,"")</f>
        <v/>
      </c>
      <c r="AB1956">
        <f>AB1955+IF(X1956="",0,IF(ISNA(MATCH(X1956,X$256:X1955,0)),1,0))</f>
        <v/>
      </c>
      <c r="AC1956">
        <f>IF(AB1956&gt;AB1955,AB1956,"")</f>
        <v/>
      </c>
    </row>
    <row r="1957">
      <c r="W1957" s="7" t="n"/>
      <c r="X1957" s="7" t="n"/>
      <c r="Z1957">
        <f>Z1956+IF(W1957="",0,IF(ISNA(MATCH(W1957,W$256:W1956,0)),1,0))</f>
        <v/>
      </c>
      <c r="AA1957">
        <f>IF(Z1957&gt;Z1956,Z1957,"")</f>
        <v/>
      </c>
      <c r="AB1957">
        <f>AB1956+IF(X1957="",0,IF(ISNA(MATCH(X1957,X$256:X1956,0)),1,0))</f>
        <v/>
      </c>
      <c r="AC1957">
        <f>IF(AB1957&gt;AB1956,AB1957,"")</f>
        <v/>
      </c>
    </row>
    <row r="1958">
      <c r="W1958" s="7" t="n"/>
      <c r="X1958" s="7" t="n"/>
      <c r="Z1958">
        <f>Z1957+IF(W1958="",0,IF(ISNA(MATCH(W1958,W$256:W1957,0)),1,0))</f>
        <v/>
      </c>
      <c r="AA1958">
        <f>IF(Z1958&gt;Z1957,Z1958,"")</f>
        <v/>
      </c>
      <c r="AB1958">
        <f>AB1957+IF(X1958="",0,IF(ISNA(MATCH(X1958,X$256:X1957,0)),1,0))</f>
        <v/>
      </c>
      <c r="AC1958">
        <f>IF(AB1958&gt;AB1957,AB1958,"")</f>
        <v/>
      </c>
    </row>
    <row r="1959">
      <c r="W1959" s="7" t="n"/>
      <c r="X1959" s="7" t="n"/>
      <c r="Z1959">
        <f>Z1958+IF(W1959="",0,IF(ISNA(MATCH(W1959,W$256:W1958,0)),1,0))</f>
        <v/>
      </c>
      <c r="AA1959">
        <f>IF(Z1959&gt;Z1958,Z1959,"")</f>
        <v/>
      </c>
      <c r="AB1959">
        <f>AB1958+IF(X1959="",0,IF(ISNA(MATCH(X1959,X$256:X1958,0)),1,0))</f>
        <v/>
      </c>
      <c r="AC1959">
        <f>IF(AB1959&gt;AB1958,AB1959,"")</f>
        <v/>
      </c>
    </row>
    <row r="1960">
      <c r="W1960" s="7" t="n"/>
      <c r="X1960" s="7" t="n"/>
      <c r="Z1960">
        <f>Z1959+IF(W1960="",0,IF(ISNA(MATCH(W1960,W$256:W1959,0)),1,0))</f>
        <v/>
      </c>
      <c r="AA1960">
        <f>IF(Z1960&gt;Z1959,Z1960,"")</f>
        <v/>
      </c>
      <c r="AB1960">
        <f>AB1959+IF(X1960="",0,IF(ISNA(MATCH(X1960,X$256:X1959,0)),1,0))</f>
        <v/>
      </c>
      <c r="AC1960">
        <f>IF(AB1960&gt;AB1959,AB1960,"")</f>
        <v/>
      </c>
    </row>
    <row r="1961">
      <c r="W1961" s="7" t="n"/>
      <c r="X1961" s="7" t="n"/>
      <c r="Z1961">
        <f>Z1960+IF(W1961="",0,IF(ISNA(MATCH(W1961,W$256:W1960,0)),1,0))</f>
        <v/>
      </c>
      <c r="AA1961">
        <f>IF(Z1961&gt;Z1960,Z1961,"")</f>
        <v/>
      </c>
      <c r="AB1961">
        <f>AB1960+IF(X1961="",0,IF(ISNA(MATCH(X1961,X$256:X1960,0)),1,0))</f>
        <v/>
      </c>
      <c r="AC1961">
        <f>IF(AB1961&gt;AB1960,AB1961,"")</f>
        <v/>
      </c>
    </row>
    <row r="1962">
      <c r="W1962" s="7" t="n"/>
      <c r="X1962" s="7" t="n"/>
      <c r="Z1962">
        <f>Z1961+IF(W1962="",0,IF(ISNA(MATCH(W1962,W$256:W1961,0)),1,0))</f>
        <v/>
      </c>
      <c r="AA1962">
        <f>IF(Z1962&gt;Z1961,Z1962,"")</f>
        <v/>
      </c>
      <c r="AB1962">
        <f>AB1961+IF(X1962="",0,IF(ISNA(MATCH(X1962,X$256:X1961,0)),1,0))</f>
        <v/>
      </c>
      <c r="AC1962">
        <f>IF(AB1962&gt;AB1961,AB1962,"")</f>
        <v/>
      </c>
    </row>
    <row r="1963">
      <c r="W1963" s="7" t="n"/>
      <c r="X1963" s="7" t="n"/>
      <c r="Z1963">
        <f>Z1962+IF(W1963="",0,IF(ISNA(MATCH(W1963,W$256:W1962,0)),1,0))</f>
        <v/>
      </c>
      <c r="AA1963">
        <f>IF(Z1963&gt;Z1962,Z1963,"")</f>
        <v/>
      </c>
      <c r="AB1963">
        <f>AB1962+IF(X1963="",0,IF(ISNA(MATCH(X1963,X$256:X1962,0)),1,0))</f>
        <v/>
      </c>
      <c r="AC1963">
        <f>IF(AB1963&gt;AB1962,AB1963,"")</f>
        <v/>
      </c>
    </row>
    <row r="1964">
      <c r="W1964" s="7" t="n"/>
      <c r="X1964" s="7" t="n"/>
      <c r="Z1964">
        <f>Z1963+IF(W1964="",0,IF(ISNA(MATCH(W1964,W$256:W1963,0)),1,0))</f>
        <v/>
      </c>
      <c r="AA1964">
        <f>IF(Z1964&gt;Z1963,Z1964,"")</f>
        <v/>
      </c>
      <c r="AB1964">
        <f>AB1963+IF(X1964="",0,IF(ISNA(MATCH(X1964,X$256:X1963,0)),1,0))</f>
        <v/>
      </c>
      <c r="AC1964">
        <f>IF(AB1964&gt;AB1963,AB1964,"")</f>
        <v/>
      </c>
    </row>
    <row r="1965">
      <c r="W1965" s="7" t="n"/>
      <c r="X1965" s="7" t="n"/>
      <c r="Z1965">
        <f>Z1964+IF(W1965="",0,IF(ISNA(MATCH(W1965,W$256:W1964,0)),1,0))</f>
        <v/>
      </c>
      <c r="AA1965">
        <f>IF(Z1965&gt;Z1964,Z1965,"")</f>
        <v/>
      </c>
      <c r="AB1965">
        <f>AB1964+IF(X1965="",0,IF(ISNA(MATCH(X1965,X$256:X1964,0)),1,0))</f>
        <v/>
      </c>
      <c r="AC1965">
        <f>IF(AB1965&gt;AB1964,AB1965,"")</f>
        <v/>
      </c>
    </row>
    <row r="1966">
      <c r="W1966" s="7" t="n"/>
      <c r="X1966" s="7" t="n"/>
      <c r="Z1966">
        <f>Z1965+IF(W1966="",0,IF(ISNA(MATCH(W1966,W$256:W1965,0)),1,0))</f>
        <v/>
      </c>
      <c r="AA1966">
        <f>IF(Z1966&gt;Z1965,Z1966,"")</f>
        <v/>
      </c>
      <c r="AB1966">
        <f>AB1965+IF(X1966="",0,IF(ISNA(MATCH(X1966,X$256:X1965,0)),1,0))</f>
        <v/>
      </c>
      <c r="AC1966">
        <f>IF(AB1966&gt;AB1965,AB1966,"")</f>
        <v/>
      </c>
    </row>
    <row r="1967">
      <c r="W1967" s="7" t="n"/>
      <c r="X1967" s="7" t="n"/>
      <c r="Z1967">
        <f>Z1966+IF(W1967="",0,IF(ISNA(MATCH(W1967,W$256:W1966,0)),1,0))</f>
        <v/>
      </c>
      <c r="AA1967">
        <f>IF(Z1967&gt;Z1966,Z1967,"")</f>
        <v/>
      </c>
      <c r="AB1967">
        <f>AB1966+IF(X1967="",0,IF(ISNA(MATCH(X1967,X$256:X1966,0)),1,0))</f>
        <v/>
      </c>
      <c r="AC1967">
        <f>IF(AB1967&gt;AB1966,AB1967,"")</f>
        <v/>
      </c>
    </row>
    <row r="1968">
      <c r="W1968" s="7" t="n"/>
      <c r="X1968" s="7" t="n"/>
      <c r="Z1968">
        <f>Z1967+IF(W1968="",0,IF(ISNA(MATCH(W1968,W$256:W1967,0)),1,0))</f>
        <v/>
      </c>
      <c r="AA1968">
        <f>IF(Z1968&gt;Z1967,Z1968,"")</f>
        <v/>
      </c>
      <c r="AB1968">
        <f>AB1967+IF(X1968="",0,IF(ISNA(MATCH(X1968,X$256:X1967,0)),1,0))</f>
        <v/>
      </c>
      <c r="AC1968">
        <f>IF(AB1968&gt;AB1967,AB1968,"")</f>
        <v/>
      </c>
    </row>
    <row r="1969">
      <c r="W1969" s="7" t="n"/>
      <c r="X1969" s="7" t="n"/>
      <c r="Z1969">
        <f>Z1968+IF(W1969="",0,IF(ISNA(MATCH(W1969,W$256:W1968,0)),1,0))</f>
        <v/>
      </c>
      <c r="AA1969">
        <f>IF(Z1969&gt;Z1968,Z1969,"")</f>
        <v/>
      </c>
      <c r="AB1969">
        <f>AB1968+IF(X1969="",0,IF(ISNA(MATCH(X1969,X$256:X1968,0)),1,0))</f>
        <v/>
      </c>
      <c r="AC1969">
        <f>IF(AB1969&gt;AB1968,AB1969,"")</f>
        <v/>
      </c>
    </row>
    <row r="1970">
      <c r="W1970" s="7" t="n"/>
      <c r="X1970" s="7" t="n"/>
      <c r="Z1970">
        <f>Z1969+IF(W1970="",0,IF(ISNA(MATCH(W1970,W$256:W1969,0)),1,0))</f>
        <v/>
      </c>
      <c r="AA1970">
        <f>IF(Z1970&gt;Z1969,Z1970,"")</f>
        <v/>
      </c>
      <c r="AB1970">
        <f>AB1969+IF(X1970="",0,IF(ISNA(MATCH(X1970,X$256:X1969,0)),1,0))</f>
        <v/>
      </c>
      <c r="AC1970">
        <f>IF(AB1970&gt;AB1969,AB1970,"")</f>
        <v/>
      </c>
    </row>
    <row r="1971">
      <c r="W1971" s="7" t="n"/>
      <c r="X1971" s="7" t="n"/>
      <c r="Z1971">
        <f>Z1970+IF(W1971="",0,IF(ISNA(MATCH(W1971,W$256:W1970,0)),1,0))</f>
        <v/>
      </c>
      <c r="AA1971">
        <f>IF(Z1971&gt;Z1970,Z1971,"")</f>
        <v/>
      </c>
      <c r="AB1971">
        <f>AB1970+IF(X1971="",0,IF(ISNA(MATCH(X1971,X$256:X1970,0)),1,0))</f>
        <v/>
      </c>
      <c r="AC1971">
        <f>IF(AB1971&gt;AB1970,AB1971,"")</f>
        <v/>
      </c>
    </row>
    <row r="1972">
      <c r="W1972" s="7" t="n"/>
      <c r="X1972" s="7" t="n"/>
      <c r="Z1972">
        <f>Z1971+IF(W1972="",0,IF(ISNA(MATCH(W1972,W$256:W1971,0)),1,0))</f>
        <v/>
      </c>
      <c r="AA1972">
        <f>IF(Z1972&gt;Z1971,Z1972,"")</f>
        <v/>
      </c>
      <c r="AB1972">
        <f>AB1971+IF(X1972="",0,IF(ISNA(MATCH(X1972,X$256:X1971,0)),1,0))</f>
        <v/>
      </c>
      <c r="AC1972">
        <f>IF(AB1972&gt;AB1971,AB1972,"")</f>
        <v/>
      </c>
    </row>
    <row r="1973">
      <c r="W1973" s="7" t="n"/>
      <c r="X1973" s="7" t="n"/>
      <c r="Z1973">
        <f>Z1972+IF(W1973="",0,IF(ISNA(MATCH(W1973,W$256:W1972,0)),1,0))</f>
        <v/>
      </c>
      <c r="AA1973">
        <f>IF(Z1973&gt;Z1972,Z1973,"")</f>
        <v/>
      </c>
      <c r="AB1973">
        <f>AB1972+IF(X1973="",0,IF(ISNA(MATCH(X1973,X$256:X1972,0)),1,0))</f>
        <v/>
      </c>
      <c r="AC1973">
        <f>IF(AB1973&gt;AB1972,AB1973,"")</f>
        <v/>
      </c>
    </row>
    <row r="1974">
      <c r="W1974" s="7" t="n"/>
      <c r="X1974" s="7" t="n"/>
      <c r="Z1974">
        <f>Z1973+IF(W1974="",0,IF(ISNA(MATCH(W1974,W$256:W1973,0)),1,0))</f>
        <v/>
      </c>
      <c r="AA1974">
        <f>IF(Z1974&gt;Z1973,Z1974,"")</f>
        <v/>
      </c>
      <c r="AB1974">
        <f>AB1973+IF(X1974="",0,IF(ISNA(MATCH(X1974,X$256:X1973,0)),1,0))</f>
        <v/>
      </c>
      <c r="AC1974">
        <f>IF(AB1974&gt;AB1973,AB1974,"")</f>
        <v/>
      </c>
    </row>
    <row r="1975">
      <c r="W1975" s="7" t="n"/>
      <c r="X1975" s="7" t="n"/>
      <c r="Z1975">
        <f>Z1974+IF(W1975="",0,IF(ISNA(MATCH(W1975,W$256:W1974,0)),1,0))</f>
        <v/>
      </c>
      <c r="AA1975">
        <f>IF(Z1975&gt;Z1974,Z1975,"")</f>
        <v/>
      </c>
      <c r="AB1975">
        <f>AB1974+IF(X1975="",0,IF(ISNA(MATCH(X1975,X$256:X1974,0)),1,0))</f>
        <v/>
      </c>
      <c r="AC1975">
        <f>IF(AB1975&gt;AB1974,AB1975,"")</f>
        <v/>
      </c>
    </row>
    <row r="1976">
      <c r="W1976" s="7" t="n"/>
      <c r="X1976" s="7" t="n"/>
      <c r="Z1976">
        <f>Z1975+IF(W1976="",0,IF(ISNA(MATCH(W1976,W$256:W1975,0)),1,0))</f>
        <v/>
      </c>
      <c r="AA1976">
        <f>IF(Z1976&gt;Z1975,Z1976,"")</f>
        <v/>
      </c>
      <c r="AB1976">
        <f>AB1975+IF(X1976="",0,IF(ISNA(MATCH(X1976,X$256:X1975,0)),1,0))</f>
        <v/>
      </c>
      <c r="AC1976">
        <f>IF(AB1976&gt;AB1975,AB1976,"")</f>
        <v/>
      </c>
    </row>
    <row r="1977">
      <c r="W1977" s="7" t="n"/>
      <c r="X1977" s="7" t="n"/>
      <c r="Z1977">
        <f>Z1976+IF(W1977="",0,IF(ISNA(MATCH(W1977,W$256:W1976,0)),1,0))</f>
        <v/>
      </c>
      <c r="AA1977">
        <f>IF(Z1977&gt;Z1976,Z1977,"")</f>
        <v/>
      </c>
      <c r="AB1977">
        <f>AB1976+IF(X1977="",0,IF(ISNA(MATCH(X1977,X$256:X1976,0)),1,0))</f>
        <v/>
      </c>
      <c r="AC1977">
        <f>IF(AB1977&gt;AB1976,AB1977,"")</f>
        <v/>
      </c>
    </row>
    <row r="1978">
      <c r="W1978" s="7" t="n"/>
      <c r="X1978" s="7" t="n"/>
      <c r="Z1978">
        <f>Z1977+IF(W1978="",0,IF(ISNA(MATCH(W1978,W$256:W1977,0)),1,0))</f>
        <v/>
      </c>
      <c r="AA1978">
        <f>IF(Z1978&gt;Z1977,Z1978,"")</f>
        <v/>
      </c>
      <c r="AB1978">
        <f>AB1977+IF(X1978="",0,IF(ISNA(MATCH(X1978,X$256:X1977,0)),1,0))</f>
        <v/>
      </c>
      <c r="AC1978">
        <f>IF(AB1978&gt;AB1977,AB1978,"")</f>
        <v/>
      </c>
    </row>
    <row r="1979">
      <c r="W1979" s="7" t="n"/>
      <c r="X1979" s="7" t="n"/>
      <c r="Z1979">
        <f>Z1978+IF(W1979="",0,IF(ISNA(MATCH(W1979,W$256:W1978,0)),1,0))</f>
        <v/>
      </c>
      <c r="AA1979">
        <f>IF(Z1979&gt;Z1978,Z1979,"")</f>
        <v/>
      </c>
      <c r="AB1979">
        <f>AB1978+IF(X1979="",0,IF(ISNA(MATCH(X1979,X$256:X1978,0)),1,0))</f>
        <v/>
      </c>
      <c r="AC1979">
        <f>IF(AB1979&gt;AB1978,AB1979,"")</f>
        <v/>
      </c>
    </row>
    <row r="1980">
      <c r="W1980" s="7" t="n"/>
      <c r="X1980" s="7" t="n"/>
      <c r="Z1980">
        <f>Z1979+IF(W1980="",0,IF(ISNA(MATCH(W1980,W$256:W1979,0)),1,0))</f>
        <v/>
      </c>
      <c r="AA1980">
        <f>IF(Z1980&gt;Z1979,Z1980,"")</f>
        <v/>
      </c>
      <c r="AB1980">
        <f>AB1979+IF(X1980="",0,IF(ISNA(MATCH(X1980,X$256:X1979,0)),1,0))</f>
        <v/>
      </c>
      <c r="AC1980">
        <f>IF(AB1980&gt;AB1979,AB1980,"")</f>
        <v/>
      </c>
    </row>
    <row r="1981">
      <c r="W1981" s="7" t="n"/>
      <c r="X1981" s="7" t="n"/>
      <c r="Z1981">
        <f>Z1980+IF(W1981="",0,IF(ISNA(MATCH(W1981,W$256:W1980,0)),1,0))</f>
        <v/>
      </c>
      <c r="AA1981">
        <f>IF(Z1981&gt;Z1980,Z1981,"")</f>
        <v/>
      </c>
      <c r="AB1981">
        <f>AB1980+IF(X1981="",0,IF(ISNA(MATCH(X1981,X$256:X1980,0)),1,0))</f>
        <v/>
      </c>
      <c r="AC1981">
        <f>IF(AB1981&gt;AB1980,AB1981,"")</f>
        <v/>
      </c>
    </row>
    <row r="1982">
      <c r="W1982" s="7" t="n"/>
      <c r="X1982" s="7" t="n"/>
      <c r="Z1982">
        <f>Z1981+IF(W1982="",0,IF(ISNA(MATCH(W1982,W$256:W1981,0)),1,0))</f>
        <v/>
      </c>
      <c r="AA1982">
        <f>IF(Z1982&gt;Z1981,Z1982,"")</f>
        <v/>
      </c>
      <c r="AB1982">
        <f>AB1981+IF(X1982="",0,IF(ISNA(MATCH(X1982,X$256:X1981,0)),1,0))</f>
        <v/>
      </c>
      <c r="AC1982">
        <f>IF(AB1982&gt;AB1981,AB1982,"")</f>
        <v/>
      </c>
    </row>
    <row r="1983">
      <c r="W1983" s="7" t="n"/>
      <c r="X1983" s="7" t="n"/>
      <c r="Z1983">
        <f>Z1982+IF(W1983="",0,IF(ISNA(MATCH(W1983,W$256:W1982,0)),1,0))</f>
        <v/>
      </c>
      <c r="AA1983">
        <f>IF(Z1983&gt;Z1982,Z1983,"")</f>
        <v/>
      </c>
      <c r="AB1983">
        <f>AB1982+IF(X1983="",0,IF(ISNA(MATCH(X1983,X$256:X1982,0)),1,0))</f>
        <v/>
      </c>
      <c r="AC1983">
        <f>IF(AB1983&gt;AB1982,AB1983,"")</f>
        <v/>
      </c>
    </row>
    <row r="1984">
      <c r="W1984" s="7" t="n"/>
      <c r="X1984" s="7" t="n"/>
      <c r="Z1984">
        <f>Z1983+IF(W1984="",0,IF(ISNA(MATCH(W1984,W$256:W1983,0)),1,0))</f>
        <v/>
      </c>
      <c r="AA1984">
        <f>IF(Z1984&gt;Z1983,Z1984,"")</f>
        <v/>
      </c>
      <c r="AB1984">
        <f>AB1983+IF(X1984="",0,IF(ISNA(MATCH(X1984,X$256:X1983,0)),1,0))</f>
        <v/>
      </c>
      <c r="AC1984">
        <f>IF(AB1984&gt;AB1983,AB1984,"")</f>
        <v/>
      </c>
    </row>
    <row r="1985">
      <c r="W1985" s="7" t="n"/>
      <c r="X1985" s="7" t="n"/>
      <c r="Z1985">
        <f>Z1984+IF(W1985="",0,IF(ISNA(MATCH(W1985,W$256:W1984,0)),1,0))</f>
        <v/>
      </c>
      <c r="AA1985">
        <f>IF(Z1985&gt;Z1984,Z1985,"")</f>
        <v/>
      </c>
      <c r="AB1985">
        <f>AB1984+IF(X1985="",0,IF(ISNA(MATCH(X1985,X$256:X1984,0)),1,0))</f>
        <v/>
      </c>
      <c r="AC1985">
        <f>IF(AB1985&gt;AB1984,AB1985,"")</f>
        <v/>
      </c>
    </row>
    <row r="1986">
      <c r="W1986" s="7" t="n"/>
      <c r="X1986" s="7" t="n"/>
      <c r="Z1986">
        <f>Z1985+IF(W1986="",0,IF(ISNA(MATCH(W1986,W$256:W1985,0)),1,0))</f>
        <v/>
      </c>
      <c r="AA1986">
        <f>IF(Z1986&gt;Z1985,Z1986,"")</f>
        <v/>
      </c>
      <c r="AB1986">
        <f>AB1985+IF(X1986="",0,IF(ISNA(MATCH(X1986,X$256:X1985,0)),1,0))</f>
        <v/>
      </c>
      <c r="AC1986">
        <f>IF(AB1986&gt;AB1985,AB1986,"")</f>
        <v/>
      </c>
    </row>
    <row r="1987">
      <c r="W1987" s="7" t="n"/>
      <c r="X1987" s="7" t="n"/>
      <c r="Z1987">
        <f>Z1986+IF(W1987="",0,IF(ISNA(MATCH(W1987,W$256:W1986,0)),1,0))</f>
        <v/>
      </c>
      <c r="AA1987">
        <f>IF(Z1987&gt;Z1986,Z1987,"")</f>
        <v/>
      </c>
      <c r="AB1987">
        <f>AB1986+IF(X1987="",0,IF(ISNA(MATCH(X1987,X$256:X1986,0)),1,0))</f>
        <v/>
      </c>
      <c r="AC1987">
        <f>IF(AB1987&gt;AB1986,AB1987,"")</f>
        <v/>
      </c>
    </row>
    <row r="1988">
      <c r="W1988" s="7" t="n"/>
      <c r="X1988" s="7" t="n"/>
      <c r="Z1988">
        <f>Z1987+IF(W1988="",0,IF(ISNA(MATCH(W1988,W$256:W1987,0)),1,0))</f>
        <v/>
      </c>
      <c r="AA1988">
        <f>IF(Z1988&gt;Z1987,Z1988,"")</f>
        <v/>
      </c>
      <c r="AB1988">
        <f>AB1987+IF(X1988="",0,IF(ISNA(MATCH(X1988,X$256:X1987,0)),1,0))</f>
        <v/>
      </c>
      <c r="AC1988">
        <f>IF(AB1988&gt;AB1987,AB1988,"")</f>
        <v/>
      </c>
    </row>
    <row r="1989">
      <c r="W1989" s="7" t="n"/>
      <c r="X1989" s="7" t="n"/>
      <c r="Z1989">
        <f>Z1988+IF(W1989="",0,IF(ISNA(MATCH(W1989,W$256:W1988,0)),1,0))</f>
        <v/>
      </c>
      <c r="AA1989">
        <f>IF(Z1989&gt;Z1988,Z1989,"")</f>
        <v/>
      </c>
      <c r="AB1989">
        <f>AB1988+IF(X1989="",0,IF(ISNA(MATCH(X1989,X$256:X1988,0)),1,0))</f>
        <v/>
      </c>
      <c r="AC1989">
        <f>IF(AB1989&gt;AB1988,AB1989,"")</f>
        <v/>
      </c>
    </row>
    <row r="1990">
      <c r="W1990" s="7" t="n"/>
      <c r="X1990" s="7" t="n"/>
      <c r="Z1990">
        <f>Z1989+IF(W1990="",0,IF(ISNA(MATCH(W1990,W$256:W1989,0)),1,0))</f>
        <v/>
      </c>
      <c r="AA1990">
        <f>IF(Z1990&gt;Z1989,Z1990,"")</f>
        <v/>
      </c>
      <c r="AB1990">
        <f>AB1989+IF(X1990="",0,IF(ISNA(MATCH(X1990,X$256:X1989,0)),1,0))</f>
        <v/>
      </c>
      <c r="AC1990">
        <f>IF(AB1990&gt;AB1989,AB1990,"")</f>
        <v/>
      </c>
    </row>
    <row r="1991">
      <c r="W1991" s="7" t="n"/>
      <c r="X1991" s="7" t="n"/>
      <c r="Z1991">
        <f>Z1990+IF(W1991="",0,IF(ISNA(MATCH(W1991,W$256:W1990,0)),1,0))</f>
        <v/>
      </c>
      <c r="AA1991">
        <f>IF(Z1991&gt;Z1990,Z1991,"")</f>
        <v/>
      </c>
      <c r="AB1991">
        <f>AB1990+IF(X1991="",0,IF(ISNA(MATCH(X1991,X$256:X1990,0)),1,0))</f>
        <v/>
      </c>
      <c r="AC1991">
        <f>IF(AB1991&gt;AB1990,AB1991,"")</f>
        <v/>
      </c>
    </row>
    <row r="1992">
      <c r="W1992" s="7" t="n"/>
      <c r="X1992" s="7" t="n"/>
      <c r="Z1992">
        <f>Z1991+IF(W1992="",0,IF(ISNA(MATCH(W1992,W$256:W1991,0)),1,0))</f>
        <v/>
      </c>
      <c r="AA1992">
        <f>IF(Z1992&gt;Z1991,Z1992,"")</f>
        <v/>
      </c>
      <c r="AB1992">
        <f>AB1991+IF(X1992="",0,IF(ISNA(MATCH(X1992,X$256:X1991,0)),1,0))</f>
        <v/>
      </c>
      <c r="AC1992">
        <f>IF(AB1992&gt;AB1991,AB1992,"")</f>
        <v/>
      </c>
    </row>
    <row r="1993">
      <c r="W1993" s="7" t="n"/>
      <c r="X1993" s="7" t="n"/>
      <c r="Z1993">
        <f>Z1992+IF(W1993="",0,IF(ISNA(MATCH(W1993,W$256:W1992,0)),1,0))</f>
        <v/>
      </c>
      <c r="AA1993">
        <f>IF(Z1993&gt;Z1992,Z1993,"")</f>
        <v/>
      </c>
      <c r="AB1993">
        <f>AB1992+IF(X1993="",0,IF(ISNA(MATCH(X1993,X$256:X1992,0)),1,0))</f>
        <v/>
      </c>
      <c r="AC1993">
        <f>IF(AB1993&gt;AB1992,AB1993,"")</f>
        <v/>
      </c>
    </row>
    <row r="1994">
      <c r="W1994" s="7" t="n"/>
      <c r="X1994" s="7" t="n"/>
      <c r="Z1994">
        <f>Z1993+IF(W1994="",0,IF(ISNA(MATCH(W1994,W$256:W1993,0)),1,0))</f>
        <v/>
      </c>
      <c r="AA1994">
        <f>IF(Z1994&gt;Z1993,Z1994,"")</f>
        <v/>
      </c>
      <c r="AB1994">
        <f>AB1993+IF(X1994="",0,IF(ISNA(MATCH(X1994,X$256:X1993,0)),1,0))</f>
        <v/>
      </c>
      <c r="AC1994">
        <f>IF(AB1994&gt;AB1993,AB1994,"")</f>
        <v/>
      </c>
    </row>
    <row r="1995">
      <c r="W1995" s="7" t="n"/>
      <c r="X1995" s="7" t="n"/>
      <c r="Z1995">
        <f>Z1994+IF(W1995="",0,IF(ISNA(MATCH(W1995,W$256:W1994,0)),1,0))</f>
        <v/>
      </c>
      <c r="AA1995">
        <f>IF(Z1995&gt;Z1994,Z1995,"")</f>
        <v/>
      </c>
      <c r="AB1995">
        <f>AB1994+IF(X1995="",0,IF(ISNA(MATCH(X1995,X$256:X1994,0)),1,0))</f>
        <v/>
      </c>
      <c r="AC1995">
        <f>IF(AB1995&gt;AB1994,AB1995,"")</f>
        <v/>
      </c>
    </row>
    <row r="1996">
      <c r="W1996" s="7" t="n"/>
      <c r="X1996" s="7" t="n"/>
      <c r="Z1996">
        <f>Z1995+IF(W1996="",0,IF(ISNA(MATCH(W1996,W$256:W1995,0)),1,0))</f>
        <v/>
      </c>
      <c r="AA1996">
        <f>IF(Z1996&gt;Z1995,Z1996,"")</f>
        <v/>
      </c>
      <c r="AB1996">
        <f>AB1995+IF(X1996="",0,IF(ISNA(MATCH(X1996,X$256:X1995,0)),1,0))</f>
        <v/>
      </c>
      <c r="AC1996">
        <f>IF(AB1996&gt;AB1995,AB1996,"")</f>
        <v/>
      </c>
    </row>
    <row r="1997">
      <c r="W1997" s="7" t="n"/>
      <c r="X1997" s="7" t="n"/>
      <c r="Z1997">
        <f>Z1996+IF(W1997="",0,IF(ISNA(MATCH(W1997,W$256:W1996,0)),1,0))</f>
        <v/>
      </c>
      <c r="AA1997">
        <f>IF(Z1997&gt;Z1996,Z1997,"")</f>
        <v/>
      </c>
      <c r="AB1997">
        <f>AB1996+IF(X1997="",0,IF(ISNA(MATCH(X1997,X$256:X1996,0)),1,0))</f>
        <v/>
      </c>
      <c r="AC1997">
        <f>IF(AB1997&gt;AB1996,AB1997,"")</f>
        <v/>
      </c>
    </row>
    <row r="1998">
      <c r="W1998" s="7" t="n"/>
      <c r="X1998" s="7" t="n"/>
      <c r="Z1998">
        <f>Z1997+IF(W1998="",0,IF(ISNA(MATCH(W1998,W$256:W1997,0)),1,0))</f>
        <v/>
      </c>
      <c r="AA1998">
        <f>IF(Z1998&gt;Z1997,Z1998,"")</f>
        <v/>
      </c>
      <c r="AB1998">
        <f>AB1997+IF(X1998="",0,IF(ISNA(MATCH(X1998,X$256:X1997,0)),1,0))</f>
        <v/>
      </c>
      <c r="AC1998">
        <f>IF(AB1998&gt;AB1997,AB1998,"")</f>
        <v/>
      </c>
    </row>
    <row r="1999">
      <c r="W1999" s="7" t="n"/>
      <c r="X1999" s="7" t="n"/>
      <c r="Z1999">
        <f>Z1998+IF(W1999="",0,IF(ISNA(MATCH(W1999,W$256:W1998,0)),1,0))</f>
        <v/>
      </c>
      <c r="AA1999">
        <f>IF(Z1999&gt;Z1998,Z1999,"")</f>
        <v/>
      </c>
      <c r="AB1999">
        <f>AB1998+IF(X1999="",0,IF(ISNA(MATCH(X1999,X$256:X1998,0)),1,0))</f>
        <v/>
      </c>
      <c r="AC1999">
        <f>IF(AB1999&gt;AB1998,AB1999,"")</f>
        <v/>
      </c>
    </row>
    <row r="2000">
      <c r="W2000" s="7" t="n"/>
      <c r="X2000" s="7" t="n"/>
      <c r="Z2000">
        <f>Z1999+IF(W2000="",0,IF(ISNA(MATCH(W2000,W$256:W1999,0)),1,0))</f>
        <v/>
      </c>
      <c r="AA2000">
        <f>IF(Z2000&gt;Z1999,Z2000,"")</f>
        <v/>
      </c>
      <c r="AB2000">
        <f>AB1999+IF(X2000="",0,IF(ISNA(MATCH(X2000,X$256:X1999,0)),1,0))</f>
        <v/>
      </c>
      <c r="AC2000">
        <f>IF(AB2000&gt;AB1999,AB2000,"")</f>
        <v/>
      </c>
    </row>
    <row r="2001">
      <c r="W2001" s="7" t="n"/>
      <c r="X2001" s="7" t="n"/>
      <c r="Z2001">
        <f>Z2000+IF(W2001="",0,IF(ISNA(MATCH(W2001,W$256:W2000,0)),1,0))</f>
        <v/>
      </c>
      <c r="AA2001">
        <f>IF(Z2001&gt;Z2000,Z2001,"")</f>
        <v/>
      </c>
      <c r="AB2001">
        <f>AB2000+IF(X2001="",0,IF(ISNA(MATCH(X2001,X$256:X2000,0)),1,0))</f>
        <v/>
      </c>
      <c r="AC2001">
        <f>IF(AB2001&gt;AB2000,AB2001,"")</f>
        <v/>
      </c>
    </row>
    <row r="2002">
      <c r="W2002" s="7" t="n"/>
      <c r="X2002" s="7" t="n"/>
      <c r="Z2002">
        <f>Z2001+IF(W2002="",0,IF(ISNA(MATCH(W2002,W$256:W2001,0)),1,0))</f>
        <v/>
      </c>
      <c r="AA2002">
        <f>IF(Z2002&gt;Z2001,Z2002,"")</f>
        <v/>
      </c>
      <c r="AB2002">
        <f>AB2001+IF(X2002="",0,IF(ISNA(MATCH(X2002,X$256:X2001,0)),1,0))</f>
        <v/>
      </c>
      <c r="AC2002">
        <f>IF(AB2002&gt;AB2001,AB2002,"")</f>
        <v/>
      </c>
    </row>
    <row r="2003">
      <c r="W2003" s="7" t="n"/>
      <c r="X2003" s="7" t="n"/>
      <c r="Z2003">
        <f>Z2002+IF(W2003="",0,IF(ISNA(MATCH(W2003,W$256:W2002,0)),1,0))</f>
        <v/>
      </c>
      <c r="AA2003">
        <f>IF(Z2003&gt;Z2002,Z2003,"")</f>
        <v/>
      </c>
      <c r="AB2003">
        <f>AB2002+IF(X2003="",0,IF(ISNA(MATCH(X2003,X$256:X2002,0)),1,0))</f>
        <v/>
      </c>
      <c r="AC2003">
        <f>IF(AB2003&gt;AB2002,AB2003,"")</f>
        <v/>
      </c>
    </row>
    <row r="2004">
      <c r="W2004" s="7" t="n"/>
      <c r="X2004" s="7" t="n"/>
      <c r="Z2004">
        <f>Z2003+IF(W2004="",0,IF(ISNA(MATCH(W2004,W$256:W2003,0)),1,0))</f>
        <v/>
      </c>
      <c r="AA2004">
        <f>IF(Z2004&gt;Z2003,Z2004,"")</f>
        <v/>
      </c>
      <c r="AB2004">
        <f>AB2003+IF(X2004="",0,IF(ISNA(MATCH(X2004,X$256:X2003,0)),1,0))</f>
        <v/>
      </c>
      <c r="AC2004">
        <f>IF(AB2004&gt;AB2003,AB2004,"")</f>
        <v/>
      </c>
    </row>
    <row r="2005">
      <c r="W2005" s="7" t="n"/>
      <c r="X2005" s="7" t="n"/>
      <c r="Z2005">
        <f>Z2004+IF(W2005="",0,IF(ISNA(MATCH(W2005,W$256:W2004,0)),1,0))</f>
        <v/>
      </c>
      <c r="AA2005">
        <f>IF(Z2005&gt;Z2004,Z2005,"")</f>
        <v/>
      </c>
      <c r="AB2005">
        <f>AB2004+IF(X2005="",0,IF(ISNA(MATCH(X2005,X$256:X2004,0)),1,0))</f>
        <v/>
      </c>
      <c r="AC2005">
        <f>IF(AB2005&gt;AB2004,AB2005,"")</f>
        <v/>
      </c>
    </row>
    <row r="2006">
      <c r="W2006" s="7" t="n"/>
      <c r="X2006" s="7" t="n"/>
      <c r="Z2006">
        <f>Z2005+IF(W2006="",0,IF(ISNA(MATCH(W2006,W$256:W2005,0)),1,0))</f>
        <v/>
      </c>
      <c r="AA2006">
        <f>IF(Z2006&gt;Z2005,Z2006,"")</f>
        <v/>
      </c>
      <c r="AB2006">
        <f>AB2005+IF(X2006="",0,IF(ISNA(MATCH(X2006,X$256:X2005,0)),1,0))</f>
        <v/>
      </c>
      <c r="AC2006">
        <f>IF(AB2006&gt;AB2005,AB2006,"")</f>
        <v/>
      </c>
    </row>
    <row r="2007">
      <c r="W2007" s="7" t="n"/>
      <c r="X2007" s="7" t="n"/>
      <c r="Z2007">
        <f>Z2006+IF(W2007="",0,IF(ISNA(MATCH(W2007,W$256:W2006,0)),1,0))</f>
        <v/>
      </c>
      <c r="AA2007">
        <f>IF(Z2007&gt;Z2006,Z2007,"")</f>
        <v/>
      </c>
      <c r="AB2007">
        <f>AB2006+IF(X2007="",0,IF(ISNA(MATCH(X2007,X$256:X2006,0)),1,0))</f>
        <v/>
      </c>
      <c r="AC2007">
        <f>IF(AB2007&gt;AB2006,AB2007,"")</f>
        <v/>
      </c>
    </row>
    <row r="2008">
      <c r="W2008" s="7" t="n"/>
      <c r="X2008" s="7" t="n"/>
      <c r="Z2008">
        <f>Z2007+IF(W2008="",0,IF(ISNA(MATCH(W2008,W$256:W2007,0)),1,0))</f>
        <v/>
      </c>
      <c r="AA2008">
        <f>IF(Z2008&gt;Z2007,Z2008,"")</f>
        <v/>
      </c>
      <c r="AB2008">
        <f>AB2007+IF(X2008="",0,IF(ISNA(MATCH(X2008,X$256:X2007,0)),1,0))</f>
        <v/>
      </c>
      <c r="AC2008">
        <f>IF(AB2008&gt;AB2007,AB2008,"")</f>
        <v/>
      </c>
    </row>
    <row r="2009">
      <c r="W2009" s="7" t="n"/>
      <c r="X2009" s="7" t="n"/>
      <c r="Z2009">
        <f>Z2008+IF(W2009="",0,IF(ISNA(MATCH(W2009,W$256:W2008,0)),1,0))</f>
        <v/>
      </c>
      <c r="AA2009">
        <f>IF(Z2009&gt;Z2008,Z2009,"")</f>
        <v/>
      </c>
      <c r="AB2009">
        <f>AB2008+IF(X2009="",0,IF(ISNA(MATCH(X2009,X$256:X2008,0)),1,0))</f>
        <v/>
      </c>
      <c r="AC2009">
        <f>IF(AB2009&gt;AB2008,AB2009,"")</f>
        <v/>
      </c>
    </row>
    <row r="2010">
      <c r="W2010" s="7" t="n"/>
      <c r="X2010" s="7" t="n"/>
      <c r="Z2010">
        <f>Z2009+IF(W2010="",0,IF(ISNA(MATCH(W2010,W$256:W2009,0)),1,0))</f>
        <v/>
      </c>
      <c r="AA2010">
        <f>IF(Z2010&gt;Z2009,Z2010,"")</f>
        <v/>
      </c>
      <c r="AB2010">
        <f>AB2009+IF(X2010="",0,IF(ISNA(MATCH(X2010,X$256:X2009,0)),1,0))</f>
        <v/>
      </c>
      <c r="AC2010">
        <f>IF(AB2010&gt;AB2009,AB2010,"")</f>
        <v/>
      </c>
    </row>
    <row r="2011">
      <c r="W2011" s="7" t="n"/>
      <c r="X2011" s="7" t="n"/>
      <c r="Z2011">
        <f>Z2010+IF(W2011="",0,IF(ISNA(MATCH(W2011,W$256:W2010,0)),1,0))</f>
        <v/>
      </c>
      <c r="AA2011">
        <f>IF(Z2011&gt;Z2010,Z2011,"")</f>
        <v/>
      </c>
      <c r="AB2011">
        <f>AB2010+IF(X2011="",0,IF(ISNA(MATCH(X2011,X$256:X2010,0)),1,0))</f>
        <v/>
      </c>
      <c r="AC2011">
        <f>IF(AB2011&gt;AB2010,AB2011,"")</f>
        <v/>
      </c>
    </row>
    <row r="2012">
      <c r="W2012" s="7" t="n"/>
      <c r="X2012" s="7" t="n"/>
      <c r="Z2012">
        <f>Z2011+IF(W2012="",0,IF(ISNA(MATCH(W2012,W$256:W2011,0)),1,0))</f>
        <v/>
      </c>
      <c r="AA2012">
        <f>IF(Z2012&gt;Z2011,Z2012,"")</f>
        <v/>
      </c>
      <c r="AB2012">
        <f>AB2011+IF(X2012="",0,IF(ISNA(MATCH(X2012,X$256:X2011,0)),1,0))</f>
        <v/>
      </c>
      <c r="AC2012">
        <f>IF(AB2012&gt;AB2011,AB2012,"")</f>
        <v/>
      </c>
    </row>
    <row r="2013">
      <c r="W2013" s="7" t="n"/>
      <c r="X2013" s="7" t="n"/>
      <c r="Z2013">
        <f>Z2012+IF(W2013="",0,IF(ISNA(MATCH(W2013,W$256:W2012,0)),1,0))</f>
        <v/>
      </c>
      <c r="AA2013">
        <f>IF(Z2013&gt;Z2012,Z2013,"")</f>
        <v/>
      </c>
      <c r="AB2013">
        <f>AB2012+IF(X2013="",0,IF(ISNA(MATCH(X2013,X$256:X2012,0)),1,0))</f>
        <v/>
      </c>
      <c r="AC2013">
        <f>IF(AB2013&gt;AB2012,AB2013,"")</f>
        <v/>
      </c>
    </row>
    <row r="2014">
      <c r="W2014" s="7" t="n"/>
      <c r="X2014" s="7" t="n"/>
      <c r="Z2014">
        <f>Z2013+IF(W2014="",0,IF(ISNA(MATCH(W2014,W$256:W2013,0)),1,0))</f>
        <v/>
      </c>
      <c r="AA2014">
        <f>IF(Z2014&gt;Z2013,Z2014,"")</f>
        <v/>
      </c>
      <c r="AB2014">
        <f>AB2013+IF(X2014="",0,IF(ISNA(MATCH(X2014,X$256:X2013,0)),1,0))</f>
        <v/>
      </c>
      <c r="AC2014">
        <f>IF(AB2014&gt;AB2013,AB2014,"")</f>
        <v/>
      </c>
    </row>
    <row r="2015">
      <c r="W2015" s="7" t="n"/>
      <c r="X2015" s="7" t="n"/>
      <c r="Z2015">
        <f>Z2014+IF(W2015="",0,IF(ISNA(MATCH(W2015,W$256:W2014,0)),1,0))</f>
        <v/>
      </c>
      <c r="AA2015">
        <f>IF(Z2015&gt;Z2014,Z2015,"")</f>
        <v/>
      </c>
      <c r="AB2015">
        <f>AB2014+IF(X2015="",0,IF(ISNA(MATCH(X2015,X$256:X2014,0)),1,0))</f>
        <v/>
      </c>
      <c r="AC2015">
        <f>IF(AB2015&gt;AB2014,AB2015,"")</f>
        <v/>
      </c>
    </row>
    <row r="2016">
      <c r="W2016" s="7" t="n"/>
      <c r="X2016" s="7" t="n"/>
      <c r="Z2016">
        <f>Z2015+IF(W2016="",0,IF(ISNA(MATCH(W2016,W$256:W2015,0)),1,0))</f>
        <v/>
      </c>
      <c r="AA2016">
        <f>IF(Z2016&gt;Z2015,Z2016,"")</f>
        <v/>
      </c>
      <c r="AB2016">
        <f>AB2015+IF(X2016="",0,IF(ISNA(MATCH(X2016,X$256:X2015,0)),1,0))</f>
        <v/>
      </c>
      <c r="AC2016">
        <f>IF(AB2016&gt;AB2015,AB2016,"")</f>
        <v/>
      </c>
    </row>
    <row r="2017">
      <c r="W2017" s="7" t="n"/>
      <c r="X2017" s="7" t="n"/>
      <c r="Z2017">
        <f>Z2016+IF(W2017="",0,IF(ISNA(MATCH(W2017,W$256:W2016,0)),1,0))</f>
        <v/>
      </c>
      <c r="AA2017">
        <f>IF(Z2017&gt;Z2016,Z2017,"")</f>
        <v/>
      </c>
      <c r="AB2017">
        <f>AB2016+IF(X2017="",0,IF(ISNA(MATCH(X2017,X$256:X2016,0)),1,0))</f>
        <v/>
      </c>
      <c r="AC2017">
        <f>IF(AB2017&gt;AB2016,AB2017,"")</f>
        <v/>
      </c>
    </row>
    <row r="2018">
      <c r="W2018" s="7" t="n"/>
      <c r="X2018" s="7" t="n"/>
      <c r="Z2018">
        <f>Z2017+IF(W2018="",0,IF(ISNA(MATCH(W2018,W$256:W2017,0)),1,0))</f>
        <v/>
      </c>
      <c r="AA2018">
        <f>IF(Z2018&gt;Z2017,Z2018,"")</f>
        <v/>
      </c>
      <c r="AB2018">
        <f>AB2017+IF(X2018="",0,IF(ISNA(MATCH(X2018,X$256:X2017,0)),1,0))</f>
        <v/>
      </c>
      <c r="AC2018">
        <f>IF(AB2018&gt;AB2017,AB2018,"")</f>
        <v/>
      </c>
    </row>
    <row r="2019">
      <c r="W2019" s="7" t="n"/>
      <c r="X2019" s="7" t="n"/>
      <c r="Z2019">
        <f>Z2018+IF(W2019="",0,IF(ISNA(MATCH(W2019,W$256:W2018,0)),1,0))</f>
        <v/>
      </c>
      <c r="AA2019">
        <f>IF(Z2019&gt;Z2018,Z2019,"")</f>
        <v/>
      </c>
      <c r="AB2019">
        <f>AB2018+IF(X2019="",0,IF(ISNA(MATCH(X2019,X$256:X2018,0)),1,0))</f>
        <v/>
      </c>
      <c r="AC2019">
        <f>IF(AB2019&gt;AB2018,AB2019,"")</f>
        <v/>
      </c>
    </row>
    <row r="2020">
      <c r="W2020" s="7" t="n"/>
      <c r="X2020" s="7" t="n"/>
      <c r="Z2020">
        <f>Z2019+IF(W2020="",0,IF(ISNA(MATCH(W2020,W$256:W2019,0)),1,0))</f>
        <v/>
      </c>
      <c r="AA2020">
        <f>IF(Z2020&gt;Z2019,Z2020,"")</f>
        <v/>
      </c>
      <c r="AB2020">
        <f>AB2019+IF(X2020="",0,IF(ISNA(MATCH(X2020,X$256:X2019,0)),1,0))</f>
        <v/>
      </c>
      <c r="AC2020">
        <f>IF(AB2020&gt;AB2019,AB2020,"")</f>
        <v/>
      </c>
    </row>
    <row r="2021">
      <c r="W2021" s="7" t="n"/>
      <c r="X2021" s="7" t="n"/>
      <c r="Z2021">
        <f>Z2020+IF(W2021="",0,IF(ISNA(MATCH(W2021,W$256:W2020,0)),1,0))</f>
        <v/>
      </c>
      <c r="AA2021">
        <f>IF(Z2021&gt;Z2020,Z2021,"")</f>
        <v/>
      </c>
      <c r="AB2021">
        <f>AB2020+IF(X2021="",0,IF(ISNA(MATCH(X2021,X$256:X2020,0)),1,0))</f>
        <v/>
      </c>
      <c r="AC2021">
        <f>IF(AB2021&gt;AB2020,AB2021,"")</f>
        <v/>
      </c>
    </row>
    <row r="2022">
      <c r="W2022" s="7" t="n"/>
      <c r="X2022" s="7" t="n"/>
      <c r="Z2022">
        <f>Z2021+IF(W2022="",0,IF(ISNA(MATCH(W2022,W$256:W2021,0)),1,0))</f>
        <v/>
      </c>
      <c r="AA2022">
        <f>IF(Z2022&gt;Z2021,Z2022,"")</f>
        <v/>
      </c>
      <c r="AB2022">
        <f>AB2021+IF(X2022="",0,IF(ISNA(MATCH(X2022,X$256:X2021,0)),1,0))</f>
        <v/>
      </c>
      <c r="AC2022">
        <f>IF(AB2022&gt;AB2021,AB2022,"")</f>
        <v/>
      </c>
    </row>
    <row r="2023">
      <c r="W2023" s="7" t="n"/>
      <c r="X2023" s="7" t="n"/>
      <c r="Z2023">
        <f>Z2022+IF(W2023="",0,IF(ISNA(MATCH(W2023,W$256:W2022,0)),1,0))</f>
        <v/>
      </c>
      <c r="AA2023">
        <f>IF(Z2023&gt;Z2022,Z2023,"")</f>
        <v/>
      </c>
      <c r="AB2023">
        <f>AB2022+IF(X2023="",0,IF(ISNA(MATCH(X2023,X$256:X2022,0)),1,0))</f>
        <v/>
      </c>
      <c r="AC2023">
        <f>IF(AB2023&gt;AB2022,AB2023,"")</f>
        <v/>
      </c>
    </row>
    <row r="2024">
      <c r="W2024" s="7" t="n"/>
      <c r="X2024" s="7" t="n"/>
      <c r="Z2024">
        <f>Z2023+IF(W2024="",0,IF(ISNA(MATCH(W2024,W$256:W2023,0)),1,0))</f>
        <v/>
      </c>
      <c r="AA2024">
        <f>IF(Z2024&gt;Z2023,Z2024,"")</f>
        <v/>
      </c>
      <c r="AB2024">
        <f>AB2023+IF(X2024="",0,IF(ISNA(MATCH(X2024,X$256:X2023,0)),1,0))</f>
        <v/>
      </c>
      <c r="AC2024">
        <f>IF(AB2024&gt;AB2023,AB2024,"")</f>
        <v/>
      </c>
    </row>
    <row r="2025">
      <c r="W2025" s="7" t="n"/>
      <c r="X2025" s="7" t="n"/>
      <c r="Z2025">
        <f>Z2024+IF(W2025="",0,IF(ISNA(MATCH(W2025,W$256:W2024,0)),1,0))</f>
        <v/>
      </c>
      <c r="AA2025">
        <f>IF(Z2025&gt;Z2024,Z2025,"")</f>
        <v/>
      </c>
      <c r="AB2025">
        <f>AB2024+IF(X2025="",0,IF(ISNA(MATCH(X2025,X$256:X2024,0)),1,0))</f>
        <v/>
      </c>
      <c r="AC2025">
        <f>IF(AB2025&gt;AB2024,AB2025,"")</f>
        <v/>
      </c>
    </row>
    <row r="2026">
      <c r="W2026" s="7" t="n"/>
      <c r="X2026" s="7" t="n"/>
      <c r="Z2026">
        <f>Z2025+IF(W2026="",0,IF(ISNA(MATCH(W2026,W$256:W2025,0)),1,0))</f>
        <v/>
      </c>
      <c r="AA2026">
        <f>IF(Z2026&gt;Z2025,Z2026,"")</f>
        <v/>
      </c>
      <c r="AB2026">
        <f>AB2025+IF(X2026="",0,IF(ISNA(MATCH(X2026,X$256:X2025,0)),1,0))</f>
        <v/>
      </c>
      <c r="AC2026">
        <f>IF(AB2026&gt;AB2025,AB2026,"")</f>
        <v/>
      </c>
    </row>
    <row r="2027">
      <c r="W2027" s="7" t="n"/>
      <c r="X2027" s="7" t="n"/>
      <c r="Z2027">
        <f>Z2026+IF(W2027="",0,IF(ISNA(MATCH(W2027,W$256:W2026,0)),1,0))</f>
        <v/>
      </c>
      <c r="AA2027">
        <f>IF(Z2027&gt;Z2026,Z2027,"")</f>
        <v/>
      </c>
      <c r="AB2027">
        <f>AB2026+IF(X2027="",0,IF(ISNA(MATCH(X2027,X$256:X2026,0)),1,0))</f>
        <v/>
      </c>
      <c r="AC2027">
        <f>IF(AB2027&gt;AB2026,AB2027,"")</f>
        <v/>
      </c>
    </row>
    <row r="2028">
      <c r="W2028" s="7" t="n"/>
      <c r="X2028" s="7" t="n"/>
      <c r="Z2028">
        <f>Z2027+IF(W2028="",0,IF(ISNA(MATCH(W2028,W$256:W2027,0)),1,0))</f>
        <v/>
      </c>
      <c r="AA2028">
        <f>IF(Z2028&gt;Z2027,Z2028,"")</f>
        <v/>
      </c>
      <c r="AB2028">
        <f>AB2027+IF(X2028="",0,IF(ISNA(MATCH(X2028,X$256:X2027,0)),1,0))</f>
        <v/>
      </c>
      <c r="AC2028">
        <f>IF(AB2028&gt;AB2027,AB2028,"")</f>
        <v/>
      </c>
    </row>
    <row r="2029">
      <c r="W2029" s="7" t="n"/>
      <c r="X2029" s="7" t="n"/>
      <c r="Z2029">
        <f>Z2028+IF(W2029="",0,IF(ISNA(MATCH(W2029,W$256:W2028,0)),1,0))</f>
        <v/>
      </c>
      <c r="AA2029">
        <f>IF(Z2029&gt;Z2028,Z2029,"")</f>
        <v/>
      </c>
      <c r="AB2029">
        <f>AB2028+IF(X2029="",0,IF(ISNA(MATCH(X2029,X$256:X2028,0)),1,0))</f>
        <v/>
      </c>
      <c r="AC2029">
        <f>IF(AB2029&gt;AB2028,AB2029,"")</f>
        <v/>
      </c>
    </row>
    <row r="2030">
      <c r="W2030" s="7" t="n"/>
      <c r="X2030" s="7" t="n"/>
      <c r="Z2030">
        <f>Z2029+IF(W2030="",0,IF(ISNA(MATCH(W2030,W$256:W2029,0)),1,0))</f>
        <v/>
      </c>
      <c r="AA2030">
        <f>IF(Z2030&gt;Z2029,Z2030,"")</f>
        <v/>
      </c>
      <c r="AB2030">
        <f>AB2029+IF(X2030="",0,IF(ISNA(MATCH(X2030,X$256:X2029,0)),1,0))</f>
        <v/>
      </c>
      <c r="AC2030">
        <f>IF(AB2030&gt;AB2029,AB2030,"")</f>
        <v/>
      </c>
    </row>
    <row r="2031">
      <c r="W2031" s="7" t="n"/>
      <c r="X2031" s="7" t="n"/>
      <c r="Z2031">
        <f>Z2030+IF(W2031="",0,IF(ISNA(MATCH(W2031,W$256:W2030,0)),1,0))</f>
        <v/>
      </c>
      <c r="AA2031">
        <f>IF(Z2031&gt;Z2030,Z2031,"")</f>
        <v/>
      </c>
      <c r="AB2031">
        <f>AB2030+IF(X2031="",0,IF(ISNA(MATCH(X2031,X$256:X2030,0)),1,0))</f>
        <v/>
      </c>
      <c r="AC2031">
        <f>IF(AB2031&gt;AB2030,AB2031,"")</f>
        <v/>
      </c>
    </row>
    <row r="2032">
      <c r="W2032" s="7" t="n"/>
      <c r="X2032" s="7" t="n"/>
      <c r="Z2032">
        <f>Z2031+IF(W2032="",0,IF(ISNA(MATCH(W2032,W$256:W2031,0)),1,0))</f>
        <v/>
      </c>
      <c r="AA2032">
        <f>IF(Z2032&gt;Z2031,Z2032,"")</f>
        <v/>
      </c>
      <c r="AB2032">
        <f>AB2031+IF(X2032="",0,IF(ISNA(MATCH(X2032,X$256:X2031,0)),1,0))</f>
        <v/>
      </c>
      <c r="AC2032">
        <f>IF(AB2032&gt;AB2031,AB2032,"")</f>
        <v/>
      </c>
    </row>
    <row r="2033">
      <c r="W2033" s="7" t="n"/>
      <c r="X2033" s="7" t="n"/>
      <c r="Z2033">
        <f>Z2032+IF(W2033="",0,IF(ISNA(MATCH(W2033,W$256:W2032,0)),1,0))</f>
        <v/>
      </c>
      <c r="AA2033">
        <f>IF(Z2033&gt;Z2032,Z2033,"")</f>
        <v/>
      </c>
      <c r="AB2033">
        <f>AB2032+IF(X2033="",0,IF(ISNA(MATCH(X2033,X$256:X2032,0)),1,0))</f>
        <v/>
      </c>
      <c r="AC2033">
        <f>IF(AB2033&gt;AB2032,AB2033,"")</f>
        <v/>
      </c>
    </row>
    <row r="2034">
      <c r="W2034" s="7" t="n"/>
      <c r="X2034" s="7" t="n"/>
      <c r="Z2034">
        <f>Z2033+IF(W2034="",0,IF(ISNA(MATCH(W2034,W$256:W2033,0)),1,0))</f>
        <v/>
      </c>
      <c r="AA2034">
        <f>IF(Z2034&gt;Z2033,Z2034,"")</f>
        <v/>
      </c>
      <c r="AB2034">
        <f>AB2033+IF(X2034="",0,IF(ISNA(MATCH(X2034,X$256:X2033,0)),1,0))</f>
        <v/>
      </c>
      <c r="AC2034">
        <f>IF(AB2034&gt;AB2033,AB2034,"")</f>
        <v/>
      </c>
    </row>
    <row r="2035">
      <c r="W2035" s="7" t="n"/>
      <c r="X2035" s="7" t="n"/>
      <c r="Z2035">
        <f>Z2034+IF(W2035="",0,IF(ISNA(MATCH(W2035,W$256:W2034,0)),1,0))</f>
        <v/>
      </c>
      <c r="AA2035">
        <f>IF(Z2035&gt;Z2034,Z2035,"")</f>
        <v/>
      </c>
      <c r="AB2035">
        <f>AB2034+IF(X2035="",0,IF(ISNA(MATCH(X2035,X$256:X2034,0)),1,0))</f>
        <v/>
      </c>
      <c r="AC2035">
        <f>IF(AB2035&gt;AB2034,AB2035,"")</f>
        <v/>
      </c>
    </row>
    <row r="2036">
      <c r="W2036" s="7" t="n"/>
      <c r="X2036" s="7" t="n"/>
      <c r="Z2036">
        <f>Z2035+IF(W2036="",0,IF(ISNA(MATCH(W2036,W$256:W2035,0)),1,0))</f>
        <v/>
      </c>
      <c r="AA2036">
        <f>IF(Z2036&gt;Z2035,Z2036,"")</f>
        <v/>
      </c>
      <c r="AB2036">
        <f>AB2035+IF(X2036="",0,IF(ISNA(MATCH(X2036,X$256:X2035,0)),1,0))</f>
        <v/>
      </c>
      <c r="AC2036">
        <f>IF(AB2036&gt;AB2035,AB2036,"")</f>
        <v/>
      </c>
    </row>
    <row r="2037">
      <c r="W2037" s="7" t="n"/>
      <c r="X2037" s="7" t="n"/>
      <c r="Z2037">
        <f>Z2036+IF(W2037="",0,IF(ISNA(MATCH(W2037,W$256:W2036,0)),1,0))</f>
        <v/>
      </c>
      <c r="AA2037">
        <f>IF(Z2037&gt;Z2036,Z2037,"")</f>
        <v/>
      </c>
      <c r="AB2037">
        <f>AB2036+IF(X2037="",0,IF(ISNA(MATCH(X2037,X$256:X2036,0)),1,0))</f>
        <v/>
      </c>
      <c r="AC2037">
        <f>IF(AB2037&gt;AB2036,AB2037,"")</f>
        <v/>
      </c>
    </row>
    <row r="2038">
      <c r="W2038" s="7" t="n"/>
      <c r="X2038" s="7" t="n"/>
      <c r="Z2038">
        <f>Z2037+IF(W2038="",0,IF(ISNA(MATCH(W2038,W$256:W2037,0)),1,0))</f>
        <v/>
      </c>
      <c r="AA2038">
        <f>IF(Z2038&gt;Z2037,Z2038,"")</f>
        <v/>
      </c>
      <c r="AB2038">
        <f>AB2037+IF(X2038="",0,IF(ISNA(MATCH(X2038,X$256:X2037,0)),1,0))</f>
        <v/>
      </c>
      <c r="AC2038">
        <f>IF(AB2038&gt;AB2037,AB2038,"")</f>
        <v/>
      </c>
    </row>
    <row r="2039">
      <c r="W2039" s="7" t="n"/>
      <c r="X2039" s="7" t="n"/>
      <c r="Z2039">
        <f>Z2038+IF(W2039="",0,IF(ISNA(MATCH(W2039,W$256:W2038,0)),1,0))</f>
        <v/>
      </c>
      <c r="AA2039">
        <f>IF(Z2039&gt;Z2038,Z2039,"")</f>
        <v/>
      </c>
      <c r="AB2039">
        <f>AB2038+IF(X2039="",0,IF(ISNA(MATCH(X2039,X$256:X2038,0)),1,0))</f>
        <v/>
      </c>
      <c r="AC2039">
        <f>IF(AB2039&gt;AB2038,AB2039,"")</f>
        <v/>
      </c>
    </row>
    <row r="2040">
      <c r="W2040" s="7" t="n"/>
      <c r="X2040" s="7" t="n"/>
      <c r="Z2040">
        <f>Z2039+IF(W2040="",0,IF(ISNA(MATCH(W2040,W$256:W2039,0)),1,0))</f>
        <v/>
      </c>
      <c r="AA2040">
        <f>IF(Z2040&gt;Z2039,Z2040,"")</f>
        <v/>
      </c>
      <c r="AB2040">
        <f>AB2039+IF(X2040="",0,IF(ISNA(MATCH(X2040,X$256:X2039,0)),1,0))</f>
        <v/>
      </c>
      <c r="AC2040">
        <f>IF(AB2040&gt;AB2039,AB2040,"")</f>
        <v/>
      </c>
    </row>
    <row r="2041">
      <c r="W2041" s="7" t="n"/>
      <c r="X2041" s="7" t="n"/>
      <c r="Z2041">
        <f>Z2040+IF(W2041="",0,IF(ISNA(MATCH(W2041,W$256:W2040,0)),1,0))</f>
        <v/>
      </c>
      <c r="AA2041">
        <f>IF(Z2041&gt;Z2040,Z2041,"")</f>
        <v/>
      </c>
      <c r="AB2041">
        <f>AB2040+IF(X2041="",0,IF(ISNA(MATCH(X2041,X$256:X2040,0)),1,0))</f>
        <v/>
      </c>
      <c r="AC2041">
        <f>IF(AB2041&gt;AB2040,AB2041,"")</f>
        <v/>
      </c>
    </row>
    <row r="2042">
      <c r="W2042" s="7" t="n"/>
      <c r="X2042" s="7" t="n"/>
      <c r="Z2042">
        <f>Z2041+IF(W2042="",0,IF(ISNA(MATCH(W2042,W$256:W2041,0)),1,0))</f>
        <v/>
      </c>
      <c r="AA2042">
        <f>IF(Z2042&gt;Z2041,Z2042,"")</f>
        <v/>
      </c>
      <c r="AB2042">
        <f>AB2041+IF(X2042="",0,IF(ISNA(MATCH(X2042,X$256:X2041,0)),1,0))</f>
        <v/>
      </c>
      <c r="AC2042">
        <f>IF(AB2042&gt;AB2041,AB2042,"")</f>
        <v/>
      </c>
    </row>
    <row r="2043">
      <c r="W2043" s="7" t="n"/>
      <c r="X2043" s="7" t="n"/>
      <c r="Z2043">
        <f>Z2042+IF(W2043="",0,IF(ISNA(MATCH(W2043,W$256:W2042,0)),1,0))</f>
        <v/>
      </c>
      <c r="AA2043">
        <f>IF(Z2043&gt;Z2042,Z2043,"")</f>
        <v/>
      </c>
      <c r="AB2043">
        <f>AB2042+IF(X2043="",0,IF(ISNA(MATCH(X2043,X$256:X2042,0)),1,0))</f>
        <v/>
      </c>
      <c r="AC2043">
        <f>IF(AB2043&gt;AB2042,AB2043,"")</f>
        <v/>
      </c>
    </row>
    <row r="2044">
      <c r="W2044" s="7" t="n"/>
      <c r="X2044" s="7" t="n"/>
      <c r="Z2044">
        <f>Z2043+IF(W2044="",0,IF(ISNA(MATCH(W2044,W$256:W2043,0)),1,0))</f>
        <v/>
      </c>
      <c r="AA2044">
        <f>IF(Z2044&gt;Z2043,Z2044,"")</f>
        <v/>
      </c>
      <c r="AB2044">
        <f>AB2043+IF(X2044="",0,IF(ISNA(MATCH(X2044,X$256:X2043,0)),1,0))</f>
        <v/>
      </c>
      <c r="AC2044">
        <f>IF(AB2044&gt;AB2043,AB2044,"")</f>
        <v/>
      </c>
    </row>
    <row r="2045">
      <c r="W2045" s="7" t="n"/>
      <c r="X2045" s="7" t="n"/>
      <c r="Z2045">
        <f>Z2044+IF(W2045="",0,IF(ISNA(MATCH(W2045,W$256:W2044,0)),1,0))</f>
        <v/>
      </c>
      <c r="AA2045">
        <f>IF(Z2045&gt;Z2044,Z2045,"")</f>
        <v/>
      </c>
      <c r="AB2045">
        <f>AB2044+IF(X2045="",0,IF(ISNA(MATCH(X2045,X$256:X2044,0)),1,0))</f>
        <v/>
      </c>
      <c r="AC2045">
        <f>IF(AB2045&gt;AB2044,AB2045,"")</f>
        <v/>
      </c>
    </row>
    <row r="2046">
      <c r="W2046" s="7" t="n"/>
      <c r="X2046" s="7" t="n"/>
      <c r="Z2046">
        <f>Z2045+IF(W2046="",0,IF(ISNA(MATCH(W2046,W$256:W2045,0)),1,0))</f>
        <v/>
      </c>
      <c r="AA2046">
        <f>IF(Z2046&gt;Z2045,Z2046,"")</f>
        <v/>
      </c>
      <c r="AB2046">
        <f>AB2045+IF(X2046="",0,IF(ISNA(MATCH(X2046,X$256:X2045,0)),1,0))</f>
        <v/>
      </c>
      <c r="AC2046">
        <f>IF(AB2046&gt;AB2045,AB2046,"")</f>
        <v/>
      </c>
    </row>
    <row r="2047">
      <c r="W2047" s="7" t="n"/>
      <c r="X2047" s="7" t="n"/>
      <c r="Z2047">
        <f>Z2046+IF(W2047="",0,IF(ISNA(MATCH(W2047,W$256:W2046,0)),1,0))</f>
        <v/>
      </c>
      <c r="AA2047">
        <f>IF(Z2047&gt;Z2046,Z2047,"")</f>
        <v/>
      </c>
      <c r="AB2047">
        <f>AB2046+IF(X2047="",0,IF(ISNA(MATCH(X2047,X$256:X2046,0)),1,0))</f>
        <v/>
      </c>
      <c r="AC2047">
        <f>IF(AB2047&gt;AB2046,AB2047,"")</f>
        <v/>
      </c>
    </row>
    <row r="2048">
      <c r="W2048" s="7" t="n"/>
      <c r="X2048" s="7" t="n"/>
      <c r="Z2048">
        <f>Z2047+IF(W2048="",0,IF(ISNA(MATCH(W2048,W$256:W2047,0)),1,0))</f>
        <v/>
      </c>
      <c r="AA2048">
        <f>IF(Z2048&gt;Z2047,Z2048,"")</f>
        <v/>
      </c>
      <c r="AB2048">
        <f>AB2047+IF(X2048="",0,IF(ISNA(MATCH(X2048,X$256:X2047,0)),1,0))</f>
        <v/>
      </c>
      <c r="AC2048">
        <f>IF(AB2048&gt;AB2047,AB2048,"")</f>
        <v/>
      </c>
    </row>
    <row r="2049">
      <c r="W2049" s="7" t="n"/>
      <c r="X2049" s="7" t="n"/>
      <c r="Z2049">
        <f>Z2048+IF(W2049="",0,IF(ISNA(MATCH(W2049,W$256:W2048,0)),1,0))</f>
        <v/>
      </c>
      <c r="AA2049">
        <f>IF(Z2049&gt;Z2048,Z2049,"")</f>
        <v/>
      </c>
      <c r="AB2049">
        <f>AB2048+IF(X2049="",0,IF(ISNA(MATCH(X2049,X$256:X2048,0)),1,0))</f>
        <v/>
      </c>
      <c r="AC2049">
        <f>IF(AB2049&gt;AB2048,AB2049,"")</f>
        <v/>
      </c>
    </row>
    <row r="2050">
      <c r="W2050" s="7" t="n"/>
      <c r="X2050" s="7" t="n"/>
      <c r="Z2050">
        <f>Z2049+IF(W2050="",0,IF(ISNA(MATCH(W2050,W$256:W2049,0)),1,0))</f>
        <v/>
      </c>
      <c r="AA2050">
        <f>IF(Z2050&gt;Z2049,Z2050,"")</f>
        <v/>
      </c>
      <c r="AB2050">
        <f>AB2049+IF(X2050="",0,IF(ISNA(MATCH(X2050,X$256:X2049,0)),1,0))</f>
        <v/>
      </c>
      <c r="AC2050">
        <f>IF(AB2050&gt;AB2049,AB2050,"")</f>
        <v/>
      </c>
    </row>
    <row r="2051">
      <c r="W2051" s="7" t="n"/>
      <c r="X2051" s="7" t="n"/>
      <c r="Z2051">
        <f>Z2050+IF(W2051="",0,IF(ISNA(MATCH(W2051,W$256:W2050,0)),1,0))</f>
        <v/>
      </c>
      <c r="AA2051">
        <f>IF(Z2051&gt;Z2050,Z2051,"")</f>
        <v/>
      </c>
      <c r="AB2051">
        <f>AB2050+IF(X2051="",0,IF(ISNA(MATCH(X2051,X$256:X2050,0)),1,0))</f>
        <v/>
      </c>
      <c r="AC2051">
        <f>IF(AB2051&gt;AB2050,AB2051,"")</f>
        <v/>
      </c>
    </row>
    <row r="2052">
      <c r="W2052" s="7" t="n"/>
      <c r="X2052" s="7" t="n"/>
      <c r="Z2052">
        <f>Z2051+IF(W2052="",0,IF(ISNA(MATCH(W2052,W$256:W2051,0)),1,0))</f>
        <v/>
      </c>
      <c r="AA2052">
        <f>IF(Z2052&gt;Z2051,Z2052,"")</f>
        <v/>
      </c>
      <c r="AB2052">
        <f>AB2051+IF(X2052="",0,IF(ISNA(MATCH(X2052,X$256:X2051,0)),1,0))</f>
        <v/>
      </c>
      <c r="AC2052">
        <f>IF(AB2052&gt;AB2051,AB2052,"")</f>
        <v/>
      </c>
    </row>
    <row r="2053">
      <c r="W2053" s="7" t="n"/>
      <c r="X2053" s="7" t="n"/>
      <c r="Z2053">
        <f>Z2052+IF(W2053="",0,IF(ISNA(MATCH(W2053,W$256:W2052,0)),1,0))</f>
        <v/>
      </c>
      <c r="AA2053">
        <f>IF(Z2053&gt;Z2052,Z2053,"")</f>
        <v/>
      </c>
      <c r="AB2053">
        <f>AB2052+IF(X2053="",0,IF(ISNA(MATCH(X2053,X$256:X2052,0)),1,0))</f>
        <v/>
      </c>
      <c r="AC2053">
        <f>IF(AB2053&gt;AB2052,AB2053,"")</f>
        <v/>
      </c>
    </row>
    <row r="2054">
      <c r="W2054" s="7" t="n"/>
      <c r="X2054" s="7" t="n"/>
      <c r="Z2054">
        <f>Z2053+IF(W2054="",0,IF(ISNA(MATCH(W2054,W$256:W2053,0)),1,0))</f>
        <v/>
      </c>
      <c r="AA2054">
        <f>IF(Z2054&gt;Z2053,Z2054,"")</f>
        <v/>
      </c>
      <c r="AB2054">
        <f>AB2053+IF(X2054="",0,IF(ISNA(MATCH(X2054,X$256:X2053,0)),1,0))</f>
        <v/>
      </c>
      <c r="AC2054">
        <f>IF(AB2054&gt;AB2053,AB2054,"")</f>
        <v/>
      </c>
    </row>
    <row r="2055">
      <c r="W2055" s="7" t="n"/>
      <c r="X2055" s="7" t="n"/>
      <c r="Z2055">
        <f>Z2054+IF(W2055="",0,IF(ISNA(MATCH(W2055,W$256:W2054,0)),1,0))</f>
        <v/>
      </c>
      <c r="AA2055">
        <f>IF(Z2055&gt;Z2054,Z2055,"")</f>
        <v/>
      </c>
      <c r="AB2055">
        <f>AB2054+IF(X2055="",0,IF(ISNA(MATCH(X2055,X$256:X2054,0)),1,0))</f>
        <v/>
      </c>
      <c r="AC2055">
        <f>IF(AB2055&gt;AB2054,AB2055,"")</f>
        <v/>
      </c>
    </row>
    <row r="2056">
      <c r="W2056" s="7" t="n"/>
      <c r="X2056" s="7" t="n"/>
      <c r="Z2056">
        <f>Z2055+IF(W2056="",0,IF(ISNA(MATCH(W2056,W$256:W2055,0)),1,0))</f>
        <v/>
      </c>
      <c r="AA2056">
        <f>IF(Z2056&gt;Z2055,Z2056,"")</f>
        <v/>
      </c>
      <c r="AB2056">
        <f>AB2055+IF(X2056="",0,IF(ISNA(MATCH(X2056,X$256:X2055,0)),1,0))</f>
        <v/>
      </c>
      <c r="AC2056">
        <f>IF(AB2056&gt;AB2055,AB2056,"")</f>
        <v/>
      </c>
    </row>
    <row r="2057">
      <c r="W2057" s="7" t="n"/>
      <c r="X2057" s="7" t="n"/>
      <c r="Z2057">
        <f>Z2056+IF(W2057="",0,IF(ISNA(MATCH(W2057,W$256:W2056,0)),1,0))</f>
        <v/>
      </c>
      <c r="AA2057">
        <f>IF(Z2057&gt;Z2056,Z2057,"")</f>
        <v/>
      </c>
      <c r="AB2057">
        <f>AB2056+IF(X2057="",0,IF(ISNA(MATCH(X2057,X$256:X2056,0)),1,0))</f>
        <v/>
      </c>
      <c r="AC2057">
        <f>IF(AB2057&gt;AB2056,AB2057,"")</f>
        <v/>
      </c>
    </row>
    <row r="2058">
      <c r="W2058" s="7" t="n"/>
      <c r="X2058" s="7" t="n"/>
      <c r="Z2058">
        <f>Z2057+IF(W2058="",0,IF(ISNA(MATCH(W2058,W$256:W2057,0)),1,0))</f>
        <v/>
      </c>
      <c r="AA2058">
        <f>IF(Z2058&gt;Z2057,Z2058,"")</f>
        <v/>
      </c>
      <c r="AB2058">
        <f>AB2057+IF(X2058="",0,IF(ISNA(MATCH(X2058,X$256:X2057,0)),1,0))</f>
        <v/>
      </c>
      <c r="AC2058">
        <f>IF(AB2058&gt;AB2057,AB2058,"")</f>
        <v/>
      </c>
    </row>
    <row r="2059">
      <c r="W2059" s="7" t="n"/>
      <c r="X2059" s="7" t="n"/>
      <c r="Z2059">
        <f>Z2058+IF(W2059="",0,IF(ISNA(MATCH(W2059,W$256:W2058,0)),1,0))</f>
        <v/>
      </c>
      <c r="AA2059">
        <f>IF(Z2059&gt;Z2058,Z2059,"")</f>
        <v/>
      </c>
      <c r="AB2059">
        <f>AB2058+IF(X2059="",0,IF(ISNA(MATCH(X2059,X$256:X2058,0)),1,0))</f>
        <v/>
      </c>
      <c r="AC2059">
        <f>IF(AB2059&gt;AB2058,AB2059,"")</f>
        <v/>
      </c>
    </row>
    <row r="2060">
      <c r="W2060" s="7" t="n"/>
      <c r="X2060" s="7" t="n"/>
      <c r="Z2060">
        <f>Z2059+IF(W2060="",0,IF(ISNA(MATCH(W2060,W$256:W2059,0)),1,0))</f>
        <v/>
      </c>
      <c r="AA2060">
        <f>IF(Z2060&gt;Z2059,Z2060,"")</f>
        <v/>
      </c>
      <c r="AB2060">
        <f>AB2059+IF(X2060="",0,IF(ISNA(MATCH(X2060,X$256:X2059,0)),1,0))</f>
        <v/>
      </c>
      <c r="AC2060">
        <f>IF(AB2060&gt;AB2059,AB2060,"")</f>
        <v/>
      </c>
    </row>
    <row r="2061">
      <c r="W2061" s="7" t="n"/>
      <c r="X2061" s="7" t="n"/>
      <c r="Z2061">
        <f>Z2060+IF(W2061="",0,IF(ISNA(MATCH(W2061,W$256:W2060,0)),1,0))</f>
        <v/>
      </c>
      <c r="AA2061">
        <f>IF(Z2061&gt;Z2060,Z2061,"")</f>
        <v/>
      </c>
      <c r="AB2061">
        <f>AB2060+IF(X2061="",0,IF(ISNA(MATCH(X2061,X$256:X2060,0)),1,0))</f>
        <v/>
      </c>
      <c r="AC2061">
        <f>IF(AB2061&gt;AB2060,AB2061,"")</f>
        <v/>
      </c>
    </row>
    <row r="2062">
      <c r="W2062" s="7" t="n"/>
      <c r="X2062" s="7" t="n"/>
      <c r="Z2062">
        <f>Z2061+IF(W2062="",0,IF(ISNA(MATCH(W2062,W$256:W2061,0)),1,0))</f>
        <v/>
      </c>
      <c r="AA2062">
        <f>IF(Z2062&gt;Z2061,Z2062,"")</f>
        <v/>
      </c>
      <c r="AB2062">
        <f>AB2061+IF(X2062="",0,IF(ISNA(MATCH(X2062,X$256:X2061,0)),1,0))</f>
        <v/>
      </c>
      <c r="AC2062">
        <f>IF(AB2062&gt;AB2061,AB2062,"")</f>
        <v/>
      </c>
    </row>
    <row r="2063">
      <c r="W2063" s="7" t="n"/>
      <c r="X2063" s="7" t="n"/>
      <c r="Z2063">
        <f>Z2062+IF(W2063="",0,IF(ISNA(MATCH(W2063,W$256:W2062,0)),1,0))</f>
        <v/>
      </c>
      <c r="AA2063">
        <f>IF(Z2063&gt;Z2062,Z2063,"")</f>
        <v/>
      </c>
      <c r="AB2063">
        <f>AB2062+IF(X2063="",0,IF(ISNA(MATCH(X2063,X$256:X2062,0)),1,0))</f>
        <v/>
      </c>
      <c r="AC2063">
        <f>IF(AB2063&gt;AB2062,AB2063,"")</f>
        <v/>
      </c>
    </row>
    <row r="2064">
      <c r="W2064" s="7" t="n"/>
      <c r="X2064" s="7" t="n"/>
      <c r="Z2064">
        <f>Z2063+IF(W2064="",0,IF(ISNA(MATCH(W2064,W$256:W2063,0)),1,0))</f>
        <v/>
      </c>
      <c r="AA2064">
        <f>IF(Z2064&gt;Z2063,Z2064,"")</f>
        <v/>
      </c>
      <c r="AB2064">
        <f>AB2063+IF(X2064="",0,IF(ISNA(MATCH(X2064,X$256:X2063,0)),1,0))</f>
        <v/>
      </c>
      <c r="AC2064">
        <f>IF(AB2064&gt;AB2063,AB2064,"")</f>
        <v/>
      </c>
    </row>
    <row r="2065">
      <c r="W2065" s="7" t="n"/>
      <c r="X2065" s="7" t="n"/>
      <c r="Z2065">
        <f>Z2064+IF(W2065="",0,IF(ISNA(MATCH(W2065,W$256:W2064,0)),1,0))</f>
        <v/>
      </c>
      <c r="AA2065">
        <f>IF(Z2065&gt;Z2064,Z2065,"")</f>
        <v/>
      </c>
      <c r="AB2065">
        <f>AB2064+IF(X2065="",0,IF(ISNA(MATCH(X2065,X$256:X2064,0)),1,0))</f>
        <v/>
      </c>
      <c r="AC2065">
        <f>IF(AB2065&gt;AB2064,AB2065,"")</f>
        <v/>
      </c>
    </row>
    <row r="2066">
      <c r="W2066" s="7" t="n"/>
      <c r="X2066" s="7" t="n"/>
      <c r="Z2066">
        <f>Z2065+IF(W2066="",0,IF(ISNA(MATCH(W2066,W$256:W2065,0)),1,0))</f>
        <v/>
      </c>
      <c r="AA2066">
        <f>IF(Z2066&gt;Z2065,Z2066,"")</f>
        <v/>
      </c>
      <c r="AB2066">
        <f>AB2065+IF(X2066="",0,IF(ISNA(MATCH(X2066,X$256:X2065,0)),1,0))</f>
        <v/>
      </c>
      <c r="AC2066">
        <f>IF(AB2066&gt;AB2065,AB2066,"")</f>
        <v/>
      </c>
    </row>
    <row r="2067">
      <c r="W2067" s="7" t="n"/>
      <c r="X2067" s="7" t="n"/>
      <c r="Z2067">
        <f>Z2066+IF(W2067="",0,IF(ISNA(MATCH(W2067,W$256:W2066,0)),1,0))</f>
        <v/>
      </c>
      <c r="AA2067">
        <f>IF(Z2067&gt;Z2066,Z2067,"")</f>
        <v/>
      </c>
      <c r="AB2067">
        <f>AB2066+IF(X2067="",0,IF(ISNA(MATCH(X2067,X$256:X2066,0)),1,0))</f>
        <v/>
      </c>
      <c r="AC2067">
        <f>IF(AB2067&gt;AB2066,AB2067,"")</f>
        <v/>
      </c>
    </row>
    <row r="2068">
      <c r="W2068" s="7" t="n"/>
      <c r="X2068" s="7" t="n"/>
      <c r="Z2068">
        <f>Z2067+IF(W2068="",0,IF(ISNA(MATCH(W2068,W$256:W2067,0)),1,0))</f>
        <v/>
      </c>
      <c r="AA2068">
        <f>IF(Z2068&gt;Z2067,Z2068,"")</f>
        <v/>
      </c>
      <c r="AB2068">
        <f>AB2067+IF(X2068="",0,IF(ISNA(MATCH(X2068,X$256:X2067,0)),1,0))</f>
        <v/>
      </c>
      <c r="AC2068">
        <f>IF(AB2068&gt;AB2067,AB2068,"")</f>
        <v/>
      </c>
    </row>
    <row r="2069">
      <c r="W2069" s="7" t="n"/>
      <c r="X2069" s="7" t="n"/>
      <c r="Z2069">
        <f>Z2068+IF(W2069="",0,IF(ISNA(MATCH(W2069,W$256:W2068,0)),1,0))</f>
        <v/>
      </c>
      <c r="AA2069">
        <f>IF(Z2069&gt;Z2068,Z2069,"")</f>
        <v/>
      </c>
      <c r="AB2069">
        <f>AB2068+IF(X2069="",0,IF(ISNA(MATCH(X2069,X$256:X2068,0)),1,0))</f>
        <v/>
      </c>
      <c r="AC2069">
        <f>IF(AB2069&gt;AB2068,AB2069,"")</f>
        <v/>
      </c>
    </row>
    <row r="2070">
      <c r="W2070" s="7" t="n"/>
      <c r="X2070" s="7" t="n"/>
      <c r="Z2070">
        <f>Z2069+IF(W2070="",0,IF(ISNA(MATCH(W2070,W$256:W2069,0)),1,0))</f>
        <v/>
      </c>
      <c r="AA2070">
        <f>IF(Z2070&gt;Z2069,Z2070,"")</f>
        <v/>
      </c>
      <c r="AB2070">
        <f>AB2069+IF(X2070="",0,IF(ISNA(MATCH(X2070,X$256:X2069,0)),1,0))</f>
        <v/>
      </c>
      <c r="AC2070">
        <f>IF(AB2070&gt;AB2069,AB2070,"")</f>
        <v/>
      </c>
    </row>
    <row r="2071">
      <c r="W2071" s="7" t="n"/>
      <c r="X2071" s="7" t="n"/>
      <c r="Z2071">
        <f>Z2070+IF(W2071="",0,IF(ISNA(MATCH(W2071,W$256:W2070,0)),1,0))</f>
        <v/>
      </c>
      <c r="AA2071">
        <f>IF(Z2071&gt;Z2070,Z2071,"")</f>
        <v/>
      </c>
      <c r="AB2071">
        <f>AB2070+IF(X2071="",0,IF(ISNA(MATCH(X2071,X$256:X2070,0)),1,0))</f>
        <v/>
      </c>
      <c r="AC2071">
        <f>IF(AB2071&gt;AB2070,AB2071,"")</f>
        <v/>
      </c>
    </row>
    <row r="2072">
      <c r="W2072" s="7" t="n"/>
      <c r="X2072" s="7" t="n"/>
      <c r="Z2072">
        <f>Z2071+IF(W2072="",0,IF(ISNA(MATCH(W2072,W$256:W2071,0)),1,0))</f>
        <v/>
      </c>
      <c r="AA2072">
        <f>IF(Z2072&gt;Z2071,Z2072,"")</f>
        <v/>
      </c>
      <c r="AB2072">
        <f>AB2071+IF(X2072="",0,IF(ISNA(MATCH(X2072,X$256:X2071,0)),1,0))</f>
        <v/>
      </c>
      <c r="AC2072">
        <f>IF(AB2072&gt;AB2071,AB2072,"")</f>
        <v/>
      </c>
    </row>
    <row r="2073">
      <c r="W2073" s="7" t="n"/>
      <c r="X2073" s="7" t="n"/>
      <c r="Z2073">
        <f>Z2072+IF(W2073="",0,IF(ISNA(MATCH(W2073,W$256:W2072,0)),1,0))</f>
        <v/>
      </c>
      <c r="AA2073">
        <f>IF(Z2073&gt;Z2072,Z2073,"")</f>
        <v/>
      </c>
      <c r="AB2073">
        <f>AB2072+IF(X2073="",0,IF(ISNA(MATCH(X2073,X$256:X2072,0)),1,0))</f>
        <v/>
      </c>
      <c r="AC2073">
        <f>IF(AB2073&gt;AB2072,AB2073,"")</f>
        <v/>
      </c>
    </row>
    <row r="2074">
      <c r="W2074" s="7" t="n"/>
      <c r="X2074" s="7" t="n"/>
      <c r="Z2074">
        <f>Z2073+IF(W2074="",0,IF(ISNA(MATCH(W2074,W$256:W2073,0)),1,0))</f>
        <v/>
      </c>
      <c r="AA2074">
        <f>IF(Z2074&gt;Z2073,Z2074,"")</f>
        <v/>
      </c>
      <c r="AB2074">
        <f>AB2073+IF(X2074="",0,IF(ISNA(MATCH(X2074,X$256:X2073,0)),1,0))</f>
        <v/>
      </c>
      <c r="AC2074">
        <f>IF(AB2074&gt;AB2073,AB2074,"")</f>
        <v/>
      </c>
    </row>
    <row r="2075">
      <c r="W2075" s="7" t="n"/>
      <c r="X2075" s="7" t="n"/>
      <c r="Z2075">
        <f>Z2074+IF(W2075="",0,IF(ISNA(MATCH(W2075,W$256:W2074,0)),1,0))</f>
        <v/>
      </c>
      <c r="AA2075">
        <f>IF(Z2075&gt;Z2074,Z2075,"")</f>
        <v/>
      </c>
      <c r="AB2075">
        <f>AB2074+IF(X2075="",0,IF(ISNA(MATCH(X2075,X$256:X2074,0)),1,0))</f>
        <v/>
      </c>
      <c r="AC2075">
        <f>IF(AB2075&gt;AB2074,AB2075,"")</f>
        <v/>
      </c>
    </row>
    <row r="2076">
      <c r="W2076" s="7" t="n"/>
      <c r="X2076" s="7" t="n"/>
      <c r="Z2076">
        <f>Z2075+IF(W2076="",0,IF(ISNA(MATCH(W2076,W$256:W2075,0)),1,0))</f>
        <v/>
      </c>
      <c r="AA2076">
        <f>IF(Z2076&gt;Z2075,Z2076,"")</f>
        <v/>
      </c>
      <c r="AB2076">
        <f>AB2075+IF(X2076="",0,IF(ISNA(MATCH(X2076,X$256:X2075,0)),1,0))</f>
        <v/>
      </c>
      <c r="AC2076">
        <f>IF(AB2076&gt;AB2075,AB2076,"")</f>
        <v/>
      </c>
    </row>
    <row r="2077">
      <c r="W2077" s="7" t="n"/>
      <c r="X2077" s="7" t="n"/>
      <c r="Z2077">
        <f>Z2076+IF(W2077="",0,IF(ISNA(MATCH(W2077,W$256:W2076,0)),1,0))</f>
        <v/>
      </c>
      <c r="AA2077">
        <f>IF(Z2077&gt;Z2076,Z2077,"")</f>
        <v/>
      </c>
      <c r="AB2077">
        <f>AB2076+IF(X2077="",0,IF(ISNA(MATCH(X2077,X$256:X2076,0)),1,0))</f>
        <v/>
      </c>
      <c r="AC2077">
        <f>IF(AB2077&gt;AB2076,AB2077,"")</f>
        <v/>
      </c>
    </row>
    <row r="2078">
      <c r="W2078" s="7" t="n"/>
      <c r="X2078" s="7" t="n"/>
      <c r="Z2078">
        <f>Z2077+IF(W2078="",0,IF(ISNA(MATCH(W2078,W$256:W2077,0)),1,0))</f>
        <v/>
      </c>
      <c r="AA2078">
        <f>IF(Z2078&gt;Z2077,Z2078,"")</f>
        <v/>
      </c>
      <c r="AB2078">
        <f>AB2077+IF(X2078="",0,IF(ISNA(MATCH(X2078,X$256:X2077,0)),1,0))</f>
        <v/>
      </c>
      <c r="AC2078">
        <f>IF(AB2078&gt;AB2077,AB2078,"")</f>
        <v/>
      </c>
    </row>
    <row r="2079">
      <c r="W2079" s="7" t="n"/>
      <c r="X2079" s="7" t="n"/>
      <c r="Z2079">
        <f>Z2078+IF(W2079="",0,IF(ISNA(MATCH(W2079,W$256:W2078,0)),1,0))</f>
        <v/>
      </c>
      <c r="AA2079">
        <f>IF(Z2079&gt;Z2078,Z2079,"")</f>
        <v/>
      </c>
      <c r="AB2079">
        <f>AB2078+IF(X2079="",0,IF(ISNA(MATCH(X2079,X$256:X2078,0)),1,0))</f>
        <v/>
      </c>
      <c r="AC2079">
        <f>IF(AB2079&gt;AB2078,AB2079,"")</f>
        <v/>
      </c>
    </row>
    <row r="2080">
      <c r="W2080" s="7" t="n"/>
      <c r="X2080" s="7" t="n"/>
      <c r="Z2080">
        <f>Z2079+IF(W2080="",0,IF(ISNA(MATCH(W2080,W$256:W2079,0)),1,0))</f>
        <v/>
      </c>
      <c r="AA2080">
        <f>IF(Z2080&gt;Z2079,Z2080,"")</f>
        <v/>
      </c>
      <c r="AB2080">
        <f>AB2079+IF(X2080="",0,IF(ISNA(MATCH(X2080,X$256:X2079,0)),1,0))</f>
        <v/>
      </c>
      <c r="AC2080">
        <f>IF(AB2080&gt;AB2079,AB2080,"")</f>
        <v/>
      </c>
    </row>
    <row r="2081">
      <c r="W2081" s="7" t="n"/>
      <c r="X2081" s="7" t="n"/>
      <c r="Z2081">
        <f>Z2080+IF(W2081="",0,IF(ISNA(MATCH(W2081,W$256:W2080,0)),1,0))</f>
        <v/>
      </c>
      <c r="AA2081">
        <f>IF(Z2081&gt;Z2080,Z2081,"")</f>
        <v/>
      </c>
      <c r="AB2081">
        <f>AB2080+IF(X2081="",0,IF(ISNA(MATCH(X2081,X$256:X2080,0)),1,0))</f>
        <v/>
      </c>
      <c r="AC2081">
        <f>IF(AB2081&gt;AB2080,AB2081,"")</f>
        <v/>
      </c>
    </row>
    <row r="2082">
      <c r="W2082" s="7" t="n"/>
      <c r="X2082" s="7" t="n"/>
      <c r="Z2082">
        <f>Z2081+IF(W2082="",0,IF(ISNA(MATCH(W2082,W$256:W2081,0)),1,0))</f>
        <v/>
      </c>
      <c r="AA2082">
        <f>IF(Z2082&gt;Z2081,Z2082,"")</f>
        <v/>
      </c>
      <c r="AB2082">
        <f>AB2081+IF(X2082="",0,IF(ISNA(MATCH(X2082,X$256:X2081,0)),1,0))</f>
        <v/>
      </c>
      <c r="AC2082">
        <f>IF(AB2082&gt;AB2081,AB2082,"")</f>
        <v/>
      </c>
    </row>
    <row r="2083">
      <c r="W2083" s="7" t="n"/>
      <c r="X2083" s="7" t="n"/>
      <c r="Z2083">
        <f>Z2082+IF(W2083="",0,IF(ISNA(MATCH(W2083,W$256:W2082,0)),1,0))</f>
        <v/>
      </c>
      <c r="AA2083">
        <f>IF(Z2083&gt;Z2082,Z2083,"")</f>
        <v/>
      </c>
      <c r="AB2083">
        <f>AB2082+IF(X2083="",0,IF(ISNA(MATCH(X2083,X$256:X2082,0)),1,0))</f>
        <v/>
      </c>
      <c r="AC2083">
        <f>IF(AB2083&gt;AB2082,AB2083,"")</f>
        <v/>
      </c>
    </row>
    <row r="2084">
      <c r="W2084" s="7" t="n"/>
      <c r="X2084" s="7" t="n"/>
      <c r="Z2084">
        <f>Z2083+IF(W2084="",0,IF(ISNA(MATCH(W2084,W$256:W2083,0)),1,0))</f>
        <v/>
      </c>
      <c r="AA2084">
        <f>IF(Z2084&gt;Z2083,Z2084,"")</f>
        <v/>
      </c>
      <c r="AB2084">
        <f>AB2083+IF(X2084="",0,IF(ISNA(MATCH(X2084,X$256:X2083,0)),1,0))</f>
        <v/>
      </c>
      <c r="AC2084">
        <f>IF(AB2084&gt;AB2083,AB2084,"")</f>
        <v/>
      </c>
    </row>
    <row r="2085">
      <c r="W2085" s="7" t="n"/>
      <c r="X2085" s="7" t="n"/>
      <c r="Z2085">
        <f>Z2084+IF(W2085="",0,IF(ISNA(MATCH(W2085,W$256:W2084,0)),1,0))</f>
        <v/>
      </c>
      <c r="AA2085">
        <f>IF(Z2085&gt;Z2084,Z2085,"")</f>
        <v/>
      </c>
      <c r="AB2085">
        <f>AB2084+IF(X2085="",0,IF(ISNA(MATCH(X2085,X$256:X2084,0)),1,0))</f>
        <v/>
      </c>
      <c r="AC2085">
        <f>IF(AB2085&gt;AB2084,AB2085,"")</f>
        <v/>
      </c>
    </row>
    <row r="2086">
      <c r="W2086" s="7" t="n"/>
      <c r="X2086" s="7" t="n"/>
      <c r="Z2086">
        <f>Z2085+IF(W2086="",0,IF(ISNA(MATCH(W2086,W$256:W2085,0)),1,0))</f>
        <v/>
      </c>
      <c r="AA2086">
        <f>IF(Z2086&gt;Z2085,Z2086,"")</f>
        <v/>
      </c>
      <c r="AB2086">
        <f>AB2085+IF(X2086="",0,IF(ISNA(MATCH(X2086,X$256:X2085,0)),1,0))</f>
        <v/>
      </c>
      <c r="AC2086">
        <f>IF(AB2086&gt;AB2085,AB2086,"")</f>
        <v/>
      </c>
    </row>
    <row r="2087">
      <c r="W2087" s="7" t="n"/>
      <c r="X2087" s="7" t="n"/>
      <c r="Z2087">
        <f>Z2086+IF(W2087="",0,IF(ISNA(MATCH(W2087,W$256:W2086,0)),1,0))</f>
        <v/>
      </c>
      <c r="AA2087">
        <f>IF(Z2087&gt;Z2086,Z2087,"")</f>
        <v/>
      </c>
      <c r="AB2087">
        <f>AB2086+IF(X2087="",0,IF(ISNA(MATCH(X2087,X$256:X2086,0)),1,0))</f>
        <v/>
      </c>
      <c r="AC2087">
        <f>IF(AB2087&gt;AB2086,AB2087,"")</f>
        <v/>
      </c>
    </row>
    <row r="2088">
      <c r="W2088" s="7" t="n"/>
      <c r="X2088" s="7" t="n"/>
      <c r="Z2088">
        <f>Z2087+IF(W2088="",0,IF(ISNA(MATCH(W2088,W$256:W2087,0)),1,0))</f>
        <v/>
      </c>
      <c r="AA2088">
        <f>IF(Z2088&gt;Z2087,Z2088,"")</f>
        <v/>
      </c>
      <c r="AB2088">
        <f>AB2087+IF(X2088="",0,IF(ISNA(MATCH(X2088,X$256:X2087,0)),1,0))</f>
        <v/>
      </c>
      <c r="AC2088">
        <f>IF(AB2088&gt;AB2087,AB2088,"")</f>
        <v/>
      </c>
    </row>
    <row r="2089">
      <c r="W2089" s="7" t="n"/>
      <c r="X2089" s="7" t="n"/>
      <c r="Z2089">
        <f>Z2088+IF(W2089="",0,IF(ISNA(MATCH(W2089,W$256:W2088,0)),1,0))</f>
        <v/>
      </c>
      <c r="AA2089">
        <f>IF(Z2089&gt;Z2088,Z2089,"")</f>
        <v/>
      </c>
      <c r="AB2089">
        <f>AB2088+IF(X2089="",0,IF(ISNA(MATCH(X2089,X$256:X2088,0)),1,0))</f>
        <v/>
      </c>
      <c r="AC2089">
        <f>IF(AB2089&gt;AB2088,AB2089,"")</f>
        <v/>
      </c>
    </row>
    <row r="2090">
      <c r="W2090" s="7" t="n"/>
      <c r="X2090" s="7" t="n"/>
      <c r="Z2090">
        <f>Z2089+IF(W2090="",0,IF(ISNA(MATCH(W2090,W$256:W2089,0)),1,0))</f>
        <v/>
      </c>
      <c r="AA2090">
        <f>IF(Z2090&gt;Z2089,Z2090,"")</f>
        <v/>
      </c>
      <c r="AB2090">
        <f>AB2089+IF(X2090="",0,IF(ISNA(MATCH(X2090,X$256:X2089,0)),1,0))</f>
        <v/>
      </c>
      <c r="AC2090">
        <f>IF(AB2090&gt;AB2089,AB2090,"")</f>
        <v/>
      </c>
    </row>
    <row r="2091">
      <c r="W2091" s="7" t="n"/>
      <c r="X2091" s="7" t="n"/>
      <c r="Z2091">
        <f>Z2090+IF(W2091="",0,IF(ISNA(MATCH(W2091,W$256:W2090,0)),1,0))</f>
        <v/>
      </c>
      <c r="AA2091">
        <f>IF(Z2091&gt;Z2090,Z2091,"")</f>
        <v/>
      </c>
      <c r="AB2091">
        <f>AB2090+IF(X2091="",0,IF(ISNA(MATCH(X2091,X$256:X2090,0)),1,0))</f>
        <v/>
      </c>
      <c r="AC2091">
        <f>IF(AB2091&gt;AB2090,AB2091,"")</f>
        <v/>
      </c>
    </row>
    <row r="2092">
      <c r="W2092" s="7" t="n"/>
      <c r="X2092" s="7" t="n"/>
      <c r="Z2092">
        <f>Z2091+IF(W2092="",0,IF(ISNA(MATCH(W2092,W$256:W2091,0)),1,0))</f>
        <v/>
      </c>
      <c r="AA2092">
        <f>IF(Z2092&gt;Z2091,Z2092,"")</f>
        <v/>
      </c>
      <c r="AB2092">
        <f>AB2091+IF(X2092="",0,IF(ISNA(MATCH(X2092,X$256:X2091,0)),1,0))</f>
        <v/>
      </c>
      <c r="AC2092">
        <f>IF(AB2092&gt;AB2091,AB2092,"")</f>
        <v/>
      </c>
    </row>
    <row r="2093">
      <c r="W2093" s="7" t="n"/>
      <c r="X2093" s="7" t="n"/>
      <c r="Z2093">
        <f>Z2092+IF(W2093="",0,IF(ISNA(MATCH(W2093,W$256:W2092,0)),1,0))</f>
        <v/>
      </c>
      <c r="AA2093">
        <f>IF(Z2093&gt;Z2092,Z2093,"")</f>
        <v/>
      </c>
      <c r="AB2093">
        <f>AB2092+IF(X2093="",0,IF(ISNA(MATCH(X2093,X$256:X2092,0)),1,0))</f>
        <v/>
      </c>
      <c r="AC2093">
        <f>IF(AB2093&gt;AB2092,AB2093,"")</f>
        <v/>
      </c>
    </row>
    <row r="2094">
      <c r="W2094" s="7" t="n"/>
      <c r="X2094" s="7" t="n"/>
      <c r="Z2094">
        <f>Z2093+IF(W2094="",0,IF(ISNA(MATCH(W2094,W$256:W2093,0)),1,0))</f>
        <v/>
      </c>
      <c r="AA2094">
        <f>IF(Z2094&gt;Z2093,Z2094,"")</f>
        <v/>
      </c>
      <c r="AB2094">
        <f>AB2093+IF(X2094="",0,IF(ISNA(MATCH(X2094,X$256:X2093,0)),1,0))</f>
        <v/>
      </c>
      <c r="AC2094">
        <f>IF(AB2094&gt;AB2093,AB2094,"")</f>
        <v/>
      </c>
    </row>
    <row r="2095">
      <c r="W2095" s="7" t="n"/>
      <c r="X2095" s="7" t="n"/>
      <c r="Z2095">
        <f>Z2094+IF(W2095="",0,IF(ISNA(MATCH(W2095,W$256:W2094,0)),1,0))</f>
        <v/>
      </c>
      <c r="AA2095">
        <f>IF(Z2095&gt;Z2094,Z2095,"")</f>
        <v/>
      </c>
      <c r="AB2095">
        <f>AB2094+IF(X2095="",0,IF(ISNA(MATCH(X2095,X$256:X2094,0)),1,0))</f>
        <v/>
      </c>
      <c r="AC2095">
        <f>IF(AB2095&gt;AB2094,AB2095,"")</f>
        <v/>
      </c>
    </row>
    <row r="2096">
      <c r="W2096" s="7" t="n"/>
      <c r="X2096" s="7" t="n"/>
      <c r="Z2096">
        <f>Z2095+IF(W2096="",0,IF(ISNA(MATCH(W2096,W$256:W2095,0)),1,0))</f>
        <v/>
      </c>
      <c r="AA2096">
        <f>IF(Z2096&gt;Z2095,Z2096,"")</f>
        <v/>
      </c>
      <c r="AB2096">
        <f>AB2095+IF(X2096="",0,IF(ISNA(MATCH(X2096,X$256:X2095,0)),1,0))</f>
        <v/>
      </c>
      <c r="AC2096">
        <f>IF(AB2096&gt;AB2095,AB2096,"")</f>
        <v/>
      </c>
    </row>
    <row r="2097">
      <c r="W2097" s="7" t="n"/>
      <c r="X2097" s="7" t="n"/>
      <c r="Z2097">
        <f>Z2096+IF(W2097="",0,IF(ISNA(MATCH(W2097,W$256:W2096,0)),1,0))</f>
        <v/>
      </c>
      <c r="AA2097">
        <f>IF(Z2097&gt;Z2096,Z2097,"")</f>
        <v/>
      </c>
      <c r="AB2097">
        <f>AB2096+IF(X2097="",0,IF(ISNA(MATCH(X2097,X$256:X2096,0)),1,0))</f>
        <v/>
      </c>
      <c r="AC2097">
        <f>IF(AB2097&gt;AB2096,AB2097,"")</f>
        <v/>
      </c>
    </row>
    <row r="2098">
      <c r="W2098" s="7" t="n"/>
      <c r="X2098" s="7" t="n"/>
      <c r="Z2098">
        <f>Z2097+IF(W2098="",0,IF(ISNA(MATCH(W2098,W$256:W2097,0)),1,0))</f>
        <v/>
      </c>
      <c r="AA2098">
        <f>IF(Z2098&gt;Z2097,Z2098,"")</f>
        <v/>
      </c>
      <c r="AB2098">
        <f>AB2097+IF(X2098="",0,IF(ISNA(MATCH(X2098,X$256:X2097,0)),1,0))</f>
        <v/>
      </c>
      <c r="AC2098">
        <f>IF(AB2098&gt;AB2097,AB2098,"")</f>
        <v/>
      </c>
    </row>
    <row r="2099">
      <c r="W2099" s="7" t="n"/>
      <c r="X2099" s="7" t="n"/>
      <c r="Z2099">
        <f>Z2098+IF(W2099="",0,IF(ISNA(MATCH(W2099,W$256:W2098,0)),1,0))</f>
        <v/>
      </c>
      <c r="AA2099">
        <f>IF(Z2099&gt;Z2098,Z2099,"")</f>
        <v/>
      </c>
      <c r="AB2099">
        <f>AB2098+IF(X2099="",0,IF(ISNA(MATCH(X2099,X$256:X2098,0)),1,0))</f>
        <v/>
      </c>
      <c r="AC2099">
        <f>IF(AB2099&gt;AB2098,AB2099,"")</f>
        <v/>
      </c>
    </row>
    <row r="2100">
      <c r="W2100" s="7" t="n"/>
      <c r="X2100" s="7" t="n"/>
      <c r="Z2100">
        <f>Z2099+IF(W2100="",0,IF(ISNA(MATCH(W2100,W$256:W2099,0)),1,0))</f>
        <v/>
      </c>
      <c r="AA2100">
        <f>IF(Z2100&gt;Z2099,Z2100,"")</f>
        <v/>
      </c>
      <c r="AB2100">
        <f>AB2099+IF(X2100="",0,IF(ISNA(MATCH(X2100,X$256:X2099,0)),1,0))</f>
        <v/>
      </c>
      <c r="AC2100">
        <f>IF(AB2100&gt;AB2099,AB2100,"")</f>
        <v/>
      </c>
    </row>
    <row r="2101">
      <c r="W2101" s="7" t="n"/>
      <c r="X2101" s="7" t="n"/>
      <c r="Z2101">
        <f>Z2100+IF(W2101="",0,IF(ISNA(MATCH(W2101,W$256:W2100,0)),1,0))</f>
        <v/>
      </c>
      <c r="AA2101">
        <f>IF(Z2101&gt;Z2100,Z2101,"")</f>
        <v/>
      </c>
      <c r="AB2101">
        <f>AB2100+IF(X2101="",0,IF(ISNA(MATCH(X2101,X$256:X2100,0)),1,0))</f>
        <v/>
      </c>
      <c r="AC2101">
        <f>IF(AB2101&gt;AB2100,AB2101,"")</f>
        <v/>
      </c>
    </row>
    <row r="2102">
      <c r="W2102" s="7" t="n"/>
      <c r="X2102" s="7" t="n"/>
      <c r="Z2102">
        <f>Z2101+IF(W2102="",0,IF(ISNA(MATCH(W2102,W$256:W2101,0)),1,0))</f>
        <v/>
      </c>
      <c r="AA2102">
        <f>IF(Z2102&gt;Z2101,Z2102,"")</f>
        <v/>
      </c>
      <c r="AB2102">
        <f>AB2101+IF(X2102="",0,IF(ISNA(MATCH(X2102,X$256:X2101,0)),1,0))</f>
        <v/>
      </c>
      <c r="AC2102">
        <f>IF(AB2102&gt;AB2101,AB2102,"")</f>
        <v/>
      </c>
    </row>
    <row r="2103">
      <c r="W2103" s="7" t="n"/>
      <c r="X2103" s="7" t="n"/>
      <c r="Z2103">
        <f>Z2102+IF(W2103="",0,IF(ISNA(MATCH(W2103,W$256:W2102,0)),1,0))</f>
        <v/>
      </c>
      <c r="AA2103">
        <f>IF(Z2103&gt;Z2102,Z2103,"")</f>
        <v/>
      </c>
      <c r="AB2103">
        <f>AB2102+IF(X2103="",0,IF(ISNA(MATCH(X2103,X$256:X2102,0)),1,0))</f>
        <v/>
      </c>
      <c r="AC2103">
        <f>IF(AB2103&gt;AB2102,AB2103,"")</f>
        <v/>
      </c>
    </row>
    <row r="2104">
      <c r="W2104" s="7" t="n"/>
      <c r="X2104" s="7" t="n"/>
      <c r="Z2104">
        <f>Z2103+IF(W2104="",0,IF(ISNA(MATCH(W2104,W$256:W2103,0)),1,0))</f>
        <v/>
      </c>
      <c r="AA2104">
        <f>IF(Z2104&gt;Z2103,Z2104,"")</f>
        <v/>
      </c>
      <c r="AB2104">
        <f>AB2103+IF(X2104="",0,IF(ISNA(MATCH(X2104,X$256:X2103,0)),1,0))</f>
        <v/>
      </c>
      <c r="AC2104">
        <f>IF(AB2104&gt;AB2103,AB2104,"")</f>
        <v/>
      </c>
    </row>
    <row r="2105">
      <c r="W2105" s="7" t="n"/>
      <c r="X2105" s="7" t="n"/>
      <c r="Z2105">
        <f>Z2104+IF(W2105="",0,IF(ISNA(MATCH(W2105,W$256:W2104,0)),1,0))</f>
        <v/>
      </c>
      <c r="AA2105">
        <f>IF(Z2105&gt;Z2104,Z2105,"")</f>
        <v/>
      </c>
      <c r="AB2105">
        <f>AB2104+IF(X2105="",0,IF(ISNA(MATCH(X2105,X$256:X2104,0)),1,0))</f>
        <v/>
      </c>
      <c r="AC2105">
        <f>IF(AB2105&gt;AB2104,AB2105,"")</f>
        <v/>
      </c>
    </row>
    <row r="2106">
      <c r="W2106" s="7" t="n"/>
      <c r="X2106" s="7" t="n"/>
      <c r="Z2106">
        <f>Z2105+IF(W2106="",0,IF(ISNA(MATCH(W2106,W$256:W2105,0)),1,0))</f>
        <v/>
      </c>
      <c r="AA2106">
        <f>IF(Z2106&gt;Z2105,Z2106,"")</f>
        <v/>
      </c>
      <c r="AB2106">
        <f>AB2105+IF(X2106="",0,IF(ISNA(MATCH(X2106,X$256:X2105,0)),1,0))</f>
        <v/>
      </c>
      <c r="AC2106">
        <f>IF(AB2106&gt;AB2105,AB2106,"")</f>
        <v/>
      </c>
    </row>
    <row r="2107">
      <c r="W2107" s="7" t="n"/>
      <c r="X2107" s="7" t="n"/>
      <c r="Z2107">
        <f>Z2106+IF(W2107="",0,IF(ISNA(MATCH(W2107,W$256:W2106,0)),1,0))</f>
        <v/>
      </c>
      <c r="AA2107">
        <f>IF(Z2107&gt;Z2106,Z2107,"")</f>
        <v/>
      </c>
      <c r="AB2107">
        <f>AB2106+IF(X2107="",0,IF(ISNA(MATCH(X2107,X$256:X2106,0)),1,0))</f>
        <v/>
      </c>
      <c r="AC2107">
        <f>IF(AB2107&gt;AB2106,AB2107,"")</f>
        <v/>
      </c>
    </row>
    <row r="2108">
      <c r="W2108" s="7" t="n"/>
      <c r="X2108" s="7" t="n"/>
      <c r="Z2108">
        <f>Z2107+IF(W2108="",0,IF(ISNA(MATCH(W2108,W$256:W2107,0)),1,0))</f>
        <v/>
      </c>
      <c r="AA2108">
        <f>IF(Z2108&gt;Z2107,Z2108,"")</f>
        <v/>
      </c>
      <c r="AB2108">
        <f>AB2107+IF(X2108="",0,IF(ISNA(MATCH(X2108,X$256:X2107,0)),1,0))</f>
        <v/>
      </c>
      <c r="AC2108">
        <f>IF(AB2108&gt;AB2107,AB2108,"")</f>
        <v/>
      </c>
    </row>
    <row r="2109">
      <c r="W2109" s="7" t="n"/>
      <c r="X2109" s="7" t="n"/>
      <c r="Z2109">
        <f>Z2108+IF(W2109="",0,IF(ISNA(MATCH(W2109,W$256:W2108,0)),1,0))</f>
        <v/>
      </c>
      <c r="AA2109">
        <f>IF(Z2109&gt;Z2108,Z2109,"")</f>
        <v/>
      </c>
      <c r="AB2109">
        <f>AB2108+IF(X2109="",0,IF(ISNA(MATCH(X2109,X$256:X2108,0)),1,0))</f>
        <v/>
      </c>
      <c r="AC2109">
        <f>IF(AB2109&gt;AB2108,AB2109,"")</f>
        <v/>
      </c>
    </row>
    <row r="2110">
      <c r="W2110" s="7" t="n"/>
      <c r="X2110" s="7" t="n"/>
      <c r="Z2110">
        <f>Z2109+IF(W2110="",0,IF(ISNA(MATCH(W2110,W$256:W2109,0)),1,0))</f>
        <v/>
      </c>
      <c r="AA2110">
        <f>IF(Z2110&gt;Z2109,Z2110,"")</f>
        <v/>
      </c>
      <c r="AB2110">
        <f>AB2109+IF(X2110="",0,IF(ISNA(MATCH(X2110,X$256:X2109,0)),1,0))</f>
        <v/>
      </c>
      <c r="AC2110">
        <f>IF(AB2110&gt;AB2109,AB2110,"")</f>
        <v/>
      </c>
    </row>
    <row r="2111">
      <c r="W2111" s="7" t="n"/>
      <c r="X2111" s="7" t="n"/>
      <c r="Z2111">
        <f>Z2110+IF(W2111="",0,IF(ISNA(MATCH(W2111,W$256:W2110,0)),1,0))</f>
        <v/>
      </c>
      <c r="AA2111">
        <f>IF(Z2111&gt;Z2110,Z2111,"")</f>
        <v/>
      </c>
      <c r="AB2111">
        <f>AB2110+IF(X2111="",0,IF(ISNA(MATCH(X2111,X$256:X2110,0)),1,0))</f>
        <v/>
      </c>
      <c r="AC2111">
        <f>IF(AB2111&gt;AB2110,AB2111,"")</f>
        <v/>
      </c>
    </row>
    <row r="2112">
      <c r="W2112" s="7" t="n"/>
      <c r="X2112" s="7" t="n"/>
      <c r="Z2112">
        <f>Z2111+IF(W2112="",0,IF(ISNA(MATCH(W2112,W$256:W2111,0)),1,0))</f>
        <v/>
      </c>
      <c r="AA2112">
        <f>IF(Z2112&gt;Z2111,Z2112,"")</f>
        <v/>
      </c>
      <c r="AB2112">
        <f>AB2111+IF(X2112="",0,IF(ISNA(MATCH(X2112,X$256:X2111,0)),1,0))</f>
        <v/>
      </c>
      <c r="AC2112">
        <f>IF(AB2112&gt;AB2111,AB2112,"")</f>
        <v/>
      </c>
    </row>
    <row r="2113">
      <c r="W2113" s="7" t="n"/>
      <c r="X2113" s="7" t="n"/>
      <c r="Z2113">
        <f>Z2112+IF(W2113="",0,IF(ISNA(MATCH(W2113,W$256:W2112,0)),1,0))</f>
        <v/>
      </c>
      <c r="AA2113">
        <f>IF(Z2113&gt;Z2112,Z2113,"")</f>
        <v/>
      </c>
      <c r="AB2113">
        <f>AB2112+IF(X2113="",0,IF(ISNA(MATCH(X2113,X$256:X2112,0)),1,0))</f>
        <v/>
      </c>
      <c r="AC2113">
        <f>IF(AB2113&gt;AB2112,AB2113,"")</f>
        <v/>
      </c>
    </row>
    <row r="2114">
      <c r="W2114" s="7" t="n"/>
      <c r="X2114" s="7" t="n"/>
      <c r="Z2114">
        <f>Z2113+IF(W2114="",0,IF(ISNA(MATCH(W2114,W$256:W2113,0)),1,0))</f>
        <v/>
      </c>
      <c r="AA2114">
        <f>IF(Z2114&gt;Z2113,Z2114,"")</f>
        <v/>
      </c>
      <c r="AB2114">
        <f>AB2113+IF(X2114="",0,IF(ISNA(MATCH(X2114,X$256:X2113,0)),1,0))</f>
        <v/>
      </c>
      <c r="AC2114">
        <f>IF(AB2114&gt;AB2113,AB2114,"")</f>
        <v/>
      </c>
    </row>
    <row r="2115">
      <c r="W2115" s="7" t="n"/>
      <c r="X2115" s="7" t="n"/>
      <c r="Z2115">
        <f>Z2114+IF(W2115="",0,IF(ISNA(MATCH(W2115,W$256:W2114,0)),1,0))</f>
        <v/>
      </c>
      <c r="AA2115">
        <f>IF(Z2115&gt;Z2114,Z2115,"")</f>
        <v/>
      </c>
      <c r="AB2115">
        <f>AB2114+IF(X2115="",0,IF(ISNA(MATCH(X2115,X$256:X2114,0)),1,0))</f>
        <v/>
      </c>
      <c r="AC2115">
        <f>IF(AB2115&gt;AB2114,AB2115,"")</f>
        <v/>
      </c>
    </row>
    <row r="2116">
      <c r="W2116" s="7" t="n"/>
      <c r="X2116" s="7" t="n"/>
      <c r="Z2116">
        <f>Z2115+IF(W2116="",0,IF(ISNA(MATCH(W2116,W$256:W2115,0)),1,0))</f>
        <v/>
      </c>
      <c r="AA2116">
        <f>IF(Z2116&gt;Z2115,Z2116,"")</f>
        <v/>
      </c>
      <c r="AB2116">
        <f>AB2115+IF(X2116="",0,IF(ISNA(MATCH(X2116,X$256:X2115,0)),1,0))</f>
        <v/>
      </c>
      <c r="AC2116">
        <f>IF(AB2116&gt;AB2115,AB2116,"")</f>
        <v/>
      </c>
    </row>
    <row r="2117">
      <c r="W2117" s="7" t="n"/>
      <c r="X2117" s="7" t="n"/>
      <c r="Z2117">
        <f>Z2116+IF(W2117="",0,IF(ISNA(MATCH(W2117,W$256:W2116,0)),1,0))</f>
        <v/>
      </c>
      <c r="AA2117">
        <f>IF(Z2117&gt;Z2116,Z2117,"")</f>
        <v/>
      </c>
      <c r="AB2117">
        <f>AB2116+IF(X2117="",0,IF(ISNA(MATCH(X2117,X$256:X2116,0)),1,0))</f>
        <v/>
      </c>
      <c r="AC2117">
        <f>IF(AB2117&gt;AB2116,AB2117,"")</f>
        <v/>
      </c>
    </row>
    <row r="2118">
      <c r="W2118" s="7" t="n"/>
      <c r="X2118" s="7" t="n"/>
      <c r="Z2118">
        <f>Z2117+IF(W2118="",0,IF(ISNA(MATCH(W2118,W$256:W2117,0)),1,0))</f>
        <v/>
      </c>
      <c r="AA2118">
        <f>IF(Z2118&gt;Z2117,Z2118,"")</f>
        <v/>
      </c>
      <c r="AB2118">
        <f>AB2117+IF(X2118="",0,IF(ISNA(MATCH(X2118,X$256:X2117,0)),1,0))</f>
        <v/>
      </c>
      <c r="AC2118">
        <f>IF(AB2118&gt;AB2117,AB2118,"")</f>
        <v/>
      </c>
    </row>
    <row r="2119">
      <c r="W2119" s="7" t="n"/>
      <c r="X2119" s="7" t="n"/>
      <c r="Z2119">
        <f>Z2118+IF(W2119="",0,IF(ISNA(MATCH(W2119,W$256:W2118,0)),1,0))</f>
        <v/>
      </c>
      <c r="AA2119">
        <f>IF(Z2119&gt;Z2118,Z2119,"")</f>
        <v/>
      </c>
      <c r="AB2119">
        <f>AB2118+IF(X2119="",0,IF(ISNA(MATCH(X2119,X$256:X2118,0)),1,0))</f>
        <v/>
      </c>
      <c r="AC2119">
        <f>IF(AB2119&gt;AB2118,AB2119,"")</f>
        <v/>
      </c>
    </row>
    <row r="2120">
      <c r="W2120" s="7" t="n"/>
      <c r="X2120" s="7" t="n"/>
      <c r="Z2120">
        <f>Z2119+IF(W2120="",0,IF(ISNA(MATCH(W2120,W$256:W2119,0)),1,0))</f>
        <v/>
      </c>
      <c r="AA2120">
        <f>IF(Z2120&gt;Z2119,Z2120,"")</f>
        <v/>
      </c>
      <c r="AB2120">
        <f>AB2119+IF(X2120="",0,IF(ISNA(MATCH(X2120,X$256:X2119,0)),1,0))</f>
        <v/>
      </c>
      <c r="AC2120">
        <f>IF(AB2120&gt;AB2119,AB2120,"")</f>
        <v/>
      </c>
    </row>
    <row r="2121">
      <c r="W2121" s="7" t="n"/>
      <c r="X2121" s="7" t="n"/>
      <c r="Z2121">
        <f>Z2120+IF(W2121="",0,IF(ISNA(MATCH(W2121,W$256:W2120,0)),1,0))</f>
        <v/>
      </c>
      <c r="AA2121">
        <f>IF(Z2121&gt;Z2120,Z2121,"")</f>
        <v/>
      </c>
      <c r="AB2121">
        <f>AB2120+IF(X2121="",0,IF(ISNA(MATCH(X2121,X$256:X2120,0)),1,0))</f>
        <v/>
      </c>
      <c r="AC2121">
        <f>IF(AB2121&gt;AB2120,AB2121,"")</f>
        <v/>
      </c>
    </row>
    <row r="2122">
      <c r="W2122" s="7" t="n"/>
      <c r="X2122" s="7" t="n"/>
      <c r="Z2122">
        <f>Z2121+IF(W2122="",0,IF(ISNA(MATCH(W2122,W$256:W2121,0)),1,0))</f>
        <v/>
      </c>
      <c r="AA2122">
        <f>IF(Z2122&gt;Z2121,Z2122,"")</f>
        <v/>
      </c>
      <c r="AB2122">
        <f>AB2121+IF(X2122="",0,IF(ISNA(MATCH(X2122,X$256:X2121,0)),1,0))</f>
        <v/>
      </c>
      <c r="AC2122">
        <f>IF(AB2122&gt;AB2121,AB2122,"")</f>
        <v/>
      </c>
    </row>
    <row r="2123">
      <c r="W2123" s="7" t="n"/>
      <c r="X2123" s="7" t="n"/>
      <c r="Z2123">
        <f>Z2122+IF(W2123="",0,IF(ISNA(MATCH(W2123,W$256:W2122,0)),1,0))</f>
        <v/>
      </c>
      <c r="AA2123">
        <f>IF(Z2123&gt;Z2122,Z2123,"")</f>
        <v/>
      </c>
      <c r="AB2123">
        <f>AB2122+IF(X2123="",0,IF(ISNA(MATCH(X2123,X$256:X2122,0)),1,0))</f>
        <v/>
      </c>
      <c r="AC2123">
        <f>IF(AB2123&gt;AB2122,AB2123,"")</f>
        <v/>
      </c>
    </row>
    <row r="2124">
      <c r="W2124" s="7" t="n"/>
      <c r="X2124" s="7" t="n"/>
      <c r="Z2124">
        <f>Z2123+IF(W2124="",0,IF(ISNA(MATCH(W2124,W$256:W2123,0)),1,0))</f>
        <v/>
      </c>
      <c r="AA2124">
        <f>IF(Z2124&gt;Z2123,Z2124,"")</f>
        <v/>
      </c>
      <c r="AB2124">
        <f>AB2123+IF(X2124="",0,IF(ISNA(MATCH(X2124,X$256:X2123,0)),1,0))</f>
        <v/>
      </c>
      <c r="AC2124">
        <f>IF(AB2124&gt;AB2123,AB2124,"")</f>
        <v/>
      </c>
    </row>
    <row r="2125">
      <c r="W2125" s="7" t="n"/>
      <c r="X2125" s="7" t="n"/>
      <c r="Z2125">
        <f>Z2124+IF(W2125="",0,IF(ISNA(MATCH(W2125,W$256:W2124,0)),1,0))</f>
        <v/>
      </c>
      <c r="AA2125">
        <f>IF(Z2125&gt;Z2124,Z2125,"")</f>
        <v/>
      </c>
      <c r="AB2125">
        <f>AB2124+IF(X2125="",0,IF(ISNA(MATCH(X2125,X$256:X2124,0)),1,0))</f>
        <v/>
      </c>
      <c r="AC2125">
        <f>IF(AB2125&gt;AB2124,AB2125,"")</f>
        <v/>
      </c>
    </row>
    <row r="2126">
      <c r="W2126" s="7" t="n"/>
      <c r="X2126" s="7" t="n"/>
      <c r="Z2126">
        <f>Z2125+IF(W2126="",0,IF(ISNA(MATCH(W2126,W$256:W2125,0)),1,0))</f>
        <v/>
      </c>
      <c r="AA2126">
        <f>IF(Z2126&gt;Z2125,Z2126,"")</f>
        <v/>
      </c>
      <c r="AB2126">
        <f>AB2125+IF(X2126="",0,IF(ISNA(MATCH(X2126,X$256:X2125,0)),1,0))</f>
        <v/>
      </c>
      <c r="AC2126">
        <f>IF(AB2126&gt;AB2125,AB2126,"")</f>
        <v/>
      </c>
    </row>
    <row r="2127">
      <c r="W2127" s="7" t="n"/>
      <c r="X2127" s="7" t="n"/>
      <c r="Z2127">
        <f>Z2126+IF(W2127="",0,IF(ISNA(MATCH(W2127,W$256:W2126,0)),1,0))</f>
        <v/>
      </c>
      <c r="AA2127">
        <f>IF(Z2127&gt;Z2126,Z2127,"")</f>
        <v/>
      </c>
      <c r="AB2127">
        <f>AB2126+IF(X2127="",0,IF(ISNA(MATCH(X2127,X$256:X2126,0)),1,0))</f>
        <v/>
      </c>
      <c r="AC2127">
        <f>IF(AB2127&gt;AB2126,AB2127,"")</f>
        <v/>
      </c>
    </row>
    <row r="2128">
      <c r="W2128" s="7" t="n"/>
      <c r="X2128" s="7" t="n"/>
      <c r="Z2128">
        <f>Z2127+IF(W2128="",0,IF(ISNA(MATCH(W2128,W$256:W2127,0)),1,0))</f>
        <v/>
      </c>
      <c r="AA2128">
        <f>IF(Z2128&gt;Z2127,Z2128,"")</f>
        <v/>
      </c>
      <c r="AB2128">
        <f>AB2127+IF(X2128="",0,IF(ISNA(MATCH(X2128,X$256:X2127,0)),1,0))</f>
        <v/>
      </c>
      <c r="AC2128">
        <f>IF(AB2128&gt;AB2127,AB2128,"")</f>
        <v/>
      </c>
    </row>
    <row r="2129">
      <c r="W2129" s="7" t="n"/>
      <c r="X2129" s="7" t="n"/>
      <c r="Z2129">
        <f>Z2128+IF(W2129="",0,IF(ISNA(MATCH(W2129,W$256:W2128,0)),1,0))</f>
        <v/>
      </c>
      <c r="AA2129">
        <f>IF(Z2129&gt;Z2128,Z2129,"")</f>
        <v/>
      </c>
      <c r="AB2129">
        <f>AB2128+IF(X2129="",0,IF(ISNA(MATCH(X2129,X$256:X2128,0)),1,0))</f>
        <v/>
      </c>
      <c r="AC2129">
        <f>IF(AB2129&gt;AB2128,AB2129,"")</f>
        <v/>
      </c>
    </row>
    <row r="2130">
      <c r="W2130" s="7" t="n"/>
      <c r="X2130" s="7" t="n"/>
      <c r="Z2130">
        <f>Z2129+IF(W2130="",0,IF(ISNA(MATCH(W2130,W$256:W2129,0)),1,0))</f>
        <v/>
      </c>
      <c r="AA2130">
        <f>IF(Z2130&gt;Z2129,Z2130,"")</f>
        <v/>
      </c>
      <c r="AB2130">
        <f>AB2129+IF(X2130="",0,IF(ISNA(MATCH(X2130,X$256:X2129,0)),1,0))</f>
        <v/>
      </c>
      <c r="AC2130">
        <f>IF(AB2130&gt;AB2129,AB2130,"")</f>
        <v/>
      </c>
    </row>
    <row r="2131">
      <c r="W2131" s="7" t="n"/>
      <c r="X2131" s="7" t="n"/>
      <c r="Z2131">
        <f>Z2130+IF(W2131="",0,IF(ISNA(MATCH(W2131,W$256:W2130,0)),1,0))</f>
        <v/>
      </c>
      <c r="AA2131">
        <f>IF(Z2131&gt;Z2130,Z2131,"")</f>
        <v/>
      </c>
      <c r="AB2131">
        <f>AB2130+IF(X2131="",0,IF(ISNA(MATCH(X2131,X$256:X2130,0)),1,0))</f>
        <v/>
      </c>
      <c r="AC2131">
        <f>IF(AB2131&gt;AB2130,AB2131,"")</f>
        <v/>
      </c>
    </row>
    <row r="2132">
      <c r="W2132" s="7" t="n"/>
      <c r="X2132" s="7" t="n"/>
      <c r="Z2132">
        <f>Z2131+IF(W2132="",0,IF(ISNA(MATCH(W2132,W$256:W2131,0)),1,0))</f>
        <v/>
      </c>
      <c r="AA2132">
        <f>IF(Z2132&gt;Z2131,Z2132,"")</f>
        <v/>
      </c>
      <c r="AB2132">
        <f>AB2131+IF(X2132="",0,IF(ISNA(MATCH(X2132,X$256:X2131,0)),1,0))</f>
        <v/>
      </c>
      <c r="AC2132">
        <f>IF(AB2132&gt;AB2131,AB2132,"")</f>
        <v/>
      </c>
    </row>
    <row r="2133">
      <c r="W2133" s="7" t="n"/>
      <c r="X2133" s="7" t="n"/>
      <c r="Z2133">
        <f>Z2132+IF(W2133="",0,IF(ISNA(MATCH(W2133,W$256:W2132,0)),1,0))</f>
        <v/>
      </c>
      <c r="AA2133">
        <f>IF(Z2133&gt;Z2132,Z2133,"")</f>
        <v/>
      </c>
      <c r="AB2133">
        <f>AB2132+IF(X2133="",0,IF(ISNA(MATCH(X2133,X$256:X2132,0)),1,0))</f>
        <v/>
      </c>
      <c r="AC2133">
        <f>IF(AB2133&gt;AB2132,AB2133,"")</f>
        <v/>
      </c>
    </row>
    <row r="2134">
      <c r="W2134" s="7" t="n"/>
      <c r="X2134" s="7" t="n"/>
      <c r="Z2134">
        <f>Z2133+IF(W2134="",0,IF(ISNA(MATCH(W2134,W$256:W2133,0)),1,0))</f>
        <v/>
      </c>
      <c r="AA2134">
        <f>IF(Z2134&gt;Z2133,Z2134,"")</f>
        <v/>
      </c>
      <c r="AB2134">
        <f>AB2133+IF(X2134="",0,IF(ISNA(MATCH(X2134,X$256:X2133,0)),1,0))</f>
        <v/>
      </c>
      <c r="AC2134">
        <f>IF(AB2134&gt;AB2133,AB2134,"")</f>
        <v/>
      </c>
    </row>
    <row r="2135">
      <c r="W2135" s="7" t="n"/>
      <c r="X2135" s="7" t="n"/>
      <c r="Z2135">
        <f>Z2134+IF(W2135="",0,IF(ISNA(MATCH(W2135,W$256:W2134,0)),1,0))</f>
        <v/>
      </c>
      <c r="AA2135">
        <f>IF(Z2135&gt;Z2134,Z2135,"")</f>
        <v/>
      </c>
      <c r="AB2135">
        <f>AB2134+IF(X2135="",0,IF(ISNA(MATCH(X2135,X$256:X2134,0)),1,0))</f>
        <v/>
      </c>
      <c r="AC2135">
        <f>IF(AB2135&gt;AB2134,AB2135,"")</f>
        <v/>
      </c>
    </row>
    <row r="2136">
      <c r="W2136" s="7" t="n"/>
      <c r="X2136" s="7" t="n"/>
      <c r="Z2136">
        <f>Z2135+IF(W2136="",0,IF(ISNA(MATCH(W2136,W$256:W2135,0)),1,0))</f>
        <v/>
      </c>
      <c r="AA2136">
        <f>IF(Z2136&gt;Z2135,Z2136,"")</f>
        <v/>
      </c>
      <c r="AB2136">
        <f>AB2135+IF(X2136="",0,IF(ISNA(MATCH(X2136,X$256:X2135,0)),1,0))</f>
        <v/>
      </c>
      <c r="AC2136">
        <f>IF(AB2136&gt;AB2135,AB2136,"")</f>
        <v/>
      </c>
    </row>
    <row r="2137">
      <c r="W2137" s="7" t="n"/>
      <c r="X2137" s="7" t="n"/>
      <c r="Z2137">
        <f>Z2136+IF(W2137="",0,IF(ISNA(MATCH(W2137,W$256:W2136,0)),1,0))</f>
        <v/>
      </c>
      <c r="AA2137">
        <f>IF(Z2137&gt;Z2136,Z2137,"")</f>
        <v/>
      </c>
      <c r="AB2137">
        <f>AB2136+IF(X2137="",0,IF(ISNA(MATCH(X2137,X$256:X2136,0)),1,0))</f>
        <v/>
      </c>
      <c r="AC2137">
        <f>IF(AB2137&gt;AB2136,AB2137,"")</f>
        <v/>
      </c>
    </row>
    <row r="2138">
      <c r="W2138" s="7" t="n"/>
      <c r="X2138" s="7" t="n"/>
      <c r="Z2138">
        <f>Z2137+IF(W2138="",0,IF(ISNA(MATCH(W2138,W$256:W2137,0)),1,0))</f>
        <v/>
      </c>
      <c r="AA2138">
        <f>IF(Z2138&gt;Z2137,Z2138,"")</f>
        <v/>
      </c>
      <c r="AB2138">
        <f>AB2137+IF(X2138="",0,IF(ISNA(MATCH(X2138,X$256:X2137,0)),1,0))</f>
        <v/>
      </c>
      <c r="AC2138">
        <f>IF(AB2138&gt;AB2137,AB2138,"")</f>
        <v/>
      </c>
    </row>
    <row r="2139">
      <c r="W2139" s="7" t="n"/>
      <c r="X2139" s="7" t="n"/>
      <c r="Z2139">
        <f>Z2138+IF(W2139="",0,IF(ISNA(MATCH(W2139,W$256:W2138,0)),1,0))</f>
        <v/>
      </c>
      <c r="AA2139">
        <f>IF(Z2139&gt;Z2138,Z2139,"")</f>
        <v/>
      </c>
      <c r="AB2139">
        <f>AB2138+IF(X2139="",0,IF(ISNA(MATCH(X2139,X$256:X2138,0)),1,0))</f>
        <v/>
      </c>
      <c r="AC2139">
        <f>IF(AB2139&gt;AB2138,AB2139,"")</f>
        <v/>
      </c>
    </row>
    <row r="2140">
      <c r="W2140" s="7" t="n"/>
      <c r="X2140" s="7" t="n"/>
      <c r="Z2140">
        <f>Z2139+IF(W2140="",0,IF(ISNA(MATCH(W2140,W$256:W2139,0)),1,0))</f>
        <v/>
      </c>
      <c r="AA2140">
        <f>IF(Z2140&gt;Z2139,Z2140,"")</f>
        <v/>
      </c>
      <c r="AB2140">
        <f>AB2139+IF(X2140="",0,IF(ISNA(MATCH(X2140,X$256:X2139,0)),1,0))</f>
        <v/>
      </c>
      <c r="AC2140">
        <f>IF(AB2140&gt;AB2139,AB2140,"")</f>
        <v/>
      </c>
    </row>
    <row r="2141">
      <c r="W2141" s="7" t="n"/>
      <c r="X2141" s="7" t="n"/>
      <c r="Z2141">
        <f>Z2140+IF(W2141="",0,IF(ISNA(MATCH(W2141,W$256:W2140,0)),1,0))</f>
        <v/>
      </c>
      <c r="AA2141">
        <f>IF(Z2141&gt;Z2140,Z2141,"")</f>
        <v/>
      </c>
      <c r="AB2141">
        <f>AB2140+IF(X2141="",0,IF(ISNA(MATCH(X2141,X$256:X2140,0)),1,0))</f>
        <v/>
      </c>
      <c r="AC2141">
        <f>IF(AB2141&gt;AB2140,AB2141,"")</f>
        <v/>
      </c>
    </row>
    <row r="2142">
      <c r="W2142" s="7" t="n"/>
      <c r="X2142" s="7" t="n"/>
      <c r="Z2142">
        <f>Z2141+IF(W2142="",0,IF(ISNA(MATCH(W2142,W$256:W2141,0)),1,0))</f>
        <v/>
      </c>
      <c r="AA2142">
        <f>IF(Z2142&gt;Z2141,Z2142,"")</f>
        <v/>
      </c>
      <c r="AB2142">
        <f>AB2141+IF(X2142="",0,IF(ISNA(MATCH(X2142,X$256:X2141,0)),1,0))</f>
        <v/>
      </c>
      <c r="AC2142">
        <f>IF(AB2142&gt;AB2141,AB2142,"")</f>
        <v/>
      </c>
    </row>
    <row r="2143">
      <c r="W2143" s="7" t="n"/>
      <c r="X2143" s="7" t="n"/>
      <c r="Z2143">
        <f>Z2142+IF(W2143="",0,IF(ISNA(MATCH(W2143,W$256:W2142,0)),1,0))</f>
        <v/>
      </c>
      <c r="AA2143">
        <f>IF(Z2143&gt;Z2142,Z2143,"")</f>
        <v/>
      </c>
      <c r="AB2143">
        <f>AB2142+IF(X2143="",0,IF(ISNA(MATCH(X2143,X$256:X2142,0)),1,0))</f>
        <v/>
      </c>
      <c r="AC2143">
        <f>IF(AB2143&gt;AB2142,AB2143,"")</f>
        <v/>
      </c>
    </row>
    <row r="2144">
      <c r="W2144" s="7" t="n"/>
      <c r="X2144" s="7" t="n"/>
      <c r="Z2144">
        <f>Z2143+IF(W2144="",0,IF(ISNA(MATCH(W2144,W$256:W2143,0)),1,0))</f>
        <v/>
      </c>
      <c r="AA2144">
        <f>IF(Z2144&gt;Z2143,Z2144,"")</f>
        <v/>
      </c>
      <c r="AB2144">
        <f>AB2143+IF(X2144="",0,IF(ISNA(MATCH(X2144,X$256:X2143,0)),1,0))</f>
        <v/>
      </c>
      <c r="AC2144">
        <f>IF(AB2144&gt;AB2143,AB2144,"")</f>
        <v/>
      </c>
    </row>
    <row r="2145">
      <c r="W2145" s="7" t="n"/>
      <c r="X2145" s="7" t="n"/>
      <c r="Z2145">
        <f>Z2144+IF(W2145="",0,IF(ISNA(MATCH(W2145,W$256:W2144,0)),1,0))</f>
        <v/>
      </c>
      <c r="AA2145">
        <f>IF(Z2145&gt;Z2144,Z2145,"")</f>
        <v/>
      </c>
      <c r="AB2145">
        <f>AB2144+IF(X2145="",0,IF(ISNA(MATCH(X2145,X$256:X2144,0)),1,0))</f>
        <v/>
      </c>
      <c r="AC2145">
        <f>IF(AB2145&gt;AB2144,AB2145,"")</f>
        <v/>
      </c>
    </row>
    <row r="2146">
      <c r="W2146" s="7" t="n"/>
      <c r="X2146" s="7" t="n"/>
      <c r="Z2146">
        <f>Z2145+IF(W2146="",0,IF(ISNA(MATCH(W2146,W$256:W2145,0)),1,0))</f>
        <v/>
      </c>
      <c r="AA2146">
        <f>IF(Z2146&gt;Z2145,Z2146,"")</f>
        <v/>
      </c>
      <c r="AB2146">
        <f>AB2145+IF(X2146="",0,IF(ISNA(MATCH(X2146,X$256:X2145,0)),1,0))</f>
        <v/>
      </c>
      <c r="AC2146">
        <f>IF(AB2146&gt;AB2145,AB2146,"")</f>
        <v/>
      </c>
    </row>
    <row r="2147">
      <c r="W2147" s="7" t="n"/>
      <c r="X2147" s="7" t="n"/>
      <c r="Z2147">
        <f>Z2146+IF(W2147="",0,IF(ISNA(MATCH(W2147,W$256:W2146,0)),1,0))</f>
        <v/>
      </c>
      <c r="AA2147">
        <f>IF(Z2147&gt;Z2146,Z2147,"")</f>
        <v/>
      </c>
      <c r="AB2147">
        <f>AB2146+IF(X2147="",0,IF(ISNA(MATCH(X2147,X$256:X2146,0)),1,0))</f>
        <v/>
      </c>
      <c r="AC2147">
        <f>IF(AB2147&gt;AB2146,AB2147,"")</f>
        <v/>
      </c>
    </row>
    <row r="2148">
      <c r="W2148" s="7" t="n"/>
      <c r="X2148" s="7" t="n"/>
      <c r="Z2148">
        <f>Z2147+IF(W2148="",0,IF(ISNA(MATCH(W2148,W$256:W2147,0)),1,0))</f>
        <v/>
      </c>
      <c r="AA2148">
        <f>IF(Z2148&gt;Z2147,Z2148,"")</f>
        <v/>
      </c>
      <c r="AB2148">
        <f>AB2147+IF(X2148="",0,IF(ISNA(MATCH(X2148,X$256:X2147,0)),1,0))</f>
        <v/>
      </c>
      <c r="AC2148">
        <f>IF(AB2148&gt;AB2147,AB2148,"")</f>
        <v/>
      </c>
    </row>
    <row r="2149">
      <c r="W2149" s="7" t="n"/>
      <c r="X2149" s="7" t="n"/>
      <c r="Z2149">
        <f>Z2148+IF(W2149="",0,IF(ISNA(MATCH(W2149,W$256:W2148,0)),1,0))</f>
        <v/>
      </c>
      <c r="AA2149">
        <f>IF(Z2149&gt;Z2148,Z2149,"")</f>
        <v/>
      </c>
      <c r="AB2149">
        <f>AB2148+IF(X2149="",0,IF(ISNA(MATCH(X2149,X$256:X2148,0)),1,0))</f>
        <v/>
      </c>
      <c r="AC2149">
        <f>IF(AB2149&gt;AB2148,AB2149,"")</f>
        <v/>
      </c>
    </row>
    <row r="2150">
      <c r="W2150" s="7" t="n"/>
      <c r="X2150" s="7" t="n"/>
      <c r="Z2150">
        <f>Z2149+IF(W2150="",0,IF(ISNA(MATCH(W2150,W$256:W2149,0)),1,0))</f>
        <v/>
      </c>
      <c r="AA2150">
        <f>IF(Z2150&gt;Z2149,Z2150,"")</f>
        <v/>
      </c>
      <c r="AB2150">
        <f>AB2149+IF(X2150="",0,IF(ISNA(MATCH(X2150,X$256:X2149,0)),1,0))</f>
        <v/>
      </c>
      <c r="AC2150">
        <f>IF(AB2150&gt;AB2149,AB2150,"")</f>
        <v/>
      </c>
    </row>
    <row r="2151">
      <c r="W2151" s="7" t="n"/>
      <c r="X2151" s="7" t="n"/>
      <c r="Z2151">
        <f>Z2150+IF(W2151="",0,IF(ISNA(MATCH(W2151,W$256:W2150,0)),1,0))</f>
        <v/>
      </c>
      <c r="AA2151">
        <f>IF(Z2151&gt;Z2150,Z2151,"")</f>
        <v/>
      </c>
      <c r="AB2151">
        <f>AB2150+IF(X2151="",0,IF(ISNA(MATCH(X2151,X$256:X2150,0)),1,0))</f>
        <v/>
      </c>
      <c r="AC2151">
        <f>IF(AB2151&gt;AB2150,AB2151,"")</f>
        <v/>
      </c>
    </row>
    <row r="2152">
      <c r="W2152" s="7" t="n"/>
      <c r="X2152" s="7" t="n"/>
      <c r="Z2152">
        <f>Z2151+IF(W2152="",0,IF(ISNA(MATCH(W2152,W$256:W2151,0)),1,0))</f>
        <v/>
      </c>
      <c r="AA2152">
        <f>IF(Z2152&gt;Z2151,Z2152,"")</f>
        <v/>
      </c>
      <c r="AB2152">
        <f>AB2151+IF(X2152="",0,IF(ISNA(MATCH(X2152,X$256:X2151,0)),1,0))</f>
        <v/>
      </c>
      <c r="AC2152">
        <f>IF(AB2152&gt;AB2151,AB2152,"")</f>
        <v/>
      </c>
    </row>
    <row r="2153">
      <c r="W2153" s="7" t="n"/>
      <c r="X2153" s="7" t="n"/>
      <c r="Z2153">
        <f>Z2152+IF(W2153="",0,IF(ISNA(MATCH(W2153,W$256:W2152,0)),1,0))</f>
        <v/>
      </c>
      <c r="AA2153">
        <f>IF(Z2153&gt;Z2152,Z2153,"")</f>
        <v/>
      </c>
      <c r="AB2153">
        <f>AB2152+IF(X2153="",0,IF(ISNA(MATCH(X2153,X$256:X2152,0)),1,0))</f>
        <v/>
      </c>
      <c r="AC2153">
        <f>IF(AB2153&gt;AB2152,AB2153,"")</f>
        <v/>
      </c>
    </row>
    <row r="2154">
      <c r="W2154" s="7" t="n"/>
      <c r="X2154" s="7" t="n"/>
      <c r="Z2154">
        <f>Z2153+IF(W2154="",0,IF(ISNA(MATCH(W2154,W$256:W2153,0)),1,0))</f>
        <v/>
      </c>
      <c r="AA2154">
        <f>IF(Z2154&gt;Z2153,Z2154,"")</f>
        <v/>
      </c>
      <c r="AB2154">
        <f>AB2153+IF(X2154="",0,IF(ISNA(MATCH(X2154,X$256:X2153,0)),1,0))</f>
        <v/>
      </c>
      <c r="AC2154">
        <f>IF(AB2154&gt;AB2153,AB2154,"")</f>
        <v/>
      </c>
    </row>
    <row r="2155">
      <c r="W2155" s="7" t="n"/>
      <c r="X2155" s="7" t="n"/>
      <c r="Z2155">
        <f>Z2154+IF(W2155="",0,IF(ISNA(MATCH(W2155,W$256:W2154,0)),1,0))</f>
        <v/>
      </c>
      <c r="AA2155">
        <f>IF(Z2155&gt;Z2154,Z2155,"")</f>
        <v/>
      </c>
      <c r="AB2155">
        <f>AB2154+IF(X2155="",0,IF(ISNA(MATCH(X2155,X$256:X2154,0)),1,0))</f>
        <v/>
      </c>
      <c r="AC2155">
        <f>IF(AB2155&gt;AB2154,AB2155,"")</f>
        <v/>
      </c>
    </row>
    <row r="2156">
      <c r="W2156" s="7" t="n"/>
      <c r="X2156" s="7" t="n"/>
      <c r="Z2156">
        <f>Z2155+IF(W2156="",0,IF(ISNA(MATCH(W2156,W$256:W2155,0)),1,0))</f>
        <v/>
      </c>
      <c r="AA2156">
        <f>IF(Z2156&gt;Z2155,Z2156,"")</f>
        <v/>
      </c>
      <c r="AB2156">
        <f>AB2155+IF(X2156="",0,IF(ISNA(MATCH(X2156,X$256:X2155,0)),1,0))</f>
        <v/>
      </c>
      <c r="AC2156">
        <f>IF(AB2156&gt;AB2155,AB2156,"")</f>
        <v/>
      </c>
    </row>
    <row r="2157">
      <c r="W2157" s="7" t="n"/>
      <c r="X2157" s="7" t="n"/>
      <c r="Z2157">
        <f>Z2156+IF(W2157="",0,IF(ISNA(MATCH(W2157,W$256:W2156,0)),1,0))</f>
        <v/>
      </c>
      <c r="AA2157">
        <f>IF(Z2157&gt;Z2156,Z2157,"")</f>
        <v/>
      </c>
      <c r="AB2157">
        <f>AB2156+IF(X2157="",0,IF(ISNA(MATCH(X2157,X$256:X2156,0)),1,0))</f>
        <v/>
      </c>
      <c r="AC2157">
        <f>IF(AB2157&gt;AB2156,AB2157,"")</f>
        <v/>
      </c>
    </row>
    <row r="2158">
      <c r="W2158" s="7" t="n"/>
      <c r="X2158" s="7" t="n"/>
      <c r="Z2158">
        <f>Z2157+IF(W2158="",0,IF(ISNA(MATCH(W2158,W$256:W2157,0)),1,0))</f>
        <v/>
      </c>
      <c r="AA2158">
        <f>IF(Z2158&gt;Z2157,Z2158,"")</f>
        <v/>
      </c>
      <c r="AB2158">
        <f>AB2157+IF(X2158="",0,IF(ISNA(MATCH(X2158,X$256:X2157,0)),1,0))</f>
        <v/>
      </c>
      <c r="AC2158">
        <f>IF(AB2158&gt;AB2157,AB2158,"")</f>
        <v/>
      </c>
    </row>
    <row r="2159">
      <c r="W2159" s="7" t="n"/>
      <c r="X2159" s="7" t="n"/>
      <c r="Z2159">
        <f>Z2158+IF(W2159="",0,IF(ISNA(MATCH(W2159,W$256:W2158,0)),1,0))</f>
        <v/>
      </c>
      <c r="AA2159">
        <f>IF(Z2159&gt;Z2158,Z2159,"")</f>
        <v/>
      </c>
      <c r="AB2159">
        <f>AB2158+IF(X2159="",0,IF(ISNA(MATCH(X2159,X$256:X2158,0)),1,0))</f>
        <v/>
      </c>
      <c r="AC2159">
        <f>IF(AB2159&gt;AB2158,AB2159,"")</f>
        <v/>
      </c>
    </row>
    <row r="2160">
      <c r="W2160" s="7" t="n"/>
      <c r="X2160" s="7" t="n"/>
      <c r="Z2160">
        <f>Z2159+IF(W2160="",0,IF(ISNA(MATCH(W2160,W$256:W2159,0)),1,0))</f>
        <v/>
      </c>
      <c r="AA2160">
        <f>IF(Z2160&gt;Z2159,Z2160,"")</f>
        <v/>
      </c>
      <c r="AB2160">
        <f>AB2159+IF(X2160="",0,IF(ISNA(MATCH(X2160,X$256:X2159,0)),1,0))</f>
        <v/>
      </c>
      <c r="AC2160">
        <f>IF(AB2160&gt;AB2159,AB2160,"")</f>
        <v/>
      </c>
    </row>
    <row r="2161">
      <c r="W2161" s="7" t="n"/>
      <c r="X2161" s="7" t="n"/>
      <c r="Z2161">
        <f>Z2160+IF(W2161="",0,IF(ISNA(MATCH(W2161,W$256:W2160,0)),1,0))</f>
        <v/>
      </c>
      <c r="AA2161">
        <f>IF(Z2161&gt;Z2160,Z2161,"")</f>
        <v/>
      </c>
      <c r="AB2161">
        <f>AB2160+IF(X2161="",0,IF(ISNA(MATCH(X2161,X$256:X2160,0)),1,0))</f>
        <v/>
      </c>
      <c r="AC2161">
        <f>IF(AB2161&gt;AB2160,AB2161,"")</f>
        <v/>
      </c>
    </row>
    <row r="2162">
      <c r="W2162" s="7" t="n"/>
      <c r="X2162" s="7" t="n"/>
      <c r="Z2162">
        <f>Z2161+IF(W2162="",0,IF(ISNA(MATCH(W2162,W$256:W2161,0)),1,0))</f>
        <v/>
      </c>
      <c r="AA2162">
        <f>IF(Z2162&gt;Z2161,Z2162,"")</f>
        <v/>
      </c>
      <c r="AB2162">
        <f>AB2161+IF(X2162="",0,IF(ISNA(MATCH(X2162,X$256:X2161,0)),1,0))</f>
        <v/>
      </c>
      <c r="AC2162">
        <f>IF(AB2162&gt;AB2161,AB2162,"")</f>
        <v/>
      </c>
    </row>
    <row r="2163">
      <c r="W2163" s="7" t="n"/>
      <c r="X2163" s="7" t="n"/>
      <c r="Z2163">
        <f>Z2162+IF(W2163="",0,IF(ISNA(MATCH(W2163,W$256:W2162,0)),1,0))</f>
        <v/>
      </c>
      <c r="AA2163">
        <f>IF(Z2163&gt;Z2162,Z2163,"")</f>
        <v/>
      </c>
      <c r="AB2163">
        <f>AB2162+IF(X2163="",0,IF(ISNA(MATCH(X2163,X$256:X2162,0)),1,0))</f>
        <v/>
      </c>
      <c r="AC2163">
        <f>IF(AB2163&gt;AB2162,AB2163,"")</f>
        <v/>
      </c>
    </row>
    <row r="2164">
      <c r="W2164" s="7" t="n"/>
      <c r="X2164" s="7" t="n"/>
      <c r="Z2164">
        <f>Z2163+IF(W2164="",0,IF(ISNA(MATCH(W2164,W$256:W2163,0)),1,0))</f>
        <v/>
      </c>
      <c r="AA2164">
        <f>IF(Z2164&gt;Z2163,Z2164,"")</f>
        <v/>
      </c>
      <c r="AB2164">
        <f>AB2163+IF(X2164="",0,IF(ISNA(MATCH(X2164,X$256:X2163,0)),1,0))</f>
        <v/>
      </c>
      <c r="AC2164">
        <f>IF(AB2164&gt;AB2163,AB2164,"")</f>
        <v/>
      </c>
    </row>
    <row r="2165">
      <c r="W2165" s="7" t="n"/>
      <c r="X2165" s="7" t="n"/>
      <c r="Z2165">
        <f>Z2164+IF(W2165="",0,IF(ISNA(MATCH(W2165,W$256:W2164,0)),1,0))</f>
        <v/>
      </c>
      <c r="AA2165">
        <f>IF(Z2165&gt;Z2164,Z2165,"")</f>
        <v/>
      </c>
      <c r="AB2165">
        <f>AB2164+IF(X2165="",0,IF(ISNA(MATCH(X2165,X$256:X2164,0)),1,0))</f>
        <v/>
      </c>
      <c r="AC2165">
        <f>IF(AB2165&gt;AB2164,AB2165,"")</f>
        <v/>
      </c>
    </row>
    <row r="2166">
      <c r="W2166" s="7" t="n"/>
      <c r="X2166" s="7" t="n"/>
      <c r="Z2166">
        <f>Z2165+IF(W2166="",0,IF(ISNA(MATCH(W2166,W$256:W2165,0)),1,0))</f>
        <v/>
      </c>
      <c r="AA2166">
        <f>IF(Z2166&gt;Z2165,Z2166,"")</f>
        <v/>
      </c>
      <c r="AB2166">
        <f>AB2165+IF(X2166="",0,IF(ISNA(MATCH(X2166,X$256:X2165,0)),1,0))</f>
        <v/>
      </c>
      <c r="AC2166">
        <f>IF(AB2166&gt;AB2165,AB2166,"")</f>
        <v/>
      </c>
    </row>
    <row r="2167">
      <c r="W2167" s="7" t="n"/>
      <c r="X2167" s="7" t="n"/>
      <c r="Z2167">
        <f>Z2166+IF(W2167="",0,IF(ISNA(MATCH(W2167,W$256:W2166,0)),1,0))</f>
        <v/>
      </c>
      <c r="AA2167">
        <f>IF(Z2167&gt;Z2166,Z2167,"")</f>
        <v/>
      </c>
      <c r="AB2167">
        <f>AB2166+IF(X2167="",0,IF(ISNA(MATCH(X2167,X$256:X2166,0)),1,0))</f>
        <v/>
      </c>
      <c r="AC2167">
        <f>IF(AB2167&gt;AB2166,AB2167,"")</f>
        <v/>
      </c>
    </row>
    <row r="2168">
      <c r="W2168" s="7" t="n"/>
      <c r="X2168" s="7" t="n"/>
      <c r="Z2168">
        <f>Z2167+IF(W2168="",0,IF(ISNA(MATCH(W2168,W$256:W2167,0)),1,0))</f>
        <v/>
      </c>
      <c r="AA2168">
        <f>IF(Z2168&gt;Z2167,Z2168,"")</f>
        <v/>
      </c>
      <c r="AB2168">
        <f>AB2167+IF(X2168="",0,IF(ISNA(MATCH(X2168,X$256:X2167,0)),1,0))</f>
        <v/>
      </c>
      <c r="AC2168">
        <f>IF(AB2168&gt;AB2167,AB2168,"")</f>
        <v/>
      </c>
    </row>
    <row r="2169">
      <c r="W2169" s="7" t="n"/>
      <c r="X2169" s="7" t="n"/>
      <c r="Z2169">
        <f>Z2168+IF(W2169="",0,IF(ISNA(MATCH(W2169,W$256:W2168,0)),1,0))</f>
        <v/>
      </c>
      <c r="AA2169">
        <f>IF(Z2169&gt;Z2168,Z2169,"")</f>
        <v/>
      </c>
      <c r="AB2169">
        <f>AB2168+IF(X2169="",0,IF(ISNA(MATCH(X2169,X$256:X2168,0)),1,0))</f>
        <v/>
      </c>
      <c r="AC2169">
        <f>IF(AB2169&gt;AB2168,AB2169,"")</f>
        <v/>
      </c>
    </row>
    <row r="2170">
      <c r="W2170" s="7" t="n"/>
      <c r="X2170" s="7" t="n"/>
      <c r="Z2170">
        <f>Z2169+IF(W2170="",0,IF(ISNA(MATCH(W2170,W$256:W2169,0)),1,0))</f>
        <v/>
      </c>
      <c r="AA2170">
        <f>IF(Z2170&gt;Z2169,Z2170,"")</f>
        <v/>
      </c>
      <c r="AB2170">
        <f>AB2169+IF(X2170="",0,IF(ISNA(MATCH(X2170,X$256:X2169,0)),1,0))</f>
        <v/>
      </c>
      <c r="AC2170">
        <f>IF(AB2170&gt;AB2169,AB2170,"")</f>
        <v/>
      </c>
    </row>
    <row r="2171">
      <c r="W2171" s="7" t="n"/>
      <c r="X2171" s="7" t="n"/>
      <c r="Z2171">
        <f>Z2170+IF(W2171="",0,IF(ISNA(MATCH(W2171,W$256:W2170,0)),1,0))</f>
        <v/>
      </c>
      <c r="AA2171">
        <f>IF(Z2171&gt;Z2170,Z2171,"")</f>
        <v/>
      </c>
      <c r="AB2171">
        <f>AB2170+IF(X2171="",0,IF(ISNA(MATCH(X2171,X$256:X2170,0)),1,0))</f>
        <v/>
      </c>
      <c r="AC2171">
        <f>IF(AB2171&gt;AB2170,AB2171,"")</f>
        <v/>
      </c>
    </row>
    <row r="2172">
      <c r="W2172" s="7" t="n"/>
      <c r="X2172" s="7" t="n"/>
      <c r="Z2172">
        <f>Z2171+IF(W2172="",0,IF(ISNA(MATCH(W2172,W$256:W2171,0)),1,0))</f>
        <v/>
      </c>
      <c r="AA2172">
        <f>IF(Z2172&gt;Z2171,Z2172,"")</f>
        <v/>
      </c>
      <c r="AB2172">
        <f>AB2171+IF(X2172="",0,IF(ISNA(MATCH(X2172,X$256:X2171,0)),1,0))</f>
        <v/>
      </c>
      <c r="AC2172">
        <f>IF(AB2172&gt;AB2171,AB2172,"")</f>
        <v/>
      </c>
    </row>
    <row r="2173">
      <c r="W2173" s="7" t="n"/>
      <c r="X2173" s="7" t="n"/>
      <c r="Z2173">
        <f>Z2172+IF(W2173="",0,IF(ISNA(MATCH(W2173,W$256:W2172,0)),1,0))</f>
        <v/>
      </c>
      <c r="AA2173">
        <f>IF(Z2173&gt;Z2172,Z2173,"")</f>
        <v/>
      </c>
      <c r="AB2173">
        <f>AB2172+IF(X2173="",0,IF(ISNA(MATCH(X2173,X$256:X2172,0)),1,0))</f>
        <v/>
      </c>
      <c r="AC2173">
        <f>IF(AB2173&gt;AB2172,AB2173,"")</f>
        <v/>
      </c>
    </row>
    <row r="2174">
      <c r="W2174" s="7" t="n"/>
      <c r="X2174" s="7" t="n"/>
      <c r="Z2174">
        <f>Z2173+IF(W2174="",0,IF(ISNA(MATCH(W2174,W$256:W2173,0)),1,0))</f>
        <v/>
      </c>
      <c r="AA2174">
        <f>IF(Z2174&gt;Z2173,Z2174,"")</f>
        <v/>
      </c>
      <c r="AB2174">
        <f>AB2173+IF(X2174="",0,IF(ISNA(MATCH(X2174,X$256:X2173,0)),1,0))</f>
        <v/>
      </c>
      <c r="AC2174">
        <f>IF(AB2174&gt;AB2173,AB2174,"")</f>
        <v/>
      </c>
    </row>
    <row r="2175">
      <c r="W2175" s="7" t="n"/>
      <c r="X2175" s="7" t="n"/>
      <c r="Z2175">
        <f>Z2174+IF(W2175="",0,IF(ISNA(MATCH(W2175,W$256:W2174,0)),1,0))</f>
        <v/>
      </c>
      <c r="AA2175">
        <f>IF(Z2175&gt;Z2174,Z2175,"")</f>
        <v/>
      </c>
      <c r="AB2175">
        <f>AB2174+IF(X2175="",0,IF(ISNA(MATCH(X2175,X$256:X2174,0)),1,0))</f>
        <v/>
      </c>
      <c r="AC2175">
        <f>IF(AB2175&gt;AB2174,AB2175,"")</f>
        <v/>
      </c>
    </row>
    <row r="2176">
      <c r="W2176" s="7" t="n"/>
      <c r="X2176" s="7" t="n"/>
      <c r="Z2176">
        <f>Z2175+IF(W2176="",0,IF(ISNA(MATCH(W2176,W$256:W2175,0)),1,0))</f>
        <v/>
      </c>
      <c r="AA2176">
        <f>IF(Z2176&gt;Z2175,Z2176,"")</f>
        <v/>
      </c>
      <c r="AB2176">
        <f>AB2175+IF(X2176="",0,IF(ISNA(MATCH(X2176,X$256:X2175,0)),1,0))</f>
        <v/>
      </c>
      <c r="AC2176">
        <f>IF(AB2176&gt;AB2175,AB2176,"")</f>
        <v/>
      </c>
    </row>
    <row r="2177">
      <c r="W2177" s="7" t="n"/>
      <c r="X2177" s="7" t="n"/>
      <c r="Z2177">
        <f>Z2176+IF(W2177="",0,IF(ISNA(MATCH(W2177,W$256:W2176,0)),1,0))</f>
        <v/>
      </c>
      <c r="AA2177">
        <f>IF(Z2177&gt;Z2176,Z2177,"")</f>
        <v/>
      </c>
      <c r="AB2177">
        <f>AB2176+IF(X2177="",0,IF(ISNA(MATCH(X2177,X$256:X2176,0)),1,0))</f>
        <v/>
      </c>
      <c r="AC2177">
        <f>IF(AB2177&gt;AB2176,AB2177,"")</f>
        <v/>
      </c>
    </row>
    <row r="2178">
      <c r="W2178" s="7" t="n"/>
      <c r="X2178" s="7" t="n"/>
      <c r="Z2178">
        <f>Z2177+IF(W2178="",0,IF(ISNA(MATCH(W2178,W$256:W2177,0)),1,0))</f>
        <v/>
      </c>
      <c r="AA2178">
        <f>IF(Z2178&gt;Z2177,Z2178,"")</f>
        <v/>
      </c>
      <c r="AB2178">
        <f>AB2177+IF(X2178="",0,IF(ISNA(MATCH(X2178,X$256:X2177,0)),1,0))</f>
        <v/>
      </c>
      <c r="AC2178">
        <f>IF(AB2178&gt;AB2177,AB2178,"")</f>
        <v/>
      </c>
    </row>
    <row r="2179">
      <c r="W2179" s="7" t="n"/>
      <c r="X2179" s="7" t="n"/>
      <c r="Z2179">
        <f>Z2178+IF(W2179="",0,IF(ISNA(MATCH(W2179,W$256:W2178,0)),1,0))</f>
        <v/>
      </c>
      <c r="AA2179">
        <f>IF(Z2179&gt;Z2178,Z2179,"")</f>
        <v/>
      </c>
      <c r="AB2179">
        <f>AB2178+IF(X2179="",0,IF(ISNA(MATCH(X2179,X$256:X2178,0)),1,0))</f>
        <v/>
      </c>
      <c r="AC2179">
        <f>IF(AB2179&gt;AB2178,AB2179,"")</f>
        <v/>
      </c>
    </row>
    <row r="2180">
      <c r="W2180" s="7" t="n"/>
      <c r="X2180" s="7" t="n"/>
      <c r="Z2180">
        <f>Z2179+IF(W2180="",0,IF(ISNA(MATCH(W2180,W$256:W2179,0)),1,0))</f>
        <v/>
      </c>
      <c r="AA2180">
        <f>IF(Z2180&gt;Z2179,Z2180,"")</f>
        <v/>
      </c>
      <c r="AB2180">
        <f>AB2179+IF(X2180="",0,IF(ISNA(MATCH(X2180,X$256:X2179,0)),1,0))</f>
        <v/>
      </c>
      <c r="AC2180">
        <f>IF(AB2180&gt;AB2179,AB2180,"")</f>
        <v/>
      </c>
    </row>
    <row r="2181">
      <c r="W2181" s="7" t="n"/>
      <c r="X2181" s="7" t="n"/>
      <c r="Z2181">
        <f>Z2180+IF(W2181="",0,IF(ISNA(MATCH(W2181,W$256:W2180,0)),1,0))</f>
        <v/>
      </c>
      <c r="AA2181">
        <f>IF(Z2181&gt;Z2180,Z2181,"")</f>
        <v/>
      </c>
      <c r="AB2181">
        <f>AB2180+IF(X2181="",0,IF(ISNA(MATCH(X2181,X$256:X2180,0)),1,0))</f>
        <v/>
      </c>
      <c r="AC2181">
        <f>IF(AB2181&gt;AB2180,AB2181,"")</f>
        <v/>
      </c>
    </row>
    <row r="2182">
      <c r="W2182" s="7" t="n"/>
      <c r="X2182" s="7" t="n"/>
      <c r="Z2182">
        <f>Z2181+IF(W2182="",0,IF(ISNA(MATCH(W2182,W$256:W2181,0)),1,0))</f>
        <v/>
      </c>
      <c r="AA2182">
        <f>IF(Z2182&gt;Z2181,Z2182,"")</f>
        <v/>
      </c>
      <c r="AB2182">
        <f>AB2181+IF(X2182="",0,IF(ISNA(MATCH(X2182,X$256:X2181,0)),1,0))</f>
        <v/>
      </c>
      <c r="AC2182">
        <f>IF(AB2182&gt;AB2181,AB2182,"")</f>
        <v/>
      </c>
    </row>
    <row r="2183">
      <c r="W2183" s="7" t="n"/>
      <c r="X2183" s="7" t="n"/>
      <c r="Z2183">
        <f>Z2182+IF(W2183="",0,IF(ISNA(MATCH(W2183,W$256:W2182,0)),1,0))</f>
        <v/>
      </c>
      <c r="AA2183">
        <f>IF(Z2183&gt;Z2182,Z2183,"")</f>
        <v/>
      </c>
      <c r="AB2183">
        <f>AB2182+IF(X2183="",0,IF(ISNA(MATCH(X2183,X$256:X2182,0)),1,0))</f>
        <v/>
      </c>
      <c r="AC2183">
        <f>IF(AB2183&gt;AB2182,AB2183,"")</f>
        <v/>
      </c>
    </row>
    <row r="2184">
      <c r="W2184" s="7" t="n"/>
      <c r="X2184" s="7" t="n"/>
      <c r="Z2184">
        <f>Z2183+IF(W2184="",0,IF(ISNA(MATCH(W2184,W$256:W2183,0)),1,0))</f>
        <v/>
      </c>
      <c r="AA2184">
        <f>IF(Z2184&gt;Z2183,Z2184,"")</f>
        <v/>
      </c>
      <c r="AB2184">
        <f>AB2183+IF(X2184="",0,IF(ISNA(MATCH(X2184,X$256:X2183,0)),1,0))</f>
        <v/>
      </c>
      <c r="AC2184">
        <f>IF(AB2184&gt;AB2183,AB2184,"")</f>
        <v/>
      </c>
    </row>
    <row r="2185">
      <c r="W2185" s="7" t="n"/>
      <c r="X2185" s="7" t="n"/>
      <c r="Z2185">
        <f>Z2184+IF(W2185="",0,IF(ISNA(MATCH(W2185,W$256:W2184,0)),1,0))</f>
        <v/>
      </c>
      <c r="AA2185">
        <f>IF(Z2185&gt;Z2184,Z2185,"")</f>
        <v/>
      </c>
      <c r="AB2185">
        <f>AB2184+IF(X2185="",0,IF(ISNA(MATCH(X2185,X$256:X2184,0)),1,0))</f>
        <v/>
      </c>
      <c r="AC2185">
        <f>IF(AB2185&gt;AB2184,AB2185,"")</f>
        <v/>
      </c>
    </row>
    <row r="2186">
      <c r="W2186" s="7" t="n"/>
      <c r="X2186" s="7" t="n"/>
      <c r="Z2186">
        <f>Z2185+IF(W2186="",0,IF(ISNA(MATCH(W2186,W$256:W2185,0)),1,0))</f>
        <v/>
      </c>
      <c r="AA2186">
        <f>IF(Z2186&gt;Z2185,Z2186,"")</f>
        <v/>
      </c>
      <c r="AB2186">
        <f>AB2185+IF(X2186="",0,IF(ISNA(MATCH(X2186,X$256:X2185,0)),1,0))</f>
        <v/>
      </c>
      <c r="AC2186">
        <f>IF(AB2186&gt;AB2185,AB2186,"")</f>
        <v/>
      </c>
    </row>
    <row r="2187">
      <c r="W2187" s="7" t="n"/>
      <c r="X2187" s="7" t="n"/>
      <c r="Z2187">
        <f>Z2186+IF(W2187="",0,IF(ISNA(MATCH(W2187,W$256:W2186,0)),1,0))</f>
        <v/>
      </c>
      <c r="AA2187">
        <f>IF(Z2187&gt;Z2186,Z2187,"")</f>
        <v/>
      </c>
      <c r="AB2187">
        <f>AB2186+IF(X2187="",0,IF(ISNA(MATCH(X2187,X$256:X2186,0)),1,0))</f>
        <v/>
      </c>
      <c r="AC2187">
        <f>IF(AB2187&gt;AB2186,AB2187,"")</f>
        <v/>
      </c>
    </row>
    <row r="2188">
      <c r="W2188" s="7" t="n"/>
      <c r="X2188" s="7" t="n"/>
      <c r="Z2188">
        <f>Z2187+IF(W2188="",0,IF(ISNA(MATCH(W2188,W$256:W2187,0)),1,0))</f>
        <v/>
      </c>
      <c r="AA2188">
        <f>IF(Z2188&gt;Z2187,Z2188,"")</f>
        <v/>
      </c>
      <c r="AB2188">
        <f>AB2187+IF(X2188="",0,IF(ISNA(MATCH(X2188,X$256:X2187,0)),1,0))</f>
        <v/>
      </c>
      <c r="AC2188">
        <f>IF(AB2188&gt;AB2187,AB2188,"")</f>
        <v/>
      </c>
    </row>
    <row r="2189">
      <c r="W2189" s="7" t="n"/>
      <c r="X2189" s="7" t="n"/>
      <c r="Z2189">
        <f>Z2188+IF(W2189="",0,IF(ISNA(MATCH(W2189,W$256:W2188,0)),1,0))</f>
        <v/>
      </c>
      <c r="AA2189">
        <f>IF(Z2189&gt;Z2188,Z2189,"")</f>
        <v/>
      </c>
      <c r="AB2189">
        <f>AB2188+IF(X2189="",0,IF(ISNA(MATCH(X2189,X$256:X2188,0)),1,0))</f>
        <v/>
      </c>
      <c r="AC2189">
        <f>IF(AB2189&gt;AB2188,AB2189,"")</f>
        <v/>
      </c>
    </row>
    <row r="2190">
      <c r="W2190" s="7" t="n"/>
      <c r="X2190" s="7" t="n"/>
      <c r="Z2190">
        <f>Z2189+IF(W2190="",0,IF(ISNA(MATCH(W2190,W$256:W2189,0)),1,0))</f>
        <v/>
      </c>
      <c r="AA2190">
        <f>IF(Z2190&gt;Z2189,Z2190,"")</f>
        <v/>
      </c>
      <c r="AB2190">
        <f>AB2189+IF(X2190="",0,IF(ISNA(MATCH(X2190,X$256:X2189,0)),1,0))</f>
        <v/>
      </c>
      <c r="AC2190">
        <f>IF(AB2190&gt;AB2189,AB2190,"")</f>
        <v/>
      </c>
    </row>
    <row r="2191">
      <c r="W2191" s="7" t="n"/>
      <c r="X2191" s="7" t="n"/>
      <c r="Z2191">
        <f>Z2190+IF(W2191="",0,IF(ISNA(MATCH(W2191,W$256:W2190,0)),1,0))</f>
        <v/>
      </c>
      <c r="AA2191">
        <f>IF(Z2191&gt;Z2190,Z2191,"")</f>
        <v/>
      </c>
      <c r="AB2191">
        <f>AB2190+IF(X2191="",0,IF(ISNA(MATCH(X2191,X$256:X2190,0)),1,0))</f>
        <v/>
      </c>
      <c r="AC2191">
        <f>IF(AB2191&gt;AB2190,AB2191,"")</f>
        <v/>
      </c>
    </row>
    <row r="2192">
      <c r="W2192" s="7" t="n"/>
      <c r="X2192" s="7" t="n"/>
      <c r="Z2192">
        <f>Z2191+IF(W2192="",0,IF(ISNA(MATCH(W2192,W$256:W2191,0)),1,0))</f>
        <v/>
      </c>
      <c r="AA2192">
        <f>IF(Z2192&gt;Z2191,Z2192,"")</f>
        <v/>
      </c>
      <c r="AB2192">
        <f>AB2191+IF(X2192="",0,IF(ISNA(MATCH(X2192,X$256:X2191,0)),1,0))</f>
        <v/>
      </c>
      <c r="AC2192">
        <f>IF(AB2192&gt;AB2191,AB2192,"")</f>
        <v/>
      </c>
    </row>
    <row r="2193">
      <c r="W2193" s="7" t="n"/>
      <c r="X2193" s="7" t="n"/>
      <c r="Z2193">
        <f>Z2192+IF(W2193="",0,IF(ISNA(MATCH(W2193,W$256:W2192,0)),1,0))</f>
        <v/>
      </c>
      <c r="AA2193">
        <f>IF(Z2193&gt;Z2192,Z2193,"")</f>
        <v/>
      </c>
      <c r="AB2193">
        <f>AB2192+IF(X2193="",0,IF(ISNA(MATCH(X2193,X$256:X2192,0)),1,0))</f>
        <v/>
      </c>
      <c r="AC2193">
        <f>IF(AB2193&gt;AB2192,AB2193,"")</f>
        <v/>
      </c>
    </row>
    <row r="2194">
      <c r="W2194" s="7" t="n"/>
      <c r="X2194" s="7" t="n"/>
      <c r="Z2194">
        <f>Z2193+IF(W2194="",0,IF(ISNA(MATCH(W2194,W$256:W2193,0)),1,0))</f>
        <v/>
      </c>
      <c r="AA2194">
        <f>IF(Z2194&gt;Z2193,Z2194,"")</f>
        <v/>
      </c>
      <c r="AB2194">
        <f>AB2193+IF(X2194="",0,IF(ISNA(MATCH(X2194,X$256:X2193,0)),1,0))</f>
        <v/>
      </c>
      <c r="AC2194">
        <f>IF(AB2194&gt;AB2193,AB2194,"")</f>
        <v/>
      </c>
    </row>
    <row r="2195">
      <c r="W2195" s="7" t="n"/>
      <c r="X2195" s="7" t="n"/>
      <c r="Z2195">
        <f>Z2194+IF(W2195="",0,IF(ISNA(MATCH(W2195,W$256:W2194,0)),1,0))</f>
        <v/>
      </c>
      <c r="AA2195">
        <f>IF(Z2195&gt;Z2194,Z2195,"")</f>
        <v/>
      </c>
      <c r="AB2195">
        <f>AB2194+IF(X2195="",0,IF(ISNA(MATCH(X2195,X$256:X2194,0)),1,0))</f>
        <v/>
      </c>
      <c r="AC2195">
        <f>IF(AB2195&gt;AB2194,AB2195,"")</f>
        <v/>
      </c>
    </row>
    <row r="2196">
      <c r="W2196" s="7" t="n"/>
      <c r="X2196" s="7" t="n"/>
      <c r="Z2196">
        <f>Z2195+IF(W2196="",0,IF(ISNA(MATCH(W2196,W$256:W2195,0)),1,0))</f>
        <v/>
      </c>
      <c r="AA2196">
        <f>IF(Z2196&gt;Z2195,Z2196,"")</f>
        <v/>
      </c>
      <c r="AB2196">
        <f>AB2195+IF(X2196="",0,IF(ISNA(MATCH(X2196,X$256:X2195,0)),1,0))</f>
        <v/>
      </c>
      <c r="AC2196">
        <f>IF(AB2196&gt;AB2195,AB2196,"")</f>
        <v/>
      </c>
    </row>
    <row r="2197">
      <c r="W2197" s="7" t="n"/>
      <c r="X2197" s="7" t="n"/>
      <c r="Z2197">
        <f>Z2196+IF(W2197="",0,IF(ISNA(MATCH(W2197,W$256:W2196,0)),1,0))</f>
        <v/>
      </c>
      <c r="AA2197">
        <f>IF(Z2197&gt;Z2196,Z2197,"")</f>
        <v/>
      </c>
      <c r="AB2197">
        <f>AB2196+IF(X2197="",0,IF(ISNA(MATCH(X2197,X$256:X2196,0)),1,0))</f>
        <v/>
      </c>
      <c r="AC2197">
        <f>IF(AB2197&gt;AB2196,AB2197,"")</f>
        <v/>
      </c>
    </row>
    <row r="2198">
      <c r="W2198" s="7" t="n"/>
      <c r="X2198" s="7" t="n"/>
      <c r="Z2198">
        <f>Z2197+IF(W2198="",0,IF(ISNA(MATCH(W2198,W$256:W2197,0)),1,0))</f>
        <v/>
      </c>
      <c r="AA2198">
        <f>IF(Z2198&gt;Z2197,Z2198,"")</f>
        <v/>
      </c>
      <c r="AB2198">
        <f>AB2197+IF(X2198="",0,IF(ISNA(MATCH(X2198,X$256:X2197,0)),1,0))</f>
        <v/>
      </c>
      <c r="AC2198">
        <f>IF(AB2198&gt;AB2197,AB2198,"")</f>
        <v/>
      </c>
    </row>
    <row r="2199">
      <c r="W2199" s="7" t="n"/>
      <c r="X2199" s="7" t="n"/>
      <c r="Z2199">
        <f>Z2198+IF(W2199="",0,IF(ISNA(MATCH(W2199,W$256:W2198,0)),1,0))</f>
        <v/>
      </c>
      <c r="AA2199">
        <f>IF(Z2199&gt;Z2198,Z2199,"")</f>
        <v/>
      </c>
      <c r="AB2199">
        <f>AB2198+IF(X2199="",0,IF(ISNA(MATCH(X2199,X$256:X2198,0)),1,0))</f>
        <v/>
      </c>
      <c r="AC2199">
        <f>IF(AB2199&gt;AB2198,AB2199,"")</f>
        <v/>
      </c>
    </row>
    <row r="2200">
      <c r="W2200" s="7" t="n"/>
      <c r="X2200" s="7" t="n"/>
      <c r="Z2200">
        <f>Z2199+IF(W2200="",0,IF(ISNA(MATCH(W2200,W$256:W2199,0)),1,0))</f>
        <v/>
      </c>
      <c r="AA2200">
        <f>IF(Z2200&gt;Z2199,Z2200,"")</f>
        <v/>
      </c>
      <c r="AB2200">
        <f>AB2199+IF(X2200="",0,IF(ISNA(MATCH(X2200,X$256:X2199,0)),1,0))</f>
        <v/>
      </c>
      <c r="AC2200">
        <f>IF(AB2200&gt;AB2199,AB2200,"")</f>
        <v/>
      </c>
    </row>
    <row r="2201">
      <c r="W2201" s="7" t="n"/>
      <c r="X2201" s="7" t="n"/>
      <c r="Z2201">
        <f>Z2200+IF(W2201="",0,IF(ISNA(MATCH(W2201,W$256:W2200,0)),1,0))</f>
        <v/>
      </c>
      <c r="AA2201">
        <f>IF(Z2201&gt;Z2200,Z2201,"")</f>
        <v/>
      </c>
      <c r="AB2201">
        <f>AB2200+IF(X2201="",0,IF(ISNA(MATCH(X2201,X$256:X2200,0)),1,0))</f>
        <v/>
      </c>
      <c r="AC2201">
        <f>IF(AB2201&gt;AB2200,AB2201,"")</f>
        <v/>
      </c>
    </row>
    <row r="2202">
      <c r="W2202" s="7" t="n"/>
      <c r="X2202" s="7" t="n"/>
      <c r="Z2202">
        <f>Z2201+IF(W2202="",0,IF(ISNA(MATCH(W2202,W$256:W2201,0)),1,0))</f>
        <v/>
      </c>
      <c r="AA2202">
        <f>IF(Z2202&gt;Z2201,Z2202,"")</f>
        <v/>
      </c>
      <c r="AB2202">
        <f>AB2201+IF(X2202="",0,IF(ISNA(MATCH(X2202,X$256:X2201,0)),1,0))</f>
        <v/>
      </c>
      <c r="AC2202">
        <f>IF(AB2202&gt;AB2201,AB2202,"")</f>
        <v/>
      </c>
    </row>
    <row r="2203">
      <c r="W2203" s="7" t="n"/>
      <c r="X2203" s="7" t="n"/>
      <c r="Z2203">
        <f>Z2202+IF(W2203="",0,IF(ISNA(MATCH(W2203,W$256:W2202,0)),1,0))</f>
        <v/>
      </c>
      <c r="AA2203">
        <f>IF(Z2203&gt;Z2202,Z2203,"")</f>
        <v/>
      </c>
      <c r="AB2203">
        <f>AB2202+IF(X2203="",0,IF(ISNA(MATCH(X2203,X$256:X2202,0)),1,0))</f>
        <v/>
      </c>
      <c r="AC2203">
        <f>IF(AB2203&gt;AB2202,AB2203,"")</f>
        <v/>
      </c>
    </row>
    <row r="2204">
      <c r="W2204" s="7" t="n"/>
      <c r="X2204" s="7" t="n"/>
      <c r="Z2204">
        <f>Z2203+IF(W2204="",0,IF(ISNA(MATCH(W2204,W$256:W2203,0)),1,0))</f>
        <v/>
      </c>
      <c r="AA2204">
        <f>IF(Z2204&gt;Z2203,Z2204,"")</f>
        <v/>
      </c>
      <c r="AB2204">
        <f>AB2203+IF(X2204="",0,IF(ISNA(MATCH(X2204,X$256:X2203,0)),1,0))</f>
        <v/>
      </c>
      <c r="AC2204">
        <f>IF(AB2204&gt;AB2203,AB2204,"")</f>
        <v/>
      </c>
    </row>
    <row r="2205">
      <c r="W2205" s="7" t="n"/>
      <c r="X2205" s="7" t="n"/>
      <c r="Z2205">
        <f>Z2204+IF(W2205="",0,IF(ISNA(MATCH(W2205,W$256:W2204,0)),1,0))</f>
        <v/>
      </c>
      <c r="AA2205">
        <f>IF(Z2205&gt;Z2204,Z2205,"")</f>
        <v/>
      </c>
      <c r="AB2205">
        <f>AB2204+IF(X2205="",0,IF(ISNA(MATCH(X2205,X$256:X2204,0)),1,0))</f>
        <v/>
      </c>
      <c r="AC2205">
        <f>IF(AB2205&gt;AB2204,AB2205,"")</f>
        <v/>
      </c>
    </row>
    <row r="2206">
      <c r="W2206" s="7" t="n"/>
      <c r="X2206" s="7" t="n"/>
      <c r="Z2206">
        <f>Z2205+IF(W2206="",0,IF(ISNA(MATCH(W2206,W$256:W2205,0)),1,0))</f>
        <v/>
      </c>
      <c r="AA2206">
        <f>IF(Z2206&gt;Z2205,Z2206,"")</f>
        <v/>
      </c>
      <c r="AB2206">
        <f>AB2205+IF(X2206="",0,IF(ISNA(MATCH(X2206,X$256:X2205,0)),1,0))</f>
        <v/>
      </c>
      <c r="AC2206">
        <f>IF(AB2206&gt;AB2205,AB2206,"")</f>
        <v/>
      </c>
    </row>
    <row r="2207">
      <c r="W2207" s="7" t="n"/>
      <c r="X2207" s="7" t="n"/>
      <c r="Z2207">
        <f>Z2206+IF(W2207="",0,IF(ISNA(MATCH(W2207,W$256:W2206,0)),1,0))</f>
        <v/>
      </c>
      <c r="AA2207">
        <f>IF(Z2207&gt;Z2206,Z2207,"")</f>
        <v/>
      </c>
      <c r="AB2207">
        <f>AB2206+IF(X2207="",0,IF(ISNA(MATCH(X2207,X$256:X2206,0)),1,0))</f>
        <v/>
      </c>
      <c r="AC2207">
        <f>IF(AB2207&gt;AB2206,AB2207,"")</f>
        <v/>
      </c>
    </row>
    <row r="2208">
      <c r="W2208" s="7" t="n"/>
      <c r="X2208" s="7" t="n"/>
      <c r="Z2208">
        <f>Z2207+IF(W2208="",0,IF(ISNA(MATCH(W2208,W$256:W2207,0)),1,0))</f>
        <v/>
      </c>
      <c r="AA2208">
        <f>IF(Z2208&gt;Z2207,Z2208,"")</f>
        <v/>
      </c>
      <c r="AB2208">
        <f>AB2207+IF(X2208="",0,IF(ISNA(MATCH(X2208,X$256:X2207,0)),1,0))</f>
        <v/>
      </c>
      <c r="AC2208">
        <f>IF(AB2208&gt;AB2207,AB2208,"")</f>
        <v/>
      </c>
    </row>
    <row r="2209">
      <c r="W2209" s="7" t="n"/>
      <c r="X2209" s="7" t="n"/>
      <c r="Z2209">
        <f>Z2208+IF(W2209="",0,IF(ISNA(MATCH(W2209,W$256:W2208,0)),1,0))</f>
        <v/>
      </c>
      <c r="AA2209">
        <f>IF(Z2209&gt;Z2208,Z2209,"")</f>
        <v/>
      </c>
      <c r="AB2209">
        <f>AB2208+IF(X2209="",0,IF(ISNA(MATCH(X2209,X$256:X2208,0)),1,0))</f>
        <v/>
      </c>
      <c r="AC2209">
        <f>IF(AB2209&gt;AB2208,AB2209,"")</f>
        <v/>
      </c>
    </row>
    <row r="2210">
      <c r="W2210" s="7" t="n"/>
      <c r="X2210" s="7" t="n"/>
      <c r="Z2210">
        <f>Z2209+IF(W2210="",0,IF(ISNA(MATCH(W2210,W$256:W2209,0)),1,0))</f>
        <v/>
      </c>
      <c r="AA2210">
        <f>IF(Z2210&gt;Z2209,Z2210,"")</f>
        <v/>
      </c>
      <c r="AB2210">
        <f>AB2209+IF(X2210="",0,IF(ISNA(MATCH(X2210,X$256:X2209,0)),1,0))</f>
        <v/>
      </c>
      <c r="AC2210">
        <f>IF(AB2210&gt;AB2209,AB2210,"")</f>
        <v/>
      </c>
    </row>
    <row r="2211">
      <c r="W2211" s="7" t="n"/>
      <c r="X2211" s="7" t="n"/>
      <c r="Z2211">
        <f>Z2210+IF(W2211="",0,IF(ISNA(MATCH(W2211,W$256:W2210,0)),1,0))</f>
        <v/>
      </c>
      <c r="AA2211">
        <f>IF(Z2211&gt;Z2210,Z2211,"")</f>
        <v/>
      </c>
      <c r="AB2211">
        <f>AB2210+IF(X2211="",0,IF(ISNA(MATCH(X2211,X$256:X2210,0)),1,0))</f>
        <v/>
      </c>
      <c r="AC2211">
        <f>IF(AB2211&gt;AB2210,AB2211,"")</f>
        <v/>
      </c>
    </row>
    <row r="2212">
      <c r="W2212" s="7" t="n"/>
      <c r="X2212" s="7" t="n"/>
      <c r="Z2212">
        <f>Z2211+IF(W2212="",0,IF(ISNA(MATCH(W2212,W$256:W2211,0)),1,0))</f>
        <v/>
      </c>
      <c r="AA2212">
        <f>IF(Z2212&gt;Z2211,Z2212,"")</f>
        <v/>
      </c>
      <c r="AB2212">
        <f>AB2211+IF(X2212="",0,IF(ISNA(MATCH(X2212,X$256:X2211,0)),1,0))</f>
        <v/>
      </c>
      <c r="AC2212">
        <f>IF(AB2212&gt;AB2211,AB2212,"")</f>
        <v/>
      </c>
    </row>
    <row r="2213">
      <c r="W2213" s="7" t="n"/>
      <c r="X2213" s="7" t="n"/>
      <c r="Z2213">
        <f>Z2212+IF(W2213="",0,IF(ISNA(MATCH(W2213,W$256:W2212,0)),1,0))</f>
        <v/>
      </c>
      <c r="AA2213">
        <f>IF(Z2213&gt;Z2212,Z2213,"")</f>
        <v/>
      </c>
      <c r="AB2213">
        <f>AB2212+IF(X2213="",0,IF(ISNA(MATCH(X2213,X$256:X2212,0)),1,0))</f>
        <v/>
      </c>
      <c r="AC2213">
        <f>IF(AB2213&gt;AB2212,AB2213,"")</f>
        <v/>
      </c>
    </row>
    <row r="2214">
      <c r="W2214" s="7" t="n"/>
      <c r="X2214" s="7" t="n"/>
      <c r="Z2214">
        <f>Z2213+IF(W2214="",0,IF(ISNA(MATCH(W2214,W$256:W2213,0)),1,0))</f>
        <v/>
      </c>
      <c r="AA2214">
        <f>IF(Z2214&gt;Z2213,Z2214,"")</f>
        <v/>
      </c>
      <c r="AB2214">
        <f>AB2213+IF(X2214="",0,IF(ISNA(MATCH(X2214,X$256:X2213,0)),1,0))</f>
        <v/>
      </c>
      <c r="AC2214">
        <f>IF(AB2214&gt;AB2213,AB2214,"")</f>
        <v/>
      </c>
    </row>
    <row r="2215">
      <c r="W2215" s="7" t="n"/>
      <c r="X2215" s="7" t="n"/>
      <c r="Z2215">
        <f>Z2214+IF(W2215="",0,IF(ISNA(MATCH(W2215,W$256:W2214,0)),1,0))</f>
        <v/>
      </c>
      <c r="AA2215">
        <f>IF(Z2215&gt;Z2214,Z2215,"")</f>
        <v/>
      </c>
      <c r="AB2215">
        <f>AB2214+IF(X2215="",0,IF(ISNA(MATCH(X2215,X$256:X2214,0)),1,0))</f>
        <v/>
      </c>
      <c r="AC2215">
        <f>IF(AB2215&gt;AB2214,AB2215,"")</f>
        <v/>
      </c>
    </row>
    <row r="2216">
      <c r="W2216" s="7" t="n"/>
      <c r="X2216" s="7" t="n"/>
      <c r="Z2216">
        <f>Z2215+IF(W2216="",0,IF(ISNA(MATCH(W2216,W$256:W2215,0)),1,0))</f>
        <v/>
      </c>
      <c r="AA2216">
        <f>IF(Z2216&gt;Z2215,Z2216,"")</f>
        <v/>
      </c>
      <c r="AB2216">
        <f>AB2215+IF(X2216="",0,IF(ISNA(MATCH(X2216,X$256:X2215,0)),1,0))</f>
        <v/>
      </c>
      <c r="AC2216">
        <f>IF(AB2216&gt;AB2215,AB2216,"")</f>
        <v/>
      </c>
    </row>
    <row r="2217">
      <c r="W2217" s="7" t="n"/>
      <c r="X2217" s="7" t="n"/>
      <c r="Z2217">
        <f>Z2216+IF(W2217="",0,IF(ISNA(MATCH(W2217,W$256:W2216,0)),1,0))</f>
        <v/>
      </c>
      <c r="AA2217">
        <f>IF(Z2217&gt;Z2216,Z2217,"")</f>
        <v/>
      </c>
      <c r="AB2217">
        <f>AB2216+IF(X2217="",0,IF(ISNA(MATCH(X2217,X$256:X2216,0)),1,0))</f>
        <v/>
      </c>
      <c r="AC2217">
        <f>IF(AB2217&gt;AB2216,AB2217,"")</f>
        <v/>
      </c>
    </row>
    <row r="2218">
      <c r="W2218" s="7" t="n"/>
      <c r="X2218" s="7" t="n"/>
      <c r="Z2218">
        <f>Z2217+IF(W2218="",0,IF(ISNA(MATCH(W2218,W$256:W2217,0)),1,0))</f>
        <v/>
      </c>
      <c r="AA2218">
        <f>IF(Z2218&gt;Z2217,Z2218,"")</f>
        <v/>
      </c>
      <c r="AB2218">
        <f>AB2217+IF(X2218="",0,IF(ISNA(MATCH(X2218,X$256:X2217,0)),1,0))</f>
        <v/>
      </c>
      <c r="AC2218">
        <f>IF(AB2218&gt;AB2217,AB2218,"")</f>
        <v/>
      </c>
    </row>
    <row r="2219">
      <c r="W2219" s="7" t="n"/>
      <c r="X2219" s="7" t="n"/>
      <c r="Z2219">
        <f>Z2218+IF(W2219="",0,IF(ISNA(MATCH(W2219,W$256:W2218,0)),1,0))</f>
        <v/>
      </c>
      <c r="AA2219">
        <f>IF(Z2219&gt;Z2218,Z2219,"")</f>
        <v/>
      </c>
      <c r="AB2219">
        <f>AB2218+IF(X2219="",0,IF(ISNA(MATCH(X2219,X$256:X2218,0)),1,0))</f>
        <v/>
      </c>
      <c r="AC2219">
        <f>IF(AB2219&gt;AB2218,AB2219,"")</f>
        <v/>
      </c>
    </row>
    <row r="2220">
      <c r="W2220" s="7" t="n"/>
      <c r="X2220" s="7" t="n"/>
      <c r="Z2220">
        <f>Z2219+IF(W2220="",0,IF(ISNA(MATCH(W2220,W$256:W2219,0)),1,0))</f>
        <v/>
      </c>
      <c r="AA2220">
        <f>IF(Z2220&gt;Z2219,Z2220,"")</f>
        <v/>
      </c>
      <c r="AB2220">
        <f>AB2219+IF(X2220="",0,IF(ISNA(MATCH(X2220,X$256:X2219,0)),1,0))</f>
        <v/>
      </c>
      <c r="AC2220">
        <f>IF(AB2220&gt;AB2219,AB2220,"")</f>
        <v/>
      </c>
    </row>
    <row r="2221">
      <c r="W2221" s="7" t="n"/>
      <c r="X2221" s="7" t="n"/>
      <c r="Z2221">
        <f>Z2220+IF(W2221="",0,IF(ISNA(MATCH(W2221,W$256:W2220,0)),1,0))</f>
        <v/>
      </c>
      <c r="AA2221">
        <f>IF(Z2221&gt;Z2220,Z2221,"")</f>
        <v/>
      </c>
      <c r="AB2221">
        <f>AB2220+IF(X2221="",0,IF(ISNA(MATCH(X2221,X$256:X2220,0)),1,0))</f>
        <v/>
      </c>
      <c r="AC2221">
        <f>IF(AB2221&gt;AB2220,AB2221,"")</f>
        <v/>
      </c>
    </row>
    <row r="2222">
      <c r="W2222" s="7" t="n"/>
      <c r="X2222" s="7" t="n"/>
      <c r="Z2222">
        <f>Z2221+IF(W2222="",0,IF(ISNA(MATCH(W2222,W$256:W2221,0)),1,0))</f>
        <v/>
      </c>
      <c r="AA2222">
        <f>IF(Z2222&gt;Z2221,Z2222,"")</f>
        <v/>
      </c>
      <c r="AB2222">
        <f>AB2221+IF(X2222="",0,IF(ISNA(MATCH(X2222,X$256:X2221,0)),1,0))</f>
        <v/>
      </c>
      <c r="AC2222">
        <f>IF(AB2222&gt;AB2221,AB2222,"")</f>
        <v/>
      </c>
    </row>
    <row r="2223">
      <c r="W2223" s="7" t="n"/>
      <c r="X2223" s="7" t="n"/>
      <c r="Z2223">
        <f>Z2222+IF(W2223="",0,IF(ISNA(MATCH(W2223,W$256:W2222,0)),1,0))</f>
        <v/>
      </c>
      <c r="AA2223">
        <f>IF(Z2223&gt;Z2222,Z2223,"")</f>
        <v/>
      </c>
      <c r="AB2223">
        <f>AB2222+IF(X2223="",0,IF(ISNA(MATCH(X2223,X$256:X2222,0)),1,0))</f>
        <v/>
      </c>
      <c r="AC2223">
        <f>IF(AB2223&gt;AB2222,AB2223,"")</f>
        <v/>
      </c>
    </row>
    <row r="2224">
      <c r="W2224" s="7" t="n"/>
      <c r="X2224" s="7" t="n"/>
      <c r="Z2224">
        <f>Z2223+IF(W2224="",0,IF(ISNA(MATCH(W2224,W$256:W2223,0)),1,0))</f>
        <v/>
      </c>
      <c r="AA2224">
        <f>IF(Z2224&gt;Z2223,Z2224,"")</f>
        <v/>
      </c>
      <c r="AB2224">
        <f>AB2223+IF(X2224="",0,IF(ISNA(MATCH(X2224,X$256:X2223,0)),1,0))</f>
        <v/>
      </c>
      <c r="AC2224">
        <f>IF(AB2224&gt;AB2223,AB2224,"")</f>
        <v/>
      </c>
    </row>
    <row r="2225">
      <c r="W2225" s="7" t="n"/>
      <c r="X2225" s="7" t="n"/>
      <c r="Z2225">
        <f>Z2224+IF(W2225="",0,IF(ISNA(MATCH(W2225,W$256:W2224,0)),1,0))</f>
        <v/>
      </c>
      <c r="AA2225">
        <f>IF(Z2225&gt;Z2224,Z2225,"")</f>
        <v/>
      </c>
      <c r="AB2225">
        <f>AB2224+IF(X2225="",0,IF(ISNA(MATCH(X2225,X$256:X2224,0)),1,0))</f>
        <v/>
      </c>
      <c r="AC2225">
        <f>IF(AB2225&gt;AB2224,AB2225,"")</f>
        <v/>
      </c>
    </row>
    <row r="2226">
      <c r="W2226" s="7" t="n"/>
      <c r="X2226" s="7" t="n"/>
      <c r="Z2226">
        <f>Z2225+IF(W2226="",0,IF(ISNA(MATCH(W2226,W$256:W2225,0)),1,0))</f>
        <v/>
      </c>
      <c r="AA2226">
        <f>IF(Z2226&gt;Z2225,Z2226,"")</f>
        <v/>
      </c>
      <c r="AB2226">
        <f>AB2225+IF(X2226="",0,IF(ISNA(MATCH(X2226,X$256:X2225,0)),1,0))</f>
        <v/>
      </c>
      <c r="AC2226">
        <f>IF(AB2226&gt;AB2225,AB2226,"")</f>
        <v/>
      </c>
    </row>
    <row r="2227">
      <c r="W2227" s="7" t="n"/>
      <c r="X2227" s="7" t="n"/>
      <c r="Z2227">
        <f>Z2226+IF(W2227="",0,IF(ISNA(MATCH(W2227,W$256:W2226,0)),1,0))</f>
        <v/>
      </c>
      <c r="AA2227">
        <f>IF(Z2227&gt;Z2226,Z2227,"")</f>
        <v/>
      </c>
      <c r="AB2227">
        <f>AB2226+IF(X2227="",0,IF(ISNA(MATCH(X2227,X$256:X2226,0)),1,0))</f>
        <v/>
      </c>
      <c r="AC2227">
        <f>IF(AB2227&gt;AB2226,AB2227,"")</f>
        <v/>
      </c>
    </row>
    <row r="2228">
      <c r="W2228" s="7" t="n"/>
      <c r="X2228" s="7" t="n"/>
      <c r="Z2228">
        <f>Z2227+IF(W2228="",0,IF(ISNA(MATCH(W2228,W$256:W2227,0)),1,0))</f>
        <v/>
      </c>
      <c r="AA2228">
        <f>IF(Z2228&gt;Z2227,Z2228,"")</f>
        <v/>
      </c>
      <c r="AB2228">
        <f>AB2227+IF(X2228="",0,IF(ISNA(MATCH(X2228,X$256:X2227,0)),1,0))</f>
        <v/>
      </c>
      <c r="AC2228">
        <f>IF(AB2228&gt;AB2227,AB2228,"")</f>
        <v/>
      </c>
    </row>
    <row r="2229">
      <c r="W2229" s="7" t="n"/>
      <c r="X2229" s="7" t="n"/>
      <c r="Z2229">
        <f>Z2228+IF(W2229="",0,IF(ISNA(MATCH(W2229,W$256:W2228,0)),1,0))</f>
        <v/>
      </c>
      <c r="AA2229">
        <f>IF(Z2229&gt;Z2228,Z2229,"")</f>
        <v/>
      </c>
      <c r="AB2229">
        <f>AB2228+IF(X2229="",0,IF(ISNA(MATCH(X2229,X$256:X2228,0)),1,0))</f>
        <v/>
      </c>
      <c r="AC2229">
        <f>IF(AB2229&gt;AB2228,AB2229,"")</f>
        <v/>
      </c>
    </row>
    <row r="2230">
      <c r="W2230" s="7" t="n"/>
      <c r="X2230" s="7" t="n"/>
      <c r="Z2230">
        <f>Z2229+IF(W2230="",0,IF(ISNA(MATCH(W2230,W$256:W2229,0)),1,0))</f>
        <v/>
      </c>
      <c r="AA2230">
        <f>IF(Z2230&gt;Z2229,Z2230,"")</f>
        <v/>
      </c>
      <c r="AB2230">
        <f>AB2229+IF(X2230="",0,IF(ISNA(MATCH(X2230,X$256:X2229,0)),1,0))</f>
        <v/>
      </c>
      <c r="AC2230">
        <f>IF(AB2230&gt;AB2229,AB2230,"")</f>
        <v/>
      </c>
    </row>
    <row r="2231">
      <c r="W2231" s="7" t="n"/>
      <c r="X2231" s="7" t="n"/>
      <c r="Z2231">
        <f>Z2230+IF(W2231="",0,IF(ISNA(MATCH(W2231,W$256:W2230,0)),1,0))</f>
        <v/>
      </c>
      <c r="AA2231">
        <f>IF(Z2231&gt;Z2230,Z2231,"")</f>
        <v/>
      </c>
      <c r="AB2231">
        <f>AB2230+IF(X2231="",0,IF(ISNA(MATCH(X2231,X$256:X2230,0)),1,0))</f>
        <v/>
      </c>
      <c r="AC2231">
        <f>IF(AB2231&gt;AB2230,AB2231,"")</f>
        <v/>
      </c>
    </row>
    <row r="2232">
      <c r="W2232" s="7" t="n"/>
      <c r="X2232" s="7" t="n"/>
      <c r="Z2232">
        <f>Z2231+IF(W2232="",0,IF(ISNA(MATCH(W2232,W$256:W2231,0)),1,0))</f>
        <v/>
      </c>
      <c r="AA2232">
        <f>IF(Z2232&gt;Z2231,Z2232,"")</f>
        <v/>
      </c>
      <c r="AB2232">
        <f>AB2231+IF(X2232="",0,IF(ISNA(MATCH(X2232,X$256:X2231,0)),1,0))</f>
        <v/>
      </c>
      <c r="AC2232">
        <f>IF(AB2232&gt;AB2231,AB2232,"")</f>
        <v/>
      </c>
    </row>
    <row r="2233">
      <c r="W2233" s="7" t="n"/>
      <c r="X2233" s="7" t="n"/>
      <c r="Z2233">
        <f>Z2232+IF(W2233="",0,IF(ISNA(MATCH(W2233,W$256:W2232,0)),1,0))</f>
        <v/>
      </c>
      <c r="AA2233">
        <f>IF(Z2233&gt;Z2232,Z2233,"")</f>
        <v/>
      </c>
      <c r="AB2233">
        <f>AB2232+IF(X2233="",0,IF(ISNA(MATCH(X2233,X$256:X2232,0)),1,0))</f>
        <v/>
      </c>
      <c r="AC2233">
        <f>IF(AB2233&gt;AB2232,AB2233,"")</f>
        <v/>
      </c>
    </row>
    <row r="2234">
      <c r="W2234" s="7" t="n"/>
      <c r="X2234" s="7" t="n"/>
      <c r="Z2234">
        <f>Z2233+IF(W2234="",0,IF(ISNA(MATCH(W2234,W$256:W2233,0)),1,0))</f>
        <v/>
      </c>
      <c r="AA2234">
        <f>IF(Z2234&gt;Z2233,Z2234,"")</f>
        <v/>
      </c>
      <c r="AB2234">
        <f>AB2233+IF(X2234="",0,IF(ISNA(MATCH(X2234,X$256:X2233,0)),1,0))</f>
        <v/>
      </c>
      <c r="AC2234">
        <f>IF(AB2234&gt;AB2233,AB2234,"")</f>
        <v/>
      </c>
    </row>
    <row r="2235">
      <c r="W2235" s="7" t="n"/>
      <c r="X2235" s="7" t="n"/>
      <c r="Z2235">
        <f>Z2234+IF(W2235="",0,IF(ISNA(MATCH(W2235,W$256:W2234,0)),1,0))</f>
        <v/>
      </c>
      <c r="AA2235">
        <f>IF(Z2235&gt;Z2234,Z2235,"")</f>
        <v/>
      </c>
      <c r="AB2235">
        <f>AB2234+IF(X2235="",0,IF(ISNA(MATCH(X2235,X$256:X2234,0)),1,0))</f>
        <v/>
      </c>
      <c r="AC2235">
        <f>IF(AB2235&gt;AB2234,AB2235,"")</f>
        <v/>
      </c>
    </row>
    <row r="2236">
      <c r="W2236" s="7" t="n"/>
      <c r="X2236" s="7" t="n"/>
      <c r="Z2236">
        <f>Z2235+IF(W2236="",0,IF(ISNA(MATCH(W2236,W$256:W2235,0)),1,0))</f>
        <v/>
      </c>
      <c r="AA2236">
        <f>IF(Z2236&gt;Z2235,Z2236,"")</f>
        <v/>
      </c>
      <c r="AB2236">
        <f>AB2235+IF(X2236="",0,IF(ISNA(MATCH(X2236,X$256:X2235,0)),1,0))</f>
        <v/>
      </c>
      <c r="AC2236">
        <f>IF(AB2236&gt;AB2235,AB2236,"")</f>
        <v/>
      </c>
    </row>
    <row r="2237">
      <c r="W2237" s="7" t="n"/>
      <c r="X2237" s="7" t="n"/>
      <c r="Z2237">
        <f>Z2236+IF(W2237="",0,IF(ISNA(MATCH(W2237,W$256:W2236,0)),1,0))</f>
        <v/>
      </c>
      <c r="AA2237">
        <f>IF(Z2237&gt;Z2236,Z2237,"")</f>
        <v/>
      </c>
      <c r="AB2237">
        <f>AB2236+IF(X2237="",0,IF(ISNA(MATCH(X2237,X$256:X2236,0)),1,0))</f>
        <v/>
      </c>
      <c r="AC2237">
        <f>IF(AB2237&gt;AB2236,AB2237,"")</f>
        <v/>
      </c>
    </row>
    <row r="2238">
      <c r="W2238" s="7" t="n"/>
      <c r="X2238" s="7" t="n"/>
      <c r="Z2238">
        <f>Z2237+IF(W2238="",0,IF(ISNA(MATCH(W2238,W$256:W2237,0)),1,0))</f>
        <v/>
      </c>
      <c r="AA2238">
        <f>IF(Z2238&gt;Z2237,Z2238,"")</f>
        <v/>
      </c>
      <c r="AB2238">
        <f>AB2237+IF(X2238="",0,IF(ISNA(MATCH(X2238,X$256:X2237,0)),1,0))</f>
        <v/>
      </c>
      <c r="AC2238">
        <f>IF(AB2238&gt;AB2237,AB2238,"")</f>
        <v/>
      </c>
    </row>
    <row r="2239">
      <c r="W2239" s="7" t="n"/>
      <c r="X2239" s="7" t="n"/>
      <c r="Z2239">
        <f>Z2238+IF(W2239="",0,IF(ISNA(MATCH(W2239,W$256:W2238,0)),1,0))</f>
        <v/>
      </c>
      <c r="AA2239">
        <f>IF(Z2239&gt;Z2238,Z2239,"")</f>
        <v/>
      </c>
      <c r="AB2239">
        <f>AB2238+IF(X2239="",0,IF(ISNA(MATCH(X2239,X$256:X2238,0)),1,0))</f>
        <v/>
      </c>
      <c r="AC2239">
        <f>IF(AB2239&gt;AB2238,AB2239,"")</f>
        <v/>
      </c>
    </row>
    <row r="2240">
      <c r="W2240" s="7" t="n"/>
      <c r="X2240" s="7" t="n"/>
      <c r="Z2240">
        <f>Z2239+IF(W2240="",0,IF(ISNA(MATCH(W2240,W$256:W2239,0)),1,0))</f>
        <v/>
      </c>
      <c r="AA2240">
        <f>IF(Z2240&gt;Z2239,Z2240,"")</f>
        <v/>
      </c>
      <c r="AB2240">
        <f>AB2239+IF(X2240="",0,IF(ISNA(MATCH(X2240,X$256:X2239,0)),1,0))</f>
        <v/>
      </c>
      <c r="AC2240">
        <f>IF(AB2240&gt;AB2239,AB2240,"")</f>
        <v/>
      </c>
    </row>
    <row r="2241">
      <c r="W2241" s="7" t="n"/>
      <c r="X2241" s="7" t="n"/>
      <c r="Z2241">
        <f>Z2240+IF(W2241="",0,IF(ISNA(MATCH(W2241,W$256:W2240,0)),1,0))</f>
        <v/>
      </c>
      <c r="AA2241">
        <f>IF(Z2241&gt;Z2240,Z2241,"")</f>
        <v/>
      </c>
      <c r="AB2241">
        <f>AB2240+IF(X2241="",0,IF(ISNA(MATCH(X2241,X$256:X2240,0)),1,0))</f>
        <v/>
      </c>
      <c r="AC2241">
        <f>IF(AB2241&gt;AB2240,AB2241,"")</f>
        <v/>
      </c>
    </row>
    <row r="2242">
      <c r="W2242" s="7" t="n"/>
      <c r="X2242" s="7" t="n"/>
      <c r="Z2242">
        <f>Z2241+IF(W2242="",0,IF(ISNA(MATCH(W2242,W$256:W2241,0)),1,0))</f>
        <v/>
      </c>
      <c r="AA2242">
        <f>IF(Z2242&gt;Z2241,Z2242,"")</f>
        <v/>
      </c>
      <c r="AB2242">
        <f>AB2241+IF(X2242="",0,IF(ISNA(MATCH(X2242,X$256:X2241,0)),1,0))</f>
        <v/>
      </c>
      <c r="AC2242">
        <f>IF(AB2242&gt;AB2241,AB2242,"")</f>
        <v/>
      </c>
    </row>
    <row r="2243">
      <c r="W2243" s="7" t="n"/>
      <c r="X2243" s="7" t="n"/>
      <c r="Z2243">
        <f>Z2242+IF(W2243="",0,IF(ISNA(MATCH(W2243,W$256:W2242,0)),1,0))</f>
        <v/>
      </c>
      <c r="AA2243">
        <f>IF(Z2243&gt;Z2242,Z2243,"")</f>
        <v/>
      </c>
      <c r="AB2243">
        <f>AB2242+IF(X2243="",0,IF(ISNA(MATCH(X2243,X$256:X2242,0)),1,0))</f>
        <v/>
      </c>
      <c r="AC2243">
        <f>IF(AB2243&gt;AB2242,AB2243,"")</f>
        <v/>
      </c>
    </row>
    <row r="2244">
      <c r="W2244" s="7" t="n"/>
      <c r="X2244" s="7" t="n"/>
      <c r="Z2244">
        <f>Z2243+IF(W2244="",0,IF(ISNA(MATCH(W2244,W$256:W2243,0)),1,0))</f>
        <v/>
      </c>
      <c r="AA2244">
        <f>IF(Z2244&gt;Z2243,Z2244,"")</f>
        <v/>
      </c>
      <c r="AB2244">
        <f>AB2243+IF(X2244="",0,IF(ISNA(MATCH(X2244,X$256:X2243,0)),1,0))</f>
        <v/>
      </c>
      <c r="AC2244">
        <f>IF(AB2244&gt;AB2243,AB2244,"")</f>
        <v/>
      </c>
    </row>
    <row r="2245">
      <c r="W2245" s="7" t="n"/>
      <c r="X2245" s="7" t="n"/>
      <c r="Z2245">
        <f>Z2244+IF(W2245="",0,IF(ISNA(MATCH(W2245,W$256:W2244,0)),1,0))</f>
        <v/>
      </c>
      <c r="AA2245">
        <f>IF(Z2245&gt;Z2244,Z2245,"")</f>
        <v/>
      </c>
      <c r="AB2245">
        <f>AB2244+IF(X2245="",0,IF(ISNA(MATCH(X2245,X$256:X2244,0)),1,0))</f>
        <v/>
      </c>
      <c r="AC2245">
        <f>IF(AB2245&gt;AB2244,AB2245,"")</f>
        <v/>
      </c>
    </row>
    <row r="2246">
      <c r="W2246" s="7" t="n"/>
      <c r="X2246" s="7" t="n"/>
      <c r="Z2246">
        <f>Z2245+IF(W2246="",0,IF(ISNA(MATCH(W2246,W$256:W2245,0)),1,0))</f>
        <v/>
      </c>
      <c r="AA2246">
        <f>IF(Z2246&gt;Z2245,Z2246,"")</f>
        <v/>
      </c>
      <c r="AB2246">
        <f>AB2245+IF(X2246="",0,IF(ISNA(MATCH(X2246,X$256:X2245,0)),1,0))</f>
        <v/>
      </c>
      <c r="AC2246">
        <f>IF(AB2246&gt;AB2245,AB2246,"")</f>
        <v/>
      </c>
    </row>
    <row r="2247">
      <c r="W2247" s="7" t="n"/>
      <c r="X2247" s="7" t="n"/>
      <c r="Z2247">
        <f>Z2246+IF(W2247="",0,IF(ISNA(MATCH(W2247,W$256:W2246,0)),1,0))</f>
        <v/>
      </c>
      <c r="AA2247">
        <f>IF(Z2247&gt;Z2246,Z2247,"")</f>
        <v/>
      </c>
      <c r="AB2247">
        <f>AB2246+IF(X2247="",0,IF(ISNA(MATCH(X2247,X$256:X2246,0)),1,0))</f>
        <v/>
      </c>
      <c r="AC2247">
        <f>IF(AB2247&gt;AB2246,AB2247,"")</f>
        <v/>
      </c>
    </row>
    <row r="2248">
      <c r="W2248" s="7" t="n"/>
      <c r="X2248" s="7" t="n"/>
      <c r="Z2248">
        <f>Z2247+IF(W2248="",0,IF(ISNA(MATCH(W2248,W$256:W2247,0)),1,0))</f>
        <v/>
      </c>
      <c r="AA2248">
        <f>IF(Z2248&gt;Z2247,Z2248,"")</f>
        <v/>
      </c>
      <c r="AB2248">
        <f>AB2247+IF(X2248="",0,IF(ISNA(MATCH(X2248,X$256:X2247,0)),1,0))</f>
        <v/>
      </c>
      <c r="AC2248">
        <f>IF(AB2248&gt;AB2247,AB2248,"")</f>
        <v/>
      </c>
    </row>
    <row r="2249">
      <c r="W2249" s="7" t="n"/>
      <c r="X2249" s="7" t="n"/>
      <c r="Z2249">
        <f>Z2248+IF(W2249="",0,IF(ISNA(MATCH(W2249,W$256:W2248,0)),1,0))</f>
        <v/>
      </c>
      <c r="AA2249">
        <f>IF(Z2249&gt;Z2248,Z2249,"")</f>
        <v/>
      </c>
      <c r="AB2249">
        <f>AB2248+IF(X2249="",0,IF(ISNA(MATCH(X2249,X$256:X2248,0)),1,0))</f>
        <v/>
      </c>
      <c r="AC2249">
        <f>IF(AB2249&gt;AB2248,AB2249,"")</f>
        <v/>
      </c>
    </row>
    <row r="2250">
      <c r="W2250" s="7" t="n"/>
      <c r="X2250" s="7" t="n"/>
      <c r="Z2250">
        <f>Z2249+IF(W2250="",0,IF(ISNA(MATCH(W2250,W$256:W2249,0)),1,0))</f>
        <v/>
      </c>
      <c r="AA2250">
        <f>IF(Z2250&gt;Z2249,Z2250,"")</f>
        <v/>
      </c>
      <c r="AB2250">
        <f>AB2249+IF(X2250="",0,IF(ISNA(MATCH(X2250,X$256:X2249,0)),1,0))</f>
        <v/>
      </c>
      <c r="AC2250">
        <f>IF(AB2250&gt;AB2249,AB2250,"")</f>
        <v/>
      </c>
    </row>
    <row r="2251">
      <c r="W2251" s="7" t="n"/>
      <c r="X2251" s="7" t="n"/>
      <c r="Z2251">
        <f>Z2250+IF(W2251="",0,IF(ISNA(MATCH(W2251,W$256:W2250,0)),1,0))</f>
        <v/>
      </c>
      <c r="AA2251">
        <f>IF(Z2251&gt;Z2250,Z2251,"")</f>
        <v/>
      </c>
      <c r="AB2251">
        <f>AB2250+IF(X2251="",0,IF(ISNA(MATCH(X2251,X$256:X2250,0)),1,0))</f>
        <v/>
      </c>
      <c r="AC2251">
        <f>IF(AB2251&gt;AB2250,AB2251,"")</f>
        <v/>
      </c>
    </row>
    <row r="2252">
      <c r="W2252" s="7" t="n"/>
      <c r="X2252" s="7" t="n"/>
      <c r="Z2252">
        <f>Z2251+IF(W2252="",0,IF(ISNA(MATCH(W2252,W$256:W2251,0)),1,0))</f>
        <v/>
      </c>
      <c r="AA2252">
        <f>IF(Z2252&gt;Z2251,Z2252,"")</f>
        <v/>
      </c>
      <c r="AB2252">
        <f>AB2251+IF(X2252="",0,IF(ISNA(MATCH(X2252,X$256:X2251,0)),1,0))</f>
        <v/>
      </c>
      <c r="AC2252">
        <f>IF(AB2252&gt;AB2251,AB2252,"")</f>
        <v/>
      </c>
    </row>
    <row r="2253">
      <c r="W2253" s="7" t="n"/>
      <c r="X2253" s="7" t="n"/>
      <c r="Z2253">
        <f>Z2252+IF(W2253="",0,IF(ISNA(MATCH(W2253,W$256:W2252,0)),1,0))</f>
        <v/>
      </c>
      <c r="AA2253">
        <f>IF(Z2253&gt;Z2252,Z2253,"")</f>
        <v/>
      </c>
      <c r="AB2253">
        <f>AB2252+IF(X2253="",0,IF(ISNA(MATCH(X2253,X$256:X2252,0)),1,0))</f>
        <v/>
      </c>
      <c r="AC2253">
        <f>IF(AB2253&gt;AB2252,AB2253,"")</f>
        <v/>
      </c>
    </row>
    <row r="2254">
      <c r="W2254" s="7" t="n"/>
      <c r="X2254" s="7" t="n"/>
      <c r="Z2254">
        <f>Z2253+IF(W2254="",0,IF(ISNA(MATCH(W2254,W$256:W2253,0)),1,0))</f>
        <v/>
      </c>
      <c r="AA2254">
        <f>IF(Z2254&gt;Z2253,Z2254,"")</f>
        <v/>
      </c>
      <c r="AB2254">
        <f>AB2253+IF(X2254="",0,IF(ISNA(MATCH(X2254,X$256:X2253,0)),1,0))</f>
        <v/>
      </c>
      <c r="AC2254">
        <f>IF(AB2254&gt;AB2253,AB2254,"")</f>
        <v/>
      </c>
    </row>
    <row r="2255">
      <c r="W2255" s="7" t="n"/>
      <c r="X2255" s="7" t="n"/>
      <c r="Z2255">
        <f>Z2254+IF(W2255="",0,IF(ISNA(MATCH(W2255,W$256:W2254,0)),1,0))</f>
        <v/>
      </c>
      <c r="AA2255">
        <f>IF(Z2255&gt;Z2254,Z2255,"")</f>
        <v/>
      </c>
      <c r="AB2255">
        <f>AB2254+IF(X2255="",0,IF(ISNA(MATCH(X2255,X$256:X2254,0)),1,0))</f>
        <v/>
      </c>
      <c r="AC2255">
        <f>IF(AB2255&gt;AB2254,AB2255,"")</f>
        <v/>
      </c>
    </row>
    <row r="2256">
      <c r="W2256" s="7" t="n"/>
      <c r="X2256" s="7" t="n"/>
      <c r="Z2256">
        <f>Z2255+IF(W2256="",0,IF(ISNA(MATCH(W2256,W$256:W2255,0)),1,0))</f>
        <v/>
      </c>
      <c r="AA2256">
        <f>IF(Z2256&gt;Z2255,Z2256,"")</f>
        <v/>
      </c>
      <c r="AB2256">
        <f>AB2255+IF(X2256="",0,IF(ISNA(MATCH(X2256,X$256:X2255,0)),1,0))</f>
        <v/>
      </c>
      <c r="AC2256">
        <f>IF(AB2256&gt;AB2255,AB2256,"")</f>
        <v/>
      </c>
    </row>
    <row r="2257">
      <c r="W2257" s="7" t="n"/>
      <c r="X2257" s="7" t="n"/>
      <c r="Z2257">
        <f>Z2256+IF(W2257="",0,IF(ISNA(MATCH(W2257,W$256:W2256,0)),1,0))</f>
        <v/>
      </c>
      <c r="AA2257">
        <f>IF(Z2257&gt;Z2256,Z2257,"")</f>
        <v/>
      </c>
      <c r="AB2257">
        <f>AB2256+IF(X2257="",0,IF(ISNA(MATCH(X2257,X$256:X2256,0)),1,0))</f>
        <v/>
      </c>
      <c r="AC2257">
        <f>IF(AB2257&gt;AB2256,AB2257,"")</f>
        <v/>
      </c>
    </row>
    <row r="2258">
      <c r="W2258" s="7" t="n"/>
      <c r="X2258" s="7" t="n"/>
      <c r="Z2258">
        <f>Z2257+IF(W2258="",0,IF(ISNA(MATCH(W2258,W$256:W2257,0)),1,0))</f>
        <v/>
      </c>
      <c r="AA2258">
        <f>IF(Z2258&gt;Z2257,Z2258,"")</f>
        <v/>
      </c>
      <c r="AB2258">
        <f>AB2257+IF(X2258="",0,IF(ISNA(MATCH(X2258,X$256:X2257,0)),1,0))</f>
        <v/>
      </c>
      <c r="AC2258">
        <f>IF(AB2258&gt;AB2257,AB2258,"")</f>
        <v/>
      </c>
    </row>
    <row r="2259">
      <c r="W2259" s="7" t="n"/>
      <c r="X2259" s="7" t="n"/>
      <c r="Z2259">
        <f>Z2258+IF(W2259="",0,IF(ISNA(MATCH(W2259,W$256:W2258,0)),1,0))</f>
        <v/>
      </c>
      <c r="AA2259">
        <f>IF(Z2259&gt;Z2258,Z2259,"")</f>
        <v/>
      </c>
      <c r="AB2259">
        <f>AB2258+IF(X2259="",0,IF(ISNA(MATCH(X2259,X$256:X2258,0)),1,0))</f>
        <v/>
      </c>
      <c r="AC2259">
        <f>IF(AB2259&gt;AB2258,AB2259,"")</f>
        <v/>
      </c>
    </row>
    <row r="2260">
      <c r="W2260" s="7" t="n"/>
      <c r="X2260" s="7" t="n"/>
      <c r="Z2260">
        <f>Z2259+IF(W2260="",0,IF(ISNA(MATCH(W2260,W$256:W2259,0)),1,0))</f>
        <v/>
      </c>
      <c r="AA2260">
        <f>IF(Z2260&gt;Z2259,Z2260,"")</f>
        <v/>
      </c>
      <c r="AB2260">
        <f>AB2259+IF(X2260="",0,IF(ISNA(MATCH(X2260,X$256:X2259,0)),1,0))</f>
        <v/>
      </c>
      <c r="AC2260">
        <f>IF(AB2260&gt;AB2259,AB2260,"")</f>
        <v/>
      </c>
    </row>
    <row r="2261">
      <c r="W2261" s="7" t="n"/>
      <c r="X2261" s="7" t="n"/>
      <c r="Z2261">
        <f>Z2260+IF(W2261="",0,IF(ISNA(MATCH(W2261,W$256:W2260,0)),1,0))</f>
        <v/>
      </c>
      <c r="AA2261">
        <f>IF(Z2261&gt;Z2260,Z2261,"")</f>
        <v/>
      </c>
      <c r="AB2261">
        <f>AB2260+IF(X2261="",0,IF(ISNA(MATCH(X2261,X$256:X2260,0)),1,0))</f>
        <v/>
      </c>
      <c r="AC2261">
        <f>IF(AB2261&gt;AB2260,AB2261,"")</f>
        <v/>
      </c>
    </row>
    <row r="2262">
      <c r="W2262" s="7" t="n"/>
      <c r="X2262" s="7" t="n"/>
      <c r="Z2262">
        <f>Z2261+IF(W2262="",0,IF(ISNA(MATCH(W2262,W$256:W2261,0)),1,0))</f>
        <v/>
      </c>
      <c r="AA2262">
        <f>IF(Z2262&gt;Z2261,Z2262,"")</f>
        <v/>
      </c>
      <c r="AB2262">
        <f>AB2261+IF(X2262="",0,IF(ISNA(MATCH(X2262,X$256:X2261,0)),1,0))</f>
        <v/>
      </c>
      <c r="AC2262">
        <f>IF(AB2262&gt;AB2261,AB2262,"")</f>
        <v/>
      </c>
    </row>
    <row r="2263">
      <c r="W2263" s="7" t="n"/>
      <c r="X2263" s="7" t="n"/>
      <c r="Z2263">
        <f>Z2262+IF(W2263="",0,IF(ISNA(MATCH(W2263,W$256:W2262,0)),1,0))</f>
        <v/>
      </c>
      <c r="AA2263">
        <f>IF(Z2263&gt;Z2262,Z2263,"")</f>
        <v/>
      </c>
      <c r="AB2263">
        <f>AB2262+IF(X2263="",0,IF(ISNA(MATCH(X2263,X$256:X2262,0)),1,0))</f>
        <v/>
      </c>
      <c r="AC2263">
        <f>IF(AB2263&gt;AB2262,AB2263,"")</f>
        <v/>
      </c>
    </row>
    <row r="2264">
      <c r="W2264" s="7" t="n"/>
      <c r="X2264" s="7" t="n"/>
      <c r="Z2264">
        <f>Z2263+IF(W2264="",0,IF(ISNA(MATCH(W2264,W$256:W2263,0)),1,0))</f>
        <v/>
      </c>
      <c r="AA2264">
        <f>IF(Z2264&gt;Z2263,Z2264,"")</f>
        <v/>
      </c>
      <c r="AB2264">
        <f>AB2263+IF(X2264="",0,IF(ISNA(MATCH(X2264,X$256:X2263,0)),1,0))</f>
        <v/>
      </c>
      <c r="AC2264">
        <f>IF(AB2264&gt;AB2263,AB2264,"")</f>
        <v/>
      </c>
    </row>
    <row r="2265">
      <c r="W2265" s="7" t="n"/>
      <c r="X2265" s="7" t="n"/>
      <c r="Z2265">
        <f>Z2264+IF(W2265="",0,IF(ISNA(MATCH(W2265,W$256:W2264,0)),1,0))</f>
        <v/>
      </c>
      <c r="AA2265">
        <f>IF(Z2265&gt;Z2264,Z2265,"")</f>
        <v/>
      </c>
      <c r="AB2265">
        <f>AB2264+IF(X2265="",0,IF(ISNA(MATCH(X2265,X$256:X2264,0)),1,0))</f>
        <v/>
      </c>
      <c r="AC2265">
        <f>IF(AB2265&gt;AB2264,AB2265,"")</f>
        <v/>
      </c>
    </row>
    <row r="2266">
      <c r="W2266" s="7" t="n"/>
      <c r="X2266" s="7" t="n"/>
      <c r="Z2266">
        <f>Z2265+IF(W2266="",0,IF(ISNA(MATCH(W2266,W$256:W2265,0)),1,0))</f>
        <v/>
      </c>
      <c r="AA2266">
        <f>IF(Z2266&gt;Z2265,Z2266,"")</f>
        <v/>
      </c>
      <c r="AB2266">
        <f>AB2265+IF(X2266="",0,IF(ISNA(MATCH(X2266,X$256:X2265,0)),1,0))</f>
        <v/>
      </c>
      <c r="AC2266">
        <f>IF(AB2266&gt;AB2265,AB2266,"")</f>
        <v/>
      </c>
    </row>
    <row r="2267">
      <c r="W2267" s="7" t="n"/>
      <c r="X2267" s="7" t="n"/>
      <c r="Z2267">
        <f>Z2266+IF(W2267="",0,IF(ISNA(MATCH(W2267,W$256:W2266,0)),1,0))</f>
        <v/>
      </c>
      <c r="AA2267">
        <f>IF(Z2267&gt;Z2266,Z2267,"")</f>
        <v/>
      </c>
      <c r="AB2267">
        <f>AB2266+IF(X2267="",0,IF(ISNA(MATCH(X2267,X$256:X2266,0)),1,0))</f>
        <v/>
      </c>
      <c r="AC2267">
        <f>IF(AB2267&gt;AB2266,AB2267,"")</f>
        <v/>
      </c>
    </row>
    <row r="2268">
      <c r="W2268" s="7" t="n"/>
      <c r="X2268" s="7" t="n"/>
      <c r="Z2268">
        <f>Z2267+IF(W2268="",0,IF(ISNA(MATCH(W2268,W$256:W2267,0)),1,0))</f>
        <v/>
      </c>
      <c r="AA2268">
        <f>IF(Z2268&gt;Z2267,Z2268,"")</f>
        <v/>
      </c>
      <c r="AB2268">
        <f>AB2267+IF(X2268="",0,IF(ISNA(MATCH(X2268,X$256:X2267,0)),1,0))</f>
        <v/>
      </c>
      <c r="AC2268">
        <f>IF(AB2268&gt;AB2267,AB2268,"")</f>
        <v/>
      </c>
    </row>
    <row r="2269">
      <c r="W2269" s="7" t="n"/>
      <c r="X2269" s="7" t="n"/>
      <c r="Z2269">
        <f>Z2268+IF(W2269="",0,IF(ISNA(MATCH(W2269,W$256:W2268,0)),1,0))</f>
        <v/>
      </c>
      <c r="AA2269">
        <f>IF(Z2269&gt;Z2268,Z2269,"")</f>
        <v/>
      </c>
      <c r="AB2269">
        <f>AB2268+IF(X2269="",0,IF(ISNA(MATCH(X2269,X$256:X2268,0)),1,0))</f>
        <v/>
      </c>
      <c r="AC2269">
        <f>IF(AB2269&gt;AB2268,AB2269,"")</f>
        <v/>
      </c>
    </row>
    <row r="2270">
      <c r="W2270" s="7" t="n"/>
      <c r="X2270" s="7" t="n"/>
      <c r="Z2270">
        <f>Z2269+IF(W2270="",0,IF(ISNA(MATCH(W2270,W$256:W2269,0)),1,0))</f>
        <v/>
      </c>
      <c r="AA2270">
        <f>IF(Z2270&gt;Z2269,Z2270,"")</f>
        <v/>
      </c>
      <c r="AB2270">
        <f>AB2269+IF(X2270="",0,IF(ISNA(MATCH(X2270,X$256:X2269,0)),1,0))</f>
        <v/>
      </c>
      <c r="AC2270">
        <f>IF(AB2270&gt;AB2269,AB2270,"")</f>
        <v/>
      </c>
    </row>
    <row r="2271">
      <c r="W2271" s="7" t="n"/>
      <c r="X2271" s="7" t="n"/>
      <c r="Z2271">
        <f>Z2270+IF(W2271="",0,IF(ISNA(MATCH(W2271,W$256:W2270,0)),1,0))</f>
        <v/>
      </c>
      <c r="AA2271">
        <f>IF(Z2271&gt;Z2270,Z2271,"")</f>
        <v/>
      </c>
      <c r="AB2271">
        <f>AB2270+IF(X2271="",0,IF(ISNA(MATCH(X2271,X$256:X2270,0)),1,0))</f>
        <v/>
      </c>
      <c r="AC2271">
        <f>IF(AB2271&gt;AB2270,AB2271,"")</f>
        <v/>
      </c>
    </row>
    <row r="2272">
      <c r="W2272" s="7" t="n"/>
      <c r="X2272" s="7" t="n"/>
      <c r="Z2272">
        <f>Z2271+IF(W2272="",0,IF(ISNA(MATCH(W2272,W$256:W2271,0)),1,0))</f>
        <v/>
      </c>
      <c r="AA2272">
        <f>IF(Z2272&gt;Z2271,Z2272,"")</f>
        <v/>
      </c>
      <c r="AB2272">
        <f>AB2271+IF(X2272="",0,IF(ISNA(MATCH(X2272,X$256:X2271,0)),1,0))</f>
        <v/>
      </c>
      <c r="AC2272">
        <f>IF(AB2272&gt;AB2271,AB2272,"")</f>
        <v/>
      </c>
    </row>
    <row r="2273">
      <c r="W2273" s="7" t="n"/>
      <c r="X2273" s="7" t="n"/>
      <c r="Z2273">
        <f>Z2272+IF(W2273="",0,IF(ISNA(MATCH(W2273,W$256:W2272,0)),1,0))</f>
        <v/>
      </c>
      <c r="AA2273">
        <f>IF(Z2273&gt;Z2272,Z2273,"")</f>
        <v/>
      </c>
      <c r="AB2273">
        <f>AB2272+IF(X2273="",0,IF(ISNA(MATCH(X2273,X$256:X2272,0)),1,0))</f>
        <v/>
      </c>
      <c r="AC2273">
        <f>IF(AB2273&gt;AB2272,AB2273,"")</f>
        <v/>
      </c>
    </row>
    <row r="2274">
      <c r="W2274" s="7" t="n"/>
      <c r="X2274" s="7" t="n"/>
      <c r="Z2274">
        <f>Z2273+IF(W2274="",0,IF(ISNA(MATCH(W2274,W$256:W2273,0)),1,0))</f>
        <v/>
      </c>
      <c r="AA2274">
        <f>IF(Z2274&gt;Z2273,Z2274,"")</f>
        <v/>
      </c>
      <c r="AB2274">
        <f>AB2273+IF(X2274="",0,IF(ISNA(MATCH(X2274,X$256:X2273,0)),1,0))</f>
        <v/>
      </c>
      <c r="AC2274">
        <f>IF(AB2274&gt;AB2273,AB2274,"")</f>
        <v/>
      </c>
    </row>
    <row r="2275">
      <c r="W2275" s="7" t="n"/>
      <c r="X2275" s="7" t="n"/>
      <c r="Z2275">
        <f>Z2274+IF(W2275="",0,IF(ISNA(MATCH(W2275,W$256:W2274,0)),1,0))</f>
        <v/>
      </c>
      <c r="AA2275">
        <f>IF(Z2275&gt;Z2274,Z2275,"")</f>
        <v/>
      </c>
      <c r="AB2275">
        <f>AB2274+IF(X2275="",0,IF(ISNA(MATCH(X2275,X$256:X2274,0)),1,0))</f>
        <v/>
      </c>
      <c r="AC2275">
        <f>IF(AB2275&gt;AB2274,AB2275,"")</f>
        <v/>
      </c>
    </row>
    <row r="2276">
      <c r="W2276" s="7" t="n"/>
      <c r="X2276" s="7" t="n"/>
      <c r="Z2276">
        <f>Z2275+IF(W2276="",0,IF(ISNA(MATCH(W2276,W$256:W2275,0)),1,0))</f>
        <v/>
      </c>
      <c r="AA2276">
        <f>IF(Z2276&gt;Z2275,Z2276,"")</f>
        <v/>
      </c>
      <c r="AB2276">
        <f>AB2275+IF(X2276="",0,IF(ISNA(MATCH(X2276,X$256:X2275,0)),1,0))</f>
        <v/>
      </c>
      <c r="AC2276">
        <f>IF(AB2276&gt;AB2275,AB2276,"")</f>
        <v/>
      </c>
    </row>
    <row r="2277">
      <c r="W2277" s="7" t="n"/>
      <c r="X2277" s="7" t="n"/>
      <c r="Z2277">
        <f>Z2276+IF(W2277="",0,IF(ISNA(MATCH(W2277,W$256:W2276,0)),1,0))</f>
        <v/>
      </c>
      <c r="AA2277">
        <f>IF(Z2277&gt;Z2276,Z2277,"")</f>
        <v/>
      </c>
      <c r="AB2277">
        <f>AB2276+IF(X2277="",0,IF(ISNA(MATCH(X2277,X$256:X2276,0)),1,0))</f>
        <v/>
      </c>
      <c r="AC2277">
        <f>IF(AB2277&gt;AB2276,AB2277,"")</f>
        <v/>
      </c>
    </row>
    <row r="2278">
      <c r="W2278" s="7" t="n"/>
      <c r="X2278" s="7" t="n"/>
      <c r="Z2278">
        <f>Z2277+IF(W2278="",0,IF(ISNA(MATCH(W2278,W$256:W2277,0)),1,0))</f>
        <v/>
      </c>
      <c r="AA2278">
        <f>IF(Z2278&gt;Z2277,Z2278,"")</f>
        <v/>
      </c>
      <c r="AB2278">
        <f>AB2277+IF(X2278="",0,IF(ISNA(MATCH(X2278,X$256:X2277,0)),1,0))</f>
        <v/>
      </c>
      <c r="AC2278">
        <f>IF(AB2278&gt;AB2277,AB2278,"")</f>
        <v/>
      </c>
    </row>
    <row r="2279">
      <c r="W2279" s="7" t="n"/>
      <c r="X2279" s="7" t="n"/>
      <c r="Z2279">
        <f>Z2278+IF(W2279="",0,IF(ISNA(MATCH(W2279,W$256:W2278,0)),1,0))</f>
        <v/>
      </c>
      <c r="AA2279">
        <f>IF(Z2279&gt;Z2278,Z2279,"")</f>
        <v/>
      </c>
      <c r="AB2279">
        <f>AB2278+IF(X2279="",0,IF(ISNA(MATCH(X2279,X$256:X2278,0)),1,0))</f>
        <v/>
      </c>
      <c r="AC2279">
        <f>IF(AB2279&gt;AB2278,AB2279,"")</f>
        <v/>
      </c>
    </row>
    <row r="2280">
      <c r="W2280" s="7" t="n"/>
      <c r="X2280" s="7" t="n"/>
      <c r="Z2280">
        <f>Z2279+IF(W2280="",0,IF(ISNA(MATCH(W2280,W$256:W2279,0)),1,0))</f>
        <v/>
      </c>
      <c r="AA2280">
        <f>IF(Z2280&gt;Z2279,Z2280,"")</f>
        <v/>
      </c>
      <c r="AB2280">
        <f>AB2279+IF(X2280="",0,IF(ISNA(MATCH(X2280,X$256:X2279,0)),1,0))</f>
        <v/>
      </c>
      <c r="AC2280">
        <f>IF(AB2280&gt;AB2279,AB2280,"")</f>
        <v/>
      </c>
    </row>
    <row r="2281">
      <c r="W2281" s="7" t="n"/>
      <c r="X2281" s="7" t="n"/>
      <c r="Z2281">
        <f>Z2280+IF(W2281="",0,IF(ISNA(MATCH(W2281,W$256:W2280,0)),1,0))</f>
        <v/>
      </c>
      <c r="AA2281">
        <f>IF(Z2281&gt;Z2280,Z2281,"")</f>
        <v/>
      </c>
      <c r="AB2281">
        <f>AB2280+IF(X2281="",0,IF(ISNA(MATCH(X2281,X$256:X2280,0)),1,0))</f>
        <v/>
      </c>
      <c r="AC2281">
        <f>IF(AB2281&gt;AB2280,AB2281,"")</f>
        <v/>
      </c>
    </row>
    <row r="2282">
      <c r="W2282" s="7" t="n"/>
      <c r="X2282" s="7" t="n"/>
      <c r="Z2282">
        <f>Z2281+IF(W2282="",0,IF(ISNA(MATCH(W2282,W$256:W2281,0)),1,0))</f>
        <v/>
      </c>
      <c r="AA2282">
        <f>IF(Z2282&gt;Z2281,Z2282,"")</f>
        <v/>
      </c>
      <c r="AB2282">
        <f>AB2281+IF(X2282="",0,IF(ISNA(MATCH(X2282,X$256:X2281,0)),1,0))</f>
        <v/>
      </c>
      <c r="AC2282">
        <f>IF(AB2282&gt;AB2281,AB2282,"")</f>
        <v/>
      </c>
    </row>
    <row r="2283">
      <c r="W2283" s="7" t="n"/>
      <c r="X2283" s="7" t="n"/>
      <c r="Z2283">
        <f>Z2282+IF(W2283="",0,IF(ISNA(MATCH(W2283,W$256:W2282,0)),1,0))</f>
        <v/>
      </c>
      <c r="AA2283">
        <f>IF(Z2283&gt;Z2282,Z2283,"")</f>
        <v/>
      </c>
      <c r="AB2283">
        <f>AB2282+IF(X2283="",0,IF(ISNA(MATCH(X2283,X$256:X2282,0)),1,0))</f>
        <v/>
      </c>
      <c r="AC2283">
        <f>IF(AB2283&gt;AB2282,AB2283,"")</f>
        <v/>
      </c>
    </row>
    <row r="2284">
      <c r="W2284" s="7" t="n"/>
      <c r="X2284" s="7" t="n"/>
      <c r="Z2284">
        <f>Z2283+IF(W2284="",0,IF(ISNA(MATCH(W2284,W$256:W2283,0)),1,0))</f>
        <v/>
      </c>
      <c r="AA2284">
        <f>IF(Z2284&gt;Z2283,Z2284,"")</f>
        <v/>
      </c>
      <c r="AB2284">
        <f>AB2283+IF(X2284="",0,IF(ISNA(MATCH(X2284,X$256:X2283,0)),1,0))</f>
        <v/>
      </c>
      <c r="AC2284">
        <f>IF(AB2284&gt;AB2283,AB2284,"")</f>
        <v/>
      </c>
    </row>
    <row r="2285">
      <c r="W2285" s="7" t="n"/>
      <c r="X2285" s="7" t="n"/>
      <c r="Z2285">
        <f>Z2284+IF(W2285="",0,IF(ISNA(MATCH(W2285,W$256:W2284,0)),1,0))</f>
        <v/>
      </c>
      <c r="AA2285">
        <f>IF(Z2285&gt;Z2284,Z2285,"")</f>
        <v/>
      </c>
      <c r="AB2285">
        <f>AB2284+IF(X2285="",0,IF(ISNA(MATCH(X2285,X$256:X2284,0)),1,0))</f>
        <v/>
      </c>
      <c r="AC2285">
        <f>IF(AB2285&gt;AB2284,AB2285,"")</f>
        <v/>
      </c>
    </row>
    <row r="2286">
      <c r="W2286" s="7" t="n"/>
      <c r="X2286" s="7" t="n"/>
      <c r="Z2286">
        <f>Z2285+IF(W2286="",0,IF(ISNA(MATCH(W2286,W$256:W2285,0)),1,0))</f>
        <v/>
      </c>
      <c r="AA2286">
        <f>IF(Z2286&gt;Z2285,Z2286,"")</f>
        <v/>
      </c>
      <c r="AB2286">
        <f>AB2285+IF(X2286="",0,IF(ISNA(MATCH(X2286,X$256:X2285,0)),1,0))</f>
        <v/>
      </c>
      <c r="AC2286">
        <f>IF(AB2286&gt;AB2285,AB2286,"")</f>
        <v/>
      </c>
    </row>
    <row r="2287">
      <c r="W2287" s="7" t="n"/>
      <c r="X2287" s="7" t="n"/>
      <c r="Z2287">
        <f>Z2286+IF(W2287="",0,IF(ISNA(MATCH(W2287,W$256:W2286,0)),1,0))</f>
        <v/>
      </c>
      <c r="AA2287">
        <f>IF(Z2287&gt;Z2286,Z2287,"")</f>
        <v/>
      </c>
      <c r="AB2287">
        <f>AB2286+IF(X2287="",0,IF(ISNA(MATCH(X2287,X$256:X2286,0)),1,0))</f>
        <v/>
      </c>
      <c r="AC2287">
        <f>IF(AB2287&gt;AB2286,AB2287,"")</f>
        <v/>
      </c>
    </row>
    <row r="2288">
      <c r="W2288" s="7" t="n"/>
      <c r="X2288" s="7" t="n"/>
      <c r="Z2288">
        <f>Z2287+IF(W2288="",0,IF(ISNA(MATCH(W2288,W$256:W2287,0)),1,0))</f>
        <v/>
      </c>
      <c r="AA2288">
        <f>IF(Z2288&gt;Z2287,Z2288,"")</f>
        <v/>
      </c>
      <c r="AB2288">
        <f>AB2287+IF(X2288="",0,IF(ISNA(MATCH(X2288,X$256:X2287,0)),1,0))</f>
        <v/>
      </c>
      <c r="AC2288">
        <f>IF(AB2288&gt;AB2287,AB2288,"")</f>
        <v/>
      </c>
    </row>
    <row r="2289">
      <c r="W2289" s="7" t="n"/>
      <c r="X2289" s="7" t="n"/>
      <c r="Z2289">
        <f>Z2288+IF(W2289="",0,IF(ISNA(MATCH(W2289,W$256:W2288,0)),1,0))</f>
        <v/>
      </c>
      <c r="AA2289">
        <f>IF(Z2289&gt;Z2288,Z2289,"")</f>
        <v/>
      </c>
      <c r="AB2289">
        <f>AB2288+IF(X2289="",0,IF(ISNA(MATCH(X2289,X$256:X2288,0)),1,0))</f>
        <v/>
      </c>
      <c r="AC2289">
        <f>IF(AB2289&gt;AB2288,AB2289,"")</f>
        <v/>
      </c>
    </row>
    <row r="2290">
      <c r="W2290" s="7" t="n"/>
      <c r="X2290" s="7" t="n"/>
      <c r="Z2290">
        <f>Z2289+IF(W2290="",0,IF(ISNA(MATCH(W2290,W$256:W2289,0)),1,0))</f>
        <v/>
      </c>
      <c r="AA2290">
        <f>IF(Z2290&gt;Z2289,Z2290,"")</f>
        <v/>
      </c>
      <c r="AB2290">
        <f>AB2289+IF(X2290="",0,IF(ISNA(MATCH(X2290,X$256:X2289,0)),1,0))</f>
        <v/>
      </c>
      <c r="AC2290">
        <f>IF(AB2290&gt;AB2289,AB2290,"")</f>
        <v/>
      </c>
    </row>
    <row r="2291">
      <c r="W2291" s="7" t="n"/>
      <c r="X2291" s="7" t="n"/>
      <c r="Z2291">
        <f>Z2290+IF(W2291="",0,IF(ISNA(MATCH(W2291,W$256:W2290,0)),1,0))</f>
        <v/>
      </c>
      <c r="AA2291">
        <f>IF(Z2291&gt;Z2290,Z2291,"")</f>
        <v/>
      </c>
      <c r="AB2291">
        <f>AB2290+IF(X2291="",0,IF(ISNA(MATCH(X2291,X$256:X2290,0)),1,0))</f>
        <v/>
      </c>
      <c r="AC2291">
        <f>IF(AB2291&gt;AB2290,AB2291,"")</f>
        <v/>
      </c>
    </row>
    <row r="2292">
      <c r="W2292" s="7" t="n"/>
      <c r="X2292" s="7" t="n"/>
      <c r="Z2292">
        <f>Z2291+IF(W2292="",0,IF(ISNA(MATCH(W2292,W$256:W2291,0)),1,0))</f>
        <v/>
      </c>
      <c r="AA2292">
        <f>IF(Z2292&gt;Z2291,Z2292,"")</f>
        <v/>
      </c>
      <c r="AB2292">
        <f>AB2291+IF(X2292="",0,IF(ISNA(MATCH(X2292,X$256:X2291,0)),1,0))</f>
        <v/>
      </c>
      <c r="AC2292">
        <f>IF(AB2292&gt;AB2291,AB2292,"")</f>
        <v/>
      </c>
    </row>
    <row r="2293">
      <c r="W2293" s="7" t="n"/>
      <c r="X2293" s="7" t="n"/>
      <c r="Z2293">
        <f>Z2292+IF(W2293="",0,IF(ISNA(MATCH(W2293,W$256:W2292,0)),1,0))</f>
        <v/>
      </c>
      <c r="AA2293">
        <f>IF(Z2293&gt;Z2292,Z2293,"")</f>
        <v/>
      </c>
      <c r="AB2293">
        <f>AB2292+IF(X2293="",0,IF(ISNA(MATCH(X2293,X$256:X2292,0)),1,0))</f>
        <v/>
      </c>
      <c r="AC2293">
        <f>IF(AB2293&gt;AB2292,AB2293,"")</f>
        <v/>
      </c>
    </row>
    <row r="2294">
      <c r="W2294" s="7" t="n"/>
      <c r="X2294" s="7" t="n"/>
      <c r="Z2294">
        <f>Z2293+IF(W2294="",0,IF(ISNA(MATCH(W2294,W$256:W2293,0)),1,0))</f>
        <v/>
      </c>
      <c r="AA2294">
        <f>IF(Z2294&gt;Z2293,Z2294,"")</f>
        <v/>
      </c>
      <c r="AB2294">
        <f>AB2293+IF(X2294="",0,IF(ISNA(MATCH(X2294,X$256:X2293,0)),1,0))</f>
        <v/>
      </c>
      <c r="AC2294">
        <f>IF(AB2294&gt;AB2293,AB2294,"")</f>
        <v/>
      </c>
    </row>
    <row r="2295">
      <c r="W2295" s="7" t="n"/>
      <c r="X2295" s="7" t="n"/>
      <c r="Z2295">
        <f>Z2294+IF(W2295="",0,IF(ISNA(MATCH(W2295,W$256:W2294,0)),1,0))</f>
        <v/>
      </c>
      <c r="AA2295">
        <f>IF(Z2295&gt;Z2294,Z2295,"")</f>
        <v/>
      </c>
      <c r="AB2295">
        <f>AB2294+IF(X2295="",0,IF(ISNA(MATCH(X2295,X$256:X2294,0)),1,0))</f>
        <v/>
      </c>
      <c r="AC2295">
        <f>IF(AB2295&gt;AB2294,AB2295,"")</f>
        <v/>
      </c>
    </row>
    <row r="2296">
      <c r="W2296" s="7" t="n"/>
      <c r="X2296" s="7" t="n"/>
      <c r="Z2296">
        <f>Z2295+IF(W2296="",0,IF(ISNA(MATCH(W2296,W$256:W2295,0)),1,0))</f>
        <v/>
      </c>
      <c r="AA2296">
        <f>IF(Z2296&gt;Z2295,Z2296,"")</f>
        <v/>
      </c>
      <c r="AB2296">
        <f>AB2295+IF(X2296="",0,IF(ISNA(MATCH(X2296,X$256:X2295,0)),1,0))</f>
        <v/>
      </c>
      <c r="AC2296">
        <f>IF(AB2296&gt;AB2295,AB2296,"")</f>
        <v/>
      </c>
    </row>
    <row r="2297">
      <c r="W2297" s="7" t="n"/>
      <c r="X2297" s="7" t="n"/>
      <c r="Z2297">
        <f>Z2296+IF(W2297="",0,IF(ISNA(MATCH(W2297,W$256:W2296,0)),1,0))</f>
        <v/>
      </c>
      <c r="AA2297">
        <f>IF(Z2297&gt;Z2296,Z2297,"")</f>
        <v/>
      </c>
      <c r="AB2297">
        <f>AB2296+IF(X2297="",0,IF(ISNA(MATCH(X2297,X$256:X2296,0)),1,0))</f>
        <v/>
      </c>
      <c r="AC2297">
        <f>IF(AB2297&gt;AB2296,AB2297,"")</f>
        <v/>
      </c>
    </row>
    <row r="2298">
      <c r="W2298" s="7" t="n"/>
      <c r="X2298" s="7" t="n"/>
      <c r="Z2298">
        <f>Z2297+IF(W2298="",0,IF(ISNA(MATCH(W2298,W$256:W2297,0)),1,0))</f>
        <v/>
      </c>
      <c r="AA2298">
        <f>IF(Z2298&gt;Z2297,Z2298,"")</f>
        <v/>
      </c>
      <c r="AB2298">
        <f>AB2297+IF(X2298="",0,IF(ISNA(MATCH(X2298,X$256:X2297,0)),1,0))</f>
        <v/>
      </c>
      <c r="AC2298">
        <f>IF(AB2298&gt;AB2297,AB2298,"")</f>
        <v/>
      </c>
    </row>
    <row r="2299">
      <c r="W2299" s="7" t="n"/>
      <c r="X2299" s="7" t="n"/>
      <c r="Z2299">
        <f>Z2298+IF(W2299="",0,IF(ISNA(MATCH(W2299,W$256:W2298,0)),1,0))</f>
        <v/>
      </c>
      <c r="AA2299">
        <f>IF(Z2299&gt;Z2298,Z2299,"")</f>
        <v/>
      </c>
      <c r="AB2299">
        <f>AB2298+IF(X2299="",0,IF(ISNA(MATCH(X2299,X$256:X2298,0)),1,0))</f>
        <v/>
      </c>
      <c r="AC2299">
        <f>IF(AB2299&gt;AB2298,AB2299,"")</f>
        <v/>
      </c>
    </row>
    <row r="2300">
      <c r="W2300" s="7" t="n"/>
      <c r="X2300" s="7" t="n"/>
      <c r="Z2300">
        <f>Z2299+IF(W2300="",0,IF(ISNA(MATCH(W2300,W$256:W2299,0)),1,0))</f>
        <v/>
      </c>
      <c r="AA2300">
        <f>IF(Z2300&gt;Z2299,Z2300,"")</f>
        <v/>
      </c>
      <c r="AB2300">
        <f>AB2299+IF(X2300="",0,IF(ISNA(MATCH(X2300,X$256:X2299,0)),1,0))</f>
        <v/>
      </c>
      <c r="AC2300">
        <f>IF(AB2300&gt;AB2299,AB2300,"")</f>
        <v/>
      </c>
    </row>
    <row r="2301">
      <c r="W2301" s="7" t="n"/>
      <c r="X2301" s="7" t="n"/>
      <c r="Z2301">
        <f>Z2300+IF(W2301="",0,IF(ISNA(MATCH(W2301,W$256:W2300,0)),1,0))</f>
        <v/>
      </c>
      <c r="AA2301">
        <f>IF(Z2301&gt;Z2300,Z2301,"")</f>
        <v/>
      </c>
      <c r="AB2301">
        <f>AB2300+IF(X2301="",0,IF(ISNA(MATCH(X2301,X$256:X2300,0)),1,0))</f>
        <v/>
      </c>
      <c r="AC2301">
        <f>IF(AB2301&gt;AB2300,AB2301,"")</f>
        <v/>
      </c>
    </row>
    <row r="2302">
      <c r="W2302" s="7" t="n"/>
      <c r="X2302" s="7" t="n"/>
      <c r="Z2302">
        <f>Z2301+IF(W2302="",0,IF(ISNA(MATCH(W2302,W$256:W2301,0)),1,0))</f>
        <v/>
      </c>
      <c r="AA2302">
        <f>IF(Z2302&gt;Z2301,Z2302,"")</f>
        <v/>
      </c>
      <c r="AB2302">
        <f>AB2301+IF(X2302="",0,IF(ISNA(MATCH(X2302,X$256:X2301,0)),1,0))</f>
        <v/>
      </c>
      <c r="AC2302">
        <f>IF(AB2302&gt;AB2301,AB2302,"")</f>
        <v/>
      </c>
    </row>
    <row r="2303">
      <c r="W2303" s="7" t="n"/>
      <c r="X2303" s="7" t="n"/>
      <c r="Z2303">
        <f>Z2302+IF(W2303="",0,IF(ISNA(MATCH(W2303,W$256:W2302,0)),1,0))</f>
        <v/>
      </c>
      <c r="AA2303">
        <f>IF(Z2303&gt;Z2302,Z2303,"")</f>
        <v/>
      </c>
      <c r="AB2303">
        <f>AB2302+IF(X2303="",0,IF(ISNA(MATCH(X2303,X$256:X2302,0)),1,0))</f>
        <v/>
      </c>
      <c r="AC2303">
        <f>IF(AB2303&gt;AB2302,AB2303,"")</f>
        <v/>
      </c>
    </row>
    <row r="2304">
      <c r="W2304" s="7" t="n"/>
      <c r="X2304" s="7" t="n"/>
      <c r="Z2304">
        <f>Z2303+IF(W2304="",0,IF(ISNA(MATCH(W2304,W$256:W2303,0)),1,0))</f>
        <v/>
      </c>
      <c r="AA2304">
        <f>IF(Z2304&gt;Z2303,Z2304,"")</f>
        <v/>
      </c>
      <c r="AB2304">
        <f>AB2303+IF(X2304="",0,IF(ISNA(MATCH(X2304,X$256:X2303,0)),1,0))</f>
        <v/>
      </c>
      <c r="AC2304">
        <f>IF(AB2304&gt;AB2303,AB2304,"")</f>
        <v/>
      </c>
    </row>
    <row r="2305">
      <c r="W2305" s="7" t="n"/>
      <c r="X2305" s="7" t="n"/>
      <c r="Z2305">
        <f>Z2304+IF(W2305="",0,IF(ISNA(MATCH(W2305,W$256:W2304,0)),1,0))</f>
        <v/>
      </c>
      <c r="AA2305">
        <f>IF(Z2305&gt;Z2304,Z2305,"")</f>
        <v/>
      </c>
      <c r="AB2305">
        <f>AB2304+IF(X2305="",0,IF(ISNA(MATCH(X2305,X$256:X2304,0)),1,0))</f>
        <v/>
      </c>
      <c r="AC2305">
        <f>IF(AB2305&gt;AB2304,AB2305,"")</f>
        <v/>
      </c>
    </row>
    <row r="2306">
      <c r="W2306" s="7" t="n"/>
      <c r="X2306" s="7" t="n"/>
      <c r="Z2306">
        <f>Z2305+IF(W2306="",0,IF(ISNA(MATCH(W2306,W$256:W2305,0)),1,0))</f>
        <v/>
      </c>
      <c r="AA2306">
        <f>IF(Z2306&gt;Z2305,Z2306,"")</f>
        <v/>
      </c>
      <c r="AB2306">
        <f>AB2305+IF(X2306="",0,IF(ISNA(MATCH(X2306,X$256:X2305,0)),1,0))</f>
        <v/>
      </c>
      <c r="AC2306">
        <f>IF(AB2306&gt;AB2305,AB2306,"")</f>
        <v/>
      </c>
    </row>
    <row r="2307">
      <c r="W2307" s="7" t="n"/>
      <c r="X2307" s="7" t="n"/>
      <c r="Z2307">
        <f>Z2306+IF(W2307="",0,IF(ISNA(MATCH(W2307,W$256:W2306,0)),1,0))</f>
        <v/>
      </c>
      <c r="AA2307">
        <f>IF(Z2307&gt;Z2306,Z2307,"")</f>
        <v/>
      </c>
      <c r="AB2307">
        <f>AB2306+IF(X2307="",0,IF(ISNA(MATCH(X2307,X$256:X2306,0)),1,0))</f>
        <v/>
      </c>
      <c r="AC2307">
        <f>IF(AB2307&gt;AB2306,AB2307,"")</f>
        <v/>
      </c>
    </row>
    <row r="2308">
      <c r="W2308" s="7" t="n"/>
      <c r="X2308" s="7" t="n"/>
      <c r="Z2308">
        <f>Z2307+IF(W2308="",0,IF(ISNA(MATCH(W2308,W$256:W2307,0)),1,0))</f>
        <v/>
      </c>
      <c r="AA2308">
        <f>IF(Z2308&gt;Z2307,Z2308,"")</f>
        <v/>
      </c>
      <c r="AB2308">
        <f>AB2307+IF(X2308="",0,IF(ISNA(MATCH(X2308,X$256:X2307,0)),1,0))</f>
        <v/>
      </c>
      <c r="AC2308">
        <f>IF(AB2308&gt;AB2307,AB2308,"")</f>
        <v/>
      </c>
    </row>
    <row r="2309">
      <c r="W2309" s="7" t="n"/>
      <c r="X2309" s="7" t="n"/>
      <c r="Z2309">
        <f>Z2308+IF(W2309="",0,IF(ISNA(MATCH(W2309,W$256:W2308,0)),1,0))</f>
        <v/>
      </c>
      <c r="AA2309">
        <f>IF(Z2309&gt;Z2308,Z2309,"")</f>
        <v/>
      </c>
      <c r="AB2309">
        <f>AB2308+IF(X2309="",0,IF(ISNA(MATCH(X2309,X$256:X2308,0)),1,0))</f>
        <v/>
      </c>
      <c r="AC2309">
        <f>IF(AB2309&gt;AB2308,AB2309,"")</f>
        <v/>
      </c>
    </row>
    <row r="2310">
      <c r="W2310" s="7" t="n"/>
      <c r="X2310" s="7" t="n"/>
      <c r="Z2310">
        <f>Z2309+IF(W2310="",0,IF(ISNA(MATCH(W2310,W$256:W2309,0)),1,0))</f>
        <v/>
      </c>
      <c r="AA2310">
        <f>IF(Z2310&gt;Z2309,Z2310,"")</f>
        <v/>
      </c>
      <c r="AB2310">
        <f>AB2309+IF(X2310="",0,IF(ISNA(MATCH(X2310,X$256:X2309,0)),1,0))</f>
        <v/>
      </c>
      <c r="AC2310">
        <f>IF(AB2310&gt;AB2309,AB2310,"")</f>
        <v/>
      </c>
    </row>
    <row r="2311">
      <c r="W2311" s="7" t="n"/>
      <c r="X2311" s="7" t="n"/>
      <c r="Z2311">
        <f>Z2310+IF(W2311="",0,IF(ISNA(MATCH(W2311,W$256:W2310,0)),1,0))</f>
        <v/>
      </c>
      <c r="AA2311">
        <f>IF(Z2311&gt;Z2310,Z2311,"")</f>
        <v/>
      </c>
      <c r="AB2311">
        <f>AB2310+IF(X2311="",0,IF(ISNA(MATCH(X2311,X$256:X2310,0)),1,0))</f>
        <v/>
      </c>
      <c r="AC2311">
        <f>IF(AB2311&gt;AB2310,AB2311,"")</f>
        <v/>
      </c>
    </row>
    <row r="2312">
      <c r="W2312" s="7" t="n"/>
      <c r="X2312" s="7" t="n"/>
      <c r="Z2312">
        <f>Z2311+IF(W2312="",0,IF(ISNA(MATCH(W2312,W$256:W2311,0)),1,0))</f>
        <v/>
      </c>
      <c r="AA2312">
        <f>IF(Z2312&gt;Z2311,Z2312,"")</f>
        <v/>
      </c>
      <c r="AB2312">
        <f>AB2311+IF(X2312="",0,IF(ISNA(MATCH(X2312,X$256:X2311,0)),1,0))</f>
        <v/>
      </c>
      <c r="AC2312">
        <f>IF(AB2312&gt;AB2311,AB2312,"")</f>
        <v/>
      </c>
    </row>
    <row r="2313">
      <c r="W2313" s="7" t="n"/>
      <c r="X2313" s="7" t="n"/>
      <c r="Z2313">
        <f>Z2312+IF(W2313="",0,IF(ISNA(MATCH(W2313,W$256:W2312,0)),1,0))</f>
        <v/>
      </c>
      <c r="AA2313">
        <f>IF(Z2313&gt;Z2312,Z2313,"")</f>
        <v/>
      </c>
      <c r="AB2313">
        <f>AB2312+IF(X2313="",0,IF(ISNA(MATCH(X2313,X$256:X2312,0)),1,0))</f>
        <v/>
      </c>
      <c r="AC2313">
        <f>IF(AB2313&gt;AB2312,AB2313,"")</f>
        <v/>
      </c>
    </row>
    <row r="2314">
      <c r="W2314" s="7" t="n"/>
      <c r="X2314" s="7" t="n"/>
      <c r="Z2314">
        <f>Z2313+IF(W2314="",0,IF(ISNA(MATCH(W2314,W$256:W2313,0)),1,0))</f>
        <v/>
      </c>
      <c r="AA2314">
        <f>IF(Z2314&gt;Z2313,Z2314,"")</f>
        <v/>
      </c>
      <c r="AB2314">
        <f>AB2313+IF(X2314="",0,IF(ISNA(MATCH(X2314,X$256:X2313,0)),1,0))</f>
        <v/>
      </c>
      <c r="AC2314">
        <f>IF(AB2314&gt;AB2313,AB2314,"")</f>
        <v/>
      </c>
    </row>
    <row r="2315">
      <c r="W2315" s="7" t="n"/>
      <c r="X2315" s="7" t="n"/>
      <c r="Z2315">
        <f>Z2314+IF(W2315="",0,IF(ISNA(MATCH(W2315,W$256:W2314,0)),1,0))</f>
        <v/>
      </c>
      <c r="AA2315">
        <f>IF(Z2315&gt;Z2314,Z2315,"")</f>
        <v/>
      </c>
      <c r="AB2315">
        <f>AB2314+IF(X2315="",0,IF(ISNA(MATCH(X2315,X$256:X2314,0)),1,0))</f>
        <v/>
      </c>
      <c r="AC2315">
        <f>IF(AB2315&gt;AB2314,AB2315,"")</f>
        <v/>
      </c>
    </row>
    <row r="2316">
      <c r="W2316" s="7" t="n"/>
      <c r="X2316" s="7" t="n"/>
      <c r="Z2316">
        <f>Z2315+IF(W2316="",0,IF(ISNA(MATCH(W2316,W$256:W2315,0)),1,0))</f>
        <v/>
      </c>
      <c r="AA2316">
        <f>IF(Z2316&gt;Z2315,Z2316,"")</f>
        <v/>
      </c>
      <c r="AB2316">
        <f>AB2315+IF(X2316="",0,IF(ISNA(MATCH(X2316,X$256:X2315,0)),1,0))</f>
        <v/>
      </c>
      <c r="AC2316">
        <f>IF(AB2316&gt;AB2315,AB2316,"")</f>
        <v/>
      </c>
    </row>
    <row r="2317">
      <c r="W2317" s="7" t="n"/>
      <c r="X2317" s="7" t="n"/>
      <c r="Z2317">
        <f>Z2316+IF(W2317="",0,IF(ISNA(MATCH(W2317,W$256:W2316,0)),1,0))</f>
        <v/>
      </c>
      <c r="AA2317">
        <f>IF(Z2317&gt;Z2316,Z2317,"")</f>
        <v/>
      </c>
      <c r="AB2317">
        <f>AB2316+IF(X2317="",0,IF(ISNA(MATCH(X2317,X$256:X2316,0)),1,0))</f>
        <v/>
      </c>
      <c r="AC2317">
        <f>IF(AB2317&gt;AB2316,AB2317,"")</f>
        <v/>
      </c>
    </row>
    <row r="2318">
      <c r="W2318" s="7" t="n"/>
      <c r="X2318" s="7" t="n"/>
      <c r="Z2318">
        <f>Z2317+IF(W2318="",0,IF(ISNA(MATCH(W2318,W$256:W2317,0)),1,0))</f>
        <v/>
      </c>
      <c r="AA2318">
        <f>IF(Z2318&gt;Z2317,Z2318,"")</f>
        <v/>
      </c>
      <c r="AB2318">
        <f>AB2317+IF(X2318="",0,IF(ISNA(MATCH(X2318,X$256:X2317,0)),1,0))</f>
        <v/>
      </c>
      <c r="AC2318">
        <f>IF(AB2318&gt;AB2317,AB2318,"")</f>
        <v/>
      </c>
    </row>
    <row r="2319">
      <c r="W2319" s="7" t="n"/>
      <c r="X2319" s="7" t="n"/>
      <c r="Z2319">
        <f>Z2318+IF(W2319="",0,IF(ISNA(MATCH(W2319,W$256:W2318,0)),1,0))</f>
        <v/>
      </c>
      <c r="AA2319">
        <f>IF(Z2319&gt;Z2318,Z2319,"")</f>
        <v/>
      </c>
      <c r="AB2319">
        <f>AB2318+IF(X2319="",0,IF(ISNA(MATCH(X2319,X$256:X2318,0)),1,0))</f>
        <v/>
      </c>
      <c r="AC2319">
        <f>IF(AB2319&gt;AB2318,AB2319,"")</f>
        <v/>
      </c>
    </row>
    <row r="2320">
      <c r="W2320" s="7" t="n"/>
      <c r="X2320" s="7" t="n"/>
      <c r="Z2320">
        <f>Z2319+IF(W2320="",0,IF(ISNA(MATCH(W2320,W$256:W2319,0)),1,0))</f>
        <v/>
      </c>
      <c r="AA2320">
        <f>IF(Z2320&gt;Z2319,Z2320,"")</f>
        <v/>
      </c>
      <c r="AB2320">
        <f>AB2319+IF(X2320="",0,IF(ISNA(MATCH(X2320,X$256:X2319,0)),1,0))</f>
        <v/>
      </c>
      <c r="AC2320">
        <f>IF(AB2320&gt;AB2319,AB2320,"")</f>
        <v/>
      </c>
    </row>
    <row r="2321">
      <c r="W2321" s="7" t="n"/>
      <c r="X2321" s="7" t="n"/>
      <c r="Z2321">
        <f>Z2320+IF(W2321="",0,IF(ISNA(MATCH(W2321,W$256:W2320,0)),1,0))</f>
        <v/>
      </c>
      <c r="AA2321">
        <f>IF(Z2321&gt;Z2320,Z2321,"")</f>
        <v/>
      </c>
      <c r="AB2321">
        <f>AB2320+IF(X2321="",0,IF(ISNA(MATCH(X2321,X$256:X2320,0)),1,0))</f>
        <v/>
      </c>
      <c r="AC2321">
        <f>IF(AB2321&gt;AB2320,AB2321,"")</f>
        <v/>
      </c>
    </row>
    <row r="2322">
      <c r="W2322" s="7" t="n"/>
      <c r="X2322" s="7" t="n"/>
      <c r="Z2322">
        <f>Z2321+IF(W2322="",0,IF(ISNA(MATCH(W2322,W$256:W2321,0)),1,0))</f>
        <v/>
      </c>
      <c r="AA2322">
        <f>IF(Z2322&gt;Z2321,Z2322,"")</f>
        <v/>
      </c>
      <c r="AB2322">
        <f>AB2321+IF(X2322="",0,IF(ISNA(MATCH(X2322,X$256:X2321,0)),1,0))</f>
        <v/>
      </c>
      <c r="AC2322">
        <f>IF(AB2322&gt;AB2321,AB2322,"")</f>
        <v/>
      </c>
    </row>
    <row r="2323">
      <c r="W2323" s="7" t="n"/>
      <c r="X2323" s="7" t="n"/>
      <c r="Z2323">
        <f>Z2322+IF(W2323="",0,IF(ISNA(MATCH(W2323,W$256:W2322,0)),1,0))</f>
        <v/>
      </c>
      <c r="AA2323">
        <f>IF(Z2323&gt;Z2322,Z2323,"")</f>
        <v/>
      </c>
      <c r="AB2323">
        <f>AB2322+IF(X2323="",0,IF(ISNA(MATCH(X2323,X$256:X2322,0)),1,0))</f>
        <v/>
      </c>
      <c r="AC2323">
        <f>IF(AB2323&gt;AB2322,AB2323,"")</f>
        <v/>
      </c>
    </row>
    <row r="2324">
      <c r="W2324" s="7" t="n"/>
      <c r="X2324" s="7" t="n"/>
      <c r="Z2324">
        <f>Z2323+IF(W2324="",0,IF(ISNA(MATCH(W2324,W$256:W2323,0)),1,0))</f>
        <v/>
      </c>
      <c r="AA2324">
        <f>IF(Z2324&gt;Z2323,Z2324,"")</f>
        <v/>
      </c>
      <c r="AB2324">
        <f>AB2323+IF(X2324="",0,IF(ISNA(MATCH(X2324,X$256:X2323,0)),1,0))</f>
        <v/>
      </c>
      <c r="AC2324">
        <f>IF(AB2324&gt;AB2323,AB2324,"")</f>
        <v/>
      </c>
    </row>
    <row r="2325">
      <c r="W2325" s="7" t="n"/>
      <c r="X2325" s="7" t="n"/>
      <c r="Z2325">
        <f>Z2324+IF(W2325="",0,IF(ISNA(MATCH(W2325,W$256:W2324,0)),1,0))</f>
        <v/>
      </c>
      <c r="AA2325">
        <f>IF(Z2325&gt;Z2324,Z2325,"")</f>
        <v/>
      </c>
      <c r="AB2325">
        <f>AB2324+IF(X2325="",0,IF(ISNA(MATCH(X2325,X$256:X2324,0)),1,0))</f>
        <v/>
      </c>
      <c r="AC2325">
        <f>IF(AB2325&gt;AB2324,AB2325,"")</f>
        <v/>
      </c>
    </row>
    <row r="2326">
      <c r="W2326" s="7" t="n"/>
      <c r="X2326" s="7" t="n"/>
      <c r="Z2326">
        <f>Z2325+IF(W2326="",0,IF(ISNA(MATCH(W2326,W$256:W2325,0)),1,0))</f>
        <v/>
      </c>
      <c r="AA2326">
        <f>IF(Z2326&gt;Z2325,Z2326,"")</f>
        <v/>
      </c>
      <c r="AB2326">
        <f>AB2325+IF(X2326="",0,IF(ISNA(MATCH(X2326,X$256:X2325,0)),1,0))</f>
        <v/>
      </c>
      <c r="AC2326">
        <f>IF(AB2326&gt;AB2325,AB2326,"")</f>
        <v/>
      </c>
    </row>
    <row r="2327">
      <c r="W2327" s="7" t="n"/>
      <c r="X2327" s="7" t="n"/>
      <c r="Z2327">
        <f>Z2326+IF(W2327="",0,IF(ISNA(MATCH(W2327,W$256:W2326,0)),1,0))</f>
        <v/>
      </c>
      <c r="AA2327">
        <f>IF(Z2327&gt;Z2326,Z2327,"")</f>
        <v/>
      </c>
      <c r="AB2327">
        <f>AB2326+IF(X2327="",0,IF(ISNA(MATCH(X2327,X$256:X2326,0)),1,0))</f>
        <v/>
      </c>
      <c r="AC2327">
        <f>IF(AB2327&gt;AB2326,AB2327,"")</f>
        <v/>
      </c>
    </row>
    <row r="2328">
      <c r="W2328" s="7" t="n"/>
      <c r="X2328" s="7" t="n"/>
      <c r="Z2328">
        <f>Z2327+IF(W2328="",0,IF(ISNA(MATCH(W2328,W$256:W2327,0)),1,0))</f>
        <v/>
      </c>
      <c r="AA2328">
        <f>IF(Z2328&gt;Z2327,Z2328,"")</f>
        <v/>
      </c>
      <c r="AB2328">
        <f>AB2327+IF(X2328="",0,IF(ISNA(MATCH(X2328,X$256:X2327,0)),1,0))</f>
        <v/>
      </c>
      <c r="AC2328">
        <f>IF(AB2328&gt;AB2327,AB2328,"")</f>
        <v/>
      </c>
    </row>
    <row r="2329">
      <c r="W2329" s="7" t="n"/>
      <c r="X2329" s="7" t="n"/>
      <c r="Z2329">
        <f>Z2328+IF(W2329="",0,IF(ISNA(MATCH(W2329,W$256:W2328,0)),1,0))</f>
        <v/>
      </c>
      <c r="AA2329">
        <f>IF(Z2329&gt;Z2328,Z2329,"")</f>
        <v/>
      </c>
      <c r="AB2329">
        <f>AB2328+IF(X2329="",0,IF(ISNA(MATCH(X2329,X$256:X2328,0)),1,0))</f>
        <v/>
      </c>
      <c r="AC2329">
        <f>IF(AB2329&gt;AB2328,AB2329,"")</f>
        <v/>
      </c>
    </row>
    <row r="2330">
      <c r="W2330" s="7" t="n"/>
      <c r="X2330" s="7" t="n"/>
      <c r="Z2330">
        <f>Z2329+IF(W2330="",0,IF(ISNA(MATCH(W2330,W$256:W2329,0)),1,0))</f>
        <v/>
      </c>
      <c r="AA2330">
        <f>IF(Z2330&gt;Z2329,Z2330,"")</f>
        <v/>
      </c>
      <c r="AB2330">
        <f>AB2329+IF(X2330="",0,IF(ISNA(MATCH(X2330,X$256:X2329,0)),1,0))</f>
        <v/>
      </c>
      <c r="AC2330">
        <f>IF(AB2330&gt;AB2329,AB2330,"")</f>
        <v/>
      </c>
    </row>
    <row r="2331">
      <c r="W2331" s="7" t="n"/>
      <c r="X2331" s="7" t="n"/>
      <c r="Z2331">
        <f>Z2330+IF(W2331="",0,IF(ISNA(MATCH(W2331,W$256:W2330,0)),1,0))</f>
        <v/>
      </c>
      <c r="AA2331">
        <f>IF(Z2331&gt;Z2330,Z2331,"")</f>
        <v/>
      </c>
      <c r="AB2331">
        <f>AB2330+IF(X2331="",0,IF(ISNA(MATCH(X2331,X$256:X2330,0)),1,0))</f>
        <v/>
      </c>
      <c r="AC2331">
        <f>IF(AB2331&gt;AB2330,AB2331,"")</f>
        <v/>
      </c>
    </row>
    <row r="2332">
      <c r="W2332" s="7" t="n"/>
      <c r="X2332" s="7" t="n"/>
      <c r="Z2332">
        <f>Z2331+IF(W2332="",0,IF(ISNA(MATCH(W2332,W$256:W2331,0)),1,0))</f>
        <v/>
      </c>
      <c r="AA2332">
        <f>IF(Z2332&gt;Z2331,Z2332,"")</f>
        <v/>
      </c>
      <c r="AB2332">
        <f>AB2331+IF(X2332="",0,IF(ISNA(MATCH(X2332,X$256:X2331,0)),1,0))</f>
        <v/>
      </c>
      <c r="AC2332">
        <f>IF(AB2332&gt;AB2331,AB2332,"")</f>
        <v/>
      </c>
    </row>
    <row r="2333">
      <c r="W2333" s="7" t="n"/>
      <c r="X2333" s="7" t="n"/>
      <c r="Z2333">
        <f>Z2332+IF(W2333="",0,IF(ISNA(MATCH(W2333,W$256:W2332,0)),1,0))</f>
        <v/>
      </c>
      <c r="AA2333">
        <f>IF(Z2333&gt;Z2332,Z2333,"")</f>
        <v/>
      </c>
      <c r="AB2333">
        <f>AB2332+IF(X2333="",0,IF(ISNA(MATCH(X2333,X$256:X2332,0)),1,0))</f>
        <v/>
      </c>
      <c r="AC2333">
        <f>IF(AB2333&gt;AB2332,AB2333,"")</f>
        <v/>
      </c>
    </row>
    <row r="2334">
      <c r="W2334" s="7" t="n"/>
      <c r="X2334" s="7" t="n"/>
      <c r="Z2334">
        <f>Z2333+IF(W2334="",0,IF(ISNA(MATCH(W2334,W$256:W2333,0)),1,0))</f>
        <v/>
      </c>
      <c r="AA2334">
        <f>IF(Z2334&gt;Z2333,Z2334,"")</f>
        <v/>
      </c>
      <c r="AB2334">
        <f>AB2333+IF(X2334="",0,IF(ISNA(MATCH(X2334,X$256:X2333,0)),1,0))</f>
        <v/>
      </c>
      <c r="AC2334">
        <f>IF(AB2334&gt;AB2333,AB2334,"")</f>
        <v/>
      </c>
    </row>
    <row r="2335">
      <c r="W2335" s="7" t="n"/>
      <c r="X2335" s="7" t="n"/>
      <c r="Z2335">
        <f>Z2334+IF(W2335="",0,IF(ISNA(MATCH(W2335,W$256:W2334,0)),1,0))</f>
        <v/>
      </c>
      <c r="AA2335">
        <f>IF(Z2335&gt;Z2334,Z2335,"")</f>
        <v/>
      </c>
      <c r="AB2335">
        <f>AB2334+IF(X2335="",0,IF(ISNA(MATCH(X2335,X$256:X2334,0)),1,0))</f>
        <v/>
      </c>
      <c r="AC2335">
        <f>IF(AB2335&gt;AB2334,AB2335,"")</f>
        <v/>
      </c>
    </row>
    <row r="2336">
      <c r="W2336" s="7" t="n"/>
      <c r="X2336" s="7" t="n"/>
      <c r="Z2336">
        <f>Z2335+IF(W2336="",0,IF(ISNA(MATCH(W2336,W$256:W2335,0)),1,0))</f>
        <v/>
      </c>
      <c r="AA2336">
        <f>IF(Z2336&gt;Z2335,Z2336,"")</f>
        <v/>
      </c>
      <c r="AB2336">
        <f>AB2335+IF(X2336="",0,IF(ISNA(MATCH(X2336,X$256:X2335,0)),1,0))</f>
        <v/>
      </c>
      <c r="AC2336">
        <f>IF(AB2336&gt;AB2335,AB2336,"")</f>
        <v/>
      </c>
    </row>
    <row r="2337">
      <c r="W2337" s="7" t="n"/>
      <c r="X2337" s="7" t="n"/>
      <c r="Z2337">
        <f>Z2336+IF(W2337="",0,IF(ISNA(MATCH(W2337,W$256:W2336,0)),1,0))</f>
        <v/>
      </c>
      <c r="AA2337">
        <f>IF(Z2337&gt;Z2336,Z2337,"")</f>
        <v/>
      </c>
      <c r="AB2337">
        <f>AB2336+IF(X2337="",0,IF(ISNA(MATCH(X2337,X$256:X2336,0)),1,0))</f>
        <v/>
      </c>
      <c r="AC2337">
        <f>IF(AB2337&gt;AB2336,AB2337,"")</f>
        <v/>
      </c>
    </row>
    <row r="2338">
      <c r="W2338" s="7" t="n"/>
      <c r="X2338" s="7" t="n"/>
      <c r="Z2338">
        <f>Z2337+IF(W2338="",0,IF(ISNA(MATCH(W2338,W$256:W2337,0)),1,0))</f>
        <v/>
      </c>
      <c r="AA2338">
        <f>IF(Z2338&gt;Z2337,Z2338,"")</f>
        <v/>
      </c>
      <c r="AB2338">
        <f>AB2337+IF(X2338="",0,IF(ISNA(MATCH(X2338,X$256:X2337,0)),1,0))</f>
        <v/>
      </c>
      <c r="AC2338">
        <f>IF(AB2338&gt;AB2337,AB2338,"")</f>
        <v/>
      </c>
    </row>
    <row r="2339">
      <c r="W2339" s="7" t="n"/>
      <c r="X2339" s="7" t="n"/>
      <c r="Z2339">
        <f>Z2338+IF(W2339="",0,IF(ISNA(MATCH(W2339,W$256:W2338,0)),1,0))</f>
        <v/>
      </c>
      <c r="AA2339">
        <f>IF(Z2339&gt;Z2338,Z2339,"")</f>
        <v/>
      </c>
      <c r="AB2339">
        <f>AB2338+IF(X2339="",0,IF(ISNA(MATCH(X2339,X$256:X2338,0)),1,0))</f>
        <v/>
      </c>
      <c r="AC2339">
        <f>IF(AB2339&gt;AB2338,AB2339,"")</f>
        <v/>
      </c>
    </row>
    <row r="2340">
      <c r="W2340" s="7" t="n"/>
      <c r="X2340" s="7" t="n"/>
      <c r="Z2340">
        <f>Z2339+IF(W2340="",0,IF(ISNA(MATCH(W2340,W$256:W2339,0)),1,0))</f>
        <v/>
      </c>
      <c r="AA2340">
        <f>IF(Z2340&gt;Z2339,Z2340,"")</f>
        <v/>
      </c>
      <c r="AB2340">
        <f>AB2339+IF(X2340="",0,IF(ISNA(MATCH(X2340,X$256:X2339,0)),1,0))</f>
        <v/>
      </c>
      <c r="AC2340">
        <f>IF(AB2340&gt;AB2339,AB2340,"")</f>
        <v/>
      </c>
    </row>
    <row r="2341">
      <c r="W2341" s="7" t="n"/>
      <c r="X2341" s="7" t="n"/>
      <c r="Z2341">
        <f>Z2340+IF(W2341="",0,IF(ISNA(MATCH(W2341,W$256:W2340,0)),1,0))</f>
        <v/>
      </c>
      <c r="AA2341">
        <f>IF(Z2341&gt;Z2340,Z2341,"")</f>
        <v/>
      </c>
      <c r="AB2341">
        <f>AB2340+IF(X2341="",0,IF(ISNA(MATCH(X2341,X$256:X2340,0)),1,0))</f>
        <v/>
      </c>
      <c r="AC2341">
        <f>IF(AB2341&gt;AB2340,AB2341,"")</f>
        <v/>
      </c>
    </row>
    <row r="2342">
      <c r="W2342" s="7" t="n"/>
      <c r="X2342" s="7" t="n"/>
      <c r="Z2342">
        <f>Z2341+IF(W2342="",0,IF(ISNA(MATCH(W2342,W$256:W2341,0)),1,0))</f>
        <v/>
      </c>
      <c r="AA2342">
        <f>IF(Z2342&gt;Z2341,Z2342,"")</f>
        <v/>
      </c>
      <c r="AB2342">
        <f>AB2341+IF(X2342="",0,IF(ISNA(MATCH(X2342,X$256:X2341,0)),1,0))</f>
        <v/>
      </c>
      <c r="AC2342">
        <f>IF(AB2342&gt;AB2341,AB2342,"")</f>
        <v/>
      </c>
    </row>
    <row r="2343">
      <c r="W2343" s="7" t="n"/>
      <c r="X2343" s="7" t="n"/>
      <c r="Z2343">
        <f>Z2342+IF(W2343="",0,IF(ISNA(MATCH(W2343,W$256:W2342,0)),1,0))</f>
        <v/>
      </c>
      <c r="AA2343">
        <f>IF(Z2343&gt;Z2342,Z2343,"")</f>
        <v/>
      </c>
      <c r="AB2343">
        <f>AB2342+IF(X2343="",0,IF(ISNA(MATCH(X2343,X$256:X2342,0)),1,0))</f>
        <v/>
      </c>
      <c r="AC2343">
        <f>IF(AB2343&gt;AB2342,AB2343,"")</f>
        <v/>
      </c>
    </row>
    <row r="2344">
      <c r="W2344" s="7" t="n"/>
      <c r="X2344" s="7" t="n"/>
      <c r="Z2344">
        <f>Z2343+IF(W2344="",0,IF(ISNA(MATCH(W2344,W$256:W2343,0)),1,0))</f>
        <v/>
      </c>
      <c r="AA2344">
        <f>IF(Z2344&gt;Z2343,Z2344,"")</f>
        <v/>
      </c>
      <c r="AB2344">
        <f>AB2343+IF(X2344="",0,IF(ISNA(MATCH(X2344,X$256:X2343,0)),1,0))</f>
        <v/>
      </c>
      <c r="AC2344">
        <f>IF(AB2344&gt;AB2343,AB2344,"")</f>
        <v/>
      </c>
    </row>
    <row r="2345">
      <c r="W2345" s="7" t="n"/>
      <c r="X2345" s="7" t="n"/>
      <c r="Z2345">
        <f>Z2344+IF(W2345="",0,IF(ISNA(MATCH(W2345,W$256:W2344,0)),1,0))</f>
        <v/>
      </c>
      <c r="AA2345">
        <f>IF(Z2345&gt;Z2344,Z2345,"")</f>
        <v/>
      </c>
      <c r="AB2345">
        <f>AB2344+IF(X2345="",0,IF(ISNA(MATCH(X2345,X$256:X2344,0)),1,0))</f>
        <v/>
      </c>
      <c r="AC2345">
        <f>IF(AB2345&gt;AB2344,AB2345,"")</f>
        <v/>
      </c>
    </row>
    <row r="2346">
      <c r="W2346" s="7" t="n"/>
      <c r="X2346" s="7" t="n"/>
      <c r="Z2346">
        <f>Z2345+IF(W2346="",0,IF(ISNA(MATCH(W2346,W$256:W2345,0)),1,0))</f>
        <v/>
      </c>
      <c r="AA2346">
        <f>IF(Z2346&gt;Z2345,Z2346,"")</f>
        <v/>
      </c>
      <c r="AB2346">
        <f>AB2345+IF(X2346="",0,IF(ISNA(MATCH(X2346,X$256:X2345,0)),1,0))</f>
        <v/>
      </c>
      <c r="AC2346">
        <f>IF(AB2346&gt;AB2345,AB2346,"")</f>
        <v/>
      </c>
    </row>
    <row r="2347">
      <c r="W2347" s="7" t="n"/>
      <c r="X2347" s="7" t="n"/>
      <c r="Z2347">
        <f>Z2346+IF(W2347="",0,IF(ISNA(MATCH(W2347,W$256:W2346,0)),1,0))</f>
        <v/>
      </c>
      <c r="AA2347">
        <f>IF(Z2347&gt;Z2346,Z2347,"")</f>
        <v/>
      </c>
      <c r="AB2347">
        <f>AB2346+IF(X2347="",0,IF(ISNA(MATCH(X2347,X$256:X2346,0)),1,0))</f>
        <v/>
      </c>
      <c r="AC2347">
        <f>IF(AB2347&gt;AB2346,AB2347,"")</f>
        <v/>
      </c>
    </row>
    <row r="2348">
      <c r="W2348" s="7" t="n"/>
      <c r="X2348" s="7" t="n"/>
      <c r="Z2348">
        <f>Z2347+IF(W2348="",0,IF(ISNA(MATCH(W2348,W$256:W2347,0)),1,0))</f>
        <v/>
      </c>
      <c r="AA2348">
        <f>IF(Z2348&gt;Z2347,Z2348,"")</f>
        <v/>
      </c>
      <c r="AB2348">
        <f>AB2347+IF(X2348="",0,IF(ISNA(MATCH(X2348,X$256:X2347,0)),1,0))</f>
        <v/>
      </c>
      <c r="AC2348">
        <f>IF(AB2348&gt;AB2347,AB2348,"")</f>
        <v/>
      </c>
    </row>
    <row r="2349">
      <c r="W2349" s="7" t="n"/>
      <c r="X2349" s="7" t="n"/>
      <c r="Z2349">
        <f>Z2348+IF(W2349="",0,IF(ISNA(MATCH(W2349,W$256:W2348,0)),1,0))</f>
        <v/>
      </c>
      <c r="AA2349">
        <f>IF(Z2349&gt;Z2348,Z2349,"")</f>
        <v/>
      </c>
      <c r="AB2349">
        <f>AB2348+IF(X2349="",0,IF(ISNA(MATCH(X2349,X$256:X2348,0)),1,0))</f>
        <v/>
      </c>
      <c r="AC2349">
        <f>IF(AB2349&gt;AB2348,AB2349,"")</f>
        <v/>
      </c>
    </row>
    <row r="2350">
      <c r="W2350" s="7" t="n"/>
      <c r="X2350" s="7" t="n"/>
      <c r="Z2350">
        <f>Z2349+IF(W2350="",0,IF(ISNA(MATCH(W2350,W$256:W2349,0)),1,0))</f>
        <v/>
      </c>
      <c r="AA2350">
        <f>IF(Z2350&gt;Z2349,Z2350,"")</f>
        <v/>
      </c>
      <c r="AB2350">
        <f>AB2349+IF(X2350="",0,IF(ISNA(MATCH(X2350,X$256:X2349,0)),1,0))</f>
        <v/>
      </c>
      <c r="AC2350">
        <f>IF(AB2350&gt;AB2349,AB2350,"")</f>
        <v/>
      </c>
    </row>
    <row r="2351">
      <c r="W2351" s="7" t="n"/>
      <c r="X2351" s="7" t="n"/>
      <c r="Z2351">
        <f>Z2350+IF(W2351="",0,IF(ISNA(MATCH(W2351,W$256:W2350,0)),1,0))</f>
        <v/>
      </c>
      <c r="AA2351">
        <f>IF(Z2351&gt;Z2350,Z2351,"")</f>
        <v/>
      </c>
      <c r="AB2351">
        <f>AB2350+IF(X2351="",0,IF(ISNA(MATCH(X2351,X$256:X2350,0)),1,0))</f>
        <v/>
      </c>
      <c r="AC2351">
        <f>IF(AB2351&gt;AB2350,AB2351,"")</f>
        <v/>
      </c>
    </row>
    <row r="2352">
      <c r="W2352" s="7" t="n"/>
      <c r="X2352" s="7" t="n"/>
      <c r="Z2352">
        <f>Z2351+IF(W2352="",0,IF(ISNA(MATCH(W2352,W$256:W2351,0)),1,0))</f>
        <v/>
      </c>
      <c r="AA2352">
        <f>IF(Z2352&gt;Z2351,Z2352,"")</f>
        <v/>
      </c>
      <c r="AB2352">
        <f>AB2351+IF(X2352="",0,IF(ISNA(MATCH(X2352,X$256:X2351,0)),1,0))</f>
        <v/>
      </c>
      <c r="AC2352">
        <f>IF(AB2352&gt;AB2351,AB2352,"")</f>
        <v/>
      </c>
    </row>
    <row r="2353">
      <c r="W2353" s="7" t="n"/>
      <c r="X2353" s="7" t="n"/>
      <c r="Z2353">
        <f>Z2352+IF(W2353="",0,IF(ISNA(MATCH(W2353,W$256:W2352,0)),1,0))</f>
        <v/>
      </c>
      <c r="AA2353">
        <f>IF(Z2353&gt;Z2352,Z2353,"")</f>
        <v/>
      </c>
      <c r="AB2353">
        <f>AB2352+IF(X2353="",0,IF(ISNA(MATCH(X2353,X$256:X2352,0)),1,0))</f>
        <v/>
      </c>
      <c r="AC2353">
        <f>IF(AB2353&gt;AB2352,AB2353,"")</f>
        <v/>
      </c>
    </row>
    <row r="2354">
      <c r="W2354" s="7" t="n"/>
      <c r="X2354" s="7" t="n"/>
      <c r="Z2354">
        <f>Z2353+IF(W2354="",0,IF(ISNA(MATCH(W2354,W$256:W2353,0)),1,0))</f>
        <v/>
      </c>
      <c r="AA2354">
        <f>IF(Z2354&gt;Z2353,Z2354,"")</f>
        <v/>
      </c>
      <c r="AB2354">
        <f>AB2353+IF(X2354="",0,IF(ISNA(MATCH(X2354,X$256:X2353,0)),1,0))</f>
        <v/>
      </c>
      <c r="AC2354">
        <f>IF(AB2354&gt;AB2353,AB2354,"")</f>
        <v/>
      </c>
    </row>
    <row r="2355">
      <c r="W2355" s="7" t="n"/>
      <c r="X2355" s="7" t="n"/>
      <c r="Z2355">
        <f>Z2354+IF(W2355="",0,IF(ISNA(MATCH(W2355,W$256:W2354,0)),1,0))</f>
        <v/>
      </c>
      <c r="AA2355">
        <f>IF(Z2355&gt;Z2354,Z2355,"")</f>
        <v/>
      </c>
      <c r="AB2355">
        <f>AB2354+IF(X2355="",0,IF(ISNA(MATCH(X2355,X$256:X2354,0)),1,0))</f>
        <v/>
      </c>
      <c r="AC2355">
        <f>IF(AB2355&gt;AB2354,AB2355,"")</f>
        <v/>
      </c>
    </row>
    <row r="2356">
      <c r="W2356" s="7" t="n"/>
      <c r="X2356" s="7" t="n"/>
      <c r="Z2356">
        <f>Z2355+IF(W2356="",0,IF(ISNA(MATCH(W2356,W$256:W2355,0)),1,0))</f>
        <v/>
      </c>
      <c r="AA2356">
        <f>IF(Z2356&gt;Z2355,Z2356,"")</f>
        <v/>
      </c>
      <c r="AB2356">
        <f>AB2355+IF(X2356="",0,IF(ISNA(MATCH(X2356,X$256:X2355,0)),1,0))</f>
        <v/>
      </c>
      <c r="AC2356">
        <f>IF(AB2356&gt;AB2355,AB2356,"")</f>
        <v/>
      </c>
    </row>
    <row r="2357">
      <c r="W2357" s="7" t="n"/>
      <c r="X2357" s="7" t="n"/>
      <c r="Z2357">
        <f>Z2356+IF(W2357="",0,IF(ISNA(MATCH(W2357,W$256:W2356,0)),1,0))</f>
        <v/>
      </c>
      <c r="AA2357">
        <f>IF(Z2357&gt;Z2356,Z2357,"")</f>
        <v/>
      </c>
      <c r="AB2357">
        <f>AB2356+IF(X2357="",0,IF(ISNA(MATCH(X2357,X$256:X2356,0)),1,0))</f>
        <v/>
      </c>
      <c r="AC2357">
        <f>IF(AB2357&gt;AB2356,AB2357,"")</f>
        <v/>
      </c>
    </row>
    <row r="2358">
      <c r="W2358" s="7" t="n"/>
      <c r="X2358" s="7" t="n"/>
      <c r="Z2358">
        <f>Z2357+IF(W2358="",0,IF(ISNA(MATCH(W2358,W$256:W2357,0)),1,0))</f>
        <v/>
      </c>
      <c r="AA2358">
        <f>IF(Z2358&gt;Z2357,Z2358,"")</f>
        <v/>
      </c>
      <c r="AB2358">
        <f>AB2357+IF(X2358="",0,IF(ISNA(MATCH(X2358,X$256:X2357,0)),1,0))</f>
        <v/>
      </c>
      <c r="AC2358">
        <f>IF(AB2358&gt;AB2357,AB2358,"")</f>
        <v/>
      </c>
    </row>
    <row r="2359">
      <c r="W2359" s="7" t="n"/>
      <c r="X2359" s="7" t="n"/>
      <c r="Z2359">
        <f>Z2358+IF(W2359="",0,IF(ISNA(MATCH(W2359,W$256:W2358,0)),1,0))</f>
        <v/>
      </c>
      <c r="AA2359">
        <f>IF(Z2359&gt;Z2358,Z2359,"")</f>
        <v/>
      </c>
      <c r="AB2359">
        <f>AB2358+IF(X2359="",0,IF(ISNA(MATCH(X2359,X$256:X2358,0)),1,0))</f>
        <v/>
      </c>
      <c r="AC2359">
        <f>IF(AB2359&gt;AB2358,AB2359,"")</f>
        <v/>
      </c>
    </row>
    <row r="2360">
      <c r="W2360" s="7" t="n"/>
      <c r="X2360" s="7" t="n"/>
      <c r="Z2360">
        <f>Z2359+IF(W2360="",0,IF(ISNA(MATCH(W2360,W$256:W2359,0)),1,0))</f>
        <v/>
      </c>
      <c r="AA2360">
        <f>IF(Z2360&gt;Z2359,Z2360,"")</f>
        <v/>
      </c>
      <c r="AB2360">
        <f>AB2359+IF(X2360="",0,IF(ISNA(MATCH(X2360,X$256:X2359,0)),1,0))</f>
        <v/>
      </c>
      <c r="AC2360">
        <f>IF(AB2360&gt;AB2359,AB2360,"")</f>
        <v/>
      </c>
    </row>
    <row r="2361">
      <c r="W2361" s="7" t="n"/>
      <c r="X2361" s="7" t="n"/>
      <c r="Z2361">
        <f>Z2360+IF(W2361="",0,IF(ISNA(MATCH(W2361,W$256:W2360,0)),1,0))</f>
        <v/>
      </c>
      <c r="AA2361">
        <f>IF(Z2361&gt;Z2360,Z2361,"")</f>
        <v/>
      </c>
      <c r="AB2361">
        <f>AB2360+IF(X2361="",0,IF(ISNA(MATCH(X2361,X$256:X2360,0)),1,0))</f>
        <v/>
      </c>
      <c r="AC2361">
        <f>IF(AB2361&gt;AB2360,AB2361,"")</f>
        <v/>
      </c>
    </row>
    <row r="2362">
      <c r="W2362" s="7" t="n"/>
      <c r="X2362" s="7" t="n"/>
      <c r="Z2362">
        <f>Z2361+IF(W2362="",0,IF(ISNA(MATCH(W2362,W$256:W2361,0)),1,0))</f>
        <v/>
      </c>
      <c r="AA2362">
        <f>IF(Z2362&gt;Z2361,Z2362,"")</f>
        <v/>
      </c>
      <c r="AB2362">
        <f>AB2361+IF(X2362="",0,IF(ISNA(MATCH(X2362,X$256:X2361,0)),1,0))</f>
        <v/>
      </c>
      <c r="AC2362">
        <f>IF(AB2362&gt;AB2361,AB2362,"")</f>
        <v/>
      </c>
    </row>
    <row r="2363">
      <c r="W2363" s="7" t="n"/>
      <c r="X2363" s="7" t="n"/>
      <c r="Z2363">
        <f>Z2362+IF(W2363="",0,IF(ISNA(MATCH(W2363,W$256:W2362,0)),1,0))</f>
        <v/>
      </c>
      <c r="AA2363">
        <f>IF(Z2363&gt;Z2362,Z2363,"")</f>
        <v/>
      </c>
      <c r="AB2363">
        <f>AB2362+IF(X2363="",0,IF(ISNA(MATCH(X2363,X$256:X2362,0)),1,0))</f>
        <v/>
      </c>
      <c r="AC2363">
        <f>IF(AB2363&gt;AB2362,AB2363,"")</f>
        <v/>
      </c>
    </row>
    <row r="2364">
      <c r="W2364" s="7" t="n"/>
      <c r="X2364" s="7" t="n"/>
      <c r="Z2364">
        <f>Z2363+IF(W2364="",0,IF(ISNA(MATCH(W2364,W$256:W2363,0)),1,0))</f>
        <v/>
      </c>
      <c r="AA2364">
        <f>IF(Z2364&gt;Z2363,Z2364,"")</f>
        <v/>
      </c>
      <c r="AB2364">
        <f>AB2363+IF(X2364="",0,IF(ISNA(MATCH(X2364,X$256:X2363,0)),1,0))</f>
        <v/>
      </c>
      <c r="AC2364">
        <f>IF(AB2364&gt;AB2363,AB2364,"")</f>
        <v/>
      </c>
    </row>
    <row r="2365">
      <c r="W2365" s="7" t="n"/>
      <c r="X2365" s="7" t="n"/>
      <c r="Z2365">
        <f>Z2364+IF(W2365="",0,IF(ISNA(MATCH(W2365,W$256:W2364,0)),1,0))</f>
        <v/>
      </c>
      <c r="AA2365">
        <f>IF(Z2365&gt;Z2364,Z2365,"")</f>
        <v/>
      </c>
      <c r="AB2365">
        <f>AB2364+IF(X2365="",0,IF(ISNA(MATCH(X2365,X$256:X2364,0)),1,0))</f>
        <v/>
      </c>
      <c r="AC2365">
        <f>IF(AB2365&gt;AB2364,AB2365,"")</f>
        <v/>
      </c>
    </row>
    <row r="2366">
      <c r="W2366" s="7" t="n"/>
      <c r="X2366" s="7" t="n"/>
      <c r="Z2366">
        <f>Z2365+IF(W2366="",0,IF(ISNA(MATCH(W2366,W$256:W2365,0)),1,0))</f>
        <v/>
      </c>
      <c r="AA2366">
        <f>IF(Z2366&gt;Z2365,Z2366,"")</f>
        <v/>
      </c>
      <c r="AB2366">
        <f>AB2365+IF(X2366="",0,IF(ISNA(MATCH(X2366,X$256:X2365,0)),1,0))</f>
        <v/>
      </c>
      <c r="AC2366">
        <f>IF(AB2366&gt;AB2365,AB2366,"")</f>
        <v/>
      </c>
    </row>
    <row r="2367">
      <c r="W2367" s="7" t="n"/>
      <c r="X2367" s="7" t="n"/>
      <c r="Z2367">
        <f>Z2366+IF(W2367="",0,IF(ISNA(MATCH(W2367,W$256:W2366,0)),1,0))</f>
        <v/>
      </c>
      <c r="AA2367">
        <f>IF(Z2367&gt;Z2366,Z2367,"")</f>
        <v/>
      </c>
      <c r="AB2367">
        <f>AB2366+IF(X2367="",0,IF(ISNA(MATCH(X2367,X$256:X2366,0)),1,0))</f>
        <v/>
      </c>
      <c r="AC2367">
        <f>IF(AB2367&gt;AB2366,AB2367,"")</f>
        <v/>
      </c>
    </row>
    <row r="2368">
      <c r="W2368" s="7" t="n"/>
      <c r="X2368" s="7" t="n"/>
      <c r="Z2368">
        <f>Z2367+IF(W2368="",0,IF(ISNA(MATCH(W2368,W$256:W2367,0)),1,0))</f>
        <v/>
      </c>
      <c r="AA2368">
        <f>IF(Z2368&gt;Z2367,Z2368,"")</f>
        <v/>
      </c>
      <c r="AB2368">
        <f>AB2367+IF(X2368="",0,IF(ISNA(MATCH(X2368,X$256:X2367,0)),1,0))</f>
        <v/>
      </c>
      <c r="AC2368">
        <f>IF(AB2368&gt;AB2367,AB2368,"")</f>
        <v/>
      </c>
    </row>
    <row r="2369">
      <c r="W2369" s="7" t="n"/>
      <c r="X2369" s="7" t="n"/>
      <c r="Z2369">
        <f>Z2368+IF(W2369="",0,IF(ISNA(MATCH(W2369,W$256:W2368,0)),1,0))</f>
        <v/>
      </c>
      <c r="AA2369">
        <f>IF(Z2369&gt;Z2368,Z2369,"")</f>
        <v/>
      </c>
      <c r="AB2369">
        <f>AB2368+IF(X2369="",0,IF(ISNA(MATCH(X2369,X$256:X2368,0)),1,0))</f>
        <v/>
      </c>
      <c r="AC2369">
        <f>IF(AB2369&gt;AB2368,AB2369,"")</f>
        <v/>
      </c>
    </row>
    <row r="2370">
      <c r="W2370" s="7" t="n"/>
      <c r="X2370" s="7" t="n"/>
      <c r="Z2370">
        <f>Z2369+IF(W2370="",0,IF(ISNA(MATCH(W2370,W$256:W2369,0)),1,0))</f>
        <v/>
      </c>
      <c r="AA2370">
        <f>IF(Z2370&gt;Z2369,Z2370,"")</f>
        <v/>
      </c>
      <c r="AB2370">
        <f>AB2369+IF(X2370="",0,IF(ISNA(MATCH(X2370,X$256:X2369,0)),1,0))</f>
        <v/>
      </c>
      <c r="AC2370">
        <f>IF(AB2370&gt;AB2369,AB2370,"")</f>
        <v/>
      </c>
    </row>
    <row r="2371">
      <c r="W2371" s="7" t="n"/>
      <c r="X2371" s="7" t="n"/>
      <c r="Z2371">
        <f>Z2370+IF(W2371="",0,IF(ISNA(MATCH(W2371,W$256:W2370,0)),1,0))</f>
        <v/>
      </c>
      <c r="AA2371">
        <f>IF(Z2371&gt;Z2370,Z2371,"")</f>
        <v/>
      </c>
      <c r="AB2371">
        <f>AB2370+IF(X2371="",0,IF(ISNA(MATCH(X2371,X$256:X2370,0)),1,0))</f>
        <v/>
      </c>
      <c r="AC2371">
        <f>IF(AB2371&gt;AB2370,AB2371,"")</f>
        <v/>
      </c>
    </row>
    <row r="2372">
      <c r="W2372" s="7" t="n"/>
      <c r="X2372" s="7" t="n"/>
      <c r="Z2372">
        <f>Z2371+IF(W2372="",0,IF(ISNA(MATCH(W2372,W$256:W2371,0)),1,0))</f>
        <v/>
      </c>
      <c r="AA2372">
        <f>IF(Z2372&gt;Z2371,Z2372,"")</f>
        <v/>
      </c>
      <c r="AB2372">
        <f>AB2371+IF(X2372="",0,IF(ISNA(MATCH(X2372,X$256:X2371,0)),1,0))</f>
        <v/>
      </c>
      <c r="AC2372">
        <f>IF(AB2372&gt;AB2371,AB2372,"")</f>
        <v/>
      </c>
    </row>
    <row r="2373">
      <c r="W2373" s="7" t="n"/>
      <c r="X2373" s="7" t="n"/>
      <c r="Z2373">
        <f>Z2372+IF(W2373="",0,IF(ISNA(MATCH(W2373,W$256:W2372,0)),1,0))</f>
        <v/>
      </c>
      <c r="AA2373">
        <f>IF(Z2373&gt;Z2372,Z2373,"")</f>
        <v/>
      </c>
      <c r="AB2373">
        <f>AB2372+IF(X2373="",0,IF(ISNA(MATCH(X2373,X$256:X2372,0)),1,0))</f>
        <v/>
      </c>
      <c r="AC2373">
        <f>IF(AB2373&gt;AB2372,AB2373,"")</f>
        <v/>
      </c>
    </row>
    <row r="2374">
      <c r="W2374" s="7" t="n"/>
      <c r="X2374" s="7" t="n"/>
      <c r="Z2374">
        <f>Z2373+IF(W2374="",0,IF(ISNA(MATCH(W2374,W$256:W2373,0)),1,0))</f>
        <v/>
      </c>
      <c r="AA2374">
        <f>IF(Z2374&gt;Z2373,Z2374,"")</f>
        <v/>
      </c>
      <c r="AB2374">
        <f>AB2373+IF(X2374="",0,IF(ISNA(MATCH(X2374,X$256:X2373,0)),1,0))</f>
        <v/>
      </c>
      <c r="AC2374">
        <f>IF(AB2374&gt;AB2373,AB2374,"")</f>
        <v/>
      </c>
    </row>
    <row r="2375">
      <c r="W2375" s="7" t="n"/>
      <c r="X2375" s="7" t="n"/>
      <c r="Z2375">
        <f>Z2374+IF(W2375="",0,IF(ISNA(MATCH(W2375,W$256:W2374,0)),1,0))</f>
        <v/>
      </c>
      <c r="AA2375">
        <f>IF(Z2375&gt;Z2374,Z2375,"")</f>
        <v/>
      </c>
      <c r="AB2375">
        <f>AB2374+IF(X2375="",0,IF(ISNA(MATCH(X2375,X$256:X2374,0)),1,0))</f>
        <v/>
      </c>
      <c r="AC2375">
        <f>IF(AB2375&gt;AB2374,AB2375,"")</f>
        <v/>
      </c>
    </row>
    <row r="2376">
      <c r="W2376" s="7" t="n"/>
      <c r="X2376" s="7" t="n"/>
      <c r="Z2376">
        <f>Z2375+IF(W2376="",0,IF(ISNA(MATCH(W2376,W$256:W2375,0)),1,0))</f>
        <v/>
      </c>
      <c r="AA2376">
        <f>IF(Z2376&gt;Z2375,Z2376,"")</f>
        <v/>
      </c>
      <c r="AB2376">
        <f>AB2375+IF(X2376="",0,IF(ISNA(MATCH(X2376,X$256:X2375,0)),1,0))</f>
        <v/>
      </c>
      <c r="AC2376">
        <f>IF(AB2376&gt;AB2375,AB2376,"")</f>
        <v/>
      </c>
    </row>
    <row r="2377">
      <c r="W2377" s="7" t="n"/>
      <c r="X2377" s="7" t="n"/>
      <c r="Z2377">
        <f>Z2376+IF(W2377="",0,IF(ISNA(MATCH(W2377,W$256:W2376,0)),1,0))</f>
        <v/>
      </c>
      <c r="AA2377">
        <f>IF(Z2377&gt;Z2376,Z2377,"")</f>
        <v/>
      </c>
      <c r="AB2377">
        <f>AB2376+IF(X2377="",0,IF(ISNA(MATCH(X2377,X$256:X2376,0)),1,0))</f>
        <v/>
      </c>
      <c r="AC2377">
        <f>IF(AB2377&gt;AB2376,AB2377,"")</f>
        <v/>
      </c>
    </row>
    <row r="2378">
      <c r="W2378" s="7" t="n"/>
      <c r="X2378" s="7" t="n"/>
      <c r="Z2378">
        <f>Z2377+IF(W2378="",0,IF(ISNA(MATCH(W2378,W$256:W2377,0)),1,0))</f>
        <v/>
      </c>
      <c r="AA2378">
        <f>IF(Z2378&gt;Z2377,Z2378,"")</f>
        <v/>
      </c>
      <c r="AB2378">
        <f>AB2377+IF(X2378="",0,IF(ISNA(MATCH(X2378,X$256:X2377,0)),1,0))</f>
        <v/>
      </c>
      <c r="AC2378">
        <f>IF(AB2378&gt;AB2377,AB2378,"")</f>
        <v/>
      </c>
    </row>
    <row r="2379">
      <c r="W2379" s="7" t="n"/>
      <c r="X2379" s="7" t="n"/>
      <c r="Z2379">
        <f>Z2378+IF(W2379="",0,IF(ISNA(MATCH(W2379,W$256:W2378,0)),1,0))</f>
        <v/>
      </c>
      <c r="AA2379">
        <f>IF(Z2379&gt;Z2378,Z2379,"")</f>
        <v/>
      </c>
      <c r="AB2379">
        <f>AB2378+IF(X2379="",0,IF(ISNA(MATCH(X2379,X$256:X2378,0)),1,0))</f>
        <v/>
      </c>
      <c r="AC2379">
        <f>IF(AB2379&gt;AB2378,AB2379,"")</f>
        <v/>
      </c>
    </row>
    <row r="2380">
      <c r="W2380" s="7" t="n"/>
      <c r="X2380" s="7" t="n"/>
      <c r="Z2380">
        <f>Z2379+IF(W2380="",0,IF(ISNA(MATCH(W2380,W$256:W2379,0)),1,0))</f>
        <v/>
      </c>
      <c r="AA2380">
        <f>IF(Z2380&gt;Z2379,Z2380,"")</f>
        <v/>
      </c>
      <c r="AB2380">
        <f>AB2379+IF(X2380="",0,IF(ISNA(MATCH(X2380,X$256:X2379,0)),1,0))</f>
        <v/>
      </c>
      <c r="AC2380">
        <f>IF(AB2380&gt;AB2379,AB2380,"")</f>
        <v/>
      </c>
    </row>
    <row r="2381">
      <c r="W2381" s="7" t="n"/>
      <c r="X2381" s="7" t="n"/>
      <c r="Z2381">
        <f>Z2380+IF(W2381="",0,IF(ISNA(MATCH(W2381,W$256:W2380,0)),1,0))</f>
        <v/>
      </c>
      <c r="AA2381">
        <f>IF(Z2381&gt;Z2380,Z2381,"")</f>
        <v/>
      </c>
      <c r="AB2381">
        <f>AB2380+IF(X2381="",0,IF(ISNA(MATCH(X2381,X$256:X2380,0)),1,0))</f>
        <v/>
      </c>
      <c r="AC2381">
        <f>IF(AB2381&gt;AB2380,AB2381,"")</f>
        <v/>
      </c>
    </row>
    <row r="2382">
      <c r="W2382" s="7" t="n"/>
      <c r="X2382" s="7" t="n"/>
      <c r="Z2382">
        <f>Z2381+IF(W2382="",0,IF(ISNA(MATCH(W2382,W$256:W2381,0)),1,0))</f>
        <v/>
      </c>
      <c r="AA2382">
        <f>IF(Z2382&gt;Z2381,Z2382,"")</f>
        <v/>
      </c>
      <c r="AB2382">
        <f>AB2381+IF(X2382="",0,IF(ISNA(MATCH(X2382,X$256:X2381,0)),1,0))</f>
        <v/>
      </c>
      <c r="AC2382">
        <f>IF(AB2382&gt;AB2381,AB2382,"")</f>
        <v/>
      </c>
    </row>
    <row r="2383">
      <c r="W2383" s="7" t="n"/>
      <c r="X2383" s="7" t="n"/>
      <c r="Z2383">
        <f>Z2382+IF(W2383="",0,IF(ISNA(MATCH(W2383,W$256:W2382,0)),1,0))</f>
        <v/>
      </c>
      <c r="AA2383">
        <f>IF(Z2383&gt;Z2382,Z2383,"")</f>
        <v/>
      </c>
      <c r="AB2383">
        <f>AB2382+IF(X2383="",0,IF(ISNA(MATCH(X2383,X$256:X2382,0)),1,0))</f>
        <v/>
      </c>
      <c r="AC2383">
        <f>IF(AB2383&gt;AB2382,AB2383,"")</f>
        <v/>
      </c>
    </row>
    <row r="2384">
      <c r="W2384" s="7" t="n"/>
      <c r="X2384" s="7" t="n"/>
      <c r="Z2384">
        <f>Z2383+IF(W2384="",0,IF(ISNA(MATCH(W2384,W$256:W2383,0)),1,0))</f>
        <v/>
      </c>
      <c r="AA2384">
        <f>IF(Z2384&gt;Z2383,Z2384,"")</f>
        <v/>
      </c>
      <c r="AB2384">
        <f>AB2383+IF(X2384="",0,IF(ISNA(MATCH(X2384,X$256:X2383,0)),1,0))</f>
        <v/>
      </c>
      <c r="AC2384">
        <f>IF(AB2384&gt;AB2383,AB2384,"")</f>
        <v/>
      </c>
    </row>
    <row r="2385">
      <c r="W2385" s="7" t="n"/>
      <c r="X2385" s="7" t="n"/>
      <c r="Z2385">
        <f>Z2384+IF(W2385="",0,IF(ISNA(MATCH(W2385,W$256:W2384,0)),1,0))</f>
        <v/>
      </c>
      <c r="AA2385">
        <f>IF(Z2385&gt;Z2384,Z2385,"")</f>
        <v/>
      </c>
      <c r="AB2385">
        <f>AB2384+IF(X2385="",0,IF(ISNA(MATCH(X2385,X$256:X2384,0)),1,0))</f>
        <v/>
      </c>
      <c r="AC2385">
        <f>IF(AB2385&gt;AB2384,AB2385,"")</f>
        <v/>
      </c>
    </row>
    <row r="2386">
      <c r="W2386" s="7" t="n"/>
      <c r="X2386" s="7" t="n"/>
      <c r="Z2386">
        <f>Z2385+IF(W2386="",0,IF(ISNA(MATCH(W2386,W$256:W2385,0)),1,0))</f>
        <v/>
      </c>
      <c r="AA2386">
        <f>IF(Z2386&gt;Z2385,Z2386,"")</f>
        <v/>
      </c>
      <c r="AB2386">
        <f>AB2385+IF(X2386="",0,IF(ISNA(MATCH(X2386,X$256:X2385,0)),1,0))</f>
        <v/>
      </c>
      <c r="AC2386">
        <f>IF(AB2386&gt;AB2385,AB2386,"")</f>
        <v/>
      </c>
    </row>
    <row r="2387">
      <c r="W2387" s="7" t="n"/>
      <c r="X2387" s="7" t="n"/>
      <c r="Z2387">
        <f>Z2386+IF(W2387="",0,IF(ISNA(MATCH(W2387,W$256:W2386,0)),1,0))</f>
        <v/>
      </c>
      <c r="AA2387">
        <f>IF(Z2387&gt;Z2386,Z2387,"")</f>
        <v/>
      </c>
      <c r="AB2387">
        <f>AB2386+IF(X2387="",0,IF(ISNA(MATCH(X2387,X$256:X2386,0)),1,0))</f>
        <v/>
      </c>
      <c r="AC2387">
        <f>IF(AB2387&gt;AB2386,AB2387,"")</f>
        <v/>
      </c>
    </row>
    <row r="2388">
      <c r="W2388" s="7" t="n"/>
      <c r="X2388" s="7" t="n"/>
      <c r="Z2388">
        <f>Z2387+IF(W2388="",0,IF(ISNA(MATCH(W2388,W$256:W2387,0)),1,0))</f>
        <v/>
      </c>
      <c r="AA2388">
        <f>IF(Z2388&gt;Z2387,Z2388,"")</f>
        <v/>
      </c>
      <c r="AB2388">
        <f>AB2387+IF(X2388="",0,IF(ISNA(MATCH(X2388,X$256:X2387,0)),1,0))</f>
        <v/>
      </c>
      <c r="AC2388">
        <f>IF(AB2388&gt;AB2387,AB2388,"")</f>
        <v/>
      </c>
    </row>
    <row r="2389">
      <c r="W2389" s="7" t="n"/>
      <c r="X2389" s="7" t="n"/>
      <c r="Z2389">
        <f>Z2388+IF(W2389="",0,IF(ISNA(MATCH(W2389,W$256:W2388,0)),1,0))</f>
        <v/>
      </c>
      <c r="AA2389">
        <f>IF(Z2389&gt;Z2388,Z2389,"")</f>
        <v/>
      </c>
      <c r="AB2389">
        <f>AB2388+IF(X2389="",0,IF(ISNA(MATCH(X2389,X$256:X2388,0)),1,0))</f>
        <v/>
      </c>
      <c r="AC2389">
        <f>IF(AB2389&gt;AB2388,AB2389,"")</f>
        <v/>
      </c>
    </row>
    <row r="2390">
      <c r="W2390" s="7" t="n"/>
      <c r="X2390" s="7" t="n"/>
      <c r="Z2390">
        <f>Z2389+IF(W2390="",0,IF(ISNA(MATCH(W2390,W$256:W2389,0)),1,0))</f>
        <v/>
      </c>
      <c r="AA2390">
        <f>IF(Z2390&gt;Z2389,Z2390,"")</f>
        <v/>
      </c>
      <c r="AB2390">
        <f>AB2389+IF(X2390="",0,IF(ISNA(MATCH(X2390,X$256:X2389,0)),1,0))</f>
        <v/>
      </c>
      <c r="AC2390">
        <f>IF(AB2390&gt;AB2389,AB2390,"")</f>
        <v/>
      </c>
    </row>
    <row r="2391">
      <c r="W2391" s="7" t="n"/>
      <c r="X2391" s="7" t="n"/>
      <c r="Z2391">
        <f>Z2390+IF(W2391="",0,IF(ISNA(MATCH(W2391,W$256:W2390,0)),1,0))</f>
        <v/>
      </c>
      <c r="AA2391">
        <f>IF(Z2391&gt;Z2390,Z2391,"")</f>
        <v/>
      </c>
      <c r="AB2391">
        <f>AB2390+IF(X2391="",0,IF(ISNA(MATCH(X2391,X$256:X2390,0)),1,0))</f>
        <v/>
      </c>
      <c r="AC2391">
        <f>IF(AB2391&gt;AB2390,AB2391,"")</f>
        <v/>
      </c>
    </row>
    <row r="2392">
      <c r="W2392" s="7" t="n"/>
      <c r="X2392" s="7" t="n"/>
      <c r="Z2392">
        <f>Z2391+IF(W2392="",0,IF(ISNA(MATCH(W2392,W$256:W2391,0)),1,0))</f>
        <v/>
      </c>
      <c r="AA2392">
        <f>IF(Z2392&gt;Z2391,Z2392,"")</f>
        <v/>
      </c>
      <c r="AB2392">
        <f>AB2391+IF(X2392="",0,IF(ISNA(MATCH(X2392,X$256:X2391,0)),1,0))</f>
        <v/>
      </c>
      <c r="AC2392">
        <f>IF(AB2392&gt;AB2391,AB2392,"")</f>
        <v/>
      </c>
    </row>
    <row r="2393">
      <c r="W2393" s="7" t="n"/>
      <c r="X2393" s="7" t="n"/>
      <c r="Z2393">
        <f>Z2392+IF(W2393="",0,IF(ISNA(MATCH(W2393,W$256:W2392,0)),1,0))</f>
        <v/>
      </c>
      <c r="AA2393">
        <f>IF(Z2393&gt;Z2392,Z2393,"")</f>
        <v/>
      </c>
      <c r="AB2393">
        <f>AB2392+IF(X2393="",0,IF(ISNA(MATCH(X2393,X$256:X2392,0)),1,0))</f>
        <v/>
      </c>
      <c r="AC2393">
        <f>IF(AB2393&gt;AB2392,AB2393,"")</f>
        <v/>
      </c>
    </row>
    <row r="2394">
      <c r="W2394" s="7" t="n"/>
      <c r="X2394" s="7" t="n"/>
      <c r="Z2394">
        <f>Z2393+IF(W2394="",0,IF(ISNA(MATCH(W2394,W$256:W2393,0)),1,0))</f>
        <v/>
      </c>
      <c r="AA2394">
        <f>IF(Z2394&gt;Z2393,Z2394,"")</f>
        <v/>
      </c>
      <c r="AB2394">
        <f>AB2393+IF(X2394="",0,IF(ISNA(MATCH(X2394,X$256:X2393,0)),1,0))</f>
        <v/>
      </c>
      <c r="AC2394">
        <f>IF(AB2394&gt;AB2393,AB2394,"")</f>
        <v/>
      </c>
    </row>
    <row r="2395">
      <c r="W2395" s="7" t="n"/>
      <c r="X2395" s="7" t="n"/>
      <c r="Z2395">
        <f>Z2394+IF(W2395="",0,IF(ISNA(MATCH(W2395,W$256:W2394,0)),1,0))</f>
        <v/>
      </c>
      <c r="AA2395">
        <f>IF(Z2395&gt;Z2394,Z2395,"")</f>
        <v/>
      </c>
      <c r="AB2395">
        <f>AB2394+IF(X2395="",0,IF(ISNA(MATCH(X2395,X$256:X2394,0)),1,0))</f>
        <v/>
      </c>
      <c r="AC2395">
        <f>IF(AB2395&gt;AB2394,AB2395,"")</f>
        <v/>
      </c>
    </row>
    <row r="2396">
      <c r="W2396" s="7" t="n"/>
      <c r="X2396" s="7" t="n"/>
      <c r="Z2396">
        <f>Z2395+IF(W2396="",0,IF(ISNA(MATCH(W2396,W$256:W2395,0)),1,0))</f>
        <v/>
      </c>
      <c r="AA2396">
        <f>IF(Z2396&gt;Z2395,Z2396,"")</f>
        <v/>
      </c>
      <c r="AB2396">
        <f>AB2395+IF(X2396="",0,IF(ISNA(MATCH(X2396,X$256:X2395,0)),1,0))</f>
        <v/>
      </c>
      <c r="AC2396">
        <f>IF(AB2396&gt;AB2395,AB2396,"")</f>
        <v/>
      </c>
    </row>
    <row r="2397">
      <c r="W2397" s="7" t="n"/>
      <c r="X2397" s="7" t="n"/>
      <c r="Z2397">
        <f>Z2396+IF(W2397="",0,IF(ISNA(MATCH(W2397,W$256:W2396,0)),1,0))</f>
        <v/>
      </c>
      <c r="AA2397">
        <f>IF(Z2397&gt;Z2396,Z2397,"")</f>
        <v/>
      </c>
      <c r="AB2397">
        <f>AB2396+IF(X2397="",0,IF(ISNA(MATCH(X2397,X$256:X2396,0)),1,0))</f>
        <v/>
      </c>
      <c r="AC2397">
        <f>IF(AB2397&gt;AB2396,AB2397,"")</f>
        <v/>
      </c>
    </row>
    <row r="2398">
      <c r="W2398" s="7" t="n"/>
      <c r="X2398" s="7" t="n"/>
      <c r="Z2398">
        <f>Z2397+IF(W2398="",0,IF(ISNA(MATCH(W2398,W$256:W2397,0)),1,0))</f>
        <v/>
      </c>
      <c r="AA2398">
        <f>IF(Z2398&gt;Z2397,Z2398,"")</f>
        <v/>
      </c>
      <c r="AB2398">
        <f>AB2397+IF(X2398="",0,IF(ISNA(MATCH(X2398,X$256:X2397,0)),1,0))</f>
        <v/>
      </c>
      <c r="AC2398">
        <f>IF(AB2398&gt;AB2397,AB2398,"")</f>
        <v/>
      </c>
    </row>
    <row r="2399">
      <c r="W2399" s="7" t="n"/>
      <c r="X2399" s="7" t="n"/>
      <c r="Z2399">
        <f>Z2398+IF(W2399="",0,IF(ISNA(MATCH(W2399,W$256:W2398,0)),1,0))</f>
        <v/>
      </c>
      <c r="AA2399">
        <f>IF(Z2399&gt;Z2398,Z2399,"")</f>
        <v/>
      </c>
      <c r="AB2399">
        <f>AB2398+IF(X2399="",0,IF(ISNA(MATCH(X2399,X$256:X2398,0)),1,0))</f>
        <v/>
      </c>
      <c r="AC2399">
        <f>IF(AB2399&gt;AB2398,AB2399,"")</f>
        <v/>
      </c>
    </row>
    <row r="2400">
      <c r="W2400" s="7" t="n"/>
      <c r="X2400" s="7" t="n"/>
      <c r="Z2400">
        <f>Z2399+IF(W2400="",0,IF(ISNA(MATCH(W2400,W$256:W2399,0)),1,0))</f>
        <v/>
      </c>
      <c r="AA2400">
        <f>IF(Z2400&gt;Z2399,Z2400,"")</f>
        <v/>
      </c>
      <c r="AB2400">
        <f>AB2399+IF(X2400="",0,IF(ISNA(MATCH(X2400,X$256:X2399,0)),1,0))</f>
        <v/>
      </c>
      <c r="AC2400">
        <f>IF(AB2400&gt;AB2399,AB2400,"")</f>
        <v/>
      </c>
    </row>
    <row r="2401">
      <c r="W2401" s="7" t="n"/>
      <c r="X2401" s="7" t="n"/>
      <c r="Z2401">
        <f>Z2400+IF(W2401="",0,IF(ISNA(MATCH(W2401,W$256:W2400,0)),1,0))</f>
        <v/>
      </c>
      <c r="AA2401">
        <f>IF(Z2401&gt;Z2400,Z2401,"")</f>
        <v/>
      </c>
      <c r="AB2401">
        <f>AB2400+IF(X2401="",0,IF(ISNA(MATCH(X2401,X$256:X2400,0)),1,0))</f>
        <v/>
      </c>
      <c r="AC2401">
        <f>IF(AB2401&gt;AB2400,AB2401,"")</f>
        <v/>
      </c>
    </row>
    <row r="2402">
      <c r="W2402" s="7" t="n"/>
      <c r="X2402" s="7" t="n"/>
      <c r="Z2402">
        <f>Z2401+IF(W2402="",0,IF(ISNA(MATCH(W2402,W$256:W2401,0)),1,0))</f>
        <v/>
      </c>
      <c r="AA2402">
        <f>IF(Z2402&gt;Z2401,Z2402,"")</f>
        <v/>
      </c>
      <c r="AB2402">
        <f>AB2401+IF(X2402="",0,IF(ISNA(MATCH(X2402,X$256:X2401,0)),1,0))</f>
        <v/>
      </c>
      <c r="AC2402">
        <f>IF(AB2402&gt;AB2401,AB2402,"")</f>
        <v/>
      </c>
    </row>
    <row r="2403">
      <c r="W2403" s="7" t="n"/>
      <c r="X2403" s="7" t="n"/>
      <c r="Z2403">
        <f>Z2402+IF(W2403="",0,IF(ISNA(MATCH(W2403,W$256:W2402,0)),1,0))</f>
        <v/>
      </c>
      <c r="AA2403">
        <f>IF(Z2403&gt;Z2402,Z2403,"")</f>
        <v/>
      </c>
      <c r="AB2403">
        <f>AB2402+IF(X2403="",0,IF(ISNA(MATCH(X2403,X$256:X2402,0)),1,0))</f>
        <v/>
      </c>
      <c r="AC2403">
        <f>IF(AB2403&gt;AB2402,AB2403,"")</f>
        <v/>
      </c>
    </row>
    <row r="2404">
      <c r="W2404" s="7" t="n"/>
      <c r="X2404" s="7" t="n"/>
      <c r="Z2404">
        <f>Z2403+IF(W2404="",0,IF(ISNA(MATCH(W2404,W$256:W2403,0)),1,0))</f>
        <v/>
      </c>
      <c r="AA2404">
        <f>IF(Z2404&gt;Z2403,Z2404,"")</f>
        <v/>
      </c>
      <c r="AB2404">
        <f>AB2403+IF(X2404="",0,IF(ISNA(MATCH(X2404,X$256:X2403,0)),1,0))</f>
        <v/>
      </c>
      <c r="AC2404">
        <f>IF(AB2404&gt;AB2403,AB2404,"")</f>
        <v/>
      </c>
    </row>
    <row r="2405">
      <c r="W2405" s="7" t="n"/>
      <c r="X2405" s="7" t="n"/>
      <c r="Z2405">
        <f>Z2404+IF(W2405="",0,IF(ISNA(MATCH(W2405,W$256:W2404,0)),1,0))</f>
        <v/>
      </c>
      <c r="AA2405">
        <f>IF(Z2405&gt;Z2404,Z2405,"")</f>
        <v/>
      </c>
      <c r="AB2405">
        <f>AB2404+IF(X2405="",0,IF(ISNA(MATCH(X2405,X$256:X2404,0)),1,0))</f>
        <v/>
      </c>
      <c r="AC2405">
        <f>IF(AB2405&gt;AB2404,AB2405,"")</f>
        <v/>
      </c>
    </row>
    <row r="2406">
      <c r="W2406" s="7" t="n"/>
      <c r="X2406" s="7" t="n"/>
      <c r="Z2406">
        <f>Z2405+IF(W2406="",0,IF(ISNA(MATCH(W2406,W$256:W2405,0)),1,0))</f>
        <v/>
      </c>
      <c r="AA2406">
        <f>IF(Z2406&gt;Z2405,Z2406,"")</f>
        <v/>
      </c>
      <c r="AB2406">
        <f>AB2405+IF(X2406="",0,IF(ISNA(MATCH(X2406,X$256:X2405,0)),1,0))</f>
        <v/>
      </c>
      <c r="AC2406">
        <f>IF(AB2406&gt;AB2405,AB2406,"")</f>
        <v/>
      </c>
    </row>
    <row r="2407">
      <c r="W2407" s="7" t="n"/>
      <c r="X2407" s="7" t="n"/>
      <c r="Z2407">
        <f>Z2406+IF(W2407="",0,IF(ISNA(MATCH(W2407,W$256:W2406,0)),1,0))</f>
        <v/>
      </c>
      <c r="AA2407">
        <f>IF(Z2407&gt;Z2406,Z2407,"")</f>
        <v/>
      </c>
      <c r="AB2407">
        <f>AB2406+IF(X2407="",0,IF(ISNA(MATCH(X2407,X$256:X2406,0)),1,0))</f>
        <v/>
      </c>
      <c r="AC2407">
        <f>IF(AB2407&gt;AB2406,AB2407,"")</f>
        <v/>
      </c>
    </row>
    <row r="2408">
      <c r="W2408" s="7" t="n"/>
      <c r="X2408" s="7" t="n"/>
      <c r="Z2408">
        <f>Z2407+IF(W2408="",0,IF(ISNA(MATCH(W2408,W$256:W2407,0)),1,0))</f>
        <v/>
      </c>
      <c r="AA2408">
        <f>IF(Z2408&gt;Z2407,Z2408,"")</f>
        <v/>
      </c>
      <c r="AB2408">
        <f>AB2407+IF(X2408="",0,IF(ISNA(MATCH(X2408,X$256:X2407,0)),1,0))</f>
        <v/>
      </c>
      <c r="AC2408">
        <f>IF(AB2408&gt;AB2407,AB2408,"")</f>
        <v/>
      </c>
    </row>
    <row r="2409">
      <c r="W2409" s="7" t="n"/>
      <c r="X2409" s="7" t="n"/>
      <c r="Z2409">
        <f>Z2408+IF(W2409="",0,IF(ISNA(MATCH(W2409,W$256:W2408,0)),1,0))</f>
        <v/>
      </c>
      <c r="AA2409">
        <f>IF(Z2409&gt;Z2408,Z2409,"")</f>
        <v/>
      </c>
      <c r="AB2409">
        <f>AB2408+IF(X2409="",0,IF(ISNA(MATCH(X2409,X$256:X2408,0)),1,0))</f>
        <v/>
      </c>
      <c r="AC2409">
        <f>IF(AB2409&gt;AB2408,AB2409,"")</f>
        <v/>
      </c>
    </row>
    <row r="2410">
      <c r="W2410" s="7" t="n"/>
      <c r="X2410" s="7" t="n"/>
      <c r="Z2410">
        <f>Z2409+IF(W2410="",0,IF(ISNA(MATCH(W2410,W$256:W2409,0)),1,0))</f>
        <v/>
      </c>
      <c r="AA2410">
        <f>IF(Z2410&gt;Z2409,Z2410,"")</f>
        <v/>
      </c>
      <c r="AB2410">
        <f>AB2409+IF(X2410="",0,IF(ISNA(MATCH(X2410,X$256:X2409,0)),1,0))</f>
        <v/>
      </c>
      <c r="AC2410">
        <f>IF(AB2410&gt;AB2409,AB2410,"")</f>
        <v/>
      </c>
    </row>
    <row r="2411">
      <c r="W2411" s="7" t="n"/>
      <c r="X2411" s="7" t="n"/>
      <c r="Z2411">
        <f>Z2410+IF(W2411="",0,IF(ISNA(MATCH(W2411,W$256:W2410,0)),1,0))</f>
        <v/>
      </c>
      <c r="AA2411">
        <f>IF(Z2411&gt;Z2410,Z2411,"")</f>
        <v/>
      </c>
      <c r="AB2411">
        <f>AB2410+IF(X2411="",0,IF(ISNA(MATCH(X2411,X$256:X2410,0)),1,0))</f>
        <v/>
      </c>
      <c r="AC2411">
        <f>IF(AB2411&gt;AB2410,AB2411,"")</f>
        <v/>
      </c>
    </row>
    <row r="2412">
      <c r="W2412" s="7" t="n"/>
      <c r="X2412" s="7" t="n"/>
      <c r="Z2412">
        <f>Z2411+IF(W2412="",0,IF(ISNA(MATCH(W2412,W$256:W2411,0)),1,0))</f>
        <v/>
      </c>
      <c r="AA2412">
        <f>IF(Z2412&gt;Z2411,Z2412,"")</f>
        <v/>
      </c>
      <c r="AB2412">
        <f>AB2411+IF(X2412="",0,IF(ISNA(MATCH(X2412,X$256:X2411,0)),1,0))</f>
        <v/>
      </c>
      <c r="AC2412">
        <f>IF(AB2412&gt;AB2411,AB2412,"")</f>
        <v/>
      </c>
    </row>
    <row r="2413">
      <c r="W2413" s="7" t="n"/>
      <c r="X2413" s="7" t="n"/>
      <c r="Z2413">
        <f>Z2412+IF(W2413="",0,IF(ISNA(MATCH(W2413,W$256:W2412,0)),1,0))</f>
        <v/>
      </c>
      <c r="AA2413">
        <f>IF(Z2413&gt;Z2412,Z2413,"")</f>
        <v/>
      </c>
      <c r="AB2413">
        <f>AB2412+IF(X2413="",0,IF(ISNA(MATCH(X2413,X$256:X2412,0)),1,0))</f>
        <v/>
      </c>
      <c r="AC2413">
        <f>IF(AB2413&gt;AB2412,AB2413,"")</f>
        <v/>
      </c>
    </row>
    <row r="2414">
      <c r="W2414" s="7" t="n"/>
      <c r="X2414" s="7" t="n"/>
      <c r="Z2414">
        <f>Z2413+IF(W2414="",0,IF(ISNA(MATCH(W2414,W$256:W2413,0)),1,0))</f>
        <v/>
      </c>
      <c r="AA2414">
        <f>IF(Z2414&gt;Z2413,Z2414,"")</f>
        <v/>
      </c>
      <c r="AB2414">
        <f>AB2413+IF(X2414="",0,IF(ISNA(MATCH(X2414,X$256:X2413,0)),1,0))</f>
        <v/>
      </c>
      <c r="AC2414">
        <f>IF(AB2414&gt;AB2413,AB2414,"")</f>
        <v/>
      </c>
    </row>
    <row r="2415">
      <c r="W2415" s="7" t="n"/>
      <c r="X2415" s="7" t="n"/>
      <c r="Z2415">
        <f>Z2414+IF(W2415="",0,IF(ISNA(MATCH(W2415,W$256:W2414,0)),1,0))</f>
        <v/>
      </c>
      <c r="AA2415">
        <f>IF(Z2415&gt;Z2414,Z2415,"")</f>
        <v/>
      </c>
      <c r="AB2415">
        <f>AB2414+IF(X2415="",0,IF(ISNA(MATCH(X2415,X$256:X2414,0)),1,0))</f>
        <v/>
      </c>
      <c r="AC2415">
        <f>IF(AB2415&gt;AB2414,AB2415,"")</f>
        <v/>
      </c>
    </row>
    <row r="2416">
      <c r="W2416" s="7" t="n"/>
      <c r="X2416" s="7" t="n"/>
      <c r="Z2416">
        <f>Z2415+IF(W2416="",0,IF(ISNA(MATCH(W2416,W$256:W2415,0)),1,0))</f>
        <v/>
      </c>
      <c r="AA2416">
        <f>IF(Z2416&gt;Z2415,Z2416,"")</f>
        <v/>
      </c>
      <c r="AB2416">
        <f>AB2415+IF(X2416="",0,IF(ISNA(MATCH(X2416,X$256:X2415,0)),1,0))</f>
        <v/>
      </c>
      <c r="AC2416">
        <f>IF(AB2416&gt;AB2415,AB2416,"")</f>
        <v/>
      </c>
    </row>
    <row r="2417">
      <c r="W2417" s="7" t="n"/>
      <c r="X2417" s="7" t="n"/>
      <c r="Z2417">
        <f>Z2416+IF(W2417="",0,IF(ISNA(MATCH(W2417,W$256:W2416,0)),1,0))</f>
        <v/>
      </c>
      <c r="AA2417">
        <f>IF(Z2417&gt;Z2416,Z2417,"")</f>
        <v/>
      </c>
      <c r="AB2417">
        <f>AB2416+IF(X2417="",0,IF(ISNA(MATCH(X2417,X$256:X2416,0)),1,0))</f>
        <v/>
      </c>
      <c r="AC2417">
        <f>IF(AB2417&gt;AB2416,AB2417,"")</f>
        <v/>
      </c>
    </row>
    <row r="2418">
      <c r="W2418" s="7" t="n"/>
      <c r="X2418" s="7" t="n"/>
      <c r="Z2418">
        <f>Z2417+IF(W2418="",0,IF(ISNA(MATCH(W2418,W$256:W2417,0)),1,0))</f>
        <v/>
      </c>
      <c r="AA2418">
        <f>IF(Z2418&gt;Z2417,Z2418,"")</f>
        <v/>
      </c>
      <c r="AB2418">
        <f>AB2417+IF(X2418="",0,IF(ISNA(MATCH(X2418,X$256:X2417,0)),1,0))</f>
        <v/>
      </c>
      <c r="AC2418">
        <f>IF(AB2418&gt;AB2417,AB2418,"")</f>
        <v/>
      </c>
    </row>
    <row r="2419">
      <c r="W2419" s="7" t="n"/>
      <c r="X2419" s="7" t="n"/>
      <c r="Z2419">
        <f>Z2418+IF(W2419="",0,IF(ISNA(MATCH(W2419,W$256:W2418,0)),1,0))</f>
        <v/>
      </c>
      <c r="AA2419">
        <f>IF(Z2419&gt;Z2418,Z2419,"")</f>
        <v/>
      </c>
      <c r="AB2419">
        <f>AB2418+IF(X2419="",0,IF(ISNA(MATCH(X2419,X$256:X2418,0)),1,0))</f>
        <v/>
      </c>
      <c r="AC2419">
        <f>IF(AB2419&gt;AB2418,AB2419,"")</f>
        <v/>
      </c>
    </row>
    <row r="2420">
      <c r="W2420" s="7" t="n"/>
      <c r="X2420" s="7" t="n"/>
      <c r="Z2420">
        <f>Z2419+IF(W2420="",0,IF(ISNA(MATCH(W2420,W$256:W2419,0)),1,0))</f>
        <v/>
      </c>
      <c r="AA2420">
        <f>IF(Z2420&gt;Z2419,Z2420,"")</f>
        <v/>
      </c>
      <c r="AB2420">
        <f>AB2419+IF(X2420="",0,IF(ISNA(MATCH(X2420,X$256:X2419,0)),1,0))</f>
        <v/>
      </c>
      <c r="AC2420">
        <f>IF(AB2420&gt;AB2419,AB2420,"")</f>
        <v/>
      </c>
    </row>
    <row r="2421">
      <c r="W2421" s="7" t="n"/>
      <c r="X2421" s="7" t="n"/>
      <c r="Z2421">
        <f>Z2420+IF(W2421="",0,IF(ISNA(MATCH(W2421,W$256:W2420,0)),1,0))</f>
        <v/>
      </c>
      <c r="AA2421">
        <f>IF(Z2421&gt;Z2420,Z2421,"")</f>
        <v/>
      </c>
      <c r="AB2421">
        <f>AB2420+IF(X2421="",0,IF(ISNA(MATCH(X2421,X$256:X2420,0)),1,0))</f>
        <v/>
      </c>
      <c r="AC2421">
        <f>IF(AB2421&gt;AB2420,AB2421,"")</f>
        <v/>
      </c>
    </row>
    <row r="2422">
      <c r="W2422" s="7" t="n"/>
      <c r="X2422" s="7" t="n"/>
      <c r="Z2422">
        <f>Z2421+IF(W2422="",0,IF(ISNA(MATCH(W2422,W$256:W2421,0)),1,0))</f>
        <v/>
      </c>
      <c r="AA2422">
        <f>IF(Z2422&gt;Z2421,Z2422,"")</f>
        <v/>
      </c>
      <c r="AB2422">
        <f>AB2421+IF(X2422="",0,IF(ISNA(MATCH(X2422,X$256:X2421,0)),1,0))</f>
        <v/>
      </c>
      <c r="AC2422">
        <f>IF(AB2422&gt;AB2421,AB2422,"")</f>
        <v/>
      </c>
    </row>
    <row r="2423">
      <c r="W2423" s="7" t="n"/>
      <c r="X2423" s="7" t="n"/>
      <c r="Z2423">
        <f>Z2422+IF(W2423="",0,IF(ISNA(MATCH(W2423,W$256:W2422,0)),1,0))</f>
        <v/>
      </c>
      <c r="AA2423">
        <f>IF(Z2423&gt;Z2422,Z2423,"")</f>
        <v/>
      </c>
      <c r="AB2423">
        <f>AB2422+IF(X2423="",0,IF(ISNA(MATCH(X2423,X$256:X2422,0)),1,0))</f>
        <v/>
      </c>
      <c r="AC2423">
        <f>IF(AB2423&gt;AB2422,AB2423,"")</f>
        <v/>
      </c>
    </row>
    <row r="2424">
      <c r="W2424" s="7" t="n"/>
      <c r="X2424" s="7" t="n"/>
      <c r="Z2424">
        <f>Z2423+IF(W2424="",0,IF(ISNA(MATCH(W2424,W$256:W2423,0)),1,0))</f>
        <v/>
      </c>
      <c r="AA2424">
        <f>IF(Z2424&gt;Z2423,Z2424,"")</f>
        <v/>
      </c>
      <c r="AB2424">
        <f>AB2423+IF(X2424="",0,IF(ISNA(MATCH(X2424,X$256:X2423,0)),1,0))</f>
        <v/>
      </c>
      <c r="AC2424">
        <f>IF(AB2424&gt;AB2423,AB2424,"")</f>
        <v/>
      </c>
    </row>
    <row r="2425">
      <c r="W2425" s="7" t="n"/>
      <c r="X2425" s="7" t="n"/>
      <c r="Z2425">
        <f>Z2424+IF(W2425="",0,IF(ISNA(MATCH(W2425,W$256:W2424,0)),1,0))</f>
        <v/>
      </c>
      <c r="AA2425">
        <f>IF(Z2425&gt;Z2424,Z2425,"")</f>
        <v/>
      </c>
      <c r="AB2425">
        <f>AB2424+IF(X2425="",0,IF(ISNA(MATCH(X2425,X$256:X2424,0)),1,0))</f>
        <v/>
      </c>
      <c r="AC2425">
        <f>IF(AB2425&gt;AB2424,AB2425,"")</f>
        <v/>
      </c>
    </row>
    <row r="2426">
      <c r="W2426" s="7" t="n"/>
      <c r="X2426" s="7" t="n"/>
      <c r="Z2426">
        <f>Z2425+IF(W2426="",0,IF(ISNA(MATCH(W2426,W$256:W2425,0)),1,0))</f>
        <v/>
      </c>
      <c r="AA2426">
        <f>IF(Z2426&gt;Z2425,Z2426,"")</f>
        <v/>
      </c>
      <c r="AB2426">
        <f>AB2425+IF(X2426="",0,IF(ISNA(MATCH(X2426,X$256:X2425,0)),1,0))</f>
        <v/>
      </c>
      <c r="AC2426">
        <f>IF(AB2426&gt;AB2425,AB2426,"")</f>
        <v/>
      </c>
    </row>
    <row r="2427">
      <c r="W2427" s="7" t="n"/>
      <c r="X2427" s="7" t="n"/>
      <c r="Z2427">
        <f>Z2426+IF(W2427="",0,IF(ISNA(MATCH(W2427,W$256:W2426,0)),1,0))</f>
        <v/>
      </c>
      <c r="AA2427">
        <f>IF(Z2427&gt;Z2426,Z2427,"")</f>
        <v/>
      </c>
      <c r="AB2427">
        <f>AB2426+IF(X2427="",0,IF(ISNA(MATCH(X2427,X$256:X2426,0)),1,0))</f>
        <v/>
      </c>
      <c r="AC2427">
        <f>IF(AB2427&gt;AB2426,AB2427,"")</f>
        <v/>
      </c>
    </row>
    <row r="2428">
      <c r="W2428" s="7" t="n"/>
      <c r="X2428" s="7" t="n"/>
      <c r="Z2428">
        <f>Z2427+IF(W2428="",0,IF(ISNA(MATCH(W2428,W$256:W2427,0)),1,0))</f>
        <v/>
      </c>
      <c r="AA2428">
        <f>IF(Z2428&gt;Z2427,Z2428,"")</f>
        <v/>
      </c>
      <c r="AB2428">
        <f>AB2427+IF(X2428="",0,IF(ISNA(MATCH(X2428,X$256:X2427,0)),1,0))</f>
        <v/>
      </c>
      <c r="AC2428">
        <f>IF(AB2428&gt;AB2427,AB2428,"")</f>
        <v/>
      </c>
    </row>
    <row r="2429">
      <c r="W2429" s="7" t="n"/>
      <c r="X2429" s="7" t="n"/>
      <c r="Z2429">
        <f>Z2428+IF(W2429="",0,IF(ISNA(MATCH(W2429,W$256:W2428,0)),1,0))</f>
        <v/>
      </c>
      <c r="AA2429">
        <f>IF(Z2429&gt;Z2428,Z2429,"")</f>
        <v/>
      </c>
      <c r="AB2429">
        <f>AB2428+IF(X2429="",0,IF(ISNA(MATCH(X2429,X$256:X2428,0)),1,0))</f>
        <v/>
      </c>
      <c r="AC2429">
        <f>IF(AB2429&gt;AB2428,AB2429,"")</f>
        <v/>
      </c>
    </row>
    <row r="2430">
      <c r="W2430" s="7" t="n"/>
      <c r="X2430" s="7" t="n"/>
      <c r="Z2430">
        <f>Z2429+IF(W2430="",0,IF(ISNA(MATCH(W2430,W$256:W2429,0)),1,0))</f>
        <v/>
      </c>
      <c r="AA2430">
        <f>IF(Z2430&gt;Z2429,Z2430,"")</f>
        <v/>
      </c>
      <c r="AB2430">
        <f>AB2429+IF(X2430="",0,IF(ISNA(MATCH(X2430,X$256:X2429,0)),1,0))</f>
        <v/>
      </c>
      <c r="AC2430">
        <f>IF(AB2430&gt;AB2429,AB2430,"")</f>
        <v/>
      </c>
    </row>
    <row r="2431">
      <c r="W2431" s="7" t="n"/>
      <c r="X2431" s="7" t="n"/>
      <c r="Z2431">
        <f>Z2430+IF(W2431="",0,IF(ISNA(MATCH(W2431,W$256:W2430,0)),1,0))</f>
        <v/>
      </c>
      <c r="AA2431">
        <f>IF(Z2431&gt;Z2430,Z2431,"")</f>
        <v/>
      </c>
      <c r="AB2431">
        <f>AB2430+IF(X2431="",0,IF(ISNA(MATCH(X2431,X$256:X2430,0)),1,0))</f>
        <v/>
      </c>
      <c r="AC2431">
        <f>IF(AB2431&gt;AB2430,AB2431,"")</f>
        <v/>
      </c>
    </row>
    <row r="2432">
      <c r="W2432" s="7" t="n"/>
      <c r="X2432" s="7" t="n"/>
      <c r="Z2432">
        <f>Z2431+IF(W2432="",0,IF(ISNA(MATCH(W2432,W$256:W2431,0)),1,0))</f>
        <v/>
      </c>
      <c r="AA2432">
        <f>IF(Z2432&gt;Z2431,Z2432,"")</f>
        <v/>
      </c>
      <c r="AB2432">
        <f>AB2431+IF(X2432="",0,IF(ISNA(MATCH(X2432,X$256:X2431,0)),1,0))</f>
        <v/>
      </c>
      <c r="AC2432">
        <f>IF(AB2432&gt;AB2431,AB2432,"")</f>
        <v/>
      </c>
    </row>
    <row r="2433">
      <c r="W2433" s="7" t="n"/>
      <c r="X2433" s="7" t="n"/>
      <c r="Z2433">
        <f>Z2432+IF(W2433="",0,IF(ISNA(MATCH(W2433,W$256:W2432,0)),1,0))</f>
        <v/>
      </c>
      <c r="AA2433">
        <f>IF(Z2433&gt;Z2432,Z2433,"")</f>
        <v/>
      </c>
      <c r="AB2433">
        <f>AB2432+IF(X2433="",0,IF(ISNA(MATCH(X2433,X$256:X2432,0)),1,0))</f>
        <v/>
      </c>
      <c r="AC2433">
        <f>IF(AB2433&gt;AB2432,AB2433,"")</f>
        <v/>
      </c>
    </row>
    <row r="2434">
      <c r="W2434" s="7" t="n"/>
      <c r="X2434" s="7" t="n"/>
      <c r="Z2434">
        <f>Z2433+IF(W2434="",0,IF(ISNA(MATCH(W2434,W$256:W2433,0)),1,0))</f>
        <v/>
      </c>
      <c r="AA2434">
        <f>IF(Z2434&gt;Z2433,Z2434,"")</f>
        <v/>
      </c>
      <c r="AB2434">
        <f>AB2433+IF(X2434="",0,IF(ISNA(MATCH(X2434,X$256:X2433,0)),1,0))</f>
        <v/>
      </c>
      <c r="AC2434">
        <f>IF(AB2434&gt;AB2433,AB2434,"")</f>
        <v/>
      </c>
    </row>
    <row r="2435">
      <c r="W2435" s="7" t="n"/>
      <c r="X2435" s="7" t="n"/>
      <c r="Z2435">
        <f>Z2434+IF(W2435="",0,IF(ISNA(MATCH(W2435,W$256:W2434,0)),1,0))</f>
        <v/>
      </c>
      <c r="AA2435">
        <f>IF(Z2435&gt;Z2434,Z2435,"")</f>
        <v/>
      </c>
      <c r="AB2435">
        <f>AB2434+IF(X2435="",0,IF(ISNA(MATCH(X2435,X$256:X2434,0)),1,0))</f>
        <v/>
      </c>
      <c r="AC2435">
        <f>IF(AB2435&gt;AB2434,AB2435,"")</f>
        <v/>
      </c>
    </row>
    <row r="2436">
      <c r="W2436" s="7" t="n"/>
      <c r="X2436" s="7" t="n"/>
      <c r="Z2436">
        <f>Z2435+IF(W2436="",0,IF(ISNA(MATCH(W2436,W$256:W2435,0)),1,0))</f>
        <v/>
      </c>
      <c r="AA2436">
        <f>IF(Z2436&gt;Z2435,Z2436,"")</f>
        <v/>
      </c>
      <c r="AB2436">
        <f>AB2435+IF(X2436="",0,IF(ISNA(MATCH(X2436,X$256:X2435,0)),1,0))</f>
        <v/>
      </c>
      <c r="AC2436">
        <f>IF(AB2436&gt;AB2435,AB2436,"")</f>
        <v/>
      </c>
    </row>
    <row r="2437">
      <c r="W2437" s="7" t="n"/>
      <c r="X2437" s="7" t="n"/>
      <c r="Z2437">
        <f>Z2436+IF(W2437="",0,IF(ISNA(MATCH(W2437,W$256:W2436,0)),1,0))</f>
        <v/>
      </c>
      <c r="AA2437">
        <f>IF(Z2437&gt;Z2436,Z2437,"")</f>
        <v/>
      </c>
      <c r="AB2437">
        <f>AB2436+IF(X2437="",0,IF(ISNA(MATCH(X2437,X$256:X2436,0)),1,0))</f>
        <v/>
      </c>
      <c r="AC2437">
        <f>IF(AB2437&gt;AB2436,AB2437,"")</f>
        <v/>
      </c>
    </row>
    <row r="2438">
      <c r="W2438" s="7" t="n"/>
      <c r="X2438" s="7" t="n"/>
      <c r="Z2438">
        <f>Z2437+IF(W2438="",0,IF(ISNA(MATCH(W2438,W$256:W2437,0)),1,0))</f>
        <v/>
      </c>
      <c r="AA2438">
        <f>IF(Z2438&gt;Z2437,Z2438,"")</f>
        <v/>
      </c>
      <c r="AB2438">
        <f>AB2437+IF(X2438="",0,IF(ISNA(MATCH(X2438,X$256:X2437,0)),1,0))</f>
        <v/>
      </c>
      <c r="AC2438">
        <f>IF(AB2438&gt;AB2437,AB2438,"")</f>
        <v/>
      </c>
    </row>
    <row r="2439">
      <c r="W2439" s="7" t="n"/>
      <c r="X2439" s="7" t="n"/>
      <c r="Z2439">
        <f>Z2438+IF(W2439="",0,IF(ISNA(MATCH(W2439,W$256:W2438,0)),1,0))</f>
        <v/>
      </c>
      <c r="AA2439">
        <f>IF(Z2439&gt;Z2438,Z2439,"")</f>
        <v/>
      </c>
      <c r="AB2439">
        <f>AB2438+IF(X2439="",0,IF(ISNA(MATCH(X2439,X$256:X2438,0)),1,0))</f>
        <v/>
      </c>
      <c r="AC2439">
        <f>IF(AB2439&gt;AB2438,AB2439,"")</f>
        <v/>
      </c>
    </row>
    <row r="2440">
      <c r="W2440" s="7" t="n"/>
      <c r="X2440" s="7" t="n"/>
      <c r="Z2440">
        <f>Z2439+IF(W2440="",0,IF(ISNA(MATCH(W2440,W$256:W2439,0)),1,0))</f>
        <v/>
      </c>
      <c r="AA2440">
        <f>IF(Z2440&gt;Z2439,Z2440,"")</f>
        <v/>
      </c>
      <c r="AB2440">
        <f>AB2439+IF(X2440="",0,IF(ISNA(MATCH(X2440,X$256:X2439,0)),1,0))</f>
        <v/>
      </c>
      <c r="AC2440">
        <f>IF(AB2440&gt;AB2439,AB2440,"")</f>
        <v/>
      </c>
    </row>
    <row r="2441">
      <c r="W2441" s="7" t="n"/>
      <c r="X2441" s="7" t="n"/>
      <c r="Z2441">
        <f>Z2440+IF(W2441="",0,IF(ISNA(MATCH(W2441,W$256:W2440,0)),1,0))</f>
        <v/>
      </c>
      <c r="AA2441">
        <f>IF(Z2441&gt;Z2440,Z2441,"")</f>
        <v/>
      </c>
      <c r="AB2441">
        <f>AB2440+IF(X2441="",0,IF(ISNA(MATCH(X2441,X$256:X2440,0)),1,0))</f>
        <v/>
      </c>
      <c r="AC2441">
        <f>IF(AB2441&gt;AB2440,AB2441,"")</f>
        <v/>
      </c>
    </row>
    <row r="2442">
      <c r="W2442" s="7" t="n"/>
      <c r="X2442" s="7" t="n"/>
      <c r="Z2442">
        <f>Z2441+IF(W2442="",0,IF(ISNA(MATCH(W2442,W$256:W2441,0)),1,0))</f>
        <v/>
      </c>
      <c r="AA2442">
        <f>IF(Z2442&gt;Z2441,Z2442,"")</f>
        <v/>
      </c>
      <c r="AB2442">
        <f>AB2441+IF(X2442="",0,IF(ISNA(MATCH(X2442,X$256:X2441,0)),1,0))</f>
        <v/>
      </c>
      <c r="AC2442">
        <f>IF(AB2442&gt;AB2441,AB2442,"")</f>
        <v/>
      </c>
    </row>
    <row r="2443">
      <c r="W2443" s="7" t="n"/>
      <c r="X2443" s="7" t="n"/>
      <c r="Z2443">
        <f>Z2442+IF(W2443="",0,IF(ISNA(MATCH(W2443,W$256:W2442,0)),1,0))</f>
        <v/>
      </c>
      <c r="AA2443">
        <f>IF(Z2443&gt;Z2442,Z2443,"")</f>
        <v/>
      </c>
      <c r="AB2443">
        <f>AB2442+IF(X2443="",0,IF(ISNA(MATCH(X2443,X$256:X2442,0)),1,0))</f>
        <v/>
      </c>
      <c r="AC2443">
        <f>IF(AB2443&gt;AB2442,AB2443,"")</f>
        <v/>
      </c>
    </row>
    <row r="2444">
      <c r="W2444" s="7" t="n"/>
      <c r="X2444" s="7" t="n"/>
      <c r="Z2444">
        <f>Z2443+IF(W2444="",0,IF(ISNA(MATCH(W2444,W$256:W2443,0)),1,0))</f>
        <v/>
      </c>
      <c r="AA2444">
        <f>IF(Z2444&gt;Z2443,Z2444,"")</f>
        <v/>
      </c>
      <c r="AB2444">
        <f>AB2443+IF(X2444="",0,IF(ISNA(MATCH(X2444,X$256:X2443,0)),1,0))</f>
        <v/>
      </c>
      <c r="AC2444">
        <f>IF(AB2444&gt;AB2443,AB2444,"")</f>
        <v/>
      </c>
    </row>
    <row r="2445">
      <c r="W2445" s="7" t="n"/>
      <c r="X2445" s="7" t="n"/>
      <c r="Z2445">
        <f>Z2444+IF(W2445="",0,IF(ISNA(MATCH(W2445,W$256:W2444,0)),1,0))</f>
        <v/>
      </c>
      <c r="AA2445">
        <f>IF(Z2445&gt;Z2444,Z2445,"")</f>
        <v/>
      </c>
      <c r="AB2445">
        <f>AB2444+IF(X2445="",0,IF(ISNA(MATCH(X2445,X$256:X2444,0)),1,0))</f>
        <v/>
      </c>
      <c r="AC2445">
        <f>IF(AB2445&gt;AB2444,AB2445,"")</f>
        <v/>
      </c>
    </row>
    <row r="2446">
      <c r="W2446" s="7" t="n"/>
      <c r="X2446" s="7" t="n"/>
      <c r="Z2446">
        <f>Z2445+IF(W2446="",0,IF(ISNA(MATCH(W2446,W$256:W2445,0)),1,0))</f>
        <v/>
      </c>
      <c r="AA2446">
        <f>IF(Z2446&gt;Z2445,Z2446,"")</f>
        <v/>
      </c>
      <c r="AB2446">
        <f>AB2445+IF(X2446="",0,IF(ISNA(MATCH(X2446,X$256:X2445,0)),1,0))</f>
        <v/>
      </c>
      <c r="AC2446">
        <f>IF(AB2446&gt;AB2445,AB2446,"")</f>
        <v/>
      </c>
    </row>
    <row r="2447">
      <c r="W2447" s="7" t="n"/>
      <c r="X2447" s="7" t="n"/>
      <c r="Z2447">
        <f>Z2446+IF(W2447="",0,IF(ISNA(MATCH(W2447,W$256:W2446,0)),1,0))</f>
        <v/>
      </c>
      <c r="AA2447">
        <f>IF(Z2447&gt;Z2446,Z2447,"")</f>
        <v/>
      </c>
      <c r="AB2447">
        <f>AB2446+IF(X2447="",0,IF(ISNA(MATCH(X2447,X$256:X2446,0)),1,0))</f>
        <v/>
      </c>
      <c r="AC2447">
        <f>IF(AB2447&gt;AB2446,AB2447,"")</f>
        <v/>
      </c>
    </row>
    <row r="2448">
      <c r="W2448" s="7" t="n"/>
      <c r="X2448" s="7" t="n"/>
      <c r="Z2448">
        <f>Z2447+IF(W2448="",0,IF(ISNA(MATCH(W2448,W$256:W2447,0)),1,0))</f>
        <v/>
      </c>
      <c r="AA2448">
        <f>IF(Z2448&gt;Z2447,Z2448,"")</f>
        <v/>
      </c>
      <c r="AB2448">
        <f>AB2447+IF(X2448="",0,IF(ISNA(MATCH(X2448,X$256:X2447,0)),1,0))</f>
        <v/>
      </c>
      <c r="AC2448">
        <f>IF(AB2448&gt;AB2447,AB2448,"")</f>
        <v/>
      </c>
    </row>
    <row r="2449">
      <c r="W2449" s="7" t="n"/>
      <c r="X2449" s="7" t="n"/>
      <c r="Z2449">
        <f>Z2448+IF(W2449="",0,IF(ISNA(MATCH(W2449,W$256:W2448,0)),1,0))</f>
        <v/>
      </c>
      <c r="AA2449">
        <f>IF(Z2449&gt;Z2448,Z2449,"")</f>
        <v/>
      </c>
      <c r="AB2449">
        <f>AB2448+IF(X2449="",0,IF(ISNA(MATCH(X2449,X$256:X2448,0)),1,0))</f>
        <v/>
      </c>
      <c r="AC2449">
        <f>IF(AB2449&gt;AB2448,AB2449,"")</f>
        <v/>
      </c>
    </row>
    <row r="2450">
      <c r="W2450" s="7" t="n"/>
      <c r="X2450" s="7" t="n"/>
      <c r="Z2450">
        <f>Z2449+IF(W2450="",0,IF(ISNA(MATCH(W2450,W$256:W2449,0)),1,0))</f>
        <v/>
      </c>
      <c r="AA2450">
        <f>IF(Z2450&gt;Z2449,Z2450,"")</f>
        <v/>
      </c>
      <c r="AB2450">
        <f>AB2449+IF(X2450="",0,IF(ISNA(MATCH(X2450,X$256:X2449,0)),1,0))</f>
        <v/>
      </c>
      <c r="AC2450">
        <f>IF(AB2450&gt;AB2449,AB2450,"")</f>
        <v/>
      </c>
    </row>
    <row r="2451">
      <c r="W2451" s="7" t="n"/>
      <c r="X2451" s="7" t="n"/>
      <c r="Z2451">
        <f>Z2450+IF(W2451="",0,IF(ISNA(MATCH(W2451,W$256:W2450,0)),1,0))</f>
        <v/>
      </c>
      <c r="AA2451">
        <f>IF(Z2451&gt;Z2450,Z2451,"")</f>
        <v/>
      </c>
      <c r="AB2451">
        <f>AB2450+IF(X2451="",0,IF(ISNA(MATCH(X2451,X$256:X2450,0)),1,0))</f>
        <v/>
      </c>
      <c r="AC2451">
        <f>IF(AB2451&gt;AB2450,AB2451,"")</f>
        <v/>
      </c>
    </row>
    <row r="2452">
      <c r="W2452" s="7" t="n"/>
      <c r="X2452" s="7" t="n"/>
      <c r="Z2452">
        <f>Z2451+IF(W2452="",0,IF(ISNA(MATCH(W2452,W$256:W2451,0)),1,0))</f>
        <v/>
      </c>
      <c r="AA2452">
        <f>IF(Z2452&gt;Z2451,Z2452,"")</f>
        <v/>
      </c>
      <c r="AB2452">
        <f>AB2451+IF(X2452="",0,IF(ISNA(MATCH(X2452,X$256:X2451,0)),1,0))</f>
        <v/>
      </c>
      <c r="AC2452">
        <f>IF(AB2452&gt;AB2451,AB2452,"")</f>
        <v/>
      </c>
    </row>
    <row r="2453">
      <c r="W2453" s="7" t="n"/>
      <c r="X2453" s="7" t="n"/>
      <c r="Z2453">
        <f>Z2452+IF(W2453="",0,IF(ISNA(MATCH(W2453,W$256:W2452,0)),1,0))</f>
        <v/>
      </c>
      <c r="AA2453">
        <f>IF(Z2453&gt;Z2452,Z2453,"")</f>
        <v/>
      </c>
      <c r="AB2453">
        <f>AB2452+IF(X2453="",0,IF(ISNA(MATCH(X2453,X$256:X2452,0)),1,0))</f>
        <v/>
      </c>
      <c r="AC2453">
        <f>IF(AB2453&gt;AB2452,AB2453,"")</f>
        <v/>
      </c>
    </row>
    <row r="2454">
      <c r="W2454" s="7" t="n"/>
      <c r="X2454" s="7" t="n"/>
      <c r="Z2454">
        <f>Z2453+IF(W2454="",0,IF(ISNA(MATCH(W2454,W$256:W2453,0)),1,0))</f>
        <v/>
      </c>
      <c r="AA2454">
        <f>IF(Z2454&gt;Z2453,Z2454,"")</f>
        <v/>
      </c>
      <c r="AB2454">
        <f>AB2453+IF(X2454="",0,IF(ISNA(MATCH(X2454,X$256:X2453,0)),1,0))</f>
        <v/>
      </c>
      <c r="AC2454">
        <f>IF(AB2454&gt;AB2453,AB2454,"")</f>
        <v/>
      </c>
    </row>
    <row r="2455">
      <c r="W2455" s="7" t="n"/>
      <c r="X2455" s="7" t="n"/>
      <c r="Z2455">
        <f>Z2454+IF(W2455="",0,IF(ISNA(MATCH(W2455,W$256:W2454,0)),1,0))</f>
        <v/>
      </c>
      <c r="AA2455">
        <f>IF(Z2455&gt;Z2454,Z2455,"")</f>
        <v/>
      </c>
      <c r="AB2455">
        <f>AB2454+IF(X2455="",0,IF(ISNA(MATCH(X2455,X$256:X2454,0)),1,0))</f>
        <v/>
      </c>
      <c r="AC2455">
        <f>IF(AB2455&gt;AB2454,AB2455,"")</f>
        <v/>
      </c>
    </row>
    <row r="2456">
      <c r="W2456" s="7" t="n"/>
      <c r="X2456" s="7" t="n"/>
      <c r="Z2456">
        <f>Z2455+IF(W2456="",0,IF(ISNA(MATCH(W2456,W$256:W2455,0)),1,0))</f>
        <v/>
      </c>
      <c r="AA2456">
        <f>IF(Z2456&gt;Z2455,Z2456,"")</f>
        <v/>
      </c>
      <c r="AB2456">
        <f>AB2455+IF(X2456="",0,IF(ISNA(MATCH(X2456,X$256:X2455,0)),1,0))</f>
        <v/>
      </c>
      <c r="AC2456">
        <f>IF(AB2456&gt;AB2455,AB2456,"")</f>
        <v/>
      </c>
    </row>
    <row r="2457">
      <c r="W2457" s="7" t="n"/>
      <c r="X2457" s="7" t="n"/>
      <c r="Z2457">
        <f>Z2456+IF(W2457="",0,IF(ISNA(MATCH(W2457,W$256:W2456,0)),1,0))</f>
        <v/>
      </c>
      <c r="AA2457">
        <f>IF(Z2457&gt;Z2456,Z2457,"")</f>
        <v/>
      </c>
      <c r="AB2457">
        <f>AB2456+IF(X2457="",0,IF(ISNA(MATCH(X2457,X$256:X2456,0)),1,0))</f>
        <v/>
      </c>
      <c r="AC2457">
        <f>IF(AB2457&gt;AB2456,AB2457,"")</f>
        <v/>
      </c>
    </row>
    <row r="2458">
      <c r="W2458" s="7" t="n"/>
      <c r="X2458" s="7" t="n"/>
      <c r="Z2458">
        <f>Z2457+IF(W2458="",0,IF(ISNA(MATCH(W2458,W$256:W2457,0)),1,0))</f>
        <v/>
      </c>
      <c r="AA2458">
        <f>IF(Z2458&gt;Z2457,Z2458,"")</f>
        <v/>
      </c>
      <c r="AB2458">
        <f>AB2457+IF(X2458="",0,IF(ISNA(MATCH(X2458,X$256:X2457,0)),1,0))</f>
        <v/>
      </c>
      <c r="AC2458">
        <f>IF(AB2458&gt;AB2457,AB2458,"")</f>
        <v/>
      </c>
    </row>
    <row r="2459">
      <c r="W2459" s="7" t="n"/>
      <c r="X2459" s="7" t="n"/>
      <c r="Z2459">
        <f>Z2458+IF(W2459="",0,IF(ISNA(MATCH(W2459,W$256:W2458,0)),1,0))</f>
        <v/>
      </c>
      <c r="AA2459">
        <f>IF(Z2459&gt;Z2458,Z2459,"")</f>
        <v/>
      </c>
      <c r="AB2459">
        <f>AB2458+IF(X2459="",0,IF(ISNA(MATCH(X2459,X$256:X2458,0)),1,0))</f>
        <v/>
      </c>
      <c r="AC2459">
        <f>IF(AB2459&gt;AB2458,AB2459,"")</f>
        <v/>
      </c>
    </row>
    <row r="2460">
      <c r="W2460" s="7" t="n"/>
      <c r="X2460" s="7" t="n"/>
      <c r="Z2460">
        <f>Z2459+IF(W2460="",0,IF(ISNA(MATCH(W2460,W$256:W2459,0)),1,0))</f>
        <v/>
      </c>
      <c r="AA2460">
        <f>IF(Z2460&gt;Z2459,Z2460,"")</f>
        <v/>
      </c>
      <c r="AB2460">
        <f>AB2459+IF(X2460="",0,IF(ISNA(MATCH(X2460,X$256:X2459,0)),1,0))</f>
        <v/>
      </c>
      <c r="AC2460">
        <f>IF(AB2460&gt;AB2459,AB2460,"")</f>
        <v/>
      </c>
    </row>
    <row r="2461">
      <c r="W2461" s="7" t="n"/>
      <c r="X2461" s="7" t="n"/>
      <c r="Z2461">
        <f>Z2460+IF(W2461="",0,IF(ISNA(MATCH(W2461,W$256:W2460,0)),1,0))</f>
        <v/>
      </c>
      <c r="AA2461">
        <f>IF(Z2461&gt;Z2460,Z2461,"")</f>
        <v/>
      </c>
      <c r="AB2461">
        <f>AB2460+IF(X2461="",0,IF(ISNA(MATCH(X2461,X$256:X2460,0)),1,0))</f>
        <v/>
      </c>
      <c r="AC2461">
        <f>IF(AB2461&gt;AB2460,AB2461,"")</f>
        <v/>
      </c>
    </row>
    <row r="2462">
      <c r="W2462" s="7" t="n"/>
      <c r="X2462" s="7" t="n"/>
      <c r="Z2462">
        <f>Z2461+IF(W2462="",0,IF(ISNA(MATCH(W2462,W$256:W2461,0)),1,0))</f>
        <v/>
      </c>
      <c r="AA2462">
        <f>IF(Z2462&gt;Z2461,Z2462,"")</f>
        <v/>
      </c>
      <c r="AB2462">
        <f>AB2461+IF(X2462="",0,IF(ISNA(MATCH(X2462,X$256:X2461,0)),1,0))</f>
        <v/>
      </c>
      <c r="AC2462">
        <f>IF(AB2462&gt;AB2461,AB2462,"")</f>
        <v/>
      </c>
    </row>
    <row r="2463">
      <c r="W2463" s="7" t="n"/>
      <c r="X2463" s="7" t="n"/>
      <c r="Z2463">
        <f>Z2462+IF(W2463="",0,IF(ISNA(MATCH(W2463,W$256:W2462,0)),1,0))</f>
        <v/>
      </c>
      <c r="AA2463">
        <f>IF(Z2463&gt;Z2462,Z2463,"")</f>
        <v/>
      </c>
      <c r="AB2463">
        <f>AB2462+IF(X2463="",0,IF(ISNA(MATCH(X2463,X$256:X2462,0)),1,0))</f>
        <v/>
      </c>
      <c r="AC2463">
        <f>IF(AB2463&gt;AB2462,AB2463,"")</f>
        <v/>
      </c>
    </row>
    <row r="2464">
      <c r="W2464" s="7" t="n"/>
      <c r="X2464" s="7" t="n"/>
      <c r="Z2464">
        <f>Z2463+IF(W2464="",0,IF(ISNA(MATCH(W2464,W$256:W2463,0)),1,0))</f>
        <v/>
      </c>
      <c r="AA2464">
        <f>IF(Z2464&gt;Z2463,Z2464,"")</f>
        <v/>
      </c>
      <c r="AB2464">
        <f>AB2463+IF(X2464="",0,IF(ISNA(MATCH(X2464,X$256:X2463,0)),1,0))</f>
        <v/>
      </c>
      <c r="AC2464">
        <f>IF(AB2464&gt;AB2463,AB2464,"")</f>
        <v/>
      </c>
    </row>
    <row r="2465">
      <c r="W2465" s="7" t="n"/>
      <c r="X2465" s="7" t="n"/>
      <c r="Z2465">
        <f>Z2464+IF(W2465="",0,IF(ISNA(MATCH(W2465,W$256:W2464,0)),1,0))</f>
        <v/>
      </c>
      <c r="AA2465">
        <f>IF(Z2465&gt;Z2464,Z2465,"")</f>
        <v/>
      </c>
      <c r="AB2465">
        <f>AB2464+IF(X2465="",0,IF(ISNA(MATCH(X2465,X$256:X2464,0)),1,0))</f>
        <v/>
      </c>
      <c r="AC2465">
        <f>IF(AB2465&gt;AB2464,AB2465,"")</f>
        <v/>
      </c>
    </row>
    <row r="2466">
      <c r="W2466" s="7" t="n"/>
      <c r="X2466" s="7" t="n"/>
      <c r="Z2466">
        <f>Z2465+IF(W2466="",0,IF(ISNA(MATCH(W2466,W$256:W2465,0)),1,0))</f>
        <v/>
      </c>
      <c r="AA2466">
        <f>IF(Z2466&gt;Z2465,Z2466,"")</f>
        <v/>
      </c>
      <c r="AB2466">
        <f>AB2465+IF(X2466="",0,IF(ISNA(MATCH(X2466,X$256:X2465,0)),1,0))</f>
        <v/>
      </c>
      <c r="AC2466">
        <f>IF(AB2466&gt;AB2465,AB2466,"")</f>
        <v/>
      </c>
    </row>
    <row r="2467">
      <c r="W2467" s="7" t="n"/>
      <c r="X2467" s="7" t="n"/>
      <c r="Z2467">
        <f>Z2466+IF(W2467="",0,IF(ISNA(MATCH(W2467,W$256:W2466,0)),1,0))</f>
        <v/>
      </c>
      <c r="AA2467">
        <f>IF(Z2467&gt;Z2466,Z2467,"")</f>
        <v/>
      </c>
      <c r="AB2467">
        <f>AB2466+IF(X2467="",0,IF(ISNA(MATCH(X2467,X$256:X2466,0)),1,0))</f>
        <v/>
      </c>
      <c r="AC2467">
        <f>IF(AB2467&gt;AB2466,AB2467,"")</f>
        <v/>
      </c>
    </row>
    <row r="2468">
      <c r="W2468" s="7" t="n"/>
      <c r="X2468" s="7" t="n"/>
      <c r="Z2468">
        <f>Z2467+IF(W2468="",0,IF(ISNA(MATCH(W2468,W$256:W2467,0)),1,0))</f>
        <v/>
      </c>
      <c r="AA2468">
        <f>IF(Z2468&gt;Z2467,Z2468,"")</f>
        <v/>
      </c>
      <c r="AB2468">
        <f>AB2467+IF(X2468="",0,IF(ISNA(MATCH(X2468,X$256:X2467,0)),1,0))</f>
        <v/>
      </c>
      <c r="AC2468">
        <f>IF(AB2468&gt;AB2467,AB2468,"")</f>
        <v/>
      </c>
    </row>
    <row r="2469">
      <c r="W2469" s="7" t="n"/>
      <c r="X2469" s="7" t="n"/>
      <c r="Z2469">
        <f>Z2468+IF(W2469="",0,IF(ISNA(MATCH(W2469,W$256:W2468,0)),1,0))</f>
        <v/>
      </c>
      <c r="AA2469">
        <f>IF(Z2469&gt;Z2468,Z2469,"")</f>
        <v/>
      </c>
      <c r="AB2469">
        <f>AB2468+IF(X2469="",0,IF(ISNA(MATCH(X2469,X$256:X2468,0)),1,0))</f>
        <v/>
      </c>
      <c r="AC2469">
        <f>IF(AB2469&gt;AB2468,AB2469,"")</f>
        <v/>
      </c>
    </row>
    <row r="2470">
      <c r="W2470" s="7" t="n"/>
      <c r="X2470" s="7" t="n"/>
      <c r="Z2470">
        <f>Z2469+IF(W2470="",0,IF(ISNA(MATCH(W2470,W$256:W2469,0)),1,0))</f>
        <v/>
      </c>
      <c r="AA2470">
        <f>IF(Z2470&gt;Z2469,Z2470,"")</f>
        <v/>
      </c>
      <c r="AB2470">
        <f>AB2469+IF(X2470="",0,IF(ISNA(MATCH(X2470,X$256:X2469,0)),1,0))</f>
        <v/>
      </c>
      <c r="AC2470">
        <f>IF(AB2470&gt;AB2469,AB2470,"")</f>
        <v/>
      </c>
    </row>
    <row r="2471">
      <c r="W2471" s="7" t="n"/>
      <c r="X2471" s="7" t="n"/>
      <c r="Z2471">
        <f>Z2470+IF(W2471="",0,IF(ISNA(MATCH(W2471,W$256:W2470,0)),1,0))</f>
        <v/>
      </c>
      <c r="AA2471">
        <f>IF(Z2471&gt;Z2470,Z2471,"")</f>
        <v/>
      </c>
      <c r="AB2471">
        <f>AB2470+IF(X2471="",0,IF(ISNA(MATCH(X2471,X$256:X2470,0)),1,0))</f>
        <v/>
      </c>
      <c r="AC2471">
        <f>IF(AB2471&gt;AB2470,AB2471,"")</f>
        <v/>
      </c>
    </row>
    <row r="2472">
      <c r="W2472" s="7" t="n"/>
      <c r="X2472" s="7" t="n"/>
      <c r="Z2472">
        <f>Z2471+IF(W2472="",0,IF(ISNA(MATCH(W2472,W$256:W2471,0)),1,0))</f>
        <v/>
      </c>
      <c r="AA2472">
        <f>IF(Z2472&gt;Z2471,Z2472,"")</f>
        <v/>
      </c>
      <c r="AB2472">
        <f>AB2471+IF(X2472="",0,IF(ISNA(MATCH(X2472,X$256:X2471,0)),1,0))</f>
        <v/>
      </c>
      <c r="AC2472">
        <f>IF(AB2472&gt;AB2471,AB2472,"")</f>
        <v/>
      </c>
    </row>
    <row r="2473">
      <c r="W2473" s="7" t="n"/>
      <c r="X2473" s="7" t="n"/>
      <c r="Z2473">
        <f>Z2472+IF(W2473="",0,IF(ISNA(MATCH(W2473,W$256:W2472,0)),1,0))</f>
        <v/>
      </c>
      <c r="AA2473">
        <f>IF(Z2473&gt;Z2472,Z2473,"")</f>
        <v/>
      </c>
      <c r="AB2473">
        <f>AB2472+IF(X2473="",0,IF(ISNA(MATCH(X2473,X$256:X2472,0)),1,0))</f>
        <v/>
      </c>
      <c r="AC2473">
        <f>IF(AB2473&gt;AB2472,AB2473,"")</f>
        <v/>
      </c>
    </row>
    <row r="2474">
      <c r="W2474" s="7" t="n"/>
      <c r="X2474" s="7" t="n"/>
      <c r="Z2474">
        <f>Z2473+IF(W2474="",0,IF(ISNA(MATCH(W2474,W$256:W2473,0)),1,0))</f>
        <v/>
      </c>
      <c r="AA2474">
        <f>IF(Z2474&gt;Z2473,Z2474,"")</f>
        <v/>
      </c>
      <c r="AB2474">
        <f>AB2473+IF(X2474="",0,IF(ISNA(MATCH(X2474,X$256:X2473,0)),1,0))</f>
        <v/>
      </c>
      <c r="AC2474">
        <f>IF(AB2474&gt;AB2473,AB2474,"")</f>
        <v/>
      </c>
    </row>
    <row r="2475">
      <c r="W2475" s="7" t="n"/>
      <c r="X2475" s="7" t="n"/>
      <c r="Z2475">
        <f>Z2474+IF(W2475="",0,IF(ISNA(MATCH(W2475,W$256:W2474,0)),1,0))</f>
        <v/>
      </c>
      <c r="AA2475">
        <f>IF(Z2475&gt;Z2474,Z2475,"")</f>
        <v/>
      </c>
      <c r="AB2475">
        <f>AB2474+IF(X2475="",0,IF(ISNA(MATCH(X2475,X$256:X2474,0)),1,0))</f>
        <v/>
      </c>
      <c r="AC2475">
        <f>IF(AB2475&gt;AB2474,AB2475,"")</f>
        <v/>
      </c>
    </row>
    <row r="2476">
      <c r="W2476" s="7" t="n"/>
      <c r="X2476" s="7" t="n"/>
      <c r="Z2476">
        <f>Z2475+IF(W2476="",0,IF(ISNA(MATCH(W2476,W$256:W2475,0)),1,0))</f>
        <v/>
      </c>
      <c r="AA2476">
        <f>IF(Z2476&gt;Z2475,Z2476,"")</f>
        <v/>
      </c>
      <c r="AB2476">
        <f>AB2475+IF(X2476="",0,IF(ISNA(MATCH(X2476,X$256:X2475,0)),1,0))</f>
        <v/>
      </c>
      <c r="AC2476">
        <f>IF(AB2476&gt;AB2475,AB2476,"")</f>
        <v/>
      </c>
    </row>
    <row r="2477">
      <c r="W2477" s="7" t="n"/>
      <c r="X2477" s="7" t="n"/>
      <c r="Z2477">
        <f>Z2476+IF(W2477="",0,IF(ISNA(MATCH(W2477,W$256:W2476,0)),1,0))</f>
        <v/>
      </c>
      <c r="AA2477">
        <f>IF(Z2477&gt;Z2476,Z2477,"")</f>
        <v/>
      </c>
      <c r="AB2477">
        <f>AB2476+IF(X2477="",0,IF(ISNA(MATCH(X2477,X$256:X2476,0)),1,0))</f>
        <v/>
      </c>
      <c r="AC2477">
        <f>IF(AB2477&gt;AB2476,AB2477,"")</f>
        <v/>
      </c>
    </row>
    <row r="2478">
      <c r="W2478" s="7" t="n"/>
      <c r="X2478" s="7" t="n"/>
      <c r="Z2478">
        <f>Z2477+IF(W2478="",0,IF(ISNA(MATCH(W2478,W$256:W2477,0)),1,0))</f>
        <v/>
      </c>
      <c r="AA2478">
        <f>IF(Z2478&gt;Z2477,Z2478,"")</f>
        <v/>
      </c>
      <c r="AB2478">
        <f>AB2477+IF(X2478="",0,IF(ISNA(MATCH(X2478,X$256:X2477,0)),1,0))</f>
        <v/>
      </c>
      <c r="AC2478">
        <f>IF(AB2478&gt;AB2477,AB2478,"")</f>
        <v/>
      </c>
    </row>
    <row r="2479">
      <c r="W2479" s="7" t="n"/>
      <c r="X2479" s="7" t="n"/>
      <c r="Z2479">
        <f>Z2478+IF(W2479="",0,IF(ISNA(MATCH(W2479,W$256:W2478,0)),1,0))</f>
        <v/>
      </c>
      <c r="AA2479">
        <f>IF(Z2479&gt;Z2478,Z2479,"")</f>
        <v/>
      </c>
      <c r="AB2479">
        <f>AB2478+IF(X2479="",0,IF(ISNA(MATCH(X2479,X$256:X2478,0)),1,0))</f>
        <v/>
      </c>
      <c r="AC2479">
        <f>IF(AB2479&gt;AB2478,AB2479,"")</f>
        <v/>
      </c>
    </row>
    <row r="2480">
      <c r="W2480" s="7" t="n"/>
      <c r="X2480" s="7" t="n"/>
      <c r="Z2480">
        <f>Z2479+IF(W2480="",0,IF(ISNA(MATCH(W2480,W$256:W2479,0)),1,0))</f>
        <v/>
      </c>
      <c r="AA2480">
        <f>IF(Z2480&gt;Z2479,Z2480,"")</f>
        <v/>
      </c>
      <c r="AB2480">
        <f>AB2479+IF(X2480="",0,IF(ISNA(MATCH(X2480,X$256:X2479,0)),1,0))</f>
        <v/>
      </c>
      <c r="AC2480">
        <f>IF(AB2480&gt;AB2479,AB2480,"")</f>
        <v/>
      </c>
    </row>
    <row r="2481">
      <c r="W2481" s="7" t="n"/>
      <c r="X2481" s="7" t="n"/>
      <c r="Z2481">
        <f>Z2480+IF(W2481="",0,IF(ISNA(MATCH(W2481,W$256:W2480,0)),1,0))</f>
        <v/>
      </c>
      <c r="AA2481">
        <f>IF(Z2481&gt;Z2480,Z2481,"")</f>
        <v/>
      </c>
      <c r="AB2481">
        <f>AB2480+IF(X2481="",0,IF(ISNA(MATCH(X2481,X$256:X2480,0)),1,0))</f>
        <v/>
      </c>
      <c r="AC2481">
        <f>IF(AB2481&gt;AB2480,AB2481,"")</f>
        <v/>
      </c>
    </row>
    <row r="2482">
      <c r="W2482" s="7" t="n"/>
      <c r="X2482" s="7" t="n"/>
      <c r="Z2482">
        <f>Z2481+IF(W2482="",0,IF(ISNA(MATCH(W2482,W$256:W2481,0)),1,0))</f>
        <v/>
      </c>
      <c r="AA2482">
        <f>IF(Z2482&gt;Z2481,Z2482,"")</f>
        <v/>
      </c>
      <c r="AB2482">
        <f>AB2481+IF(X2482="",0,IF(ISNA(MATCH(X2482,X$256:X2481,0)),1,0))</f>
        <v/>
      </c>
      <c r="AC2482">
        <f>IF(AB2482&gt;AB2481,AB2482,"")</f>
        <v/>
      </c>
    </row>
    <row r="2483">
      <c r="W2483" s="7" t="n"/>
      <c r="X2483" s="7" t="n"/>
      <c r="Z2483">
        <f>Z2482+IF(W2483="",0,IF(ISNA(MATCH(W2483,W$256:W2482,0)),1,0))</f>
        <v/>
      </c>
      <c r="AA2483">
        <f>IF(Z2483&gt;Z2482,Z2483,"")</f>
        <v/>
      </c>
      <c r="AB2483">
        <f>AB2482+IF(X2483="",0,IF(ISNA(MATCH(X2483,X$256:X2482,0)),1,0))</f>
        <v/>
      </c>
      <c r="AC2483">
        <f>IF(AB2483&gt;AB2482,AB2483,"")</f>
        <v/>
      </c>
    </row>
    <row r="2484">
      <c r="W2484" s="7" t="n"/>
      <c r="X2484" s="7" t="n"/>
      <c r="Z2484">
        <f>Z2483+IF(W2484="",0,IF(ISNA(MATCH(W2484,W$256:W2483,0)),1,0))</f>
        <v/>
      </c>
      <c r="AA2484">
        <f>IF(Z2484&gt;Z2483,Z2484,"")</f>
        <v/>
      </c>
      <c r="AB2484">
        <f>AB2483+IF(X2484="",0,IF(ISNA(MATCH(X2484,X$256:X2483,0)),1,0))</f>
        <v/>
      </c>
      <c r="AC2484">
        <f>IF(AB2484&gt;AB2483,AB2484,"")</f>
        <v/>
      </c>
    </row>
    <row r="2485">
      <c r="W2485" s="7" t="n"/>
      <c r="X2485" s="7" t="n"/>
      <c r="Z2485">
        <f>Z2484+IF(W2485="",0,IF(ISNA(MATCH(W2485,W$256:W2484,0)),1,0))</f>
        <v/>
      </c>
      <c r="AA2485">
        <f>IF(Z2485&gt;Z2484,Z2485,"")</f>
        <v/>
      </c>
      <c r="AB2485">
        <f>AB2484+IF(X2485="",0,IF(ISNA(MATCH(X2485,X$256:X2484,0)),1,0))</f>
        <v/>
      </c>
      <c r="AC2485">
        <f>IF(AB2485&gt;AB2484,AB2485,"")</f>
        <v/>
      </c>
    </row>
    <row r="2486">
      <c r="W2486" s="7" t="n"/>
      <c r="X2486" s="7" t="n"/>
      <c r="Z2486">
        <f>Z2485+IF(W2486="",0,IF(ISNA(MATCH(W2486,W$256:W2485,0)),1,0))</f>
        <v/>
      </c>
      <c r="AA2486">
        <f>IF(Z2486&gt;Z2485,Z2486,"")</f>
        <v/>
      </c>
      <c r="AB2486">
        <f>AB2485+IF(X2486="",0,IF(ISNA(MATCH(X2486,X$256:X2485,0)),1,0))</f>
        <v/>
      </c>
      <c r="AC2486">
        <f>IF(AB2486&gt;AB2485,AB2486,"")</f>
        <v/>
      </c>
    </row>
    <row r="2487">
      <c r="W2487" s="7" t="n"/>
      <c r="X2487" s="7" t="n"/>
      <c r="Z2487">
        <f>Z2486+IF(W2487="",0,IF(ISNA(MATCH(W2487,W$256:W2486,0)),1,0))</f>
        <v/>
      </c>
      <c r="AA2487">
        <f>IF(Z2487&gt;Z2486,Z2487,"")</f>
        <v/>
      </c>
      <c r="AB2487">
        <f>AB2486+IF(X2487="",0,IF(ISNA(MATCH(X2487,X$256:X2486,0)),1,0))</f>
        <v/>
      </c>
      <c r="AC2487">
        <f>IF(AB2487&gt;AB2486,AB2487,"")</f>
        <v/>
      </c>
    </row>
    <row r="2488">
      <c r="W2488" s="7" t="n"/>
      <c r="X2488" s="7" t="n"/>
      <c r="Z2488">
        <f>Z2487+IF(W2488="",0,IF(ISNA(MATCH(W2488,W$256:W2487,0)),1,0))</f>
        <v/>
      </c>
      <c r="AA2488">
        <f>IF(Z2488&gt;Z2487,Z2488,"")</f>
        <v/>
      </c>
      <c r="AB2488">
        <f>AB2487+IF(X2488="",0,IF(ISNA(MATCH(X2488,X$256:X2487,0)),1,0))</f>
        <v/>
      </c>
      <c r="AC2488">
        <f>IF(AB2488&gt;AB2487,AB2488,"")</f>
        <v/>
      </c>
    </row>
    <row r="2489">
      <c r="W2489" s="7" t="n"/>
      <c r="X2489" s="7" t="n"/>
      <c r="Z2489">
        <f>Z2488+IF(W2489="",0,IF(ISNA(MATCH(W2489,W$256:W2488,0)),1,0))</f>
        <v/>
      </c>
      <c r="AA2489">
        <f>IF(Z2489&gt;Z2488,Z2489,"")</f>
        <v/>
      </c>
      <c r="AB2489">
        <f>AB2488+IF(X2489="",0,IF(ISNA(MATCH(X2489,X$256:X2488,0)),1,0))</f>
        <v/>
      </c>
      <c r="AC2489">
        <f>IF(AB2489&gt;AB2488,AB2489,"")</f>
        <v/>
      </c>
    </row>
    <row r="2490">
      <c r="W2490" s="7" t="n"/>
      <c r="X2490" s="7" t="n"/>
      <c r="Z2490">
        <f>Z2489+IF(W2490="",0,IF(ISNA(MATCH(W2490,W$256:W2489,0)),1,0))</f>
        <v/>
      </c>
      <c r="AA2490">
        <f>IF(Z2490&gt;Z2489,Z2490,"")</f>
        <v/>
      </c>
      <c r="AB2490">
        <f>AB2489+IF(X2490="",0,IF(ISNA(MATCH(X2490,X$256:X2489,0)),1,0))</f>
        <v/>
      </c>
      <c r="AC2490">
        <f>IF(AB2490&gt;AB2489,AB2490,"")</f>
        <v/>
      </c>
    </row>
    <row r="2491">
      <c r="W2491" s="7" t="n"/>
      <c r="X2491" s="7" t="n"/>
      <c r="Z2491">
        <f>Z2490+IF(W2491="",0,IF(ISNA(MATCH(W2491,W$256:W2490,0)),1,0))</f>
        <v/>
      </c>
      <c r="AA2491">
        <f>IF(Z2491&gt;Z2490,Z2491,"")</f>
        <v/>
      </c>
      <c r="AB2491">
        <f>AB2490+IF(X2491="",0,IF(ISNA(MATCH(X2491,X$256:X2490,0)),1,0))</f>
        <v/>
      </c>
      <c r="AC2491">
        <f>IF(AB2491&gt;AB2490,AB2491,"")</f>
        <v/>
      </c>
    </row>
    <row r="2492">
      <c r="W2492" s="7" t="n"/>
      <c r="X2492" s="7" t="n"/>
      <c r="Z2492">
        <f>Z2491+IF(W2492="",0,IF(ISNA(MATCH(W2492,W$256:W2491,0)),1,0))</f>
        <v/>
      </c>
      <c r="AA2492">
        <f>IF(Z2492&gt;Z2491,Z2492,"")</f>
        <v/>
      </c>
      <c r="AB2492">
        <f>AB2491+IF(X2492="",0,IF(ISNA(MATCH(X2492,X$256:X2491,0)),1,0))</f>
        <v/>
      </c>
      <c r="AC2492">
        <f>IF(AB2492&gt;AB2491,AB2492,"")</f>
        <v/>
      </c>
    </row>
    <row r="2493">
      <c r="W2493" s="7" t="n"/>
      <c r="X2493" s="7" t="n"/>
      <c r="Z2493">
        <f>Z2492+IF(W2493="",0,IF(ISNA(MATCH(W2493,W$256:W2492,0)),1,0))</f>
        <v/>
      </c>
      <c r="AA2493">
        <f>IF(Z2493&gt;Z2492,Z2493,"")</f>
        <v/>
      </c>
      <c r="AB2493">
        <f>AB2492+IF(X2493="",0,IF(ISNA(MATCH(X2493,X$256:X2492,0)),1,0))</f>
        <v/>
      </c>
      <c r="AC2493">
        <f>IF(AB2493&gt;AB2492,AB2493,"")</f>
        <v/>
      </c>
    </row>
    <row r="2494">
      <c r="W2494" s="7" t="n"/>
      <c r="X2494" s="7" t="n"/>
      <c r="Z2494">
        <f>Z2493+IF(W2494="",0,IF(ISNA(MATCH(W2494,W$256:W2493,0)),1,0))</f>
        <v/>
      </c>
      <c r="AA2494">
        <f>IF(Z2494&gt;Z2493,Z2494,"")</f>
        <v/>
      </c>
      <c r="AB2494">
        <f>AB2493+IF(X2494="",0,IF(ISNA(MATCH(X2494,X$256:X2493,0)),1,0))</f>
        <v/>
      </c>
      <c r="AC2494">
        <f>IF(AB2494&gt;AB2493,AB2494,"")</f>
        <v/>
      </c>
    </row>
    <row r="2495">
      <c r="W2495" s="7" t="n"/>
      <c r="X2495" s="7" t="n"/>
      <c r="Z2495">
        <f>Z2494+IF(W2495="",0,IF(ISNA(MATCH(W2495,W$256:W2494,0)),1,0))</f>
        <v/>
      </c>
      <c r="AA2495">
        <f>IF(Z2495&gt;Z2494,Z2495,"")</f>
        <v/>
      </c>
      <c r="AB2495">
        <f>AB2494+IF(X2495="",0,IF(ISNA(MATCH(X2495,X$256:X2494,0)),1,0))</f>
        <v/>
      </c>
      <c r="AC2495">
        <f>IF(AB2495&gt;AB2494,AB2495,"")</f>
        <v/>
      </c>
    </row>
    <row r="2496">
      <c r="W2496" s="7" t="n"/>
      <c r="X2496" s="7" t="n"/>
      <c r="Z2496">
        <f>Z2495+IF(W2496="",0,IF(ISNA(MATCH(W2496,W$256:W2495,0)),1,0))</f>
        <v/>
      </c>
      <c r="AA2496">
        <f>IF(Z2496&gt;Z2495,Z2496,"")</f>
        <v/>
      </c>
      <c r="AB2496">
        <f>AB2495+IF(X2496="",0,IF(ISNA(MATCH(X2496,X$256:X2495,0)),1,0))</f>
        <v/>
      </c>
      <c r="AC2496">
        <f>IF(AB2496&gt;AB2495,AB2496,"")</f>
        <v/>
      </c>
    </row>
    <row r="2497">
      <c r="W2497" s="7" t="n"/>
      <c r="X2497" s="7" t="n"/>
      <c r="Z2497">
        <f>Z2496+IF(W2497="",0,IF(ISNA(MATCH(W2497,W$256:W2496,0)),1,0))</f>
        <v/>
      </c>
      <c r="AA2497">
        <f>IF(Z2497&gt;Z2496,Z2497,"")</f>
        <v/>
      </c>
      <c r="AB2497">
        <f>AB2496+IF(X2497="",0,IF(ISNA(MATCH(X2497,X$256:X2496,0)),1,0))</f>
        <v/>
      </c>
      <c r="AC2497">
        <f>IF(AB2497&gt;AB2496,AB2497,"")</f>
        <v/>
      </c>
    </row>
    <row r="2498">
      <c r="W2498" s="7" t="n"/>
      <c r="X2498" s="7" t="n"/>
      <c r="Z2498">
        <f>Z2497+IF(W2498="",0,IF(ISNA(MATCH(W2498,W$256:W2497,0)),1,0))</f>
        <v/>
      </c>
      <c r="AA2498">
        <f>IF(Z2498&gt;Z2497,Z2498,"")</f>
        <v/>
      </c>
      <c r="AB2498">
        <f>AB2497+IF(X2498="",0,IF(ISNA(MATCH(X2498,X$256:X2497,0)),1,0))</f>
        <v/>
      </c>
      <c r="AC2498">
        <f>IF(AB2498&gt;AB2497,AB2498,"")</f>
        <v/>
      </c>
    </row>
    <row r="2499">
      <c r="W2499" s="7" t="n"/>
      <c r="X2499" s="7" t="n"/>
      <c r="Z2499">
        <f>Z2498+IF(W2499="",0,IF(ISNA(MATCH(W2499,W$256:W2498,0)),1,0))</f>
        <v/>
      </c>
      <c r="AA2499">
        <f>IF(Z2499&gt;Z2498,Z2499,"")</f>
        <v/>
      </c>
      <c r="AB2499">
        <f>AB2498+IF(X2499="",0,IF(ISNA(MATCH(X2499,X$256:X2498,0)),1,0))</f>
        <v/>
      </c>
      <c r="AC2499">
        <f>IF(AB2499&gt;AB2498,AB2499,"")</f>
        <v/>
      </c>
    </row>
    <row r="2500">
      <c r="W2500" s="7" t="n"/>
      <c r="X2500" s="7" t="n"/>
      <c r="Z2500">
        <f>Z2499+IF(W2500="",0,IF(ISNA(MATCH(W2500,W$256:W2499,0)),1,0))</f>
        <v/>
      </c>
      <c r="AA2500">
        <f>IF(Z2500&gt;Z2499,Z2500,"")</f>
        <v/>
      </c>
      <c r="AB2500">
        <f>AB2499+IF(X2500="",0,IF(ISNA(MATCH(X2500,X$256:X2499,0)),1,0))</f>
        <v/>
      </c>
      <c r="AC2500">
        <f>IF(AB2500&gt;AB2499,AB2500,"")</f>
        <v/>
      </c>
    </row>
    <row r="2501">
      <c r="W2501" s="7" t="n"/>
      <c r="X2501" s="7" t="n"/>
      <c r="Z2501">
        <f>Z2500+IF(W2501="",0,IF(ISNA(MATCH(W2501,W$256:W2500,0)),1,0))</f>
        <v/>
      </c>
      <c r="AA2501">
        <f>IF(Z2501&gt;Z2500,Z2501,"")</f>
        <v/>
      </c>
      <c r="AB2501">
        <f>AB2500+IF(X2501="",0,IF(ISNA(MATCH(X2501,X$256:X2500,0)),1,0))</f>
        <v/>
      </c>
      <c r="AC2501">
        <f>IF(AB2501&gt;AB2500,AB2501,"")</f>
        <v/>
      </c>
    </row>
    <row r="2502">
      <c r="W2502" s="7" t="n"/>
      <c r="X2502" s="7" t="n"/>
      <c r="Z2502">
        <f>Z2501+IF(W2502="",0,IF(ISNA(MATCH(W2502,W$256:W2501,0)),1,0))</f>
        <v/>
      </c>
      <c r="AA2502">
        <f>IF(Z2502&gt;Z2501,Z2502,"")</f>
        <v/>
      </c>
      <c r="AB2502">
        <f>AB2501+IF(X2502="",0,IF(ISNA(MATCH(X2502,X$256:X2501,0)),1,0))</f>
        <v/>
      </c>
      <c r="AC2502">
        <f>IF(AB2502&gt;AB2501,AB2502,"")</f>
        <v/>
      </c>
    </row>
    <row r="2503">
      <c r="W2503" s="7" t="n"/>
      <c r="X2503" s="7" t="n"/>
      <c r="Z2503">
        <f>Z2502+IF(W2503="",0,IF(ISNA(MATCH(W2503,W$256:W2502,0)),1,0))</f>
        <v/>
      </c>
      <c r="AA2503">
        <f>IF(Z2503&gt;Z2502,Z2503,"")</f>
        <v/>
      </c>
      <c r="AB2503">
        <f>AB2502+IF(X2503="",0,IF(ISNA(MATCH(X2503,X$256:X2502,0)),1,0))</f>
        <v/>
      </c>
      <c r="AC2503">
        <f>IF(AB2503&gt;AB2502,AB2503,"")</f>
        <v/>
      </c>
    </row>
    <row r="2504">
      <c r="W2504" s="7" t="n"/>
      <c r="X2504" s="7" t="n"/>
      <c r="Z2504">
        <f>Z2503+IF(W2504="",0,IF(ISNA(MATCH(W2504,W$256:W2503,0)),1,0))</f>
        <v/>
      </c>
      <c r="AA2504">
        <f>IF(Z2504&gt;Z2503,Z2504,"")</f>
        <v/>
      </c>
      <c r="AB2504">
        <f>AB2503+IF(X2504="",0,IF(ISNA(MATCH(X2504,X$256:X2503,0)),1,0))</f>
        <v/>
      </c>
      <c r="AC2504">
        <f>IF(AB2504&gt;AB2503,AB2504,"")</f>
        <v/>
      </c>
    </row>
    <row r="2505">
      <c r="W2505" s="7" t="n"/>
      <c r="X2505" s="7" t="n"/>
      <c r="Z2505">
        <f>Z2504+IF(W2505="",0,IF(ISNA(MATCH(W2505,W$256:W2504,0)),1,0))</f>
        <v/>
      </c>
      <c r="AA2505">
        <f>IF(Z2505&gt;Z2504,Z2505,"")</f>
        <v/>
      </c>
      <c r="AB2505">
        <f>AB2504+IF(X2505="",0,IF(ISNA(MATCH(X2505,X$256:X2504,0)),1,0))</f>
        <v/>
      </c>
      <c r="AC2505">
        <f>IF(AB2505&gt;AB2504,AB2505,"")</f>
        <v/>
      </c>
    </row>
    <row r="2506">
      <c r="W2506" s="7" t="n"/>
      <c r="X2506" s="7" t="n"/>
      <c r="Z2506">
        <f>Z2505+IF(W2506="",0,IF(ISNA(MATCH(W2506,W$256:W2505,0)),1,0))</f>
        <v/>
      </c>
      <c r="AA2506">
        <f>IF(Z2506&gt;Z2505,Z2506,"")</f>
        <v/>
      </c>
      <c r="AB2506">
        <f>AB2505+IF(X2506="",0,IF(ISNA(MATCH(X2506,X$256:X2505,0)),1,0))</f>
        <v/>
      </c>
      <c r="AC2506">
        <f>IF(AB2506&gt;AB2505,AB2506,"")</f>
        <v/>
      </c>
    </row>
    <row r="2507">
      <c r="W2507" s="7" t="n"/>
      <c r="X2507" s="7" t="n"/>
      <c r="Z2507">
        <f>Z2506+IF(W2507="",0,IF(ISNA(MATCH(W2507,W$256:W2506,0)),1,0))</f>
        <v/>
      </c>
      <c r="AA2507">
        <f>IF(Z2507&gt;Z2506,Z2507,"")</f>
        <v/>
      </c>
      <c r="AB2507">
        <f>AB2506+IF(X2507="",0,IF(ISNA(MATCH(X2507,X$256:X2506,0)),1,0))</f>
        <v/>
      </c>
      <c r="AC2507">
        <f>IF(AB2507&gt;AB2506,AB2507,"")</f>
        <v/>
      </c>
    </row>
    <row r="2508">
      <c r="W2508" s="7" t="n"/>
      <c r="X2508" s="7" t="n"/>
      <c r="Z2508">
        <f>Z2507+IF(W2508="",0,IF(ISNA(MATCH(W2508,W$256:W2507,0)),1,0))</f>
        <v/>
      </c>
      <c r="AA2508">
        <f>IF(Z2508&gt;Z2507,Z2508,"")</f>
        <v/>
      </c>
      <c r="AB2508">
        <f>AB2507+IF(X2508="",0,IF(ISNA(MATCH(X2508,X$256:X2507,0)),1,0))</f>
        <v/>
      </c>
      <c r="AC2508">
        <f>IF(AB2508&gt;AB2507,AB2508,"")</f>
        <v/>
      </c>
    </row>
    <row r="2509">
      <c r="W2509" s="7" t="n"/>
      <c r="X2509" s="7" t="n"/>
      <c r="Z2509">
        <f>Z2508+IF(W2509="",0,IF(ISNA(MATCH(W2509,W$256:W2508,0)),1,0))</f>
        <v/>
      </c>
      <c r="AA2509">
        <f>IF(Z2509&gt;Z2508,Z2509,"")</f>
        <v/>
      </c>
      <c r="AB2509">
        <f>AB2508+IF(X2509="",0,IF(ISNA(MATCH(X2509,X$256:X2508,0)),1,0))</f>
        <v/>
      </c>
      <c r="AC2509">
        <f>IF(AB2509&gt;AB2508,AB2509,"")</f>
        <v/>
      </c>
    </row>
    <row r="2510">
      <c r="W2510" s="7" t="n"/>
      <c r="X2510" s="7" t="n"/>
      <c r="Z2510">
        <f>Z2509+IF(W2510="",0,IF(ISNA(MATCH(W2510,W$256:W2509,0)),1,0))</f>
        <v/>
      </c>
      <c r="AA2510">
        <f>IF(Z2510&gt;Z2509,Z2510,"")</f>
        <v/>
      </c>
      <c r="AB2510">
        <f>AB2509+IF(X2510="",0,IF(ISNA(MATCH(X2510,X$256:X2509,0)),1,0))</f>
        <v/>
      </c>
      <c r="AC2510">
        <f>IF(AB2510&gt;AB2509,AB2510,"")</f>
        <v/>
      </c>
    </row>
    <row r="2511">
      <c r="W2511" s="7" t="n"/>
      <c r="X2511" s="7" t="n"/>
      <c r="Z2511">
        <f>Z2510+IF(W2511="",0,IF(ISNA(MATCH(W2511,W$256:W2510,0)),1,0))</f>
        <v/>
      </c>
      <c r="AA2511">
        <f>IF(Z2511&gt;Z2510,Z2511,"")</f>
        <v/>
      </c>
      <c r="AB2511">
        <f>AB2510+IF(X2511="",0,IF(ISNA(MATCH(X2511,X$256:X2510,0)),1,0))</f>
        <v/>
      </c>
      <c r="AC2511">
        <f>IF(AB2511&gt;AB2510,AB2511,"")</f>
        <v/>
      </c>
    </row>
    <row r="2512">
      <c r="W2512" s="7" t="n"/>
      <c r="X2512" s="7" t="n"/>
      <c r="Z2512">
        <f>Z2511+IF(W2512="",0,IF(ISNA(MATCH(W2512,W$256:W2511,0)),1,0))</f>
        <v/>
      </c>
      <c r="AA2512">
        <f>IF(Z2512&gt;Z2511,Z2512,"")</f>
        <v/>
      </c>
      <c r="AB2512">
        <f>AB2511+IF(X2512="",0,IF(ISNA(MATCH(X2512,X$256:X2511,0)),1,0))</f>
        <v/>
      </c>
      <c r="AC2512">
        <f>IF(AB2512&gt;AB2511,AB2512,"")</f>
        <v/>
      </c>
    </row>
    <row r="2513">
      <c r="W2513" s="7" t="n"/>
      <c r="X2513" s="7" t="n"/>
      <c r="Z2513">
        <f>Z2512+IF(W2513="",0,IF(ISNA(MATCH(W2513,W$256:W2512,0)),1,0))</f>
        <v/>
      </c>
      <c r="AA2513">
        <f>IF(Z2513&gt;Z2512,Z2513,"")</f>
        <v/>
      </c>
      <c r="AB2513">
        <f>AB2512+IF(X2513="",0,IF(ISNA(MATCH(X2513,X$256:X2512,0)),1,0))</f>
        <v/>
      </c>
      <c r="AC2513">
        <f>IF(AB2513&gt;AB2512,AB2513,"")</f>
        <v/>
      </c>
    </row>
    <row r="2514">
      <c r="W2514" s="7" t="n"/>
      <c r="X2514" s="7" t="n"/>
      <c r="Z2514">
        <f>Z2513+IF(W2514="",0,IF(ISNA(MATCH(W2514,W$256:W2513,0)),1,0))</f>
        <v/>
      </c>
      <c r="AA2514">
        <f>IF(Z2514&gt;Z2513,Z2514,"")</f>
        <v/>
      </c>
      <c r="AB2514">
        <f>AB2513+IF(X2514="",0,IF(ISNA(MATCH(X2514,X$256:X2513,0)),1,0))</f>
        <v/>
      </c>
      <c r="AC2514">
        <f>IF(AB2514&gt;AB2513,AB2514,"")</f>
        <v/>
      </c>
    </row>
    <row r="2515">
      <c r="W2515" s="7" t="n"/>
      <c r="X2515" s="7" t="n"/>
      <c r="Z2515">
        <f>Z2514+IF(W2515="",0,IF(ISNA(MATCH(W2515,W$256:W2514,0)),1,0))</f>
        <v/>
      </c>
      <c r="AA2515">
        <f>IF(Z2515&gt;Z2514,Z2515,"")</f>
        <v/>
      </c>
      <c r="AB2515">
        <f>AB2514+IF(X2515="",0,IF(ISNA(MATCH(X2515,X$256:X2514,0)),1,0))</f>
        <v/>
      </c>
      <c r="AC2515">
        <f>IF(AB2515&gt;AB2514,AB2515,"")</f>
        <v/>
      </c>
    </row>
    <row r="2516">
      <c r="W2516" s="7" t="n"/>
      <c r="X2516" s="7" t="n"/>
      <c r="Z2516">
        <f>Z2515+IF(W2516="",0,IF(ISNA(MATCH(W2516,W$256:W2515,0)),1,0))</f>
        <v/>
      </c>
      <c r="AA2516">
        <f>IF(Z2516&gt;Z2515,Z2516,"")</f>
        <v/>
      </c>
      <c r="AB2516">
        <f>AB2515+IF(X2516="",0,IF(ISNA(MATCH(X2516,X$256:X2515,0)),1,0))</f>
        <v/>
      </c>
      <c r="AC2516">
        <f>IF(AB2516&gt;AB2515,AB2516,"")</f>
        <v/>
      </c>
    </row>
    <row r="2517">
      <c r="W2517" s="7" t="n"/>
      <c r="X2517" s="7" t="n"/>
      <c r="Z2517">
        <f>Z2516+IF(W2517="",0,IF(ISNA(MATCH(W2517,W$256:W2516,0)),1,0))</f>
        <v/>
      </c>
      <c r="AA2517">
        <f>IF(Z2517&gt;Z2516,Z2517,"")</f>
        <v/>
      </c>
      <c r="AB2517">
        <f>AB2516+IF(X2517="",0,IF(ISNA(MATCH(X2517,X$256:X2516,0)),1,0))</f>
        <v/>
      </c>
      <c r="AC2517">
        <f>IF(AB2517&gt;AB2516,AB2517,"")</f>
        <v/>
      </c>
    </row>
    <row r="2518">
      <c r="W2518" s="7" t="n"/>
      <c r="X2518" s="7" t="n"/>
      <c r="Z2518">
        <f>Z2517+IF(W2518="",0,IF(ISNA(MATCH(W2518,W$256:W2517,0)),1,0))</f>
        <v/>
      </c>
      <c r="AA2518">
        <f>IF(Z2518&gt;Z2517,Z2518,"")</f>
        <v/>
      </c>
      <c r="AB2518">
        <f>AB2517+IF(X2518="",0,IF(ISNA(MATCH(X2518,X$256:X2517,0)),1,0))</f>
        <v/>
      </c>
      <c r="AC2518">
        <f>IF(AB2518&gt;AB2517,AB2518,"")</f>
        <v/>
      </c>
    </row>
    <row r="2519">
      <c r="W2519" s="7" t="n"/>
      <c r="X2519" s="7" t="n"/>
      <c r="Z2519">
        <f>Z2518+IF(W2519="",0,IF(ISNA(MATCH(W2519,W$256:W2518,0)),1,0))</f>
        <v/>
      </c>
      <c r="AA2519">
        <f>IF(Z2519&gt;Z2518,Z2519,"")</f>
        <v/>
      </c>
      <c r="AB2519">
        <f>AB2518+IF(X2519="",0,IF(ISNA(MATCH(X2519,X$256:X2518,0)),1,0))</f>
        <v/>
      </c>
      <c r="AC2519">
        <f>IF(AB2519&gt;AB2518,AB2519,"")</f>
        <v/>
      </c>
    </row>
    <row r="2520">
      <c r="W2520" s="7" t="n"/>
      <c r="X2520" s="7" t="n"/>
      <c r="Z2520">
        <f>Z2519+IF(W2520="",0,IF(ISNA(MATCH(W2520,W$256:W2519,0)),1,0))</f>
        <v/>
      </c>
      <c r="AA2520">
        <f>IF(Z2520&gt;Z2519,Z2520,"")</f>
        <v/>
      </c>
      <c r="AB2520">
        <f>AB2519+IF(X2520="",0,IF(ISNA(MATCH(X2520,X$256:X2519,0)),1,0))</f>
        <v/>
      </c>
      <c r="AC2520">
        <f>IF(AB2520&gt;AB2519,AB2520,"")</f>
        <v/>
      </c>
    </row>
    <row r="2521">
      <c r="W2521" s="7" t="n"/>
      <c r="X2521" s="7" t="n"/>
      <c r="Z2521">
        <f>Z2520+IF(W2521="",0,IF(ISNA(MATCH(W2521,W$256:W2520,0)),1,0))</f>
        <v/>
      </c>
      <c r="AA2521">
        <f>IF(Z2521&gt;Z2520,Z2521,"")</f>
        <v/>
      </c>
      <c r="AB2521">
        <f>AB2520+IF(X2521="",0,IF(ISNA(MATCH(X2521,X$256:X2520,0)),1,0))</f>
        <v/>
      </c>
      <c r="AC2521">
        <f>IF(AB2521&gt;AB2520,AB2521,"")</f>
        <v/>
      </c>
    </row>
    <row r="2522">
      <c r="W2522" s="7" t="n"/>
      <c r="X2522" s="7" t="n"/>
      <c r="Z2522">
        <f>Z2521+IF(W2522="",0,IF(ISNA(MATCH(W2522,W$256:W2521,0)),1,0))</f>
        <v/>
      </c>
      <c r="AA2522">
        <f>IF(Z2522&gt;Z2521,Z2522,"")</f>
        <v/>
      </c>
      <c r="AB2522">
        <f>AB2521+IF(X2522="",0,IF(ISNA(MATCH(X2522,X$256:X2521,0)),1,0))</f>
        <v/>
      </c>
      <c r="AC2522">
        <f>IF(AB2522&gt;AB2521,AB2522,"")</f>
        <v/>
      </c>
    </row>
    <row r="2523">
      <c r="W2523" s="7" t="n"/>
      <c r="X2523" s="7" t="n"/>
      <c r="Z2523">
        <f>Z2522+IF(W2523="",0,IF(ISNA(MATCH(W2523,W$256:W2522,0)),1,0))</f>
        <v/>
      </c>
      <c r="AA2523">
        <f>IF(Z2523&gt;Z2522,Z2523,"")</f>
        <v/>
      </c>
      <c r="AB2523">
        <f>AB2522+IF(X2523="",0,IF(ISNA(MATCH(X2523,X$256:X2522,0)),1,0))</f>
        <v/>
      </c>
      <c r="AC2523">
        <f>IF(AB2523&gt;AB2522,AB2523,"")</f>
        <v/>
      </c>
    </row>
    <row r="2524">
      <c r="W2524" s="7" t="n"/>
      <c r="X2524" s="7" t="n"/>
      <c r="Z2524">
        <f>Z2523+IF(W2524="",0,IF(ISNA(MATCH(W2524,W$256:W2523,0)),1,0))</f>
        <v/>
      </c>
      <c r="AA2524">
        <f>IF(Z2524&gt;Z2523,Z2524,"")</f>
        <v/>
      </c>
      <c r="AB2524">
        <f>AB2523+IF(X2524="",0,IF(ISNA(MATCH(X2524,X$256:X2523,0)),1,0))</f>
        <v/>
      </c>
      <c r="AC2524">
        <f>IF(AB2524&gt;AB2523,AB2524,"")</f>
        <v/>
      </c>
    </row>
    <row r="2525">
      <c r="W2525" s="7" t="n"/>
      <c r="X2525" s="7" t="n"/>
      <c r="Z2525">
        <f>Z2524+IF(W2525="",0,IF(ISNA(MATCH(W2525,W$256:W2524,0)),1,0))</f>
        <v/>
      </c>
      <c r="AA2525">
        <f>IF(Z2525&gt;Z2524,Z2525,"")</f>
        <v/>
      </c>
      <c r="AB2525">
        <f>AB2524+IF(X2525="",0,IF(ISNA(MATCH(X2525,X$256:X2524,0)),1,0))</f>
        <v/>
      </c>
      <c r="AC2525">
        <f>IF(AB2525&gt;AB2524,AB2525,"")</f>
        <v/>
      </c>
    </row>
    <row r="2526">
      <c r="W2526" s="7" t="n"/>
      <c r="X2526" s="7" t="n"/>
      <c r="Z2526">
        <f>Z2525+IF(W2526="",0,IF(ISNA(MATCH(W2526,W$256:W2525,0)),1,0))</f>
        <v/>
      </c>
      <c r="AA2526">
        <f>IF(Z2526&gt;Z2525,Z2526,"")</f>
        <v/>
      </c>
      <c r="AB2526">
        <f>AB2525+IF(X2526="",0,IF(ISNA(MATCH(X2526,X$256:X2525,0)),1,0))</f>
        <v/>
      </c>
      <c r="AC2526">
        <f>IF(AB2526&gt;AB2525,AB2526,"")</f>
        <v/>
      </c>
    </row>
    <row r="2527">
      <c r="W2527" s="7" t="n"/>
      <c r="X2527" s="7" t="n"/>
      <c r="Z2527">
        <f>Z2526+IF(W2527="",0,IF(ISNA(MATCH(W2527,W$256:W2526,0)),1,0))</f>
        <v/>
      </c>
      <c r="AA2527">
        <f>IF(Z2527&gt;Z2526,Z2527,"")</f>
        <v/>
      </c>
      <c r="AB2527">
        <f>AB2526+IF(X2527="",0,IF(ISNA(MATCH(X2527,X$256:X2526,0)),1,0))</f>
        <v/>
      </c>
      <c r="AC2527">
        <f>IF(AB2527&gt;AB2526,AB2527,"")</f>
        <v/>
      </c>
    </row>
    <row r="2528">
      <c r="W2528" s="7" t="n"/>
      <c r="X2528" s="7" t="n"/>
      <c r="Z2528">
        <f>Z2527+IF(W2528="",0,IF(ISNA(MATCH(W2528,W$256:W2527,0)),1,0))</f>
        <v/>
      </c>
      <c r="AA2528">
        <f>IF(Z2528&gt;Z2527,Z2528,"")</f>
        <v/>
      </c>
      <c r="AB2528">
        <f>AB2527+IF(X2528="",0,IF(ISNA(MATCH(X2528,X$256:X2527,0)),1,0))</f>
        <v/>
      </c>
      <c r="AC2528">
        <f>IF(AB2528&gt;AB2527,AB2528,"")</f>
        <v/>
      </c>
    </row>
    <row r="2529">
      <c r="W2529" s="7" t="n"/>
      <c r="X2529" s="7" t="n"/>
      <c r="Z2529">
        <f>Z2528+IF(W2529="",0,IF(ISNA(MATCH(W2529,W$256:W2528,0)),1,0))</f>
        <v/>
      </c>
      <c r="AA2529">
        <f>IF(Z2529&gt;Z2528,Z2529,"")</f>
        <v/>
      </c>
      <c r="AB2529">
        <f>AB2528+IF(X2529="",0,IF(ISNA(MATCH(X2529,X$256:X2528,0)),1,0))</f>
        <v/>
      </c>
      <c r="AC2529">
        <f>IF(AB2529&gt;AB2528,AB2529,"")</f>
        <v/>
      </c>
    </row>
    <row r="2530">
      <c r="W2530" s="7" t="n"/>
      <c r="X2530" s="7" t="n"/>
      <c r="Z2530">
        <f>Z2529+IF(W2530="",0,IF(ISNA(MATCH(W2530,W$256:W2529,0)),1,0))</f>
        <v/>
      </c>
      <c r="AA2530">
        <f>IF(Z2530&gt;Z2529,Z2530,"")</f>
        <v/>
      </c>
      <c r="AB2530">
        <f>AB2529+IF(X2530="",0,IF(ISNA(MATCH(X2530,X$256:X2529,0)),1,0))</f>
        <v/>
      </c>
      <c r="AC2530">
        <f>IF(AB2530&gt;AB2529,AB2530,"")</f>
        <v/>
      </c>
    </row>
    <row r="2531">
      <c r="W2531" s="7" t="n"/>
      <c r="X2531" s="7" t="n"/>
      <c r="Z2531">
        <f>Z2530+IF(W2531="",0,IF(ISNA(MATCH(W2531,W$256:W2530,0)),1,0))</f>
        <v/>
      </c>
      <c r="AA2531">
        <f>IF(Z2531&gt;Z2530,Z2531,"")</f>
        <v/>
      </c>
      <c r="AB2531">
        <f>AB2530+IF(X2531="",0,IF(ISNA(MATCH(X2531,X$256:X2530,0)),1,0))</f>
        <v/>
      </c>
      <c r="AC2531">
        <f>IF(AB2531&gt;AB2530,AB2531,"")</f>
        <v/>
      </c>
    </row>
    <row r="2532">
      <c r="W2532" s="7" t="n"/>
      <c r="X2532" s="7" t="n"/>
      <c r="Z2532">
        <f>Z2531+IF(W2532="",0,IF(ISNA(MATCH(W2532,W$256:W2531,0)),1,0))</f>
        <v/>
      </c>
      <c r="AA2532">
        <f>IF(Z2532&gt;Z2531,Z2532,"")</f>
        <v/>
      </c>
      <c r="AB2532">
        <f>AB2531+IF(X2532="",0,IF(ISNA(MATCH(X2532,X$256:X2531,0)),1,0))</f>
        <v/>
      </c>
      <c r="AC2532">
        <f>IF(AB2532&gt;AB2531,AB2532,"")</f>
        <v/>
      </c>
    </row>
    <row r="2533">
      <c r="W2533" s="7" t="n"/>
      <c r="X2533" s="7" t="n"/>
      <c r="Z2533">
        <f>Z2532+IF(W2533="",0,IF(ISNA(MATCH(W2533,W$256:W2532,0)),1,0))</f>
        <v/>
      </c>
      <c r="AA2533">
        <f>IF(Z2533&gt;Z2532,Z2533,"")</f>
        <v/>
      </c>
      <c r="AB2533">
        <f>AB2532+IF(X2533="",0,IF(ISNA(MATCH(X2533,X$256:X2532,0)),1,0))</f>
        <v/>
      </c>
      <c r="AC2533">
        <f>IF(AB2533&gt;AB2532,AB2533,"")</f>
        <v/>
      </c>
    </row>
    <row r="2534">
      <c r="W2534" s="7" t="n"/>
      <c r="X2534" s="7" t="n"/>
      <c r="Z2534">
        <f>Z2533+IF(W2534="",0,IF(ISNA(MATCH(W2534,W$256:W2533,0)),1,0))</f>
        <v/>
      </c>
      <c r="AA2534">
        <f>IF(Z2534&gt;Z2533,Z2534,"")</f>
        <v/>
      </c>
      <c r="AB2534">
        <f>AB2533+IF(X2534="",0,IF(ISNA(MATCH(X2534,X$256:X2533,0)),1,0))</f>
        <v/>
      </c>
      <c r="AC2534">
        <f>IF(AB2534&gt;AB2533,AB2534,"")</f>
        <v/>
      </c>
    </row>
    <row r="2535">
      <c r="W2535" s="7" t="n"/>
      <c r="X2535" s="7" t="n"/>
      <c r="Z2535">
        <f>Z2534+IF(W2535="",0,IF(ISNA(MATCH(W2535,W$256:W2534,0)),1,0))</f>
        <v/>
      </c>
      <c r="AA2535">
        <f>IF(Z2535&gt;Z2534,Z2535,"")</f>
        <v/>
      </c>
      <c r="AB2535">
        <f>AB2534+IF(X2535="",0,IF(ISNA(MATCH(X2535,X$256:X2534,0)),1,0))</f>
        <v/>
      </c>
      <c r="AC2535">
        <f>IF(AB2535&gt;AB2534,AB2535,"")</f>
        <v/>
      </c>
    </row>
    <row r="2536">
      <c r="W2536" s="7" t="n"/>
      <c r="X2536" s="7" t="n"/>
      <c r="Z2536">
        <f>Z2535+IF(W2536="",0,IF(ISNA(MATCH(W2536,W$256:W2535,0)),1,0))</f>
        <v/>
      </c>
      <c r="AA2536">
        <f>IF(Z2536&gt;Z2535,Z2536,"")</f>
        <v/>
      </c>
      <c r="AB2536">
        <f>AB2535+IF(X2536="",0,IF(ISNA(MATCH(X2536,X$256:X2535,0)),1,0))</f>
        <v/>
      </c>
      <c r="AC2536">
        <f>IF(AB2536&gt;AB2535,AB2536,"")</f>
        <v/>
      </c>
    </row>
    <row r="2537">
      <c r="W2537" s="7" t="n"/>
      <c r="X2537" s="7" t="n"/>
      <c r="Z2537">
        <f>Z2536+IF(W2537="",0,IF(ISNA(MATCH(W2537,W$256:W2536,0)),1,0))</f>
        <v/>
      </c>
      <c r="AA2537">
        <f>IF(Z2537&gt;Z2536,Z2537,"")</f>
        <v/>
      </c>
      <c r="AB2537">
        <f>AB2536+IF(X2537="",0,IF(ISNA(MATCH(X2537,X$256:X2536,0)),1,0))</f>
        <v/>
      </c>
      <c r="AC2537">
        <f>IF(AB2537&gt;AB2536,AB2537,"")</f>
        <v/>
      </c>
    </row>
    <row r="2538">
      <c r="W2538" s="7" t="n"/>
      <c r="X2538" s="7" t="n"/>
      <c r="Z2538">
        <f>Z2537+IF(W2538="",0,IF(ISNA(MATCH(W2538,W$256:W2537,0)),1,0))</f>
        <v/>
      </c>
      <c r="AA2538">
        <f>IF(Z2538&gt;Z2537,Z2538,"")</f>
        <v/>
      </c>
      <c r="AB2538">
        <f>AB2537+IF(X2538="",0,IF(ISNA(MATCH(X2538,X$256:X2537,0)),1,0))</f>
        <v/>
      </c>
      <c r="AC2538">
        <f>IF(AB2538&gt;AB2537,AB2538,"")</f>
        <v/>
      </c>
    </row>
    <row r="2539">
      <c r="W2539" s="7" t="n"/>
      <c r="X2539" s="7" t="n"/>
      <c r="Z2539">
        <f>Z2538+IF(W2539="",0,IF(ISNA(MATCH(W2539,W$256:W2538,0)),1,0))</f>
        <v/>
      </c>
      <c r="AA2539">
        <f>IF(Z2539&gt;Z2538,Z2539,"")</f>
        <v/>
      </c>
      <c r="AB2539">
        <f>AB2538+IF(X2539="",0,IF(ISNA(MATCH(X2539,X$256:X2538,0)),1,0))</f>
        <v/>
      </c>
      <c r="AC2539">
        <f>IF(AB2539&gt;AB2538,AB2539,"")</f>
        <v/>
      </c>
    </row>
    <row r="2540">
      <c r="W2540" s="7" t="n"/>
      <c r="X2540" s="7" t="n"/>
      <c r="Z2540">
        <f>Z2539+IF(W2540="",0,IF(ISNA(MATCH(W2540,W$256:W2539,0)),1,0))</f>
        <v/>
      </c>
      <c r="AA2540">
        <f>IF(Z2540&gt;Z2539,Z2540,"")</f>
        <v/>
      </c>
      <c r="AB2540">
        <f>AB2539+IF(X2540="",0,IF(ISNA(MATCH(X2540,X$256:X2539,0)),1,0))</f>
        <v/>
      </c>
      <c r="AC2540">
        <f>IF(AB2540&gt;AB2539,AB2540,"")</f>
        <v/>
      </c>
    </row>
    <row r="2541">
      <c r="W2541" s="7" t="n"/>
      <c r="X2541" s="7" t="n"/>
      <c r="Z2541">
        <f>Z2540+IF(W2541="",0,IF(ISNA(MATCH(W2541,W$256:W2540,0)),1,0))</f>
        <v/>
      </c>
      <c r="AA2541">
        <f>IF(Z2541&gt;Z2540,Z2541,"")</f>
        <v/>
      </c>
      <c r="AB2541">
        <f>AB2540+IF(X2541="",0,IF(ISNA(MATCH(X2541,X$256:X2540,0)),1,0))</f>
        <v/>
      </c>
      <c r="AC2541">
        <f>IF(AB2541&gt;AB2540,AB2541,"")</f>
        <v/>
      </c>
    </row>
    <row r="2542">
      <c r="W2542" s="7" t="n"/>
      <c r="X2542" s="7" t="n"/>
      <c r="Z2542">
        <f>Z2541+IF(W2542="",0,IF(ISNA(MATCH(W2542,W$256:W2541,0)),1,0))</f>
        <v/>
      </c>
      <c r="AA2542">
        <f>IF(Z2542&gt;Z2541,Z2542,"")</f>
        <v/>
      </c>
      <c r="AB2542">
        <f>AB2541+IF(X2542="",0,IF(ISNA(MATCH(X2542,X$256:X2541,0)),1,0))</f>
        <v/>
      </c>
      <c r="AC2542">
        <f>IF(AB2542&gt;AB2541,AB2542,"")</f>
        <v/>
      </c>
    </row>
    <row r="2543">
      <c r="W2543" s="7" t="n"/>
      <c r="X2543" s="7" t="n"/>
      <c r="Z2543">
        <f>Z2542+IF(W2543="",0,IF(ISNA(MATCH(W2543,W$256:W2542,0)),1,0))</f>
        <v/>
      </c>
      <c r="AA2543">
        <f>IF(Z2543&gt;Z2542,Z2543,"")</f>
        <v/>
      </c>
      <c r="AB2543">
        <f>AB2542+IF(X2543="",0,IF(ISNA(MATCH(X2543,X$256:X2542,0)),1,0))</f>
        <v/>
      </c>
      <c r="AC2543">
        <f>IF(AB2543&gt;AB2542,AB2543,"")</f>
        <v/>
      </c>
    </row>
    <row r="2544">
      <c r="W2544" s="7" t="n"/>
      <c r="X2544" s="7" t="n"/>
      <c r="Z2544">
        <f>Z2543+IF(W2544="",0,IF(ISNA(MATCH(W2544,W$256:W2543,0)),1,0))</f>
        <v/>
      </c>
      <c r="AA2544">
        <f>IF(Z2544&gt;Z2543,Z2544,"")</f>
        <v/>
      </c>
      <c r="AB2544">
        <f>AB2543+IF(X2544="",0,IF(ISNA(MATCH(X2544,X$256:X2543,0)),1,0))</f>
        <v/>
      </c>
      <c r="AC2544">
        <f>IF(AB2544&gt;AB2543,AB2544,"")</f>
        <v/>
      </c>
    </row>
    <row r="2545">
      <c r="W2545" s="7" t="n"/>
      <c r="X2545" s="7" t="n"/>
      <c r="Z2545">
        <f>Z2544+IF(W2545="",0,IF(ISNA(MATCH(W2545,W$256:W2544,0)),1,0))</f>
        <v/>
      </c>
      <c r="AA2545">
        <f>IF(Z2545&gt;Z2544,Z2545,"")</f>
        <v/>
      </c>
      <c r="AB2545">
        <f>AB2544+IF(X2545="",0,IF(ISNA(MATCH(X2545,X$256:X2544,0)),1,0))</f>
        <v/>
      </c>
      <c r="AC2545">
        <f>IF(AB2545&gt;AB2544,AB2545,"")</f>
        <v/>
      </c>
    </row>
    <row r="2546">
      <c r="W2546" s="7" t="n"/>
      <c r="X2546" s="7" t="n"/>
      <c r="Z2546">
        <f>Z2545+IF(W2546="",0,IF(ISNA(MATCH(W2546,W$256:W2545,0)),1,0))</f>
        <v/>
      </c>
      <c r="AA2546">
        <f>IF(Z2546&gt;Z2545,Z2546,"")</f>
        <v/>
      </c>
      <c r="AB2546">
        <f>AB2545+IF(X2546="",0,IF(ISNA(MATCH(X2546,X$256:X2545,0)),1,0))</f>
        <v/>
      </c>
      <c r="AC2546">
        <f>IF(AB2546&gt;AB2545,AB2546,"")</f>
        <v/>
      </c>
    </row>
    <row r="2547">
      <c r="W2547" s="7" t="n"/>
      <c r="X2547" s="7" t="n"/>
      <c r="Z2547">
        <f>Z2546+IF(W2547="",0,IF(ISNA(MATCH(W2547,W$256:W2546,0)),1,0))</f>
        <v/>
      </c>
      <c r="AA2547">
        <f>IF(Z2547&gt;Z2546,Z2547,"")</f>
        <v/>
      </c>
      <c r="AB2547">
        <f>AB2546+IF(X2547="",0,IF(ISNA(MATCH(X2547,X$256:X2546,0)),1,0))</f>
        <v/>
      </c>
      <c r="AC2547">
        <f>IF(AB2547&gt;AB2546,AB2547,"")</f>
        <v/>
      </c>
    </row>
    <row r="2548">
      <c r="W2548" s="7" t="n"/>
      <c r="X2548" s="7" t="n"/>
      <c r="Z2548">
        <f>Z2547+IF(W2548="",0,IF(ISNA(MATCH(W2548,W$256:W2547,0)),1,0))</f>
        <v/>
      </c>
      <c r="AA2548">
        <f>IF(Z2548&gt;Z2547,Z2548,"")</f>
        <v/>
      </c>
      <c r="AB2548">
        <f>AB2547+IF(X2548="",0,IF(ISNA(MATCH(X2548,X$256:X2547,0)),1,0))</f>
        <v/>
      </c>
      <c r="AC2548">
        <f>IF(AB2548&gt;AB2547,AB2548,"")</f>
        <v/>
      </c>
    </row>
    <row r="2549">
      <c r="W2549" s="7" t="n"/>
      <c r="X2549" s="7" t="n"/>
      <c r="Z2549">
        <f>Z2548+IF(W2549="",0,IF(ISNA(MATCH(W2549,W$256:W2548,0)),1,0))</f>
        <v/>
      </c>
      <c r="AA2549">
        <f>IF(Z2549&gt;Z2548,Z2549,"")</f>
        <v/>
      </c>
      <c r="AB2549">
        <f>AB2548+IF(X2549="",0,IF(ISNA(MATCH(X2549,X$256:X2548,0)),1,0))</f>
        <v/>
      </c>
      <c r="AC2549">
        <f>IF(AB2549&gt;AB2548,AB2549,"")</f>
        <v/>
      </c>
    </row>
    <row r="2550">
      <c r="W2550" s="7" t="n"/>
      <c r="X2550" s="7" t="n"/>
      <c r="Z2550">
        <f>Z2549+IF(W2550="",0,IF(ISNA(MATCH(W2550,W$256:W2549,0)),1,0))</f>
        <v/>
      </c>
      <c r="AA2550">
        <f>IF(Z2550&gt;Z2549,Z2550,"")</f>
        <v/>
      </c>
      <c r="AB2550">
        <f>AB2549+IF(X2550="",0,IF(ISNA(MATCH(X2550,X$256:X2549,0)),1,0))</f>
        <v/>
      </c>
      <c r="AC2550">
        <f>IF(AB2550&gt;AB2549,AB2550,"")</f>
        <v/>
      </c>
    </row>
    <row r="2551">
      <c r="W2551" s="7" t="n"/>
      <c r="X2551" s="7" t="n"/>
      <c r="Z2551">
        <f>Z2550+IF(W2551="",0,IF(ISNA(MATCH(W2551,W$256:W2550,0)),1,0))</f>
        <v/>
      </c>
      <c r="AA2551">
        <f>IF(Z2551&gt;Z2550,Z2551,"")</f>
        <v/>
      </c>
      <c r="AB2551">
        <f>AB2550+IF(X2551="",0,IF(ISNA(MATCH(X2551,X$256:X2550,0)),1,0))</f>
        <v/>
      </c>
      <c r="AC2551">
        <f>IF(AB2551&gt;AB2550,AB2551,"")</f>
        <v/>
      </c>
    </row>
    <row r="2552">
      <c r="W2552" s="7" t="n"/>
      <c r="X2552" s="7" t="n"/>
      <c r="Z2552">
        <f>Z2551+IF(W2552="",0,IF(ISNA(MATCH(W2552,W$256:W2551,0)),1,0))</f>
        <v/>
      </c>
      <c r="AA2552">
        <f>IF(Z2552&gt;Z2551,Z2552,"")</f>
        <v/>
      </c>
      <c r="AB2552">
        <f>AB2551+IF(X2552="",0,IF(ISNA(MATCH(X2552,X$256:X2551,0)),1,0))</f>
        <v/>
      </c>
      <c r="AC2552">
        <f>IF(AB2552&gt;AB2551,AB2552,"")</f>
        <v/>
      </c>
    </row>
    <row r="2553">
      <c r="W2553" s="7" t="n"/>
      <c r="X2553" s="7" t="n"/>
      <c r="Z2553">
        <f>Z2552+IF(W2553="",0,IF(ISNA(MATCH(W2553,W$256:W2552,0)),1,0))</f>
        <v/>
      </c>
      <c r="AA2553">
        <f>IF(Z2553&gt;Z2552,Z2553,"")</f>
        <v/>
      </c>
      <c r="AB2553">
        <f>AB2552+IF(X2553="",0,IF(ISNA(MATCH(X2553,X$256:X2552,0)),1,0))</f>
        <v/>
      </c>
      <c r="AC2553">
        <f>IF(AB2553&gt;AB2552,AB2553,"")</f>
        <v/>
      </c>
    </row>
    <row r="2554">
      <c r="W2554" s="7" t="n"/>
      <c r="X2554" s="7" t="n"/>
      <c r="Z2554">
        <f>Z2553+IF(W2554="",0,IF(ISNA(MATCH(W2554,W$256:W2553,0)),1,0))</f>
        <v/>
      </c>
      <c r="AA2554">
        <f>IF(Z2554&gt;Z2553,Z2554,"")</f>
        <v/>
      </c>
      <c r="AB2554">
        <f>AB2553+IF(X2554="",0,IF(ISNA(MATCH(X2554,X$256:X2553,0)),1,0))</f>
        <v/>
      </c>
      <c r="AC2554">
        <f>IF(AB2554&gt;AB2553,AB2554,"")</f>
        <v/>
      </c>
    </row>
    <row r="2555">
      <c r="W2555" s="7" t="n"/>
      <c r="X2555" s="7" t="n"/>
      <c r="Z2555">
        <f>Z2554+IF(W2555="",0,IF(ISNA(MATCH(W2555,W$256:W2554,0)),1,0))</f>
        <v/>
      </c>
      <c r="AA2555">
        <f>IF(Z2555&gt;Z2554,Z2555,"")</f>
        <v/>
      </c>
      <c r="AB2555">
        <f>AB2554+IF(X2555="",0,IF(ISNA(MATCH(X2555,X$256:X2554,0)),1,0))</f>
        <v/>
      </c>
      <c r="AC2555">
        <f>IF(AB2555&gt;AB2554,AB2555,"")</f>
        <v/>
      </c>
    </row>
    <row r="2556">
      <c r="W2556" s="7" t="n"/>
      <c r="X2556" s="7" t="n"/>
      <c r="Z2556">
        <f>Z2555+IF(W2556="",0,IF(ISNA(MATCH(W2556,W$256:W2555,0)),1,0))</f>
        <v/>
      </c>
      <c r="AA2556">
        <f>IF(Z2556&gt;Z2555,Z2556,"")</f>
        <v/>
      </c>
      <c r="AB2556">
        <f>AB2555+IF(X2556="",0,IF(ISNA(MATCH(X2556,X$256:X2555,0)),1,0))</f>
        <v/>
      </c>
      <c r="AC2556">
        <f>IF(AB2556&gt;AB2555,AB2556,"")</f>
        <v/>
      </c>
    </row>
    <row r="2557">
      <c r="W2557" s="7" t="n"/>
      <c r="X2557" s="7" t="n"/>
      <c r="Z2557">
        <f>Z2556+IF(W2557="",0,IF(ISNA(MATCH(W2557,W$256:W2556,0)),1,0))</f>
        <v/>
      </c>
      <c r="AA2557">
        <f>IF(Z2557&gt;Z2556,Z2557,"")</f>
        <v/>
      </c>
      <c r="AB2557">
        <f>AB2556+IF(X2557="",0,IF(ISNA(MATCH(X2557,X$256:X2556,0)),1,0))</f>
        <v/>
      </c>
      <c r="AC2557">
        <f>IF(AB2557&gt;AB2556,AB2557,"")</f>
        <v/>
      </c>
    </row>
    <row r="2558">
      <c r="W2558" s="7" t="n"/>
      <c r="X2558" s="7" t="n"/>
      <c r="Z2558">
        <f>Z2557+IF(W2558="",0,IF(ISNA(MATCH(W2558,W$256:W2557,0)),1,0))</f>
        <v/>
      </c>
      <c r="AA2558">
        <f>IF(Z2558&gt;Z2557,Z2558,"")</f>
        <v/>
      </c>
      <c r="AB2558">
        <f>AB2557+IF(X2558="",0,IF(ISNA(MATCH(X2558,X$256:X2557,0)),1,0))</f>
        <v/>
      </c>
      <c r="AC2558">
        <f>IF(AB2558&gt;AB2557,AB2558,"")</f>
        <v/>
      </c>
    </row>
    <row r="2559">
      <c r="W2559" s="7" t="n"/>
      <c r="X2559" s="7" t="n"/>
      <c r="Z2559">
        <f>Z2558+IF(W2559="",0,IF(ISNA(MATCH(W2559,W$256:W2558,0)),1,0))</f>
        <v/>
      </c>
      <c r="AA2559">
        <f>IF(Z2559&gt;Z2558,Z2559,"")</f>
        <v/>
      </c>
      <c r="AB2559">
        <f>AB2558+IF(X2559="",0,IF(ISNA(MATCH(X2559,X$256:X2558,0)),1,0))</f>
        <v/>
      </c>
      <c r="AC2559">
        <f>IF(AB2559&gt;AB2558,AB2559,"")</f>
        <v/>
      </c>
    </row>
    <row r="2560">
      <c r="W2560" s="7" t="n"/>
      <c r="X2560" s="7" t="n"/>
      <c r="Z2560">
        <f>Z2559+IF(W2560="",0,IF(ISNA(MATCH(W2560,W$256:W2559,0)),1,0))</f>
        <v/>
      </c>
      <c r="AA2560">
        <f>IF(Z2560&gt;Z2559,Z2560,"")</f>
        <v/>
      </c>
      <c r="AB2560">
        <f>AB2559+IF(X2560="",0,IF(ISNA(MATCH(X2560,X$256:X2559,0)),1,0))</f>
        <v/>
      </c>
      <c r="AC2560">
        <f>IF(AB2560&gt;AB2559,AB2560,"")</f>
        <v/>
      </c>
    </row>
    <row r="2561">
      <c r="W2561" s="7" t="n"/>
      <c r="X2561" s="7" t="n"/>
      <c r="Z2561">
        <f>Z2560+IF(W2561="",0,IF(ISNA(MATCH(W2561,W$256:W2560,0)),1,0))</f>
        <v/>
      </c>
      <c r="AA2561">
        <f>IF(Z2561&gt;Z2560,Z2561,"")</f>
        <v/>
      </c>
      <c r="AB2561">
        <f>AB2560+IF(X2561="",0,IF(ISNA(MATCH(X2561,X$256:X2560,0)),1,0))</f>
        <v/>
      </c>
      <c r="AC2561">
        <f>IF(AB2561&gt;AB2560,AB2561,"")</f>
        <v/>
      </c>
    </row>
    <row r="2562">
      <c r="W2562" s="7" t="n"/>
      <c r="X2562" s="7" t="n"/>
      <c r="Z2562">
        <f>Z2561+IF(W2562="",0,IF(ISNA(MATCH(W2562,W$256:W2561,0)),1,0))</f>
        <v/>
      </c>
      <c r="AA2562">
        <f>IF(Z2562&gt;Z2561,Z2562,"")</f>
        <v/>
      </c>
      <c r="AB2562">
        <f>AB2561+IF(X2562="",0,IF(ISNA(MATCH(X2562,X$256:X2561,0)),1,0))</f>
        <v/>
      </c>
      <c r="AC2562">
        <f>IF(AB2562&gt;AB2561,AB2562,"")</f>
        <v/>
      </c>
    </row>
    <row r="2563">
      <c r="W2563" s="7" t="n"/>
      <c r="X2563" s="7" t="n"/>
      <c r="Z2563">
        <f>Z2562+IF(W2563="",0,IF(ISNA(MATCH(W2563,W$256:W2562,0)),1,0))</f>
        <v/>
      </c>
      <c r="AA2563">
        <f>IF(Z2563&gt;Z2562,Z2563,"")</f>
        <v/>
      </c>
      <c r="AB2563">
        <f>AB2562+IF(X2563="",0,IF(ISNA(MATCH(X2563,X$256:X2562,0)),1,0))</f>
        <v/>
      </c>
      <c r="AC2563">
        <f>IF(AB2563&gt;AB2562,AB2563,"")</f>
        <v/>
      </c>
    </row>
    <row r="2564">
      <c r="W2564" s="7" t="n"/>
      <c r="X2564" s="7" t="n"/>
      <c r="Z2564">
        <f>Z2563+IF(W2564="",0,IF(ISNA(MATCH(W2564,W$256:W2563,0)),1,0))</f>
        <v/>
      </c>
      <c r="AA2564">
        <f>IF(Z2564&gt;Z2563,Z2564,"")</f>
        <v/>
      </c>
      <c r="AB2564">
        <f>AB2563+IF(X2564="",0,IF(ISNA(MATCH(X2564,X$256:X2563,0)),1,0))</f>
        <v/>
      </c>
      <c r="AC2564">
        <f>IF(AB2564&gt;AB2563,AB2564,"")</f>
        <v/>
      </c>
    </row>
    <row r="2565">
      <c r="W2565" s="7" t="n"/>
      <c r="X2565" s="7" t="n"/>
      <c r="Z2565">
        <f>Z2564+IF(W2565="",0,IF(ISNA(MATCH(W2565,W$256:W2564,0)),1,0))</f>
        <v/>
      </c>
      <c r="AA2565">
        <f>IF(Z2565&gt;Z2564,Z2565,"")</f>
        <v/>
      </c>
      <c r="AB2565">
        <f>AB2564+IF(X2565="",0,IF(ISNA(MATCH(X2565,X$256:X2564,0)),1,0))</f>
        <v/>
      </c>
      <c r="AC2565">
        <f>IF(AB2565&gt;AB2564,AB2565,"")</f>
        <v/>
      </c>
    </row>
    <row r="2566">
      <c r="W2566" s="7" t="n"/>
      <c r="X2566" s="7" t="n"/>
      <c r="Z2566">
        <f>Z2565+IF(W2566="",0,IF(ISNA(MATCH(W2566,W$256:W2565,0)),1,0))</f>
        <v/>
      </c>
      <c r="AA2566">
        <f>IF(Z2566&gt;Z2565,Z2566,"")</f>
        <v/>
      </c>
      <c r="AB2566">
        <f>AB2565+IF(X2566="",0,IF(ISNA(MATCH(X2566,X$256:X2565,0)),1,0))</f>
        <v/>
      </c>
      <c r="AC2566">
        <f>IF(AB2566&gt;AB2565,AB2566,"")</f>
        <v/>
      </c>
    </row>
    <row r="2567">
      <c r="W2567" s="7" t="n"/>
      <c r="X2567" s="7" t="n"/>
      <c r="Z2567">
        <f>Z2566+IF(W2567="",0,IF(ISNA(MATCH(W2567,W$256:W2566,0)),1,0))</f>
        <v/>
      </c>
      <c r="AA2567">
        <f>IF(Z2567&gt;Z2566,Z2567,"")</f>
        <v/>
      </c>
      <c r="AB2567">
        <f>AB2566+IF(X2567="",0,IF(ISNA(MATCH(X2567,X$256:X2566,0)),1,0))</f>
        <v/>
      </c>
      <c r="AC2567">
        <f>IF(AB2567&gt;AB2566,AB2567,"")</f>
        <v/>
      </c>
    </row>
    <row r="2568">
      <c r="W2568" s="7" t="n"/>
      <c r="X2568" s="7" t="n"/>
      <c r="Z2568">
        <f>Z2567+IF(W2568="",0,IF(ISNA(MATCH(W2568,W$256:W2567,0)),1,0))</f>
        <v/>
      </c>
      <c r="AA2568">
        <f>IF(Z2568&gt;Z2567,Z2568,"")</f>
        <v/>
      </c>
      <c r="AB2568">
        <f>AB2567+IF(X2568="",0,IF(ISNA(MATCH(X2568,X$256:X2567,0)),1,0))</f>
        <v/>
      </c>
      <c r="AC2568">
        <f>IF(AB2568&gt;AB2567,AB2568,"")</f>
        <v/>
      </c>
    </row>
    <row r="2569">
      <c r="W2569" s="7" t="n"/>
      <c r="X2569" s="7" t="n"/>
      <c r="Z2569">
        <f>Z2568+IF(W2569="",0,IF(ISNA(MATCH(W2569,W$256:W2568,0)),1,0))</f>
        <v/>
      </c>
      <c r="AA2569">
        <f>IF(Z2569&gt;Z2568,Z2569,"")</f>
        <v/>
      </c>
      <c r="AB2569">
        <f>AB2568+IF(X2569="",0,IF(ISNA(MATCH(X2569,X$256:X2568,0)),1,0))</f>
        <v/>
      </c>
      <c r="AC2569">
        <f>IF(AB2569&gt;AB2568,AB2569,"")</f>
        <v/>
      </c>
    </row>
    <row r="2570">
      <c r="W2570" s="7" t="n"/>
      <c r="X2570" s="7" t="n"/>
      <c r="Z2570">
        <f>Z2569+IF(W2570="",0,IF(ISNA(MATCH(W2570,W$256:W2569,0)),1,0))</f>
        <v/>
      </c>
      <c r="AA2570">
        <f>IF(Z2570&gt;Z2569,Z2570,"")</f>
        <v/>
      </c>
      <c r="AB2570">
        <f>AB2569+IF(X2570="",0,IF(ISNA(MATCH(X2570,X$256:X2569,0)),1,0))</f>
        <v/>
      </c>
      <c r="AC2570">
        <f>IF(AB2570&gt;AB2569,AB2570,"")</f>
        <v/>
      </c>
    </row>
    <row r="2571">
      <c r="W2571" s="7" t="n"/>
      <c r="X2571" s="7" t="n"/>
      <c r="Z2571">
        <f>Z2570+IF(W2571="",0,IF(ISNA(MATCH(W2571,W$256:W2570,0)),1,0))</f>
        <v/>
      </c>
      <c r="AA2571">
        <f>IF(Z2571&gt;Z2570,Z2571,"")</f>
        <v/>
      </c>
      <c r="AB2571">
        <f>AB2570+IF(X2571="",0,IF(ISNA(MATCH(X2571,X$256:X2570,0)),1,0))</f>
        <v/>
      </c>
      <c r="AC2571">
        <f>IF(AB2571&gt;AB2570,AB2571,"")</f>
        <v/>
      </c>
    </row>
    <row r="2572">
      <c r="W2572" s="7" t="n"/>
      <c r="X2572" s="7" t="n"/>
      <c r="Z2572">
        <f>Z2571+IF(W2572="",0,IF(ISNA(MATCH(W2572,W$256:W2571,0)),1,0))</f>
        <v/>
      </c>
      <c r="AA2572">
        <f>IF(Z2572&gt;Z2571,Z2572,"")</f>
        <v/>
      </c>
      <c r="AB2572">
        <f>AB2571+IF(X2572="",0,IF(ISNA(MATCH(X2572,X$256:X2571,0)),1,0))</f>
        <v/>
      </c>
      <c r="AC2572">
        <f>IF(AB2572&gt;AB2571,AB2572,"")</f>
        <v/>
      </c>
    </row>
    <row r="2573">
      <c r="W2573" s="7" t="n"/>
      <c r="X2573" s="7" t="n"/>
      <c r="Z2573">
        <f>Z2572+IF(W2573="",0,IF(ISNA(MATCH(W2573,W$256:W2572,0)),1,0))</f>
        <v/>
      </c>
      <c r="AA2573">
        <f>IF(Z2573&gt;Z2572,Z2573,"")</f>
        <v/>
      </c>
      <c r="AB2573">
        <f>AB2572+IF(X2573="",0,IF(ISNA(MATCH(X2573,X$256:X2572,0)),1,0))</f>
        <v/>
      </c>
      <c r="AC2573">
        <f>IF(AB2573&gt;AB2572,AB2573,"")</f>
        <v/>
      </c>
    </row>
    <row r="2574">
      <c r="W2574" s="7" t="n"/>
      <c r="X2574" s="7" t="n"/>
      <c r="Z2574">
        <f>Z2573+IF(W2574="",0,IF(ISNA(MATCH(W2574,W$256:W2573,0)),1,0))</f>
        <v/>
      </c>
      <c r="AA2574">
        <f>IF(Z2574&gt;Z2573,Z2574,"")</f>
        <v/>
      </c>
      <c r="AB2574">
        <f>AB2573+IF(X2574="",0,IF(ISNA(MATCH(X2574,X$256:X2573,0)),1,0))</f>
        <v/>
      </c>
      <c r="AC2574">
        <f>IF(AB2574&gt;AB2573,AB2574,"")</f>
        <v/>
      </c>
    </row>
    <row r="2575">
      <c r="W2575" s="7" t="n"/>
      <c r="X2575" s="7" t="n"/>
      <c r="Z2575">
        <f>Z2574+IF(W2575="",0,IF(ISNA(MATCH(W2575,W$256:W2574,0)),1,0))</f>
        <v/>
      </c>
      <c r="AA2575">
        <f>IF(Z2575&gt;Z2574,Z2575,"")</f>
        <v/>
      </c>
      <c r="AB2575">
        <f>AB2574+IF(X2575="",0,IF(ISNA(MATCH(X2575,X$256:X2574,0)),1,0))</f>
        <v/>
      </c>
      <c r="AC2575">
        <f>IF(AB2575&gt;AB2574,AB2575,"")</f>
        <v/>
      </c>
    </row>
    <row r="2576">
      <c r="W2576" s="7" t="n"/>
      <c r="X2576" s="7" t="n"/>
      <c r="Z2576">
        <f>Z2575+IF(W2576="",0,IF(ISNA(MATCH(W2576,W$256:W2575,0)),1,0))</f>
        <v/>
      </c>
      <c r="AA2576">
        <f>IF(Z2576&gt;Z2575,Z2576,"")</f>
        <v/>
      </c>
      <c r="AB2576">
        <f>AB2575+IF(X2576="",0,IF(ISNA(MATCH(X2576,X$256:X2575,0)),1,0))</f>
        <v/>
      </c>
      <c r="AC2576">
        <f>IF(AB2576&gt;AB2575,AB2576,"")</f>
        <v/>
      </c>
    </row>
    <row r="2577">
      <c r="W2577" s="7" t="n"/>
      <c r="X2577" s="7" t="n"/>
      <c r="Z2577">
        <f>Z2576+IF(W2577="",0,IF(ISNA(MATCH(W2577,W$256:W2576,0)),1,0))</f>
        <v/>
      </c>
      <c r="AA2577">
        <f>IF(Z2577&gt;Z2576,Z2577,"")</f>
        <v/>
      </c>
      <c r="AB2577">
        <f>AB2576+IF(X2577="",0,IF(ISNA(MATCH(X2577,X$256:X2576,0)),1,0))</f>
        <v/>
      </c>
      <c r="AC2577">
        <f>IF(AB2577&gt;AB2576,AB2577,"")</f>
        <v/>
      </c>
    </row>
    <row r="2578">
      <c r="W2578" s="7" t="n"/>
      <c r="X2578" s="7" t="n"/>
      <c r="Z2578">
        <f>Z2577+IF(W2578="",0,IF(ISNA(MATCH(W2578,W$256:W2577,0)),1,0))</f>
        <v/>
      </c>
      <c r="AA2578">
        <f>IF(Z2578&gt;Z2577,Z2578,"")</f>
        <v/>
      </c>
      <c r="AB2578">
        <f>AB2577+IF(X2578="",0,IF(ISNA(MATCH(X2578,X$256:X2577,0)),1,0))</f>
        <v/>
      </c>
      <c r="AC2578">
        <f>IF(AB2578&gt;AB2577,AB2578,"")</f>
        <v/>
      </c>
    </row>
    <row r="2579">
      <c r="W2579" s="7" t="n"/>
      <c r="X2579" s="7" t="n"/>
      <c r="Z2579">
        <f>Z2578+IF(W2579="",0,IF(ISNA(MATCH(W2579,W$256:W2578,0)),1,0))</f>
        <v/>
      </c>
      <c r="AA2579">
        <f>IF(Z2579&gt;Z2578,Z2579,"")</f>
        <v/>
      </c>
      <c r="AB2579">
        <f>AB2578+IF(X2579="",0,IF(ISNA(MATCH(X2579,X$256:X2578,0)),1,0))</f>
        <v/>
      </c>
      <c r="AC2579">
        <f>IF(AB2579&gt;AB2578,AB2579,"")</f>
        <v/>
      </c>
    </row>
    <row r="2580">
      <c r="W2580" s="7" t="n"/>
      <c r="X2580" s="7" t="n"/>
      <c r="Z2580">
        <f>Z2579+IF(W2580="",0,IF(ISNA(MATCH(W2580,W$256:W2579,0)),1,0))</f>
        <v/>
      </c>
      <c r="AA2580">
        <f>IF(Z2580&gt;Z2579,Z2580,"")</f>
        <v/>
      </c>
      <c r="AB2580">
        <f>AB2579+IF(X2580="",0,IF(ISNA(MATCH(X2580,X$256:X2579,0)),1,0))</f>
        <v/>
      </c>
      <c r="AC2580">
        <f>IF(AB2580&gt;AB2579,AB2580,"")</f>
        <v/>
      </c>
    </row>
    <row r="2581">
      <c r="W2581" s="7" t="n"/>
      <c r="X2581" s="7" t="n"/>
      <c r="Z2581">
        <f>Z2580+IF(W2581="",0,IF(ISNA(MATCH(W2581,W$256:W2580,0)),1,0))</f>
        <v/>
      </c>
      <c r="AA2581">
        <f>IF(Z2581&gt;Z2580,Z2581,"")</f>
        <v/>
      </c>
      <c r="AB2581">
        <f>AB2580+IF(X2581="",0,IF(ISNA(MATCH(X2581,X$256:X2580,0)),1,0))</f>
        <v/>
      </c>
      <c r="AC2581">
        <f>IF(AB2581&gt;AB2580,AB2581,"")</f>
        <v/>
      </c>
    </row>
    <row r="2582">
      <c r="W2582" s="7" t="n"/>
      <c r="X2582" s="7" t="n"/>
      <c r="Z2582">
        <f>Z2581+IF(W2582="",0,IF(ISNA(MATCH(W2582,W$256:W2581,0)),1,0))</f>
        <v/>
      </c>
      <c r="AA2582">
        <f>IF(Z2582&gt;Z2581,Z2582,"")</f>
        <v/>
      </c>
      <c r="AB2582">
        <f>AB2581+IF(X2582="",0,IF(ISNA(MATCH(X2582,X$256:X2581,0)),1,0))</f>
        <v/>
      </c>
      <c r="AC2582">
        <f>IF(AB2582&gt;AB2581,AB2582,"")</f>
        <v/>
      </c>
    </row>
    <row r="2583">
      <c r="W2583" s="7" t="n"/>
      <c r="X2583" s="7" t="n"/>
      <c r="Z2583">
        <f>Z2582+IF(W2583="",0,IF(ISNA(MATCH(W2583,W$256:W2582,0)),1,0))</f>
        <v/>
      </c>
      <c r="AA2583">
        <f>IF(Z2583&gt;Z2582,Z2583,"")</f>
        <v/>
      </c>
      <c r="AB2583">
        <f>AB2582+IF(X2583="",0,IF(ISNA(MATCH(X2583,X$256:X2582,0)),1,0))</f>
        <v/>
      </c>
      <c r="AC2583">
        <f>IF(AB2583&gt;AB2582,AB2583,"")</f>
        <v/>
      </c>
    </row>
    <row r="2584">
      <c r="W2584" s="7" t="n"/>
      <c r="X2584" s="7" t="n"/>
      <c r="Z2584">
        <f>Z2583+IF(W2584="",0,IF(ISNA(MATCH(W2584,W$256:W2583,0)),1,0))</f>
        <v/>
      </c>
      <c r="AA2584">
        <f>IF(Z2584&gt;Z2583,Z2584,"")</f>
        <v/>
      </c>
      <c r="AB2584">
        <f>AB2583+IF(X2584="",0,IF(ISNA(MATCH(X2584,X$256:X2583,0)),1,0))</f>
        <v/>
      </c>
      <c r="AC2584">
        <f>IF(AB2584&gt;AB2583,AB2584,"")</f>
        <v/>
      </c>
    </row>
    <row r="2585">
      <c r="W2585" s="7" t="n"/>
      <c r="X2585" s="7" t="n"/>
      <c r="Z2585">
        <f>Z2584+IF(W2585="",0,IF(ISNA(MATCH(W2585,W$256:W2584,0)),1,0))</f>
        <v/>
      </c>
      <c r="AA2585">
        <f>IF(Z2585&gt;Z2584,Z2585,"")</f>
        <v/>
      </c>
      <c r="AB2585">
        <f>AB2584+IF(X2585="",0,IF(ISNA(MATCH(X2585,X$256:X2584,0)),1,0))</f>
        <v/>
      </c>
      <c r="AC2585">
        <f>IF(AB2585&gt;AB2584,AB2585,"")</f>
        <v/>
      </c>
    </row>
    <row r="2586">
      <c r="W2586" s="7" t="n"/>
      <c r="X2586" s="7" t="n"/>
      <c r="Z2586">
        <f>Z2585+IF(W2586="",0,IF(ISNA(MATCH(W2586,W$256:W2585,0)),1,0))</f>
        <v/>
      </c>
      <c r="AA2586">
        <f>IF(Z2586&gt;Z2585,Z2586,"")</f>
        <v/>
      </c>
      <c r="AB2586">
        <f>AB2585+IF(X2586="",0,IF(ISNA(MATCH(X2586,X$256:X2585,0)),1,0))</f>
        <v/>
      </c>
      <c r="AC2586">
        <f>IF(AB2586&gt;AB2585,AB2586,"")</f>
        <v/>
      </c>
    </row>
    <row r="2587">
      <c r="W2587" s="7" t="n"/>
      <c r="X2587" s="7" t="n"/>
      <c r="Z2587">
        <f>Z2586+IF(W2587="",0,IF(ISNA(MATCH(W2587,W$256:W2586,0)),1,0))</f>
        <v/>
      </c>
      <c r="AA2587">
        <f>IF(Z2587&gt;Z2586,Z2587,"")</f>
        <v/>
      </c>
      <c r="AB2587">
        <f>AB2586+IF(X2587="",0,IF(ISNA(MATCH(X2587,X$256:X2586,0)),1,0))</f>
        <v/>
      </c>
      <c r="AC2587">
        <f>IF(AB2587&gt;AB2586,AB2587,"")</f>
        <v/>
      </c>
    </row>
    <row r="2588">
      <c r="W2588" s="7" t="n"/>
      <c r="X2588" s="7" t="n"/>
      <c r="Z2588">
        <f>Z2587+IF(W2588="",0,IF(ISNA(MATCH(W2588,W$256:W2587,0)),1,0))</f>
        <v/>
      </c>
      <c r="AA2588">
        <f>IF(Z2588&gt;Z2587,Z2588,"")</f>
        <v/>
      </c>
      <c r="AB2588">
        <f>AB2587+IF(X2588="",0,IF(ISNA(MATCH(X2588,X$256:X2587,0)),1,0))</f>
        <v/>
      </c>
      <c r="AC2588">
        <f>IF(AB2588&gt;AB2587,AB2588,"")</f>
        <v/>
      </c>
    </row>
    <row r="2589">
      <c r="W2589" s="7" t="n"/>
      <c r="X2589" s="7" t="n"/>
      <c r="Z2589">
        <f>Z2588+IF(W2589="",0,IF(ISNA(MATCH(W2589,W$256:W2588,0)),1,0))</f>
        <v/>
      </c>
      <c r="AA2589">
        <f>IF(Z2589&gt;Z2588,Z2589,"")</f>
        <v/>
      </c>
      <c r="AB2589">
        <f>AB2588+IF(X2589="",0,IF(ISNA(MATCH(X2589,X$256:X2588,0)),1,0))</f>
        <v/>
      </c>
      <c r="AC2589">
        <f>IF(AB2589&gt;AB2588,AB2589,"")</f>
        <v/>
      </c>
    </row>
    <row r="2590">
      <c r="W2590" s="7" t="n"/>
      <c r="X2590" s="7" t="n"/>
      <c r="Z2590">
        <f>Z2589+IF(W2590="",0,IF(ISNA(MATCH(W2590,W$256:W2589,0)),1,0))</f>
        <v/>
      </c>
      <c r="AA2590">
        <f>IF(Z2590&gt;Z2589,Z2590,"")</f>
        <v/>
      </c>
      <c r="AB2590">
        <f>AB2589+IF(X2590="",0,IF(ISNA(MATCH(X2590,X$256:X2589,0)),1,0))</f>
        <v/>
      </c>
      <c r="AC2590">
        <f>IF(AB2590&gt;AB2589,AB2590,"")</f>
        <v/>
      </c>
    </row>
    <row r="2591">
      <c r="W2591" s="7" t="n"/>
      <c r="X2591" s="7" t="n"/>
      <c r="Z2591">
        <f>Z2590+IF(W2591="",0,IF(ISNA(MATCH(W2591,W$256:W2590,0)),1,0))</f>
        <v/>
      </c>
      <c r="AA2591">
        <f>IF(Z2591&gt;Z2590,Z2591,"")</f>
        <v/>
      </c>
      <c r="AB2591">
        <f>AB2590+IF(X2591="",0,IF(ISNA(MATCH(X2591,X$256:X2590,0)),1,0))</f>
        <v/>
      </c>
      <c r="AC2591">
        <f>IF(AB2591&gt;AB2590,AB2591,"")</f>
        <v/>
      </c>
    </row>
    <row r="2592">
      <c r="W2592" s="7" t="n"/>
      <c r="X2592" s="7" t="n"/>
      <c r="Z2592">
        <f>Z2591+IF(W2592="",0,IF(ISNA(MATCH(W2592,W$256:W2591,0)),1,0))</f>
        <v/>
      </c>
      <c r="AA2592">
        <f>IF(Z2592&gt;Z2591,Z2592,"")</f>
        <v/>
      </c>
      <c r="AB2592">
        <f>AB2591+IF(X2592="",0,IF(ISNA(MATCH(X2592,X$256:X2591,0)),1,0))</f>
        <v/>
      </c>
      <c r="AC2592">
        <f>IF(AB2592&gt;AB2591,AB2592,"")</f>
        <v/>
      </c>
    </row>
    <row r="2593">
      <c r="W2593" s="7" t="n"/>
      <c r="X2593" s="7" t="n"/>
      <c r="Z2593">
        <f>Z2592+IF(W2593="",0,IF(ISNA(MATCH(W2593,W$256:W2592,0)),1,0))</f>
        <v/>
      </c>
      <c r="AA2593">
        <f>IF(Z2593&gt;Z2592,Z2593,"")</f>
        <v/>
      </c>
      <c r="AB2593">
        <f>AB2592+IF(X2593="",0,IF(ISNA(MATCH(X2593,X$256:X2592,0)),1,0))</f>
        <v/>
      </c>
      <c r="AC2593">
        <f>IF(AB2593&gt;AB2592,AB2593,"")</f>
        <v/>
      </c>
    </row>
    <row r="2594">
      <c r="W2594" s="7" t="n"/>
      <c r="X2594" s="7" t="n"/>
      <c r="Z2594">
        <f>Z2593+IF(W2594="",0,IF(ISNA(MATCH(W2594,W$256:W2593,0)),1,0))</f>
        <v/>
      </c>
      <c r="AA2594">
        <f>IF(Z2594&gt;Z2593,Z2594,"")</f>
        <v/>
      </c>
      <c r="AB2594">
        <f>AB2593+IF(X2594="",0,IF(ISNA(MATCH(X2594,X$256:X2593,0)),1,0))</f>
        <v/>
      </c>
      <c r="AC2594">
        <f>IF(AB2594&gt;AB2593,AB2594,"")</f>
        <v/>
      </c>
    </row>
    <row r="2595">
      <c r="W2595" s="7" t="n"/>
      <c r="X2595" s="7" t="n"/>
      <c r="Z2595">
        <f>Z2594+IF(W2595="",0,IF(ISNA(MATCH(W2595,W$256:W2594,0)),1,0))</f>
        <v/>
      </c>
      <c r="AA2595">
        <f>IF(Z2595&gt;Z2594,Z2595,"")</f>
        <v/>
      </c>
      <c r="AB2595">
        <f>AB2594+IF(X2595="",0,IF(ISNA(MATCH(X2595,X$256:X2594,0)),1,0))</f>
        <v/>
      </c>
      <c r="AC2595">
        <f>IF(AB2595&gt;AB2594,AB2595,"")</f>
        <v/>
      </c>
    </row>
    <row r="2596">
      <c r="W2596" s="7" t="n"/>
      <c r="X2596" s="7" t="n"/>
      <c r="Z2596">
        <f>Z2595+IF(W2596="",0,IF(ISNA(MATCH(W2596,W$256:W2595,0)),1,0))</f>
        <v/>
      </c>
      <c r="AA2596">
        <f>IF(Z2596&gt;Z2595,Z2596,"")</f>
        <v/>
      </c>
      <c r="AB2596">
        <f>AB2595+IF(X2596="",0,IF(ISNA(MATCH(X2596,X$256:X2595,0)),1,0))</f>
        <v/>
      </c>
      <c r="AC2596">
        <f>IF(AB2596&gt;AB2595,AB2596,"")</f>
        <v/>
      </c>
    </row>
    <row r="2597">
      <c r="W2597" s="7" t="n"/>
      <c r="X2597" s="7" t="n"/>
      <c r="Z2597">
        <f>Z2596+IF(W2597="",0,IF(ISNA(MATCH(W2597,W$256:W2596,0)),1,0))</f>
        <v/>
      </c>
      <c r="AA2597">
        <f>IF(Z2597&gt;Z2596,Z2597,"")</f>
        <v/>
      </c>
      <c r="AB2597">
        <f>AB2596+IF(X2597="",0,IF(ISNA(MATCH(X2597,X$256:X2596,0)),1,0))</f>
        <v/>
      </c>
      <c r="AC2597">
        <f>IF(AB2597&gt;AB2596,AB2597,"")</f>
        <v/>
      </c>
    </row>
    <row r="2598">
      <c r="W2598" s="7" t="n"/>
      <c r="X2598" s="7" t="n"/>
      <c r="Z2598">
        <f>Z2597+IF(W2598="",0,IF(ISNA(MATCH(W2598,W$256:W2597,0)),1,0))</f>
        <v/>
      </c>
      <c r="AA2598">
        <f>IF(Z2598&gt;Z2597,Z2598,"")</f>
        <v/>
      </c>
      <c r="AB2598">
        <f>AB2597+IF(X2598="",0,IF(ISNA(MATCH(X2598,X$256:X2597,0)),1,0))</f>
        <v/>
      </c>
      <c r="AC2598">
        <f>IF(AB2598&gt;AB2597,AB2598,"")</f>
        <v/>
      </c>
    </row>
    <row r="2599">
      <c r="W2599" s="7" t="n"/>
      <c r="X2599" s="7" t="n"/>
      <c r="Z2599">
        <f>Z2598+IF(W2599="",0,IF(ISNA(MATCH(W2599,W$256:W2598,0)),1,0))</f>
        <v/>
      </c>
      <c r="AA2599">
        <f>IF(Z2599&gt;Z2598,Z2599,"")</f>
        <v/>
      </c>
      <c r="AB2599">
        <f>AB2598+IF(X2599="",0,IF(ISNA(MATCH(X2599,X$256:X2598,0)),1,0))</f>
        <v/>
      </c>
      <c r="AC2599">
        <f>IF(AB2599&gt;AB2598,AB2599,"")</f>
        <v/>
      </c>
    </row>
    <row r="2600">
      <c r="W2600" s="7" t="n"/>
      <c r="X2600" s="7" t="n"/>
      <c r="Z2600">
        <f>Z2599+IF(W2600="",0,IF(ISNA(MATCH(W2600,W$256:W2599,0)),1,0))</f>
        <v/>
      </c>
      <c r="AA2600">
        <f>IF(Z2600&gt;Z2599,Z2600,"")</f>
        <v/>
      </c>
      <c r="AB2600">
        <f>AB2599+IF(X2600="",0,IF(ISNA(MATCH(X2600,X$256:X2599,0)),1,0))</f>
        <v/>
      </c>
      <c r="AC2600">
        <f>IF(AB2600&gt;AB2599,AB2600,"")</f>
        <v/>
      </c>
    </row>
    <row r="2601">
      <c r="W2601" s="7" t="n"/>
      <c r="X2601" s="7" t="n"/>
      <c r="Z2601">
        <f>Z2600+IF(W2601="",0,IF(ISNA(MATCH(W2601,W$256:W2600,0)),1,0))</f>
        <v/>
      </c>
      <c r="AA2601">
        <f>IF(Z2601&gt;Z2600,Z2601,"")</f>
        <v/>
      </c>
      <c r="AB2601">
        <f>AB2600+IF(X2601="",0,IF(ISNA(MATCH(X2601,X$256:X2600,0)),1,0))</f>
        <v/>
      </c>
      <c r="AC2601">
        <f>IF(AB2601&gt;AB2600,AB2601,"")</f>
        <v/>
      </c>
    </row>
    <row r="2602">
      <c r="W2602" s="7" t="n"/>
      <c r="X2602" s="7" t="n"/>
      <c r="Z2602">
        <f>Z2601+IF(W2602="",0,IF(ISNA(MATCH(W2602,W$256:W2601,0)),1,0))</f>
        <v/>
      </c>
      <c r="AA2602">
        <f>IF(Z2602&gt;Z2601,Z2602,"")</f>
        <v/>
      </c>
      <c r="AB2602">
        <f>AB2601+IF(X2602="",0,IF(ISNA(MATCH(X2602,X$256:X2601,0)),1,0))</f>
        <v/>
      </c>
      <c r="AC2602">
        <f>IF(AB2602&gt;AB2601,AB2602,"")</f>
        <v/>
      </c>
    </row>
    <row r="2603">
      <c r="W2603" s="7" t="n"/>
      <c r="X2603" s="7" t="n"/>
      <c r="Z2603">
        <f>Z2602+IF(W2603="",0,IF(ISNA(MATCH(W2603,W$256:W2602,0)),1,0))</f>
        <v/>
      </c>
      <c r="AA2603">
        <f>IF(Z2603&gt;Z2602,Z2603,"")</f>
        <v/>
      </c>
      <c r="AB2603">
        <f>AB2602+IF(X2603="",0,IF(ISNA(MATCH(X2603,X$256:X2602,0)),1,0))</f>
        <v/>
      </c>
      <c r="AC2603">
        <f>IF(AB2603&gt;AB2602,AB2603,"")</f>
        <v/>
      </c>
    </row>
    <row r="2604">
      <c r="W2604" s="7" t="n"/>
      <c r="X2604" s="7" t="n"/>
      <c r="Z2604">
        <f>Z2603+IF(W2604="",0,IF(ISNA(MATCH(W2604,W$256:W2603,0)),1,0))</f>
        <v/>
      </c>
      <c r="AA2604">
        <f>IF(Z2604&gt;Z2603,Z2604,"")</f>
        <v/>
      </c>
      <c r="AB2604">
        <f>AB2603+IF(X2604="",0,IF(ISNA(MATCH(X2604,X$256:X2603,0)),1,0))</f>
        <v/>
      </c>
      <c r="AC2604">
        <f>IF(AB2604&gt;AB2603,AB2604,"")</f>
        <v/>
      </c>
    </row>
    <row r="2605">
      <c r="W2605" s="7" t="n"/>
      <c r="X2605" s="7" t="n"/>
      <c r="Z2605">
        <f>Z2604+IF(W2605="",0,IF(ISNA(MATCH(W2605,W$256:W2604,0)),1,0))</f>
        <v/>
      </c>
      <c r="AA2605">
        <f>IF(Z2605&gt;Z2604,Z2605,"")</f>
        <v/>
      </c>
      <c r="AB2605">
        <f>AB2604+IF(X2605="",0,IF(ISNA(MATCH(X2605,X$256:X2604,0)),1,0))</f>
        <v/>
      </c>
      <c r="AC2605">
        <f>IF(AB2605&gt;AB2604,AB2605,"")</f>
        <v/>
      </c>
    </row>
    <row r="2606">
      <c r="W2606" s="7" t="n"/>
      <c r="X2606" s="7" t="n"/>
      <c r="Z2606">
        <f>Z2605+IF(W2606="",0,IF(ISNA(MATCH(W2606,W$256:W2605,0)),1,0))</f>
        <v/>
      </c>
      <c r="AA2606">
        <f>IF(Z2606&gt;Z2605,Z2606,"")</f>
        <v/>
      </c>
      <c r="AB2606">
        <f>AB2605+IF(X2606="",0,IF(ISNA(MATCH(X2606,X$256:X2605,0)),1,0))</f>
        <v/>
      </c>
      <c r="AC2606">
        <f>IF(AB2606&gt;AB2605,AB2606,"")</f>
        <v/>
      </c>
    </row>
    <row r="2607">
      <c r="W2607" s="7" t="n"/>
      <c r="X2607" s="7" t="n"/>
      <c r="Z2607">
        <f>Z2606+IF(W2607="",0,IF(ISNA(MATCH(W2607,W$256:W2606,0)),1,0))</f>
        <v/>
      </c>
      <c r="AA2607">
        <f>IF(Z2607&gt;Z2606,Z2607,"")</f>
        <v/>
      </c>
      <c r="AB2607">
        <f>AB2606+IF(X2607="",0,IF(ISNA(MATCH(X2607,X$256:X2606,0)),1,0))</f>
        <v/>
      </c>
      <c r="AC2607">
        <f>IF(AB2607&gt;AB2606,AB2607,"")</f>
        <v/>
      </c>
    </row>
    <row r="2608">
      <c r="W2608" s="7" t="n"/>
      <c r="X2608" s="7" t="n"/>
      <c r="Z2608">
        <f>Z2607+IF(W2608="",0,IF(ISNA(MATCH(W2608,W$256:W2607,0)),1,0))</f>
        <v/>
      </c>
      <c r="AA2608">
        <f>IF(Z2608&gt;Z2607,Z2608,"")</f>
        <v/>
      </c>
      <c r="AB2608">
        <f>AB2607+IF(X2608="",0,IF(ISNA(MATCH(X2608,X$256:X2607,0)),1,0))</f>
        <v/>
      </c>
      <c r="AC2608">
        <f>IF(AB2608&gt;AB2607,AB2608,"")</f>
        <v/>
      </c>
    </row>
    <row r="2609">
      <c r="W2609" s="7" t="n"/>
      <c r="X2609" s="7" t="n"/>
      <c r="Z2609">
        <f>Z2608+IF(W2609="",0,IF(ISNA(MATCH(W2609,W$256:W2608,0)),1,0))</f>
        <v/>
      </c>
      <c r="AA2609">
        <f>IF(Z2609&gt;Z2608,Z2609,"")</f>
        <v/>
      </c>
      <c r="AB2609">
        <f>AB2608+IF(X2609="",0,IF(ISNA(MATCH(X2609,X$256:X2608,0)),1,0))</f>
        <v/>
      </c>
      <c r="AC2609">
        <f>IF(AB2609&gt;AB2608,AB2609,"")</f>
        <v/>
      </c>
    </row>
    <row r="2610">
      <c r="W2610" s="7" t="n"/>
      <c r="X2610" s="7" t="n"/>
      <c r="Z2610">
        <f>Z2609+IF(W2610="",0,IF(ISNA(MATCH(W2610,W$256:W2609,0)),1,0))</f>
        <v/>
      </c>
      <c r="AA2610">
        <f>IF(Z2610&gt;Z2609,Z2610,"")</f>
        <v/>
      </c>
      <c r="AB2610">
        <f>AB2609+IF(X2610="",0,IF(ISNA(MATCH(X2610,X$256:X2609,0)),1,0))</f>
        <v/>
      </c>
      <c r="AC2610">
        <f>IF(AB2610&gt;AB2609,AB2610,"")</f>
        <v/>
      </c>
    </row>
    <row r="2611">
      <c r="W2611" s="7" t="n"/>
      <c r="X2611" s="7" t="n"/>
      <c r="Z2611">
        <f>Z2610+IF(W2611="",0,IF(ISNA(MATCH(W2611,W$256:W2610,0)),1,0))</f>
        <v/>
      </c>
      <c r="AA2611">
        <f>IF(Z2611&gt;Z2610,Z2611,"")</f>
        <v/>
      </c>
      <c r="AB2611">
        <f>AB2610+IF(X2611="",0,IF(ISNA(MATCH(X2611,X$256:X2610,0)),1,0))</f>
        <v/>
      </c>
      <c r="AC2611">
        <f>IF(AB2611&gt;AB2610,AB2611,"")</f>
        <v/>
      </c>
    </row>
    <row r="2612">
      <c r="W2612" s="7" t="n"/>
      <c r="X2612" s="7" t="n"/>
      <c r="Z2612">
        <f>Z2611+IF(W2612="",0,IF(ISNA(MATCH(W2612,W$256:W2611,0)),1,0))</f>
        <v/>
      </c>
      <c r="AA2612">
        <f>IF(Z2612&gt;Z2611,Z2612,"")</f>
        <v/>
      </c>
      <c r="AB2612">
        <f>AB2611+IF(X2612="",0,IF(ISNA(MATCH(X2612,X$256:X2611,0)),1,0))</f>
        <v/>
      </c>
      <c r="AC2612">
        <f>IF(AB2612&gt;AB2611,AB2612,"")</f>
        <v/>
      </c>
    </row>
    <row r="2613">
      <c r="W2613" s="7" t="n"/>
      <c r="X2613" s="7" t="n"/>
      <c r="Z2613">
        <f>Z2612+IF(W2613="",0,IF(ISNA(MATCH(W2613,W$256:W2612,0)),1,0))</f>
        <v/>
      </c>
      <c r="AA2613">
        <f>IF(Z2613&gt;Z2612,Z2613,"")</f>
        <v/>
      </c>
      <c r="AB2613">
        <f>AB2612+IF(X2613="",0,IF(ISNA(MATCH(X2613,X$256:X2612,0)),1,0))</f>
        <v/>
      </c>
      <c r="AC2613">
        <f>IF(AB2613&gt;AB2612,AB2613,"")</f>
        <v/>
      </c>
    </row>
    <row r="2614">
      <c r="W2614" s="7" t="n"/>
      <c r="X2614" s="7" t="n"/>
      <c r="Z2614">
        <f>Z2613+IF(W2614="",0,IF(ISNA(MATCH(W2614,W$256:W2613,0)),1,0))</f>
        <v/>
      </c>
      <c r="AA2614">
        <f>IF(Z2614&gt;Z2613,Z2614,"")</f>
        <v/>
      </c>
      <c r="AB2614">
        <f>AB2613+IF(X2614="",0,IF(ISNA(MATCH(X2614,X$256:X2613,0)),1,0))</f>
        <v/>
      </c>
      <c r="AC2614">
        <f>IF(AB2614&gt;AB2613,AB2614,"")</f>
        <v/>
      </c>
    </row>
    <row r="2615">
      <c r="W2615" s="7" t="n"/>
      <c r="X2615" s="7" t="n"/>
      <c r="Z2615">
        <f>Z2614+IF(W2615="",0,IF(ISNA(MATCH(W2615,W$256:W2614,0)),1,0))</f>
        <v/>
      </c>
      <c r="AA2615">
        <f>IF(Z2615&gt;Z2614,Z2615,"")</f>
        <v/>
      </c>
      <c r="AB2615">
        <f>AB2614+IF(X2615="",0,IF(ISNA(MATCH(X2615,X$256:X2614,0)),1,0))</f>
        <v/>
      </c>
      <c r="AC2615">
        <f>IF(AB2615&gt;AB2614,AB2615,"")</f>
        <v/>
      </c>
    </row>
    <row r="2616">
      <c r="W2616" s="7" t="n"/>
      <c r="X2616" s="7" t="n"/>
      <c r="Z2616">
        <f>Z2615+IF(W2616="",0,IF(ISNA(MATCH(W2616,W$256:W2615,0)),1,0))</f>
        <v/>
      </c>
      <c r="AA2616">
        <f>IF(Z2616&gt;Z2615,Z2616,"")</f>
        <v/>
      </c>
      <c r="AB2616">
        <f>AB2615+IF(X2616="",0,IF(ISNA(MATCH(X2616,X$256:X2615,0)),1,0))</f>
        <v/>
      </c>
      <c r="AC2616">
        <f>IF(AB2616&gt;AB2615,AB2616,"")</f>
        <v/>
      </c>
    </row>
    <row r="2617">
      <c r="W2617" s="7" t="n"/>
      <c r="X2617" s="7" t="n"/>
      <c r="Z2617">
        <f>Z2616+IF(W2617="",0,IF(ISNA(MATCH(W2617,W$256:W2616,0)),1,0))</f>
        <v/>
      </c>
      <c r="AA2617">
        <f>IF(Z2617&gt;Z2616,Z2617,"")</f>
        <v/>
      </c>
      <c r="AB2617">
        <f>AB2616+IF(X2617="",0,IF(ISNA(MATCH(X2617,X$256:X2616,0)),1,0))</f>
        <v/>
      </c>
      <c r="AC2617">
        <f>IF(AB2617&gt;AB2616,AB2617,"")</f>
        <v/>
      </c>
    </row>
    <row r="2618">
      <c r="W2618" s="7" t="n"/>
      <c r="X2618" s="7" t="n"/>
      <c r="Z2618">
        <f>Z2617+IF(W2618="",0,IF(ISNA(MATCH(W2618,W$256:W2617,0)),1,0))</f>
        <v/>
      </c>
      <c r="AA2618">
        <f>IF(Z2618&gt;Z2617,Z2618,"")</f>
        <v/>
      </c>
      <c r="AB2618">
        <f>AB2617+IF(X2618="",0,IF(ISNA(MATCH(X2618,X$256:X2617,0)),1,0))</f>
        <v/>
      </c>
      <c r="AC2618">
        <f>IF(AB2618&gt;AB2617,AB2618,"")</f>
        <v/>
      </c>
    </row>
    <row r="2619">
      <c r="W2619" s="7" t="n"/>
      <c r="X2619" s="7" t="n"/>
      <c r="Z2619">
        <f>Z2618+IF(W2619="",0,IF(ISNA(MATCH(W2619,W$256:W2618,0)),1,0))</f>
        <v/>
      </c>
      <c r="AA2619">
        <f>IF(Z2619&gt;Z2618,Z2619,"")</f>
        <v/>
      </c>
      <c r="AB2619">
        <f>AB2618+IF(X2619="",0,IF(ISNA(MATCH(X2619,X$256:X2618,0)),1,0))</f>
        <v/>
      </c>
      <c r="AC2619">
        <f>IF(AB2619&gt;AB2618,AB2619,"")</f>
        <v/>
      </c>
    </row>
    <row r="2620">
      <c r="W2620" s="7" t="n"/>
      <c r="X2620" s="7" t="n"/>
      <c r="Z2620">
        <f>Z2619+IF(W2620="",0,IF(ISNA(MATCH(W2620,W$256:W2619,0)),1,0))</f>
        <v/>
      </c>
      <c r="AA2620">
        <f>IF(Z2620&gt;Z2619,Z2620,"")</f>
        <v/>
      </c>
      <c r="AB2620">
        <f>AB2619+IF(X2620="",0,IF(ISNA(MATCH(X2620,X$256:X2619,0)),1,0))</f>
        <v/>
      </c>
      <c r="AC2620">
        <f>IF(AB2620&gt;AB2619,AB2620,"")</f>
        <v/>
      </c>
    </row>
    <row r="2621">
      <c r="W2621" s="7" t="n"/>
      <c r="X2621" s="7" t="n"/>
      <c r="Z2621">
        <f>Z2620+IF(W2621="",0,IF(ISNA(MATCH(W2621,W$256:W2620,0)),1,0))</f>
        <v/>
      </c>
      <c r="AA2621">
        <f>IF(Z2621&gt;Z2620,Z2621,"")</f>
        <v/>
      </c>
      <c r="AB2621">
        <f>AB2620+IF(X2621="",0,IF(ISNA(MATCH(X2621,X$256:X2620,0)),1,0))</f>
        <v/>
      </c>
      <c r="AC2621">
        <f>IF(AB2621&gt;AB2620,AB2621,"")</f>
        <v/>
      </c>
    </row>
    <row r="2622">
      <c r="W2622" s="7" t="n"/>
      <c r="X2622" s="7" t="n"/>
      <c r="Z2622">
        <f>Z2621+IF(W2622="",0,IF(ISNA(MATCH(W2622,W$256:W2621,0)),1,0))</f>
        <v/>
      </c>
      <c r="AA2622">
        <f>IF(Z2622&gt;Z2621,Z2622,"")</f>
        <v/>
      </c>
      <c r="AB2622">
        <f>AB2621+IF(X2622="",0,IF(ISNA(MATCH(X2622,X$256:X2621,0)),1,0))</f>
        <v/>
      </c>
      <c r="AC2622">
        <f>IF(AB2622&gt;AB2621,AB2622,"")</f>
        <v/>
      </c>
    </row>
    <row r="2623">
      <c r="W2623" s="7" t="n"/>
      <c r="X2623" s="7" t="n"/>
      <c r="Z2623">
        <f>Z2622+IF(W2623="",0,IF(ISNA(MATCH(W2623,W$256:W2622,0)),1,0))</f>
        <v/>
      </c>
      <c r="AA2623">
        <f>IF(Z2623&gt;Z2622,Z2623,"")</f>
        <v/>
      </c>
      <c r="AB2623">
        <f>AB2622+IF(X2623="",0,IF(ISNA(MATCH(X2623,X$256:X2622,0)),1,0))</f>
        <v/>
      </c>
      <c r="AC2623">
        <f>IF(AB2623&gt;AB2622,AB2623,"")</f>
        <v/>
      </c>
    </row>
    <row r="2624">
      <c r="W2624" s="7" t="n"/>
      <c r="X2624" s="7" t="n"/>
      <c r="Z2624">
        <f>Z2623+IF(W2624="",0,IF(ISNA(MATCH(W2624,W$256:W2623,0)),1,0))</f>
        <v/>
      </c>
      <c r="AA2624">
        <f>IF(Z2624&gt;Z2623,Z2624,"")</f>
        <v/>
      </c>
      <c r="AB2624">
        <f>AB2623+IF(X2624="",0,IF(ISNA(MATCH(X2624,X$256:X2623,0)),1,0))</f>
        <v/>
      </c>
      <c r="AC2624">
        <f>IF(AB2624&gt;AB2623,AB2624,"")</f>
        <v/>
      </c>
    </row>
    <row r="2625">
      <c r="W2625" s="7" t="n"/>
      <c r="X2625" s="7" t="n"/>
      <c r="Z2625">
        <f>Z2624+IF(W2625="",0,IF(ISNA(MATCH(W2625,W$256:W2624,0)),1,0))</f>
        <v/>
      </c>
      <c r="AA2625">
        <f>IF(Z2625&gt;Z2624,Z2625,"")</f>
        <v/>
      </c>
      <c r="AB2625">
        <f>AB2624+IF(X2625="",0,IF(ISNA(MATCH(X2625,X$256:X2624,0)),1,0))</f>
        <v/>
      </c>
      <c r="AC2625">
        <f>IF(AB2625&gt;AB2624,AB2625,"")</f>
        <v/>
      </c>
    </row>
    <row r="2626">
      <c r="W2626" s="7" t="n"/>
      <c r="X2626" s="7" t="n"/>
      <c r="Z2626">
        <f>Z2625+IF(W2626="",0,IF(ISNA(MATCH(W2626,W$256:W2625,0)),1,0))</f>
        <v/>
      </c>
      <c r="AA2626">
        <f>IF(Z2626&gt;Z2625,Z2626,"")</f>
        <v/>
      </c>
      <c r="AB2626">
        <f>AB2625+IF(X2626="",0,IF(ISNA(MATCH(X2626,X$256:X2625,0)),1,0))</f>
        <v/>
      </c>
      <c r="AC2626">
        <f>IF(AB2626&gt;AB2625,AB2626,"")</f>
        <v/>
      </c>
    </row>
    <row r="2627">
      <c r="W2627" s="7" t="n"/>
      <c r="X2627" s="7" t="n"/>
      <c r="Z2627">
        <f>Z2626+IF(W2627="",0,IF(ISNA(MATCH(W2627,W$256:W2626,0)),1,0))</f>
        <v/>
      </c>
      <c r="AA2627">
        <f>IF(Z2627&gt;Z2626,Z2627,"")</f>
        <v/>
      </c>
      <c r="AB2627">
        <f>AB2626+IF(X2627="",0,IF(ISNA(MATCH(X2627,X$256:X2626,0)),1,0))</f>
        <v/>
      </c>
      <c r="AC2627">
        <f>IF(AB2627&gt;AB2626,AB2627,"")</f>
        <v/>
      </c>
    </row>
    <row r="2628">
      <c r="W2628" s="7" t="n"/>
      <c r="X2628" s="7" t="n"/>
      <c r="Z2628">
        <f>Z2627+IF(W2628="",0,IF(ISNA(MATCH(W2628,W$256:W2627,0)),1,0))</f>
        <v/>
      </c>
      <c r="AA2628">
        <f>IF(Z2628&gt;Z2627,Z2628,"")</f>
        <v/>
      </c>
      <c r="AB2628">
        <f>AB2627+IF(X2628="",0,IF(ISNA(MATCH(X2628,X$256:X2627,0)),1,0))</f>
        <v/>
      </c>
      <c r="AC2628">
        <f>IF(AB2628&gt;AB2627,AB2628,"")</f>
        <v/>
      </c>
    </row>
    <row r="2629">
      <c r="W2629" s="7" t="n"/>
      <c r="X2629" s="7" t="n"/>
      <c r="Z2629">
        <f>Z2628+IF(W2629="",0,IF(ISNA(MATCH(W2629,W$256:W2628,0)),1,0))</f>
        <v/>
      </c>
      <c r="AA2629">
        <f>IF(Z2629&gt;Z2628,Z2629,"")</f>
        <v/>
      </c>
      <c r="AB2629">
        <f>AB2628+IF(X2629="",0,IF(ISNA(MATCH(X2629,X$256:X2628,0)),1,0))</f>
        <v/>
      </c>
      <c r="AC2629">
        <f>IF(AB2629&gt;AB2628,AB2629,"")</f>
        <v/>
      </c>
    </row>
    <row r="2630">
      <c r="W2630" s="7" t="n"/>
      <c r="X2630" s="7" t="n"/>
      <c r="Z2630">
        <f>Z2629+IF(W2630="",0,IF(ISNA(MATCH(W2630,W$256:W2629,0)),1,0))</f>
        <v/>
      </c>
      <c r="AA2630">
        <f>IF(Z2630&gt;Z2629,Z2630,"")</f>
        <v/>
      </c>
      <c r="AB2630">
        <f>AB2629+IF(X2630="",0,IF(ISNA(MATCH(X2630,X$256:X2629,0)),1,0))</f>
        <v/>
      </c>
      <c r="AC2630">
        <f>IF(AB2630&gt;AB2629,AB2630,"")</f>
        <v/>
      </c>
    </row>
    <row r="2631">
      <c r="W2631" s="7" t="n"/>
      <c r="X2631" s="7" t="n"/>
      <c r="Z2631">
        <f>Z2630+IF(W2631="",0,IF(ISNA(MATCH(W2631,W$256:W2630,0)),1,0))</f>
        <v/>
      </c>
      <c r="AA2631">
        <f>IF(Z2631&gt;Z2630,Z2631,"")</f>
        <v/>
      </c>
      <c r="AB2631">
        <f>AB2630+IF(X2631="",0,IF(ISNA(MATCH(X2631,X$256:X2630,0)),1,0))</f>
        <v/>
      </c>
      <c r="AC2631">
        <f>IF(AB2631&gt;AB2630,AB2631,"")</f>
        <v/>
      </c>
    </row>
    <row r="2632">
      <c r="W2632" s="7" t="n"/>
      <c r="X2632" s="7" t="n"/>
      <c r="Z2632">
        <f>Z2631+IF(W2632="",0,IF(ISNA(MATCH(W2632,W$256:W2631,0)),1,0))</f>
        <v/>
      </c>
      <c r="AA2632">
        <f>IF(Z2632&gt;Z2631,Z2632,"")</f>
        <v/>
      </c>
      <c r="AB2632">
        <f>AB2631+IF(X2632="",0,IF(ISNA(MATCH(X2632,X$256:X2631,0)),1,0))</f>
        <v/>
      </c>
      <c r="AC2632">
        <f>IF(AB2632&gt;AB2631,AB2632,"")</f>
        <v/>
      </c>
    </row>
    <row r="2633">
      <c r="W2633" s="7" t="n"/>
      <c r="X2633" s="7" t="n"/>
      <c r="Z2633">
        <f>Z2632+IF(W2633="",0,IF(ISNA(MATCH(W2633,W$256:W2632,0)),1,0))</f>
        <v/>
      </c>
      <c r="AA2633">
        <f>IF(Z2633&gt;Z2632,Z2633,"")</f>
        <v/>
      </c>
      <c r="AB2633">
        <f>AB2632+IF(X2633="",0,IF(ISNA(MATCH(X2633,X$256:X2632,0)),1,0))</f>
        <v/>
      </c>
      <c r="AC2633">
        <f>IF(AB2633&gt;AB2632,AB2633,"")</f>
        <v/>
      </c>
    </row>
    <row r="2634">
      <c r="W2634" s="7" t="n"/>
      <c r="X2634" s="7" t="n"/>
      <c r="Z2634">
        <f>Z2633+IF(W2634="",0,IF(ISNA(MATCH(W2634,W$256:W2633,0)),1,0))</f>
        <v/>
      </c>
      <c r="AA2634">
        <f>IF(Z2634&gt;Z2633,Z2634,"")</f>
        <v/>
      </c>
      <c r="AB2634">
        <f>AB2633+IF(X2634="",0,IF(ISNA(MATCH(X2634,X$256:X2633,0)),1,0))</f>
        <v/>
      </c>
      <c r="AC2634">
        <f>IF(AB2634&gt;AB2633,AB2634,"")</f>
        <v/>
      </c>
    </row>
    <row r="2635">
      <c r="W2635" s="7" t="n"/>
      <c r="X2635" s="7" t="n"/>
      <c r="Z2635">
        <f>Z2634+IF(W2635="",0,IF(ISNA(MATCH(W2635,W$256:W2634,0)),1,0))</f>
        <v/>
      </c>
      <c r="AA2635">
        <f>IF(Z2635&gt;Z2634,Z2635,"")</f>
        <v/>
      </c>
      <c r="AB2635">
        <f>AB2634+IF(X2635="",0,IF(ISNA(MATCH(X2635,X$256:X2634,0)),1,0))</f>
        <v/>
      </c>
      <c r="AC2635">
        <f>IF(AB2635&gt;AB2634,AB2635,"")</f>
        <v/>
      </c>
    </row>
    <row r="2636">
      <c r="W2636" s="7" t="n"/>
      <c r="X2636" s="7" t="n"/>
      <c r="Z2636">
        <f>Z2635+IF(W2636="",0,IF(ISNA(MATCH(W2636,W$256:W2635,0)),1,0))</f>
        <v/>
      </c>
      <c r="AA2636">
        <f>IF(Z2636&gt;Z2635,Z2636,"")</f>
        <v/>
      </c>
      <c r="AB2636">
        <f>AB2635+IF(X2636="",0,IF(ISNA(MATCH(X2636,X$256:X2635,0)),1,0))</f>
        <v/>
      </c>
      <c r="AC2636">
        <f>IF(AB2636&gt;AB2635,AB2636,"")</f>
        <v/>
      </c>
    </row>
    <row r="2637">
      <c r="W2637" s="7" t="n"/>
      <c r="X2637" s="7" t="n"/>
      <c r="Z2637">
        <f>Z2636+IF(W2637="",0,IF(ISNA(MATCH(W2637,W$256:W2636,0)),1,0))</f>
        <v/>
      </c>
      <c r="AA2637">
        <f>IF(Z2637&gt;Z2636,Z2637,"")</f>
        <v/>
      </c>
      <c r="AB2637">
        <f>AB2636+IF(X2637="",0,IF(ISNA(MATCH(X2637,X$256:X2636,0)),1,0))</f>
        <v/>
      </c>
      <c r="AC2637">
        <f>IF(AB2637&gt;AB2636,AB2637,"")</f>
        <v/>
      </c>
    </row>
    <row r="2638">
      <c r="W2638" s="7" t="n"/>
      <c r="X2638" s="7" t="n"/>
      <c r="Z2638">
        <f>Z2637+IF(W2638="",0,IF(ISNA(MATCH(W2638,W$256:W2637,0)),1,0))</f>
        <v/>
      </c>
      <c r="AA2638">
        <f>IF(Z2638&gt;Z2637,Z2638,"")</f>
        <v/>
      </c>
      <c r="AB2638">
        <f>AB2637+IF(X2638="",0,IF(ISNA(MATCH(X2638,X$256:X2637,0)),1,0))</f>
        <v/>
      </c>
      <c r="AC2638">
        <f>IF(AB2638&gt;AB2637,AB2638,"")</f>
        <v/>
      </c>
    </row>
    <row r="2639">
      <c r="W2639" s="7" t="n"/>
      <c r="X2639" s="7" t="n"/>
      <c r="Z2639">
        <f>Z2638+IF(W2639="",0,IF(ISNA(MATCH(W2639,W$256:W2638,0)),1,0))</f>
        <v/>
      </c>
      <c r="AA2639">
        <f>IF(Z2639&gt;Z2638,Z2639,"")</f>
        <v/>
      </c>
      <c r="AB2639">
        <f>AB2638+IF(X2639="",0,IF(ISNA(MATCH(X2639,X$256:X2638,0)),1,0))</f>
        <v/>
      </c>
      <c r="AC2639">
        <f>IF(AB2639&gt;AB2638,AB2639,"")</f>
        <v/>
      </c>
    </row>
    <row r="2640">
      <c r="W2640" s="7" t="n"/>
      <c r="X2640" s="7" t="n"/>
      <c r="Z2640">
        <f>Z2639+IF(W2640="",0,IF(ISNA(MATCH(W2640,W$256:W2639,0)),1,0))</f>
        <v/>
      </c>
      <c r="AA2640">
        <f>IF(Z2640&gt;Z2639,Z2640,"")</f>
        <v/>
      </c>
      <c r="AB2640">
        <f>AB2639+IF(X2640="",0,IF(ISNA(MATCH(X2640,X$256:X2639,0)),1,0))</f>
        <v/>
      </c>
      <c r="AC2640">
        <f>IF(AB2640&gt;AB2639,AB2640,"")</f>
        <v/>
      </c>
    </row>
    <row r="2641">
      <c r="W2641" s="7" t="n"/>
      <c r="X2641" s="7" t="n"/>
      <c r="Z2641">
        <f>Z2640+IF(W2641="",0,IF(ISNA(MATCH(W2641,W$256:W2640,0)),1,0))</f>
        <v/>
      </c>
      <c r="AA2641">
        <f>IF(Z2641&gt;Z2640,Z2641,"")</f>
        <v/>
      </c>
      <c r="AB2641">
        <f>AB2640+IF(X2641="",0,IF(ISNA(MATCH(X2641,X$256:X2640,0)),1,0))</f>
        <v/>
      </c>
      <c r="AC2641">
        <f>IF(AB2641&gt;AB2640,AB2641,"")</f>
        <v/>
      </c>
    </row>
    <row r="2642">
      <c r="W2642" s="7" t="n"/>
      <c r="X2642" s="7" t="n"/>
      <c r="Z2642">
        <f>Z2641+IF(W2642="",0,IF(ISNA(MATCH(W2642,W$256:W2641,0)),1,0))</f>
        <v/>
      </c>
      <c r="AA2642">
        <f>IF(Z2642&gt;Z2641,Z2642,"")</f>
        <v/>
      </c>
      <c r="AB2642">
        <f>AB2641+IF(X2642="",0,IF(ISNA(MATCH(X2642,X$256:X2641,0)),1,0))</f>
        <v/>
      </c>
      <c r="AC2642">
        <f>IF(AB2642&gt;AB2641,AB2642,"")</f>
        <v/>
      </c>
    </row>
    <row r="2643">
      <c r="W2643" s="7" t="n"/>
      <c r="X2643" s="7" t="n"/>
      <c r="Z2643">
        <f>Z2642+IF(W2643="",0,IF(ISNA(MATCH(W2643,W$256:W2642,0)),1,0))</f>
        <v/>
      </c>
      <c r="AA2643">
        <f>IF(Z2643&gt;Z2642,Z2643,"")</f>
        <v/>
      </c>
      <c r="AB2643">
        <f>AB2642+IF(X2643="",0,IF(ISNA(MATCH(X2643,X$256:X2642,0)),1,0))</f>
        <v/>
      </c>
      <c r="AC2643">
        <f>IF(AB2643&gt;AB2642,AB2643,"")</f>
        <v/>
      </c>
    </row>
    <row r="2644">
      <c r="W2644" s="7" t="n"/>
      <c r="X2644" s="7" t="n"/>
      <c r="Z2644">
        <f>Z2643+IF(W2644="",0,IF(ISNA(MATCH(W2644,W$256:W2643,0)),1,0))</f>
        <v/>
      </c>
      <c r="AA2644">
        <f>IF(Z2644&gt;Z2643,Z2644,"")</f>
        <v/>
      </c>
      <c r="AB2644">
        <f>AB2643+IF(X2644="",0,IF(ISNA(MATCH(X2644,X$256:X2643,0)),1,0))</f>
        <v/>
      </c>
      <c r="AC2644">
        <f>IF(AB2644&gt;AB2643,AB2644,"")</f>
        <v/>
      </c>
    </row>
    <row r="2645">
      <c r="W2645" s="7" t="n"/>
      <c r="X2645" s="7" t="n"/>
      <c r="Z2645">
        <f>Z2644+IF(W2645="",0,IF(ISNA(MATCH(W2645,W$256:W2644,0)),1,0))</f>
        <v/>
      </c>
      <c r="AA2645">
        <f>IF(Z2645&gt;Z2644,Z2645,"")</f>
        <v/>
      </c>
      <c r="AB2645">
        <f>AB2644+IF(X2645="",0,IF(ISNA(MATCH(X2645,X$256:X2644,0)),1,0))</f>
        <v/>
      </c>
      <c r="AC2645">
        <f>IF(AB2645&gt;AB2644,AB2645,"")</f>
        <v/>
      </c>
    </row>
    <row r="2646">
      <c r="W2646" s="7" t="n"/>
      <c r="X2646" s="7" t="n"/>
      <c r="Z2646">
        <f>Z2645+IF(W2646="",0,IF(ISNA(MATCH(W2646,W$256:W2645,0)),1,0))</f>
        <v/>
      </c>
      <c r="AA2646">
        <f>IF(Z2646&gt;Z2645,Z2646,"")</f>
        <v/>
      </c>
      <c r="AB2646">
        <f>AB2645+IF(X2646="",0,IF(ISNA(MATCH(X2646,X$256:X2645,0)),1,0))</f>
        <v/>
      </c>
      <c r="AC2646">
        <f>IF(AB2646&gt;AB2645,AB2646,"")</f>
        <v/>
      </c>
    </row>
    <row r="2647">
      <c r="W2647" s="7" t="n"/>
      <c r="X2647" s="7" t="n"/>
      <c r="Z2647">
        <f>Z2646+IF(W2647="",0,IF(ISNA(MATCH(W2647,W$256:W2646,0)),1,0))</f>
        <v/>
      </c>
      <c r="AA2647">
        <f>IF(Z2647&gt;Z2646,Z2647,"")</f>
        <v/>
      </c>
      <c r="AB2647">
        <f>AB2646+IF(X2647="",0,IF(ISNA(MATCH(X2647,X$256:X2646,0)),1,0))</f>
        <v/>
      </c>
      <c r="AC2647">
        <f>IF(AB2647&gt;AB2646,AB2647,"")</f>
        <v/>
      </c>
    </row>
    <row r="2648">
      <c r="W2648" s="7" t="n"/>
      <c r="X2648" s="7" t="n"/>
      <c r="Z2648">
        <f>Z2647+IF(W2648="",0,IF(ISNA(MATCH(W2648,W$256:W2647,0)),1,0))</f>
        <v/>
      </c>
      <c r="AA2648">
        <f>IF(Z2648&gt;Z2647,Z2648,"")</f>
        <v/>
      </c>
      <c r="AB2648">
        <f>AB2647+IF(X2648="",0,IF(ISNA(MATCH(X2648,X$256:X2647,0)),1,0))</f>
        <v/>
      </c>
      <c r="AC2648">
        <f>IF(AB2648&gt;AB2647,AB2648,"")</f>
        <v/>
      </c>
    </row>
    <row r="2649">
      <c r="W2649" s="7" t="n"/>
      <c r="X2649" s="7" t="n"/>
      <c r="Z2649">
        <f>Z2648+IF(W2649="",0,IF(ISNA(MATCH(W2649,W$256:W2648,0)),1,0))</f>
        <v/>
      </c>
      <c r="AA2649">
        <f>IF(Z2649&gt;Z2648,Z2649,"")</f>
        <v/>
      </c>
      <c r="AB2649">
        <f>AB2648+IF(X2649="",0,IF(ISNA(MATCH(X2649,X$256:X2648,0)),1,0))</f>
        <v/>
      </c>
      <c r="AC2649">
        <f>IF(AB2649&gt;AB2648,AB2649,"")</f>
        <v/>
      </c>
    </row>
    <row r="2650">
      <c r="W2650" s="7" t="n"/>
      <c r="X2650" s="7" t="n"/>
      <c r="Z2650">
        <f>Z2649+IF(W2650="",0,IF(ISNA(MATCH(W2650,W$256:W2649,0)),1,0))</f>
        <v/>
      </c>
      <c r="AA2650">
        <f>IF(Z2650&gt;Z2649,Z2650,"")</f>
        <v/>
      </c>
      <c r="AB2650">
        <f>AB2649+IF(X2650="",0,IF(ISNA(MATCH(X2650,X$256:X2649,0)),1,0))</f>
        <v/>
      </c>
      <c r="AC2650">
        <f>IF(AB2650&gt;AB2649,AB2650,"")</f>
        <v/>
      </c>
    </row>
    <row r="2651">
      <c r="W2651" s="7" t="n"/>
      <c r="X2651" s="7" t="n"/>
      <c r="Z2651">
        <f>Z2650+IF(W2651="",0,IF(ISNA(MATCH(W2651,W$256:W2650,0)),1,0))</f>
        <v/>
      </c>
      <c r="AA2651">
        <f>IF(Z2651&gt;Z2650,Z2651,"")</f>
        <v/>
      </c>
      <c r="AB2651">
        <f>AB2650+IF(X2651="",0,IF(ISNA(MATCH(X2651,X$256:X2650,0)),1,0))</f>
        <v/>
      </c>
      <c r="AC2651">
        <f>IF(AB2651&gt;AB2650,AB2651,"")</f>
        <v/>
      </c>
    </row>
    <row r="2652">
      <c r="W2652" s="7" t="n"/>
      <c r="X2652" s="7" t="n"/>
      <c r="Z2652">
        <f>Z2651+IF(W2652="",0,IF(ISNA(MATCH(W2652,W$256:W2651,0)),1,0))</f>
        <v/>
      </c>
      <c r="AA2652">
        <f>IF(Z2652&gt;Z2651,Z2652,"")</f>
        <v/>
      </c>
      <c r="AB2652">
        <f>AB2651+IF(X2652="",0,IF(ISNA(MATCH(X2652,X$256:X2651,0)),1,0))</f>
        <v/>
      </c>
      <c r="AC2652">
        <f>IF(AB2652&gt;AB2651,AB2652,"")</f>
        <v/>
      </c>
    </row>
    <row r="2653">
      <c r="W2653" s="7" t="n"/>
      <c r="X2653" s="7" t="n"/>
      <c r="Z2653">
        <f>Z2652+IF(W2653="",0,IF(ISNA(MATCH(W2653,W$256:W2652,0)),1,0))</f>
        <v/>
      </c>
      <c r="AA2653">
        <f>IF(Z2653&gt;Z2652,Z2653,"")</f>
        <v/>
      </c>
      <c r="AB2653">
        <f>AB2652+IF(X2653="",0,IF(ISNA(MATCH(X2653,X$256:X2652,0)),1,0))</f>
        <v/>
      </c>
      <c r="AC2653">
        <f>IF(AB2653&gt;AB2652,AB2653,"")</f>
        <v/>
      </c>
    </row>
    <row r="2654">
      <c r="W2654" s="7" t="n"/>
      <c r="X2654" s="7" t="n"/>
      <c r="Z2654">
        <f>Z2653+IF(W2654="",0,IF(ISNA(MATCH(W2654,W$256:W2653,0)),1,0))</f>
        <v/>
      </c>
      <c r="AA2654">
        <f>IF(Z2654&gt;Z2653,Z2654,"")</f>
        <v/>
      </c>
      <c r="AB2654">
        <f>AB2653+IF(X2654="",0,IF(ISNA(MATCH(X2654,X$256:X2653,0)),1,0))</f>
        <v/>
      </c>
      <c r="AC2654">
        <f>IF(AB2654&gt;AB2653,AB2654,"")</f>
        <v/>
      </c>
    </row>
    <row r="2655">
      <c r="W2655" s="7" t="n"/>
      <c r="X2655" s="7" t="n"/>
      <c r="Z2655">
        <f>Z2654+IF(W2655="",0,IF(ISNA(MATCH(W2655,W$256:W2654,0)),1,0))</f>
        <v/>
      </c>
      <c r="AA2655">
        <f>IF(Z2655&gt;Z2654,Z2655,"")</f>
        <v/>
      </c>
      <c r="AB2655">
        <f>AB2654+IF(X2655="",0,IF(ISNA(MATCH(X2655,X$256:X2654,0)),1,0))</f>
        <v/>
      </c>
      <c r="AC2655">
        <f>IF(AB2655&gt;AB2654,AB2655,"")</f>
        <v/>
      </c>
    </row>
    <row r="2656">
      <c r="W2656" s="7" t="n"/>
      <c r="X2656" s="7" t="n"/>
      <c r="Z2656">
        <f>Z2655+IF(W2656="",0,IF(ISNA(MATCH(W2656,W$256:W2655,0)),1,0))</f>
        <v/>
      </c>
      <c r="AA2656">
        <f>IF(Z2656&gt;Z2655,Z2656,"")</f>
        <v/>
      </c>
      <c r="AB2656">
        <f>AB2655+IF(X2656="",0,IF(ISNA(MATCH(X2656,X$256:X2655,0)),1,0))</f>
        <v/>
      </c>
      <c r="AC2656">
        <f>IF(AB2656&gt;AB2655,AB2656,"")</f>
        <v/>
      </c>
    </row>
    <row r="2657">
      <c r="W2657" s="7" t="n"/>
      <c r="X2657" s="7" t="n"/>
      <c r="Z2657">
        <f>Z2656+IF(W2657="",0,IF(ISNA(MATCH(W2657,W$256:W2656,0)),1,0))</f>
        <v/>
      </c>
      <c r="AA2657">
        <f>IF(Z2657&gt;Z2656,Z2657,"")</f>
        <v/>
      </c>
      <c r="AB2657">
        <f>AB2656+IF(X2657="",0,IF(ISNA(MATCH(X2657,X$256:X2656,0)),1,0))</f>
        <v/>
      </c>
      <c r="AC2657">
        <f>IF(AB2657&gt;AB2656,AB2657,"")</f>
        <v/>
      </c>
    </row>
    <row r="2658">
      <c r="W2658" s="7" t="n"/>
      <c r="X2658" s="7" t="n"/>
      <c r="Z2658">
        <f>Z2657+IF(W2658="",0,IF(ISNA(MATCH(W2658,W$256:W2657,0)),1,0))</f>
        <v/>
      </c>
      <c r="AA2658">
        <f>IF(Z2658&gt;Z2657,Z2658,"")</f>
        <v/>
      </c>
      <c r="AB2658">
        <f>AB2657+IF(X2658="",0,IF(ISNA(MATCH(X2658,X$256:X2657,0)),1,0))</f>
        <v/>
      </c>
      <c r="AC2658">
        <f>IF(AB2658&gt;AB2657,AB2658,"")</f>
        <v/>
      </c>
    </row>
    <row r="2659">
      <c r="W2659" s="7" t="n"/>
      <c r="X2659" s="7" t="n"/>
      <c r="Z2659">
        <f>Z2658+IF(W2659="",0,IF(ISNA(MATCH(W2659,W$256:W2658,0)),1,0))</f>
        <v/>
      </c>
      <c r="AA2659">
        <f>IF(Z2659&gt;Z2658,Z2659,"")</f>
        <v/>
      </c>
      <c r="AB2659">
        <f>AB2658+IF(X2659="",0,IF(ISNA(MATCH(X2659,X$256:X2658,0)),1,0))</f>
        <v/>
      </c>
      <c r="AC2659">
        <f>IF(AB2659&gt;AB2658,AB2659,"")</f>
        <v/>
      </c>
    </row>
    <row r="2660">
      <c r="W2660" s="7" t="n"/>
      <c r="X2660" s="7" t="n"/>
      <c r="Z2660">
        <f>Z2659+IF(W2660="",0,IF(ISNA(MATCH(W2660,W$256:W2659,0)),1,0))</f>
        <v/>
      </c>
      <c r="AA2660">
        <f>IF(Z2660&gt;Z2659,Z2660,"")</f>
        <v/>
      </c>
      <c r="AB2660">
        <f>AB2659+IF(X2660="",0,IF(ISNA(MATCH(X2660,X$256:X2659,0)),1,0))</f>
        <v/>
      </c>
      <c r="AC2660">
        <f>IF(AB2660&gt;AB2659,AB2660,"")</f>
        <v/>
      </c>
    </row>
    <row r="2661">
      <c r="W2661" s="7" t="n"/>
      <c r="X2661" s="7" t="n"/>
      <c r="Z2661">
        <f>Z2660+IF(W2661="",0,IF(ISNA(MATCH(W2661,W$256:W2660,0)),1,0))</f>
        <v/>
      </c>
      <c r="AA2661">
        <f>IF(Z2661&gt;Z2660,Z2661,"")</f>
        <v/>
      </c>
      <c r="AB2661">
        <f>AB2660+IF(X2661="",0,IF(ISNA(MATCH(X2661,X$256:X2660,0)),1,0))</f>
        <v/>
      </c>
      <c r="AC2661">
        <f>IF(AB2661&gt;AB2660,AB2661,"")</f>
        <v/>
      </c>
    </row>
    <row r="2662">
      <c r="W2662" s="7" t="n"/>
      <c r="X2662" s="7" t="n"/>
      <c r="Z2662">
        <f>Z2661+IF(W2662="",0,IF(ISNA(MATCH(W2662,W$256:W2661,0)),1,0))</f>
        <v/>
      </c>
      <c r="AA2662">
        <f>IF(Z2662&gt;Z2661,Z2662,"")</f>
        <v/>
      </c>
      <c r="AB2662">
        <f>AB2661+IF(X2662="",0,IF(ISNA(MATCH(X2662,X$256:X2661,0)),1,0))</f>
        <v/>
      </c>
      <c r="AC2662">
        <f>IF(AB2662&gt;AB2661,AB2662,"")</f>
        <v/>
      </c>
    </row>
    <row r="2663">
      <c r="W2663" s="7" t="n"/>
      <c r="X2663" s="7" t="n"/>
      <c r="Z2663">
        <f>Z2662+IF(W2663="",0,IF(ISNA(MATCH(W2663,W$256:W2662,0)),1,0))</f>
        <v/>
      </c>
      <c r="AA2663">
        <f>IF(Z2663&gt;Z2662,Z2663,"")</f>
        <v/>
      </c>
      <c r="AB2663">
        <f>AB2662+IF(X2663="",0,IF(ISNA(MATCH(X2663,X$256:X2662,0)),1,0))</f>
        <v/>
      </c>
      <c r="AC2663">
        <f>IF(AB2663&gt;AB2662,AB2663,"")</f>
        <v/>
      </c>
    </row>
    <row r="2664">
      <c r="W2664" s="7" t="n"/>
      <c r="X2664" s="7" t="n"/>
      <c r="Z2664">
        <f>Z2663+IF(W2664="",0,IF(ISNA(MATCH(W2664,W$256:W2663,0)),1,0))</f>
        <v/>
      </c>
      <c r="AA2664">
        <f>IF(Z2664&gt;Z2663,Z2664,"")</f>
        <v/>
      </c>
      <c r="AB2664">
        <f>AB2663+IF(X2664="",0,IF(ISNA(MATCH(X2664,X$256:X2663,0)),1,0))</f>
        <v/>
      </c>
      <c r="AC2664">
        <f>IF(AB2664&gt;AB2663,AB2664,"")</f>
        <v/>
      </c>
    </row>
    <row r="2665">
      <c r="W2665" s="7" t="n"/>
      <c r="X2665" s="7" t="n"/>
      <c r="Z2665">
        <f>Z2664+IF(W2665="",0,IF(ISNA(MATCH(W2665,W$256:W2664,0)),1,0))</f>
        <v/>
      </c>
      <c r="AA2665">
        <f>IF(Z2665&gt;Z2664,Z2665,"")</f>
        <v/>
      </c>
      <c r="AB2665">
        <f>AB2664+IF(X2665="",0,IF(ISNA(MATCH(X2665,X$256:X2664,0)),1,0))</f>
        <v/>
      </c>
      <c r="AC2665">
        <f>IF(AB2665&gt;AB2664,AB2665,"")</f>
        <v/>
      </c>
    </row>
    <row r="2666">
      <c r="W2666" s="7" t="n"/>
      <c r="X2666" s="7" t="n"/>
      <c r="Z2666">
        <f>Z2665+IF(W2666="",0,IF(ISNA(MATCH(W2666,W$256:W2665,0)),1,0))</f>
        <v/>
      </c>
      <c r="AA2666">
        <f>IF(Z2666&gt;Z2665,Z2666,"")</f>
        <v/>
      </c>
      <c r="AB2666">
        <f>AB2665+IF(X2666="",0,IF(ISNA(MATCH(X2666,X$256:X2665,0)),1,0))</f>
        <v/>
      </c>
      <c r="AC2666">
        <f>IF(AB2666&gt;AB2665,AB2666,"")</f>
        <v/>
      </c>
    </row>
    <row r="2667">
      <c r="W2667" s="7" t="n"/>
      <c r="X2667" s="7" t="n"/>
      <c r="Z2667">
        <f>Z2666+IF(W2667="",0,IF(ISNA(MATCH(W2667,W$256:W2666,0)),1,0))</f>
        <v/>
      </c>
      <c r="AA2667">
        <f>IF(Z2667&gt;Z2666,Z2667,"")</f>
        <v/>
      </c>
      <c r="AB2667">
        <f>AB2666+IF(X2667="",0,IF(ISNA(MATCH(X2667,X$256:X2666,0)),1,0))</f>
        <v/>
      </c>
      <c r="AC2667">
        <f>IF(AB2667&gt;AB2666,AB2667,"")</f>
        <v/>
      </c>
    </row>
    <row r="2668">
      <c r="W2668" s="7" t="n"/>
      <c r="X2668" s="7" t="n"/>
      <c r="Z2668">
        <f>Z2667+IF(W2668="",0,IF(ISNA(MATCH(W2668,W$256:W2667,0)),1,0))</f>
        <v/>
      </c>
      <c r="AA2668">
        <f>IF(Z2668&gt;Z2667,Z2668,"")</f>
        <v/>
      </c>
      <c r="AB2668">
        <f>AB2667+IF(X2668="",0,IF(ISNA(MATCH(X2668,X$256:X2667,0)),1,0))</f>
        <v/>
      </c>
      <c r="AC2668">
        <f>IF(AB2668&gt;AB2667,AB2668,"")</f>
        <v/>
      </c>
    </row>
    <row r="2669">
      <c r="W2669" s="7" t="n"/>
      <c r="X2669" s="7" t="n"/>
      <c r="Z2669">
        <f>Z2668+IF(W2669="",0,IF(ISNA(MATCH(W2669,W$256:W2668,0)),1,0))</f>
        <v/>
      </c>
      <c r="AA2669">
        <f>IF(Z2669&gt;Z2668,Z2669,"")</f>
        <v/>
      </c>
      <c r="AB2669">
        <f>AB2668+IF(X2669="",0,IF(ISNA(MATCH(X2669,X$256:X2668,0)),1,0))</f>
        <v/>
      </c>
      <c r="AC2669">
        <f>IF(AB2669&gt;AB2668,AB2669,"")</f>
        <v/>
      </c>
    </row>
    <row r="2670">
      <c r="W2670" s="7" t="n"/>
      <c r="X2670" s="7" t="n"/>
      <c r="Z2670">
        <f>Z2669+IF(W2670="",0,IF(ISNA(MATCH(W2670,W$256:W2669,0)),1,0))</f>
        <v/>
      </c>
      <c r="AA2670">
        <f>IF(Z2670&gt;Z2669,Z2670,"")</f>
        <v/>
      </c>
      <c r="AB2670">
        <f>AB2669+IF(X2670="",0,IF(ISNA(MATCH(X2670,X$256:X2669,0)),1,0))</f>
        <v/>
      </c>
      <c r="AC2670">
        <f>IF(AB2670&gt;AB2669,AB2670,"")</f>
        <v/>
      </c>
    </row>
    <row r="2671">
      <c r="W2671" s="7" t="n"/>
      <c r="X2671" s="7" t="n"/>
      <c r="Z2671">
        <f>Z2670+IF(W2671="",0,IF(ISNA(MATCH(W2671,W$256:W2670,0)),1,0))</f>
        <v/>
      </c>
      <c r="AA2671">
        <f>IF(Z2671&gt;Z2670,Z2671,"")</f>
        <v/>
      </c>
      <c r="AB2671">
        <f>AB2670+IF(X2671="",0,IF(ISNA(MATCH(X2671,X$256:X2670,0)),1,0))</f>
        <v/>
      </c>
      <c r="AC2671">
        <f>IF(AB2671&gt;AB2670,AB2671,"")</f>
        <v/>
      </c>
    </row>
    <row r="2672">
      <c r="W2672" s="7" t="n"/>
      <c r="X2672" s="7" t="n"/>
      <c r="Z2672">
        <f>Z2671+IF(W2672="",0,IF(ISNA(MATCH(W2672,W$256:W2671,0)),1,0))</f>
        <v/>
      </c>
      <c r="AA2672">
        <f>IF(Z2672&gt;Z2671,Z2672,"")</f>
        <v/>
      </c>
      <c r="AB2672">
        <f>AB2671+IF(X2672="",0,IF(ISNA(MATCH(X2672,X$256:X2671,0)),1,0))</f>
        <v/>
      </c>
      <c r="AC2672">
        <f>IF(AB2672&gt;AB2671,AB2672,"")</f>
        <v/>
      </c>
    </row>
    <row r="2673">
      <c r="W2673" s="7" t="n"/>
      <c r="X2673" s="7" t="n"/>
      <c r="Z2673">
        <f>Z2672+IF(W2673="",0,IF(ISNA(MATCH(W2673,W$256:W2672,0)),1,0))</f>
        <v/>
      </c>
      <c r="AA2673">
        <f>IF(Z2673&gt;Z2672,Z2673,"")</f>
        <v/>
      </c>
      <c r="AB2673">
        <f>AB2672+IF(X2673="",0,IF(ISNA(MATCH(X2673,X$256:X2672,0)),1,0))</f>
        <v/>
      </c>
      <c r="AC2673">
        <f>IF(AB2673&gt;AB2672,AB2673,"")</f>
        <v/>
      </c>
    </row>
    <row r="2674">
      <c r="W2674" s="7" t="n"/>
      <c r="X2674" s="7" t="n"/>
      <c r="Z2674">
        <f>Z2673+IF(W2674="",0,IF(ISNA(MATCH(W2674,W$256:W2673,0)),1,0))</f>
        <v/>
      </c>
      <c r="AA2674">
        <f>IF(Z2674&gt;Z2673,Z2674,"")</f>
        <v/>
      </c>
      <c r="AB2674">
        <f>AB2673+IF(X2674="",0,IF(ISNA(MATCH(X2674,X$256:X2673,0)),1,0))</f>
        <v/>
      </c>
      <c r="AC2674">
        <f>IF(AB2674&gt;AB2673,AB2674,"")</f>
        <v/>
      </c>
    </row>
    <row r="2675">
      <c r="W2675" s="7" t="n"/>
      <c r="X2675" s="7" t="n"/>
      <c r="Z2675">
        <f>Z2674+IF(W2675="",0,IF(ISNA(MATCH(W2675,W$256:W2674,0)),1,0))</f>
        <v/>
      </c>
      <c r="AA2675">
        <f>IF(Z2675&gt;Z2674,Z2675,"")</f>
        <v/>
      </c>
      <c r="AB2675">
        <f>AB2674+IF(X2675="",0,IF(ISNA(MATCH(X2675,X$256:X2674,0)),1,0))</f>
        <v/>
      </c>
      <c r="AC2675">
        <f>IF(AB2675&gt;AB2674,AB2675,"")</f>
        <v/>
      </c>
    </row>
    <row r="2676">
      <c r="W2676" s="7" t="n"/>
      <c r="X2676" s="7" t="n"/>
      <c r="Z2676">
        <f>Z2675+IF(W2676="",0,IF(ISNA(MATCH(W2676,W$256:W2675,0)),1,0))</f>
        <v/>
      </c>
      <c r="AA2676">
        <f>IF(Z2676&gt;Z2675,Z2676,"")</f>
        <v/>
      </c>
      <c r="AB2676">
        <f>AB2675+IF(X2676="",0,IF(ISNA(MATCH(X2676,X$256:X2675,0)),1,0))</f>
        <v/>
      </c>
      <c r="AC2676">
        <f>IF(AB2676&gt;AB2675,AB2676,"")</f>
        <v/>
      </c>
    </row>
    <row r="2677">
      <c r="W2677" s="7" t="n"/>
      <c r="X2677" s="7" t="n"/>
      <c r="Z2677">
        <f>Z2676+IF(W2677="",0,IF(ISNA(MATCH(W2677,W$256:W2676,0)),1,0))</f>
        <v/>
      </c>
      <c r="AA2677">
        <f>IF(Z2677&gt;Z2676,Z2677,"")</f>
        <v/>
      </c>
      <c r="AB2677">
        <f>AB2676+IF(X2677="",0,IF(ISNA(MATCH(X2677,X$256:X2676,0)),1,0))</f>
        <v/>
      </c>
      <c r="AC2677">
        <f>IF(AB2677&gt;AB2676,AB2677,"")</f>
        <v/>
      </c>
    </row>
    <row r="2678">
      <c r="W2678" s="7" t="n"/>
      <c r="X2678" s="7" t="n"/>
      <c r="Z2678">
        <f>Z2677+IF(W2678="",0,IF(ISNA(MATCH(W2678,W$256:W2677,0)),1,0))</f>
        <v/>
      </c>
      <c r="AA2678">
        <f>IF(Z2678&gt;Z2677,Z2678,"")</f>
        <v/>
      </c>
      <c r="AB2678">
        <f>AB2677+IF(X2678="",0,IF(ISNA(MATCH(X2678,X$256:X2677,0)),1,0))</f>
        <v/>
      </c>
      <c r="AC2678">
        <f>IF(AB2678&gt;AB2677,AB2678,"")</f>
        <v/>
      </c>
    </row>
    <row r="2679">
      <c r="W2679" s="7" t="n"/>
      <c r="X2679" s="7" t="n"/>
      <c r="Z2679">
        <f>Z2678+IF(W2679="",0,IF(ISNA(MATCH(W2679,W$256:W2678,0)),1,0))</f>
        <v/>
      </c>
      <c r="AA2679">
        <f>IF(Z2679&gt;Z2678,Z2679,"")</f>
        <v/>
      </c>
      <c r="AB2679">
        <f>AB2678+IF(X2679="",0,IF(ISNA(MATCH(X2679,X$256:X2678,0)),1,0))</f>
        <v/>
      </c>
      <c r="AC2679">
        <f>IF(AB2679&gt;AB2678,AB2679,"")</f>
        <v/>
      </c>
    </row>
    <row r="2680">
      <c r="W2680" s="7" t="n"/>
      <c r="X2680" s="7" t="n"/>
      <c r="Z2680">
        <f>Z2679+IF(W2680="",0,IF(ISNA(MATCH(W2680,W$256:W2679,0)),1,0))</f>
        <v/>
      </c>
      <c r="AA2680">
        <f>IF(Z2680&gt;Z2679,Z2680,"")</f>
        <v/>
      </c>
      <c r="AB2680">
        <f>AB2679+IF(X2680="",0,IF(ISNA(MATCH(X2680,X$256:X2679,0)),1,0))</f>
        <v/>
      </c>
      <c r="AC2680">
        <f>IF(AB2680&gt;AB2679,AB2680,"")</f>
        <v/>
      </c>
    </row>
    <row r="2681">
      <c r="W2681" s="7" t="n"/>
      <c r="X2681" s="7" t="n"/>
      <c r="Z2681">
        <f>Z2680+IF(W2681="",0,IF(ISNA(MATCH(W2681,W$256:W2680,0)),1,0))</f>
        <v/>
      </c>
      <c r="AA2681">
        <f>IF(Z2681&gt;Z2680,Z2681,"")</f>
        <v/>
      </c>
      <c r="AB2681">
        <f>AB2680+IF(X2681="",0,IF(ISNA(MATCH(X2681,X$256:X2680,0)),1,0))</f>
        <v/>
      </c>
      <c r="AC2681">
        <f>IF(AB2681&gt;AB2680,AB2681,"")</f>
        <v/>
      </c>
    </row>
    <row r="2682">
      <c r="W2682" s="7" t="n"/>
      <c r="X2682" s="7" t="n"/>
      <c r="Z2682">
        <f>Z2681+IF(W2682="",0,IF(ISNA(MATCH(W2682,W$256:W2681,0)),1,0))</f>
        <v/>
      </c>
      <c r="AA2682">
        <f>IF(Z2682&gt;Z2681,Z2682,"")</f>
        <v/>
      </c>
      <c r="AB2682">
        <f>AB2681+IF(X2682="",0,IF(ISNA(MATCH(X2682,X$256:X2681,0)),1,0))</f>
        <v/>
      </c>
      <c r="AC2682">
        <f>IF(AB2682&gt;AB2681,AB2682,"")</f>
        <v/>
      </c>
    </row>
    <row r="2683">
      <c r="W2683" s="7" t="n"/>
      <c r="X2683" s="7" t="n"/>
      <c r="Z2683">
        <f>Z2682+IF(W2683="",0,IF(ISNA(MATCH(W2683,W$256:W2682,0)),1,0))</f>
        <v/>
      </c>
      <c r="AA2683">
        <f>IF(Z2683&gt;Z2682,Z2683,"")</f>
        <v/>
      </c>
      <c r="AB2683">
        <f>AB2682+IF(X2683="",0,IF(ISNA(MATCH(X2683,X$256:X2682,0)),1,0))</f>
        <v/>
      </c>
      <c r="AC2683">
        <f>IF(AB2683&gt;AB2682,AB2683,"")</f>
        <v/>
      </c>
    </row>
    <row r="2684">
      <c r="W2684" s="7" t="n"/>
      <c r="X2684" s="7" t="n"/>
      <c r="Z2684">
        <f>Z2683+IF(W2684="",0,IF(ISNA(MATCH(W2684,W$256:W2683,0)),1,0))</f>
        <v/>
      </c>
      <c r="AA2684">
        <f>IF(Z2684&gt;Z2683,Z2684,"")</f>
        <v/>
      </c>
      <c r="AB2684">
        <f>AB2683+IF(X2684="",0,IF(ISNA(MATCH(X2684,X$256:X2683,0)),1,0))</f>
        <v/>
      </c>
      <c r="AC2684">
        <f>IF(AB2684&gt;AB2683,AB2684,"")</f>
        <v/>
      </c>
    </row>
    <row r="2685">
      <c r="W2685" s="7" t="n"/>
      <c r="X2685" s="7" t="n"/>
      <c r="Z2685">
        <f>Z2684+IF(W2685="",0,IF(ISNA(MATCH(W2685,W$256:W2684,0)),1,0))</f>
        <v/>
      </c>
      <c r="AA2685">
        <f>IF(Z2685&gt;Z2684,Z2685,"")</f>
        <v/>
      </c>
      <c r="AB2685">
        <f>AB2684+IF(X2685="",0,IF(ISNA(MATCH(X2685,X$256:X2684,0)),1,0))</f>
        <v/>
      </c>
      <c r="AC2685">
        <f>IF(AB2685&gt;AB2684,AB2685,"")</f>
        <v/>
      </c>
    </row>
    <row r="2686">
      <c r="W2686" s="7" t="n"/>
      <c r="X2686" s="7" t="n"/>
      <c r="Z2686">
        <f>Z2685+IF(W2686="",0,IF(ISNA(MATCH(W2686,W$256:W2685,0)),1,0))</f>
        <v/>
      </c>
      <c r="AA2686">
        <f>IF(Z2686&gt;Z2685,Z2686,"")</f>
        <v/>
      </c>
      <c r="AB2686">
        <f>AB2685+IF(X2686="",0,IF(ISNA(MATCH(X2686,X$256:X2685,0)),1,0))</f>
        <v/>
      </c>
      <c r="AC2686">
        <f>IF(AB2686&gt;AB2685,AB2686,"")</f>
        <v/>
      </c>
    </row>
    <row r="2687">
      <c r="W2687" s="7" t="n"/>
      <c r="X2687" s="7" t="n"/>
      <c r="Z2687">
        <f>Z2686+IF(W2687="",0,IF(ISNA(MATCH(W2687,W$256:W2686,0)),1,0))</f>
        <v/>
      </c>
      <c r="AA2687">
        <f>IF(Z2687&gt;Z2686,Z2687,"")</f>
        <v/>
      </c>
      <c r="AB2687">
        <f>AB2686+IF(X2687="",0,IF(ISNA(MATCH(X2687,X$256:X2686,0)),1,0))</f>
        <v/>
      </c>
      <c r="AC2687">
        <f>IF(AB2687&gt;AB2686,AB2687,"")</f>
        <v/>
      </c>
    </row>
    <row r="2688">
      <c r="W2688" s="7" t="n"/>
      <c r="X2688" s="7" t="n"/>
      <c r="Z2688">
        <f>Z2687+IF(W2688="",0,IF(ISNA(MATCH(W2688,W$256:W2687,0)),1,0))</f>
        <v/>
      </c>
      <c r="AA2688">
        <f>IF(Z2688&gt;Z2687,Z2688,"")</f>
        <v/>
      </c>
      <c r="AB2688">
        <f>AB2687+IF(X2688="",0,IF(ISNA(MATCH(X2688,X$256:X2687,0)),1,0))</f>
        <v/>
      </c>
      <c r="AC2688">
        <f>IF(AB2688&gt;AB2687,AB2688,"")</f>
        <v/>
      </c>
    </row>
    <row r="2689">
      <c r="W2689" s="7" t="n"/>
      <c r="X2689" s="7" t="n"/>
      <c r="Z2689">
        <f>Z2688+IF(W2689="",0,IF(ISNA(MATCH(W2689,W$256:W2688,0)),1,0))</f>
        <v/>
      </c>
      <c r="AA2689">
        <f>IF(Z2689&gt;Z2688,Z2689,"")</f>
        <v/>
      </c>
      <c r="AB2689">
        <f>AB2688+IF(X2689="",0,IF(ISNA(MATCH(X2689,X$256:X2688,0)),1,0))</f>
        <v/>
      </c>
      <c r="AC2689">
        <f>IF(AB2689&gt;AB2688,AB2689,"")</f>
        <v/>
      </c>
    </row>
    <row r="2690">
      <c r="W2690" s="7" t="n"/>
      <c r="X2690" s="7" t="n"/>
      <c r="Z2690">
        <f>Z2689+IF(W2690="",0,IF(ISNA(MATCH(W2690,W$256:W2689,0)),1,0))</f>
        <v/>
      </c>
      <c r="AA2690">
        <f>IF(Z2690&gt;Z2689,Z2690,"")</f>
        <v/>
      </c>
      <c r="AB2690">
        <f>AB2689+IF(X2690="",0,IF(ISNA(MATCH(X2690,X$256:X2689,0)),1,0))</f>
        <v/>
      </c>
      <c r="AC2690">
        <f>IF(AB2690&gt;AB2689,AB2690,"")</f>
        <v/>
      </c>
    </row>
    <row r="2691">
      <c r="W2691" s="7" t="n"/>
      <c r="X2691" s="7" t="n"/>
      <c r="Z2691">
        <f>Z2690+IF(W2691="",0,IF(ISNA(MATCH(W2691,W$256:W2690,0)),1,0))</f>
        <v/>
      </c>
      <c r="AA2691">
        <f>IF(Z2691&gt;Z2690,Z2691,"")</f>
        <v/>
      </c>
      <c r="AB2691">
        <f>AB2690+IF(X2691="",0,IF(ISNA(MATCH(X2691,X$256:X2690,0)),1,0))</f>
        <v/>
      </c>
      <c r="AC2691">
        <f>IF(AB2691&gt;AB2690,AB2691,"")</f>
        <v/>
      </c>
    </row>
    <row r="2692">
      <c r="W2692" s="7" t="n"/>
      <c r="X2692" s="7" t="n"/>
      <c r="Z2692">
        <f>Z2691+IF(W2692="",0,IF(ISNA(MATCH(W2692,W$256:W2691,0)),1,0))</f>
        <v/>
      </c>
      <c r="AA2692">
        <f>IF(Z2692&gt;Z2691,Z2692,"")</f>
        <v/>
      </c>
      <c r="AB2692">
        <f>AB2691+IF(X2692="",0,IF(ISNA(MATCH(X2692,X$256:X2691,0)),1,0))</f>
        <v/>
      </c>
      <c r="AC2692">
        <f>IF(AB2692&gt;AB2691,AB2692,"")</f>
        <v/>
      </c>
    </row>
    <row r="2693">
      <c r="W2693" s="7" t="n"/>
      <c r="X2693" s="7" t="n"/>
      <c r="Z2693">
        <f>Z2692+IF(W2693="",0,IF(ISNA(MATCH(W2693,W$256:W2692,0)),1,0))</f>
        <v/>
      </c>
      <c r="AA2693">
        <f>IF(Z2693&gt;Z2692,Z2693,"")</f>
        <v/>
      </c>
      <c r="AB2693">
        <f>AB2692+IF(X2693="",0,IF(ISNA(MATCH(X2693,X$256:X2692,0)),1,0))</f>
        <v/>
      </c>
      <c r="AC2693">
        <f>IF(AB2693&gt;AB2692,AB2693,"")</f>
        <v/>
      </c>
    </row>
    <row r="2694">
      <c r="W2694" s="7" t="n"/>
      <c r="X2694" s="7" t="n"/>
      <c r="Z2694">
        <f>Z2693+IF(W2694="",0,IF(ISNA(MATCH(W2694,W$256:W2693,0)),1,0))</f>
        <v/>
      </c>
      <c r="AA2694">
        <f>IF(Z2694&gt;Z2693,Z2694,"")</f>
        <v/>
      </c>
      <c r="AB2694">
        <f>AB2693+IF(X2694="",0,IF(ISNA(MATCH(X2694,X$256:X2693,0)),1,0))</f>
        <v/>
      </c>
      <c r="AC2694">
        <f>IF(AB2694&gt;AB2693,AB2694,"")</f>
        <v/>
      </c>
    </row>
    <row r="2695">
      <c r="W2695" s="7" t="n"/>
      <c r="X2695" s="7" t="n"/>
      <c r="Z2695">
        <f>Z2694+IF(W2695="",0,IF(ISNA(MATCH(W2695,W$256:W2694,0)),1,0))</f>
        <v/>
      </c>
      <c r="AA2695">
        <f>IF(Z2695&gt;Z2694,Z2695,"")</f>
        <v/>
      </c>
      <c r="AB2695">
        <f>AB2694+IF(X2695="",0,IF(ISNA(MATCH(X2695,X$256:X2694,0)),1,0))</f>
        <v/>
      </c>
      <c r="AC2695">
        <f>IF(AB2695&gt;AB2694,AB2695,"")</f>
        <v/>
      </c>
    </row>
    <row r="2696">
      <c r="W2696" s="7" t="n"/>
      <c r="X2696" s="7" t="n"/>
      <c r="Z2696">
        <f>Z2695+IF(W2696="",0,IF(ISNA(MATCH(W2696,W$256:W2695,0)),1,0))</f>
        <v/>
      </c>
      <c r="AA2696">
        <f>IF(Z2696&gt;Z2695,Z2696,"")</f>
        <v/>
      </c>
      <c r="AB2696">
        <f>AB2695+IF(X2696="",0,IF(ISNA(MATCH(X2696,X$256:X2695,0)),1,0))</f>
        <v/>
      </c>
      <c r="AC2696">
        <f>IF(AB2696&gt;AB2695,AB2696,"")</f>
        <v/>
      </c>
    </row>
    <row r="2697">
      <c r="W2697" s="7" t="n"/>
      <c r="X2697" s="7" t="n"/>
      <c r="Z2697">
        <f>Z2696+IF(W2697="",0,IF(ISNA(MATCH(W2697,W$256:W2696,0)),1,0))</f>
        <v/>
      </c>
      <c r="AA2697">
        <f>IF(Z2697&gt;Z2696,Z2697,"")</f>
        <v/>
      </c>
      <c r="AB2697">
        <f>AB2696+IF(X2697="",0,IF(ISNA(MATCH(X2697,X$256:X2696,0)),1,0))</f>
        <v/>
      </c>
      <c r="AC2697">
        <f>IF(AB2697&gt;AB2696,AB2697,"")</f>
        <v/>
      </c>
    </row>
    <row r="2698">
      <c r="W2698" s="7" t="n"/>
      <c r="X2698" s="7" t="n"/>
      <c r="Z2698">
        <f>Z2697+IF(W2698="",0,IF(ISNA(MATCH(W2698,W$256:W2697,0)),1,0))</f>
        <v/>
      </c>
      <c r="AA2698">
        <f>IF(Z2698&gt;Z2697,Z2698,"")</f>
        <v/>
      </c>
      <c r="AB2698">
        <f>AB2697+IF(X2698="",0,IF(ISNA(MATCH(X2698,X$256:X2697,0)),1,0))</f>
        <v/>
      </c>
      <c r="AC2698">
        <f>IF(AB2698&gt;AB2697,AB2698,"")</f>
        <v/>
      </c>
    </row>
    <row r="2699">
      <c r="W2699" s="7" t="n"/>
      <c r="X2699" s="7" t="n"/>
      <c r="Z2699">
        <f>Z2698+IF(W2699="",0,IF(ISNA(MATCH(W2699,W$256:W2698,0)),1,0))</f>
        <v/>
      </c>
      <c r="AA2699">
        <f>IF(Z2699&gt;Z2698,Z2699,"")</f>
        <v/>
      </c>
      <c r="AB2699">
        <f>AB2698+IF(X2699="",0,IF(ISNA(MATCH(X2699,X$256:X2698,0)),1,0))</f>
        <v/>
      </c>
      <c r="AC2699">
        <f>IF(AB2699&gt;AB2698,AB2699,"")</f>
        <v/>
      </c>
    </row>
    <row r="2700">
      <c r="W2700" s="7" t="n"/>
      <c r="X2700" s="7" t="n"/>
      <c r="Z2700">
        <f>Z2699+IF(W2700="",0,IF(ISNA(MATCH(W2700,W$256:W2699,0)),1,0))</f>
        <v/>
      </c>
      <c r="AA2700">
        <f>IF(Z2700&gt;Z2699,Z2700,"")</f>
        <v/>
      </c>
      <c r="AB2700">
        <f>AB2699+IF(X2700="",0,IF(ISNA(MATCH(X2700,X$256:X2699,0)),1,0))</f>
        <v/>
      </c>
      <c r="AC2700">
        <f>IF(AB2700&gt;AB2699,AB2700,"")</f>
        <v/>
      </c>
    </row>
    <row r="2701">
      <c r="W2701" s="7" t="n"/>
      <c r="X2701" s="7" t="n"/>
      <c r="Z2701">
        <f>Z2700+IF(W2701="",0,IF(ISNA(MATCH(W2701,W$256:W2700,0)),1,0))</f>
        <v/>
      </c>
      <c r="AA2701">
        <f>IF(Z2701&gt;Z2700,Z2701,"")</f>
        <v/>
      </c>
      <c r="AB2701">
        <f>AB2700+IF(X2701="",0,IF(ISNA(MATCH(X2701,X$256:X2700,0)),1,0))</f>
        <v/>
      </c>
      <c r="AC2701">
        <f>IF(AB2701&gt;AB2700,AB2701,"")</f>
        <v/>
      </c>
    </row>
    <row r="2702">
      <c r="W2702" s="7" t="n"/>
      <c r="X2702" s="7" t="n"/>
      <c r="Z2702">
        <f>Z2701+IF(W2702="",0,IF(ISNA(MATCH(W2702,W$256:W2701,0)),1,0))</f>
        <v/>
      </c>
      <c r="AA2702">
        <f>IF(Z2702&gt;Z2701,Z2702,"")</f>
        <v/>
      </c>
      <c r="AB2702">
        <f>AB2701+IF(X2702="",0,IF(ISNA(MATCH(X2702,X$256:X2701,0)),1,0))</f>
        <v/>
      </c>
      <c r="AC2702">
        <f>IF(AB2702&gt;AB2701,AB2702,"")</f>
        <v/>
      </c>
    </row>
    <row r="2703">
      <c r="W2703" s="7" t="n"/>
      <c r="X2703" s="7" t="n"/>
      <c r="Z2703">
        <f>Z2702+IF(W2703="",0,IF(ISNA(MATCH(W2703,W$256:W2702,0)),1,0))</f>
        <v/>
      </c>
      <c r="AA2703">
        <f>IF(Z2703&gt;Z2702,Z2703,"")</f>
        <v/>
      </c>
      <c r="AB2703">
        <f>AB2702+IF(X2703="",0,IF(ISNA(MATCH(X2703,X$256:X2702,0)),1,0))</f>
        <v/>
      </c>
      <c r="AC2703">
        <f>IF(AB2703&gt;AB2702,AB2703,"")</f>
        <v/>
      </c>
    </row>
    <row r="2704">
      <c r="W2704" s="7" t="n"/>
      <c r="X2704" s="7" t="n"/>
      <c r="Z2704">
        <f>Z2703+IF(W2704="",0,IF(ISNA(MATCH(W2704,W$256:W2703,0)),1,0))</f>
        <v/>
      </c>
      <c r="AA2704">
        <f>IF(Z2704&gt;Z2703,Z2704,"")</f>
        <v/>
      </c>
      <c r="AB2704">
        <f>AB2703+IF(X2704="",0,IF(ISNA(MATCH(X2704,X$256:X2703,0)),1,0))</f>
        <v/>
      </c>
      <c r="AC2704">
        <f>IF(AB2704&gt;AB2703,AB2704,"")</f>
        <v/>
      </c>
    </row>
    <row r="2705">
      <c r="W2705" s="7" t="n"/>
      <c r="X2705" s="7" t="n"/>
      <c r="Z2705">
        <f>Z2704+IF(W2705="",0,IF(ISNA(MATCH(W2705,W$256:W2704,0)),1,0))</f>
        <v/>
      </c>
      <c r="AA2705">
        <f>IF(Z2705&gt;Z2704,Z2705,"")</f>
        <v/>
      </c>
      <c r="AB2705">
        <f>AB2704+IF(X2705="",0,IF(ISNA(MATCH(X2705,X$256:X2704,0)),1,0))</f>
        <v/>
      </c>
      <c r="AC2705">
        <f>IF(AB2705&gt;AB2704,AB2705,"")</f>
        <v/>
      </c>
    </row>
    <row r="2706">
      <c r="W2706" s="7" t="n"/>
      <c r="X2706" s="7" t="n"/>
      <c r="Z2706">
        <f>Z2705+IF(W2706="",0,IF(ISNA(MATCH(W2706,W$256:W2705,0)),1,0))</f>
        <v/>
      </c>
      <c r="AA2706">
        <f>IF(Z2706&gt;Z2705,Z2706,"")</f>
        <v/>
      </c>
      <c r="AB2706">
        <f>AB2705+IF(X2706="",0,IF(ISNA(MATCH(X2706,X$256:X2705,0)),1,0))</f>
        <v/>
      </c>
      <c r="AC2706">
        <f>IF(AB2706&gt;AB2705,AB2706,"")</f>
        <v/>
      </c>
    </row>
    <row r="2707">
      <c r="W2707" s="7" t="n"/>
      <c r="X2707" s="7" t="n"/>
      <c r="Z2707">
        <f>Z2706+IF(W2707="",0,IF(ISNA(MATCH(W2707,W$256:W2706,0)),1,0))</f>
        <v/>
      </c>
      <c r="AA2707">
        <f>IF(Z2707&gt;Z2706,Z2707,"")</f>
        <v/>
      </c>
      <c r="AB2707">
        <f>AB2706+IF(X2707="",0,IF(ISNA(MATCH(X2707,X$256:X2706,0)),1,0))</f>
        <v/>
      </c>
      <c r="AC2707">
        <f>IF(AB2707&gt;AB2706,AB2707,"")</f>
        <v/>
      </c>
    </row>
    <row r="2708">
      <c r="W2708" s="7" t="n"/>
      <c r="X2708" s="7" t="n"/>
      <c r="Z2708">
        <f>Z2707+IF(W2708="",0,IF(ISNA(MATCH(W2708,W$256:W2707,0)),1,0))</f>
        <v/>
      </c>
      <c r="AA2708">
        <f>IF(Z2708&gt;Z2707,Z2708,"")</f>
        <v/>
      </c>
      <c r="AB2708">
        <f>AB2707+IF(X2708="",0,IF(ISNA(MATCH(X2708,X$256:X2707,0)),1,0))</f>
        <v/>
      </c>
      <c r="AC2708">
        <f>IF(AB2708&gt;AB2707,AB2708,"")</f>
        <v/>
      </c>
    </row>
    <row r="2709">
      <c r="W2709" s="7" t="n"/>
      <c r="X2709" s="7" t="n"/>
      <c r="Z2709">
        <f>Z2708+IF(W2709="",0,IF(ISNA(MATCH(W2709,W$256:W2708,0)),1,0))</f>
        <v/>
      </c>
      <c r="AA2709">
        <f>IF(Z2709&gt;Z2708,Z2709,"")</f>
        <v/>
      </c>
      <c r="AB2709">
        <f>AB2708+IF(X2709="",0,IF(ISNA(MATCH(X2709,X$256:X2708,0)),1,0))</f>
        <v/>
      </c>
      <c r="AC2709">
        <f>IF(AB2709&gt;AB2708,AB2709,"")</f>
        <v/>
      </c>
    </row>
    <row r="2710">
      <c r="W2710" s="7" t="n"/>
      <c r="X2710" s="7" t="n"/>
      <c r="Z2710">
        <f>Z2709+IF(W2710="",0,IF(ISNA(MATCH(W2710,W$256:W2709,0)),1,0))</f>
        <v/>
      </c>
      <c r="AA2710">
        <f>IF(Z2710&gt;Z2709,Z2710,"")</f>
        <v/>
      </c>
      <c r="AB2710">
        <f>AB2709+IF(X2710="",0,IF(ISNA(MATCH(X2710,X$256:X2709,0)),1,0))</f>
        <v/>
      </c>
      <c r="AC2710">
        <f>IF(AB2710&gt;AB2709,AB2710,"")</f>
        <v/>
      </c>
    </row>
    <row r="2711">
      <c r="W2711" s="7" t="n"/>
      <c r="X2711" s="7" t="n"/>
      <c r="Z2711">
        <f>Z2710+IF(W2711="",0,IF(ISNA(MATCH(W2711,W$256:W2710,0)),1,0))</f>
        <v/>
      </c>
      <c r="AA2711">
        <f>IF(Z2711&gt;Z2710,Z2711,"")</f>
        <v/>
      </c>
      <c r="AB2711">
        <f>AB2710+IF(X2711="",0,IF(ISNA(MATCH(X2711,X$256:X2710,0)),1,0))</f>
        <v/>
      </c>
      <c r="AC2711">
        <f>IF(AB2711&gt;AB2710,AB2711,"")</f>
        <v/>
      </c>
    </row>
    <row r="2712">
      <c r="W2712" s="7" t="n"/>
      <c r="X2712" s="7" t="n"/>
      <c r="Z2712">
        <f>Z2711+IF(W2712="",0,IF(ISNA(MATCH(W2712,W$256:W2711,0)),1,0))</f>
        <v/>
      </c>
      <c r="AA2712">
        <f>IF(Z2712&gt;Z2711,Z2712,"")</f>
        <v/>
      </c>
      <c r="AB2712">
        <f>AB2711+IF(X2712="",0,IF(ISNA(MATCH(X2712,X$256:X2711,0)),1,0))</f>
        <v/>
      </c>
      <c r="AC2712">
        <f>IF(AB2712&gt;AB2711,AB2712,"")</f>
        <v/>
      </c>
    </row>
    <row r="2713">
      <c r="W2713" s="7" t="n"/>
      <c r="X2713" s="7" t="n"/>
      <c r="Z2713">
        <f>Z2712+IF(W2713="",0,IF(ISNA(MATCH(W2713,W$256:W2712,0)),1,0))</f>
        <v/>
      </c>
      <c r="AA2713">
        <f>IF(Z2713&gt;Z2712,Z2713,"")</f>
        <v/>
      </c>
      <c r="AB2713">
        <f>AB2712+IF(X2713="",0,IF(ISNA(MATCH(X2713,X$256:X2712,0)),1,0))</f>
        <v/>
      </c>
      <c r="AC2713">
        <f>IF(AB2713&gt;AB2712,AB2713,"")</f>
        <v/>
      </c>
    </row>
    <row r="2714">
      <c r="W2714" s="7" t="n"/>
      <c r="X2714" s="7" t="n"/>
      <c r="Z2714">
        <f>Z2713+IF(W2714="",0,IF(ISNA(MATCH(W2714,W$256:W2713,0)),1,0))</f>
        <v/>
      </c>
      <c r="AA2714">
        <f>IF(Z2714&gt;Z2713,Z2714,"")</f>
        <v/>
      </c>
      <c r="AB2714">
        <f>AB2713+IF(X2714="",0,IF(ISNA(MATCH(X2714,X$256:X2713,0)),1,0))</f>
        <v/>
      </c>
      <c r="AC2714">
        <f>IF(AB2714&gt;AB2713,AB2714,"")</f>
        <v/>
      </c>
    </row>
    <row r="2715">
      <c r="W2715" s="7" t="n"/>
      <c r="X2715" s="7" t="n"/>
      <c r="Z2715">
        <f>Z2714+IF(W2715="",0,IF(ISNA(MATCH(W2715,W$256:W2714,0)),1,0))</f>
        <v/>
      </c>
      <c r="AA2715">
        <f>IF(Z2715&gt;Z2714,Z2715,"")</f>
        <v/>
      </c>
      <c r="AB2715">
        <f>AB2714+IF(X2715="",0,IF(ISNA(MATCH(X2715,X$256:X2714,0)),1,0))</f>
        <v/>
      </c>
      <c r="AC2715">
        <f>IF(AB2715&gt;AB2714,AB2715,"")</f>
        <v/>
      </c>
    </row>
    <row r="2716">
      <c r="W2716" s="7" t="n"/>
      <c r="X2716" s="7" t="n"/>
      <c r="Z2716">
        <f>Z2715+IF(W2716="",0,IF(ISNA(MATCH(W2716,W$256:W2715,0)),1,0))</f>
        <v/>
      </c>
      <c r="AA2716">
        <f>IF(Z2716&gt;Z2715,Z2716,"")</f>
        <v/>
      </c>
      <c r="AB2716">
        <f>AB2715+IF(X2716="",0,IF(ISNA(MATCH(X2716,X$256:X2715,0)),1,0))</f>
        <v/>
      </c>
      <c r="AC2716">
        <f>IF(AB2716&gt;AB2715,AB2716,"")</f>
        <v/>
      </c>
    </row>
    <row r="2717">
      <c r="W2717" s="7" t="n"/>
      <c r="X2717" s="7" t="n"/>
      <c r="Z2717">
        <f>Z2716+IF(W2717="",0,IF(ISNA(MATCH(W2717,W$256:W2716,0)),1,0))</f>
        <v/>
      </c>
      <c r="AA2717">
        <f>IF(Z2717&gt;Z2716,Z2717,"")</f>
        <v/>
      </c>
      <c r="AB2717">
        <f>AB2716+IF(X2717="",0,IF(ISNA(MATCH(X2717,X$256:X2716,0)),1,0))</f>
        <v/>
      </c>
      <c r="AC2717">
        <f>IF(AB2717&gt;AB2716,AB2717,"")</f>
        <v/>
      </c>
    </row>
    <row r="2718">
      <c r="W2718" s="7" t="n"/>
      <c r="X2718" s="7" t="n"/>
      <c r="Z2718">
        <f>Z2717+IF(W2718="",0,IF(ISNA(MATCH(W2718,W$256:W2717,0)),1,0))</f>
        <v/>
      </c>
      <c r="AA2718">
        <f>IF(Z2718&gt;Z2717,Z2718,"")</f>
        <v/>
      </c>
      <c r="AB2718">
        <f>AB2717+IF(X2718="",0,IF(ISNA(MATCH(X2718,X$256:X2717,0)),1,0))</f>
        <v/>
      </c>
      <c r="AC2718">
        <f>IF(AB2718&gt;AB2717,AB2718,"")</f>
        <v/>
      </c>
    </row>
    <row r="2719">
      <c r="W2719" s="7" t="n"/>
      <c r="X2719" s="7" t="n"/>
      <c r="Z2719">
        <f>Z2718+IF(W2719="",0,IF(ISNA(MATCH(W2719,W$256:W2718,0)),1,0))</f>
        <v/>
      </c>
      <c r="AA2719">
        <f>IF(Z2719&gt;Z2718,Z2719,"")</f>
        <v/>
      </c>
      <c r="AB2719">
        <f>AB2718+IF(X2719="",0,IF(ISNA(MATCH(X2719,X$256:X2718,0)),1,0))</f>
        <v/>
      </c>
      <c r="AC2719">
        <f>IF(AB2719&gt;AB2718,AB2719,"")</f>
        <v/>
      </c>
    </row>
    <row r="2720">
      <c r="W2720" s="7" t="n"/>
      <c r="X2720" s="7" t="n"/>
      <c r="Z2720">
        <f>Z2719+IF(W2720="",0,IF(ISNA(MATCH(W2720,W$256:W2719,0)),1,0))</f>
        <v/>
      </c>
      <c r="AA2720">
        <f>IF(Z2720&gt;Z2719,Z2720,"")</f>
        <v/>
      </c>
      <c r="AB2720">
        <f>AB2719+IF(X2720="",0,IF(ISNA(MATCH(X2720,X$256:X2719,0)),1,0))</f>
        <v/>
      </c>
      <c r="AC2720">
        <f>IF(AB2720&gt;AB2719,AB2720,"")</f>
        <v/>
      </c>
    </row>
    <row r="2721">
      <c r="W2721" s="7" t="n"/>
      <c r="X2721" s="7" t="n"/>
      <c r="Z2721">
        <f>Z2720+IF(W2721="",0,IF(ISNA(MATCH(W2721,W$256:W2720,0)),1,0))</f>
        <v/>
      </c>
      <c r="AA2721">
        <f>IF(Z2721&gt;Z2720,Z2721,"")</f>
        <v/>
      </c>
      <c r="AB2721">
        <f>AB2720+IF(X2721="",0,IF(ISNA(MATCH(X2721,X$256:X2720,0)),1,0))</f>
        <v/>
      </c>
      <c r="AC2721">
        <f>IF(AB2721&gt;AB2720,AB2721,"")</f>
        <v/>
      </c>
    </row>
    <row r="2722">
      <c r="W2722" s="7" t="n"/>
      <c r="X2722" s="7" t="n"/>
      <c r="Z2722">
        <f>Z2721+IF(W2722="",0,IF(ISNA(MATCH(W2722,W$256:W2721,0)),1,0))</f>
        <v/>
      </c>
      <c r="AA2722">
        <f>IF(Z2722&gt;Z2721,Z2722,"")</f>
        <v/>
      </c>
      <c r="AB2722">
        <f>AB2721+IF(X2722="",0,IF(ISNA(MATCH(X2722,X$256:X2721,0)),1,0))</f>
        <v/>
      </c>
      <c r="AC2722">
        <f>IF(AB2722&gt;AB2721,AB2722,"")</f>
        <v/>
      </c>
    </row>
    <row r="2723">
      <c r="W2723" s="7" t="n"/>
      <c r="X2723" s="7" t="n"/>
      <c r="Z2723">
        <f>Z2722+IF(W2723="",0,IF(ISNA(MATCH(W2723,W$256:W2722,0)),1,0))</f>
        <v/>
      </c>
      <c r="AA2723">
        <f>IF(Z2723&gt;Z2722,Z2723,"")</f>
        <v/>
      </c>
      <c r="AB2723">
        <f>AB2722+IF(X2723="",0,IF(ISNA(MATCH(X2723,X$256:X2722,0)),1,0))</f>
        <v/>
      </c>
      <c r="AC2723">
        <f>IF(AB2723&gt;AB2722,AB2723,"")</f>
        <v/>
      </c>
    </row>
    <row r="2724">
      <c r="W2724" s="7" t="n"/>
      <c r="X2724" s="7" t="n"/>
      <c r="Z2724">
        <f>Z2723+IF(W2724="",0,IF(ISNA(MATCH(W2724,W$256:W2723,0)),1,0))</f>
        <v/>
      </c>
      <c r="AA2724">
        <f>IF(Z2724&gt;Z2723,Z2724,"")</f>
        <v/>
      </c>
      <c r="AB2724">
        <f>AB2723+IF(X2724="",0,IF(ISNA(MATCH(X2724,X$256:X2723,0)),1,0))</f>
        <v/>
      </c>
      <c r="AC2724">
        <f>IF(AB2724&gt;AB2723,AB2724,"")</f>
        <v/>
      </c>
    </row>
    <row r="2725">
      <c r="W2725" s="7" t="n"/>
      <c r="X2725" s="7" t="n"/>
      <c r="Z2725">
        <f>Z2724+IF(W2725="",0,IF(ISNA(MATCH(W2725,W$256:W2724,0)),1,0))</f>
        <v/>
      </c>
      <c r="AA2725">
        <f>IF(Z2725&gt;Z2724,Z2725,"")</f>
        <v/>
      </c>
      <c r="AB2725">
        <f>AB2724+IF(X2725="",0,IF(ISNA(MATCH(X2725,X$256:X2724,0)),1,0))</f>
        <v/>
      </c>
      <c r="AC2725">
        <f>IF(AB2725&gt;AB2724,AB2725,"")</f>
        <v/>
      </c>
    </row>
    <row r="2726">
      <c r="W2726" s="7" t="n"/>
      <c r="X2726" s="7" t="n"/>
      <c r="Z2726">
        <f>Z2725+IF(W2726="",0,IF(ISNA(MATCH(W2726,W$256:W2725,0)),1,0))</f>
        <v/>
      </c>
      <c r="AA2726">
        <f>IF(Z2726&gt;Z2725,Z2726,"")</f>
        <v/>
      </c>
      <c r="AB2726">
        <f>AB2725+IF(X2726="",0,IF(ISNA(MATCH(X2726,X$256:X2725,0)),1,0))</f>
        <v/>
      </c>
      <c r="AC2726">
        <f>IF(AB2726&gt;AB2725,AB2726,"")</f>
        <v/>
      </c>
    </row>
    <row r="2727">
      <c r="W2727" s="7" t="n"/>
      <c r="X2727" s="7" t="n"/>
      <c r="Z2727">
        <f>Z2726+IF(W2727="",0,IF(ISNA(MATCH(W2727,W$256:W2726,0)),1,0))</f>
        <v/>
      </c>
      <c r="AA2727">
        <f>IF(Z2727&gt;Z2726,Z2727,"")</f>
        <v/>
      </c>
      <c r="AB2727">
        <f>AB2726+IF(X2727="",0,IF(ISNA(MATCH(X2727,X$256:X2726,0)),1,0))</f>
        <v/>
      </c>
      <c r="AC2727">
        <f>IF(AB2727&gt;AB2726,AB2727,"")</f>
        <v/>
      </c>
    </row>
    <row r="2728">
      <c r="W2728" s="7" t="n"/>
      <c r="X2728" s="7" t="n"/>
      <c r="Z2728">
        <f>Z2727+IF(W2728="",0,IF(ISNA(MATCH(W2728,W$256:W2727,0)),1,0))</f>
        <v/>
      </c>
      <c r="AA2728">
        <f>IF(Z2728&gt;Z2727,Z2728,"")</f>
        <v/>
      </c>
      <c r="AB2728">
        <f>AB2727+IF(X2728="",0,IF(ISNA(MATCH(X2728,X$256:X2727,0)),1,0))</f>
        <v/>
      </c>
      <c r="AC2728">
        <f>IF(AB2728&gt;AB2727,AB2728,"")</f>
        <v/>
      </c>
    </row>
    <row r="2729">
      <c r="W2729" s="7" t="n"/>
      <c r="X2729" s="7" t="n"/>
      <c r="Z2729">
        <f>Z2728+IF(W2729="",0,IF(ISNA(MATCH(W2729,W$256:W2728,0)),1,0))</f>
        <v/>
      </c>
      <c r="AA2729">
        <f>IF(Z2729&gt;Z2728,Z2729,"")</f>
        <v/>
      </c>
      <c r="AB2729">
        <f>AB2728+IF(X2729="",0,IF(ISNA(MATCH(X2729,X$256:X2728,0)),1,0))</f>
        <v/>
      </c>
      <c r="AC2729">
        <f>IF(AB2729&gt;AB2728,AB2729,"")</f>
        <v/>
      </c>
    </row>
    <row r="2730">
      <c r="W2730" s="7" t="n"/>
      <c r="X2730" s="7" t="n"/>
      <c r="Z2730">
        <f>Z2729+IF(W2730="",0,IF(ISNA(MATCH(W2730,W$256:W2729,0)),1,0))</f>
        <v/>
      </c>
      <c r="AA2730">
        <f>IF(Z2730&gt;Z2729,Z2730,"")</f>
        <v/>
      </c>
      <c r="AB2730">
        <f>AB2729+IF(X2730="",0,IF(ISNA(MATCH(X2730,X$256:X2729,0)),1,0))</f>
        <v/>
      </c>
      <c r="AC2730">
        <f>IF(AB2730&gt;AB2729,AB2730,"")</f>
        <v/>
      </c>
    </row>
    <row r="2731">
      <c r="W2731" s="7" t="n"/>
      <c r="X2731" s="7" t="n"/>
      <c r="Z2731">
        <f>Z2730+IF(W2731="",0,IF(ISNA(MATCH(W2731,W$256:W2730,0)),1,0))</f>
        <v/>
      </c>
      <c r="AA2731">
        <f>IF(Z2731&gt;Z2730,Z2731,"")</f>
        <v/>
      </c>
      <c r="AB2731">
        <f>AB2730+IF(X2731="",0,IF(ISNA(MATCH(X2731,X$256:X2730,0)),1,0))</f>
        <v/>
      </c>
      <c r="AC2731">
        <f>IF(AB2731&gt;AB2730,AB2731,"")</f>
        <v/>
      </c>
    </row>
    <row r="2732">
      <c r="W2732" s="7" t="n"/>
      <c r="X2732" s="7" t="n"/>
      <c r="Z2732">
        <f>Z2731+IF(W2732="",0,IF(ISNA(MATCH(W2732,W$256:W2731,0)),1,0))</f>
        <v/>
      </c>
      <c r="AA2732">
        <f>IF(Z2732&gt;Z2731,Z2732,"")</f>
        <v/>
      </c>
      <c r="AB2732">
        <f>AB2731+IF(X2732="",0,IF(ISNA(MATCH(X2732,X$256:X2731,0)),1,0))</f>
        <v/>
      </c>
      <c r="AC2732">
        <f>IF(AB2732&gt;AB2731,AB2732,"")</f>
        <v/>
      </c>
    </row>
    <row r="2733">
      <c r="W2733" s="7" t="n"/>
      <c r="X2733" s="7" t="n"/>
      <c r="Z2733">
        <f>Z2732+IF(W2733="",0,IF(ISNA(MATCH(W2733,W$256:W2732,0)),1,0))</f>
        <v/>
      </c>
      <c r="AA2733">
        <f>IF(Z2733&gt;Z2732,Z2733,"")</f>
        <v/>
      </c>
      <c r="AB2733">
        <f>AB2732+IF(X2733="",0,IF(ISNA(MATCH(X2733,X$256:X2732,0)),1,0))</f>
        <v/>
      </c>
      <c r="AC2733">
        <f>IF(AB2733&gt;AB2732,AB2733,"")</f>
        <v/>
      </c>
    </row>
    <row r="2734">
      <c r="W2734" s="7" t="n"/>
      <c r="X2734" s="7" t="n"/>
      <c r="Z2734">
        <f>Z2733+IF(W2734="",0,IF(ISNA(MATCH(W2734,W$256:W2733,0)),1,0))</f>
        <v/>
      </c>
      <c r="AA2734">
        <f>IF(Z2734&gt;Z2733,Z2734,"")</f>
        <v/>
      </c>
      <c r="AB2734">
        <f>AB2733+IF(X2734="",0,IF(ISNA(MATCH(X2734,X$256:X2733,0)),1,0))</f>
        <v/>
      </c>
      <c r="AC2734">
        <f>IF(AB2734&gt;AB2733,AB2734,"")</f>
        <v/>
      </c>
    </row>
    <row r="2735">
      <c r="W2735" s="7" t="n"/>
      <c r="X2735" s="7" t="n"/>
      <c r="Z2735">
        <f>Z2734+IF(W2735="",0,IF(ISNA(MATCH(W2735,W$256:W2734,0)),1,0))</f>
        <v/>
      </c>
      <c r="AA2735">
        <f>IF(Z2735&gt;Z2734,Z2735,"")</f>
        <v/>
      </c>
      <c r="AB2735">
        <f>AB2734+IF(X2735="",0,IF(ISNA(MATCH(X2735,X$256:X2734,0)),1,0))</f>
        <v/>
      </c>
      <c r="AC2735">
        <f>IF(AB2735&gt;AB2734,AB2735,"")</f>
        <v/>
      </c>
    </row>
    <row r="2736">
      <c r="W2736" s="7" t="n"/>
      <c r="X2736" s="7" t="n"/>
      <c r="Z2736">
        <f>Z2735+IF(W2736="",0,IF(ISNA(MATCH(W2736,W$256:W2735,0)),1,0))</f>
        <v/>
      </c>
      <c r="AA2736">
        <f>IF(Z2736&gt;Z2735,Z2736,"")</f>
        <v/>
      </c>
      <c r="AB2736">
        <f>AB2735+IF(X2736="",0,IF(ISNA(MATCH(X2736,X$256:X2735,0)),1,0))</f>
        <v/>
      </c>
      <c r="AC2736">
        <f>IF(AB2736&gt;AB2735,AB2736,"")</f>
        <v/>
      </c>
    </row>
    <row r="2737">
      <c r="W2737" s="7" t="n"/>
      <c r="X2737" s="7" t="n"/>
      <c r="Z2737">
        <f>Z2736+IF(W2737="",0,IF(ISNA(MATCH(W2737,W$256:W2736,0)),1,0))</f>
        <v/>
      </c>
      <c r="AA2737">
        <f>IF(Z2737&gt;Z2736,Z2737,"")</f>
        <v/>
      </c>
      <c r="AB2737">
        <f>AB2736+IF(X2737="",0,IF(ISNA(MATCH(X2737,X$256:X2736,0)),1,0))</f>
        <v/>
      </c>
      <c r="AC2737">
        <f>IF(AB2737&gt;AB2736,AB2737,"")</f>
        <v/>
      </c>
    </row>
    <row r="2738">
      <c r="W2738" s="7" t="n"/>
      <c r="X2738" s="7" t="n"/>
      <c r="Z2738">
        <f>Z2737+IF(W2738="",0,IF(ISNA(MATCH(W2738,W$256:W2737,0)),1,0))</f>
        <v/>
      </c>
      <c r="AA2738">
        <f>IF(Z2738&gt;Z2737,Z2738,"")</f>
        <v/>
      </c>
      <c r="AB2738">
        <f>AB2737+IF(X2738="",0,IF(ISNA(MATCH(X2738,X$256:X2737,0)),1,0))</f>
        <v/>
      </c>
      <c r="AC2738">
        <f>IF(AB2738&gt;AB2737,AB2738,"")</f>
        <v/>
      </c>
    </row>
    <row r="2739">
      <c r="W2739" s="7" t="n"/>
      <c r="X2739" s="7" t="n"/>
      <c r="Z2739">
        <f>Z2738+IF(W2739="",0,IF(ISNA(MATCH(W2739,W$256:W2738,0)),1,0))</f>
        <v/>
      </c>
      <c r="AA2739">
        <f>IF(Z2739&gt;Z2738,Z2739,"")</f>
        <v/>
      </c>
      <c r="AB2739">
        <f>AB2738+IF(X2739="",0,IF(ISNA(MATCH(X2739,X$256:X2738,0)),1,0))</f>
        <v/>
      </c>
      <c r="AC2739">
        <f>IF(AB2739&gt;AB2738,AB2739,"")</f>
        <v/>
      </c>
    </row>
    <row r="2740">
      <c r="W2740" s="7" t="n"/>
      <c r="X2740" s="7" t="n"/>
      <c r="Z2740">
        <f>Z2739+IF(W2740="",0,IF(ISNA(MATCH(W2740,W$256:W2739,0)),1,0))</f>
        <v/>
      </c>
      <c r="AA2740">
        <f>IF(Z2740&gt;Z2739,Z2740,"")</f>
        <v/>
      </c>
      <c r="AB2740">
        <f>AB2739+IF(X2740="",0,IF(ISNA(MATCH(X2740,X$256:X2739,0)),1,0))</f>
        <v/>
      </c>
      <c r="AC2740">
        <f>IF(AB2740&gt;AB2739,AB2740,"")</f>
        <v/>
      </c>
    </row>
    <row r="2741">
      <c r="W2741" s="7" t="n"/>
      <c r="X2741" s="7" t="n"/>
      <c r="Z2741">
        <f>Z2740+IF(W2741="",0,IF(ISNA(MATCH(W2741,W$256:W2740,0)),1,0))</f>
        <v/>
      </c>
      <c r="AA2741">
        <f>IF(Z2741&gt;Z2740,Z2741,"")</f>
        <v/>
      </c>
      <c r="AB2741">
        <f>AB2740+IF(X2741="",0,IF(ISNA(MATCH(X2741,X$256:X2740,0)),1,0))</f>
        <v/>
      </c>
      <c r="AC2741">
        <f>IF(AB2741&gt;AB2740,AB2741,"")</f>
        <v/>
      </c>
    </row>
    <row r="2742">
      <c r="W2742" s="7" t="n"/>
      <c r="X2742" s="7" t="n"/>
      <c r="Z2742">
        <f>Z2741+IF(W2742="",0,IF(ISNA(MATCH(W2742,W$256:W2741,0)),1,0))</f>
        <v/>
      </c>
      <c r="AA2742">
        <f>IF(Z2742&gt;Z2741,Z2742,"")</f>
        <v/>
      </c>
      <c r="AB2742">
        <f>AB2741+IF(X2742="",0,IF(ISNA(MATCH(X2742,X$256:X2741,0)),1,0))</f>
        <v/>
      </c>
      <c r="AC2742">
        <f>IF(AB2742&gt;AB2741,AB2742,"")</f>
        <v/>
      </c>
    </row>
    <row r="2743">
      <c r="W2743" s="7" t="n"/>
      <c r="X2743" s="7" t="n"/>
      <c r="Z2743">
        <f>Z2742+IF(W2743="",0,IF(ISNA(MATCH(W2743,W$256:W2742,0)),1,0))</f>
        <v/>
      </c>
      <c r="AA2743">
        <f>IF(Z2743&gt;Z2742,Z2743,"")</f>
        <v/>
      </c>
      <c r="AB2743">
        <f>AB2742+IF(X2743="",0,IF(ISNA(MATCH(X2743,X$256:X2742,0)),1,0))</f>
        <v/>
      </c>
      <c r="AC2743">
        <f>IF(AB2743&gt;AB2742,AB2743,"")</f>
        <v/>
      </c>
    </row>
    <row r="2744">
      <c r="W2744" s="7" t="n"/>
      <c r="X2744" s="7" t="n"/>
      <c r="Z2744">
        <f>Z2743+IF(W2744="",0,IF(ISNA(MATCH(W2744,W$256:W2743,0)),1,0))</f>
        <v/>
      </c>
      <c r="AA2744">
        <f>IF(Z2744&gt;Z2743,Z2744,"")</f>
        <v/>
      </c>
      <c r="AB2744">
        <f>AB2743+IF(X2744="",0,IF(ISNA(MATCH(X2744,X$256:X2743,0)),1,0))</f>
        <v/>
      </c>
      <c r="AC2744">
        <f>IF(AB2744&gt;AB2743,AB2744,"")</f>
        <v/>
      </c>
    </row>
    <row r="2745">
      <c r="W2745" s="7" t="n"/>
      <c r="X2745" s="7" t="n"/>
      <c r="Z2745">
        <f>Z2744+IF(W2745="",0,IF(ISNA(MATCH(W2745,W$256:W2744,0)),1,0))</f>
        <v/>
      </c>
      <c r="AA2745">
        <f>IF(Z2745&gt;Z2744,Z2745,"")</f>
        <v/>
      </c>
      <c r="AB2745">
        <f>AB2744+IF(X2745="",0,IF(ISNA(MATCH(X2745,X$256:X2744,0)),1,0))</f>
        <v/>
      </c>
      <c r="AC2745">
        <f>IF(AB2745&gt;AB2744,AB2745,"")</f>
        <v/>
      </c>
    </row>
    <row r="2746">
      <c r="W2746" s="7" t="n"/>
      <c r="X2746" s="7" t="n"/>
      <c r="Z2746">
        <f>Z2745+IF(W2746="",0,IF(ISNA(MATCH(W2746,W$256:W2745,0)),1,0))</f>
        <v/>
      </c>
      <c r="AA2746">
        <f>IF(Z2746&gt;Z2745,Z2746,"")</f>
        <v/>
      </c>
      <c r="AB2746">
        <f>AB2745+IF(X2746="",0,IF(ISNA(MATCH(X2746,X$256:X2745,0)),1,0))</f>
        <v/>
      </c>
      <c r="AC2746">
        <f>IF(AB2746&gt;AB2745,AB2746,"")</f>
        <v/>
      </c>
    </row>
    <row r="2747">
      <c r="W2747" s="7" t="n"/>
      <c r="X2747" s="7" t="n"/>
      <c r="Z2747">
        <f>Z2746+IF(W2747="",0,IF(ISNA(MATCH(W2747,W$256:W2746,0)),1,0))</f>
        <v/>
      </c>
      <c r="AA2747">
        <f>IF(Z2747&gt;Z2746,Z2747,"")</f>
        <v/>
      </c>
      <c r="AB2747">
        <f>AB2746+IF(X2747="",0,IF(ISNA(MATCH(X2747,X$256:X2746,0)),1,0))</f>
        <v/>
      </c>
      <c r="AC2747">
        <f>IF(AB2747&gt;AB2746,AB2747,"")</f>
        <v/>
      </c>
    </row>
    <row r="2748">
      <c r="W2748" s="7" t="n"/>
      <c r="X2748" s="7" t="n"/>
      <c r="Z2748">
        <f>Z2747+IF(W2748="",0,IF(ISNA(MATCH(W2748,W$256:W2747,0)),1,0))</f>
        <v/>
      </c>
      <c r="AA2748">
        <f>IF(Z2748&gt;Z2747,Z2748,"")</f>
        <v/>
      </c>
      <c r="AB2748">
        <f>AB2747+IF(X2748="",0,IF(ISNA(MATCH(X2748,X$256:X2747,0)),1,0))</f>
        <v/>
      </c>
      <c r="AC2748">
        <f>IF(AB2748&gt;AB2747,AB2748,"")</f>
        <v/>
      </c>
    </row>
    <row r="2749">
      <c r="W2749" s="7" t="n"/>
      <c r="X2749" s="7" t="n"/>
      <c r="Z2749">
        <f>Z2748+IF(W2749="",0,IF(ISNA(MATCH(W2749,W$256:W2748,0)),1,0))</f>
        <v/>
      </c>
      <c r="AA2749">
        <f>IF(Z2749&gt;Z2748,Z2749,"")</f>
        <v/>
      </c>
      <c r="AB2749">
        <f>AB2748+IF(X2749="",0,IF(ISNA(MATCH(X2749,X$256:X2748,0)),1,0))</f>
        <v/>
      </c>
      <c r="AC2749">
        <f>IF(AB2749&gt;AB2748,AB2749,"")</f>
        <v/>
      </c>
    </row>
    <row r="2750">
      <c r="W2750" s="7" t="n"/>
      <c r="X2750" s="7" t="n"/>
      <c r="Z2750">
        <f>Z2749+IF(W2750="",0,IF(ISNA(MATCH(W2750,W$256:W2749,0)),1,0))</f>
        <v/>
      </c>
      <c r="AA2750">
        <f>IF(Z2750&gt;Z2749,Z2750,"")</f>
        <v/>
      </c>
      <c r="AB2750">
        <f>AB2749+IF(X2750="",0,IF(ISNA(MATCH(X2750,X$256:X2749,0)),1,0))</f>
        <v/>
      </c>
      <c r="AC2750">
        <f>IF(AB2750&gt;AB2749,AB2750,"")</f>
        <v/>
      </c>
    </row>
    <row r="2751">
      <c r="W2751" s="7" t="n"/>
      <c r="X2751" s="7" t="n"/>
      <c r="Z2751">
        <f>Z2750+IF(W2751="",0,IF(ISNA(MATCH(W2751,W$256:W2750,0)),1,0))</f>
        <v/>
      </c>
      <c r="AA2751">
        <f>IF(Z2751&gt;Z2750,Z2751,"")</f>
        <v/>
      </c>
      <c r="AB2751">
        <f>AB2750+IF(X2751="",0,IF(ISNA(MATCH(X2751,X$256:X2750,0)),1,0))</f>
        <v/>
      </c>
      <c r="AC2751">
        <f>IF(AB2751&gt;AB2750,AB2751,"")</f>
        <v/>
      </c>
    </row>
    <row r="2752">
      <c r="W2752" s="7" t="n"/>
      <c r="X2752" s="7" t="n"/>
      <c r="Z2752">
        <f>Z2751+IF(W2752="",0,IF(ISNA(MATCH(W2752,W$256:W2751,0)),1,0))</f>
        <v/>
      </c>
      <c r="AA2752">
        <f>IF(Z2752&gt;Z2751,Z2752,"")</f>
        <v/>
      </c>
      <c r="AB2752">
        <f>AB2751+IF(X2752="",0,IF(ISNA(MATCH(X2752,X$256:X2751,0)),1,0))</f>
        <v/>
      </c>
      <c r="AC2752">
        <f>IF(AB2752&gt;AB2751,AB2752,"")</f>
        <v/>
      </c>
    </row>
    <row r="2753">
      <c r="W2753" s="7" t="n"/>
      <c r="X2753" s="7" t="n"/>
      <c r="Z2753">
        <f>Z2752+IF(W2753="",0,IF(ISNA(MATCH(W2753,W$256:W2752,0)),1,0))</f>
        <v/>
      </c>
      <c r="AA2753">
        <f>IF(Z2753&gt;Z2752,Z2753,"")</f>
        <v/>
      </c>
      <c r="AB2753">
        <f>AB2752+IF(X2753="",0,IF(ISNA(MATCH(X2753,X$256:X2752,0)),1,0))</f>
        <v/>
      </c>
      <c r="AC2753">
        <f>IF(AB2753&gt;AB2752,AB2753,"")</f>
        <v/>
      </c>
    </row>
    <row r="2754">
      <c r="W2754" s="7" t="n"/>
      <c r="X2754" s="7" t="n"/>
      <c r="Z2754">
        <f>Z2753+IF(W2754="",0,IF(ISNA(MATCH(W2754,W$256:W2753,0)),1,0))</f>
        <v/>
      </c>
      <c r="AA2754">
        <f>IF(Z2754&gt;Z2753,Z2754,"")</f>
        <v/>
      </c>
      <c r="AB2754">
        <f>AB2753+IF(X2754="",0,IF(ISNA(MATCH(X2754,X$256:X2753,0)),1,0))</f>
        <v/>
      </c>
      <c r="AC2754">
        <f>IF(AB2754&gt;AB2753,AB2754,"")</f>
        <v/>
      </c>
    </row>
    <row r="2755">
      <c r="W2755" s="7" t="n"/>
      <c r="X2755" s="7" t="n"/>
      <c r="Z2755">
        <f>Z2754+IF(W2755="",0,IF(ISNA(MATCH(W2755,W$256:W2754,0)),1,0))</f>
        <v/>
      </c>
      <c r="AA2755">
        <f>IF(Z2755&gt;Z2754,Z2755,"")</f>
        <v/>
      </c>
      <c r="AB2755">
        <f>AB2754+IF(X2755="",0,IF(ISNA(MATCH(X2755,X$256:X2754,0)),1,0))</f>
        <v/>
      </c>
      <c r="AC2755">
        <f>IF(AB2755&gt;AB2754,AB2755,"")</f>
        <v/>
      </c>
    </row>
    <row r="2756">
      <c r="W2756" s="7" t="n"/>
      <c r="X2756" s="7" t="n"/>
      <c r="Z2756">
        <f>Z2755+IF(W2756="",0,IF(ISNA(MATCH(W2756,W$256:W2755,0)),1,0))</f>
        <v/>
      </c>
      <c r="AA2756">
        <f>IF(Z2756&gt;Z2755,Z2756,"")</f>
        <v/>
      </c>
      <c r="AB2756">
        <f>AB2755+IF(X2756="",0,IF(ISNA(MATCH(X2756,X$256:X2755,0)),1,0))</f>
        <v/>
      </c>
      <c r="AC2756">
        <f>IF(AB2756&gt;AB2755,AB2756,"")</f>
        <v/>
      </c>
    </row>
    <row r="2757">
      <c r="W2757" s="7" t="n"/>
      <c r="X2757" s="7" t="n"/>
      <c r="Z2757">
        <f>Z2756+IF(W2757="",0,IF(ISNA(MATCH(W2757,W$256:W2756,0)),1,0))</f>
        <v/>
      </c>
      <c r="AA2757">
        <f>IF(Z2757&gt;Z2756,Z2757,"")</f>
        <v/>
      </c>
      <c r="AB2757">
        <f>AB2756+IF(X2757="",0,IF(ISNA(MATCH(X2757,X$256:X2756,0)),1,0))</f>
        <v/>
      </c>
      <c r="AC2757">
        <f>IF(AB2757&gt;AB2756,AB2757,"")</f>
        <v/>
      </c>
    </row>
    <row r="2758">
      <c r="W2758" s="7" t="n"/>
      <c r="X2758" s="7" t="n"/>
      <c r="Z2758">
        <f>Z2757+IF(W2758="",0,IF(ISNA(MATCH(W2758,W$256:W2757,0)),1,0))</f>
        <v/>
      </c>
      <c r="AA2758">
        <f>IF(Z2758&gt;Z2757,Z2758,"")</f>
        <v/>
      </c>
      <c r="AB2758">
        <f>AB2757+IF(X2758="",0,IF(ISNA(MATCH(X2758,X$256:X2757,0)),1,0))</f>
        <v/>
      </c>
      <c r="AC2758">
        <f>IF(AB2758&gt;AB2757,AB2758,"")</f>
        <v/>
      </c>
    </row>
    <row r="2759">
      <c r="W2759" s="7" t="n"/>
      <c r="X2759" s="7" t="n"/>
      <c r="Z2759">
        <f>Z2758+IF(W2759="",0,IF(ISNA(MATCH(W2759,W$256:W2758,0)),1,0))</f>
        <v/>
      </c>
      <c r="AA2759">
        <f>IF(Z2759&gt;Z2758,Z2759,"")</f>
        <v/>
      </c>
      <c r="AB2759">
        <f>AB2758+IF(X2759="",0,IF(ISNA(MATCH(X2759,X$256:X2758,0)),1,0))</f>
        <v/>
      </c>
      <c r="AC2759">
        <f>IF(AB2759&gt;AB2758,AB2759,"")</f>
        <v/>
      </c>
    </row>
    <row r="2760">
      <c r="W2760" s="7" t="n"/>
      <c r="X2760" s="7" t="n"/>
      <c r="Z2760">
        <f>Z2759+IF(W2760="",0,IF(ISNA(MATCH(W2760,W$256:W2759,0)),1,0))</f>
        <v/>
      </c>
      <c r="AA2760">
        <f>IF(Z2760&gt;Z2759,Z2760,"")</f>
        <v/>
      </c>
      <c r="AB2760">
        <f>AB2759+IF(X2760="",0,IF(ISNA(MATCH(X2760,X$256:X2759,0)),1,0))</f>
        <v/>
      </c>
      <c r="AC2760">
        <f>IF(AB2760&gt;AB2759,AB2760,"")</f>
        <v/>
      </c>
    </row>
    <row r="2761">
      <c r="W2761" s="7" t="n"/>
      <c r="X2761" s="7" t="n"/>
      <c r="Z2761">
        <f>Z2760+IF(W2761="",0,IF(ISNA(MATCH(W2761,W$256:W2760,0)),1,0))</f>
        <v/>
      </c>
      <c r="AA2761">
        <f>IF(Z2761&gt;Z2760,Z2761,"")</f>
        <v/>
      </c>
      <c r="AB2761">
        <f>AB2760+IF(X2761="",0,IF(ISNA(MATCH(X2761,X$256:X2760,0)),1,0))</f>
        <v/>
      </c>
      <c r="AC2761">
        <f>IF(AB2761&gt;AB2760,AB2761,"")</f>
        <v/>
      </c>
    </row>
    <row r="2762">
      <c r="W2762" s="7" t="n"/>
      <c r="X2762" s="7" t="n"/>
      <c r="Z2762">
        <f>Z2761+IF(W2762="",0,IF(ISNA(MATCH(W2762,W$256:W2761,0)),1,0))</f>
        <v/>
      </c>
      <c r="AA2762">
        <f>IF(Z2762&gt;Z2761,Z2762,"")</f>
        <v/>
      </c>
      <c r="AB2762">
        <f>AB2761+IF(X2762="",0,IF(ISNA(MATCH(X2762,X$256:X2761,0)),1,0))</f>
        <v/>
      </c>
      <c r="AC2762">
        <f>IF(AB2762&gt;AB2761,AB2762,"")</f>
        <v/>
      </c>
    </row>
    <row r="2763">
      <c r="W2763" s="7" t="n"/>
      <c r="X2763" s="7" t="n"/>
      <c r="Z2763">
        <f>Z2762+IF(W2763="",0,IF(ISNA(MATCH(W2763,W$256:W2762,0)),1,0))</f>
        <v/>
      </c>
      <c r="AA2763">
        <f>IF(Z2763&gt;Z2762,Z2763,"")</f>
        <v/>
      </c>
      <c r="AB2763">
        <f>AB2762+IF(X2763="",0,IF(ISNA(MATCH(X2763,X$256:X2762,0)),1,0))</f>
        <v/>
      </c>
      <c r="AC2763">
        <f>IF(AB2763&gt;AB2762,AB2763,"")</f>
        <v/>
      </c>
    </row>
    <row r="2764">
      <c r="W2764" s="7" t="n"/>
      <c r="X2764" s="7" t="n"/>
      <c r="Z2764">
        <f>Z2763+IF(W2764="",0,IF(ISNA(MATCH(W2764,W$256:W2763,0)),1,0))</f>
        <v/>
      </c>
      <c r="AA2764">
        <f>IF(Z2764&gt;Z2763,Z2764,"")</f>
        <v/>
      </c>
      <c r="AB2764">
        <f>AB2763+IF(X2764="",0,IF(ISNA(MATCH(X2764,X$256:X2763,0)),1,0))</f>
        <v/>
      </c>
      <c r="AC2764">
        <f>IF(AB2764&gt;AB2763,AB2764,"")</f>
        <v/>
      </c>
    </row>
    <row r="2765">
      <c r="W2765" s="7" t="n"/>
      <c r="X2765" s="7" t="n"/>
      <c r="Z2765">
        <f>Z2764+IF(W2765="",0,IF(ISNA(MATCH(W2765,W$256:W2764,0)),1,0))</f>
        <v/>
      </c>
      <c r="AA2765">
        <f>IF(Z2765&gt;Z2764,Z2765,"")</f>
        <v/>
      </c>
      <c r="AB2765">
        <f>AB2764+IF(X2765="",0,IF(ISNA(MATCH(X2765,X$256:X2764,0)),1,0))</f>
        <v/>
      </c>
      <c r="AC2765">
        <f>IF(AB2765&gt;AB2764,AB2765,"")</f>
        <v/>
      </c>
    </row>
    <row r="2766">
      <c r="W2766" s="7" t="n"/>
      <c r="X2766" s="7" t="n"/>
      <c r="Z2766">
        <f>Z2765+IF(W2766="",0,IF(ISNA(MATCH(W2766,W$256:W2765,0)),1,0))</f>
        <v/>
      </c>
      <c r="AA2766">
        <f>IF(Z2766&gt;Z2765,Z2766,"")</f>
        <v/>
      </c>
      <c r="AB2766">
        <f>AB2765+IF(X2766="",0,IF(ISNA(MATCH(X2766,X$256:X2765,0)),1,0))</f>
        <v/>
      </c>
      <c r="AC2766">
        <f>IF(AB2766&gt;AB2765,AB2766,"")</f>
        <v/>
      </c>
    </row>
    <row r="2767">
      <c r="W2767" s="7" t="n"/>
      <c r="X2767" s="7" t="n"/>
      <c r="Z2767">
        <f>Z2766+IF(W2767="",0,IF(ISNA(MATCH(W2767,W$256:W2766,0)),1,0))</f>
        <v/>
      </c>
      <c r="AA2767">
        <f>IF(Z2767&gt;Z2766,Z2767,"")</f>
        <v/>
      </c>
      <c r="AB2767">
        <f>AB2766+IF(X2767="",0,IF(ISNA(MATCH(X2767,X$256:X2766,0)),1,0))</f>
        <v/>
      </c>
      <c r="AC2767">
        <f>IF(AB2767&gt;AB2766,AB2767,"")</f>
        <v/>
      </c>
    </row>
    <row r="2768">
      <c r="W2768" s="7" t="n"/>
      <c r="X2768" s="7" t="n"/>
      <c r="Z2768">
        <f>Z2767+IF(W2768="",0,IF(ISNA(MATCH(W2768,W$256:W2767,0)),1,0))</f>
        <v/>
      </c>
      <c r="AA2768">
        <f>IF(Z2768&gt;Z2767,Z2768,"")</f>
        <v/>
      </c>
      <c r="AB2768">
        <f>AB2767+IF(X2768="",0,IF(ISNA(MATCH(X2768,X$256:X2767,0)),1,0))</f>
        <v/>
      </c>
      <c r="AC2768">
        <f>IF(AB2768&gt;AB2767,AB2768,"")</f>
        <v/>
      </c>
    </row>
    <row r="2769">
      <c r="W2769" s="7" t="n"/>
      <c r="X2769" s="7" t="n"/>
      <c r="Z2769">
        <f>Z2768+IF(W2769="",0,IF(ISNA(MATCH(W2769,W$256:W2768,0)),1,0))</f>
        <v/>
      </c>
      <c r="AA2769">
        <f>IF(Z2769&gt;Z2768,Z2769,"")</f>
        <v/>
      </c>
      <c r="AB2769">
        <f>AB2768+IF(X2769="",0,IF(ISNA(MATCH(X2769,X$256:X2768,0)),1,0))</f>
        <v/>
      </c>
      <c r="AC2769">
        <f>IF(AB2769&gt;AB2768,AB2769,"")</f>
        <v/>
      </c>
    </row>
    <row r="2770">
      <c r="W2770" s="7" t="n"/>
      <c r="X2770" s="7" t="n"/>
      <c r="Z2770">
        <f>Z2769+IF(W2770="",0,IF(ISNA(MATCH(W2770,W$256:W2769,0)),1,0))</f>
        <v/>
      </c>
      <c r="AA2770">
        <f>IF(Z2770&gt;Z2769,Z2770,"")</f>
        <v/>
      </c>
      <c r="AB2770">
        <f>AB2769+IF(X2770="",0,IF(ISNA(MATCH(X2770,X$256:X2769,0)),1,0))</f>
        <v/>
      </c>
      <c r="AC2770">
        <f>IF(AB2770&gt;AB2769,AB2770,"")</f>
        <v/>
      </c>
    </row>
    <row r="2771">
      <c r="W2771" s="7" t="n"/>
      <c r="X2771" s="7" t="n"/>
      <c r="Z2771">
        <f>Z2770+IF(W2771="",0,IF(ISNA(MATCH(W2771,W$256:W2770,0)),1,0))</f>
        <v/>
      </c>
      <c r="AA2771">
        <f>IF(Z2771&gt;Z2770,Z2771,"")</f>
        <v/>
      </c>
      <c r="AB2771">
        <f>AB2770+IF(X2771="",0,IF(ISNA(MATCH(X2771,X$256:X2770,0)),1,0))</f>
        <v/>
      </c>
      <c r="AC2771">
        <f>IF(AB2771&gt;AB2770,AB2771,"")</f>
        <v/>
      </c>
    </row>
    <row r="2772">
      <c r="W2772" s="7" t="n"/>
      <c r="X2772" s="7" t="n"/>
      <c r="Z2772">
        <f>Z2771+IF(W2772="",0,IF(ISNA(MATCH(W2772,W$256:W2771,0)),1,0))</f>
        <v/>
      </c>
      <c r="AA2772">
        <f>IF(Z2772&gt;Z2771,Z2772,"")</f>
        <v/>
      </c>
      <c r="AB2772">
        <f>AB2771+IF(X2772="",0,IF(ISNA(MATCH(X2772,X$256:X2771,0)),1,0))</f>
        <v/>
      </c>
      <c r="AC2772">
        <f>IF(AB2772&gt;AB2771,AB2772,"")</f>
        <v/>
      </c>
    </row>
    <row r="2773">
      <c r="W2773" s="7" t="n"/>
      <c r="X2773" s="7" t="n"/>
      <c r="Z2773">
        <f>Z2772+IF(W2773="",0,IF(ISNA(MATCH(W2773,W$256:W2772,0)),1,0))</f>
        <v/>
      </c>
      <c r="AA2773">
        <f>IF(Z2773&gt;Z2772,Z2773,"")</f>
        <v/>
      </c>
      <c r="AB2773">
        <f>AB2772+IF(X2773="",0,IF(ISNA(MATCH(X2773,X$256:X2772,0)),1,0))</f>
        <v/>
      </c>
      <c r="AC2773">
        <f>IF(AB2773&gt;AB2772,AB2773,"")</f>
        <v/>
      </c>
    </row>
    <row r="2774">
      <c r="W2774" s="7" t="n"/>
      <c r="X2774" s="7" t="n"/>
      <c r="Z2774">
        <f>Z2773+IF(W2774="",0,IF(ISNA(MATCH(W2774,W$256:W2773,0)),1,0))</f>
        <v/>
      </c>
      <c r="AA2774">
        <f>IF(Z2774&gt;Z2773,Z2774,"")</f>
        <v/>
      </c>
      <c r="AB2774">
        <f>AB2773+IF(X2774="",0,IF(ISNA(MATCH(X2774,X$256:X2773,0)),1,0))</f>
        <v/>
      </c>
      <c r="AC2774">
        <f>IF(AB2774&gt;AB2773,AB2774,"")</f>
        <v/>
      </c>
    </row>
    <row r="2775">
      <c r="W2775" s="7" t="n"/>
      <c r="X2775" s="7" t="n"/>
      <c r="Z2775">
        <f>Z2774+IF(W2775="",0,IF(ISNA(MATCH(W2775,W$256:W2774,0)),1,0))</f>
        <v/>
      </c>
      <c r="AA2775">
        <f>IF(Z2775&gt;Z2774,Z2775,"")</f>
        <v/>
      </c>
      <c r="AB2775">
        <f>AB2774+IF(X2775="",0,IF(ISNA(MATCH(X2775,X$256:X2774,0)),1,0))</f>
        <v/>
      </c>
      <c r="AC2775">
        <f>IF(AB2775&gt;AB2774,AB2775,"")</f>
        <v/>
      </c>
    </row>
    <row r="2776">
      <c r="W2776" s="7" t="n"/>
      <c r="X2776" s="7" t="n"/>
      <c r="Z2776">
        <f>Z2775+IF(W2776="",0,IF(ISNA(MATCH(W2776,W$256:W2775,0)),1,0))</f>
        <v/>
      </c>
      <c r="AA2776">
        <f>IF(Z2776&gt;Z2775,Z2776,"")</f>
        <v/>
      </c>
      <c r="AB2776">
        <f>AB2775+IF(X2776="",0,IF(ISNA(MATCH(X2776,X$256:X2775,0)),1,0))</f>
        <v/>
      </c>
      <c r="AC2776">
        <f>IF(AB2776&gt;AB2775,AB2776,"")</f>
        <v/>
      </c>
    </row>
    <row r="2777">
      <c r="W2777" s="7" t="n"/>
      <c r="X2777" s="7" t="n"/>
      <c r="Z2777">
        <f>Z2776+IF(W2777="",0,IF(ISNA(MATCH(W2777,W$256:W2776,0)),1,0))</f>
        <v/>
      </c>
      <c r="AA2777">
        <f>IF(Z2777&gt;Z2776,Z2777,"")</f>
        <v/>
      </c>
      <c r="AB2777">
        <f>AB2776+IF(X2777="",0,IF(ISNA(MATCH(X2777,X$256:X2776,0)),1,0))</f>
        <v/>
      </c>
      <c r="AC2777">
        <f>IF(AB2777&gt;AB2776,AB2777,"")</f>
        <v/>
      </c>
    </row>
    <row r="2778">
      <c r="W2778" s="7" t="n"/>
      <c r="X2778" s="7" t="n"/>
      <c r="Z2778">
        <f>Z2777+IF(W2778="",0,IF(ISNA(MATCH(W2778,W$256:W2777,0)),1,0))</f>
        <v/>
      </c>
      <c r="AA2778">
        <f>IF(Z2778&gt;Z2777,Z2778,"")</f>
        <v/>
      </c>
      <c r="AB2778">
        <f>AB2777+IF(X2778="",0,IF(ISNA(MATCH(X2778,X$256:X2777,0)),1,0))</f>
        <v/>
      </c>
      <c r="AC2778">
        <f>IF(AB2778&gt;AB2777,AB2778,"")</f>
        <v/>
      </c>
    </row>
    <row r="2779">
      <c r="W2779" s="7" t="n"/>
      <c r="X2779" s="7" t="n"/>
      <c r="Z2779">
        <f>Z2778+IF(W2779="",0,IF(ISNA(MATCH(W2779,W$256:W2778,0)),1,0))</f>
        <v/>
      </c>
      <c r="AA2779">
        <f>IF(Z2779&gt;Z2778,Z2779,"")</f>
        <v/>
      </c>
      <c r="AB2779">
        <f>AB2778+IF(X2779="",0,IF(ISNA(MATCH(X2779,X$256:X2778,0)),1,0))</f>
        <v/>
      </c>
      <c r="AC2779">
        <f>IF(AB2779&gt;AB2778,AB2779,"")</f>
        <v/>
      </c>
    </row>
    <row r="2780">
      <c r="W2780" s="7" t="n"/>
      <c r="X2780" s="7" t="n"/>
      <c r="Z2780">
        <f>Z2779+IF(W2780="",0,IF(ISNA(MATCH(W2780,W$256:W2779,0)),1,0))</f>
        <v/>
      </c>
      <c r="AA2780">
        <f>IF(Z2780&gt;Z2779,Z2780,"")</f>
        <v/>
      </c>
      <c r="AB2780">
        <f>AB2779+IF(X2780="",0,IF(ISNA(MATCH(X2780,X$256:X2779,0)),1,0))</f>
        <v/>
      </c>
      <c r="AC2780">
        <f>IF(AB2780&gt;AB2779,AB2780,"")</f>
        <v/>
      </c>
    </row>
    <row r="2781">
      <c r="W2781" s="7" t="n"/>
      <c r="X2781" s="7" t="n"/>
      <c r="Z2781">
        <f>Z2780+IF(W2781="",0,IF(ISNA(MATCH(W2781,W$256:W2780,0)),1,0))</f>
        <v/>
      </c>
      <c r="AA2781">
        <f>IF(Z2781&gt;Z2780,Z2781,"")</f>
        <v/>
      </c>
      <c r="AB2781">
        <f>AB2780+IF(X2781="",0,IF(ISNA(MATCH(X2781,X$256:X2780,0)),1,0))</f>
        <v/>
      </c>
      <c r="AC2781">
        <f>IF(AB2781&gt;AB2780,AB2781,"")</f>
        <v/>
      </c>
    </row>
    <row r="2782">
      <c r="W2782" s="7" t="n"/>
      <c r="X2782" s="7" t="n"/>
      <c r="Z2782">
        <f>Z2781+IF(W2782="",0,IF(ISNA(MATCH(W2782,W$256:W2781,0)),1,0))</f>
        <v/>
      </c>
      <c r="AA2782">
        <f>IF(Z2782&gt;Z2781,Z2782,"")</f>
        <v/>
      </c>
      <c r="AB2782">
        <f>AB2781+IF(X2782="",0,IF(ISNA(MATCH(X2782,X$256:X2781,0)),1,0))</f>
        <v/>
      </c>
      <c r="AC2782">
        <f>IF(AB2782&gt;AB2781,AB2782,"")</f>
        <v/>
      </c>
    </row>
    <row r="2783">
      <c r="W2783" s="7" t="n"/>
      <c r="X2783" s="7" t="n"/>
      <c r="Z2783">
        <f>Z2782+IF(W2783="",0,IF(ISNA(MATCH(W2783,W$256:W2782,0)),1,0))</f>
        <v/>
      </c>
      <c r="AA2783">
        <f>IF(Z2783&gt;Z2782,Z2783,"")</f>
        <v/>
      </c>
      <c r="AB2783">
        <f>AB2782+IF(X2783="",0,IF(ISNA(MATCH(X2783,X$256:X2782,0)),1,0))</f>
        <v/>
      </c>
      <c r="AC2783">
        <f>IF(AB2783&gt;AB2782,AB2783,"")</f>
        <v/>
      </c>
    </row>
    <row r="2784">
      <c r="W2784" s="7" t="n"/>
      <c r="X2784" s="7" t="n"/>
      <c r="Z2784">
        <f>Z2783+IF(W2784="",0,IF(ISNA(MATCH(W2784,W$256:W2783,0)),1,0))</f>
        <v/>
      </c>
      <c r="AA2784">
        <f>IF(Z2784&gt;Z2783,Z2784,"")</f>
        <v/>
      </c>
      <c r="AB2784">
        <f>AB2783+IF(X2784="",0,IF(ISNA(MATCH(X2784,X$256:X2783,0)),1,0))</f>
        <v/>
      </c>
      <c r="AC2784">
        <f>IF(AB2784&gt;AB2783,AB2784,"")</f>
        <v/>
      </c>
    </row>
    <row r="2785">
      <c r="W2785" s="7" t="n"/>
      <c r="X2785" s="7" t="n"/>
      <c r="Z2785">
        <f>Z2784+IF(W2785="",0,IF(ISNA(MATCH(W2785,W$256:W2784,0)),1,0))</f>
        <v/>
      </c>
      <c r="AA2785">
        <f>IF(Z2785&gt;Z2784,Z2785,"")</f>
        <v/>
      </c>
      <c r="AB2785">
        <f>AB2784+IF(X2785="",0,IF(ISNA(MATCH(X2785,X$256:X2784,0)),1,0))</f>
        <v/>
      </c>
      <c r="AC2785">
        <f>IF(AB2785&gt;AB2784,AB2785,"")</f>
        <v/>
      </c>
    </row>
    <row r="2786">
      <c r="W2786" s="7" t="n"/>
      <c r="X2786" s="7" t="n"/>
      <c r="Z2786">
        <f>Z2785+IF(W2786="",0,IF(ISNA(MATCH(W2786,W$256:W2785,0)),1,0))</f>
        <v/>
      </c>
      <c r="AA2786">
        <f>IF(Z2786&gt;Z2785,Z2786,"")</f>
        <v/>
      </c>
      <c r="AB2786">
        <f>AB2785+IF(X2786="",0,IF(ISNA(MATCH(X2786,X$256:X2785,0)),1,0))</f>
        <v/>
      </c>
      <c r="AC2786">
        <f>IF(AB2786&gt;AB2785,AB2786,"")</f>
        <v/>
      </c>
    </row>
    <row r="2787">
      <c r="W2787" s="7" t="n"/>
      <c r="X2787" s="7" t="n"/>
      <c r="Z2787">
        <f>Z2786+IF(W2787="",0,IF(ISNA(MATCH(W2787,W$256:W2786,0)),1,0))</f>
        <v/>
      </c>
      <c r="AA2787">
        <f>IF(Z2787&gt;Z2786,Z2787,"")</f>
        <v/>
      </c>
      <c r="AB2787">
        <f>AB2786+IF(X2787="",0,IF(ISNA(MATCH(X2787,X$256:X2786,0)),1,0))</f>
        <v/>
      </c>
      <c r="AC2787">
        <f>IF(AB2787&gt;AB2786,AB2787,"")</f>
        <v/>
      </c>
    </row>
    <row r="2788">
      <c r="W2788" s="7" t="n"/>
      <c r="X2788" s="7" t="n"/>
      <c r="Z2788">
        <f>Z2787+IF(W2788="",0,IF(ISNA(MATCH(W2788,W$256:W2787,0)),1,0))</f>
        <v/>
      </c>
      <c r="AA2788">
        <f>IF(Z2788&gt;Z2787,Z2788,"")</f>
        <v/>
      </c>
      <c r="AB2788">
        <f>AB2787+IF(X2788="",0,IF(ISNA(MATCH(X2788,X$256:X2787,0)),1,0))</f>
        <v/>
      </c>
      <c r="AC2788">
        <f>IF(AB2788&gt;AB2787,AB2788,"")</f>
        <v/>
      </c>
    </row>
    <row r="2789">
      <c r="W2789" s="7" t="n"/>
      <c r="X2789" s="7" t="n"/>
      <c r="Z2789">
        <f>Z2788+IF(W2789="",0,IF(ISNA(MATCH(W2789,W$256:W2788,0)),1,0))</f>
        <v/>
      </c>
      <c r="AA2789">
        <f>IF(Z2789&gt;Z2788,Z2789,"")</f>
        <v/>
      </c>
      <c r="AB2789">
        <f>AB2788+IF(X2789="",0,IF(ISNA(MATCH(X2789,X$256:X2788,0)),1,0))</f>
        <v/>
      </c>
      <c r="AC2789">
        <f>IF(AB2789&gt;AB2788,AB2789,"")</f>
        <v/>
      </c>
    </row>
    <row r="2790">
      <c r="W2790" s="7" t="n"/>
      <c r="X2790" s="7" t="n"/>
      <c r="Z2790">
        <f>Z2789+IF(W2790="",0,IF(ISNA(MATCH(W2790,W$256:W2789,0)),1,0))</f>
        <v/>
      </c>
      <c r="AA2790">
        <f>IF(Z2790&gt;Z2789,Z2790,"")</f>
        <v/>
      </c>
      <c r="AB2790">
        <f>AB2789+IF(X2790="",0,IF(ISNA(MATCH(X2790,X$256:X2789,0)),1,0))</f>
        <v/>
      </c>
      <c r="AC2790">
        <f>IF(AB2790&gt;AB2789,AB2790,"")</f>
        <v/>
      </c>
    </row>
    <row r="2791">
      <c r="W2791" s="7" t="n"/>
      <c r="X2791" s="7" t="n"/>
      <c r="Z2791">
        <f>Z2790+IF(W2791="",0,IF(ISNA(MATCH(W2791,W$256:W2790,0)),1,0))</f>
        <v/>
      </c>
      <c r="AA2791">
        <f>IF(Z2791&gt;Z2790,Z2791,"")</f>
        <v/>
      </c>
      <c r="AB2791">
        <f>AB2790+IF(X2791="",0,IF(ISNA(MATCH(X2791,X$256:X2790,0)),1,0))</f>
        <v/>
      </c>
      <c r="AC2791">
        <f>IF(AB2791&gt;AB2790,AB2791,"")</f>
        <v/>
      </c>
    </row>
    <row r="2792">
      <c r="W2792" s="7" t="n"/>
      <c r="X2792" s="7" t="n"/>
      <c r="Z2792">
        <f>Z2791+IF(W2792="",0,IF(ISNA(MATCH(W2792,W$256:W2791,0)),1,0))</f>
        <v/>
      </c>
      <c r="AA2792">
        <f>IF(Z2792&gt;Z2791,Z2792,"")</f>
        <v/>
      </c>
      <c r="AB2792">
        <f>AB2791+IF(X2792="",0,IF(ISNA(MATCH(X2792,X$256:X2791,0)),1,0))</f>
        <v/>
      </c>
      <c r="AC2792">
        <f>IF(AB2792&gt;AB2791,AB2792,"")</f>
        <v/>
      </c>
    </row>
    <row r="2793">
      <c r="W2793" s="7" t="n"/>
      <c r="X2793" s="7" t="n"/>
      <c r="Z2793">
        <f>Z2792+IF(W2793="",0,IF(ISNA(MATCH(W2793,W$256:W2792,0)),1,0))</f>
        <v/>
      </c>
      <c r="AA2793">
        <f>IF(Z2793&gt;Z2792,Z2793,"")</f>
        <v/>
      </c>
      <c r="AB2793">
        <f>AB2792+IF(X2793="",0,IF(ISNA(MATCH(X2793,X$256:X2792,0)),1,0))</f>
        <v/>
      </c>
      <c r="AC2793">
        <f>IF(AB2793&gt;AB2792,AB2793,"")</f>
        <v/>
      </c>
    </row>
    <row r="2794">
      <c r="W2794" s="7" t="n"/>
      <c r="X2794" s="7" t="n"/>
      <c r="Z2794">
        <f>Z2793+IF(W2794="",0,IF(ISNA(MATCH(W2794,W$256:W2793,0)),1,0))</f>
        <v/>
      </c>
      <c r="AA2794">
        <f>IF(Z2794&gt;Z2793,Z2794,"")</f>
        <v/>
      </c>
      <c r="AB2794">
        <f>AB2793+IF(X2794="",0,IF(ISNA(MATCH(X2794,X$256:X2793,0)),1,0))</f>
        <v/>
      </c>
      <c r="AC2794">
        <f>IF(AB2794&gt;AB2793,AB2794,"")</f>
        <v/>
      </c>
    </row>
    <row r="2795">
      <c r="W2795" s="7" t="n"/>
      <c r="X2795" s="7" t="n"/>
      <c r="Z2795">
        <f>Z2794+IF(W2795="",0,IF(ISNA(MATCH(W2795,W$256:W2794,0)),1,0))</f>
        <v/>
      </c>
      <c r="AA2795">
        <f>IF(Z2795&gt;Z2794,Z2795,"")</f>
        <v/>
      </c>
      <c r="AB2795">
        <f>AB2794+IF(X2795="",0,IF(ISNA(MATCH(X2795,X$256:X2794,0)),1,0))</f>
        <v/>
      </c>
      <c r="AC2795">
        <f>IF(AB2795&gt;AB2794,AB2795,"")</f>
        <v/>
      </c>
    </row>
    <row r="2796">
      <c r="W2796" s="7" t="n"/>
      <c r="X2796" s="7" t="n"/>
      <c r="Z2796">
        <f>Z2795+IF(W2796="",0,IF(ISNA(MATCH(W2796,W$256:W2795,0)),1,0))</f>
        <v/>
      </c>
      <c r="AA2796">
        <f>IF(Z2796&gt;Z2795,Z2796,"")</f>
        <v/>
      </c>
      <c r="AB2796">
        <f>AB2795+IF(X2796="",0,IF(ISNA(MATCH(X2796,X$256:X2795,0)),1,0))</f>
        <v/>
      </c>
      <c r="AC2796">
        <f>IF(AB2796&gt;AB2795,AB2796,"")</f>
        <v/>
      </c>
    </row>
    <row r="2797">
      <c r="W2797" s="7" t="n"/>
      <c r="X2797" s="7" t="n"/>
      <c r="Z2797">
        <f>Z2796+IF(W2797="",0,IF(ISNA(MATCH(W2797,W$256:W2796,0)),1,0))</f>
        <v/>
      </c>
      <c r="AA2797">
        <f>IF(Z2797&gt;Z2796,Z2797,"")</f>
        <v/>
      </c>
      <c r="AB2797">
        <f>AB2796+IF(X2797="",0,IF(ISNA(MATCH(X2797,X$256:X2796,0)),1,0))</f>
        <v/>
      </c>
      <c r="AC2797">
        <f>IF(AB2797&gt;AB2796,AB2797,"")</f>
        <v/>
      </c>
    </row>
    <row r="2798">
      <c r="W2798" s="7" t="n"/>
      <c r="X2798" s="7" t="n"/>
      <c r="Z2798">
        <f>Z2797+IF(W2798="",0,IF(ISNA(MATCH(W2798,W$256:W2797,0)),1,0))</f>
        <v/>
      </c>
      <c r="AA2798">
        <f>IF(Z2798&gt;Z2797,Z2798,"")</f>
        <v/>
      </c>
      <c r="AB2798">
        <f>AB2797+IF(X2798="",0,IF(ISNA(MATCH(X2798,X$256:X2797,0)),1,0))</f>
        <v/>
      </c>
      <c r="AC2798">
        <f>IF(AB2798&gt;AB2797,AB2798,"")</f>
        <v/>
      </c>
    </row>
    <row r="2799">
      <c r="W2799" s="7" t="n"/>
      <c r="X2799" s="7" t="n"/>
      <c r="Z2799">
        <f>Z2798+IF(W2799="",0,IF(ISNA(MATCH(W2799,W$256:W2798,0)),1,0))</f>
        <v/>
      </c>
      <c r="AA2799">
        <f>IF(Z2799&gt;Z2798,Z2799,"")</f>
        <v/>
      </c>
      <c r="AB2799">
        <f>AB2798+IF(X2799="",0,IF(ISNA(MATCH(X2799,X$256:X2798,0)),1,0))</f>
        <v/>
      </c>
      <c r="AC2799">
        <f>IF(AB2799&gt;AB2798,AB2799,"")</f>
        <v/>
      </c>
    </row>
    <row r="2800">
      <c r="W2800" s="7" t="n"/>
      <c r="X2800" s="7" t="n"/>
      <c r="Z2800">
        <f>Z2799+IF(W2800="",0,IF(ISNA(MATCH(W2800,W$256:W2799,0)),1,0))</f>
        <v/>
      </c>
      <c r="AA2800">
        <f>IF(Z2800&gt;Z2799,Z2800,"")</f>
        <v/>
      </c>
      <c r="AB2800">
        <f>AB2799+IF(X2800="",0,IF(ISNA(MATCH(X2800,X$256:X2799,0)),1,0))</f>
        <v/>
      </c>
      <c r="AC2800">
        <f>IF(AB2800&gt;AB2799,AB2800,"")</f>
        <v/>
      </c>
    </row>
    <row r="2801">
      <c r="W2801" s="7" t="n"/>
      <c r="X2801" s="7" t="n"/>
      <c r="Z2801">
        <f>Z2800+IF(W2801="",0,IF(ISNA(MATCH(W2801,W$256:W2800,0)),1,0))</f>
        <v/>
      </c>
      <c r="AA2801">
        <f>IF(Z2801&gt;Z2800,Z2801,"")</f>
        <v/>
      </c>
      <c r="AB2801">
        <f>AB2800+IF(X2801="",0,IF(ISNA(MATCH(X2801,X$256:X2800,0)),1,0))</f>
        <v/>
      </c>
      <c r="AC2801">
        <f>IF(AB2801&gt;AB2800,AB2801,"")</f>
        <v/>
      </c>
    </row>
    <row r="2802">
      <c r="W2802" s="7" t="n"/>
      <c r="X2802" s="7" t="n"/>
      <c r="Z2802">
        <f>Z2801+IF(W2802="",0,IF(ISNA(MATCH(W2802,W$256:W2801,0)),1,0))</f>
        <v/>
      </c>
      <c r="AA2802">
        <f>IF(Z2802&gt;Z2801,Z2802,"")</f>
        <v/>
      </c>
      <c r="AB2802">
        <f>AB2801+IF(X2802="",0,IF(ISNA(MATCH(X2802,X$256:X2801,0)),1,0))</f>
        <v/>
      </c>
      <c r="AC2802">
        <f>IF(AB2802&gt;AB2801,AB2802,"")</f>
        <v/>
      </c>
    </row>
    <row r="2803">
      <c r="W2803" s="7" t="n"/>
      <c r="X2803" s="7" t="n"/>
      <c r="Z2803">
        <f>Z2802+IF(W2803="",0,IF(ISNA(MATCH(W2803,W$256:W2802,0)),1,0))</f>
        <v/>
      </c>
      <c r="AA2803">
        <f>IF(Z2803&gt;Z2802,Z2803,"")</f>
        <v/>
      </c>
      <c r="AB2803">
        <f>AB2802+IF(X2803="",0,IF(ISNA(MATCH(X2803,X$256:X2802,0)),1,0))</f>
        <v/>
      </c>
      <c r="AC2803">
        <f>IF(AB2803&gt;AB2802,AB2803,"")</f>
        <v/>
      </c>
    </row>
    <row r="2804">
      <c r="W2804" s="7" t="n"/>
      <c r="X2804" s="7" t="n"/>
      <c r="Z2804">
        <f>Z2803+IF(W2804="",0,IF(ISNA(MATCH(W2804,W$256:W2803,0)),1,0))</f>
        <v/>
      </c>
      <c r="AA2804">
        <f>IF(Z2804&gt;Z2803,Z2804,"")</f>
        <v/>
      </c>
      <c r="AB2804">
        <f>AB2803+IF(X2804="",0,IF(ISNA(MATCH(X2804,X$256:X2803,0)),1,0))</f>
        <v/>
      </c>
      <c r="AC2804">
        <f>IF(AB2804&gt;AB2803,AB2804,"")</f>
        <v/>
      </c>
    </row>
    <row r="2805">
      <c r="W2805" s="7" t="n"/>
      <c r="X2805" s="7" t="n"/>
      <c r="Z2805">
        <f>Z2804+IF(W2805="",0,IF(ISNA(MATCH(W2805,W$256:W2804,0)),1,0))</f>
        <v/>
      </c>
      <c r="AA2805">
        <f>IF(Z2805&gt;Z2804,Z2805,"")</f>
        <v/>
      </c>
      <c r="AB2805">
        <f>AB2804+IF(X2805="",0,IF(ISNA(MATCH(X2805,X$256:X2804,0)),1,0))</f>
        <v/>
      </c>
      <c r="AC2805">
        <f>IF(AB2805&gt;AB2804,AB2805,"")</f>
        <v/>
      </c>
    </row>
    <row r="2806">
      <c r="W2806" s="7" t="n"/>
      <c r="X2806" s="7" t="n"/>
      <c r="Z2806">
        <f>Z2805+IF(W2806="",0,IF(ISNA(MATCH(W2806,W$256:W2805,0)),1,0))</f>
        <v/>
      </c>
      <c r="AA2806">
        <f>IF(Z2806&gt;Z2805,Z2806,"")</f>
        <v/>
      </c>
      <c r="AB2806">
        <f>AB2805+IF(X2806="",0,IF(ISNA(MATCH(X2806,X$256:X2805,0)),1,0))</f>
        <v/>
      </c>
      <c r="AC2806">
        <f>IF(AB2806&gt;AB2805,AB2806,"")</f>
        <v/>
      </c>
    </row>
    <row r="2807">
      <c r="W2807" s="7" t="n"/>
      <c r="X2807" s="7" t="n"/>
      <c r="Z2807">
        <f>Z2806+IF(W2807="",0,IF(ISNA(MATCH(W2807,W$256:W2806,0)),1,0))</f>
        <v/>
      </c>
      <c r="AA2807">
        <f>IF(Z2807&gt;Z2806,Z2807,"")</f>
        <v/>
      </c>
      <c r="AB2807">
        <f>AB2806+IF(X2807="",0,IF(ISNA(MATCH(X2807,X$256:X2806,0)),1,0))</f>
        <v/>
      </c>
      <c r="AC2807">
        <f>IF(AB2807&gt;AB2806,AB2807,"")</f>
        <v/>
      </c>
    </row>
    <row r="2808">
      <c r="W2808" s="7" t="n"/>
      <c r="X2808" s="7" t="n"/>
      <c r="Z2808">
        <f>Z2807+IF(W2808="",0,IF(ISNA(MATCH(W2808,W$256:W2807,0)),1,0))</f>
        <v/>
      </c>
      <c r="AA2808">
        <f>IF(Z2808&gt;Z2807,Z2808,"")</f>
        <v/>
      </c>
      <c r="AB2808">
        <f>AB2807+IF(X2808="",0,IF(ISNA(MATCH(X2808,X$256:X2807,0)),1,0))</f>
        <v/>
      </c>
      <c r="AC2808">
        <f>IF(AB2808&gt;AB2807,AB2808,"")</f>
        <v/>
      </c>
    </row>
    <row r="2809">
      <c r="W2809" s="7" t="n"/>
      <c r="X2809" s="7" t="n"/>
      <c r="Z2809">
        <f>Z2808+IF(W2809="",0,IF(ISNA(MATCH(W2809,W$256:W2808,0)),1,0))</f>
        <v/>
      </c>
      <c r="AA2809">
        <f>IF(Z2809&gt;Z2808,Z2809,"")</f>
        <v/>
      </c>
      <c r="AB2809">
        <f>AB2808+IF(X2809="",0,IF(ISNA(MATCH(X2809,X$256:X2808,0)),1,0))</f>
        <v/>
      </c>
      <c r="AC2809">
        <f>IF(AB2809&gt;AB2808,AB2809,"")</f>
        <v/>
      </c>
    </row>
    <row r="2810">
      <c r="W2810" s="7" t="n"/>
      <c r="X2810" s="7" t="n"/>
      <c r="Z2810">
        <f>Z2809+IF(W2810="",0,IF(ISNA(MATCH(W2810,W$256:W2809,0)),1,0))</f>
        <v/>
      </c>
      <c r="AA2810">
        <f>IF(Z2810&gt;Z2809,Z2810,"")</f>
        <v/>
      </c>
      <c r="AB2810">
        <f>AB2809+IF(X2810="",0,IF(ISNA(MATCH(X2810,X$256:X2809,0)),1,0))</f>
        <v/>
      </c>
      <c r="AC2810">
        <f>IF(AB2810&gt;AB2809,AB2810,"")</f>
        <v/>
      </c>
    </row>
    <row r="2811">
      <c r="W2811" s="7" t="n"/>
      <c r="X2811" s="7" t="n"/>
      <c r="Z2811">
        <f>Z2810+IF(W2811="",0,IF(ISNA(MATCH(W2811,W$256:W2810,0)),1,0))</f>
        <v/>
      </c>
      <c r="AA2811">
        <f>IF(Z2811&gt;Z2810,Z2811,"")</f>
        <v/>
      </c>
      <c r="AB2811">
        <f>AB2810+IF(X2811="",0,IF(ISNA(MATCH(X2811,X$256:X2810,0)),1,0))</f>
        <v/>
      </c>
      <c r="AC2811">
        <f>IF(AB2811&gt;AB2810,AB2811,"")</f>
        <v/>
      </c>
    </row>
    <row r="2812">
      <c r="W2812" s="7" t="n"/>
      <c r="X2812" s="7" t="n"/>
      <c r="Z2812">
        <f>Z2811+IF(W2812="",0,IF(ISNA(MATCH(W2812,W$256:W2811,0)),1,0))</f>
        <v/>
      </c>
      <c r="AA2812">
        <f>IF(Z2812&gt;Z2811,Z2812,"")</f>
        <v/>
      </c>
      <c r="AB2812">
        <f>AB2811+IF(X2812="",0,IF(ISNA(MATCH(X2812,X$256:X2811,0)),1,0))</f>
        <v/>
      </c>
      <c r="AC2812">
        <f>IF(AB2812&gt;AB2811,AB2812,"")</f>
        <v/>
      </c>
    </row>
    <row r="2813">
      <c r="W2813" s="7" t="n"/>
      <c r="X2813" s="7" t="n"/>
      <c r="Z2813">
        <f>Z2812+IF(W2813="",0,IF(ISNA(MATCH(W2813,W$256:W2812,0)),1,0))</f>
        <v/>
      </c>
      <c r="AA2813">
        <f>IF(Z2813&gt;Z2812,Z2813,"")</f>
        <v/>
      </c>
      <c r="AB2813">
        <f>AB2812+IF(X2813="",0,IF(ISNA(MATCH(X2813,X$256:X2812,0)),1,0))</f>
        <v/>
      </c>
      <c r="AC2813">
        <f>IF(AB2813&gt;AB2812,AB2813,"")</f>
        <v/>
      </c>
    </row>
    <row r="2814">
      <c r="W2814" s="7" t="n"/>
      <c r="X2814" s="7" t="n"/>
      <c r="Z2814">
        <f>Z2813+IF(W2814="",0,IF(ISNA(MATCH(W2814,W$256:W2813,0)),1,0))</f>
        <v/>
      </c>
      <c r="AA2814">
        <f>IF(Z2814&gt;Z2813,Z2814,"")</f>
        <v/>
      </c>
      <c r="AB2814">
        <f>AB2813+IF(X2814="",0,IF(ISNA(MATCH(X2814,X$256:X2813,0)),1,0))</f>
        <v/>
      </c>
      <c r="AC2814">
        <f>IF(AB2814&gt;AB2813,AB2814,"")</f>
        <v/>
      </c>
    </row>
    <row r="2815">
      <c r="W2815" s="7" t="n"/>
      <c r="X2815" s="7" t="n"/>
      <c r="Z2815">
        <f>Z2814+IF(W2815="",0,IF(ISNA(MATCH(W2815,W$256:W2814,0)),1,0))</f>
        <v/>
      </c>
      <c r="AA2815">
        <f>IF(Z2815&gt;Z2814,Z2815,"")</f>
        <v/>
      </c>
      <c r="AB2815">
        <f>AB2814+IF(X2815="",0,IF(ISNA(MATCH(X2815,X$256:X2814,0)),1,0))</f>
        <v/>
      </c>
      <c r="AC2815">
        <f>IF(AB2815&gt;AB2814,AB2815,"")</f>
        <v/>
      </c>
    </row>
    <row r="2816">
      <c r="W2816" s="7" t="n"/>
      <c r="X2816" s="7" t="n"/>
      <c r="Z2816">
        <f>Z2815+IF(W2816="",0,IF(ISNA(MATCH(W2816,W$256:W2815,0)),1,0))</f>
        <v/>
      </c>
      <c r="AA2816">
        <f>IF(Z2816&gt;Z2815,Z2816,"")</f>
        <v/>
      </c>
      <c r="AB2816">
        <f>AB2815+IF(X2816="",0,IF(ISNA(MATCH(X2816,X$256:X2815,0)),1,0))</f>
        <v/>
      </c>
      <c r="AC2816">
        <f>IF(AB2816&gt;AB2815,AB2816,"")</f>
        <v/>
      </c>
    </row>
    <row r="2817">
      <c r="W2817" s="7" t="n"/>
      <c r="X2817" s="7" t="n"/>
      <c r="Z2817">
        <f>Z2816+IF(W2817="",0,IF(ISNA(MATCH(W2817,W$256:W2816,0)),1,0))</f>
        <v/>
      </c>
      <c r="AA2817">
        <f>IF(Z2817&gt;Z2816,Z2817,"")</f>
        <v/>
      </c>
      <c r="AB2817">
        <f>AB2816+IF(X2817="",0,IF(ISNA(MATCH(X2817,X$256:X2816,0)),1,0))</f>
        <v/>
      </c>
      <c r="AC2817">
        <f>IF(AB2817&gt;AB2816,AB2817,"")</f>
        <v/>
      </c>
    </row>
    <row r="2818">
      <c r="W2818" s="7" t="n"/>
      <c r="X2818" s="7" t="n"/>
      <c r="Z2818">
        <f>Z2817+IF(W2818="",0,IF(ISNA(MATCH(W2818,W$256:W2817,0)),1,0))</f>
        <v/>
      </c>
      <c r="AA2818">
        <f>IF(Z2818&gt;Z2817,Z2818,"")</f>
        <v/>
      </c>
      <c r="AB2818">
        <f>AB2817+IF(X2818="",0,IF(ISNA(MATCH(X2818,X$256:X2817,0)),1,0))</f>
        <v/>
      </c>
      <c r="AC2818">
        <f>IF(AB2818&gt;AB2817,AB2818,"")</f>
        <v/>
      </c>
    </row>
    <row r="2819">
      <c r="W2819" s="7" t="n"/>
      <c r="X2819" s="7" t="n"/>
      <c r="Z2819">
        <f>Z2818+IF(W2819="",0,IF(ISNA(MATCH(W2819,W$256:W2818,0)),1,0))</f>
        <v/>
      </c>
      <c r="AA2819">
        <f>IF(Z2819&gt;Z2818,Z2819,"")</f>
        <v/>
      </c>
      <c r="AB2819">
        <f>AB2818+IF(X2819="",0,IF(ISNA(MATCH(X2819,X$256:X2818,0)),1,0))</f>
        <v/>
      </c>
      <c r="AC2819">
        <f>IF(AB2819&gt;AB2818,AB2819,"")</f>
        <v/>
      </c>
    </row>
    <row r="2820">
      <c r="W2820" s="7" t="n"/>
      <c r="X2820" s="7" t="n"/>
      <c r="Z2820">
        <f>Z2819+IF(W2820="",0,IF(ISNA(MATCH(W2820,W$256:W2819,0)),1,0))</f>
        <v/>
      </c>
      <c r="AA2820">
        <f>IF(Z2820&gt;Z2819,Z2820,"")</f>
        <v/>
      </c>
      <c r="AB2820">
        <f>AB2819+IF(X2820="",0,IF(ISNA(MATCH(X2820,X$256:X2819,0)),1,0))</f>
        <v/>
      </c>
      <c r="AC2820">
        <f>IF(AB2820&gt;AB2819,AB2820,"")</f>
        <v/>
      </c>
    </row>
    <row r="2821">
      <c r="W2821" s="7" t="n"/>
      <c r="X2821" s="7" t="n"/>
      <c r="Z2821">
        <f>Z2820+IF(W2821="",0,IF(ISNA(MATCH(W2821,W$256:W2820,0)),1,0))</f>
        <v/>
      </c>
      <c r="AA2821">
        <f>IF(Z2821&gt;Z2820,Z2821,"")</f>
        <v/>
      </c>
      <c r="AB2821">
        <f>AB2820+IF(X2821="",0,IF(ISNA(MATCH(X2821,X$256:X2820,0)),1,0))</f>
        <v/>
      </c>
      <c r="AC2821">
        <f>IF(AB2821&gt;AB2820,AB2821,"")</f>
        <v/>
      </c>
    </row>
    <row r="2822">
      <c r="W2822" s="7" t="n"/>
      <c r="X2822" s="7" t="n"/>
      <c r="Z2822">
        <f>Z2821+IF(W2822="",0,IF(ISNA(MATCH(W2822,W$256:W2821,0)),1,0))</f>
        <v/>
      </c>
      <c r="AA2822">
        <f>IF(Z2822&gt;Z2821,Z2822,"")</f>
        <v/>
      </c>
      <c r="AB2822">
        <f>AB2821+IF(X2822="",0,IF(ISNA(MATCH(X2822,X$256:X2821,0)),1,0))</f>
        <v/>
      </c>
      <c r="AC2822">
        <f>IF(AB2822&gt;AB2821,AB2822,"")</f>
        <v/>
      </c>
    </row>
    <row r="2823">
      <c r="W2823" s="7" t="n"/>
      <c r="X2823" s="7" t="n"/>
      <c r="Z2823">
        <f>Z2822+IF(W2823="",0,IF(ISNA(MATCH(W2823,W$256:W2822,0)),1,0))</f>
        <v/>
      </c>
      <c r="AA2823">
        <f>IF(Z2823&gt;Z2822,Z2823,"")</f>
        <v/>
      </c>
      <c r="AB2823">
        <f>AB2822+IF(X2823="",0,IF(ISNA(MATCH(X2823,X$256:X2822,0)),1,0))</f>
        <v/>
      </c>
      <c r="AC2823">
        <f>IF(AB2823&gt;AB2822,AB2823,"")</f>
        <v/>
      </c>
    </row>
    <row r="2824">
      <c r="W2824" s="7" t="n"/>
      <c r="X2824" s="7" t="n"/>
      <c r="Z2824">
        <f>Z2823+IF(W2824="",0,IF(ISNA(MATCH(W2824,W$256:W2823,0)),1,0))</f>
        <v/>
      </c>
      <c r="AA2824">
        <f>IF(Z2824&gt;Z2823,Z2824,"")</f>
        <v/>
      </c>
      <c r="AB2824">
        <f>AB2823+IF(X2824="",0,IF(ISNA(MATCH(X2824,X$256:X2823,0)),1,0))</f>
        <v/>
      </c>
      <c r="AC2824">
        <f>IF(AB2824&gt;AB2823,AB2824,"")</f>
        <v/>
      </c>
    </row>
    <row r="2825">
      <c r="W2825" s="7" t="n"/>
      <c r="X2825" s="7" t="n"/>
      <c r="Z2825">
        <f>Z2824+IF(W2825="",0,IF(ISNA(MATCH(W2825,W$256:W2824,0)),1,0))</f>
        <v/>
      </c>
      <c r="AA2825">
        <f>IF(Z2825&gt;Z2824,Z2825,"")</f>
        <v/>
      </c>
      <c r="AB2825">
        <f>AB2824+IF(X2825="",0,IF(ISNA(MATCH(X2825,X$256:X2824,0)),1,0))</f>
        <v/>
      </c>
      <c r="AC2825">
        <f>IF(AB2825&gt;AB2824,AB2825,"")</f>
        <v/>
      </c>
    </row>
    <row r="2826">
      <c r="W2826" s="7" t="n"/>
      <c r="X2826" s="7" t="n"/>
      <c r="Z2826">
        <f>Z2825+IF(W2826="",0,IF(ISNA(MATCH(W2826,W$256:W2825,0)),1,0))</f>
        <v/>
      </c>
      <c r="AA2826">
        <f>IF(Z2826&gt;Z2825,Z2826,"")</f>
        <v/>
      </c>
      <c r="AB2826">
        <f>AB2825+IF(X2826="",0,IF(ISNA(MATCH(X2826,X$256:X2825,0)),1,0))</f>
        <v/>
      </c>
      <c r="AC2826">
        <f>IF(AB2826&gt;AB2825,AB2826,"")</f>
        <v/>
      </c>
    </row>
    <row r="2827">
      <c r="W2827" s="7" t="n"/>
      <c r="X2827" s="7" t="n"/>
      <c r="Z2827">
        <f>Z2826+IF(W2827="",0,IF(ISNA(MATCH(W2827,W$256:W2826,0)),1,0))</f>
        <v/>
      </c>
      <c r="AA2827">
        <f>IF(Z2827&gt;Z2826,Z2827,"")</f>
        <v/>
      </c>
      <c r="AB2827">
        <f>AB2826+IF(X2827="",0,IF(ISNA(MATCH(X2827,X$256:X2826,0)),1,0))</f>
        <v/>
      </c>
      <c r="AC2827">
        <f>IF(AB2827&gt;AB2826,AB2827,"")</f>
        <v/>
      </c>
    </row>
    <row r="2828">
      <c r="W2828" s="7" t="n"/>
      <c r="X2828" s="7" t="n"/>
      <c r="Z2828">
        <f>Z2827+IF(W2828="",0,IF(ISNA(MATCH(W2828,W$256:W2827,0)),1,0))</f>
        <v/>
      </c>
      <c r="AA2828">
        <f>IF(Z2828&gt;Z2827,Z2828,"")</f>
        <v/>
      </c>
      <c r="AB2828">
        <f>AB2827+IF(X2828="",0,IF(ISNA(MATCH(X2828,X$256:X2827,0)),1,0))</f>
        <v/>
      </c>
      <c r="AC2828">
        <f>IF(AB2828&gt;AB2827,AB2828,"")</f>
        <v/>
      </c>
    </row>
    <row r="2829">
      <c r="W2829" s="7" t="n"/>
      <c r="X2829" s="7" t="n"/>
      <c r="Z2829">
        <f>Z2828+IF(W2829="",0,IF(ISNA(MATCH(W2829,W$256:W2828,0)),1,0))</f>
        <v/>
      </c>
      <c r="AA2829">
        <f>IF(Z2829&gt;Z2828,Z2829,"")</f>
        <v/>
      </c>
      <c r="AB2829">
        <f>AB2828+IF(X2829="",0,IF(ISNA(MATCH(X2829,X$256:X2828,0)),1,0))</f>
        <v/>
      </c>
      <c r="AC2829">
        <f>IF(AB2829&gt;AB2828,AB2829,"")</f>
        <v/>
      </c>
    </row>
    <row r="2830">
      <c r="W2830" s="7" t="n"/>
      <c r="X2830" s="7" t="n"/>
      <c r="Z2830">
        <f>Z2829+IF(W2830="",0,IF(ISNA(MATCH(W2830,W$256:W2829,0)),1,0))</f>
        <v/>
      </c>
      <c r="AA2830">
        <f>IF(Z2830&gt;Z2829,Z2830,"")</f>
        <v/>
      </c>
      <c r="AB2830">
        <f>AB2829+IF(X2830="",0,IF(ISNA(MATCH(X2830,X$256:X2829,0)),1,0))</f>
        <v/>
      </c>
      <c r="AC2830">
        <f>IF(AB2830&gt;AB2829,AB2830,"")</f>
        <v/>
      </c>
    </row>
    <row r="2831">
      <c r="W2831" s="7" t="n"/>
      <c r="X2831" s="7" t="n"/>
      <c r="Z2831">
        <f>Z2830+IF(W2831="",0,IF(ISNA(MATCH(W2831,W$256:W2830,0)),1,0))</f>
        <v/>
      </c>
      <c r="AA2831">
        <f>IF(Z2831&gt;Z2830,Z2831,"")</f>
        <v/>
      </c>
      <c r="AB2831">
        <f>AB2830+IF(X2831="",0,IF(ISNA(MATCH(X2831,X$256:X2830,0)),1,0))</f>
        <v/>
      </c>
      <c r="AC2831">
        <f>IF(AB2831&gt;AB2830,AB2831,"")</f>
        <v/>
      </c>
    </row>
    <row r="2832">
      <c r="W2832" s="7" t="n"/>
      <c r="X2832" s="7" t="n"/>
      <c r="Z2832">
        <f>Z2831+IF(W2832="",0,IF(ISNA(MATCH(W2832,W$256:W2831,0)),1,0))</f>
        <v/>
      </c>
      <c r="AA2832">
        <f>IF(Z2832&gt;Z2831,Z2832,"")</f>
        <v/>
      </c>
      <c r="AB2832">
        <f>AB2831+IF(X2832="",0,IF(ISNA(MATCH(X2832,X$256:X2831,0)),1,0))</f>
        <v/>
      </c>
      <c r="AC2832">
        <f>IF(AB2832&gt;AB2831,AB2832,"")</f>
        <v/>
      </c>
    </row>
    <row r="2833">
      <c r="W2833" s="7" t="n"/>
      <c r="X2833" s="7" t="n"/>
      <c r="Z2833">
        <f>Z2832+IF(W2833="",0,IF(ISNA(MATCH(W2833,W$256:W2832,0)),1,0))</f>
        <v/>
      </c>
      <c r="AA2833">
        <f>IF(Z2833&gt;Z2832,Z2833,"")</f>
        <v/>
      </c>
      <c r="AB2833">
        <f>AB2832+IF(X2833="",0,IF(ISNA(MATCH(X2833,X$256:X2832,0)),1,0))</f>
        <v/>
      </c>
      <c r="AC2833">
        <f>IF(AB2833&gt;AB2832,AB2833,"")</f>
        <v/>
      </c>
    </row>
    <row r="2834">
      <c r="W2834" s="7" t="n"/>
      <c r="X2834" s="7" t="n"/>
      <c r="Z2834">
        <f>Z2833+IF(W2834="",0,IF(ISNA(MATCH(W2834,W$256:W2833,0)),1,0))</f>
        <v/>
      </c>
      <c r="AA2834">
        <f>IF(Z2834&gt;Z2833,Z2834,"")</f>
        <v/>
      </c>
      <c r="AB2834">
        <f>AB2833+IF(X2834="",0,IF(ISNA(MATCH(X2834,X$256:X2833,0)),1,0))</f>
        <v/>
      </c>
      <c r="AC2834">
        <f>IF(AB2834&gt;AB2833,AB2834,"")</f>
        <v/>
      </c>
    </row>
    <row r="2835">
      <c r="W2835" s="7" t="n"/>
      <c r="X2835" s="7" t="n"/>
      <c r="Z2835">
        <f>Z2834+IF(W2835="",0,IF(ISNA(MATCH(W2835,W$256:W2834,0)),1,0))</f>
        <v/>
      </c>
      <c r="AA2835">
        <f>IF(Z2835&gt;Z2834,Z2835,"")</f>
        <v/>
      </c>
      <c r="AB2835">
        <f>AB2834+IF(X2835="",0,IF(ISNA(MATCH(X2835,X$256:X2834,0)),1,0))</f>
        <v/>
      </c>
      <c r="AC2835">
        <f>IF(AB2835&gt;AB2834,AB2835,"")</f>
        <v/>
      </c>
    </row>
    <row r="2836">
      <c r="W2836" s="7" t="n"/>
      <c r="X2836" s="7" t="n"/>
      <c r="Z2836">
        <f>Z2835+IF(W2836="",0,IF(ISNA(MATCH(W2836,W$256:W2835,0)),1,0))</f>
        <v/>
      </c>
      <c r="AA2836">
        <f>IF(Z2836&gt;Z2835,Z2836,"")</f>
        <v/>
      </c>
      <c r="AB2836">
        <f>AB2835+IF(X2836="",0,IF(ISNA(MATCH(X2836,X$256:X2835,0)),1,0))</f>
        <v/>
      </c>
      <c r="AC2836">
        <f>IF(AB2836&gt;AB2835,AB2836,"")</f>
        <v/>
      </c>
    </row>
    <row r="2837">
      <c r="W2837" s="7" t="n"/>
      <c r="X2837" s="7" t="n"/>
      <c r="Z2837">
        <f>Z2836+IF(W2837="",0,IF(ISNA(MATCH(W2837,W$256:W2836,0)),1,0))</f>
        <v/>
      </c>
      <c r="AA2837">
        <f>IF(Z2837&gt;Z2836,Z2837,"")</f>
        <v/>
      </c>
      <c r="AB2837">
        <f>AB2836+IF(X2837="",0,IF(ISNA(MATCH(X2837,X$256:X2836,0)),1,0))</f>
        <v/>
      </c>
      <c r="AC2837">
        <f>IF(AB2837&gt;AB2836,AB2837,"")</f>
        <v/>
      </c>
    </row>
    <row r="2838">
      <c r="W2838" s="7" t="n"/>
      <c r="X2838" s="7" t="n"/>
      <c r="Z2838">
        <f>Z2837+IF(W2838="",0,IF(ISNA(MATCH(W2838,W$256:W2837,0)),1,0))</f>
        <v/>
      </c>
      <c r="AA2838">
        <f>IF(Z2838&gt;Z2837,Z2838,"")</f>
        <v/>
      </c>
      <c r="AB2838">
        <f>AB2837+IF(X2838="",0,IF(ISNA(MATCH(X2838,X$256:X2837,0)),1,0))</f>
        <v/>
      </c>
      <c r="AC2838">
        <f>IF(AB2838&gt;AB2837,AB2838,"")</f>
        <v/>
      </c>
    </row>
    <row r="2839">
      <c r="W2839" s="7" t="n"/>
      <c r="X2839" s="7" t="n"/>
      <c r="Z2839">
        <f>Z2838+IF(W2839="",0,IF(ISNA(MATCH(W2839,W$256:W2838,0)),1,0))</f>
        <v/>
      </c>
      <c r="AA2839">
        <f>IF(Z2839&gt;Z2838,Z2839,"")</f>
        <v/>
      </c>
      <c r="AB2839">
        <f>AB2838+IF(X2839="",0,IF(ISNA(MATCH(X2839,X$256:X2838,0)),1,0))</f>
        <v/>
      </c>
      <c r="AC2839">
        <f>IF(AB2839&gt;AB2838,AB2839,"")</f>
        <v/>
      </c>
    </row>
    <row r="2840">
      <c r="W2840" s="7" t="n"/>
      <c r="X2840" s="7" t="n"/>
      <c r="Z2840">
        <f>Z2839+IF(W2840="",0,IF(ISNA(MATCH(W2840,W$256:W2839,0)),1,0))</f>
        <v/>
      </c>
      <c r="AA2840">
        <f>IF(Z2840&gt;Z2839,Z2840,"")</f>
        <v/>
      </c>
      <c r="AB2840">
        <f>AB2839+IF(X2840="",0,IF(ISNA(MATCH(X2840,X$256:X2839,0)),1,0))</f>
        <v/>
      </c>
      <c r="AC2840">
        <f>IF(AB2840&gt;AB2839,AB2840,"")</f>
        <v/>
      </c>
    </row>
    <row r="2841">
      <c r="W2841" s="7" t="n"/>
      <c r="X2841" s="7" t="n"/>
      <c r="Z2841">
        <f>Z2840+IF(W2841="",0,IF(ISNA(MATCH(W2841,W$256:W2840,0)),1,0))</f>
        <v/>
      </c>
      <c r="AA2841">
        <f>IF(Z2841&gt;Z2840,Z2841,"")</f>
        <v/>
      </c>
      <c r="AB2841">
        <f>AB2840+IF(X2841="",0,IF(ISNA(MATCH(X2841,X$256:X2840,0)),1,0))</f>
        <v/>
      </c>
      <c r="AC2841">
        <f>IF(AB2841&gt;AB2840,AB2841,"")</f>
        <v/>
      </c>
    </row>
    <row r="2842">
      <c r="W2842" s="7" t="n"/>
      <c r="X2842" s="7" t="n"/>
      <c r="Z2842">
        <f>Z2841+IF(W2842="",0,IF(ISNA(MATCH(W2842,W$256:W2841,0)),1,0))</f>
        <v/>
      </c>
      <c r="AA2842">
        <f>IF(Z2842&gt;Z2841,Z2842,"")</f>
        <v/>
      </c>
      <c r="AB2842">
        <f>AB2841+IF(X2842="",0,IF(ISNA(MATCH(X2842,X$256:X2841,0)),1,0))</f>
        <v/>
      </c>
      <c r="AC2842">
        <f>IF(AB2842&gt;AB2841,AB2842,"")</f>
        <v/>
      </c>
    </row>
    <row r="2843">
      <c r="W2843" s="7" t="n"/>
      <c r="X2843" s="7" t="n"/>
      <c r="Z2843">
        <f>Z2842+IF(W2843="",0,IF(ISNA(MATCH(W2843,W$256:W2842,0)),1,0))</f>
        <v/>
      </c>
      <c r="AA2843">
        <f>IF(Z2843&gt;Z2842,Z2843,"")</f>
        <v/>
      </c>
      <c r="AB2843">
        <f>AB2842+IF(X2843="",0,IF(ISNA(MATCH(X2843,X$256:X2842,0)),1,0))</f>
        <v/>
      </c>
      <c r="AC2843">
        <f>IF(AB2843&gt;AB2842,AB2843,"")</f>
        <v/>
      </c>
    </row>
    <row r="2844">
      <c r="W2844" s="7" t="n"/>
      <c r="X2844" s="7" t="n"/>
      <c r="Z2844">
        <f>Z2843+IF(W2844="",0,IF(ISNA(MATCH(W2844,W$256:W2843,0)),1,0))</f>
        <v/>
      </c>
      <c r="AA2844">
        <f>IF(Z2844&gt;Z2843,Z2844,"")</f>
        <v/>
      </c>
      <c r="AB2844">
        <f>AB2843+IF(X2844="",0,IF(ISNA(MATCH(X2844,X$256:X2843,0)),1,0))</f>
        <v/>
      </c>
      <c r="AC2844">
        <f>IF(AB2844&gt;AB2843,AB2844,"")</f>
        <v/>
      </c>
    </row>
    <row r="2845">
      <c r="W2845" s="7" t="n"/>
      <c r="X2845" s="7" t="n"/>
      <c r="Z2845">
        <f>Z2844+IF(W2845="",0,IF(ISNA(MATCH(W2845,W$256:W2844,0)),1,0))</f>
        <v/>
      </c>
      <c r="AA2845">
        <f>IF(Z2845&gt;Z2844,Z2845,"")</f>
        <v/>
      </c>
      <c r="AB2845">
        <f>AB2844+IF(X2845="",0,IF(ISNA(MATCH(X2845,X$256:X2844,0)),1,0))</f>
        <v/>
      </c>
      <c r="AC2845">
        <f>IF(AB2845&gt;AB2844,AB2845,"")</f>
        <v/>
      </c>
    </row>
    <row r="2846">
      <c r="W2846" s="7" t="n"/>
      <c r="X2846" s="7" t="n"/>
      <c r="Z2846">
        <f>Z2845+IF(W2846="",0,IF(ISNA(MATCH(W2846,W$256:W2845,0)),1,0))</f>
        <v/>
      </c>
      <c r="AA2846">
        <f>IF(Z2846&gt;Z2845,Z2846,"")</f>
        <v/>
      </c>
      <c r="AB2846">
        <f>AB2845+IF(X2846="",0,IF(ISNA(MATCH(X2846,X$256:X2845,0)),1,0))</f>
        <v/>
      </c>
      <c r="AC2846">
        <f>IF(AB2846&gt;AB2845,AB2846,"")</f>
        <v/>
      </c>
    </row>
    <row r="2847">
      <c r="W2847" s="7" t="n"/>
      <c r="X2847" s="7" t="n"/>
      <c r="Z2847">
        <f>Z2846+IF(W2847="",0,IF(ISNA(MATCH(W2847,W$256:W2846,0)),1,0))</f>
        <v/>
      </c>
      <c r="AA2847">
        <f>IF(Z2847&gt;Z2846,Z2847,"")</f>
        <v/>
      </c>
      <c r="AB2847">
        <f>AB2846+IF(X2847="",0,IF(ISNA(MATCH(X2847,X$256:X2846,0)),1,0))</f>
        <v/>
      </c>
      <c r="AC2847">
        <f>IF(AB2847&gt;AB2846,AB2847,"")</f>
        <v/>
      </c>
    </row>
    <row r="2848">
      <c r="W2848" s="7" t="n"/>
      <c r="X2848" s="7" t="n"/>
      <c r="Z2848">
        <f>Z2847+IF(W2848="",0,IF(ISNA(MATCH(W2848,W$256:W2847,0)),1,0))</f>
        <v/>
      </c>
      <c r="AA2848">
        <f>IF(Z2848&gt;Z2847,Z2848,"")</f>
        <v/>
      </c>
      <c r="AB2848">
        <f>AB2847+IF(X2848="",0,IF(ISNA(MATCH(X2848,X$256:X2847,0)),1,0))</f>
        <v/>
      </c>
      <c r="AC2848">
        <f>IF(AB2848&gt;AB2847,AB2848,"")</f>
        <v/>
      </c>
    </row>
    <row r="2849">
      <c r="W2849" s="7" t="n"/>
      <c r="X2849" s="7" t="n"/>
      <c r="Z2849">
        <f>Z2848+IF(W2849="",0,IF(ISNA(MATCH(W2849,W$256:W2848,0)),1,0))</f>
        <v/>
      </c>
      <c r="AA2849">
        <f>IF(Z2849&gt;Z2848,Z2849,"")</f>
        <v/>
      </c>
      <c r="AB2849">
        <f>AB2848+IF(X2849="",0,IF(ISNA(MATCH(X2849,X$256:X2848,0)),1,0))</f>
        <v/>
      </c>
      <c r="AC2849">
        <f>IF(AB2849&gt;AB2848,AB2849,"")</f>
        <v/>
      </c>
    </row>
    <row r="2850">
      <c r="W2850" s="7" t="n"/>
      <c r="X2850" s="7" t="n"/>
      <c r="Z2850">
        <f>Z2849+IF(W2850="",0,IF(ISNA(MATCH(W2850,W$256:W2849,0)),1,0))</f>
        <v/>
      </c>
      <c r="AA2850">
        <f>IF(Z2850&gt;Z2849,Z2850,"")</f>
        <v/>
      </c>
      <c r="AB2850">
        <f>AB2849+IF(X2850="",0,IF(ISNA(MATCH(X2850,X$256:X2849,0)),1,0))</f>
        <v/>
      </c>
      <c r="AC2850">
        <f>IF(AB2850&gt;AB2849,AB2850,"")</f>
        <v/>
      </c>
    </row>
    <row r="2851">
      <c r="W2851" s="7" t="n"/>
      <c r="X2851" s="7" t="n"/>
      <c r="Z2851">
        <f>Z2850+IF(W2851="",0,IF(ISNA(MATCH(W2851,W$256:W2850,0)),1,0))</f>
        <v/>
      </c>
      <c r="AA2851">
        <f>IF(Z2851&gt;Z2850,Z2851,"")</f>
        <v/>
      </c>
      <c r="AB2851">
        <f>AB2850+IF(X2851="",0,IF(ISNA(MATCH(X2851,X$256:X2850,0)),1,0))</f>
        <v/>
      </c>
      <c r="AC2851">
        <f>IF(AB2851&gt;AB2850,AB2851,"")</f>
        <v/>
      </c>
    </row>
    <row r="2852">
      <c r="W2852" s="7" t="n"/>
      <c r="X2852" s="7" t="n"/>
      <c r="Z2852">
        <f>Z2851+IF(W2852="",0,IF(ISNA(MATCH(W2852,W$256:W2851,0)),1,0))</f>
        <v/>
      </c>
      <c r="AA2852">
        <f>IF(Z2852&gt;Z2851,Z2852,"")</f>
        <v/>
      </c>
      <c r="AB2852">
        <f>AB2851+IF(X2852="",0,IF(ISNA(MATCH(X2852,X$256:X2851,0)),1,0))</f>
        <v/>
      </c>
      <c r="AC2852">
        <f>IF(AB2852&gt;AB2851,AB2852,"")</f>
        <v/>
      </c>
    </row>
    <row r="2853">
      <c r="W2853" s="7" t="n"/>
      <c r="X2853" s="7" t="n"/>
      <c r="Z2853">
        <f>Z2852+IF(W2853="",0,IF(ISNA(MATCH(W2853,W$256:W2852,0)),1,0))</f>
        <v/>
      </c>
      <c r="AA2853">
        <f>IF(Z2853&gt;Z2852,Z2853,"")</f>
        <v/>
      </c>
      <c r="AB2853">
        <f>AB2852+IF(X2853="",0,IF(ISNA(MATCH(X2853,X$256:X2852,0)),1,0))</f>
        <v/>
      </c>
      <c r="AC2853">
        <f>IF(AB2853&gt;AB2852,AB2853,"")</f>
        <v/>
      </c>
    </row>
    <row r="2854">
      <c r="W2854" s="7" t="n"/>
      <c r="X2854" s="7" t="n"/>
      <c r="Z2854">
        <f>Z2853+IF(W2854="",0,IF(ISNA(MATCH(W2854,W$256:W2853,0)),1,0))</f>
        <v/>
      </c>
      <c r="AA2854">
        <f>IF(Z2854&gt;Z2853,Z2854,"")</f>
        <v/>
      </c>
      <c r="AB2854">
        <f>AB2853+IF(X2854="",0,IF(ISNA(MATCH(X2854,X$256:X2853,0)),1,0))</f>
        <v/>
      </c>
      <c r="AC2854">
        <f>IF(AB2854&gt;AB2853,AB2854,"")</f>
        <v/>
      </c>
    </row>
    <row r="2855">
      <c r="W2855" s="7" t="n"/>
      <c r="X2855" s="7" t="n"/>
      <c r="Z2855">
        <f>Z2854+IF(W2855="",0,IF(ISNA(MATCH(W2855,W$256:W2854,0)),1,0))</f>
        <v/>
      </c>
      <c r="AA2855">
        <f>IF(Z2855&gt;Z2854,Z2855,"")</f>
        <v/>
      </c>
      <c r="AB2855">
        <f>AB2854+IF(X2855="",0,IF(ISNA(MATCH(X2855,X$256:X2854,0)),1,0))</f>
        <v/>
      </c>
      <c r="AC2855">
        <f>IF(AB2855&gt;AB2854,AB2855,"")</f>
        <v/>
      </c>
    </row>
    <row r="2856">
      <c r="W2856" s="7" t="n"/>
      <c r="X2856" s="7" t="n"/>
      <c r="Z2856">
        <f>Z2855+IF(W2856="",0,IF(ISNA(MATCH(W2856,W$256:W2855,0)),1,0))</f>
        <v/>
      </c>
      <c r="AA2856">
        <f>IF(Z2856&gt;Z2855,Z2856,"")</f>
        <v/>
      </c>
      <c r="AB2856">
        <f>AB2855+IF(X2856="",0,IF(ISNA(MATCH(X2856,X$256:X2855,0)),1,0))</f>
        <v/>
      </c>
      <c r="AC2856">
        <f>IF(AB2856&gt;AB2855,AB2856,"")</f>
        <v/>
      </c>
    </row>
    <row r="2857">
      <c r="W2857" s="7" t="n"/>
      <c r="X2857" s="7" t="n"/>
      <c r="Z2857">
        <f>Z2856+IF(W2857="",0,IF(ISNA(MATCH(W2857,W$256:W2856,0)),1,0))</f>
        <v/>
      </c>
      <c r="AA2857">
        <f>IF(Z2857&gt;Z2856,Z2857,"")</f>
        <v/>
      </c>
      <c r="AB2857">
        <f>AB2856+IF(X2857="",0,IF(ISNA(MATCH(X2857,X$256:X2856,0)),1,0))</f>
        <v/>
      </c>
      <c r="AC2857">
        <f>IF(AB2857&gt;AB2856,AB2857,"")</f>
        <v/>
      </c>
    </row>
    <row r="2858">
      <c r="W2858" s="7" t="n"/>
      <c r="X2858" s="7" t="n"/>
      <c r="Z2858">
        <f>Z2857+IF(W2858="",0,IF(ISNA(MATCH(W2858,W$256:W2857,0)),1,0))</f>
        <v/>
      </c>
      <c r="AA2858">
        <f>IF(Z2858&gt;Z2857,Z2858,"")</f>
        <v/>
      </c>
      <c r="AB2858">
        <f>AB2857+IF(X2858="",0,IF(ISNA(MATCH(X2858,X$256:X2857,0)),1,0))</f>
        <v/>
      </c>
      <c r="AC2858">
        <f>IF(AB2858&gt;AB2857,AB2858,"")</f>
        <v/>
      </c>
    </row>
    <row r="2859">
      <c r="W2859" s="7" t="n"/>
      <c r="X2859" s="7" t="n"/>
      <c r="Z2859">
        <f>Z2858+IF(W2859="",0,IF(ISNA(MATCH(W2859,W$256:W2858,0)),1,0))</f>
        <v/>
      </c>
      <c r="AA2859">
        <f>IF(Z2859&gt;Z2858,Z2859,"")</f>
        <v/>
      </c>
      <c r="AB2859">
        <f>AB2858+IF(X2859="",0,IF(ISNA(MATCH(X2859,X$256:X2858,0)),1,0))</f>
        <v/>
      </c>
      <c r="AC2859">
        <f>IF(AB2859&gt;AB2858,AB2859,"")</f>
        <v/>
      </c>
    </row>
    <row r="2860">
      <c r="W2860" s="7" t="n"/>
      <c r="X2860" s="7" t="n"/>
      <c r="Z2860">
        <f>Z2859+IF(W2860="",0,IF(ISNA(MATCH(W2860,W$256:W2859,0)),1,0))</f>
        <v/>
      </c>
      <c r="AA2860">
        <f>IF(Z2860&gt;Z2859,Z2860,"")</f>
        <v/>
      </c>
      <c r="AB2860">
        <f>AB2859+IF(X2860="",0,IF(ISNA(MATCH(X2860,X$256:X2859,0)),1,0))</f>
        <v/>
      </c>
      <c r="AC2860">
        <f>IF(AB2860&gt;AB2859,AB2860,"")</f>
        <v/>
      </c>
    </row>
    <row r="2861">
      <c r="W2861" s="7" t="n"/>
      <c r="X2861" s="7" t="n"/>
      <c r="Z2861">
        <f>Z2860+IF(W2861="",0,IF(ISNA(MATCH(W2861,W$256:W2860,0)),1,0))</f>
        <v/>
      </c>
      <c r="AA2861">
        <f>IF(Z2861&gt;Z2860,Z2861,"")</f>
        <v/>
      </c>
      <c r="AB2861">
        <f>AB2860+IF(X2861="",0,IF(ISNA(MATCH(X2861,X$256:X2860,0)),1,0))</f>
        <v/>
      </c>
      <c r="AC2861">
        <f>IF(AB2861&gt;AB2860,AB2861,"")</f>
        <v/>
      </c>
    </row>
    <row r="2862">
      <c r="W2862" s="7" t="n"/>
      <c r="X2862" s="7" t="n"/>
      <c r="Z2862">
        <f>Z2861+IF(W2862="",0,IF(ISNA(MATCH(W2862,W$256:W2861,0)),1,0))</f>
        <v/>
      </c>
      <c r="AA2862">
        <f>IF(Z2862&gt;Z2861,Z2862,"")</f>
        <v/>
      </c>
      <c r="AB2862">
        <f>AB2861+IF(X2862="",0,IF(ISNA(MATCH(X2862,X$256:X2861,0)),1,0))</f>
        <v/>
      </c>
      <c r="AC2862">
        <f>IF(AB2862&gt;AB2861,AB2862,"")</f>
        <v/>
      </c>
    </row>
    <row r="2863">
      <c r="W2863" s="7" t="n"/>
      <c r="X2863" s="7" t="n"/>
      <c r="Z2863">
        <f>Z2862+IF(W2863="",0,IF(ISNA(MATCH(W2863,W$256:W2862,0)),1,0))</f>
        <v/>
      </c>
      <c r="AA2863">
        <f>IF(Z2863&gt;Z2862,Z2863,"")</f>
        <v/>
      </c>
      <c r="AB2863">
        <f>AB2862+IF(X2863="",0,IF(ISNA(MATCH(X2863,X$256:X2862,0)),1,0))</f>
        <v/>
      </c>
      <c r="AC2863">
        <f>IF(AB2863&gt;AB2862,AB2863,"")</f>
        <v/>
      </c>
    </row>
    <row r="2864">
      <c r="W2864" s="7" t="n"/>
      <c r="X2864" s="7" t="n"/>
      <c r="Z2864">
        <f>Z2863+IF(W2864="",0,IF(ISNA(MATCH(W2864,W$256:W2863,0)),1,0))</f>
        <v/>
      </c>
      <c r="AA2864">
        <f>IF(Z2864&gt;Z2863,Z2864,"")</f>
        <v/>
      </c>
      <c r="AB2864">
        <f>AB2863+IF(X2864="",0,IF(ISNA(MATCH(X2864,X$256:X2863,0)),1,0))</f>
        <v/>
      </c>
      <c r="AC2864">
        <f>IF(AB2864&gt;AB2863,AB2864,"")</f>
        <v/>
      </c>
    </row>
    <row r="2865">
      <c r="W2865" s="7" t="n"/>
      <c r="X2865" s="7" t="n"/>
      <c r="Z2865">
        <f>Z2864+IF(W2865="",0,IF(ISNA(MATCH(W2865,W$256:W2864,0)),1,0))</f>
        <v/>
      </c>
      <c r="AA2865">
        <f>IF(Z2865&gt;Z2864,Z2865,"")</f>
        <v/>
      </c>
      <c r="AB2865">
        <f>AB2864+IF(X2865="",0,IF(ISNA(MATCH(X2865,X$256:X2864,0)),1,0))</f>
        <v/>
      </c>
      <c r="AC2865">
        <f>IF(AB2865&gt;AB2864,AB2865,"")</f>
        <v/>
      </c>
    </row>
    <row r="2866">
      <c r="W2866" s="7" t="n"/>
      <c r="X2866" s="7" t="n"/>
      <c r="Z2866">
        <f>Z2865+IF(W2866="",0,IF(ISNA(MATCH(W2866,W$256:W2865,0)),1,0))</f>
        <v/>
      </c>
      <c r="AA2866">
        <f>IF(Z2866&gt;Z2865,Z2866,"")</f>
        <v/>
      </c>
      <c r="AB2866">
        <f>AB2865+IF(X2866="",0,IF(ISNA(MATCH(X2866,X$256:X2865,0)),1,0))</f>
        <v/>
      </c>
      <c r="AC2866">
        <f>IF(AB2866&gt;AB2865,AB2866,"")</f>
        <v/>
      </c>
    </row>
    <row r="2867">
      <c r="W2867" s="7" t="n"/>
      <c r="X2867" s="7" t="n"/>
      <c r="Z2867">
        <f>Z2866+IF(W2867="",0,IF(ISNA(MATCH(W2867,W$256:W2866,0)),1,0))</f>
        <v/>
      </c>
      <c r="AA2867">
        <f>IF(Z2867&gt;Z2866,Z2867,"")</f>
        <v/>
      </c>
      <c r="AB2867">
        <f>AB2866+IF(X2867="",0,IF(ISNA(MATCH(X2867,X$256:X2866,0)),1,0))</f>
        <v/>
      </c>
      <c r="AC2867">
        <f>IF(AB2867&gt;AB2866,AB2867,"")</f>
        <v/>
      </c>
    </row>
    <row r="2868">
      <c r="W2868" s="7" t="n"/>
      <c r="X2868" s="7" t="n"/>
      <c r="Z2868">
        <f>Z2867+IF(W2868="",0,IF(ISNA(MATCH(W2868,W$256:W2867,0)),1,0))</f>
        <v/>
      </c>
      <c r="AA2868">
        <f>IF(Z2868&gt;Z2867,Z2868,"")</f>
        <v/>
      </c>
      <c r="AB2868">
        <f>AB2867+IF(X2868="",0,IF(ISNA(MATCH(X2868,X$256:X2867,0)),1,0))</f>
        <v/>
      </c>
      <c r="AC2868">
        <f>IF(AB2868&gt;AB2867,AB2868,"")</f>
        <v/>
      </c>
    </row>
    <row r="2869">
      <c r="W2869" s="7" t="n"/>
      <c r="X2869" s="7" t="n"/>
      <c r="Z2869">
        <f>Z2868+IF(W2869="",0,IF(ISNA(MATCH(W2869,W$256:W2868,0)),1,0))</f>
        <v/>
      </c>
      <c r="AA2869">
        <f>IF(Z2869&gt;Z2868,Z2869,"")</f>
        <v/>
      </c>
      <c r="AB2869">
        <f>AB2868+IF(X2869="",0,IF(ISNA(MATCH(X2869,X$256:X2868,0)),1,0))</f>
        <v/>
      </c>
      <c r="AC2869">
        <f>IF(AB2869&gt;AB2868,AB2869,"")</f>
        <v/>
      </c>
    </row>
    <row r="2870">
      <c r="W2870" s="7" t="n"/>
      <c r="X2870" s="7" t="n"/>
      <c r="Z2870">
        <f>Z2869+IF(W2870="",0,IF(ISNA(MATCH(W2870,W$256:W2869,0)),1,0))</f>
        <v/>
      </c>
      <c r="AA2870">
        <f>IF(Z2870&gt;Z2869,Z2870,"")</f>
        <v/>
      </c>
      <c r="AB2870">
        <f>AB2869+IF(X2870="",0,IF(ISNA(MATCH(X2870,X$256:X2869,0)),1,0))</f>
        <v/>
      </c>
      <c r="AC2870">
        <f>IF(AB2870&gt;AB2869,AB2870,"")</f>
        <v/>
      </c>
    </row>
    <row r="2871">
      <c r="W2871" s="7" t="n"/>
      <c r="X2871" s="7" t="n"/>
      <c r="Z2871">
        <f>Z2870+IF(W2871="",0,IF(ISNA(MATCH(W2871,W$256:W2870,0)),1,0))</f>
        <v/>
      </c>
      <c r="AA2871">
        <f>IF(Z2871&gt;Z2870,Z2871,"")</f>
        <v/>
      </c>
      <c r="AB2871">
        <f>AB2870+IF(X2871="",0,IF(ISNA(MATCH(X2871,X$256:X2870,0)),1,0))</f>
        <v/>
      </c>
      <c r="AC2871">
        <f>IF(AB2871&gt;AB2870,AB2871,"")</f>
        <v/>
      </c>
    </row>
    <row r="2872">
      <c r="W2872" s="7" t="n"/>
      <c r="X2872" s="7" t="n"/>
      <c r="Z2872">
        <f>Z2871+IF(W2872="",0,IF(ISNA(MATCH(W2872,W$256:W2871,0)),1,0))</f>
        <v/>
      </c>
      <c r="AA2872">
        <f>IF(Z2872&gt;Z2871,Z2872,"")</f>
        <v/>
      </c>
      <c r="AB2872">
        <f>AB2871+IF(X2872="",0,IF(ISNA(MATCH(X2872,X$256:X2871,0)),1,0))</f>
        <v/>
      </c>
      <c r="AC2872">
        <f>IF(AB2872&gt;AB2871,AB2872,"")</f>
        <v/>
      </c>
    </row>
    <row r="2873">
      <c r="W2873" s="7" t="n"/>
      <c r="X2873" s="7" t="n"/>
      <c r="Z2873">
        <f>Z2872+IF(W2873="",0,IF(ISNA(MATCH(W2873,W$256:W2872,0)),1,0))</f>
        <v/>
      </c>
      <c r="AA2873">
        <f>IF(Z2873&gt;Z2872,Z2873,"")</f>
        <v/>
      </c>
      <c r="AB2873">
        <f>AB2872+IF(X2873="",0,IF(ISNA(MATCH(X2873,X$256:X2872,0)),1,0))</f>
        <v/>
      </c>
      <c r="AC2873">
        <f>IF(AB2873&gt;AB2872,AB2873,"")</f>
        <v/>
      </c>
    </row>
    <row r="2874">
      <c r="W2874" s="7" t="n"/>
      <c r="X2874" s="7" t="n"/>
      <c r="Z2874">
        <f>Z2873+IF(W2874="",0,IF(ISNA(MATCH(W2874,W$256:W2873,0)),1,0))</f>
        <v/>
      </c>
      <c r="AA2874">
        <f>IF(Z2874&gt;Z2873,Z2874,"")</f>
        <v/>
      </c>
      <c r="AB2874">
        <f>AB2873+IF(X2874="",0,IF(ISNA(MATCH(X2874,X$256:X2873,0)),1,0))</f>
        <v/>
      </c>
      <c r="AC2874">
        <f>IF(AB2874&gt;AB2873,AB2874,"")</f>
        <v/>
      </c>
    </row>
    <row r="2875">
      <c r="W2875" s="7" t="n"/>
      <c r="X2875" s="7" t="n"/>
      <c r="Z2875">
        <f>Z2874+IF(W2875="",0,IF(ISNA(MATCH(W2875,W$256:W2874,0)),1,0))</f>
        <v/>
      </c>
      <c r="AA2875">
        <f>IF(Z2875&gt;Z2874,Z2875,"")</f>
        <v/>
      </c>
      <c r="AB2875">
        <f>AB2874+IF(X2875="",0,IF(ISNA(MATCH(X2875,X$256:X2874,0)),1,0))</f>
        <v/>
      </c>
      <c r="AC2875">
        <f>IF(AB2875&gt;AB2874,AB2875,"")</f>
        <v/>
      </c>
    </row>
    <row r="2876">
      <c r="W2876" s="7" t="n"/>
      <c r="X2876" s="7" t="n"/>
      <c r="Z2876">
        <f>Z2875+IF(W2876="",0,IF(ISNA(MATCH(W2876,W$256:W2875,0)),1,0))</f>
        <v/>
      </c>
      <c r="AA2876">
        <f>IF(Z2876&gt;Z2875,Z2876,"")</f>
        <v/>
      </c>
      <c r="AB2876">
        <f>AB2875+IF(X2876="",0,IF(ISNA(MATCH(X2876,X$256:X2875,0)),1,0))</f>
        <v/>
      </c>
      <c r="AC2876">
        <f>IF(AB2876&gt;AB2875,AB2876,"")</f>
        <v/>
      </c>
    </row>
    <row r="2877">
      <c r="W2877" s="7" t="n"/>
      <c r="X2877" s="7" t="n"/>
      <c r="Z2877">
        <f>Z2876+IF(W2877="",0,IF(ISNA(MATCH(W2877,W$256:W2876,0)),1,0))</f>
        <v/>
      </c>
      <c r="AA2877">
        <f>IF(Z2877&gt;Z2876,Z2877,"")</f>
        <v/>
      </c>
      <c r="AB2877">
        <f>AB2876+IF(X2877="",0,IF(ISNA(MATCH(X2877,X$256:X2876,0)),1,0))</f>
        <v/>
      </c>
      <c r="AC2877">
        <f>IF(AB2877&gt;AB2876,AB2877,"")</f>
        <v/>
      </c>
    </row>
    <row r="2878">
      <c r="W2878" s="7" t="n"/>
      <c r="X2878" s="7" t="n"/>
      <c r="Z2878">
        <f>Z2877+IF(W2878="",0,IF(ISNA(MATCH(W2878,W$256:W2877,0)),1,0))</f>
        <v/>
      </c>
      <c r="AA2878">
        <f>IF(Z2878&gt;Z2877,Z2878,"")</f>
        <v/>
      </c>
      <c r="AB2878">
        <f>AB2877+IF(X2878="",0,IF(ISNA(MATCH(X2878,X$256:X2877,0)),1,0))</f>
        <v/>
      </c>
      <c r="AC2878">
        <f>IF(AB2878&gt;AB2877,AB2878,"")</f>
        <v/>
      </c>
    </row>
    <row r="2879">
      <c r="W2879" s="7" t="n"/>
      <c r="X2879" s="7" t="n"/>
      <c r="Z2879">
        <f>Z2878+IF(W2879="",0,IF(ISNA(MATCH(W2879,W$256:W2878,0)),1,0))</f>
        <v/>
      </c>
      <c r="AA2879">
        <f>IF(Z2879&gt;Z2878,Z2879,"")</f>
        <v/>
      </c>
      <c r="AB2879">
        <f>AB2878+IF(X2879="",0,IF(ISNA(MATCH(X2879,X$256:X2878,0)),1,0))</f>
        <v/>
      </c>
      <c r="AC2879">
        <f>IF(AB2879&gt;AB2878,AB2879,"")</f>
        <v/>
      </c>
    </row>
    <row r="2880">
      <c r="W2880" s="7" t="n"/>
      <c r="X2880" s="7" t="n"/>
      <c r="Z2880">
        <f>Z2879+IF(W2880="",0,IF(ISNA(MATCH(W2880,W$256:W2879,0)),1,0))</f>
        <v/>
      </c>
      <c r="AA2880">
        <f>IF(Z2880&gt;Z2879,Z2880,"")</f>
        <v/>
      </c>
      <c r="AB2880">
        <f>AB2879+IF(X2880="",0,IF(ISNA(MATCH(X2880,X$256:X2879,0)),1,0))</f>
        <v/>
      </c>
      <c r="AC2880">
        <f>IF(AB2880&gt;AB2879,AB2880,"")</f>
        <v/>
      </c>
    </row>
    <row r="2881">
      <c r="W2881" s="7" t="n"/>
      <c r="X2881" s="7" t="n"/>
      <c r="Z2881">
        <f>Z2880+IF(W2881="",0,IF(ISNA(MATCH(W2881,W$256:W2880,0)),1,0))</f>
        <v/>
      </c>
      <c r="AA2881">
        <f>IF(Z2881&gt;Z2880,Z2881,"")</f>
        <v/>
      </c>
      <c r="AB2881">
        <f>AB2880+IF(X2881="",0,IF(ISNA(MATCH(X2881,X$256:X2880,0)),1,0))</f>
        <v/>
      </c>
      <c r="AC2881">
        <f>IF(AB2881&gt;AB2880,AB2881,"")</f>
        <v/>
      </c>
    </row>
    <row r="2882">
      <c r="W2882" s="7" t="n"/>
      <c r="X2882" s="7" t="n"/>
      <c r="Z2882">
        <f>Z2881+IF(W2882="",0,IF(ISNA(MATCH(W2882,W$256:W2881,0)),1,0))</f>
        <v/>
      </c>
      <c r="AA2882">
        <f>IF(Z2882&gt;Z2881,Z2882,"")</f>
        <v/>
      </c>
      <c r="AB2882">
        <f>AB2881+IF(X2882="",0,IF(ISNA(MATCH(X2882,X$256:X2881,0)),1,0))</f>
        <v/>
      </c>
      <c r="AC2882">
        <f>IF(AB2882&gt;AB2881,AB2882,"")</f>
        <v/>
      </c>
    </row>
    <row r="2883">
      <c r="W2883" s="7" t="n"/>
      <c r="X2883" s="7" t="n"/>
      <c r="Z2883">
        <f>Z2882+IF(W2883="",0,IF(ISNA(MATCH(W2883,W$256:W2882,0)),1,0))</f>
        <v/>
      </c>
      <c r="AA2883">
        <f>IF(Z2883&gt;Z2882,Z2883,"")</f>
        <v/>
      </c>
      <c r="AB2883">
        <f>AB2882+IF(X2883="",0,IF(ISNA(MATCH(X2883,X$256:X2882,0)),1,0))</f>
        <v/>
      </c>
      <c r="AC2883">
        <f>IF(AB2883&gt;AB2882,AB2883,"")</f>
        <v/>
      </c>
    </row>
    <row r="2884">
      <c r="W2884" s="7" t="n"/>
      <c r="X2884" s="7" t="n"/>
      <c r="Z2884">
        <f>Z2883+IF(W2884="",0,IF(ISNA(MATCH(W2884,W$256:W2883,0)),1,0))</f>
        <v/>
      </c>
      <c r="AA2884">
        <f>IF(Z2884&gt;Z2883,Z2884,"")</f>
        <v/>
      </c>
      <c r="AB2884">
        <f>AB2883+IF(X2884="",0,IF(ISNA(MATCH(X2884,X$256:X2883,0)),1,0))</f>
        <v/>
      </c>
      <c r="AC2884">
        <f>IF(AB2884&gt;AB2883,AB2884,"")</f>
        <v/>
      </c>
    </row>
    <row r="2885">
      <c r="W2885" s="7" t="n"/>
      <c r="X2885" s="7" t="n"/>
      <c r="Z2885">
        <f>Z2884+IF(W2885="",0,IF(ISNA(MATCH(W2885,W$256:W2884,0)),1,0))</f>
        <v/>
      </c>
      <c r="AA2885">
        <f>IF(Z2885&gt;Z2884,Z2885,"")</f>
        <v/>
      </c>
      <c r="AB2885">
        <f>AB2884+IF(X2885="",0,IF(ISNA(MATCH(X2885,X$256:X2884,0)),1,0))</f>
        <v/>
      </c>
      <c r="AC2885">
        <f>IF(AB2885&gt;AB2884,AB2885,"")</f>
        <v/>
      </c>
    </row>
    <row r="2886">
      <c r="W2886" s="7" t="n"/>
      <c r="X2886" s="7" t="n"/>
      <c r="Z2886">
        <f>Z2885+IF(W2886="",0,IF(ISNA(MATCH(W2886,W$256:W2885,0)),1,0))</f>
        <v/>
      </c>
      <c r="AA2886">
        <f>IF(Z2886&gt;Z2885,Z2886,"")</f>
        <v/>
      </c>
      <c r="AB2886">
        <f>AB2885+IF(X2886="",0,IF(ISNA(MATCH(X2886,X$256:X2885,0)),1,0))</f>
        <v/>
      </c>
      <c r="AC2886">
        <f>IF(AB2886&gt;AB2885,AB2886,"")</f>
        <v/>
      </c>
    </row>
    <row r="2887">
      <c r="W2887" s="7" t="n"/>
      <c r="X2887" s="7" t="n"/>
      <c r="Z2887">
        <f>Z2886+IF(W2887="",0,IF(ISNA(MATCH(W2887,W$256:W2886,0)),1,0))</f>
        <v/>
      </c>
      <c r="AA2887">
        <f>IF(Z2887&gt;Z2886,Z2887,"")</f>
        <v/>
      </c>
      <c r="AB2887">
        <f>AB2886+IF(X2887="",0,IF(ISNA(MATCH(X2887,X$256:X2886,0)),1,0))</f>
        <v/>
      </c>
      <c r="AC2887">
        <f>IF(AB2887&gt;AB2886,AB2887,"")</f>
        <v/>
      </c>
    </row>
    <row r="2888">
      <c r="W2888" s="7" t="n"/>
      <c r="X2888" s="7" t="n"/>
      <c r="Z2888">
        <f>Z2887+IF(W2888="",0,IF(ISNA(MATCH(W2888,W$256:W2887,0)),1,0))</f>
        <v/>
      </c>
      <c r="AA2888">
        <f>IF(Z2888&gt;Z2887,Z2888,"")</f>
        <v/>
      </c>
      <c r="AB2888">
        <f>AB2887+IF(X2888="",0,IF(ISNA(MATCH(X2888,X$256:X2887,0)),1,0))</f>
        <v/>
      </c>
      <c r="AC2888">
        <f>IF(AB2888&gt;AB2887,AB2888,"")</f>
        <v/>
      </c>
    </row>
    <row r="2889">
      <c r="W2889" s="7" t="n"/>
      <c r="X2889" s="7" t="n"/>
      <c r="Z2889">
        <f>Z2888+IF(W2889="",0,IF(ISNA(MATCH(W2889,W$256:W2888,0)),1,0))</f>
        <v/>
      </c>
      <c r="AA2889">
        <f>IF(Z2889&gt;Z2888,Z2889,"")</f>
        <v/>
      </c>
      <c r="AB2889">
        <f>AB2888+IF(X2889="",0,IF(ISNA(MATCH(X2889,X$256:X2888,0)),1,0))</f>
        <v/>
      </c>
      <c r="AC2889">
        <f>IF(AB2889&gt;AB2888,AB2889,"")</f>
        <v/>
      </c>
    </row>
    <row r="2890">
      <c r="W2890" s="7" t="n"/>
      <c r="X2890" s="7" t="n"/>
      <c r="Z2890">
        <f>Z2889+IF(W2890="",0,IF(ISNA(MATCH(W2890,W$256:W2889,0)),1,0))</f>
        <v/>
      </c>
      <c r="AA2890">
        <f>IF(Z2890&gt;Z2889,Z2890,"")</f>
        <v/>
      </c>
      <c r="AB2890">
        <f>AB2889+IF(X2890="",0,IF(ISNA(MATCH(X2890,X$256:X2889,0)),1,0))</f>
        <v/>
      </c>
      <c r="AC2890">
        <f>IF(AB2890&gt;AB2889,AB2890,"")</f>
        <v/>
      </c>
    </row>
    <row r="2891">
      <c r="W2891" s="7" t="n"/>
      <c r="X2891" s="7" t="n"/>
      <c r="Z2891">
        <f>Z2890+IF(W2891="",0,IF(ISNA(MATCH(W2891,W$256:W2890,0)),1,0))</f>
        <v/>
      </c>
      <c r="AA2891">
        <f>IF(Z2891&gt;Z2890,Z2891,"")</f>
        <v/>
      </c>
      <c r="AB2891">
        <f>AB2890+IF(X2891="",0,IF(ISNA(MATCH(X2891,X$256:X2890,0)),1,0))</f>
        <v/>
      </c>
      <c r="AC2891">
        <f>IF(AB2891&gt;AB2890,AB2891,"")</f>
        <v/>
      </c>
    </row>
    <row r="2892">
      <c r="W2892" s="7" t="n"/>
      <c r="X2892" s="7" t="n"/>
      <c r="Z2892">
        <f>Z2891+IF(W2892="",0,IF(ISNA(MATCH(W2892,W$256:W2891,0)),1,0))</f>
        <v/>
      </c>
      <c r="AA2892">
        <f>IF(Z2892&gt;Z2891,Z2892,"")</f>
        <v/>
      </c>
      <c r="AB2892">
        <f>AB2891+IF(X2892="",0,IF(ISNA(MATCH(X2892,X$256:X2891,0)),1,0))</f>
        <v/>
      </c>
      <c r="AC2892">
        <f>IF(AB2892&gt;AB2891,AB2892,"")</f>
        <v/>
      </c>
    </row>
    <row r="2893">
      <c r="W2893" s="7" t="n"/>
      <c r="X2893" s="7" t="n"/>
      <c r="Z2893">
        <f>Z2892+IF(W2893="",0,IF(ISNA(MATCH(W2893,W$256:W2892,0)),1,0))</f>
        <v/>
      </c>
      <c r="AA2893">
        <f>IF(Z2893&gt;Z2892,Z2893,"")</f>
        <v/>
      </c>
      <c r="AB2893">
        <f>AB2892+IF(X2893="",0,IF(ISNA(MATCH(X2893,X$256:X2892,0)),1,0))</f>
        <v/>
      </c>
      <c r="AC2893">
        <f>IF(AB2893&gt;AB2892,AB2893,"")</f>
        <v/>
      </c>
    </row>
    <row r="2894">
      <c r="W2894" s="7" t="n"/>
      <c r="X2894" s="7" t="n"/>
      <c r="Z2894">
        <f>Z2893+IF(W2894="",0,IF(ISNA(MATCH(W2894,W$256:W2893,0)),1,0))</f>
        <v/>
      </c>
      <c r="AA2894">
        <f>IF(Z2894&gt;Z2893,Z2894,"")</f>
        <v/>
      </c>
      <c r="AB2894">
        <f>AB2893+IF(X2894="",0,IF(ISNA(MATCH(X2894,X$256:X2893,0)),1,0))</f>
        <v/>
      </c>
      <c r="AC2894">
        <f>IF(AB2894&gt;AB2893,AB2894,"")</f>
        <v/>
      </c>
    </row>
    <row r="2895">
      <c r="W2895" s="7" t="n"/>
      <c r="X2895" s="7" t="n"/>
      <c r="Z2895">
        <f>Z2894+IF(W2895="",0,IF(ISNA(MATCH(W2895,W$256:W2894,0)),1,0))</f>
        <v/>
      </c>
      <c r="AA2895">
        <f>IF(Z2895&gt;Z2894,Z2895,"")</f>
        <v/>
      </c>
      <c r="AB2895">
        <f>AB2894+IF(X2895="",0,IF(ISNA(MATCH(X2895,X$256:X2894,0)),1,0))</f>
        <v/>
      </c>
      <c r="AC2895">
        <f>IF(AB2895&gt;AB2894,AB2895,"")</f>
        <v/>
      </c>
    </row>
    <row r="2896">
      <c r="W2896" s="7" t="n"/>
      <c r="X2896" s="7" t="n"/>
      <c r="Z2896">
        <f>Z2895+IF(W2896="",0,IF(ISNA(MATCH(W2896,W$256:W2895,0)),1,0))</f>
        <v/>
      </c>
      <c r="AA2896">
        <f>IF(Z2896&gt;Z2895,Z2896,"")</f>
        <v/>
      </c>
      <c r="AB2896">
        <f>AB2895+IF(X2896="",0,IF(ISNA(MATCH(X2896,X$256:X2895,0)),1,0))</f>
        <v/>
      </c>
      <c r="AC2896">
        <f>IF(AB2896&gt;AB2895,AB2896,"")</f>
        <v/>
      </c>
    </row>
    <row r="2897">
      <c r="W2897" s="7" t="n"/>
      <c r="X2897" s="7" t="n"/>
      <c r="Z2897">
        <f>Z2896+IF(W2897="",0,IF(ISNA(MATCH(W2897,W$256:W2896,0)),1,0))</f>
        <v/>
      </c>
      <c r="AA2897">
        <f>IF(Z2897&gt;Z2896,Z2897,"")</f>
        <v/>
      </c>
      <c r="AB2897">
        <f>AB2896+IF(X2897="",0,IF(ISNA(MATCH(X2897,X$256:X2896,0)),1,0))</f>
        <v/>
      </c>
      <c r="AC2897">
        <f>IF(AB2897&gt;AB2896,AB2897,"")</f>
        <v/>
      </c>
    </row>
    <row r="2898">
      <c r="W2898" s="7" t="n"/>
      <c r="X2898" s="7" t="n"/>
      <c r="Z2898">
        <f>Z2897+IF(W2898="",0,IF(ISNA(MATCH(W2898,W$256:W2897,0)),1,0))</f>
        <v/>
      </c>
      <c r="AA2898">
        <f>IF(Z2898&gt;Z2897,Z2898,"")</f>
        <v/>
      </c>
      <c r="AB2898">
        <f>AB2897+IF(X2898="",0,IF(ISNA(MATCH(X2898,X$256:X2897,0)),1,0))</f>
        <v/>
      </c>
      <c r="AC2898">
        <f>IF(AB2898&gt;AB2897,AB2898,"")</f>
        <v/>
      </c>
    </row>
    <row r="2899">
      <c r="W2899" s="7" t="n"/>
      <c r="X2899" s="7" t="n"/>
      <c r="Z2899">
        <f>Z2898+IF(W2899="",0,IF(ISNA(MATCH(W2899,W$256:W2898,0)),1,0))</f>
        <v/>
      </c>
      <c r="AA2899">
        <f>IF(Z2899&gt;Z2898,Z2899,"")</f>
        <v/>
      </c>
      <c r="AB2899">
        <f>AB2898+IF(X2899="",0,IF(ISNA(MATCH(X2899,X$256:X2898,0)),1,0))</f>
        <v/>
      </c>
      <c r="AC2899">
        <f>IF(AB2899&gt;AB2898,AB2899,"")</f>
        <v/>
      </c>
    </row>
    <row r="2900">
      <c r="W2900" s="7" t="n"/>
      <c r="X2900" s="7" t="n"/>
      <c r="Z2900">
        <f>Z2899+IF(W2900="",0,IF(ISNA(MATCH(W2900,W$256:W2899,0)),1,0))</f>
        <v/>
      </c>
      <c r="AA2900">
        <f>IF(Z2900&gt;Z2899,Z2900,"")</f>
        <v/>
      </c>
      <c r="AB2900">
        <f>AB2899+IF(X2900="",0,IF(ISNA(MATCH(X2900,X$256:X2899,0)),1,0))</f>
        <v/>
      </c>
      <c r="AC2900">
        <f>IF(AB2900&gt;AB2899,AB2900,"")</f>
        <v/>
      </c>
    </row>
    <row r="2901">
      <c r="W2901" s="7" t="n"/>
      <c r="X2901" s="7" t="n"/>
      <c r="Z2901">
        <f>Z2900+IF(W2901="",0,IF(ISNA(MATCH(W2901,W$256:W2900,0)),1,0))</f>
        <v/>
      </c>
      <c r="AA2901">
        <f>IF(Z2901&gt;Z2900,Z2901,"")</f>
        <v/>
      </c>
      <c r="AB2901">
        <f>AB2900+IF(X2901="",0,IF(ISNA(MATCH(X2901,X$256:X2900,0)),1,0))</f>
        <v/>
      </c>
      <c r="AC2901">
        <f>IF(AB2901&gt;AB2900,AB2901,"")</f>
        <v/>
      </c>
    </row>
    <row r="2902">
      <c r="W2902" s="7" t="n"/>
      <c r="X2902" s="7" t="n"/>
      <c r="Z2902">
        <f>Z2901+IF(W2902="",0,IF(ISNA(MATCH(W2902,W$256:W2901,0)),1,0))</f>
        <v/>
      </c>
      <c r="AA2902">
        <f>IF(Z2902&gt;Z2901,Z2902,"")</f>
        <v/>
      </c>
      <c r="AB2902">
        <f>AB2901+IF(X2902="",0,IF(ISNA(MATCH(X2902,X$256:X2901,0)),1,0))</f>
        <v/>
      </c>
      <c r="AC2902">
        <f>IF(AB2902&gt;AB2901,AB2902,"")</f>
        <v/>
      </c>
    </row>
    <row r="2903">
      <c r="W2903" s="7" t="n"/>
      <c r="X2903" s="7" t="n"/>
      <c r="Z2903">
        <f>Z2902+IF(W2903="",0,IF(ISNA(MATCH(W2903,W$256:W2902,0)),1,0))</f>
        <v/>
      </c>
      <c r="AA2903">
        <f>IF(Z2903&gt;Z2902,Z2903,"")</f>
        <v/>
      </c>
      <c r="AB2903">
        <f>AB2902+IF(X2903="",0,IF(ISNA(MATCH(X2903,X$256:X2902,0)),1,0))</f>
        <v/>
      </c>
      <c r="AC2903">
        <f>IF(AB2903&gt;AB2902,AB2903,"")</f>
        <v/>
      </c>
    </row>
    <row r="2904">
      <c r="W2904" s="7" t="n"/>
      <c r="X2904" s="7" t="n"/>
      <c r="Z2904">
        <f>Z2903+IF(W2904="",0,IF(ISNA(MATCH(W2904,W$256:W2903,0)),1,0))</f>
        <v/>
      </c>
      <c r="AA2904">
        <f>IF(Z2904&gt;Z2903,Z2904,"")</f>
        <v/>
      </c>
      <c r="AB2904">
        <f>AB2903+IF(X2904="",0,IF(ISNA(MATCH(X2904,X$256:X2903,0)),1,0))</f>
        <v/>
      </c>
      <c r="AC2904">
        <f>IF(AB2904&gt;AB2903,AB2904,"")</f>
        <v/>
      </c>
    </row>
    <row r="2905">
      <c r="W2905" s="7" t="n"/>
      <c r="X2905" s="7" t="n"/>
      <c r="Z2905">
        <f>Z2904+IF(W2905="",0,IF(ISNA(MATCH(W2905,W$256:W2904,0)),1,0))</f>
        <v/>
      </c>
      <c r="AA2905">
        <f>IF(Z2905&gt;Z2904,Z2905,"")</f>
        <v/>
      </c>
      <c r="AB2905">
        <f>AB2904+IF(X2905="",0,IF(ISNA(MATCH(X2905,X$256:X2904,0)),1,0))</f>
        <v/>
      </c>
      <c r="AC2905">
        <f>IF(AB2905&gt;AB2904,AB2905,"")</f>
        <v/>
      </c>
    </row>
    <row r="2906">
      <c r="W2906" s="7" t="n"/>
      <c r="X2906" s="7" t="n"/>
      <c r="Z2906">
        <f>Z2905+IF(W2906="",0,IF(ISNA(MATCH(W2906,W$256:W2905,0)),1,0))</f>
        <v/>
      </c>
      <c r="AA2906">
        <f>IF(Z2906&gt;Z2905,Z2906,"")</f>
        <v/>
      </c>
      <c r="AB2906">
        <f>AB2905+IF(X2906="",0,IF(ISNA(MATCH(X2906,X$256:X2905,0)),1,0))</f>
        <v/>
      </c>
      <c r="AC2906">
        <f>IF(AB2906&gt;AB2905,AB2906,"")</f>
        <v/>
      </c>
    </row>
    <row r="2907">
      <c r="W2907" s="7" t="n"/>
      <c r="X2907" s="7" t="n"/>
      <c r="Z2907">
        <f>Z2906+IF(W2907="",0,IF(ISNA(MATCH(W2907,W$256:W2906,0)),1,0))</f>
        <v/>
      </c>
      <c r="AA2907">
        <f>IF(Z2907&gt;Z2906,Z2907,"")</f>
        <v/>
      </c>
      <c r="AB2907">
        <f>AB2906+IF(X2907="",0,IF(ISNA(MATCH(X2907,X$256:X2906,0)),1,0))</f>
        <v/>
      </c>
      <c r="AC2907">
        <f>IF(AB2907&gt;AB2906,AB2907,"")</f>
        <v/>
      </c>
    </row>
    <row r="2908">
      <c r="W2908" s="7" t="n"/>
      <c r="X2908" s="7" t="n"/>
      <c r="Z2908">
        <f>Z2907+IF(W2908="",0,IF(ISNA(MATCH(W2908,W$256:W2907,0)),1,0))</f>
        <v/>
      </c>
      <c r="AA2908">
        <f>IF(Z2908&gt;Z2907,Z2908,"")</f>
        <v/>
      </c>
      <c r="AB2908">
        <f>AB2907+IF(X2908="",0,IF(ISNA(MATCH(X2908,X$256:X2907,0)),1,0))</f>
        <v/>
      </c>
      <c r="AC2908">
        <f>IF(AB2908&gt;AB2907,AB2908,"")</f>
        <v/>
      </c>
    </row>
    <row r="2909">
      <c r="W2909" s="7" t="n"/>
      <c r="X2909" s="7" t="n"/>
      <c r="Z2909">
        <f>Z2908+IF(W2909="",0,IF(ISNA(MATCH(W2909,W$256:W2908,0)),1,0))</f>
        <v/>
      </c>
      <c r="AA2909">
        <f>IF(Z2909&gt;Z2908,Z2909,"")</f>
        <v/>
      </c>
      <c r="AB2909">
        <f>AB2908+IF(X2909="",0,IF(ISNA(MATCH(X2909,X$256:X2908,0)),1,0))</f>
        <v/>
      </c>
      <c r="AC2909">
        <f>IF(AB2909&gt;AB2908,AB2909,"")</f>
        <v/>
      </c>
    </row>
    <row r="2910">
      <c r="W2910" s="7" t="n"/>
      <c r="X2910" s="7" t="n"/>
      <c r="Z2910">
        <f>Z2909+IF(W2910="",0,IF(ISNA(MATCH(W2910,W$256:W2909,0)),1,0))</f>
        <v/>
      </c>
      <c r="AA2910">
        <f>IF(Z2910&gt;Z2909,Z2910,"")</f>
        <v/>
      </c>
      <c r="AB2910">
        <f>AB2909+IF(X2910="",0,IF(ISNA(MATCH(X2910,X$256:X2909,0)),1,0))</f>
        <v/>
      </c>
      <c r="AC2910">
        <f>IF(AB2910&gt;AB2909,AB2910,"")</f>
        <v/>
      </c>
    </row>
    <row r="2911">
      <c r="W2911" s="7" t="n"/>
      <c r="X2911" s="7" t="n"/>
      <c r="Z2911">
        <f>Z2910+IF(W2911="",0,IF(ISNA(MATCH(W2911,W$256:W2910,0)),1,0))</f>
        <v/>
      </c>
      <c r="AA2911">
        <f>IF(Z2911&gt;Z2910,Z2911,"")</f>
        <v/>
      </c>
      <c r="AB2911">
        <f>AB2910+IF(X2911="",0,IF(ISNA(MATCH(X2911,X$256:X2910,0)),1,0))</f>
        <v/>
      </c>
      <c r="AC2911">
        <f>IF(AB2911&gt;AB2910,AB2911,"")</f>
        <v/>
      </c>
    </row>
    <row r="2912">
      <c r="W2912" s="7" t="n"/>
      <c r="X2912" s="7" t="n"/>
      <c r="Z2912">
        <f>Z2911+IF(W2912="",0,IF(ISNA(MATCH(W2912,W$256:W2911,0)),1,0))</f>
        <v/>
      </c>
      <c r="AA2912">
        <f>IF(Z2912&gt;Z2911,Z2912,"")</f>
        <v/>
      </c>
      <c r="AB2912">
        <f>AB2911+IF(X2912="",0,IF(ISNA(MATCH(X2912,X$256:X2911,0)),1,0))</f>
        <v/>
      </c>
      <c r="AC2912">
        <f>IF(AB2912&gt;AB2911,AB2912,"")</f>
        <v/>
      </c>
    </row>
    <row r="2913">
      <c r="W2913" s="7" t="n"/>
      <c r="X2913" s="7" t="n"/>
      <c r="Z2913">
        <f>Z2912+IF(W2913="",0,IF(ISNA(MATCH(W2913,W$256:W2912,0)),1,0))</f>
        <v/>
      </c>
      <c r="AA2913">
        <f>IF(Z2913&gt;Z2912,Z2913,"")</f>
        <v/>
      </c>
      <c r="AB2913">
        <f>AB2912+IF(X2913="",0,IF(ISNA(MATCH(X2913,X$256:X2912,0)),1,0))</f>
        <v/>
      </c>
      <c r="AC2913">
        <f>IF(AB2913&gt;AB2912,AB2913,"")</f>
        <v/>
      </c>
    </row>
    <row r="2914">
      <c r="W2914" s="7" t="n"/>
      <c r="X2914" s="7" t="n"/>
      <c r="Z2914">
        <f>Z2913+IF(W2914="",0,IF(ISNA(MATCH(W2914,W$256:W2913,0)),1,0))</f>
        <v/>
      </c>
      <c r="AA2914">
        <f>IF(Z2914&gt;Z2913,Z2914,"")</f>
        <v/>
      </c>
      <c r="AB2914">
        <f>AB2913+IF(X2914="",0,IF(ISNA(MATCH(X2914,X$256:X2913,0)),1,0))</f>
        <v/>
      </c>
      <c r="AC2914">
        <f>IF(AB2914&gt;AB2913,AB2914,"")</f>
        <v/>
      </c>
    </row>
    <row r="2915">
      <c r="W2915" s="7" t="n"/>
      <c r="X2915" s="7" t="n"/>
      <c r="Z2915">
        <f>Z2914+IF(W2915="",0,IF(ISNA(MATCH(W2915,W$256:W2914,0)),1,0))</f>
        <v/>
      </c>
      <c r="AA2915">
        <f>IF(Z2915&gt;Z2914,Z2915,"")</f>
        <v/>
      </c>
      <c r="AB2915">
        <f>AB2914+IF(X2915="",0,IF(ISNA(MATCH(X2915,X$256:X2914,0)),1,0))</f>
        <v/>
      </c>
      <c r="AC2915">
        <f>IF(AB2915&gt;AB2914,AB2915,"")</f>
        <v/>
      </c>
    </row>
    <row r="2916">
      <c r="W2916" s="7" t="n"/>
      <c r="X2916" s="7" t="n"/>
      <c r="Z2916">
        <f>Z2915+IF(W2916="",0,IF(ISNA(MATCH(W2916,W$256:W2915,0)),1,0))</f>
        <v/>
      </c>
      <c r="AA2916">
        <f>IF(Z2916&gt;Z2915,Z2916,"")</f>
        <v/>
      </c>
      <c r="AB2916">
        <f>AB2915+IF(X2916="",0,IF(ISNA(MATCH(X2916,X$256:X2915,0)),1,0))</f>
        <v/>
      </c>
      <c r="AC2916">
        <f>IF(AB2916&gt;AB2915,AB2916,"")</f>
        <v/>
      </c>
    </row>
    <row r="2917">
      <c r="W2917" s="7" t="n"/>
      <c r="X2917" s="7" t="n"/>
      <c r="Z2917">
        <f>Z2916+IF(W2917="",0,IF(ISNA(MATCH(W2917,W$256:W2916,0)),1,0))</f>
        <v/>
      </c>
      <c r="AA2917">
        <f>IF(Z2917&gt;Z2916,Z2917,"")</f>
        <v/>
      </c>
      <c r="AB2917">
        <f>AB2916+IF(X2917="",0,IF(ISNA(MATCH(X2917,X$256:X2916,0)),1,0))</f>
        <v/>
      </c>
      <c r="AC2917">
        <f>IF(AB2917&gt;AB2916,AB2917,"")</f>
        <v/>
      </c>
    </row>
    <row r="2918">
      <c r="W2918" s="7" t="n"/>
      <c r="X2918" s="7" t="n"/>
      <c r="Z2918">
        <f>Z2917+IF(W2918="",0,IF(ISNA(MATCH(W2918,W$256:W2917,0)),1,0))</f>
        <v/>
      </c>
      <c r="AA2918">
        <f>IF(Z2918&gt;Z2917,Z2918,"")</f>
        <v/>
      </c>
      <c r="AB2918">
        <f>AB2917+IF(X2918="",0,IF(ISNA(MATCH(X2918,X$256:X2917,0)),1,0))</f>
        <v/>
      </c>
      <c r="AC2918">
        <f>IF(AB2918&gt;AB2917,AB2918,"")</f>
        <v/>
      </c>
    </row>
    <row r="2919">
      <c r="W2919" s="7" t="n"/>
      <c r="X2919" s="7" t="n"/>
      <c r="Z2919">
        <f>Z2918+IF(W2919="",0,IF(ISNA(MATCH(W2919,W$256:W2918,0)),1,0))</f>
        <v/>
      </c>
      <c r="AA2919">
        <f>IF(Z2919&gt;Z2918,Z2919,"")</f>
        <v/>
      </c>
      <c r="AB2919">
        <f>AB2918+IF(X2919="",0,IF(ISNA(MATCH(X2919,X$256:X2918,0)),1,0))</f>
        <v/>
      </c>
      <c r="AC2919">
        <f>IF(AB2919&gt;AB2918,AB2919,"")</f>
        <v/>
      </c>
    </row>
    <row r="2920">
      <c r="W2920" s="7" t="n"/>
      <c r="X2920" s="7" t="n"/>
      <c r="Z2920">
        <f>Z2919+IF(W2920="",0,IF(ISNA(MATCH(W2920,W$256:W2919,0)),1,0))</f>
        <v/>
      </c>
      <c r="AA2920">
        <f>IF(Z2920&gt;Z2919,Z2920,"")</f>
        <v/>
      </c>
      <c r="AB2920">
        <f>AB2919+IF(X2920="",0,IF(ISNA(MATCH(X2920,X$256:X2919,0)),1,0))</f>
        <v/>
      </c>
      <c r="AC2920">
        <f>IF(AB2920&gt;AB2919,AB2920,"")</f>
        <v/>
      </c>
    </row>
    <row r="2921">
      <c r="W2921" s="7" t="n"/>
      <c r="X2921" s="7" t="n"/>
      <c r="Z2921">
        <f>Z2920+IF(W2921="",0,IF(ISNA(MATCH(W2921,W$256:W2920,0)),1,0))</f>
        <v/>
      </c>
      <c r="AA2921">
        <f>IF(Z2921&gt;Z2920,Z2921,"")</f>
        <v/>
      </c>
      <c r="AB2921">
        <f>AB2920+IF(X2921="",0,IF(ISNA(MATCH(X2921,X$256:X2920,0)),1,0))</f>
        <v/>
      </c>
      <c r="AC2921">
        <f>IF(AB2921&gt;AB2920,AB2921,"")</f>
        <v/>
      </c>
    </row>
    <row r="2922">
      <c r="W2922" s="7" t="n"/>
      <c r="X2922" s="7" t="n"/>
      <c r="Z2922">
        <f>Z2921+IF(W2922="",0,IF(ISNA(MATCH(W2922,W$256:W2921,0)),1,0))</f>
        <v/>
      </c>
      <c r="AA2922">
        <f>IF(Z2922&gt;Z2921,Z2922,"")</f>
        <v/>
      </c>
      <c r="AB2922">
        <f>AB2921+IF(X2922="",0,IF(ISNA(MATCH(X2922,X$256:X2921,0)),1,0))</f>
        <v/>
      </c>
      <c r="AC2922">
        <f>IF(AB2922&gt;AB2921,AB2922,"")</f>
        <v/>
      </c>
    </row>
    <row r="2923">
      <c r="W2923" s="7" t="n"/>
      <c r="X2923" s="7" t="n"/>
      <c r="Z2923">
        <f>Z2922+IF(W2923="",0,IF(ISNA(MATCH(W2923,W$256:W2922,0)),1,0))</f>
        <v/>
      </c>
      <c r="AA2923">
        <f>IF(Z2923&gt;Z2922,Z2923,"")</f>
        <v/>
      </c>
      <c r="AB2923">
        <f>AB2922+IF(X2923="",0,IF(ISNA(MATCH(X2923,X$256:X2922,0)),1,0))</f>
        <v/>
      </c>
      <c r="AC2923">
        <f>IF(AB2923&gt;AB2922,AB2923,"")</f>
        <v/>
      </c>
    </row>
    <row r="2924">
      <c r="W2924" s="7" t="n"/>
      <c r="X2924" s="7" t="n"/>
      <c r="Z2924">
        <f>Z2923+IF(W2924="",0,IF(ISNA(MATCH(W2924,W$256:W2923,0)),1,0))</f>
        <v/>
      </c>
      <c r="AA2924">
        <f>IF(Z2924&gt;Z2923,Z2924,"")</f>
        <v/>
      </c>
      <c r="AB2924">
        <f>AB2923+IF(X2924="",0,IF(ISNA(MATCH(X2924,X$256:X2923,0)),1,0))</f>
        <v/>
      </c>
      <c r="AC2924">
        <f>IF(AB2924&gt;AB2923,AB2924,"")</f>
        <v/>
      </c>
    </row>
    <row r="2925">
      <c r="W2925" s="7" t="n"/>
      <c r="X2925" s="7" t="n"/>
      <c r="Z2925">
        <f>Z2924+IF(W2925="",0,IF(ISNA(MATCH(W2925,W$256:W2924,0)),1,0))</f>
        <v/>
      </c>
      <c r="AA2925">
        <f>IF(Z2925&gt;Z2924,Z2925,"")</f>
        <v/>
      </c>
      <c r="AB2925">
        <f>AB2924+IF(X2925="",0,IF(ISNA(MATCH(X2925,X$256:X2924,0)),1,0))</f>
        <v/>
      </c>
      <c r="AC2925">
        <f>IF(AB2925&gt;AB2924,AB2925,"")</f>
        <v/>
      </c>
    </row>
    <row r="2926">
      <c r="W2926" s="7" t="n"/>
      <c r="X2926" s="7" t="n"/>
      <c r="Z2926">
        <f>Z2925+IF(W2926="",0,IF(ISNA(MATCH(W2926,W$256:W2925,0)),1,0))</f>
        <v/>
      </c>
      <c r="AA2926">
        <f>IF(Z2926&gt;Z2925,Z2926,"")</f>
        <v/>
      </c>
      <c r="AB2926">
        <f>AB2925+IF(X2926="",0,IF(ISNA(MATCH(X2926,X$256:X2925,0)),1,0))</f>
        <v/>
      </c>
      <c r="AC2926">
        <f>IF(AB2926&gt;AB2925,AB2926,"")</f>
        <v/>
      </c>
    </row>
    <row r="2927">
      <c r="W2927" s="7" t="n"/>
      <c r="X2927" s="7" t="n"/>
      <c r="Z2927">
        <f>Z2926+IF(W2927="",0,IF(ISNA(MATCH(W2927,W$256:W2926,0)),1,0))</f>
        <v/>
      </c>
      <c r="AA2927">
        <f>IF(Z2927&gt;Z2926,Z2927,"")</f>
        <v/>
      </c>
      <c r="AB2927">
        <f>AB2926+IF(X2927="",0,IF(ISNA(MATCH(X2927,X$256:X2926,0)),1,0))</f>
        <v/>
      </c>
      <c r="AC2927">
        <f>IF(AB2927&gt;AB2926,AB2927,"")</f>
        <v/>
      </c>
    </row>
    <row r="2928">
      <c r="W2928" s="7" t="n"/>
      <c r="X2928" s="7" t="n"/>
      <c r="Z2928">
        <f>Z2927+IF(W2928="",0,IF(ISNA(MATCH(W2928,W$256:W2927,0)),1,0))</f>
        <v/>
      </c>
      <c r="AA2928">
        <f>IF(Z2928&gt;Z2927,Z2928,"")</f>
        <v/>
      </c>
      <c r="AB2928">
        <f>AB2927+IF(X2928="",0,IF(ISNA(MATCH(X2928,X$256:X2927,0)),1,0))</f>
        <v/>
      </c>
      <c r="AC2928">
        <f>IF(AB2928&gt;AB2927,AB2928,"")</f>
        <v/>
      </c>
    </row>
    <row r="2929">
      <c r="W2929" s="7" t="n"/>
      <c r="X2929" s="7" t="n"/>
      <c r="Z2929">
        <f>Z2928+IF(W2929="",0,IF(ISNA(MATCH(W2929,W$256:W2928,0)),1,0))</f>
        <v/>
      </c>
      <c r="AA2929">
        <f>IF(Z2929&gt;Z2928,Z2929,"")</f>
        <v/>
      </c>
      <c r="AB2929">
        <f>AB2928+IF(X2929="",0,IF(ISNA(MATCH(X2929,X$256:X2928,0)),1,0))</f>
        <v/>
      </c>
      <c r="AC2929">
        <f>IF(AB2929&gt;AB2928,AB2929,"")</f>
        <v/>
      </c>
    </row>
    <row r="2930">
      <c r="W2930" s="7" t="n"/>
      <c r="X2930" s="7" t="n"/>
      <c r="Z2930">
        <f>Z2929+IF(W2930="",0,IF(ISNA(MATCH(W2930,W$256:W2929,0)),1,0))</f>
        <v/>
      </c>
      <c r="AA2930">
        <f>IF(Z2930&gt;Z2929,Z2930,"")</f>
        <v/>
      </c>
      <c r="AB2930">
        <f>AB2929+IF(X2930="",0,IF(ISNA(MATCH(X2930,X$256:X2929,0)),1,0))</f>
        <v/>
      </c>
      <c r="AC2930">
        <f>IF(AB2930&gt;AB2929,AB2930,"")</f>
        <v/>
      </c>
    </row>
    <row r="2931">
      <c r="W2931" s="7" t="n"/>
      <c r="X2931" s="7" t="n"/>
      <c r="Z2931">
        <f>Z2930+IF(W2931="",0,IF(ISNA(MATCH(W2931,W$256:W2930,0)),1,0))</f>
        <v/>
      </c>
      <c r="AA2931">
        <f>IF(Z2931&gt;Z2930,Z2931,"")</f>
        <v/>
      </c>
      <c r="AB2931">
        <f>AB2930+IF(X2931="",0,IF(ISNA(MATCH(X2931,X$256:X2930,0)),1,0))</f>
        <v/>
      </c>
      <c r="AC2931">
        <f>IF(AB2931&gt;AB2930,AB2931,"")</f>
        <v/>
      </c>
    </row>
    <row r="2932">
      <c r="W2932" s="7" t="n"/>
      <c r="X2932" s="7" t="n"/>
      <c r="Z2932">
        <f>Z2931+IF(W2932="",0,IF(ISNA(MATCH(W2932,W$256:W2931,0)),1,0))</f>
        <v/>
      </c>
      <c r="AA2932">
        <f>IF(Z2932&gt;Z2931,Z2932,"")</f>
        <v/>
      </c>
      <c r="AB2932">
        <f>AB2931+IF(X2932="",0,IF(ISNA(MATCH(X2932,X$256:X2931,0)),1,0))</f>
        <v/>
      </c>
      <c r="AC2932">
        <f>IF(AB2932&gt;AB2931,AB2932,"")</f>
        <v/>
      </c>
    </row>
    <row r="2933">
      <c r="W2933" s="7" t="n"/>
      <c r="X2933" s="7" t="n"/>
      <c r="Z2933">
        <f>Z2932+IF(W2933="",0,IF(ISNA(MATCH(W2933,W$256:W2932,0)),1,0))</f>
        <v/>
      </c>
      <c r="AA2933">
        <f>IF(Z2933&gt;Z2932,Z2933,"")</f>
        <v/>
      </c>
      <c r="AB2933">
        <f>AB2932+IF(X2933="",0,IF(ISNA(MATCH(X2933,X$256:X2932,0)),1,0))</f>
        <v/>
      </c>
      <c r="AC2933">
        <f>IF(AB2933&gt;AB2932,AB2933,"")</f>
        <v/>
      </c>
    </row>
    <row r="2934">
      <c r="W2934" s="7" t="n"/>
      <c r="X2934" s="7" t="n"/>
      <c r="Z2934">
        <f>Z2933+IF(W2934="",0,IF(ISNA(MATCH(W2934,W$256:W2933,0)),1,0))</f>
        <v/>
      </c>
      <c r="AA2934">
        <f>IF(Z2934&gt;Z2933,Z2934,"")</f>
        <v/>
      </c>
      <c r="AB2934">
        <f>AB2933+IF(X2934="",0,IF(ISNA(MATCH(X2934,X$256:X2933,0)),1,0))</f>
        <v/>
      </c>
      <c r="AC2934">
        <f>IF(AB2934&gt;AB2933,AB2934,"")</f>
        <v/>
      </c>
    </row>
    <row r="2935">
      <c r="W2935" s="7" t="n"/>
      <c r="X2935" s="7" t="n"/>
      <c r="Z2935">
        <f>Z2934+IF(W2935="",0,IF(ISNA(MATCH(W2935,W$256:W2934,0)),1,0))</f>
        <v/>
      </c>
      <c r="AA2935">
        <f>IF(Z2935&gt;Z2934,Z2935,"")</f>
        <v/>
      </c>
      <c r="AB2935">
        <f>AB2934+IF(X2935="",0,IF(ISNA(MATCH(X2935,X$256:X2934,0)),1,0))</f>
        <v/>
      </c>
      <c r="AC2935">
        <f>IF(AB2935&gt;AB2934,AB2935,"")</f>
        <v/>
      </c>
    </row>
    <row r="2936">
      <c r="W2936" s="7" t="n"/>
      <c r="X2936" s="7" t="n"/>
      <c r="Z2936">
        <f>Z2935+IF(W2936="",0,IF(ISNA(MATCH(W2936,W$256:W2935,0)),1,0))</f>
        <v/>
      </c>
      <c r="AA2936">
        <f>IF(Z2936&gt;Z2935,Z2936,"")</f>
        <v/>
      </c>
      <c r="AB2936">
        <f>AB2935+IF(X2936="",0,IF(ISNA(MATCH(X2936,X$256:X2935,0)),1,0))</f>
        <v/>
      </c>
      <c r="AC2936">
        <f>IF(AB2936&gt;AB2935,AB2936,"")</f>
        <v/>
      </c>
    </row>
    <row r="2937">
      <c r="W2937" s="7" t="n"/>
      <c r="X2937" s="7" t="n"/>
      <c r="Z2937">
        <f>Z2936+IF(W2937="",0,IF(ISNA(MATCH(W2937,W$256:W2936,0)),1,0))</f>
        <v/>
      </c>
      <c r="AA2937">
        <f>IF(Z2937&gt;Z2936,Z2937,"")</f>
        <v/>
      </c>
      <c r="AB2937">
        <f>AB2936+IF(X2937="",0,IF(ISNA(MATCH(X2937,X$256:X2936,0)),1,0))</f>
        <v/>
      </c>
      <c r="AC2937">
        <f>IF(AB2937&gt;AB2936,AB2937,"")</f>
        <v/>
      </c>
    </row>
    <row r="2938">
      <c r="W2938" s="7" t="n"/>
      <c r="X2938" s="7" t="n"/>
      <c r="Z2938">
        <f>Z2937+IF(W2938="",0,IF(ISNA(MATCH(W2938,W$256:W2937,0)),1,0))</f>
        <v/>
      </c>
      <c r="AA2938">
        <f>IF(Z2938&gt;Z2937,Z2938,"")</f>
        <v/>
      </c>
      <c r="AB2938">
        <f>AB2937+IF(X2938="",0,IF(ISNA(MATCH(X2938,X$256:X2937,0)),1,0))</f>
        <v/>
      </c>
      <c r="AC2938">
        <f>IF(AB2938&gt;AB2937,AB2938,"")</f>
        <v/>
      </c>
    </row>
    <row r="2939">
      <c r="W2939" s="7" t="n"/>
      <c r="X2939" s="7" t="n"/>
      <c r="Z2939">
        <f>Z2938+IF(W2939="",0,IF(ISNA(MATCH(W2939,W$256:W2938,0)),1,0))</f>
        <v/>
      </c>
      <c r="AA2939">
        <f>IF(Z2939&gt;Z2938,Z2939,"")</f>
        <v/>
      </c>
      <c r="AB2939">
        <f>AB2938+IF(X2939="",0,IF(ISNA(MATCH(X2939,X$256:X2938,0)),1,0))</f>
        <v/>
      </c>
      <c r="AC2939">
        <f>IF(AB2939&gt;AB2938,AB2939,"")</f>
        <v/>
      </c>
    </row>
    <row r="2940">
      <c r="W2940" s="7" t="n"/>
      <c r="X2940" s="7" t="n"/>
      <c r="Z2940">
        <f>Z2939+IF(W2940="",0,IF(ISNA(MATCH(W2940,W$256:W2939,0)),1,0))</f>
        <v/>
      </c>
      <c r="AA2940">
        <f>IF(Z2940&gt;Z2939,Z2940,"")</f>
        <v/>
      </c>
      <c r="AB2940">
        <f>AB2939+IF(X2940="",0,IF(ISNA(MATCH(X2940,X$256:X2939,0)),1,0))</f>
        <v/>
      </c>
      <c r="AC2940">
        <f>IF(AB2940&gt;AB2939,AB2940,"")</f>
        <v/>
      </c>
    </row>
    <row r="2941">
      <c r="W2941" s="7" t="n"/>
      <c r="X2941" s="7" t="n"/>
      <c r="Z2941">
        <f>Z2940+IF(W2941="",0,IF(ISNA(MATCH(W2941,W$256:W2940,0)),1,0))</f>
        <v/>
      </c>
      <c r="AA2941">
        <f>IF(Z2941&gt;Z2940,Z2941,"")</f>
        <v/>
      </c>
      <c r="AB2941">
        <f>AB2940+IF(X2941="",0,IF(ISNA(MATCH(X2941,X$256:X2940,0)),1,0))</f>
        <v/>
      </c>
      <c r="AC2941">
        <f>IF(AB2941&gt;AB2940,AB2941,"")</f>
        <v/>
      </c>
    </row>
    <row r="2942">
      <c r="W2942" s="7" t="n"/>
      <c r="X2942" s="7" t="n"/>
      <c r="Z2942">
        <f>Z2941+IF(W2942="",0,IF(ISNA(MATCH(W2942,W$256:W2941,0)),1,0))</f>
        <v/>
      </c>
      <c r="AA2942">
        <f>IF(Z2942&gt;Z2941,Z2942,"")</f>
        <v/>
      </c>
      <c r="AB2942">
        <f>AB2941+IF(X2942="",0,IF(ISNA(MATCH(X2942,X$256:X2941,0)),1,0))</f>
        <v/>
      </c>
      <c r="AC2942">
        <f>IF(AB2942&gt;AB2941,AB2942,"")</f>
        <v/>
      </c>
    </row>
    <row r="2943">
      <c r="W2943" s="7" t="n"/>
      <c r="X2943" s="7" t="n"/>
      <c r="Z2943">
        <f>Z2942+IF(W2943="",0,IF(ISNA(MATCH(W2943,W$256:W2942,0)),1,0))</f>
        <v/>
      </c>
      <c r="AA2943">
        <f>IF(Z2943&gt;Z2942,Z2943,"")</f>
        <v/>
      </c>
      <c r="AB2943">
        <f>AB2942+IF(X2943="",0,IF(ISNA(MATCH(X2943,X$256:X2942,0)),1,0))</f>
        <v/>
      </c>
      <c r="AC2943">
        <f>IF(AB2943&gt;AB2942,AB2943,"")</f>
        <v/>
      </c>
    </row>
    <row r="2944">
      <c r="W2944" s="7" t="n"/>
      <c r="X2944" s="7" t="n"/>
      <c r="Z2944">
        <f>Z2943+IF(W2944="",0,IF(ISNA(MATCH(W2944,W$256:W2943,0)),1,0))</f>
        <v/>
      </c>
      <c r="AA2944">
        <f>IF(Z2944&gt;Z2943,Z2944,"")</f>
        <v/>
      </c>
      <c r="AB2944">
        <f>AB2943+IF(X2944="",0,IF(ISNA(MATCH(X2944,X$256:X2943,0)),1,0))</f>
        <v/>
      </c>
      <c r="AC2944">
        <f>IF(AB2944&gt;AB2943,AB2944,"")</f>
        <v/>
      </c>
    </row>
    <row r="2945">
      <c r="W2945" s="7" t="n"/>
      <c r="X2945" s="7" t="n"/>
      <c r="Z2945">
        <f>Z2944+IF(W2945="",0,IF(ISNA(MATCH(W2945,W$256:W2944,0)),1,0))</f>
        <v/>
      </c>
      <c r="AA2945">
        <f>IF(Z2945&gt;Z2944,Z2945,"")</f>
        <v/>
      </c>
      <c r="AB2945">
        <f>AB2944+IF(X2945="",0,IF(ISNA(MATCH(X2945,X$256:X2944,0)),1,0))</f>
        <v/>
      </c>
      <c r="AC2945">
        <f>IF(AB2945&gt;AB2944,AB2945,"")</f>
        <v/>
      </c>
    </row>
    <row r="2946">
      <c r="W2946" s="7" t="n"/>
      <c r="X2946" s="7" t="n"/>
      <c r="Z2946">
        <f>Z2945+IF(W2946="",0,IF(ISNA(MATCH(W2946,W$256:W2945,0)),1,0))</f>
        <v/>
      </c>
      <c r="AA2946">
        <f>IF(Z2946&gt;Z2945,Z2946,"")</f>
        <v/>
      </c>
      <c r="AB2946">
        <f>AB2945+IF(X2946="",0,IF(ISNA(MATCH(X2946,X$256:X2945,0)),1,0))</f>
        <v/>
      </c>
      <c r="AC2946">
        <f>IF(AB2946&gt;AB2945,AB2946,"")</f>
        <v/>
      </c>
    </row>
    <row r="2947">
      <c r="W2947" s="7" t="n"/>
      <c r="X2947" s="7" t="n"/>
      <c r="Z2947">
        <f>Z2946+IF(W2947="",0,IF(ISNA(MATCH(W2947,W$256:W2946,0)),1,0))</f>
        <v/>
      </c>
      <c r="AA2947">
        <f>IF(Z2947&gt;Z2946,Z2947,"")</f>
        <v/>
      </c>
      <c r="AB2947">
        <f>AB2946+IF(X2947="",0,IF(ISNA(MATCH(X2947,X$256:X2946,0)),1,0))</f>
        <v/>
      </c>
      <c r="AC2947">
        <f>IF(AB2947&gt;AB2946,AB2947,"")</f>
        <v/>
      </c>
    </row>
    <row r="2948">
      <c r="W2948" s="7" t="n"/>
      <c r="X2948" s="7" t="n"/>
      <c r="Z2948">
        <f>Z2947+IF(W2948="",0,IF(ISNA(MATCH(W2948,W$256:W2947,0)),1,0))</f>
        <v/>
      </c>
      <c r="AA2948">
        <f>IF(Z2948&gt;Z2947,Z2948,"")</f>
        <v/>
      </c>
      <c r="AB2948">
        <f>AB2947+IF(X2948="",0,IF(ISNA(MATCH(X2948,X$256:X2947,0)),1,0))</f>
        <v/>
      </c>
      <c r="AC2948">
        <f>IF(AB2948&gt;AB2947,AB2948,"")</f>
        <v/>
      </c>
    </row>
    <row r="2949">
      <c r="W2949" s="7" t="n"/>
      <c r="X2949" s="7" t="n"/>
      <c r="Z2949">
        <f>Z2948+IF(W2949="",0,IF(ISNA(MATCH(W2949,W$256:W2948,0)),1,0))</f>
        <v/>
      </c>
      <c r="AA2949">
        <f>IF(Z2949&gt;Z2948,Z2949,"")</f>
        <v/>
      </c>
      <c r="AB2949">
        <f>AB2948+IF(X2949="",0,IF(ISNA(MATCH(X2949,X$256:X2948,0)),1,0))</f>
        <v/>
      </c>
      <c r="AC2949">
        <f>IF(AB2949&gt;AB2948,AB2949,"")</f>
        <v/>
      </c>
    </row>
    <row r="2950">
      <c r="W2950" s="7" t="n"/>
      <c r="X2950" s="7" t="n"/>
      <c r="Z2950">
        <f>Z2949+IF(W2950="",0,IF(ISNA(MATCH(W2950,W$256:W2949,0)),1,0))</f>
        <v/>
      </c>
      <c r="AA2950">
        <f>IF(Z2950&gt;Z2949,Z2950,"")</f>
        <v/>
      </c>
      <c r="AB2950">
        <f>AB2949+IF(X2950="",0,IF(ISNA(MATCH(X2950,X$256:X2949,0)),1,0))</f>
        <v/>
      </c>
      <c r="AC2950">
        <f>IF(AB2950&gt;AB2949,AB2950,"")</f>
        <v/>
      </c>
    </row>
    <row r="2951">
      <c r="W2951" s="7" t="n"/>
      <c r="X2951" s="7" t="n"/>
      <c r="Z2951">
        <f>Z2950+IF(W2951="",0,IF(ISNA(MATCH(W2951,W$256:W2950,0)),1,0))</f>
        <v/>
      </c>
      <c r="AA2951">
        <f>IF(Z2951&gt;Z2950,Z2951,"")</f>
        <v/>
      </c>
      <c r="AB2951">
        <f>AB2950+IF(X2951="",0,IF(ISNA(MATCH(X2951,X$256:X2950,0)),1,0))</f>
        <v/>
      </c>
      <c r="AC2951">
        <f>IF(AB2951&gt;AB2950,AB2951,"")</f>
        <v/>
      </c>
    </row>
    <row r="2952">
      <c r="W2952" s="7" t="n"/>
      <c r="X2952" s="7" t="n"/>
      <c r="Z2952">
        <f>Z2951+IF(W2952="",0,IF(ISNA(MATCH(W2952,W$256:W2951,0)),1,0))</f>
        <v/>
      </c>
      <c r="AA2952">
        <f>IF(Z2952&gt;Z2951,Z2952,"")</f>
        <v/>
      </c>
      <c r="AB2952">
        <f>AB2951+IF(X2952="",0,IF(ISNA(MATCH(X2952,X$256:X2951,0)),1,0))</f>
        <v/>
      </c>
      <c r="AC2952">
        <f>IF(AB2952&gt;AB2951,AB2952,"")</f>
        <v/>
      </c>
    </row>
    <row r="2953">
      <c r="W2953" s="7" t="n"/>
      <c r="X2953" s="7" t="n"/>
      <c r="Z2953">
        <f>Z2952+IF(W2953="",0,IF(ISNA(MATCH(W2953,W$256:W2952,0)),1,0))</f>
        <v/>
      </c>
      <c r="AA2953">
        <f>IF(Z2953&gt;Z2952,Z2953,"")</f>
        <v/>
      </c>
      <c r="AB2953">
        <f>AB2952+IF(X2953="",0,IF(ISNA(MATCH(X2953,X$256:X2952,0)),1,0))</f>
        <v/>
      </c>
      <c r="AC2953">
        <f>IF(AB2953&gt;AB2952,AB2953,"")</f>
        <v/>
      </c>
    </row>
    <row r="2954">
      <c r="W2954" s="7" t="n"/>
      <c r="X2954" s="7" t="n"/>
      <c r="Z2954">
        <f>Z2953+IF(W2954="",0,IF(ISNA(MATCH(W2954,W$256:W2953,0)),1,0))</f>
        <v/>
      </c>
      <c r="AA2954">
        <f>IF(Z2954&gt;Z2953,Z2954,"")</f>
        <v/>
      </c>
      <c r="AB2954">
        <f>AB2953+IF(X2954="",0,IF(ISNA(MATCH(X2954,X$256:X2953,0)),1,0))</f>
        <v/>
      </c>
      <c r="AC2954">
        <f>IF(AB2954&gt;AB2953,AB2954,"")</f>
        <v/>
      </c>
    </row>
    <row r="2955">
      <c r="W2955" s="7" t="n"/>
      <c r="X2955" s="7" t="n"/>
      <c r="Z2955">
        <f>Z2954+IF(W2955="",0,IF(ISNA(MATCH(W2955,W$256:W2954,0)),1,0))</f>
        <v/>
      </c>
      <c r="AA2955">
        <f>IF(Z2955&gt;Z2954,Z2955,"")</f>
        <v/>
      </c>
      <c r="AB2955">
        <f>AB2954+IF(X2955="",0,IF(ISNA(MATCH(X2955,X$256:X2954,0)),1,0))</f>
        <v/>
      </c>
      <c r="AC2955">
        <f>IF(AB2955&gt;AB2954,AB2955,"")</f>
        <v/>
      </c>
    </row>
    <row r="2956">
      <c r="W2956" s="7" t="n"/>
      <c r="X2956" s="7" t="n"/>
      <c r="Z2956">
        <f>Z2955+IF(W2956="",0,IF(ISNA(MATCH(W2956,W$256:W2955,0)),1,0))</f>
        <v/>
      </c>
      <c r="AA2956">
        <f>IF(Z2956&gt;Z2955,Z2956,"")</f>
        <v/>
      </c>
      <c r="AB2956">
        <f>AB2955+IF(X2956="",0,IF(ISNA(MATCH(X2956,X$256:X2955,0)),1,0))</f>
        <v/>
      </c>
      <c r="AC2956">
        <f>IF(AB2956&gt;AB2955,AB2956,"")</f>
        <v/>
      </c>
    </row>
    <row r="2957">
      <c r="W2957" s="7" t="n"/>
      <c r="X2957" s="7" t="n"/>
      <c r="Z2957">
        <f>Z2956+IF(W2957="",0,IF(ISNA(MATCH(W2957,W$256:W2956,0)),1,0))</f>
        <v/>
      </c>
      <c r="AA2957">
        <f>IF(Z2957&gt;Z2956,Z2957,"")</f>
        <v/>
      </c>
      <c r="AB2957">
        <f>AB2956+IF(X2957="",0,IF(ISNA(MATCH(X2957,X$256:X2956,0)),1,0))</f>
        <v/>
      </c>
      <c r="AC2957">
        <f>IF(AB2957&gt;AB2956,AB2957,"")</f>
        <v/>
      </c>
    </row>
    <row r="2958">
      <c r="W2958" s="7" t="n"/>
      <c r="X2958" s="7" t="n"/>
      <c r="Z2958">
        <f>Z2957+IF(W2958="",0,IF(ISNA(MATCH(W2958,W$256:W2957,0)),1,0))</f>
        <v/>
      </c>
      <c r="AA2958">
        <f>IF(Z2958&gt;Z2957,Z2958,"")</f>
        <v/>
      </c>
      <c r="AB2958">
        <f>AB2957+IF(X2958="",0,IF(ISNA(MATCH(X2958,X$256:X2957,0)),1,0))</f>
        <v/>
      </c>
      <c r="AC2958">
        <f>IF(AB2958&gt;AB2957,AB2958,"")</f>
        <v/>
      </c>
    </row>
    <row r="2959">
      <c r="W2959" s="7" t="n"/>
      <c r="X2959" s="7" t="n"/>
      <c r="Z2959">
        <f>Z2958+IF(W2959="",0,IF(ISNA(MATCH(W2959,W$256:W2958,0)),1,0))</f>
        <v/>
      </c>
      <c r="AA2959">
        <f>IF(Z2959&gt;Z2958,Z2959,"")</f>
        <v/>
      </c>
      <c r="AB2959">
        <f>AB2958+IF(X2959="",0,IF(ISNA(MATCH(X2959,X$256:X2958,0)),1,0))</f>
        <v/>
      </c>
      <c r="AC2959">
        <f>IF(AB2959&gt;AB2958,AB2959,"")</f>
        <v/>
      </c>
    </row>
    <row r="2960">
      <c r="W2960" s="7" t="n"/>
      <c r="X2960" s="7" t="n"/>
      <c r="Z2960">
        <f>Z2959+IF(W2960="",0,IF(ISNA(MATCH(W2960,W$256:W2959,0)),1,0))</f>
        <v/>
      </c>
      <c r="AA2960">
        <f>IF(Z2960&gt;Z2959,Z2960,"")</f>
        <v/>
      </c>
      <c r="AB2960">
        <f>AB2959+IF(X2960="",0,IF(ISNA(MATCH(X2960,X$256:X2959,0)),1,0))</f>
        <v/>
      </c>
      <c r="AC2960">
        <f>IF(AB2960&gt;AB2959,AB2960,"")</f>
        <v/>
      </c>
    </row>
    <row r="2961">
      <c r="W2961" s="7" t="n"/>
      <c r="X2961" s="7" t="n"/>
      <c r="Z2961">
        <f>Z2960+IF(W2961="",0,IF(ISNA(MATCH(W2961,W$256:W2960,0)),1,0))</f>
        <v/>
      </c>
      <c r="AA2961">
        <f>IF(Z2961&gt;Z2960,Z2961,"")</f>
        <v/>
      </c>
      <c r="AB2961">
        <f>AB2960+IF(X2961="",0,IF(ISNA(MATCH(X2961,X$256:X2960,0)),1,0))</f>
        <v/>
      </c>
      <c r="AC2961">
        <f>IF(AB2961&gt;AB2960,AB2961,"")</f>
        <v/>
      </c>
    </row>
    <row r="2962">
      <c r="W2962" s="7" t="n"/>
      <c r="X2962" s="7" t="n"/>
      <c r="Z2962">
        <f>Z2961+IF(W2962="",0,IF(ISNA(MATCH(W2962,W$256:W2961,0)),1,0))</f>
        <v/>
      </c>
      <c r="AA2962">
        <f>IF(Z2962&gt;Z2961,Z2962,"")</f>
        <v/>
      </c>
      <c r="AB2962">
        <f>AB2961+IF(X2962="",0,IF(ISNA(MATCH(X2962,X$256:X2961,0)),1,0))</f>
        <v/>
      </c>
      <c r="AC2962">
        <f>IF(AB2962&gt;AB2961,AB2962,"")</f>
        <v/>
      </c>
    </row>
    <row r="2963">
      <c r="W2963" s="7" t="n"/>
      <c r="X2963" s="7" t="n"/>
      <c r="Z2963">
        <f>Z2962+IF(W2963="",0,IF(ISNA(MATCH(W2963,W$256:W2962,0)),1,0))</f>
        <v/>
      </c>
      <c r="AA2963">
        <f>IF(Z2963&gt;Z2962,Z2963,"")</f>
        <v/>
      </c>
      <c r="AB2963">
        <f>AB2962+IF(X2963="",0,IF(ISNA(MATCH(X2963,X$256:X2962,0)),1,0))</f>
        <v/>
      </c>
      <c r="AC2963">
        <f>IF(AB2963&gt;AB2962,AB2963,"")</f>
        <v/>
      </c>
    </row>
    <row r="2964">
      <c r="W2964" s="7" t="n"/>
      <c r="X2964" s="7" t="n"/>
      <c r="Z2964">
        <f>Z2963+IF(W2964="",0,IF(ISNA(MATCH(W2964,W$256:W2963,0)),1,0))</f>
        <v/>
      </c>
      <c r="AA2964">
        <f>IF(Z2964&gt;Z2963,Z2964,"")</f>
        <v/>
      </c>
      <c r="AB2964">
        <f>AB2963+IF(X2964="",0,IF(ISNA(MATCH(X2964,X$256:X2963,0)),1,0))</f>
        <v/>
      </c>
      <c r="AC2964">
        <f>IF(AB2964&gt;AB2963,AB2964,"")</f>
        <v/>
      </c>
    </row>
    <row r="2965">
      <c r="W2965" s="7" t="n"/>
      <c r="X2965" s="7" t="n"/>
      <c r="Z2965">
        <f>Z2964+IF(W2965="",0,IF(ISNA(MATCH(W2965,W$256:W2964,0)),1,0))</f>
        <v/>
      </c>
      <c r="AA2965">
        <f>IF(Z2965&gt;Z2964,Z2965,"")</f>
        <v/>
      </c>
      <c r="AB2965">
        <f>AB2964+IF(X2965="",0,IF(ISNA(MATCH(X2965,X$256:X2964,0)),1,0))</f>
        <v/>
      </c>
      <c r="AC2965">
        <f>IF(AB2965&gt;AB2964,AB2965,"")</f>
        <v/>
      </c>
    </row>
    <row r="2966">
      <c r="W2966" s="7" t="n"/>
      <c r="X2966" s="7" t="n"/>
      <c r="Z2966">
        <f>Z2965+IF(W2966="",0,IF(ISNA(MATCH(W2966,W$256:W2965,0)),1,0))</f>
        <v/>
      </c>
      <c r="AA2966">
        <f>IF(Z2966&gt;Z2965,Z2966,"")</f>
        <v/>
      </c>
      <c r="AB2966">
        <f>AB2965+IF(X2966="",0,IF(ISNA(MATCH(X2966,X$256:X2965,0)),1,0))</f>
        <v/>
      </c>
      <c r="AC2966">
        <f>IF(AB2966&gt;AB2965,AB2966,"")</f>
        <v/>
      </c>
    </row>
    <row r="2967">
      <c r="W2967" s="7" t="n"/>
      <c r="X2967" s="7" t="n"/>
      <c r="Z2967">
        <f>Z2966+IF(W2967="",0,IF(ISNA(MATCH(W2967,W$256:W2966,0)),1,0))</f>
        <v/>
      </c>
      <c r="AA2967">
        <f>IF(Z2967&gt;Z2966,Z2967,"")</f>
        <v/>
      </c>
      <c r="AB2967">
        <f>AB2966+IF(X2967="",0,IF(ISNA(MATCH(X2967,X$256:X2966,0)),1,0))</f>
        <v/>
      </c>
      <c r="AC2967">
        <f>IF(AB2967&gt;AB2966,AB2967,"")</f>
        <v/>
      </c>
    </row>
    <row r="2968">
      <c r="W2968" s="7" t="n"/>
      <c r="X2968" s="7" t="n"/>
      <c r="Z2968">
        <f>Z2967+IF(W2968="",0,IF(ISNA(MATCH(W2968,W$256:W2967,0)),1,0))</f>
        <v/>
      </c>
      <c r="AA2968">
        <f>IF(Z2968&gt;Z2967,Z2968,"")</f>
        <v/>
      </c>
      <c r="AB2968">
        <f>AB2967+IF(X2968="",0,IF(ISNA(MATCH(X2968,X$256:X2967,0)),1,0))</f>
        <v/>
      </c>
      <c r="AC2968">
        <f>IF(AB2968&gt;AB2967,AB2968,"")</f>
        <v/>
      </c>
    </row>
    <row r="2969">
      <c r="W2969" s="7" t="n"/>
      <c r="X2969" s="7" t="n"/>
      <c r="Z2969">
        <f>Z2968+IF(W2969="",0,IF(ISNA(MATCH(W2969,W$256:W2968,0)),1,0))</f>
        <v/>
      </c>
      <c r="AA2969">
        <f>IF(Z2969&gt;Z2968,Z2969,"")</f>
        <v/>
      </c>
      <c r="AB2969">
        <f>AB2968+IF(X2969="",0,IF(ISNA(MATCH(X2969,X$256:X2968,0)),1,0))</f>
        <v/>
      </c>
      <c r="AC2969">
        <f>IF(AB2969&gt;AB2968,AB2969,"")</f>
        <v/>
      </c>
    </row>
    <row r="2970">
      <c r="W2970" s="7" t="n"/>
      <c r="X2970" s="7" t="n"/>
      <c r="Z2970">
        <f>Z2969+IF(W2970="",0,IF(ISNA(MATCH(W2970,W$256:W2969,0)),1,0))</f>
        <v/>
      </c>
      <c r="AA2970">
        <f>IF(Z2970&gt;Z2969,Z2970,"")</f>
        <v/>
      </c>
      <c r="AB2970">
        <f>AB2969+IF(X2970="",0,IF(ISNA(MATCH(X2970,X$256:X2969,0)),1,0))</f>
        <v/>
      </c>
      <c r="AC2970">
        <f>IF(AB2970&gt;AB2969,AB2970,"")</f>
        <v/>
      </c>
    </row>
    <row r="2971">
      <c r="W2971" s="7" t="n"/>
      <c r="X2971" s="7" t="n"/>
      <c r="Z2971">
        <f>Z2970+IF(W2971="",0,IF(ISNA(MATCH(W2971,W$256:W2970,0)),1,0))</f>
        <v/>
      </c>
      <c r="AA2971">
        <f>IF(Z2971&gt;Z2970,Z2971,"")</f>
        <v/>
      </c>
      <c r="AB2971">
        <f>AB2970+IF(X2971="",0,IF(ISNA(MATCH(X2971,X$256:X2970,0)),1,0))</f>
        <v/>
      </c>
      <c r="AC2971">
        <f>IF(AB2971&gt;AB2970,AB2971,"")</f>
        <v/>
      </c>
    </row>
    <row r="2972">
      <c r="W2972" s="7" t="n"/>
      <c r="X2972" s="7" t="n"/>
      <c r="Z2972">
        <f>Z2971+IF(W2972="",0,IF(ISNA(MATCH(W2972,W$256:W2971,0)),1,0))</f>
        <v/>
      </c>
      <c r="AA2972">
        <f>IF(Z2972&gt;Z2971,Z2972,"")</f>
        <v/>
      </c>
      <c r="AB2972">
        <f>AB2971+IF(X2972="",0,IF(ISNA(MATCH(X2972,X$256:X2971,0)),1,0))</f>
        <v/>
      </c>
      <c r="AC2972">
        <f>IF(AB2972&gt;AB2971,AB2972,"")</f>
        <v/>
      </c>
    </row>
    <row r="2973">
      <c r="W2973" s="7" t="n"/>
      <c r="X2973" s="7" t="n"/>
      <c r="Z2973">
        <f>Z2972+IF(W2973="",0,IF(ISNA(MATCH(W2973,W$256:W2972,0)),1,0))</f>
        <v/>
      </c>
      <c r="AA2973">
        <f>IF(Z2973&gt;Z2972,Z2973,"")</f>
        <v/>
      </c>
      <c r="AB2973">
        <f>AB2972+IF(X2973="",0,IF(ISNA(MATCH(X2973,X$256:X2972,0)),1,0))</f>
        <v/>
      </c>
      <c r="AC2973">
        <f>IF(AB2973&gt;AB2972,AB2973,"")</f>
        <v/>
      </c>
    </row>
    <row r="2974">
      <c r="W2974" s="7" t="n"/>
      <c r="X2974" s="7" t="n"/>
      <c r="Z2974">
        <f>Z2973+IF(W2974="",0,IF(ISNA(MATCH(W2974,W$256:W2973,0)),1,0))</f>
        <v/>
      </c>
      <c r="AA2974">
        <f>IF(Z2974&gt;Z2973,Z2974,"")</f>
        <v/>
      </c>
      <c r="AB2974">
        <f>AB2973+IF(X2974="",0,IF(ISNA(MATCH(X2974,X$256:X2973,0)),1,0))</f>
        <v/>
      </c>
      <c r="AC2974">
        <f>IF(AB2974&gt;AB2973,AB2974,"")</f>
        <v/>
      </c>
    </row>
    <row r="2975">
      <c r="W2975" s="7" t="n"/>
      <c r="X2975" s="7" t="n"/>
      <c r="Z2975">
        <f>Z2974+IF(W2975="",0,IF(ISNA(MATCH(W2975,W$256:W2974,0)),1,0))</f>
        <v/>
      </c>
      <c r="AA2975">
        <f>IF(Z2975&gt;Z2974,Z2975,"")</f>
        <v/>
      </c>
      <c r="AB2975">
        <f>AB2974+IF(X2975="",0,IF(ISNA(MATCH(X2975,X$256:X2974,0)),1,0))</f>
        <v/>
      </c>
      <c r="AC2975">
        <f>IF(AB2975&gt;AB2974,AB2975,"")</f>
        <v/>
      </c>
    </row>
    <row r="2976">
      <c r="W2976" s="7" t="n"/>
      <c r="X2976" s="7" t="n"/>
      <c r="Z2976">
        <f>Z2975+IF(W2976="",0,IF(ISNA(MATCH(W2976,W$256:W2975,0)),1,0))</f>
        <v/>
      </c>
      <c r="AA2976">
        <f>IF(Z2976&gt;Z2975,Z2976,"")</f>
        <v/>
      </c>
      <c r="AB2976">
        <f>AB2975+IF(X2976="",0,IF(ISNA(MATCH(X2976,X$256:X2975,0)),1,0))</f>
        <v/>
      </c>
      <c r="AC2976">
        <f>IF(AB2976&gt;AB2975,AB2976,"")</f>
        <v/>
      </c>
    </row>
    <row r="2977">
      <c r="W2977" s="7" t="n"/>
      <c r="X2977" s="7" t="n"/>
      <c r="Z2977">
        <f>Z2976+IF(W2977="",0,IF(ISNA(MATCH(W2977,W$256:W2976,0)),1,0))</f>
        <v/>
      </c>
      <c r="AA2977">
        <f>IF(Z2977&gt;Z2976,Z2977,"")</f>
        <v/>
      </c>
      <c r="AB2977">
        <f>AB2976+IF(X2977="",0,IF(ISNA(MATCH(X2977,X$256:X2976,0)),1,0))</f>
        <v/>
      </c>
      <c r="AC2977">
        <f>IF(AB2977&gt;AB2976,AB2977,"")</f>
        <v/>
      </c>
    </row>
    <row r="2978">
      <c r="W2978" s="7" t="n"/>
      <c r="X2978" s="7" t="n"/>
      <c r="Z2978">
        <f>Z2977+IF(W2978="",0,IF(ISNA(MATCH(W2978,W$256:W2977,0)),1,0))</f>
        <v/>
      </c>
      <c r="AA2978">
        <f>IF(Z2978&gt;Z2977,Z2978,"")</f>
        <v/>
      </c>
      <c r="AB2978">
        <f>AB2977+IF(X2978="",0,IF(ISNA(MATCH(X2978,X$256:X2977,0)),1,0))</f>
        <v/>
      </c>
      <c r="AC2978">
        <f>IF(AB2978&gt;AB2977,AB2978,"")</f>
        <v/>
      </c>
    </row>
    <row r="2979">
      <c r="W2979" s="7" t="n"/>
      <c r="X2979" s="7" t="n"/>
      <c r="Z2979">
        <f>Z2978+IF(W2979="",0,IF(ISNA(MATCH(W2979,W$256:W2978,0)),1,0))</f>
        <v/>
      </c>
      <c r="AA2979">
        <f>IF(Z2979&gt;Z2978,Z2979,"")</f>
        <v/>
      </c>
      <c r="AB2979">
        <f>AB2978+IF(X2979="",0,IF(ISNA(MATCH(X2979,X$256:X2978,0)),1,0))</f>
        <v/>
      </c>
      <c r="AC2979">
        <f>IF(AB2979&gt;AB2978,AB2979,"")</f>
        <v/>
      </c>
    </row>
    <row r="2980">
      <c r="W2980" s="7" t="n"/>
      <c r="X2980" s="7" t="n"/>
      <c r="Z2980">
        <f>Z2979+IF(W2980="",0,IF(ISNA(MATCH(W2980,W$256:W2979,0)),1,0))</f>
        <v/>
      </c>
      <c r="AA2980">
        <f>IF(Z2980&gt;Z2979,Z2980,"")</f>
        <v/>
      </c>
      <c r="AB2980">
        <f>AB2979+IF(X2980="",0,IF(ISNA(MATCH(X2980,X$256:X2979,0)),1,0))</f>
        <v/>
      </c>
      <c r="AC2980">
        <f>IF(AB2980&gt;AB2979,AB2980,"")</f>
        <v/>
      </c>
    </row>
    <row r="2981">
      <c r="W2981" s="7" t="n"/>
      <c r="X2981" s="7" t="n"/>
      <c r="Z2981">
        <f>Z2980+IF(W2981="",0,IF(ISNA(MATCH(W2981,W$256:W2980,0)),1,0))</f>
        <v/>
      </c>
      <c r="AA2981">
        <f>IF(Z2981&gt;Z2980,Z2981,"")</f>
        <v/>
      </c>
      <c r="AB2981">
        <f>AB2980+IF(X2981="",0,IF(ISNA(MATCH(X2981,X$256:X2980,0)),1,0))</f>
        <v/>
      </c>
      <c r="AC2981">
        <f>IF(AB2981&gt;AB2980,AB2981,"")</f>
        <v/>
      </c>
    </row>
    <row r="2982">
      <c r="W2982" s="7" t="n"/>
      <c r="X2982" s="7" t="n"/>
      <c r="Z2982">
        <f>Z2981+IF(W2982="",0,IF(ISNA(MATCH(W2982,W$256:W2981,0)),1,0))</f>
        <v/>
      </c>
      <c r="AA2982">
        <f>IF(Z2982&gt;Z2981,Z2982,"")</f>
        <v/>
      </c>
      <c r="AB2982">
        <f>AB2981+IF(X2982="",0,IF(ISNA(MATCH(X2982,X$256:X2981,0)),1,0))</f>
        <v/>
      </c>
      <c r="AC2982">
        <f>IF(AB2982&gt;AB2981,AB2982,"")</f>
        <v/>
      </c>
    </row>
    <row r="2983">
      <c r="W2983" s="7" t="n"/>
      <c r="X2983" s="7" t="n"/>
      <c r="Z2983">
        <f>Z2982+IF(W2983="",0,IF(ISNA(MATCH(W2983,W$256:W2982,0)),1,0))</f>
        <v/>
      </c>
      <c r="AA2983">
        <f>IF(Z2983&gt;Z2982,Z2983,"")</f>
        <v/>
      </c>
      <c r="AB2983">
        <f>AB2982+IF(X2983="",0,IF(ISNA(MATCH(X2983,X$256:X2982,0)),1,0))</f>
        <v/>
      </c>
      <c r="AC2983">
        <f>IF(AB2983&gt;AB2982,AB2983,"")</f>
        <v/>
      </c>
    </row>
    <row r="2984">
      <c r="W2984" s="7" t="n"/>
      <c r="X2984" s="7" t="n"/>
      <c r="Z2984">
        <f>Z2983+IF(W2984="",0,IF(ISNA(MATCH(W2984,W$256:W2983,0)),1,0))</f>
        <v/>
      </c>
      <c r="AA2984">
        <f>IF(Z2984&gt;Z2983,Z2984,"")</f>
        <v/>
      </c>
      <c r="AB2984">
        <f>AB2983+IF(X2984="",0,IF(ISNA(MATCH(X2984,X$256:X2983,0)),1,0))</f>
        <v/>
      </c>
      <c r="AC2984">
        <f>IF(AB2984&gt;AB2983,AB2984,"")</f>
        <v/>
      </c>
    </row>
    <row r="2985">
      <c r="W2985" s="7" t="n"/>
      <c r="X2985" s="7" t="n"/>
      <c r="Z2985">
        <f>Z2984+IF(W2985="",0,IF(ISNA(MATCH(W2985,W$256:W2984,0)),1,0))</f>
        <v/>
      </c>
      <c r="AA2985">
        <f>IF(Z2985&gt;Z2984,Z2985,"")</f>
        <v/>
      </c>
      <c r="AB2985">
        <f>AB2984+IF(X2985="",0,IF(ISNA(MATCH(X2985,X$256:X2984,0)),1,0))</f>
        <v/>
      </c>
      <c r="AC2985">
        <f>IF(AB2985&gt;AB2984,AB2985,"")</f>
        <v/>
      </c>
    </row>
    <row r="2986">
      <c r="W2986" s="7" t="n"/>
      <c r="X2986" s="7" t="n"/>
      <c r="Z2986">
        <f>Z2985+IF(W2986="",0,IF(ISNA(MATCH(W2986,W$256:W2985,0)),1,0))</f>
        <v/>
      </c>
      <c r="AA2986">
        <f>IF(Z2986&gt;Z2985,Z2986,"")</f>
        <v/>
      </c>
      <c r="AB2986">
        <f>AB2985+IF(X2986="",0,IF(ISNA(MATCH(X2986,X$256:X2985,0)),1,0))</f>
        <v/>
      </c>
      <c r="AC2986">
        <f>IF(AB2986&gt;AB2985,AB2986,"")</f>
        <v/>
      </c>
    </row>
    <row r="2987">
      <c r="W2987" s="7" t="n"/>
      <c r="X2987" s="7" t="n"/>
      <c r="Z2987">
        <f>Z2986+IF(W2987="",0,IF(ISNA(MATCH(W2987,W$256:W2986,0)),1,0))</f>
        <v/>
      </c>
      <c r="AA2987">
        <f>IF(Z2987&gt;Z2986,Z2987,"")</f>
        <v/>
      </c>
      <c r="AB2987">
        <f>AB2986+IF(X2987="",0,IF(ISNA(MATCH(X2987,X$256:X2986,0)),1,0))</f>
        <v/>
      </c>
      <c r="AC2987">
        <f>IF(AB2987&gt;AB2986,AB2987,"")</f>
        <v/>
      </c>
    </row>
    <row r="2988">
      <c r="W2988" s="7" t="n"/>
      <c r="X2988" s="7" t="n"/>
      <c r="Z2988">
        <f>Z2987+IF(W2988="",0,IF(ISNA(MATCH(W2988,W$256:W2987,0)),1,0))</f>
        <v/>
      </c>
      <c r="AA2988">
        <f>IF(Z2988&gt;Z2987,Z2988,"")</f>
        <v/>
      </c>
      <c r="AB2988">
        <f>AB2987+IF(X2988="",0,IF(ISNA(MATCH(X2988,X$256:X2987,0)),1,0))</f>
        <v/>
      </c>
      <c r="AC2988">
        <f>IF(AB2988&gt;AB2987,AB2988,"")</f>
        <v/>
      </c>
    </row>
    <row r="2989">
      <c r="W2989" s="7" t="n"/>
      <c r="X2989" s="7" t="n"/>
      <c r="Z2989">
        <f>Z2988+IF(W2989="",0,IF(ISNA(MATCH(W2989,W$256:W2988,0)),1,0))</f>
        <v/>
      </c>
      <c r="AA2989">
        <f>IF(Z2989&gt;Z2988,Z2989,"")</f>
        <v/>
      </c>
      <c r="AB2989">
        <f>AB2988+IF(X2989="",0,IF(ISNA(MATCH(X2989,X$256:X2988,0)),1,0))</f>
        <v/>
      </c>
      <c r="AC2989">
        <f>IF(AB2989&gt;AB2988,AB2989,"")</f>
        <v/>
      </c>
    </row>
    <row r="2990">
      <c r="W2990" s="7" t="n"/>
      <c r="X2990" s="7" t="n"/>
      <c r="Z2990">
        <f>Z2989+IF(W2990="",0,IF(ISNA(MATCH(W2990,W$256:W2989,0)),1,0))</f>
        <v/>
      </c>
      <c r="AA2990">
        <f>IF(Z2990&gt;Z2989,Z2990,"")</f>
        <v/>
      </c>
      <c r="AB2990">
        <f>AB2989+IF(X2990="",0,IF(ISNA(MATCH(X2990,X$256:X2989,0)),1,0))</f>
        <v/>
      </c>
      <c r="AC2990">
        <f>IF(AB2990&gt;AB2989,AB2990,"")</f>
        <v/>
      </c>
    </row>
    <row r="2991">
      <c r="W2991" s="7" t="n"/>
      <c r="X2991" s="7" t="n"/>
      <c r="Z2991">
        <f>Z2990+IF(W2991="",0,IF(ISNA(MATCH(W2991,W$256:W2990,0)),1,0))</f>
        <v/>
      </c>
      <c r="AA2991">
        <f>IF(Z2991&gt;Z2990,Z2991,"")</f>
        <v/>
      </c>
      <c r="AB2991">
        <f>AB2990+IF(X2991="",0,IF(ISNA(MATCH(X2991,X$256:X2990,0)),1,0))</f>
        <v/>
      </c>
      <c r="AC2991">
        <f>IF(AB2991&gt;AB2990,AB2991,"")</f>
        <v/>
      </c>
    </row>
    <row r="2992">
      <c r="W2992" s="7" t="n"/>
      <c r="X2992" s="7" t="n"/>
      <c r="Z2992">
        <f>Z2991+IF(W2992="",0,IF(ISNA(MATCH(W2992,W$256:W2991,0)),1,0))</f>
        <v/>
      </c>
      <c r="AA2992">
        <f>IF(Z2992&gt;Z2991,Z2992,"")</f>
        <v/>
      </c>
      <c r="AB2992">
        <f>AB2991+IF(X2992="",0,IF(ISNA(MATCH(X2992,X$256:X2991,0)),1,0))</f>
        <v/>
      </c>
      <c r="AC2992">
        <f>IF(AB2992&gt;AB2991,AB2992,"")</f>
        <v/>
      </c>
    </row>
    <row r="2993">
      <c r="W2993" s="7" t="n"/>
      <c r="X2993" s="7" t="n"/>
      <c r="Z2993">
        <f>Z2992+IF(W2993="",0,IF(ISNA(MATCH(W2993,W$256:W2992,0)),1,0))</f>
        <v/>
      </c>
      <c r="AA2993">
        <f>IF(Z2993&gt;Z2992,Z2993,"")</f>
        <v/>
      </c>
      <c r="AB2993">
        <f>AB2992+IF(X2993="",0,IF(ISNA(MATCH(X2993,X$256:X2992,0)),1,0))</f>
        <v/>
      </c>
      <c r="AC2993">
        <f>IF(AB2993&gt;AB2992,AB2993,"")</f>
        <v/>
      </c>
    </row>
    <row r="2994">
      <c r="W2994" s="7" t="n"/>
      <c r="X2994" s="7" t="n"/>
      <c r="Z2994">
        <f>Z2993+IF(W2994="",0,IF(ISNA(MATCH(W2994,W$256:W2993,0)),1,0))</f>
        <v/>
      </c>
      <c r="AA2994">
        <f>IF(Z2994&gt;Z2993,Z2994,"")</f>
        <v/>
      </c>
      <c r="AB2994">
        <f>AB2993+IF(X2994="",0,IF(ISNA(MATCH(X2994,X$256:X2993,0)),1,0))</f>
        <v/>
      </c>
      <c r="AC2994">
        <f>IF(AB2994&gt;AB2993,AB2994,"")</f>
        <v/>
      </c>
    </row>
    <row r="2995">
      <c r="W2995" s="7" t="n"/>
      <c r="X2995" s="7" t="n"/>
      <c r="Z2995">
        <f>Z2994+IF(W2995="",0,IF(ISNA(MATCH(W2995,W$256:W2994,0)),1,0))</f>
        <v/>
      </c>
      <c r="AA2995">
        <f>IF(Z2995&gt;Z2994,Z2995,"")</f>
        <v/>
      </c>
      <c r="AB2995">
        <f>AB2994+IF(X2995="",0,IF(ISNA(MATCH(X2995,X$256:X2994,0)),1,0))</f>
        <v/>
      </c>
      <c r="AC2995">
        <f>IF(AB2995&gt;AB2994,AB2995,"")</f>
        <v/>
      </c>
    </row>
    <row r="2996">
      <c r="W2996" s="7" t="n"/>
      <c r="X2996" s="7" t="n"/>
      <c r="Z2996">
        <f>Z2995+IF(W2996="",0,IF(ISNA(MATCH(W2996,W$256:W2995,0)),1,0))</f>
        <v/>
      </c>
      <c r="AA2996">
        <f>IF(Z2996&gt;Z2995,Z2996,"")</f>
        <v/>
      </c>
      <c r="AB2996">
        <f>AB2995+IF(X2996="",0,IF(ISNA(MATCH(X2996,X$256:X2995,0)),1,0))</f>
        <v/>
      </c>
      <c r="AC2996">
        <f>IF(AB2996&gt;AB2995,AB2996,"")</f>
        <v/>
      </c>
    </row>
    <row r="2997">
      <c r="W2997" s="7" t="n"/>
      <c r="X2997" s="7" t="n"/>
      <c r="Z2997">
        <f>Z2996+IF(W2997="",0,IF(ISNA(MATCH(W2997,W$256:W2996,0)),1,0))</f>
        <v/>
      </c>
      <c r="AA2997">
        <f>IF(Z2997&gt;Z2996,Z2997,"")</f>
        <v/>
      </c>
      <c r="AB2997">
        <f>AB2996+IF(X2997="",0,IF(ISNA(MATCH(X2997,X$256:X2996,0)),1,0))</f>
        <v/>
      </c>
      <c r="AC2997">
        <f>IF(AB2997&gt;AB2996,AB2997,"")</f>
        <v/>
      </c>
    </row>
    <row r="2998">
      <c r="W2998" s="7" t="n"/>
      <c r="X2998" s="7" t="n"/>
      <c r="Z2998">
        <f>Z2997+IF(W2998="",0,IF(ISNA(MATCH(W2998,W$256:W2997,0)),1,0))</f>
        <v/>
      </c>
      <c r="AA2998">
        <f>IF(Z2998&gt;Z2997,Z2998,"")</f>
        <v/>
      </c>
      <c r="AB2998">
        <f>AB2997+IF(X2998="",0,IF(ISNA(MATCH(X2998,X$256:X2997,0)),1,0))</f>
        <v/>
      </c>
      <c r="AC2998">
        <f>IF(AB2998&gt;AB2997,AB2998,"")</f>
        <v/>
      </c>
    </row>
    <row r="2999">
      <c r="W2999" s="7" t="n"/>
      <c r="X2999" s="7" t="n"/>
      <c r="Z2999">
        <f>Z2998+IF(W2999="",0,IF(ISNA(MATCH(W2999,W$256:W2998,0)),1,0))</f>
        <v/>
      </c>
      <c r="AA2999">
        <f>IF(Z2999&gt;Z2998,Z2999,"")</f>
        <v/>
      </c>
      <c r="AB2999">
        <f>AB2998+IF(X2999="",0,IF(ISNA(MATCH(X2999,X$256:X2998,0)),1,0))</f>
        <v/>
      </c>
      <c r="AC2999">
        <f>IF(AB2999&gt;AB2998,AB2999,"")</f>
        <v/>
      </c>
    </row>
    <row r="3000">
      <c r="W3000" s="7" t="n"/>
      <c r="X3000" s="7" t="n"/>
      <c r="Z3000">
        <f>Z2999+IF(W3000="",0,IF(ISNA(MATCH(W3000,W$256:W2999,0)),1,0))</f>
        <v/>
      </c>
      <c r="AA3000">
        <f>IF(Z3000&gt;Z2999,Z3000,"")</f>
        <v/>
      </c>
      <c r="AB3000">
        <f>AB2999+IF(X3000="",0,IF(ISNA(MATCH(X3000,X$256:X2999,0)),1,0))</f>
        <v/>
      </c>
      <c r="AC3000">
        <f>IF(AB3000&gt;AB2999,AB3000,"")</f>
        <v/>
      </c>
    </row>
    <row r="3001">
      <c r="W3001" s="7" t="n"/>
      <c r="X3001" s="7" t="n"/>
      <c r="Z3001">
        <f>Z3000+IF(W3001="",0,IF(ISNA(MATCH(W3001,W$256:W3000,0)),1,0))</f>
        <v/>
      </c>
      <c r="AA3001">
        <f>IF(Z3001&gt;Z3000,Z3001,"")</f>
        <v/>
      </c>
      <c r="AB3001">
        <f>AB3000+IF(X3001="",0,IF(ISNA(MATCH(X3001,X$256:X3000,0)),1,0))</f>
        <v/>
      </c>
      <c r="AC3001">
        <f>IF(AB3001&gt;AB3000,AB3001,"")</f>
        <v/>
      </c>
    </row>
    <row r="3002">
      <c r="W3002" s="7" t="n"/>
      <c r="X3002" s="7" t="n"/>
      <c r="Z3002">
        <f>Z3001+IF(W3002="",0,IF(ISNA(MATCH(W3002,W$256:W3001,0)),1,0))</f>
        <v/>
      </c>
      <c r="AA3002">
        <f>IF(Z3002&gt;Z3001,Z3002,"")</f>
        <v/>
      </c>
      <c r="AB3002">
        <f>AB3001+IF(X3002="",0,IF(ISNA(MATCH(X3002,X$256:X3001,0)),1,0))</f>
        <v/>
      </c>
      <c r="AC3002">
        <f>IF(AB3002&gt;AB3001,AB3002,"")</f>
        <v/>
      </c>
    </row>
    <row r="3003">
      <c r="W3003" s="7" t="n"/>
      <c r="X3003" s="7" t="n"/>
      <c r="Z3003">
        <f>Z3002+IF(W3003="",0,IF(ISNA(MATCH(W3003,W$256:W3002,0)),1,0))</f>
        <v/>
      </c>
      <c r="AA3003">
        <f>IF(Z3003&gt;Z3002,Z3003,"")</f>
        <v/>
      </c>
      <c r="AB3003">
        <f>AB3002+IF(X3003="",0,IF(ISNA(MATCH(X3003,X$256:X3002,0)),1,0))</f>
        <v/>
      </c>
      <c r="AC3003">
        <f>IF(AB3003&gt;AB3002,AB3003,"")</f>
        <v/>
      </c>
    </row>
    <row r="3004">
      <c r="W3004" s="7" t="n"/>
      <c r="X3004" s="7" t="n"/>
      <c r="Z3004">
        <f>Z3003+IF(W3004="",0,IF(ISNA(MATCH(W3004,W$256:W3003,0)),1,0))</f>
        <v/>
      </c>
      <c r="AA3004">
        <f>IF(Z3004&gt;Z3003,Z3004,"")</f>
        <v/>
      </c>
      <c r="AB3004">
        <f>AB3003+IF(X3004="",0,IF(ISNA(MATCH(X3004,X$256:X3003,0)),1,0))</f>
        <v/>
      </c>
      <c r="AC3004">
        <f>IF(AB3004&gt;AB3003,AB3004,"")</f>
        <v/>
      </c>
    </row>
    <row r="3005">
      <c r="W3005" s="7" t="n"/>
      <c r="X3005" s="7" t="n"/>
      <c r="Z3005">
        <f>Z3004+IF(W3005="",0,IF(ISNA(MATCH(W3005,W$256:W3004,0)),1,0))</f>
        <v/>
      </c>
      <c r="AA3005">
        <f>IF(Z3005&gt;Z3004,Z3005,"")</f>
        <v/>
      </c>
      <c r="AB3005">
        <f>AB3004+IF(X3005="",0,IF(ISNA(MATCH(X3005,X$256:X3004,0)),1,0))</f>
        <v/>
      </c>
      <c r="AC3005">
        <f>IF(AB3005&gt;AB3004,AB3005,"")</f>
        <v/>
      </c>
    </row>
    <row r="3006">
      <c r="W3006" s="7" t="n"/>
      <c r="X3006" s="7" t="n"/>
      <c r="Z3006">
        <f>Z3005+IF(W3006="",0,IF(ISNA(MATCH(W3006,W$256:W3005,0)),1,0))</f>
        <v/>
      </c>
      <c r="AA3006">
        <f>IF(Z3006&gt;Z3005,Z3006,"")</f>
        <v/>
      </c>
      <c r="AB3006">
        <f>AB3005+IF(X3006="",0,IF(ISNA(MATCH(X3006,X$256:X3005,0)),1,0))</f>
        <v/>
      </c>
      <c r="AC3006">
        <f>IF(AB3006&gt;AB3005,AB3006,"")</f>
        <v/>
      </c>
    </row>
    <row r="3007">
      <c r="W3007" s="7" t="n"/>
      <c r="X3007" s="7" t="n"/>
      <c r="Z3007">
        <f>Z3006+IF(W3007="",0,IF(ISNA(MATCH(W3007,W$256:W3006,0)),1,0))</f>
        <v/>
      </c>
      <c r="AA3007">
        <f>IF(Z3007&gt;Z3006,Z3007,"")</f>
        <v/>
      </c>
      <c r="AB3007">
        <f>AB3006+IF(X3007="",0,IF(ISNA(MATCH(X3007,X$256:X3006,0)),1,0))</f>
        <v/>
      </c>
      <c r="AC3007">
        <f>IF(AB3007&gt;AB3006,AB3007,"")</f>
        <v/>
      </c>
    </row>
    <row r="3008">
      <c r="W3008" s="7" t="n"/>
      <c r="X3008" s="7" t="n"/>
      <c r="Z3008">
        <f>Z3007+IF(W3008="",0,IF(ISNA(MATCH(W3008,W$256:W3007,0)),1,0))</f>
        <v/>
      </c>
      <c r="AA3008">
        <f>IF(Z3008&gt;Z3007,Z3008,"")</f>
        <v/>
      </c>
      <c r="AB3008">
        <f>AB3007+IF(X3008="",0,IF(ISNA(MATCH(X3008,X$256:X3007,0)),1,0))</f>
        <v/>
      </c>
      <c r="AC3008">
        <f>IF(AB3008&gt;AB3007,AB3008,"")</f>
        <v/>
      </c>
    </row>
    <row r="3009">
      <c r="W3009" s="7" t="n"/>
      <c r="X3009" s="7" t="n"/>
      <c r="Z3009">
        <f>Z3008+IF(W3009="",0,IF(ISNA(MATCH(W3009,W$256:W3008,0)),1,0))</f>
        <v/>
      </c>
      <c r="AA3009">
        <f>IF(Z3009&gt;Z3008,Z3009,"")</f>
        <v/>
      </c>
      <c r="AB3009">
        <f>AB3008+IF(X3009="",0,IF(ISNA(MATCH(X3009,X$256:X3008,0)),1,0))</f>
        <v/>
      </c>
      <c r="AC3009">
        <f>IF(AB3009&gt;AB3008,AB3009,"")</f>
        <v/>
      </c>
    </row>
    <row r="3010">
      <c r="W3010" s="7" t="n"/>
      <c r="X3010" s="7" t="n"/>
      <c r="Z3010">
        <f>Z3009+IF(W3010="",0,IF(ISNA(MATCH(W3010,W$256:W3009,0)),1,0))</f>
        <v/>
      </c>
      <c r="AA3010">
        <f>IF(Z3010&gt;Z3009,Z3010,"")</f>
        <v/>
      </c>
      <c r="AB3010">
        <f>AB3009+IF(X3010="",0,IF(ISNA(MATCH(X3010,X$256:X3009,0)),1,0))</f>
        <v/>
      </c>
      <c r="AC3010">
        <f>IF(AB3010&gt;AB3009,AB3010,"")</f>
        <v/>
      </c>
    </row>
    <row r="3011">
      <c r="W3011" s="7" t="n"/>
      <c r="X3011" s="7" t="n"/>
      <c r="Z3011">
        <f>Z3010+IF(W3011="",0,IF(ISNA(MATCH(W3011,W$256:W3010,0)),1,0))</f>
        <v/>
      </c>
      <c r="AA3011">
        <f>IF(Z3011&gt;Z3010,Z3011,"")</f>
        <v/>
      </c>
      <c r="AB3011">
        <f>AB3010+IF(X3011="",0,IF(ISNA(MATCH(X3011,X$256:X3010,0)),1,0))</f>
        <v/>
      </c>
      <c r="AC3011">
        <f>IF(AB3011&gt;AB3010,AB3011,"")</f>
        <v/>
      </c>
    </row>
    <row r="3012">
      <c r="W3012" s="7" t="n"/>
      <c r="X3012" s="7" t="n"/>
      <c r="Z3012">
        <f>Z3011+IF(W3012="",0,IF(ISNA(MATCH(W3012,W$256:W3011,0)),1,0))</f>
        <v/>
      </c>
      <c r="AA3012">
        <f>IF(Z3012&gt;Z3011,Z3012,"")</f>
        <v/>
      </c>
      <c r="AB3012">
        <f>AB3011+IF(X3012="",0,IF(ISNA(MATCH(X3012,X$256:X3011,0)),1,0))</f>
        <v/>
      </c>
      <c r="AC3012">
        <f>IF(AB3012&gt;AB3011,AB3012,"")</f>
        <v/>
      </c>
    </row>
    <row r="3013">
      <c r="W3013" s="7" t="n"/>
      <c r="X3013" s="7" t="n"/>
      <c r="Z3013">
        <f>Z3012+IF(W3013="",0,IF(ISNA(MATCH(W3013,W$256:W3012,0)),1,0))</f>
        <v/>
      </c>
      <c r="AA3013">
        <f>IF(Z3013&gt;Z3012,Z3013,"")</f>
        <v/>
      </c>
      <c r="AB3013">
        <f>AB3012+IF(X3013="",0,IF(ISNA(MATCH(X3013,X$256:X3012,0)),1,0))</f>
        <v/>
      </c>
      <c r="AC3013">
        <f>IF(AB3013&gt;AB3012,AB3013,"")</f>
        <v/>
      </c>
    </row>
    <row r="3014">
      <c r="W3014" s="7" t="n"/>
      <c r="X3014" s="7" t="n"/>
      <c r="Z3014">
        <f>Z3013+IF(W3014="",0,IF(ISNA(MATCH(W3014,W$256:W3013,0)),1,0))</f>
        <v/>
      </c>
      <c r="AA3014">
        <f>IF(Z3014&gt;Z3013,Z3014,"")</f>
        <v/>
      </c>
      <c r="AB3014">
        <f>AB3013+IF(X3014="",0,IF(ISNA(MATCH(X3014,X$256:X3013,0)),1,0))</f>
        <v/>
      </c>
      <c r="AC3014">
        <f>IF(AB3014&gt;AB3013,AB3014,"")</f>
        <v/>
      </c>
    </row>
    <row r="3015">
      <c r="W3015" s="7" t="n"/>
      <c r="X3015" s="7" t="n"/>
      <c r="Z3015">
        <f>Z3014+IF(W3015="",0,IF(ISNA(MATCH(W3015,W$256:W3014,0)),1,0))</f>
        <v/>
      </c>
      <c r="AA3015">
        <f>IF(Z3015&gt;Z3014,Z3015,"")</f>
        <v/>
      </c>
      <c r="AB3015">
        <f>AB3014+IF(X3015="",0,IF(ISNA(MATCH(X3015,X$256:X3014,0)),1,0))</f>
        <v/>
      </c>
      <c r="AC3015">
        <f>IF(AB3015&gt;AB3014,AB3015,"")</f>
        <v/>
      </c>
    </row>
    <row r="3016">
      <c r="W3016" s="7" t="n"/>
      <c r="X3016" s="7" t="n"/>
      <c r="Z3016">
        <f>Z3015+IF(W3016="",0,IF(ISNA(MATCH(W3016,W$256:W3015,0)),1,0))</f>
        <v/>
      </c>
      <c r="AA3016">
        <f>IF(Z3016&gt;Z3015,Z3016,"")</f>
        <v/>
      </c>
      <c r="AB3016">
        <f>AB3015+IF(X3016="",0,IF(ISNA(MATCH(X3016,X$256:X3015,0)),1,0))</f>
        <v/>
      </c>
      <c r="AC3016">
        <f>IF(AB3016&gt;AB3015,AB3016,"")</f>
        <v/>
      </c>
    </row>
    <row r="3017">
      <c r="W3017" s="7" t="n"/>
      <c r="X3017" s="7" t="n"/>
      <c r="Z3017">
        <f>Z3016+IF(W3017="",0,IF(ISNA(MATCH(W3017,W$256:W3016,0)),1,0))</f>
        <v/>
      </c>
      <c r="AA3017">
        <f>IF(Z3017&gt;Z3016,Z3017,"")</f>
        <v/>
      </c>
      <c r="AB3017">
        <f>AB3016+IF(X3017="",0,IF(ISNA(MATCH(X3017,X$256:X3016,0)),1,0))</f>
        <v/>
      </c>
      <c r="AC3017">
        <f>IF(AB3017&gt;AB3016,AB3017,"")</f>
        <v/>
      </c>
    </row>
    <row r="3018">
      <c r="W3018" s="7" t="n"/>
      <c r="X3018" s="7" t="n"/>
      <c r="Z3018">
        <f>Z3017+IF(W3018="",0,IF(ISNA(MATCH(W3018,W$256:W3017,0)),1,0))</f>
        <v/>
      </c>
      <c r="AA3018">
        <f>IF(Z3018&gt;Z3017,Z3018,"")</f>
        <v/>
      </c>
      <c r="AB3018">
        <f>AB3017+IF(X3018="",0,IF(ISNA(MATCH(X3018,X$256:X3017,0)),1,0))</f>
        <v/>
      </c>
      <c r="AC3018">
        <f>IF(AB3018&gt;AB3017,AB3018,"")</f>
        <v/>
      </c>
    </row>
    <row r="3019">
      <c r="W3019" s="7" t="n"/>
      <c r="X3019" s="7" t="n"/>
      <c r="Z3019">
        <f>Z3018+IF(W3019="",0,IF(ISNA(MATCH(W3019,W$256:W3018,0)),1,0))</f>
        <v/>
      </c>
      <c r="AA3019">
        <f>IF(Z3019&gt;Z3018,Z3019,"")</f>
        <v/>
      </c>
      <c r="AB3019">
        <f>AB3018+IF(X3019="",0,IF(ISNA(MATCH(X3019,X$256:X3018,0)),1,0))</f>
        <v/>
      </c>
      <c r="AC3019">
        <f>IF(AB3019&gt;AB3018,AB3019,"")</f>
        <v/>
      </c>
    </row>
    <row r="3020">
      <c r="W3020" s="7" t="n"/>
      <c r="X3020" s="7" t="n"/>
      <c r="Z3020">
        <f>Z3019+IF(W3020="",0,IF(ISNA(MATCH(W3020,W$256:W3019,0)),1,0))</f>
        <v/>
      </c>
      <c r="AA3020">
        <f>IF(Z3020&gt;Z3019,Z3020,"")</f>
        <v/>
      </c>
      <c r="AB3020">
        <f>AB3019+IF(X3020="",0,IF(ISNA(MATCH(X3020,X$256:X3019,0)),1,0))</f>
        <v/>
      </c>
      <c r="AC3020">
        <f>IF(AB3020&gt;AB3019,AB3020,"")</f>
        <v/>
      </c>
    </row>
    <row r="3021">
      <c r="W3021" s="7" t="n"/>
      <c r="X3021" s="7" t="n"/>
      <c r="Z3021">
        <f>Z3020+IF(W3021="",0,IF(ISNA(MATCH(W3021,W$256:W3020,0)),1,0))</f>
        <v/>
      </c>
      <c r="AA3021">
        <f>IF(Z3021&gt;Z3020,Z3021,"")</f>
        <v/>
      </c>
      <c r="AB3021">
        <f>AB3020+IF(X3021="",0,IF(ISNA(MATCH(X3021,X$256:X3020,0)),1,0))</f>
        <v/>
      </c>
      <c r="AC3021">
        <f>IF(AB3021&gt;AB3020,AB3021,"")</f>
        <v/>
      </c>
    </row>
    <row r="3022">
      <c r="W3022" s="7" t="n"/>
      <c r="X3022" s="7" t="n"/>
      <c r="Z3022">
        <f>Z3021+IF(W3022="",0,IF(ISNA(MATCH(W3022,W$256:W3021,0)),1,0))</f>
        <v/>
      </c>
      <c r="AA3022">
        <f>IF(Z3022&gt;Z3021,Z3022,"")</f>
        <v/>
      </c>
      <c r="AB3022">
        <f>AB3021+IF(X3022="",0,IF(ISNA(MATCH(X3022,X$256:X3021,0)),1,0))</f>
        <v/>
      </c>
      <c r="AC3022">
        <f>IF(AB3022&gt;AB3021,AB3022,"")</f>
        <v/>
      </c>
    </row>
    <row r="3023">
      <c r="W3023" s="7" t="n"/>
      <c r="X3023" s="7" t="n"/>
      <c r="Z3023">
        <f>Z3022+IF(W3023="",0,IF(ISNA(MATCH(W3023,W$256:W3022,0)),1,0))</f>
        <v/>
      </c>
      <c r="AA3023">
        <f>IF(Z3023&gt;Z3022,Z3023,"")</f>
        <v/>
      </c>
      <c r="AB3023">
        <f>AB3022+IF(X3023="",0,IF(ISNA(MATCH(X3023,X$256:X3022,0)),1,0))</f>
        <v/>
      </c>
      <c r="AC3023">
        <f>IF(AB3023&gt;AB3022,AB3023,"")</f>
        <v/>
      </c>
    </row>
    <row r="3024">
      <c r="W3024" s="7" t="n"/>
      <c r="X3024" s="7" t="n"/>
      <c r="Z3024">
        <f>Z3023+IF(W3024="",0,IF(ISNA(MATCH(W3024,W$256:W3023,0)),1,0))</f>
        <v/>
      </c>
      <c r="AA3024">
        <f>IF(Z3024&gt;Z3023,Z3024,"")</f>
        <v/>
      </c>
      <c r="AB3024">
        <f>AB3023+IF(X3024="",0,IF(ISNA(MATCH(X3024,X$256:X3023,0)),1,0))</f>
        <v/>
      </c>
      <c r="AC3024">
        <f>IF(AB3024&gt;AB3023,AB3024,"")</f>
        <v/>
      </c>
    </row>
    <row r="3025">
      <c r="W3025" s="7" t="n"/>
      <c r="X3025" s="7" t="n"/>
      <c r="Z3025">
        <f>Z3024+IF(W3025="",0,IF(ISNA(MATCH(W3025,W$256:W3024,0)),1,0))</f>
        <v/>
      </c>
      <c r="AA3025">
        <f>IF(Z3025&gt;Z3024,Z3025,"")</f>
        <v/>
      </c>
      <c r="AB3025">
        <f>AB3024+IF(X3025="",0,IF(ISNA(MATCH(X3025,X$256:X3024,0)),1,0))</f>
        <v/>
      </c>
      <c r="AC3025">
        <f>IF(AB3025&gt;AB3024,AB3025,"")</f>
        <v/>
      </c>
    </row>
    <row r="3026">
      <c r="W3026" s="7" t="n"/>
      <c r="X3026" s="7" t="n"/>
      <c r="Z3026">
        <f>Z3025+IF(W3026="",0,IF(ISNA(MATCH(W3026,W$256:W3025,0)),1,0))</f>
        <v/>
      </c>
      <c r="AA3026">
        <f>IF(Z3026&gt;Z3025,Z3026,"")</f>
        <v/>
      </c>
      <c r="AB3026">
        <f>AB3025+IF(X3026="",0,IF(ISNA(MATCH(X3026,X$256:X3025,0)),1,0))</f>
        <v/>
      </c>
      <c r="AC3026">
        <f>IF(AB3026&gt;AB3025,AB3026,"")</f>
        <v/>
      </c>
    </row>
    <row r="3027">
      <c r="W3027" s="7" t="n"/>
      <c r="X3027" s="7" t="n"/>
      <c r="Z3027">
        <f>Z3026+IF(W3027="",0,IF(ISNA(MATCH(W3027,W$256:W3026,0)),1,0))</f>
        <v/>
      </c>
      <c r="AA3027">
        <f>IF(Z3027&gt;Z3026,Z3027,"")</f>
        <v/>
      </c>
      <c r="AB3027">
        <f>AB3026+IF(X3027="",0,IF(ISNA(MATCH(X3027,X$256:X3026,0)),1,0))</f>
        <v/>
      </c>
      <c r="AC3027">
        <f>IF(AB3027&gt;AB3026,AB3027,"")</f>
        <v/>
      </c>
    </row>
    <row r="3028">
      <c r="W3028" s="7" t="n"/>
      <c r="X3028" s="7" t="n"/>
      <c r="Z3028">
        <f>Z3027+IF(W3028="",0,IF(ISNA(MATCH(W3028,W$256:W3027,0)),1,0))</f>
        <v/>
      </c>
      <c r="AA3028">
        <f>IF(Z3028&gt;Z3027,Z3028,"")</f>
        <v/>
      </c>
      <c r="AB3028">
        <f>AB3027+IF(X3028="",0,IF(ISNA(MATCH(X3028,X$256:X3027,0)),1,0))</f>
        <v/>
      </c>
      <c r="AC3028">
        <f>IF(AB3028&gt;AB3027,AB3028,"")</f>
        <v/>
      </c>
    </row>
    <row r="3029">
      <c r="W3029" s="7" t="n"/>
      <c r="X3029" s="7" t="n"/>
      <c r="Z3029">
        <f>Z3028+IF(W3029="",0,IF(ISNA(MATCH(W3029,W$256:W3028,0)),1,0))</f>
        <v/>
      </c>
      <c r="AA3029">
        <f>IF(Z3029&gt;Z3028,Z3029,"")</f>
        <v/>
      </c>
      <c r="AB3029">
        <f>AB3028+IF(X3029="",0,IF(ISNA(MATCH(X3029,X$256:X3028,0)),1,0))</f>
        <v/>
      </c>
      <c r="AC3029">
        <f>IF(AB3029&gt;AB3028,AB3029,"")</f>
        <v/>
      </c>
    </row>
    <row r="3030">
      <c r="W3030" s="7" t="n"/>
      <c r="X3030" s="7" t="n"/>
      <c r="Z3030">
        <f>Z3029+IF(W3030="",0,IF(ISNA(MATCH(W3030,W$256:W3029,0)),1,0))</f>
        <v/>
      </c>
      <c r="AA3030">
        <f>IF(Z3030&gt;Z3029,Z3030,"")</f>
        <v/>
      </c>
      <c r="AB3030">
        <f>AB3029+IF(X3030="",0,IF(ISNA(MATCH(X3030,X$256:X3029,0)),1,0))</f>
        <v/>
      </c>
      <c r="AC3030">
        <f>IF(AB3030&gt;AB3029,AB3030,"")</f>
        <v/>
      </c>
    </row>
    <row r="3031">
      <c r="W3031" s="7" t="n"/>
      <c r="X3031" s="7" t="n"/>
      <c r="Z3031">
        <f>Z3030+IF(W3031="",0,IF(ISNA(MATCH(W3031,W$256:W3030,0)),1,0))</f>
        <v/>
      </c>
      <c r="AA3031">
        <f>IF(Z3031&gt;Z3030,Z3031,"")</f>
        <v/>
      </c>
      <c r="AB3031">
        <f>AB3030+IF(X3031="",0,IF(ISNA(MATCH(X3031,X$256:X3030,0)),1,0))</f>
        <v/>
      </c>
      <c r="AC3031">
        <f>IF(AB3031&gt;AB3030,AB3031,"")</f>
        <v/>
      </c>
    </row>
    <row r="3032">
      <c r="W3032" s="7" t="n"/>
      <c r="X3032" s="7" t="n"/>
      <c r="Z3032">
        <f>Z3031+IF(W3032="",0,IF(ISNA(MATCH(W3032,W$256:W3031,0)),1,0))</f>
        <v/>
      </c>
      <c r="AA3032">
        <f>IF(Z3032&gt;Z3031,Z3032,"")</f>
        <v/>
      </c>
      <c r="AB3032">
        <f>AB3031+IF(X3032="",0,IF(ISNA(MATCH(X3032,X$256:X3031,0)),1,0))</f>
        <v/>
      </c>
      <c r="AC3032">
        <f>IF(AB3032&gt;AB3031,AB3032,"")</f>
        <v/>
      </c>
    </row>
    <row r="3033">
      <c r="W3033" s="7" t="n"/>
      <c r="X3033" s="7" t="n"/>
      <c r="Z3033">
        <f>Z3032+IF(W3033="",0,IF(ISNA(MATCH(W3033,W$256:W3032,0)),1,0))</f>
        <v/>
      </c>
      <c r="AA3033">
        <f>IF(Z3033&gt;Z3032,Z3033,"")</f>
        <v/>
      </c>
      <c r="AB3033">
        <f>AB3032+IF(X3033="",0,IF(ISNA(MATCH(X3033,X$256:X3032,0)),1,0))</f>
        <v/>
      </c>
      <c r="AC3033">
        <f>IF(AB3033&gt;AB3032,AB3033,"")</f>
        <v/>
      </c>
    </row>
    <row r="3034">
      <c r="W3034" s="7" t="n"/>
      <c r="X3034" s="7" t="n"/>
      <c r="Z3034">
        <f>Z3033+IF(W3034="",0,IF(ISNA(MATCH(W3034,W$256:W3033,0)),1,0))</f>
        <v/>
      </c>
      <c r="AA3034">
        <f>IF(Z3034&gt;Z3033,Z3034,"")</f>
        <v/>
      </c>
      <c r="AB3034">
        <f>AB3033+IF(X3034="",0,IF(ISNA(MATCH(X3034,X$256:X3033,0)),1,0))</f>
        <v/>
      </c>
      <c r="AC3034">
        <f>IF(AB3034&gt;AB3033,AB3034,"")</f>
        <v/>
      </c>
    </row>
    <row r="3035">
      <c r="W3035" s="7" t="n"/>
      <c r="X3035" s="7" t="n"/>
      <c r="Z3035">
        <f>Z3034+IF(W3035="",0,IF(ISNA(MATCH(W3035,W$256:W3034,0)),1,0))</f>
        <v/>
      </c>
      <c r="AA3035">
        <f>IF(Z3035&gt;Z3034,Z3035,"")</f>
        <v/>
      </c>
      <c r="AB3035">
        <f>AB3034+IF(X3035="",0,IF(ISNA(MATCH(X3035,X$256:X3034,0)),1,0))</f>
        <v/>
      </c>
      <c r="AC3035">
        <f>IF(AB3035&gt;AB3034,AB3035,"")</f>
        <v/>
      </c>
    </row>
    <row r="3036">
      <c r="W3036" s="7" t="n"/>
      <c r="X3036" s="7" t="n"/>
      <c r="Z3036">
        <f>Z3035+IF(W3036="",0,IF(ISNA(MATCH(W3036,W$256:W3035,0)),1,0))</f>
        <v/>
      </c>
      <c r="AA3036">
        <f>IF(Z3036&gt;Z3035,Z3036,"")</f>
        <v/>
      </c>
      <c r="AB3036">
        <f>AB3035+IF(X3036="",0,IF(ISNA(MATCH(X3036,X$256:X3035,0)),1,0))</f>
        <v/>
      </c>
      <c r="AC3036">
        <f>IF(AB3036&gt;AB3035,AB3036,"")</f>
        <v/>
      </c>
    </row>
    <row r="3037">
      <c r="W3037" s="7" t="n"/>
      <c r="X3037" s="7" t="n"/>
      <c r="Z3037">
        <f>Z3036+IF(W3037="",0,IF(ISNA(MATCH(W3037,W$256:W3036,0)),1,0))</f>
        <v/>
      </c>
      <c r="AA3037">
        <f>IF(Z3037&gt;Z3036,Z3037,"")</f>
        <v/>
      </c>
      <c r="AB3037">
        <f>AB3036+IF(X3037="",0,IF(ISNA(MATCH(X3037,X$256:X3036,0)),1,0))</f>
        <v/>
      </c>
      <c r="AC3037">
        <f>IF(AB3037&gt;AB3036,AB3037,"")</f>
        <v/>
      </c>
    </row>
    <row r="3038">
      <c r="W3038" s="7" t="n"/>
      <c r="X3038" s="7" t="n"/>
      <c r="Z3038">
        <f>Z3037+IF(W3038="",0,IF(ISNA(MATCH(W3038,W$256:W3037,0)),1,0))</f>
        <v/>
      </c>
      <c r="AA3038">
        <f>IF(Z3038&gt;Z3037,Z3038,"")</f>
        <v/>
      </c>
      <c r="AB3038">
        <f>AB3037+IF(X3038="",0,IF(ISNA(MATCH(X3038,X$256:X3037,0)),1,0))</f>
        <v/>
      </c>
      <c r="AC3038">
        <f>IF(AB3038&gt;AB3037,AB3038,"")</f>
        <v/>
      </c>
    </row>
    <row r="3039">
      <c r="W3039" s="7" t="n"/>
      <c r="X3039" s="7" t="n"/>
      <c r="Z3039">
        <f>Z3038+IF(W3039="",0,IF(ISNA(MATCH(W3039,W$256:W3038,0)),1,0))</f>
        <v/>
      </c>
      <c r="AA3039">
        <f>IF(Z3039&gt;Z3038,Z3039,"")</f>
        <v/>
      </c>
      <c r="AB3039">
        <f>AB3038+IF(X3039="",0,IF(ISNA(MATCH(X3039,X$256:X3038,0)),1,0))</f>
        <v/>
      </c>
      <c r="AC3039">
        <f>IF(AB3039&gt;AB3038,AB3039,"")</f>
        <v/>
      </c>
    </row>
    <row r="3040">
      <c r="W3040" s="7" t="n"/>
      <c r="X3040" s="7" t="n"/>
      <c r="Z3040">
        <f>Z3039+IF(W3040="",0,IF(ISNA(MATCH(W3040,W$256:W3039,0)),1,0))</f>
        <v/>
      </c>
      <c r="AA3040">
        <f>IF(Z3040&gt;Z3039,Z3040,"")</f>
        <v/>
      </c>
      <c r="AB3040">
        <f>AB3039+IF(X3040="",0,IF(ISNA(MATCH(X3040,X$256:X3039,0)),1,0))</f>
        <v/>
      </c>
      <c r="AC3040">
        <f>IF(AB3040&gt;AB3039,AB3040,"")</f>
        <v/>
      </c>
    </row>
    <row r="3041">
      <c r="W3041" s="7" t="n"/>
      <c r="X3041" s="7" t="n"/>
      <c r="Z3041">
        <f>Z3040+IF(W3041="",0,IF(ISNA(MATCH(W3041,W$256:W3040,0)),1,0))</f>
        <v/>
      </c>
      <c r="AA3041">
        <f>IF(Z3041&gt;Z3040,Z3041,"")</f>
        <v/>
      </c>
      <c r="AB3041">
        <f>AB3040+IF(X3041="",0,IF(ISNA(MATCH(X3041,X$256:X3040,0)),1,0))</f>
        <v/>
      </c>
      <c r="AC3041">
        <f>IF(AB3041&gt;AB3040,AB3041,"")</f>
        <v/>
      </c>
    </row>
    <row r="3042">
      <c r="W3042" s="7" t="n"/>
      <c r="X3042" s="7" t="n"/>
      <c r="Z3042">
        <f>Z3041+IF(W3042="",0,IF(ISNA(MATCH(W3042,W$256:W3041,0)),1,0))</f>
        <v/>
      </c>
      <c r="AA3042">
        <f>IF(Z3042&gt;Z3041,Z3042,"")</f>
        <v/>
      </c>
      <c r="AB3042">
        <f>AB3041+IF(X3042="",0,IF(ISNA(MATCH(X3042,X$256:X3041,0)),1,0))</f>
        <v/>
      </c>
      <c r="AC3042">
        <f>IF(AB3042&gt;AB3041,AB3042,"")</f>
        <v/>
      </c>
    </row>
    <row r="3043">
      <c r="W3043" s="7" t="n"/>
      <c r="X3043" s="7" t="n"/>
      <c r="Z3043">
        <f>Z3042+IF(W3043="",0,IF(ISNA(MATCH(W3043,W$256:W3042,0)),1,0))</f>
        <v/>
      </c>
      <c r="AA3043">
        <f>IF(Z3043&gt;Z3042,Z3043,"")</f>
        <v/>
      </c>
      <c r="AB3043">
        <f>AB3042+IF(X3043="",0,IF(ISNA(MATCH(X3043,X$256:X3042,0)),1,0))</f>
        <v/>
      </c>
      <c r="AC3043">
        <f>IF(AB3043&gt;AB3042,AB3043,"")</f>
        <v/>
      </c>
    </row>
    <row r="3044">
      <c r="W3044" s="7" t="n"/>
      <c r="X3044" s="7" t="n"/>
      <c r="Z3044">
        <f>Z3043+IF(W3044="",0,IF(ISNA(MATCH(W3044,W$256:W3043,0)),1,0))</f>
        <v/>
      </c>
      <c r="AA3044">
        <f>IF(Z3044&gt;Z3043,Z3044,"")</f>
        <v/>
      </c>
      <c r="AB3044">
        <f>AB3043+IF(X3044="",0,IF(ISNA(MATCH(X3044,X$256:X3043,0)),1,0))</f>
        <v/>
      </c>
      <c r="AC3044">
        <f>IF(AB3044&gt;AB3043,AB3044,"")</f>
        <v/>
      </c>
    </row>
    <row r="3045">
      <c r="W3045" s="7" t="n"/>
      <c r="X3045" s="7" t="n"/>
      <c r="Z3045">
        <f>Z3044+IF(W3045="",0,IF(ISNA(MATCH(W3045,W$256:W3044,0)),1,0))</f>
        <v/>
      </c>
      <c r="AA3045">
        <f>IF(Z3045&gt;Z3044,Z3045,"")</f>
        <v/>
      </c>
      <c r="AB3045">
        <f>AB3044+IF(X3045="",0,IF(ISNA(MATCH(X3045,X$256:X3044,0)),1,0))</f>
        <v/>
      </c>
      <c r="AC3045">
        <f>IF(AB3045&gt;AB3044,AB3045,"")</f>
        <v/>
      </c>
    </row>
    <row r="3046">
      <c r="W3046" s="7" t="n"/>
      <c r="X3046" s="7" t="n"/>
      <c r="Z3046">
        <f>Z3045+IF(W3046="",0,IF(ISNA(MATCH(W3046,W$256:W3045,0)),1,0))</f>
        <v/>
      </c>
      <c r="AA3046">
        <f>IF(Z3046&gt;Z3045,Z3046,"")</f>
        <v/>
      </c>
      <c r="AB3046">
        <f>AB3045+IF(X3046="",0,IF(ISNA(MATCH(X3046,X$256:X3045,0)),1,0))</f>
        <v/>
      </c>
      <c r="AC3046">
        <f>IF(AB3046&gt;AB3045,AB3046,"")</f>
        <v/>
      </c>
    </row>
    <row r="3047">
      <c r="W3047" s="7" t="n"/>
      <c r="X3047" s="7" t="n"/>
      <c r="Z3047">
        <f>Z3046+IF(W3047="",0,IF(ISNA(MATCH(W3047,W$256:W3046,0)),1,0))</f>
        <v/>
      </c>
      <c r="AA3047">
        <f>IF(Z3047&gt;Z3046,Z3047,"")</f>
        <v/>
      </c>
      <c r="AB3047">
        <f>AB3046+IF(X3047="",0,IF(ISNA(MATCH(X3047,X$256:X3046,0)),1,0))</f>
        <v/>
      </c>
      <c r="AC3047">
        <f>IF(AB3047&gt;AB3046,AB3047,"")</f>
        <v/>
      </c>
    </row>
    <row r="3048">
      <c r="W3048" s="7" t="n"/>
      <c r="X3048" s="7" t="n"/>
      <c r="Z3048">
        <f>Z3047+IF(W3048="",0,IF(ISNA(MATCH(W3048,W$256:W3047,0)),1,0))</f>
        <v/>
      </c>
      <c r="AA3048">
        <f>IF(Z3048&gt;Z3047,Z3048,"")</f>
        <v/>
      </c>
      <c r="AB3048">
        <f>AB3047+IF(X3048="",0,IF(ISNA(MATCH(X3048,X$256:X3047,0)),1,0))</f>
        <v/>
      </c>
      <c r="AC3048">
        <f>IF(AB3048&gt;AB3047,AB3048,"")</f>
        <v/>
      </c>
    </row>
    <row r="3049">
      <c r="W3049" s="7" t="n"/>
      <c r="X3049" s="7" t="n"/>
      <c r="Z3049">
        <f>Z3048+IF(W3049="",0,IF(ISNA(MATCH(W3049,W$256:W3048,0)),1,0))</f>
        <v/>
      </c>
      <c r="AA3049">
        <f>IF(Z3049&gt;Z3048,Z3049,"")</f>
        <v/>
      </c>
      <c r="AB3049">
        <f>AB3048+IF(X3049="",0,IF(ISNA(MATCH(X3049,X$256:X3048,0)),1,0))</f>
        <v/>
      </c>
      <c r="AC3049">
        <f>IF(AB3049&gt;AB3048,AB3049,"")</f>
        <v/>
      </c>
    </row>
    <row r="3050">
      <c r="W3050" s="7" t="n"/>
      <c r="X3050" s="7" t="n"/>
      <c r="Z3050">
        <f>Z3049+IF(W3050="",0,IF(ISNA(MATCH(W3050,W$256:W3049,0)),1,0))</f>
        <v/>
      </c>
      <c r="AA3050">
        <f>IF(Z3050&gt;Z3049,Z3050,"")</f>
        <v/>
      </c>
      <c r="AB3050">
        <f>AB3049+IF(X3050="",0,IF(ISNA(MATCH(X3050,X$256:X3049,0)),1,0))</f>
        <v/>
      </c>
      <c r="AC3050">
        <f>IF(AB3050&gt;AB3049,AB3050,"")</f>
        <v/>
      </c>
    </row>
    <row r="3051">
      <c r="W3051" s="7" t="n"/>
      <c r="X3051" s="7" t="n"/>
      <c r="Z3051">
        <f>Z3050+IF(W3051="",0,IF(ISNA(MATCH(W3051,W$256:W3050,0)),1,0))</f>
        <v/>
      </c>
      <c r="AA3051">
        <f>IF(Z3051&gt;Z3050,Z3051,"")</f>
        <v/>
      </c>
      <c r="AB3051">
        <f>AB3050+IF(X3051="",0,IF(ISNA(MATCH(X3051,X$256:X3050,0)),1,0))</f>
        <v/>
      </c>
      <c r="AC3051">
        <f>IF(AB3051&gt;AB3050,AB3051,"")</f>
        <v/>
      </c>
    </row>
    <row r="3052">
      <c r="W3052" s="7" t="n"/>
      <c r="X3052" s="7" t="n"/>
      <c r="Z3052">
        <f>Z3051+IF(W3052="",0,IF(ISNA(MATCH(W3052,W$256:W3051,0)),1,0))</f>
        <v/>
      </c>
      <c r="AA3052">
        <f>IF(Z3052&gt;Z3051,Z3052,"")</f>
        <v/>
      </c>
      <c r="AB3052">
        <f>AB3051+IF(X3052="",0,IF(ISNA(MATCH(X3052,X$256:X3051,0)),1,0))</f>
        <v/>
      </c>
      <c r="AC3052">
        <f>IF(AB3052&gt;AB3051,AB3052,"")</f>
        <v/>
      </c>
    </row>
    <row r="3053">
      <c r="W3053" s="7" t="n"/>
      <c r="X3053" s="7" t="n"/>
      <c r="Z3053">
        <f>Z3052+IF(W3053="",0,IF(ISNA(MATCH(W3053,W$256:W3052,0)),1,0))</f>
        <v/>
      </c>
      <c r="AA3053">
        <f>IF(Z3053&gt;Z3052,Z3053,"")</f>
        <v/>
      </c>
      <c r="AB3053">
        <f>AB3052+IF(X3053="",0,IF(ISNA(MATCH(X3053,X$256:X3052,0)),1,0))</f>
        <v/>
      </c>
      <c r="AC3053">
        <f>IF(AB3053&gt;AB3052,AB3053,"")</f>
        <v/>
      </c>
    </row>
    <row r="3054">
      <c r="W3054" s="7" t="n"/>
      <c r="X3054" s="7" t="n"/>
      <c r="Z3054">
        <f>Z3053+IF(W3054="",0,IF(ISNA(MATCH(W3054,W$256:W3053,0)),1,0))</f>
        <v/>
      </c>
      <c r="AA3054">
        <f>IF(Z3054&gt;Z3053,Z3054,"")</f>
        <v/>
      </c>
      <c r="AB3054">
        <f>AB3053+IF(X3054="",0,IF(ISNA(MATCH(X3054,X$256:X3053,0)),1,0))</f>
        <v/>
      </c>
      <c r="AC3054">
        <f>IF(AB3054&gt;AB3053,AB3054,"")</f>
        <v/>
      </c>
    </row>
    <row r="3055">
      <c r="W3055" s="7" t="n"/>
      <c r="X3055" s="7" t="n"/>
      <c r="Z3055">
        <f>Z3054+IF(W3055="",0,IF(ISNA(MATCH(W3055,W$256:W3054,0)),1,0))</f>
        <v/>
      </c>
      <c r="AA3055">
        <f>IF(Z3055&gt;Z3054,Z3055,"")</f>
        <v/>
      </c>
      <c r="AB3055">
        <f>AB3054+IF(X3055="",0,IF(ISNA(MATCH(X3055,X$256:X3054,0)),1,0))</f>
        <v/>
      </c>
      <c r="AC3055">
        <f>IF(AB3055&gt;AB3054,AB3055,"")</f>
        <v/>
      </c>
    </row>
    <row r="3056">
      <c r="W3056" s="7" t="n"/>
      <c r="X3056" s="7" t="n"/>
      <c r="Z3056">
        <f>Z3055+IF(W3056="",0,IF(ISNA(MATCH(W3056,W$256:W3055,0)),1,0))</f>
        <v/>
      </c>
      <c r="AA3056">
        <f>IF(Z3056&gt;Z3055,Z3056,"")</f>
        <v/>
      </c>
      <c r="AB3056">
        <f>AB3055+IF(X3056="",0,IF(ISNA(MATCH(X3056,X$256:X3055,0)),1,0))</f>
        <v/>
      </c>
      <c r="AC3056">
        <f>IF(AB3056&gt;AB3055,AB3056,"")</f>
        <v/>
      </c>
    </row>
    <row r="3057">
      <c r="W3057" s="7" t="n"/>
      <c r="X3057" s="7" t="n"/>
      <c r="Z3057">
        <f>Z3056+IF(W3057="",0,IF(ISNA(MATCH(W3057,W$256:W3056,0)),1,0))</f>
        <v/>
      </c>
      <c r="AA3057">
        <f>IF(Z3057&gt;Z3056,Z3057,"")</f>
        <v/>
      </c>
      <c r="AB3057">
        <f>AB3056+IF(X3057="",0,IF(ISNA(MATCH(X3057,X$256:X3056,0)),1,0))</f>
        <v/>
      </c>
      <c r="AC3057">
        <f>IF(AB3057&gt;AB3056,AB3057,"")</f>
        <v/>
      </c>
    </row>
    <row r="3058">
      <c r="W3058" s="7" t="n"/>
      <c r="X3058" s="7" t="n"/>
      <c r="Z3058">
        <f>Z3057+IF(W3058="",0,IF(ISNA(MATCH(W3058,W$256:W3057,0)),1,0))</f>
        <v/>
      </c>
      <c r="AA3058">
        <f>IF(Z3058&gt;Z3057,Z3058,"")</f>
        <v/>
      </c>
      <c r="AB3058">
        <f>AB3057+IF(X3058="",0,IF(ISNA(MATCH(X3058,X$256:X3057,0)),1,0))</f>
        <v/>
      </c>
      <c r="AC3058">
        <f>IF(AB3058&gt;AB3057,AB3058,"")</f>
        <v/>
      </c>
    </row>
    <row r="3059">
      <c r="W3059" s="7" t="n"/>
      <c r="X3059" s="7" t="n"/>
      <c r="Z3059">
        <f>Z3058+IF(W3059="",0,IF(ISNA(MATCH(W3059,W$256:W3058,0)),1,0))</f>
        <v/>
      </c>
      <c r="AA3059">
        <f>IF(Z3059&gt;Z3058,Z3059,"")</f>
        <v/>
      </c>
      <c r="AB3059">
        <f>AB3058+IF(X3059="",0,IF(ISNA(MATCH(X3059,X$256:X3058,0)),1,0))</f>
        <v/>
      </c>
      <c r="AC3059">
        <f>IF(AB3059&gt;AB3058,AB3059,"")</f>
        <v/>
      </c>
    </row>
    <row r="3060">
      <c r="W3060" s="7" t="n"/>
      <c r="X3060" s="7" t="n"/>
      <c r="Z3060">
        <f>Z3059+IF(W3060="",0,IF(ISNA(MATCH(W3060,W$256:W3059,0)),1,0))</f>
        <v/>
      </c>
      <c r="AA3060">
        <f>IF(Z3060&gt;Z3059,Z3060,"")</f>
        <v/>
      </c>
      <c r="AB3060">
        <f>AB3059+IF(X3060="",0,IF(ISNA(MATCH(X3060,X$256:X3059,0)),1,0))</f>
        <v/>
      </c>
      <c r="AC3060">
        <f>IF(AB3060&gt;AB3059,AB3060,"")</f>
        <v/>
      </c>
    </row>
    <row r="3061">
      <c r="W3061" s="7" t="n"/>
      <c r="X3061" s="7" t="n"/>
      <c r="Z3061">
        <f>Z3060+IF(W3061="",0,IF(ISNA(MATCH(W3061,W$256:W3060,0)),1,0))</f>
        <v/>
      </c>
      <c r="AA3061">
        <f>IF(Z3061&gt;Z3060,Z3061,"")</f>
        <v/>
      </c>
      <c r="AB3061">
        <f>AB3060+IF(X3061="",0,IF(ISNA(MATCH(X3061,X$256:X3060,0)),1,0))</f>
        <v/>
      </c>
      <c r="AC3061">
        <f>IF(AB3061&gt;AB3060,AB3061,"")</f>
        <v/>
      </c>
    </row>
    <row r="3062">
      <c r="W3062" s="7" t="n"/>
      <c r="X3062" s="7" t="n"/>
      <c r="Z3062">
        <f>Z3061+IF(W3062="",0,IF(ISNA(MATCH(W3062,W$256:W3061,0)),1,0))</f>
        <v/>
      </c>
      <c r="AA3062">
        <f>IF(Z3062&gt;Z3061,Z3062,"")</f>
        <v/>
      </c>
      <c r="AB3062">
        <f>AB3061+IF(X3062="",0,IF(ISNA(MATCH(X3062,X$256:X3061,0)),1,0))</f>
        <v/>
      </c>
      <c r="AC3062">
        <f>IF(AB3062&gt;AB3061,AB3062,"")</f>
        <v/>
      </c>
    </row>
    <row r="3063">
      <c r="W3063" s="7" t="n"/>
      <c r="X3063" s="7" t="n"/>
      <c r="Z3063">
        <f>Z3062+IF(W3063="",0,IF(ISNA(MATCH(W3063,W$256:W3062,0)),1,0))</f>
        <v/>
      </c>
      <c r="AA3063">
        <f>IF(Z3063&gt;Z3062,Z3063,"")</f>
        <v/>
      </c>
      <c r="AB3063">
        <f>AB3062+IF(X3063="",0,IF(ISNA(MATCH(X3063,X$256:X3062,0)),1,0))</f>
        <v/>
      </c>
      <c r="AC3063">
        <f>IF(AB3063&gt;AB3062,AB3063,"")</f>
        <v/>
      </c>
    </row>
    <row r="3064">
      <c r="W3064" s="7" t="n"/>
      <c r="X3064" s="7" t="n"/>
      <c r="Z3064">
        <f>Z3063+IF(W3064="",0,IF(ISNA(MATCH(W3064,W$256:W3063,0)),1,0))</f>
        <v/>
      </c>
      <c r="AA3064">
        <f>IF(Z3064&gt;Z3063,Z3064,"")</f>
        <v/>
      </c>
      <c r="AB3064">
        <f>AB3063+IF(X3064="",0,IF(ISNA(MATCH(X3064,X$256:X3063,0)),1,0))</f>
        <v/>
      </c>
      <c r="AC3064">
        <f>IF(AB3064&gt;AB3063,AB3064,"")</f>
        <v/>
      </c>
    </row>
    <row r="3065">
      <c r="W3065" s="7" t="n"/>
      <c r="X3065" s="7" t="n"/>
      <c r="Z3065">
        <f>Z3064+IF(W3065="",0,IF(ISNA(MATCH(W3065,W$256:W3064,0)),1,0))</f>
        <v/>
      </c>
      <c r="AA3065">
        <f>IF(Z3065&gt;Z3064,Z3065,"")</f>
        <v/>
      </c>
      <c r="AB3065">
        <f>AB3064+IF(X3065="",0,IF(ISNA(MATCH(X3065,X$256:X3064,0)),1,0))</f>
        <v/>
      </c>
      <c r="AC3065">
        <f>IF(AB3065&gt;AB3064,AB3065,"")</f>
        <v/>
      </c>
    </row>
    <row r="3066">
      <c r="W3066" s="7" t="n"/>
      <c r="X3066" s="7" t="n"/>
      <c r="Z3066">
        <f>Z3065+IF(W3066="",0,IF(ISNA(MATCH(W3066,W$256:W3065,0)),1,0))</f>
        <v/>
      </c>
      <c r="AA3066">
        <f>IF(Z3066&gt;Z3065,Z3066,"")</f>
        <v/>
      </c>
      <c r="AB3066">
        <f>AB3065+IF(X3066="",0,IF(ISNA(MATCH(X3066,X$256:X3065,0)),1,0))</f>
        <v/>
      </c>
      <c r="AC3066">
        <f>IF(AB3066&gt;AB3065,AB3066,"")</f>
        <v/>
      </c>
    </row>
    <row r="3067">
      <c r="W3067" s="7" t="n"/>
      <c r="X3067" s="7" t="n"/>
      <c r="Z3067">
        <f>Z3066+IF(W3067="",0,IF(ISNA(MATCH(W3067,W$256:W3066,0)),1,0))</f>
        <v/>
      </c>
      <c r="AA3067">
        <f>IF(Z3067&gt;Z3066,Z3067,"")</f>
        <v/>
      </c>
      <c r="AB3067">
        <f>AB3066+IF(X3067="",0,IF(ISNA(MATCH(X3067,X$256:X3066,0)),1,0))</f>
        <v/>
      </c>
      <c r="AC3067">
        <f>IF(AB3067&gt;AB3066,AB3067,"")</f>
        <v/>
      </c>
    </row>
    <row r="3068">
      <c r="W3068" s="7" t="n"/>
      <c r="X3068" s="7" t="n"/>
      <c r="Z3068">
        <f>Z3067+IF(W3068="",0,IF(ISNA(MATCH(W3068,W$256:W3067,0)),1,0))</f>
        <v/>
      </c>
      <c r="AA3068">
        <f>IF(Z3068&gt;Z3067,Z3068,"")</f>
        <v/>
      </c>
      <c r="AB3068">
        <f>AB3067+IF(X3068="",0,IF(ISNA(MATCH(X3068,X$256:X3067,0)),1,0))</f>
        <v/>
      </c>
      <c r="AC3068">
        <f>IF(AB3068&gt;AB3067,AB3068,"")</f>
        <v/>
      </c>
    </row>
    <row r="3069">
      <c r="W3069" s="7" t="n"/>
      <c r="X3069" s="7" t="n"/>
      <c r="Z3069">
        <f>Z3068+IF(W3069="",0,IF(ISNA(MATCH(W3069,W$256:W3068,0)),1,0))</f>
        <v/>
      </c>
      <c r="AA3069">
        <f>IF(Z3069&gt;Z3068,Z3069,"")</f>
        <v/>
      </c>
      <c r="AB3069">
        <f>AB3068+IF(X3069="",0,IF(ISNA(MATCH(X3069,X$256:X3068,0)),1,0))</f>
        <v/>
      </c>
      <c r="AC3069">
        <f>IF(AB3069&gt;AB3068,AB3069,"")</f>
        <v/>
      </c>
    </row>
    <row r="3070">
      <c r="W3070" s="7" t="n"/>
      <c r="X3070" s="7" t="n"/>
      <c r="Z3070">
        <f>Z3069+IF(W3070="",0,IF(ISNA(MATCH(W3070,W$256:W3069,0)),1,0))</f>
        <v/>
      </c>
      <c r="AA3070">
        <f>IF(Z3070&gt;Z3069,Z3070,"")</f>
        <v/>
      </c>
      <c r="AB3070">
        <f>AB3069+IF(X3070="",0,IF(ISNA(MATCH(X3070,X$256:X3069,0)),1,0))</f>
        <v/>
      </c>
      <c r="AC3070">
        <f>IF(AB3070&gt;AB3069,AB3070,"")</f>
        <v/>
      </c>
    </row>
    <row r="3071">
      <c r="W3071" s="7" t="n"/>
      <c r="X3071" s="7" t="n"/>
      <c r="Z3071">
        <f>Z3070+IF(W3071="",0,IF(ISNA(MATCH(W3071,W$256:W3070,0)),1,0))</f>
        <v/>
      </c>
      <c r="AA3071">
        <f>IF(Z3071&gt;Z3070,Z3071,"")</f>
        <v/>
      </c>
      <c r="AB3071">
        <f>AB3070+IF(X3071="",0,IF(ISNA(MATCH(X3071,X$256:X3070,0)),1,0))</f>
        <v/>
      </c>
      <c r="AC3071">
        <f>IF(AB3071&gt;AB3070,AB3071,"")</f>
        <v/>
      </c>
    </row>
    <row r="3072">
      <c r="W3072" s="7" t="n"/>
      <c r="X3072" s="7" t="n"/>
      <c r="Z3072">
        <f>Z3071+IF(W3072="",0,IF(ISNA(MATCH(W3072,W$256:W3071,0)),1,0))</f>
        <v/>
      </c>
      <c r="AA3072">
        <f>IF(Z3072&gt;Z3071,Z3072,"")</f>
        <v/>
      </c>
      <c r="AB3072">
        <f>AB3071+IF(X3072="",0,IF(ISNA(MATCH(X3072,X$256:X3071,0)),1,0))</f>
        <v/>
      </c>
      <c r="AC3072">
        <f>IF(AB3072&gt;AB3071,AB3072,"")</f>
        <v/>
      </c>
    </row>
    <row r="3073">
      <c r="W3073" s="7" t="n"/>
      <c r="X3073" s="7" t="n"/>
      <c r="Z3073">
        <f>Z3072+IF(W3073="",0,IF(ISNA(MATCH(W3073,W$256:W3072,0)),1,0))</f>
        <v/>
      </c>
      <c r="AA3073">
        <f>IF(Z3073&gt;Z3072,Z3073,"")</f>
        <v/>
      </c>
      <c r="AB3073">
        <f>AB3072+IF(X3073="",0,IF(ISNA(MATCH(X3073,X$256:X3072,0)),1,0))</f>
        <v/>
      </c>
      <c r="AC3073">
        <f>IF(AB3073&gt;AB3072,AB3073,"")</f>
        <v/>
      </c>
    </row>
    <row r="3074">
      <c r="W3074" s="7" t="n"/>
      <c r="X3074" s="7" t="n"/>
      <c r="Z3074">
        <f>Z3073+IF(W3074="",0,IF(ISNA(MATCH(W3074,W$256:W3073,0)),1,0))</f>
        <v/>
      </c>
      <c r="AA3074">
        <f>IF(Z3074&gt;Z3073,Z3074,"")</f>
        <v/>
      </c>
      <c r="AB3074">
        <f>AB3073+IF(X3074="",0,IF(ISNA(MATCH(X3074,X$256:X3073,0)),1,0))</f>
        <v/>
      </c>
      <c r="AC3074">
        <f>IF(AB3074&gt;AB3073,AB3074,"")</f>
        <v/>
      </c>
    </row>
    <row r="3075">
      <c r="W3075" s="7" t="n"/>
      <c r="X3075" s="7" t="n"/>
      <c r="Z3075">
        <f>Z3074+IF(W3075="",0,IF(ISNA(MATCH(W3075,W$256:W3074,0)),1,0))</f>
        <v/>
      </c>
      <c r="AA3075">
        <f>IF(Z3075&gt;Z3074,Z3075,"")</f>
        <v/>
      </c>
      <c r="AB3075">
        <f>AB3074+IF(X3075="",0,IF(ISNA(MATCH(X3075,X$256:X3074,0)),1,0))</f>
        <v/>
      </c>
      <c r="AC3075">
        <f>IF(AB3075&gt;AB3074,AB3075,"")</f>
        <v/>
      </c>
    </row>
    <row r="3076">
      <c r="W3076" s="7" t="n"/>
      <c r="X3076" s="7" t="n"/>
      <c r="Z3076">
        <f>Z3075+IF(W3076="",0,IF(ISNA(MATCH(W3076,W$256:W3075,0)),1,0))</f>
        <v/>
      </c>
      <c r="AA3076">
        <f>IF(Z3076&gt;Z3075,Z3076,"")</f>
        <v/>
      </c>
      <c r="AB3076">
        <f>AB3075+IF(X3076="",0,IF(ISNA(MATCH(X3076,X$256:X3075,0)),1,0))</f>
        <v/>
      </c>
      <c r="AC3076">
        <f>IF(AB3076&gt;AB3075,AB3076,"")</f>
        <v/>
      </c>
    </row>
    <row r="3077">
      <c r="W3077" s="7" t="n"/>
      <c r="X3077" s="7" t="n"/>
      <c r="Z3077">
        <f>Z3076+IF(W3077="",0,IF(ISNA(MATCH(W3077,W$256:W3076,0)),1,0))</f>
        <v/>
      </c>
      <c r="AA3077">
        <f>IF(Z3077&gt;Z3076,Z3077,"")</f>
        <v/>
      </c>
      <c r="AB3077">
        <f>AB3076+IF(X3077="",0,IF(ISNA(MATCH(X3077,X$256:X3076,0)),1,0))</f>
        <v/>
      </c>
      <c r="AC3077">
        <f>IF(AB3077&gt;AB3076,AB3077,"")</f>
        <v/>
      </c>
    </row>
    <row r="3078">
      <c r="W3078" s="7" t="n"/>
      <c r="X3078" s="7" t="n"/>
      <c r="Z3078">
        <f>Z3077+IF(W3078="",0,IF(ISNA(MATCH(W3078,W$256:W3077,0)),1,0))</f>
        <v/>
      </c>
      <c r="AA3078">
        <f>IF(Z3078&gt;Z3077,Z3078,"")</f>
        <v/>
      </c>
      <c r="AB3078">
        <f>AB3077+IF(X3078="",0,IF(ISNA(MATCH(X3078,X$256:X3077,0)),1,0))</f>
        <v/>
      </c>
      <c r="AC3078">
        <f>IF(AB3078&gt;AB3077,AB3078,"")</f>
        <v/>
      </c>
    </row>
    <row r="3079">
      <c r="W3079" s="7" t="n"/>
      <c r="X3079" s="7" t="n"/>
      <c r="Z3079">
        <f>Z3078+IF(W3079="",0,IF(ISNA(MATCH(W3079,W$256:W3078,0)),1,0))</f>
        <v/>
      </c>
      <c r="AA3079">
        <f>IF(Z3079&gt;Z3078,Z3079,"")</f>
        <v/>
      </c>
      <c r="AB3079">
        <f>AB3078+IF(X3079="",0,IF(ISNA(MATCH(X3079,X$256:X3078,0)),1,0))</f>
        <v/>
      </c>
      <c r="AC3079">
        <f>IF(AB3079&gt;AB3078,AB3079,"")</f>
        <v/>
      </c>
    </row>
    <row r="3080">
      <c r="W3080" s="7" t="n"/>
      <c r="X3080" s="7" t="n"/>
      <c r="Z3080">
        <f>Z3079+IF(W3080="",0,IF(ISNA(MATCH(W3080,W$256:W3079,0)),1,0))</f>
        <v/>
      </c>
      <c r="AA3080">
        <f>IF(Z3080&gt;Z3079,Z3080,"")</f>
        <v/>
      </c>
      <c r="AB3080">
        <f>AB3079+IF(X3080="",0,IF(ISNA(MATCH(X3080,X$256:X3079,0)),1,0))</f>
        <v/>
      </c>
      <c r="AC3080">
        <f>IF(AB3080&gt;AB3079,AB3080,"")</f>
        <v/>
      </c>
    </row>
    <row r="3081">
      <c r="W3081" s="7" t="n"/>
      <c r="X3081" s="7" t="n"/>
      <c r="Z3081">
        <f>Z3080+IF(W3081="",0,IF(ISNA(MATCH(W3081,W$256:W3080,0)),1,0))</f>
        <v/>
      </c>
      <c r="AA3081">
        <f>IF(Z3081&gt;Z3080,Z3081,"")</f>
        <v/>
      </c>
      <c r="AB3081">
        <f>AB3080+IF(X3081="",0,IF(ISNA(MATCH(X3081,X$256:X3080,0)),1,0))</f>
        <v/>
      </c>
      <c r="AC3081">
        <f>IF(AB3081&gt;AB3080,AB3081,"")</f>
        <v/>
      </c>
    </row>
    <row r="3082">
      <c r="W3082" s="7" t="n"/>
      <c r="X3082" s="7" t="n"/>
      <c r="Z3082">
        <f>Z3081+IF(W3082="",0,IF(ISNA(MATCH(W3082,W$256:W3081,0)),1,0))</f>
        <v/>
      </c>
      <c r="AA3082">
        <f>IF(Z3082&gt;Z3081,Z3082,"")</f>
        <v/>
      </c>
      <c r="AB3082">
        <f>AB3081+IF(X3082="",0,IF(ISNA(MATCH(X3082,X$256:X3081,0)),1,0))</f>
        <v/>
      </c>
      <c r="AC3082">
        <f>IF(AB3082&gt;AB3081,AB3082,"")</f>
        <v/>
      </c>
    </row>
    <row r="3083">
      <c r="W3083" s="7" t="n"/>
      <c r="X3083" s="7" t="n"/>
      <c r="Z3083">
        <f>Z3082+IF(W3083="",0,IF(ISNA(MATCH(W3083,W$256:W3082,0)),1,0))</f>
        <v/>
      </c>
      <c r="AA3083">
        <f>IF(Z3083&gt;Z3082,Z3083,"")</f>
        <v/>
      </c>
      <c r="AB3083">
        <f>AB3082+IF(X3083="",0,IF(ISNA(MATCH(X3083,X$256:X3082,0)),1,0))</f>
        <v/>
      </c>
      <c r="AC3083">
        <f>IF(AB3083&gt;AB3082,AB3083,"")</f>
        <v/>
      </c>
    </row>
    <row r="3084">
      <c r="W3084" s="7" t="n"/>
      <c r="X3084" s="7" t="n"/>
      <c r="Z3084">
        <f>Z3083+IF(W3084="",0,IF(ISNA(MATCH(W3084,W$256:W3083,0)),1,0))</f>
        <v/>
      </c>
      <c r="AA3084">
        <f>IF(Z3084&gt;Z3083,Z3084,"")</f>
        <v/>
      </c>
      <c r="AB3084">
        <f>AB3083+IF(X3084="",0,IF(ISNA(MATCH(X3084,X$256:X3083,0)),1,0))</f>
        <v/>
      </c>
      <c r="AC3084">
        <f>IF(AB3084&gt;AB3083,AB3084,"")</f>
        <v/>
      </c>
    </row>
    <row r="3085">
      <c r="W3085" s="7" t="n"/>
      <c r="X3085" s="7" t="n"/>
      <c r="Z3085">
        <f>Z3084+IF(W3085="",0,IF(ISNA(MATCH(W3085,W$256:W3084,0)),1,0))</f>
        <v/>
      </c>
      <c r="AA3085">
        <f>IF(Z3085&gt;Z3084,Z3085,"")</f>
        <v/>
      </c>
      <c r="AB3085">
        <f>AB3084+IF(X3085="",0,IF(ISNA(MATCH(X3085,X$256:X3084,0)),1,0))</f>
        <v/>
      </c>
      <c r="AC3085">
        <f>IF(AB3085&gt;AB3084,AB3085,"")</f>
        <v/>
      </c>
    </row>
    <row r="3086">
      <c r="W3086" s="7" t="n"/>
      <c r="X3086" s="7" t="n"/>
      <c r="Z3086">
        <f>Z3085+IF(W3086="",0,IF(ISNA(MATCH(W3086,W$256:W3085,0)),1,0))</f>
        <v/>
      </c>
      <c r="AA3086">
        <f>IF(Z3086&gt;Z3085,Z3086,"")</f>
        <v/>
      </c>
      <c r="AB3086">
        <f>AB3085+IF(X3086="",0,IF(ISNA(MATCH(X3086,X$256:X3085,0)),1,0))</f>
        <v/>
      </c>
      <c r="AC3086">
        <f>IF(AB3086&gt;AB3085,AB3086,"")</f>
        <v/>
      </c>
    </row>
    <row r="3087">
      <c r="W3087" s="7" t="n"/>
      <c r="X3087" s="7" t="n"/>
      <c r="Z3087">
        <f>Z3086+IF(W3087="",0,IF(ISNA(MATCH(W3087,W$256:W3086,0)),1,0))</f>
        <v/>
      </c>
      <c r="AA3087">
        <f>IF(Z3087&gt;Z3086,Z3087,"")</f>
        <v/>
      </c>
      <c r="AB3087">
        <f>AB3086+IF(X3087="",0,IF(ISNA(MATCH(X3087,X$256:X3086,0)),1,0))</f>
        <v/>
      </c>
      <c r="AC3087">
        <f>IF(AB3087&gt;AB3086,AB3087,"")</f>
        <v/>
      </c>
    </row>
    <row r="3088">
      <c r="W3088" s="7" t="n"/>
      <c r="X3088" s="7" t="n"/>
      <c r="Z3088">
        <f>Z3087+IF(W3088="",0,IF(ISNA(MATCH(W3088,W$256:W3087,0)),1,0))</f>
        <v/>
      </c>
      <c r="AA3088">
        <f>IF(Z3088&gt;Z3087,Z3088,"")</f>
        <v/>
      </c>
      <c r="AB3088">
        <f>AB3087+IF(X3088="",0,IF(ISNA(MATCH(X3088,X$256:X3087,0)),1,0))</f>
        <v/>
      </c>
      <c r="AC3088">
        <f>IF(AB3088&gt;AB3087,AB3088,"")</f>
        <v/>
      </c>
    </row>
    <row r="3089">
      <c r="W3089" s="7" t="n"/>
      <c r="X3089" s="7" t="n"/>
      <c r="Z3089">
        <f>Z3088+IF(W3089="",0,IF(ISNA(MATCH(W3089,W$256:W3088,0)),1,0))</f>
        <v/>
      </c>
      <c r="AA3089">
        <f>IF(Z3089&gt;Z3088,Z3089,"")</f>
        <v/>
      </c>
      <c r="AB3089">
        <f>AB3088+IF(X3089="",0,IF(ISNA(MATCH(X3089,X$256:X3088,0)),1,0))</f>
        <v/>
      </c>
      <c r="AC3089">
        <f>IF(AB3089&gt;AB3088,AB3089,"")</f>
        <v/>
      </c>
    </row>
    <row r="3090">
      <c r="W3090" s="7" t="n"/>
      <c r="X3090" s="7" t="n"/>
      <c r="Z3090">
        <f>Z3089+IF(W3090="",0,IF(ISNA(MATCH(W3090,W$256:W3089,0)),1,0))</f>
        <v/>
      </c>
      <c r="AA3090">
        <f>IF(Z3090&gt;Z3089,Z3090,"")</f>
        <v/>
      </c>
      <c r="AB3090">
        <f>AB3089+IF(X3090="",0,IF(ISNA(MATCH(X3090,X$256:X3089,0)),1,0))</f>
        <v/>
      </c>
      <c r="AC3090">
        <f>IF(AB3090&gt;AB3089,AB3090,"")</f>
        <v/>
      </c>
    </row>
    <row r="3091">
      <c r="W3091" s="7" t="n"/>
      <c r="X3091" s="7" t="n"/>
      <c r="Z3091">
        <f>Z3090+IF(W3091="",0,IF(ISNA(MATCH(W3091,W$256:W3090,0)),1,0))</f>
        <v/>
      </c>
      <c r="AA3091">
        <f>IF(Z3091&gt;Z3090,Z3091,"")</f>
        <v/>
      </c>
      <c r="AB3091">
        <f>AB3090+IF(X3091="",0,IF(ISNA(MATCH(X3091,X$256:X3090,0)),1,0))</f>
        <v/>
      </c>
      <c r="AC3091">
        <f>IF(AB3091&gt;AB3090,AB3091,"")</f>
        <v/>
      </c>
    </row>
    <row r="3092">
      <c r="W3092" s="7" t="n"/>
      <c r="X3092" s="7" t="n"/>
      <c r="Z3092">
        <f>Z3091+IF(W3092="",0,IF(ISNA(MATCH(W3092,W$256:W3091,0)),1,0))</f>
        <v/>
      </c>
      <c r="AA3092">
        <f>IF(Z3092&gt;Z3091,Z3092,"")</f>
        <v/>
      </c>
      <c r="AB3092">
        <f>AB3091+IF(X3092="",0,IF(ISNA(MATCH(X3092,X$256:X3091,0)),1,0))</f>
        <v/>
      </c>
      <c r="AC3092">
        <f>IF(AB3092&gt;AB3091,AB3092,"")</f>
        <v/>
      </c>
    </row>
    <row r="3093">
      <c r="W3093" s="7" t="n"/>
      <c r="X3093" s="7" t="n"/>
      <c r="Z3093">
        <f>Z3092+IF(W3093="",0,IF(ISNA(MATCH(W3093,W$256:W3092,0)),1,0))</f>
        <v/>
      </c>
      <c r="AA3093">
        <f>IF(Z3093&gt;Z3092,Z3093,"")</f>
        <v/>
      </c>
      <c r="AB3093">
        <f>AB3092+IF(X3093="",0,IF(ISNA(MATCH(X3093,X$256:X3092,0)),1,0))</f>
        <v/>
      </c>
      <c r="AC3093">
        <f>IF(AB3093&gt;AB3092,AB3093,"")</f>
        <v/>
      </c>
    </row>
    <row r="3094">
      <c r="W3094" s="7" t="n"/>
      <c r="X3094" s="7" t="n"/>
      <c r="Z3094">
        <f>Z3093+IF(W3094="",0,IF(ISNA(MATCH(W3094,W$256:W3093,0)),1,0))</f>
        <v/>
      </c>
      <c r="AA3094">
        <f>IF(Z3094&gt;Z3093,Z3094,"")</f>
        <v/>
      </c>
      <c r="AB3094">
        <f>AB3093+IF(X3094="",0,IF(ISNA(MATCH(X3094,X$256:X3093,0)),1,0))</f>
        <v/>
      </c>
      <c r="AC3094">
        <f>IF(AB3094&gt;AB3093,AB3094,"")</f>
        <v/>
      </c>
    </row>
    <row r="3095">
      <c r="W3095" s="7" t="n"/>
      <c r="X3095" s="7" t="n"/>
      <c r="Z3095">
        <f>Z3094+IF(W3095="",0,IF(ISNA(MATCH(W3095,W$256:W3094,0)),1,0))</f>
        <v/>
      </c>
      <c r="AA3095">
        <f>IF(Z3095&gt;Z3094,Z3095,"")</f>
        <v/>
      </c>
      <c r="AB3095">
        <f>AB3094+IF(X3095="",0,IF(ISNA(MATCH(X3095,X$256:X3094,0)),1,0))</f>
        <v/>
      </c>
      <c r="AC3095">
        <f>IF(AB3095&gt;AB3094,AB3095,"")</f>
        <v/>
      </c>
    </row>
    <row r="3096">
      <c r="W3096" s="7" t="n"/>
      <c r="X3096" s="7" t="n"/>
      <c r="Z3096">
        <f>Z3095+IF(W3096="",0,IF(ISNA(MATCH(W3096,W$256:W3095,0)),1,0))</f>
        <v/>
      </c>
      <c r="AA3096">
        <f>IF(Z3096&gt;Z3095,Z3096,"")</f>
        <v/>
      </c>
      <c r="AB3096">
        <f>AB3095+IF(X3096="",0,IF(ISNA(MATCH(X3096,X$256:X3095,0)),1,0))</f>
        <v/>
      </c>
      <c r="AC3096">
        <f>IF(AB3096&gt;AB3095,AB3096,"")</f>
        <v/>
      </c>
    </row>
    <row r="3097">
      <c r="W3097" s="7" t="n"/>
      <c r="X3097" s="7" t="n"/>
      <c r="Z3097">
        <f>Z3096+IF(W3097="",0,IF(ISNA(MATCH(W3097,W$256:W3096,0)),1,0))</f>
        <v/>
      </c>
      <c r="AA3097">
        <f>IF(Z3097&gt;Z3096,Z3097,"")</f>
        <v/>
      </c>
      <c r="AB3097">
        <f>AB3096+IF(X3097="",0,IF(ISNA(MATCH(X3097,X$256:X3096,0)),1,0))</f>
        <v/>
      </c>
      <c r="AC3097">
        <f>IF(AB3097&gt;AB3096,AB3097,"")</f>
        <v/>
      </c>
    </row>
    <row r="3098">
      <c r="W3098" s="7" t="n"/>
      <c r="X3098" s="7" t="n"/>
      <c r="Z3098">
        <f>Z3097+IF(W3098="",0,IF(ISNA(MATCH(W3098,W$256:W3097,0)),1,0))</f>
        <v/>
      </c>
      <c r="AA3098">
        <f>IF(Z3098&gt;Z3097,Z3098,"")</f>
        <v/>
      </c>
      <c r="AB3098">
        <f>AB3097+IF(X3098="",0,IF(ISNA(MATCH(X3098,X$256:X3097,0)),1,0))</f>
        <v/>
      </c>
      <c r="AC3098">
        <f>IF(AB3098&gt;AB3097,AB3098,"")</f>
        <v/>
      </c>
    </row>
    <row r="3099">
      <c r="W3099" s="7" t="n"/>
      <c r="X3099" s="7" t="n"/>
      <c r="Z3099">
        <f>Z3098+IF(W3099="",0,IF(ISNA(MATCH(W3099,W$256:W3098,0)),1,0))</f>
        <v/>
      </c>
      <c r="AA3099">
        <f>IF(Z3099&gt;Z3098,Z3099,"")</f>
        <v/>
      </c>
      <c r="AB3099">
        <f>AB3098+IF(X3099="",0,IF(ISNA(MATCH(X3099,X$256:X3098,0)),1,0))</f>
        <v/>
      </c>
      <c r="AC3099">
        <f>IF(AB3099&gt;AB3098,AB3099,"")</f>
        <v/>
      </c>
    </row>
    <row r="3100">
      <c r="W3100" s="7" t="n"/>
      <c r="X3100" s="7" t="n"/>
      <c r="Z3100">
        <f>Z3099+IF(W3100="",0,IF(ISNA(MATCH(W3100,W$256:W3099,0)),1,0))</f>
        <v/>
      </c>
      <c r="AA3100">
        <f>IF(Z3100&gt;Z3099,Z3100,"")</f>
        <v/>
      </c>
      <c r="AB3100">
        <f>AB3099+IF(X3100="",0,IF(ISNA(MATCH(X3100,X$256:X3099,0)),1,0))</f>
        <v/>
      </c>
      <c r="AC3100">
        <f>IF(AB3100&gt;AB3099,AB3100,"")</f>
        <v/>
      </c>
    </row>
    <row r="3101">
      <c r="W3101" s="7" t="n"/>
      <c r="X3101" s="7" t="n"/>
      <c r="Z3101">
        <f>Z3100+IF(W3101="",0,IF(ISNA(MATCH(W3101,W$256:W3100,0)),1,0))</f>
        <v/>
      </c>
      <c r="AA3101">
        <f>IF(Z3101&gt;Z3100,Z3101,"")</f>
        <v/>
      </c>
      <c r="AB3101">
        <f>AB3100+IF(X3101="",0,IF(ISNA(MATCH(X3101,X$256:X3100,0)),1,0))</f>
        <v/>
      </c>
      <c r="AC3101">
        <f>IF(AB3101&gt;AB3100,AB3101,"")</f>
        <v/>
      </c>
    </row>
    <row r="3102">
      <c r="W3102" s="7" t="n"/>
      <c r="X3102" s="7" t="n"/>
      <c r="Z3102">
        <f>Z3101+IF(W3102="",0,IF(ISNA(MATCH(W3102,W$256:W3101,0)),1,0))</f>
        <v/>
      </c>
      <c r="AA3102">
        <f>IF(Z3102&gt;Z3101,Z3102,"")</f>
        <v/>
      </c>
      <c r="AB3102">
        <f>AB3101+IF(X3102="",0,IF(ISNA(MATCH(X3102,X$256:X3101,0)),1,0))</f>
        <v/>
      </c>
      <c r="AC3102">
        <f>IF(AB3102&gt;AB3101,AB3102,"")</f>
        <v/>
      </c>
    </row>
    <row r="3103">
      <c r="W3103" s="7" t="n"/>
      <c r="X3103" s="7" t="n"/>
      <c r="Z3103">
        <f>Z3102+IF(W3103="",0,IF(ISNA(MATCH(W3103,W$256:W3102,0)),1,0))</f>
        <v/>
      </c>
      <c r="AA3103">
        <f>IF(Z3103&gt;Z3102,Z3103,"")</f>
        <v/>
      </c>
      <c r="AB3103">
        <f>AB3102+IF(X3103="",0,IF(ISNA(MATCH(X3103,X$256:X3102,0)),1,0))</f>
        <v/>
      </c>
      <c r="AC3103">
        <f>IF(AB3103&gt;AB3102,AB3103,"")</f>
        <v/>
      </c>
    </row>
    <row r="3104">
      <c r="W3104" s="7" t="n"/>
      <c r="X3104" s="7" t="n"/>
      <c r="Z3104">
        <f>Z3103+IF(W3104="",0,IF(ISNA(MATCH(W3104,W$256:W3103,0)),1,0))</f>
        <v/>
      </c>
      <c r="AA3104">
        <f>IF(Z3104&gt;Z3103,Z3104,"")</f>
        <v/>
      </c>
      <c r="AB3104">
        <f>AB3103+IF(X3104="",0,IF(ISNA(MATCH(X3104,X$256:X3103,0)),1,0))</f>
        <v/>
      </c>
      <c r="AC3104">
        <f>IF(AB3104&gt;AB3103,AB3104,"")</f>
        <v/>
      </c>
    </row>
    <row r="3105">
      <c r="W3105" s="7" t="n"/>
      <c r="X3105" s="7" t="n"/>
      <c r="Z3105">
        <f>Z3104+IF(W3105="",0,IF(ISNA(MATCH(W3105,W$256:W3104,0)),1,0))</f>
        <v/>
      </c>
      <c r="AA3105">
        <f>IF(Z3105&gt;Z3104,Z3105,"")</f>
        <v/>
      </c>
      <c r="AB3105">
        <f>AB3104+IF(X3105="",0,IF(ISNA(MATCH(X3105,X$256:X3104,0)),1,0))</f>
        <v/>
      </c>
      <c r="AC3105">
        <f>IF(AB3105&gt;AB3104,AB3105,"")</f>
        <v/>
      </c>
    </row>
    <row r="3106">
      <c r="W3106" s="7" t="n"/>
      <c r="X3106" s="7" t="n"/>
      <c r="Z3106">
        <f>Z3105+IF(W3106="",0,IF(ISNA(MATCH(W3106,W$256:W3105,0)),1,0))</f>
        <v/>
      </c>
      <c r="AA3106">
        <f>IF(Z3106&gt;Z3105,Z3106,"")</f>
        <v/>
      </c>
      <c r="AB3106">
        <f>AB3105+IF(X3106="",0,IF(ISNA(MATCH(X3106,X$256:X3105,0)),1,0))</f>
        <v/>
      </c>
      <c r="AC3106">
        <f>IF(AB3106&gt;AB3105,AB3106,"")</f>
        <v/>
      </c>
    </row>
    <row r="3107">
      <c r="W3107" s="7" t="n"/>
      <c r="X3107" s="7" t="n"/>
      <c r="Z3107">
        <f>Z3106+IF(W3107="",0,IF(ISNA(MATCH(W3107,W$256:W3106,0)),1,0))</f>
        <v/>
      </c>
      <c r="AA3107">
        <f>IF(Z3107&gt;Z3106,Z3107,"")</f>
        <v/>
      </c>
      <c r="AB3107">
        <f>AB3106+IF(X3107="",0,IF(ISNA(MATCH(X3107,X$256:X3106,0)),1,0))</f>
        <v/>
      </c>
      <c r="AC3107">
        <f>IF(AB3107&gt;AB3106,AB3107,"")</f>
        <v/>
      </c>
    </row>
    <row r="3108">
      <c r="W3108" s="7" t="n"/>
      <c r="X3108" s="7" t="n"/>
      <c r="Z3108">
        <f>Z3107+IF(W3108="",0,IF(ISNA(MATCH(W3108,W$256:W3107,0)),1,0))</f>
        <v/>
      </c>
      <c r="AA3108">
        <f>IF(Z3108&gt;Z3107,Z3108,"")</f>
        <v/>
      </c>
      <c r="AB3108">
        <f>AB3107+IF(X3108="",0,IF(ISNA(MATCH(X3108,X$256:X3107,0)),1,0))</f>
        <v/>
      </c>
      <c r="AC3108">
        <f>IF(AB3108&gt;AB3107,AB3108,"")</f>
        <v/>
      </c>
    </row>
    <row r="3109">
      <c r="W3109" s="7" t="n"/>
      <c r="X3109" s="7" t="n"/>
      <c r="Z3109">
        <f>Z3108+IF(W3109="",0,IF(ISNA(MATCH(W3109,W$256:W3108,0)),1,0))</f>
        <v/>
      </c>
      <c r="AA3109">
        <f>IF(Z3109&gt;Z3108,Z3109,"")</f>
        <v/>
      </c>
      <c r="AB3109">
        <f>AB3108+IF(X3109="",0,IF(ISNA(MATCH(X3109,X$256:X3108,0)),1,0))</f>
        <v/>
      </c>
      <c r="AC3109">
        <f>IF(AB3109&gt;AB3108,AB3109,"")</f>
        <v/>
      </c>
    </row>
    <row r="3110">
      <c r="W3110" s="7" t="n"/>
      <c r="X3110" s="7" t="n"/>
      <c r="Z3110">
        <f>Z3109+IF(W3110="",0,IF(ISNA(MATCH(W3110,W$256:W3109,0)),1,0))</f>
        <v/>
      </c>
      <c r="AA3110">
        <f>IF(Z3110&gt;Z3109,Z3110,"")</f>
        <v/>
      </c>
      <c r="AB3110">
        <f>AB3109+IF(X3110="",0,IF(ISNA(MATCH(X3110,X$256:X3109,0)),1,0))</f>
        <v/>
      </c>
      <c r="AC3110">
        <f>IF(AB3110&gt;AB3109,AB3110,"")</f>
        <v/>
      </c>
    </row>
    <row r="3111">
      <c r="W3111" s="7" t="n"/>
      <c r="X3111" s="7" t="n"/>
      <c r="Z3111">
        <f>Z3110+IF(W3111="",0,IF(ISNA(MATCH(W3111,W$256:W3110,0)),1,0))</f>
        <v/>
      </c>
      <c r="AA3111">
        <f>IF(Z3111&gt;Z3110,Z3111,"")</f>
        <v/>
      </c>
      <c r="AB3111">
        <f>AB3110+IF(X3111="",0,IF(ISNA(MATCH(X3111,X$256:X3110,0)),1,0))</f>
        <v/>
      </c>
      <c r="AC3111">
        <f>IF(AB3111&gt;AB3110,AB3111,"")</f>
        <v/>
      </c>
    </row>
    <row r="3112">
      <c r="W3112" s="7" t="n"/>
      <c r="X3112" s="7" t="n"/>
      <c r="Z3112">
        <f>Z3111+IF(W3112="",0,IF(ISNA(MATCH(W3112,W$256:W3111,0)),1,0))</f>
        <v/>
      </c>
      <c r="AA3112">
        <f>IF(Z3112&gt;Z3111,Z3112,"")</f>
        <v/>
      </c>
      <c r="AB3112">
        <f>AB3111+IF(X3112="",0,IF(ISNA(MATCH(X3112,X$256:X3111,0)),1,0))</f>
        <v/>
      </c>
      <c r="AC3112">
        <f>IF(AB3112&gt;AB3111,AB3112,"")</f>
        <v/>
      </c>
    </row>
    <row r="3113">
      <c r="W3113" s="7" t="n"/>
      <c r="X3113" s="7" t="n"/>
      <c r="Z3113">
        <f>Z3112+IF(W3113="",0,IF(ISNA(MATCH(W3113,W$256:W3112,0)),1,0))</f>
        <v/>
      </c>
      <c r="AA3113">
        <f>IF(Z3113&gt;Z3112,Z3113,"")</f>
        <v/>
      </c>
      <c r="AB3113">
        <f>AB3112+IF(X3113="",0,IF(ISNA(MATCH(X3113,X$256:X3112,0)),1,0))</f>
        <v/>
      </c>
      <c r="AC3113">
        <f>IF(AB3113&gt;AB3112,AB3113,"")</f>
        <v/>
      </c>
    </row>
    <row r="3114">
      <c r="W3114" s="7" t="n"/>
      <c r="X3114" s="7" t="n"/>
      <c r="Z3114">
        <f>Z3113+IF(W3114="",0,IF(ISNA(MATCH(W3114,W$256:W3113,0)),1,0))</f>
        <v/>
      </c>
      <c r="AA3114">
        <f>IF(Z3114&gt;Z3113,Z3114,"")</f>
        <v/>
      </c>
      <c r="AB3114">
        <f>AB3113+IF(X3114="",0,IF(ISNA(MATCH(X3114,X$256:X3113,0)),1,0))</f>
        <v/>
      </c>
      <c r="AC3114">
        <f>IF(AB3114&gt;AB3113,AB3114,"")</f>
        <v/>
      </c>
    </row>
    <row r="3115">
      <c r="W3115" s="7" t="n"/>
      <c r="X3115" s="7" t="n"/>
      <c r="Z3115">
        <f>Z3114+IF(W3115="",0,IF(ISNA(MATCH(W3115,W$256:W3114,0)),1,0))</f>
        <v/>
      </c>
      <c r="AA3115">
        <f>IF(Z3115&gt;Z3114,Z3115,"")</f>
        <v/>
      </c>
      <c r="AB3115">
        <f>AB3114+IF(X3115="",0,IF(ISNA(MATCH(X3115,X$256:X3114,0)),1,0))</f>
        <v/>
      </c>
      <c r="AC3115">
        <f>IF(AB3115&gt;AB3114,AB3115,"")</f>
        <v/>
      </c>
    </row>
    <row r="3116">
      <c r="W3116" s="7" t="n"/>
      <c r="X3116" s="7" t="n"/>
      <c r="Z3116">
        <f>Z3115+IF(W3116="",0,IF(ISNA(MATCH(W3116,W$256:W3115,0)),1,0))</f>
        <v/>
      </c>
      <c r="AA3116">
        <f>IF(Z3116&gt;Z3115,Z3116,"")</f>
        <v/>
      </c>
      <c r="AB3116">
        <f>AB3115+IF(X3116="",0,IF(ISNA(MATCH(X3116,X$256:X3115,0)),1,0))</f>
        <v/>
      </c>
      <c r="AC3116">
        <f>IF(AB3116&gt;AB3115,AB3116,"")</f>
        <v/>
      </c>
    </row>
    <row r="3117">
      <c r="W3117" s="7" t="n"/>
      <c r="X3117" s="7" t="n"/>
      <c r="Z3117">
        <f>Z3116+IF(W3117="",0,IF(ISNA(MATCH(W3117,W$256:W3116,0)),1,0))</f>
        <v/>
      </c>
      <c r="AA3117">
        <f>IF(Z3117&gt;Z3116,Z3117,"")</f>
        <v/>
      </c>
      <c r="AB3117">
        <f>AB3116+IF(X3117="",0,IF(ISNA(MATCH(X3117,X$256:X3116,0)),1,0))</f>
        <v/>
      </c>
      <c r="AC3117">
        <f>IF(AB3117&gt;AB3116,AB3117,"")</f>
        <v/>
      </c>
    </row>
    <row r="3118">
      <c r="W3118" s="7" t="n"/>
      <c r="X3118" s="7" t="n"/>
      <c r="Z3118">
        <f>Z3117+IF(W3118="",0,IF(ISNA(MATCH(W3118,W$256:W3117,0)),1,0))</f>
        <v/>
      </c>
      <c r="AA3118">
        <f>IF(Z3118&gt;Z3117,Z3118,"")</f>
        <v/>
      </c>
      <c r="AB3118">
        <f>AB3117+IF(X3118="",0,IF(ISNA(MATCH(X3118,X$256:X3117,0)),1,0))</f>
        <v/>
      </c>
      <c r="AC3118">
        <f>IF(AB3118&gt;AB3117,AB3118,"")</f>
        <v/>
      </c>
    </row>
    <row r="3119">
      <c r="W3119" s="7" t="n"/>
      <c r="X3119" s="7" t="n"/>
      <c r="Z3119">
        <f>Z3118+IF(W3119="",0,IF(ISNA(MATCH(W3119,W$256:W3118,0)),1,0))</f>
        <v/>
      </c>
      <c r="AA3119">
        <f>IF(Z3119&gt;Z3118,Z3119,"")</f>
        <v/>
      </c>
      <c r="AB3119">
        <f>AB3118+IF(X3119="",0,IF(ISNA(MATCH(X3119,X$256:X3118,0)),1,0))</f>
        <v/>
      </c>
      <c r="AC3119">
        <f>IF(AB3119&gt;AB3118,AB3119,"")</f>
        <v/>
      </c>
    </row>
    <row r="3120">
      <c r="W3120" s="7" t="n"/>
      <c r="X3120" s="7" t="n"/>
      <c r="Z3120">
        <f>Z3119+IF(W3120="",0,IF(ISNA(MATCH(W3120,W$256:W3119,0)),1,0))</f>
        <v/>
      </c>
      <c r="AA3120">
        <f>IF(Z3120&gt;Z3119,Z3120,"")</f>
        <v/>
      </c>
      <c r="AB3120">
        <f>AB3119+IF(X3120="",0,IF(ISNA(MATCH(X3120,X$256:X3119,0)),1,0))</f>
        <v/>
      </c>
      <c r="AC3120">
        <f>IF(AB3120&gt;AB3119,AB3120,"")</f>
        <v/>
      </c>
    </row>
    <row r="3121">
      <c r="W3121" s="7" t="n"/>
      <c r="X3121" s="7" t="n"/>
      <c r="Z3121">
        <f>Z3120+IF(W3121="",0,IF(ISNA(MATCH(W3121,W$256:W3120,0)),1,0))</f>
        <v/>
      </c>
      <c r="AA3121">
        <f>IF(Z3121&gt;Z3120,Z3121,"")</f>
        <v/>
      </c>
      <c r="AB3121">
        <f>AB3120+IF(X3121="",0,IF(ISNA(MATCH(X3121,X$256:X3120,0)),1,0))</f>
        <v/>
      </c>
      <c r="AC3121">
        <f>IF(AB3121&gt;AB3120,AB3121,"")</f>
        <v/>
      </c>
    </row>
    <row r="3122">
      <c r="W3122" s="7" t="n"/>
      <c r="X3122" s="7" t="n"/>
      <c r="Z3122">
        <f>Z3121+IF(W3122="",0,IF(ISNA(MATCH(W3122,W$256:W3121,0)),1,0))</f>
        <v/>
      </c>
      <c r="AA3122">
        <f>IF(Z3122&gt;Z3121,Z3122,"")</f>
        <v/>
      </c>
      <c r="AB3122">
        <f>AB3121+IF(X3122="",0,IF(ISNA(MATCH(X3122,X$256:X3121,0)),1,0))</f>
        <v/>
      </c>
      <c r="AC3122">
        <f>IF(AB3122&gt;AB3121,AB3122,"")</f>
        <v/>
      </c>
    </row>
    <row r="3123">
      <c r="W3123" s="7" t="n"/>
      <c r="X3123" s="7" t="n"/>
      <c r="Z3123">
        <f>Z3122+IF(W3123="",0,IF(ISNA(MATCH(W3123,W$256:W3122,0)),1,0))</f>
        <v/>
      </c>
      <c r="AA3123">
        <f>IF(Z3123&gt;Z3122,Z3123,"")</f>
        <v/>
      </c>
      <c r="AB3123">
        <f>AB3122+IF(X3123="",0,IF(ISNA(MATCH(X3123,X$256:X3122,0)),1,0))</f>
        <v/>
      </c>
      <c r="AC3123">
        <f>IF(AB3123&gt;AB3122,AB3123,"")</f>
        <v/>
      </c>
    </row>
    <row r="3124">
      <c r="W3124" s="7" t="n"/>
      <c r="X3124" s="7" t="n"/>
      <c r="Z3124">
        <f>Z3123+IF(W3124="",0,IF(ISNA(MATCH(W3124,W$256:W3123,0)),1,0))</f>
        <v/>
      </c>
      <c r="AA3124">
        <f>IF(Z3124&gt;Z3123,Z3124,"")</f>
        <v/>
      </c>
      <c r="AB3124">
        <f>AB3123+IF(X3124="",0,IF(ISNA(MATCH(X3124,X$256:X3123,0)),1,0))</f>
        <v/>
      </c>
      <c r="AC3124">
        <f>IF(AB3124&gt;AB3123,AB3124,"")</f>
        <v/>
      </c>
    </row>
    <row r="3125">
      <c r="W3125" s="7" t="n"/>
      <c r="X3125" s="7" t="n"/>
      <c r="Z3125">
        <f>Z3124+IF(W3125="",0,IF(ISNA(MATCH(W3125,W$256:W3124,0)),1,0))</f>
        <v/>
      </c>
      <c r="AA3125">
        <f>IF(Z3125&gt;Z3124,Z3125,"")</f>
        <v/>
      </c>
      <c r="AB3125">
        <f>AB3124+IF(X3125="",0,IF(ISNA(MATCH(X3125,X$256:X3124,0)),1,0))</f>
        <v/>
      </c>
      <c r="AC3125">
        <f>IF(AB3125&gt;AB3124,AB3125,"")</f>
        <v/>
      </c>
    </row>
    <row r="3126">
      <c r="W3126" s="7" t="n"/>
      <c r="X3126" s="7" t="n"/>
      <c r="Z3126">
        <f>Z3125+IF(W3126="",0,IF(ISNA(MATCH(W3126,W$256:W3125,0)),1,0))</f>
        <v/>
      </c>
      <c r="AA3126">
        <f>IF(Z3126&gt;Z3125,Z3126,"")</f>
        <v/>
      </c>
      <c r="AB3126">
        <f>AB3125+IF(X3126="",0,IF(ISNA(MATCH(X3126,X$256:X3125,0)),1,0))</f>
        <v/>
      </c>
      <c r="AC3126">
        <f>IF(AB3126&gt;AB3125,AB3126,"")</f>
        <v/>
      </c>
    </row>
    <row r="3127">
      <c r="W3127" s="7" t="n"/>
      <c r="X3127" s="7" t="n"/>
      <c r="Z3127">
        <f>Z3126+IF(W3127="",0,IF(ISNA(MATCH(W3127,W$256:W3126,0)),1,0))</f>
        <v/>
      </c>
      <c r="AA3127">
        <f>IF(Z3127&gt;Z3126,Z3127,"")</f>
        <v/>
      </c>
      <c r="AB3127">
        <f>AB3126+IF(X3127="",0,IF(ISNA(MATCH(X3127,X$256:X3126,0)),1,0))</f>
        <v/>
      </c>
      <c r="AC3127">
        <f>IF(AB3127&gt;AB3126,AB3127,"")</f>
        <v/>
      </c>
    </row>
    <row r="3128">
      <c r="W3128" s="7" t="n"/>
      <c r="X3128" s="7" t="n"/>
      <c r="Z3128">
        <f>Z3127+IF(W3128="",0,IF(ISNA(MATCH(W3128,W$256:W3127,0)),1,0))</f>
        <v/>
      </c>
      <c r="AA3128">
        <f>IF(Z3128&gt;Z3127,Z3128,"")</f>
        <v/>
      </c>
      <c r="AB3128">
        <f>AB3127+IF(X3128="",0,IF(ISNA(MATCH(X3128,X$256:X3127,0)),1,0))</f>
        <v/>
      </c>
      <c r="AC3128">
        <f>IF(AB3128&gt;AB3127,AB3128,"")</f>
        <v/>
      </c>
    </row>
    <row r="3129">
      <c r="W3129" s="7" t="n"/>
      <c r="X3129" s="7" t="n"/>
      <c r="Z3129">
        <f>Z3128+IF(W3129="",0,IF(ISNA(MATCH(W3129,W$256:W3128,0)),1,0))</f>
        <v/>
      </c>
      <c r="AA3129">
        <f>IF(Z3129&gt;Z3128,Z3129,"")</f>
        <v/>
      </c>
      <c r="AB3129">
        <f>AB3128+IF(X3129="",0,IF(ISNA(MATCH(X3129,X$256:X3128,0)),1,0))</f>
        <v/>
      </c>
      <c r="AC3129">
        <f>IF(AB3129&gt;AB3128,AB3129,"")</f>
        <v/>
      </c>
    </row>
    <row r="3130">
      <c r="W3130" s="7" t="n"/>
      <c r="X3130" s="7" t="n"/>
      <c r="Z3130">
        <f>Z3129+IF(W3130="",0,IF(ISNA(MATCH(W3130,W$256:W3129,0)),1,0))</f>
        <v/>
      </c>
      <c r="AA3130">
        <f>IF(Z3130&gt;Z3129,Z3130,"")</f>
        <v/>
      </c>
      <c r="AB3130">
        <f>AB3129+IF(X3130="",0,IF(ISNA(MATCH(X3130,X$256:X3129,0)),1,0))</f>
        <v/>
      </c>
      <c r="AC3130">
        <f>IF(AB3130&gt;AB3129,AB3130,"")</f>
        <v/>
      </c>
    </row>
    <row r="3131">
      <c r="W3131" s="7" t="n"/>
      <c r="X3131" s="7" t="n"/>
      <c r="Z3131">
        <f>Z3130+IF(W3131="",0,IF(ISNA(MATCH(W3131,W$256:W3130,0)),1,0))</f>
        <v/>
      </c>
      <c r="AA3131">
        <f>IF(Z3131&gt;Z3130,Z3131,"")</f>
        <v/>
      </c>
      <c r="AB3131">
        <f>AB3130+IF(X3131="",0,IF(ISNA(MATCH(X3131,X$256:X3130,0)),1,0))</f>
        <v/>
      </c>
      <c r="AC3131">
        <f>IF(AB3131&gt;AB3130,AB3131,"")</f>
        <v/>
      </c>
    </row>
    <row r="3132">
      <c r="W3132" s="7" t="n"/>
      <c r="X3132" s="7" t="n"/>
      <c r="Z3132">
        <f>Z3131+IF(W3132="",0,IF(ISNA(MATCH(W3132,W$256:W3131,0)),1,0))</f>
        <v/>
      </c>
      <c r="AA3132">
        <f>IF(Z3132&gt;Z3131,Z3132,"")</f>
        <v/>
      </c>
      <c r="AB3132">
        <f>AB3131+IF(X3132="",0,IF(ISNA(MATCH(X3132,X$256:X3131,0)),1,0))</f>
        <v/>
      </c>
      <c r="AC3132">
        <f>IF(AB3132&gt;AB3131,AB3132,"")</f>
        <v/>
      </c>
    </row>
    <row r="3133">
      <c r="W3133" s="7" t="n"/>
      <c r="X3133" s="7" t="n"/>
      <c r="Z3133">
        <f>Z3132+IF(W3133="",0,IF(ISNA(MATCH(W3133,W$256:W3132,0)),1,0))</f>
        <v/>
      </c>
      <c r="AA3133">
        <f>IF(Z3133&gt;Z3132,Z3133,"")</f>
        <v/>
      </c>
      <c r="AB3133">
        <f>AB3132+IF(X3133="",0,IF(ISNA(MATCH(X3133,X$256:X3132,0)),1,0))</f>
        <v/>
      </c>
      <c r="AC3133">
        <f>IF(AB3133&gt;AB3132,AB3133,"")</f>
        <v/>
      </c>
    </row>
    <row r="3134">
      <c r="W3134" s="7" t="n"/>
      <c r="X3134" s="7" t="n"/>
      <c r="Z3134">
        <f>Z3133+IF(W3134="",0,IF(ISNA(MATCH(W3134,W$256:W3133,0)),1,0))</f>
        <v/>
      </c>
      <c r="AA3134">
        <f>IF(Z3134&gt;Z3133,Z3134,"")</f>
        <v/>
      </c>
      <c r="AB3134">
        <f>AB3133+IF(X3134="",0,IF(ISNA(MATCH(X3134,X$256:X3133,0)),1,0))</f>
        <v/>
      </c>
      <c r="AC3134">
        <f>IF(AB3134&gt;AB3133,AB3134,"")</f>
        <v/>
      </c>
    </row>
    <row r="3135">
      <c r="W3135" s="7" t="n"/>
      <c r="X3135" s="7" t="n"/>
      <c r="Z3135">
        <f>Z3134+IF(W3135="",0,IF(ISNA(MATCH(W3135,W$256:W3134,0)),1,0))</f>
        <v/>
      </c>
      <c r="AA3135">
        <f>IF(Z3135&gt;Z3134,Z3135,"")</f>
        <v/>
      </c>
      <c r="AB3135">
        <f>AB3134+IF(X3135="",0,IF(ISNA(MATCH(X3135,X$256:X3134,0)),1,0))</f>
        <v/>
      </c>
      <c r="AC3135">
        <f>IF(AB3135&gt;AB3134,AB3135,"")</f>
        <v/>
      </c>
    </row>
    <row r="3136">
      <c r="W3136" s="7" t="n"/>
      <c r="X3136" s="7" t="n"/>
      <c r="Z3136">
        <f>Z3135+IF(W3136="",0,IF(ISNA(MATCH(W3136,W$256:W3135,0)),1,0))</f>
        <v/>
      </c>
      <c r="AA3136">
        <f>IF(Z3136&gt;Z3135,Z3136,"")</f>
        <v/>
      </c>
      <c r="AB3136">
        <f>AB3135+IF(X3136="",0,IF(ISNA(MATCH(X3136,X$256:X3135,0)),1,0))</f>
        <v/>
      </c>
      <c r="AC3136">
        <f>IF(AB3136&gt;AB3135,AB3136,"")</f>
        <v/>
      </c>
    </row>
    <row r="3137">
      <c r="W3137" s="7" t="n"/>
      <c r="X3137" s="7" t="n"/>
      <c r="Z3137">
        <f>Z3136+IF(W3137="",0,IF(ISNA(MATCH(W3137,W$256:W3136,0)),1,0))</f>
        <v/>
      </c>
      <c r="AA3137">
        <f>IF(Z3137&gt;Z3136,Z3137,"")</f>
        <v/>
      </c>
      <c r="AB3137">
        <f>AB3136+IF(X3137="",0,IF(ISNA(MATCH(X3137,X$256:X3136,0)),1,0))</f>
        <v/>
      </c>
      <c r="AC3137">
        <f>IF(AB3137&gt;AB3136,AB3137,"")</f>
        <v/>
      </c>
    </row>
    <row r="3138">
      <c r="W3138" s="7" t="n"/>
      <c r="X3138" s="7" t="n"/>
      <c r="Z3138">
        <f>Z3137+IF(W3138="",0,IF(ISNA(MATCH(W3138,W$256:W3137,0)),1,0))</f>
        <v/>
      </c>
      <c r="AA3138">
        <f>IF(Z3138&gt;Z3137,Z3138,"")</f>
        <v/>
      </c>
      <c r="AB3138">
        <f>AB3137+IF(X3138="",0,IF(ISNA(MATCH(X3138,X$256:X3137,0)),1,0))</f>
        <v/>
      </c>
      <c r="AC3138">
        <f>IF(AB3138&gt;AB3137,AB3138,"")</f>
        <v/>
      </c>
    </row>
    <row r="3139">
      <c r="W3139" s="7" t="n"/>
      <c r="X3139" s="7" t="n"/>
      <c r="Z3139">
        <f>Z3138+IF(W3139="",0,IF(ISNA(MATCH(W3139,W$256:W3138,0)),1,0))</f>
        <v/>
      </c>
      <c r="AA3139">
        <f>IF(Z3139&gt;Z3138,Z3139,"")</f>
        <v/>
      </c>
      <c r="AB3139">
        <f>AB3138+IF(X3139="",0,IF(ISNA(MATCH(X3139,X$256:X3138,0)),1,0))</f>
        <v/>
      </c>
      <c r="AC3139">
        <f>IF(AB3139&gt;AB3138,AB3139,"")</f>
        <v/>
      </c>
    </row>
    <row r="3140">
      <c r="W3140" s="7" t="n"/>
      <c r="X3140" s="7" t="n"/>
      <c r="Z3140">
        <f>Z3139+IF(W3140="",0,IF(ISNA(MATCH(W3140,W$256:W3139,0)),1,0))</f>
        <v/>
      </c>
      <c r="AA3140">
        <f>IF(Z3140&gt;Z3139,Z3140,"")</f>
        <v/>
      </c>
      <c r="AB3140">
        <f>AB3139+IF(X3140="",0,IF(ISNA(MATCH(X3140,X$256:X3139,0)),1,0))</f>
        <v/>
      </c>
      <c r="AC3140">
        <f>IF(AB3140&gt;AB3139,AB3140,"")</f>
        <v/>
      </c>
    </row>
    <row r="3141">
      <c r="W3141" s="7" t="n"/>
      <c r="X3141" s="7" t="n"/>
      <c r="Z3141">
        <f>Z3140+IF(W3141="",0,IF(ISNA(MATCH(W3141,W$256:W3140,0)),1,0))</f>
        <v/>
      </c>
      <c r="AA3141">
        <f>IF(Z3141&gt;Z3140,Z3141,"")</f>
        <v/>
      </c>
      <c r="AB3141">
        <f>AB3140+IF(X3141="",0,IF(ISNA(MATCH(X3141,X$256:X3140,0)),1,0))</f>
        <v/>
      </c>
      <c r="AC3141">
        <f>IF(AB3141&gt;AB3140,AB3141,"")</f>
        <v/>
      </c>
    </row>
    <row r="3142">
      <c r="W3142" s="7" t="n"/>
      <c r="X3142" s="7" t="n"/>
      <c r="Z3142">
        <f>Z3141+IF(W3142="",0,IF(ISNA(MATCH(W3142,W$256:W3141,0)),1,0))</f>
        <v/>
      </c>
      <c r="AA3142">
        <f>IF(Z3142&gt;Z3141,Z3142,"")</f>
        <v/>
      </c>
      <c r="AB3142">
        <f>AB3141+IF(X3142="",0,IF(ISNA(MATCH(X3142,X$256:X3141,0)),1,0))</f>
        <v/>
      </c>
      <c r="AC3142">
        <f>IF(AB3142&gt;AB3141,AB3142,"")</f>
        <v/>
      </c>
    </row>
    <row r="3143">
      <c r="W3143" s="7" t="n"/>
      <c r="X3143" s="7" t="n"/>
      <c r="Z3143">
        <f>Z3142+IF(W3143="",0,IF(ISNA(MATCH(W3143,W$256:W3142,0)),1,0))</f>
        <v/>
      </c>
      <c r="AA3143">
        <f>IF(Z3143&gt;Z3142,Z3143,"")</f>
        <v/>
      </c>
      <c r="AB3143">
        <f>AB3142+IF(X3143="",0,IF(ISNA(MATCH(X3143,X$256:X3142,0)),1,0))</f>
        <v/>
      </c>
      <c r="AC3143">
        <f>IF(AB3143&gt;AB3142,AB3143,"")</f>
        <v/>
      </c>
    </row>
    <row r="3144">
      <c r="W3144" s="7" t="n"/>
      <c r="X3144" s="7" t="n"/>
      <c r="Z3144">
        <f>Z3143+IF(W3144="",0,IF(ISNA(MATCH(W3144,W$256:W3143,0)),1,0))</f>
        <v/>
      </c>
      <c r="AA3144">
        <f>IF(Z3144&gt;Z3143,Z3144,"")</f>
        <v/>
      </c>
      <c r="AB3144">
        <f>AB3143+IF(X3144="",0,IF(ISNA(MATCH(X3144,X$256:X3143,0)),1,0))</f>
        <v/>
      </c>
      <c r="AC3144">
        <f>IF(AB3144&gt;AB3143,AB3144,"")</f>
        <v/>
      </c>
    </row>
    <row r="3145">
      <c r="W3145" s="7" t="n"/>
      <c r="X3145" s="7" t="n"/>
      <c r="Z3145">
        <f>Z3144+IF(W3145="",0,IF(ISNA(MATCH(W3145,W$256:W3144,0)),1,0))</f>
        <v/>
      </c>
      <c r="AA3145">
        <f>IF(Z3145&gt;Z3144,Z3145,"")</f>
        <v/>
      </c>
      <c r="AB3145">
        <f>AB3144+IF(X3145="",0,IF(ISNA(MATCH(X3145,X$256:X3144,0)),1,0))</f>
        <v/>
      </c>
      <c r="AC3145">
        <f>IF(AB3145&gt;AB3144,AB3145,"")</f>
        <v/>
      </c>
    </row>
    <row r="3146">
      <c r="W3146" s="7" t="n"/>
      <c r="X3146" s="7" t="n"/>
      <c r="Z3146">
        <f>Z3145+IF(W3146="",0,IF(ISNA(MATCH(W3146,W$256:W3145,0)),1,0))</f>
        <v/>
      </c>
      <c r="AA3146">
        <f>IF(Z3146&gt;Z3145,Z3146,"")</f>
        <v/>
      </c>
      <c r="AB3146">
        <f>AB3145+IF(X3146="",0,IF(ISNA(MATCH(X3146,X$256:X3145,0)),1,0))</f>
        <v/>
      </c>
      <c r="AC3146">
        <f>IF(AB3146&gt;AB3145,AB3146,"")</f>
        <v/>
      </c>
    </row>
    <row r="3147">
      <c r="W3147" s="7" t="n"/>
      <c r="X3147" s="7" t="n"/>
      <c r="Z3147">
        <f>Z3146+IF(W3147="",0,IF(ISNA(MATCH(W3147,W$256:W3146,0)),1,0))</f>
        <v/>
      </c>
      <c r="AA3147">
        <f>IF(Z3147&gt;Z3146,Z3147,"")</f>
        <v/>
      </c>
      <c r="AB3147">
        <f>AB3146+IF(X3147="",0,IF(ISNA(MATCH(X3147,X$256:X3146,0)),1,0))</f>
        <v/>
      </c>
      <c r="AC3147">
        <f>IF(AB3147&gt;AB3146,AB3147,"")</f>
        <v/>
      </c>
    </row>
    <row r="3148">
      <c r="W3148" s="7" t="n"/>
      <c r="X3148" s="7" t="n"/>
      <c r="Z3148">
        <f>Z3147+IF(W3148="",0,IF(ISNA(MATCH(W3148,W$256:W3147,0)),1,0))</f>
        <v/>
      </c>
      <c r="AA3148">
        <f>IF(Z3148&gt;Z3147,Z3148,"")</f>
        <v/>
      </c>
      <c r="AB3148">
        <f>AB3147+IF(X3148="",0,IF(ISNA(MATCH(X3148,X$256:X3147,0)),1,0))</f>
        <v/>
      </c>
      <c r="AC3148">
        <f>IF(AB3148&gt;AB3147,AB3148,"")</f>
        <v/>
      </c>
    </row>
    <row r="3149">
      <c r="W3149" s="7" t="n"/>
      <c r="X3149" s="7" t="n"/>
      <c r="Z3149">
        <f>Z3148+IF(W3149="",0,IF(ISNA(MATCH(W3149,W$256:W3148,0)),1,0))</f>
        <v/>
      </c>
      <c r="AA3149">
        <f>IF(Z3149&gt;Z3148,Z3149,"")</f>
        <v/>
      </c>
      <c r="AB3149">
        <f>AB3148+IF(X3149="",0,IF(ISNA(MATCH(X3149,X$256:X3148,0)),1,0))</f>
        <v/>
      </c>
      <c r="AC3149">
        <f>IF(AB3149&gt;AB3148,AB3149,"")</f>
        <v/>
      </c>
    </row>
    <row r="3150">
      <c r="W3150" s="7" t="n"/>
      <c r="X3150" s="7" t="n"/>
      <c r="Z3150">
        <f>Z3149+IF(W3150="",0,IF(ISNA(MATCH(W3150,W$256:W3149,0)),1,0))</f>
        <v/>
      </c>
      <c r="AA3150">
        <f>IF(Z3150&gt;Z3149,Z3150,"")</f>
        <v/>
      </c>
      <c r="AB3150">
        <f>AB3149+IF(X3150="",0,IF(ISNA(MATCH(X3150,X$256:X3149,0)),1,0))</f>
        <v/>
      </c>
      <c r="AC3150">
        <f>IF(AB3150&gt;AB3149,AB3150,"")</f>
        <v/>
      </c>
    </row>
    <row r="3151">
      <c r="W3151" s="7" t="n"/>
      <c r="X3151" s="7" t="n"/>
      <c r="Z3151">
        <f>Z3150+IF(W3151="",0,IF(ISNA(MATCH(W3151,W$256:W3150,0)),1,0))</f>
        <v/>
      </c>
      <c r="AA3151">
        <f>IF(Z3151&gt;Z3150,Z3151,"")</f>
        <v/>
      </c>
      <c r="AB3151">
        <f>AB3150+IF(X3151="",0,IF(ISNA(MATCH(X3151,X$256:X3150,0)),1,0))</f>
        <v/>
      </c>
      <c r="AC3151">
        <f>IF(AB3151&gt;AB3150,AB3151,"")</f>
        <v/>
      </c>
    </row>
    <row r="3152">
      <c r="W3152" s="7" t="n"/>
      <c r="X3152" s="7" t="n"/>
      <c r="Z3152">
        <f>Z3151+IF(W3152="",0,IF(ISNA(MATCH(W3152,W$256:W3151,0)),1,0))</f>
        <v/>
      </c>
      <c r="AA3152">
        <f>IF(Z3152&gt;Z3151,Z3152,"")</f>
        <v/>
      </c>
      <c r="AB3152">
        <f>AB3151+IF(X3152="",0,IF(ISNA(MATCH(X3152,X$256:X3151,0)),1,0))</f>
        <v/>
      </c>
      <c r="AC3152">
        <f>IF(AB3152&gt;AB3151,AB3152,"")</f>
        <v/>
      </c>
    </row>
    <row r="3153">
      <c r="W3153" s="7" t="n"/>
      <c r="X3153" s="7" t="n"/>
      <c r="Z3153">
        <f>Z3152+IF(W3153="",0,IF(ISNA(MATCH(W3153,W$256:W3152,0)),1,0))</f>
        <v/>
      </c>
      <c r="AA3153">
        <f>IF(Z3153&gt;Z3152,Z3153,"")</f>
        <v/>
      </c>
      <c r="AB3153">
        <f>AB3152+IF(X3153="",0,IF(ISNA(MATCH(X3153,X$256:X3152,0)),1,0))</f>
        <v/>
      </c>
      <c r="AC3153">
        <f>IF(AB3153&gt;AB3152,AB3153,"")</f>
        <v/>
      </c>
    </row>
    <row r="3154">
      <c r="W3154" s="7" t="n"/>
      <c r="X3154" s="7" t="n"/>
      <c r="Z3154">
        <f>Z3153+IF(W3154="",0,IF(ISNA(MATCH(W3154,W$256:W3153,0)),1,0))</f>
        <v/>
      </c>
      <c r="AA3154">
        <f>IF(Z3154&gt;Z3153,Z3154,"")</f>
        <v/>
      </c>
      <c r="AB3154">
        <f>AB3153+IF(X3154="",0,IF(ISNA(MATCH(X3154,X$256:X3153,0)),1,0))</f>
        <v/>
      </c>
      <c r="AC3154">
        <f>IF(AB3154&gt;AB3153,AB3154,"")</f>
        <v/>
      </c>
    </row>
    <row r="3155">
      <c r="W3155" s="7" t="n"/>
      <c r="X3155" s="7" t="n"/>
      <c r="Z3155">
        <f>Z3154+IF(W3155="",0,IF(ISNA(MATCH(W3155,W$256:W3154,0)),1,0))</f>
        <v/>
      </c>
      <c r="AA3155">
        <f>IF(Z3155&gt;Z3154,Z3155,"")</f>
        <v/>
      </c>
      <c r="AB3155">
        <f>AB3154+IF(X3155="",0,IF(ISNA(MATCH(X3155,X$256:X3154,0)),1,0))</f>
        <v/>
      </c>
      <c r="AC3155">
        <f>IF(AB3155&gt;AB3154,AB3155,"")</f>
        <v/>
      </c>
    </row>
    <row r="3156">
      <c r="W3156" s="7" t="n"/>
      <c r="X3156" s="7" t="n"/>
      <c r="Z3156">
        <f>Z3155+IF(W3156="",0,IF(ISNA(MATCH(W3156,W$256:W3155,0)),1,0))</f>
        <v/>
      </c>
      <c r="AA3156">
        <f>IF(Z3156&gt;Z3155,Z3156,"")</f>
        <v/>
      </c>
      <c r="AB3156">
        <f>AB3155+IF(X3156="",0,IF(ISNA(MATCH(X3156,X$256:X3155,0)),1,0))</f>
        <v/>
      </c>
      <c r="AC3156">
        <f>IF(AB3156&gt;AB3155,AB3156,"")</f>
        <v/>
      </c>
    </row>
    <row r="3157">
      <c r="W3157" s="7" t="n"/>
      <c r="X3157" s="7" t="n"/>
      <c r="Z3157">
        <f>Z3156+IF(W3157="",0,IF(ISNA(MATCH(W3157,W$256:W3156,0)),1,0))</f>
        <v/>
      </c>
      <c r="AA3157">
        <f>IF(Z3157&gt;Z3156,Z3157,"")</f>
        <v/>
      </c>
      <c r="AB3157">
        <f>AB3156+IF(X3157="",0,IF(ISNA(MATCH(X3157,X$256:X3156,0)),1,0))</f>
        <v/>
      </c>
      <c r="AC3157">
        <f>IF(AB3157&gt;AB3156,AB3157,"")</f>
        <v/>
      </c>
    </row>
    <row r="3158">
      <c r="W3158" s="7" t="n"/>
      <c r="X3158" s="7" t="n"/>
      <c r="Z3158">
        <f>Z3157+IF(W3158="",0,IF(ISNA(MATCH(W3158,W$256:W3157,0)),1,0))</f>
        <v/>
      </c>
      <c r="AA3158">
        <f>IF(Z3158&gt;Z3157,Z3158,"")</f>
        <v/>
      </c>
      <c r="AB3158">
        <f>AB3157+IF(X3158="",0,IF(ISNA(MATCH(X3158,X$256:X3157,0)),1,0))</f>
        <v/>
      </c>
      <c r="AC3158">
        <f>IF(AB3158&gt;AB3157,AB3158,"")</f>
        <v/>
      </c>
    </row>
    <row r="3159">
      <c r="W3159" s="7" t="n"/>
      <c r="X3159" s="7" t="n"/>
      <c r="Z3159">
        <f>Z3158+IF(W3159="",0,IF(ISNA(MATCH(W3159,W$256:W3158,0)),1,0))</f>
        <v/>
      </c>
      <c r="AA3159">
        <f>IF(Z3159&gt;Z3158,Z3159,"")</f>
        <v/>
      </c>
      <c r="AB3159">
        <f>AB3158+IF(X3159="",0,IF(ISNA(MATCH(X3159,X$256:X3158,0)),1,0))</f>
        <v/>
      </c>
      <c r="AC3159">
        <f>IF(AB3159&gt;AB3158,AB3159,"")</f>
        <v/>
      </c>
    </row>
    <row r="3160">
      <c r="W3160" s="7" t="n"/>
      <c r="X3160" s="7" t="n"/>
      <c r="Z3160">
        <f>Z3159+IF(W3160="",0,IF(ISNA(MATCH(W3160,W$256:W3159,0)),1,0))</f>
        <v/>
      </c>
      <c r="AA3160">
        <f>IF(Z3160&gt;Z3159,Z3160,"")</f>
        <v/>
      </c>
      <c r="AB3160">
        <f>AB3159+IF(X3160="",0,IF(ISNA(MATCH(X3160,X$256:X3159,0)),1,0))</f>
        <v/>
      </c>
      <c r="AC3160">
        <f>IF(AB3160&gt;AB3159,AB3160,"")</f>
        <v/>
      </c>
    </row>
    <row r="3161">
      <c r="W3161" s="7" t="n"/>
      <c r="X3161" s="7" t="n"/>
      <c r="Z3161">
        <f>Z3160+IF(W3161="",0,IF(ISNA(MATCH(W3161,W$256:W3160,0)),1,0))</f>
        <v/>
      </c>
      <c r="AA3161">
        <f>IF(Z3161&gt;Z3160,Z3161,"")</f>
        <v/>
      </c>
      <c r="AB3161">
        <f>AB3160+IF(X3161="",0,IF(ISNA(MATCH(X3161,X$256:X3160,0)),1,0))</f>
        <v/>
      </c>
      <c r="AC3161">
        <f>IF(AB3161&gt;AB3160,AB3161,"")</f>
        <v/>
      </c>
    </row>
    <row r="3162">
      <c r="W3162" s="7" t="n"/>
      <c r="X3162" s="7" t="n"/>
      <c r="Z3162">
        <f>Z3161+IF(W3162="",0,IF(ISNA(MATCH(W3162,W$256:W3161,0)),1,0))</f>
        <v/>
      </c>
      <c r="AA3162">
        <f>IF(Z3162&gt;Z3161,Z3162,"")</f>
        <v/>
      </c>
      <c r="AB3162">
        <f>AB3161+IF(X3162="",0,IF(ISNA(MATCH(X3162,X$256:X3161,0)),1,0))</f>
        <v/>
      </c>
      <c r="AC3162">
        <f>IF(AB3162&gt;AB3161,AB3162,"")</f>
        <v/>
      </c>
    </row>
    <row r="3163">
      <c r="W3163" s="7" t="n"/>
      <c r="X3163" s="7" t="n"/>
      <c r="Z3163">
        <f>Z3162+IF(W3163="",0,IF(ISNA(MATCH(W3163,W$256:W3162,0)),1,0))</f>
        <v/>
      </c>
      <c r="AA3163">
        <f>IF(Z3163&gt;Z3162,Z3163,"")</f>
        <v/>
      </c>
      <c r="AB3163">
        <f>AB3162+IF(X3163="",0,IF(ISNA(MATCH(X3163,X$256:X3162,0)),1,0))</f>
        <v/>
      </c>
      <c r="AC3163">
        <f>IF(AB3163&gt;AB3162,AB3163,"")</f>
        <v/>
      </c>
    </row>
    <row r="3164">
      <c r="W3164" s="7" t="n"/>
      <c r="X3164" s="7" t="n"/>
      <c r="Z3164">
        <f>Z3163+IF(W3164="",0,IF(ISNA(MATCH(W3164,W$256:W3163,0)),1,0))</f>
        <v/>
      </c>
      <c r="AA3164">
        <f>IF(Z3164&gt;Z3163,Z3164,"")</f>
        <v/>
      </c>
      <c r="AB3164">
        <f>AB3163+IF(X3164="",0,IF(ISNA(MATCH(X3164,X$256:X3163,0)),1,0))</f>
        <v/>
      </c>
      <c r="AC3164">
        <f>IF(AB3164&gt;AB3163,AB3164,"")</f>
        <v/>
      </c>
    </row>
    <row r="3165">
      <c r="W3165" s="7" t="n"/>
      <c r="X3165" s="7" t="n"/>
      <c r="Z3165">
        <f>Z3164+IF(W3165="",0,IF(ISNA(MATCH(W3165,W$256:W3164,0)),1,0))</f>
        <v/>
      </c>
      <c r="AA3165">
        <f>IF(Z3165&gt;Z3164,Z3165,"")</f>
        <v/>
      </c>
      <c r="AB3165">
        <f>AB3164+IF(X3165="",0,IF(ISNA(MATCH(X3165,X$256:X3164,0)),1,0))</f>
        <v/>
      </c>
      <c r="AC3165">
        <f>IF(AB3165&gt;AB3164,AB3165,"")</f>
        <v/>
      </c>
    </row>
    <row r="3166">
      <c r="W3166" s="7" t="n"/>
      <c r="X3166" s="7" t="n"/>
      <c r="Z3166">
        <f>Z3165+IF(W3166="",0,IF(ISNA(MATCH(W3166,W$256:W3165,0)),1,0))</f>
        <v/>
      </c>
      <c r="AA3166">
        <f>IF(Z3166&gt;Z3165,Z3166,"")</f>
        <v/>
      </c>
      <c r="AB3166">
        <f>AB3165+IF(X3166="",0,IF(ISNA(MATCH(X3166,X$256:X3165,0)),1,0))</f>
        <v/>
      </c>
      <c r="AC3166">
        <f>IF(AB3166&gt;AB3165,AB3166,"")</f>
        <v/>
      </c>
    </row>
    <row r="3167">
      <c r="W3167" s="7" t="n"/>
      <c r="X3167" s="7" t="n"/>
      <c r="Z3167">
        <f>Z3166+IF(W3167="",0,IF(ISNA(MATCH(W3167,W$256:W3166,0)),1,0))</f>
        <v/>
      </c>
      <c r="AA3167">
        <f>IF(Z3167&gt;Z3166,Z3167,"")</f>
        <v/>
      </c>
      <c r="AB3167">
        <f>AB3166+IF(X3167="",0,IF(ISNA(MATCH(X3167,X$256:X3166,0)),1,0))</f>
        <v/>
      </c>
      <c r="AC3167">
        <f>IF(AB3167&gt;AB3166,AB3167,"")</f>
        <v/>
      </c>
    </row>
    <row r="3168">
      <c r="W3168" s="7" t="n"/>
      <c r="X3168" s="7" t="n"/>
      <c r="Z3168">
        <f>Z3167+IF(W3168="",0,IF(ISNA(MATCH(W3168,W$256:W3167,0)),1,0))</f>
        <v/>
      </c>
      <c r="AA3168">
        <f>IF(Z3168&gt;Z3167,Z3168,"")</f>
        <v/>
      </c>
      <c r="AB3168">
        <f>AB3167+IF(X3168="",0,IF(ISNA(MATCH(X3168,X$256:X3167,0)),1,0))</f>
        <v/>
      </c>
      <c r="AC3168">
        <f>IF(AB3168&gt;AB3167,AB3168,"")</f>
        <v/>
      </c>
    </row>
    <row r="3169">
      <c r="W3169" s="7" t="n"/>
      <c r="X3169" s="7" t="n"/>
      <c r="Z3169">
        <f>Z3168+IF(W3169="",0,IF(ISNA(MATCH(W3169,W$256:W3168,0)),1,0))</f>
        <v/>
      </c>
      <c r="AA3169">
        <f>IF(Z3169&gt;Z3168,Z3169,"")</f>
        <v/>
      </c>
      <c r="AB3169">
        <f>AB3168+IF(X3169="",0,IF(ISNA(MATCH(X3169,X$256:X3168,0)),1,0))</f>
        <v/>
      </c>
      <c r="AC3169">
        <f>IF(AB3169&gt;AB3168,AB3169,"")</f>
        <v/>
      </c>
    </row>
    <row r="3170">
      <c r="W3170" s="7" t="n"/>
      <c r="X3170" s="7" t="n"/>
      <c r="Z3170">
        <f>Z3169+IF(W3170="",0,IF(ISNA(MATCH(W3170,W$256:W3169,0)),1,0))</f>
        <v/>
      </c>
      <c r="AA3170">
        <f>IF(Z3170&gt;Z3169,Z3170,"")</f>
        <v/>
      </c>
      <c r="AB3170">
        <f>AB3169+IF(X3170="",0,IF(ISNA(MATCH(X3170,X$256:X3169,0)),1,0))</f>
        <v/>
      </c>
      <c r="AC3170">
        <f>IF(AB3170&gt;AB3169,AB3170,"")</f>
        <v/>
      </c>
    </row>
    <row r="3171">
      <c r="W3171" s="7" t="n"/>
      <c r="X3171" s="7" t="n"/>
      <c r="Z3171">
        <f>Z3170+IF(W3171="",0,IF(ISNA(MATCH(W3171,W$256:W3170,0)),1,0))</f>
        <v/>
      </c>
      <c r="AA3171">
        <f>IF(Z3171&gt;Z3170,Z3171,"")</f>
        <v/>
      </c>
      <c r="AB3171">
        <f>AB3170+IF(X3171="",0,IF(ISNA(MATCH(X3171,X$256:X3170,0)),1,0))</f>
        <v/>
      </c>
      <c r="AC3171">
        <f>IF(AB3171&gt;AB3170,AB3171,"")</f>
        <v/>
      </c>
    </row>
    <row r="3172">
      <c r="W3172" s="7" t="n"/>
      <c r="X3172" s="7" t="n"/>
      <c r="Z3172">
        <f>Z3171+IF(W3172="",0,IF(ISNA(MATCH(W3172,W$256:W3171,0)),1,0))</f>
        <v/>
      </c>
      <c r="AA3172">
        <f>IF(Z3172&gt;Z3171,Z3172,"")</f>
        <v/>
      </c>
      <c r="AB3172">
        <f>AB3171+IF(X3172="",0,IF(ISNA(MATCH(X3172,X$256:X3171,0)),1,0))</f>
        <v/>
      </c>
      <c r="AC3172">
        <f>IF(AB3172&gt;AB3171,AB3172,"")</f>
        <v/>
      </c>
    </row>
    <row r="3173">
      <c r="W3173" s="7" t="n"/>
      <c r="X3173" s="7" t="n"/>
      <c r="Z3173">
        <f>Z3172+IF(W3173="",0,IF(ISNA(MATCH(W3173,W$256:W3172,0)),1,0))</f>
        <v/>
      </c>
      <c r="AA3173">
        <f>IF(Z3173&gt;Z3172,Z3173,"")</f>
        <v/>
      </c>
      <c r="AB3173">
        <f>AB3172+IF(X3173="",0,IF(ISNA(MATCH(X3173,X$256:X3172,0)),1,0))</f>
        <v/>
      </c>
      <c r="AC3173">
        <f>IF(AB3173&gt;AB3172,AB3173,"")</f>
        <v/>
      </c>
    </row>
    <row r="3174">
      <c r="W3174" s="7" t="n"/>
      <c r="X3174" s="7" t="n"/>
      <c r="Z3174">
        <f>Z3173+IF(W3174="",0,IF(ISNA(MATCH(W3174,W$256:W3173,0)),1,0))</f>
        <v/>
      </c>
      <c r="AA3174">
        <f>IF(Z3174&gt;Z3173,Z3174,"")</f>
        <v/>
      </c>
      <c r="AB3174">
        <f>AB3173+IF(X3174="",0,IF(ISNA(MATCH(X3174,X$256:X3173,0)),1,0))</f>
        <v/>
      </c>
      <c r="AC3174">
        <f>IF(AB3174&gt;AB3173,AB3174,"")</f>
        <v/>
      </c>
    </row>
    <row r="3175">
      <c r="W3175" s="7" t="n"/>
      <c r="X3175" s="7" t="n"/>
      <c r="Z3175">
        <f>Z3174+IF(W3175="",0,IF(ISNA(MATCH(W3175,W$256:W3174,0)),1,0))</f>
        <v/>
      </c>
      <c r="AA3175">
        <f>IF(Z3175&gt;Z3174,Z3175,"")</f>
        <v/>
      </c>
      <c r="AB3175">
        <f>AB3174+IF(X3175="",0,IF(ISNA(MATCH(X3175,X$256:X3174,0)),1,0))</f>
        <v/>
      </c>
      <c r="AC3175">
        <f>IF(AB3175&gt;AB3174,AB3175,"")</f>
        <v/>
      </c>
    </row>
    <row r="3176">
      <c r="W3176" s="7" t="n"/>
      <c r="X3176" s="7" t="n"/>
      <c r="Z3176">
        <f>Z3175+IF(W3176="",0,IF(ISNA(MATCH(W3176,W$256:W3175,0)),1,0))</f>
        <v/>
      </c>
      <c r="AA3176">
        <f>IF(Z3176&gt;Z3175,Z3176,"")</f>
        <v/>
      </c>
      <c r="AB3176">
        <f>AB3175+IF(X3176="",0,IF(ISNA(MATCH(X3176,X$256:X3175,0)),1,0))</f>
        <v/>
      </c>
      <c r="AC3176">
        <f>IF(AB3176&gt;AB3175,AB3176,"")</f>
        <v/>
      </c>
    </row>
    <row r="3177">
      <c r="W3177" s="7" t="n"/>
      <c r="X3177" s="7" t="n"/>
      <c r="Z3177">
        <f>Z3176+IF(W3177="",0,IF(ISNA(MATCH(W3177,W$256:W3176,0)),1,0))</f>
        <v/>
      </c>
      <c r="AA3177">
        <f>IF(Z3177&gt;Z3176,Z3177,"")</f>
        <v/>
      </c>
      <c r="AB3177">
        <f>AB3176+IF(X3177="",0,IF(ISNA(MATCH(X3177,X$256:X3176,0)),1,0))</f>
        <v/>
      </c>
      <c r="AC3177">
        <f>IF(AB3177&gt;AB3176,AB3177,"")</f>
        <v/>
      </c>
    </row>
    <row r="3178">
      <c r="W3178" s="7" t="n"/>
      <c r="X3178" s="7" t="n"/>
      <c r="Z3178">
        <f>Z3177+IF(W3178="",0,IF(ISNA(MATCH(W3178,W$256:W3177,0)),1,0))</f>
        <v/>
      </c>
      <c r="AA3178">
        <f>IF(Z3178&gt;Z3177,Z3178,"")</f>
        <v/>
      </c>
      <c r="AB3178">
        <f>AB3177+IF(X3178="",0,IF(ISNA(MATCH(X3178,X$256:X3177,0)),1,0))</f>
        <v/>
      </c>
      <c r="AC3178">
        <f>IF(AB3178&gt;AB3177,AB3178,"")</f>
        <v/>
      </c>
    </row>
    <row r="3179">
      <c r="W3179" s="7" t="n"/>
      <c r="X3179" s="7" t="n"/>
      <c r="Z3179">
        <f>Z3178+IF(W3179="",0,IF(ISNA(MATCH(W3179,W$256:W3178,0)),1,0))</f>
        <v/>
      </c>
      <c r="AA3179">
        <f>IF(Z3179&gt;Z3178,Z3179,"")</f>
        <v/>
      </c>
      <c r="AB3179">
        <f>AB3178+IF(X3179="",0,IF(ISNA(MATCH(X3179,X$256:X3178,0)),1,0))</f>
        <v/>
      </c>
      <c r="AC3179">
        <f>IF(AB3179&gt;AB3178,AB3179,"")</f>
        <v/>
      </c>
    </row>
    <row r="3180">
      <c r="W3180" s="7" t="n"/>
      <c r="X3180" s="7" t="n"/>
      <c r="Z3180">
        <f>Z3179+IF(W3180="",0,IF(ISNA(MATCH(W3180,W$256:W3179,0)),1,0))</f>
        <v/>
      </c>
      <c r="AA3180">
        <f>IF(Z3180&gt;Z3179,Z3180,"")</f>
        <v/>
      </c>
      <c r="AB3180">
        <f>AB3179+IF(X3180="",0,IF(ISNA(MATCH(X3180,X$256:X3179,0)),1,0))</f>
        <v/>
      </c>
      <c r="AC3180">
        <f>IF(AB3180&gt;AB3179,AB3180,"")</f>
        <v/>
      </c>
    </row>
    <row r="3181">
      <c r="W3181" s="7" t="n"/>
      <c r="X3181" s="7" t="n"/>
      <c r="Z3181">
        <f>Z3180+IF(W3181="",0,IF(ISNA(MATCH(W3181,W$256:W3180,0)),1,0))</f>
        <v/>
      </c>
      <c r="AA3181">
        <f>IF(Z3181&gt;Z3180,Z3181,"")</f>
        <v/>
      </c>
      <c r="AB3181">
        <f>AB3180+IF(X3181="",0,IF(ISNA(MATCH(X3181,X$256:X3180,0)),1,0))</f>
        <v/>
      </c>
      <c r="AC3181">
        <f>IF(AB3181&gt;AB3180,AB3181,"")</f>
        <v/>
      </c>
    </row>
    <row r="3182">
      <c r="W3182" s="7" t="n"/>
      <c r="X3182" s="7" t="n"/>
      <c r="Z3182">
        <f>Z3181+IF(W3182="",0,IF(ISNA(MATCH(W3182,W$256:W3181,0)),1,0))</f>
        <v/>
      </c>
      <c r="AA3182">
        <f>IF(Z3182&gt;Z3181,Z3182,"")</f>
        <v/>
      </c>
      <c r="AB3182">
        <f>AB3181+IF(X3182="",0,IF(ISNA(MATCH(X3182,X$256:X3181,0)),1,0))</f>
        <v/>
      </c>
      <c r="AC3182">
        <f>IF(AB3182&gt;AB3181,AB3182,"")</f>
        <v/>
      </c>
    </row>
    <row r="3183">
      <c r="W3183" s="7" t="n"/>
      <c r="X3183" s="7" t="n"/>
      <c r="Z3183">
        <f>Z3182+IF(W3183="",0,IF(ISNA(MATCH(W3183,W$256:W3182,0)),1,0))</f>
        <v/>
      </c>
      <c r="AA3183">
        <f>IF(Z3183&gt;Z3182,Z3183,"")</f>
        <v/>
      </c>
      <c r="AB3183">
        <f>AB3182+IF(X3183="",0,IF(ISNA(MATCH(X3183,X$256:X3182,0)),1,0))</f>
        <v/>
      </c>
      <c r="AC3183">
        <f>IF(AB3183&gt;AB3182,AB3183,"")</f>
        <v/>
      </c>
    </row>
    <row r="3184">
      <c r="W3184" s="7" t="n"/>
      <c r="X3184" s="7" t="n"/>
      <c r="Z3184">
        <f>Z3183+IF(W3184="",0,IF(ISNA(MATCH(W3184,W$256:W3183,0)),1,0))</f>
        <v/>
      </c>
      <c r="AA3184">
        <f>IF(Z3184&gt;Z3183,Z3184,"")</f>
        <v/>
      </c>
      <c r="AB3184">
        <f>AB3183+IF(X3184="",0,IF(ISNA(MATCH(X3184,X$256:X3183,0)),1,0))</f>
        <v/>
      </c>
      <c r="AC3184">
        <f>IF(AB3184&gt;AB3183,AB3184,"")</f>
        <v/>
      </c>
    </row>
    <row r="3185">
      <c r="W3185" s="7" t="n"/>
      <c r="X3185" s="7" t="n"/>
      <c r="Z3185">
        <f>Z3184+IF(W3185="",0,IF(ISNA(MATCH(W3185,W$256:W3184,0)),1,0))</f>
        <v/>
      </c>
      <c r="AA3185">
        <f>IF(Z3185&gt;Z3184,Z3185,"")</f>
        <v/>
      </c>
      <c r="AB3185">
        <f>AB3184+IF(X3185="",0,IF(ISNA(MATCH(X3185,X$256:X3184,0)),1,0))</f>
        <v/>
      </c>
      <c r="AC3185">
        <f>IF(AB3185&gt;AB3184,AB3185,"")</f>
        <v/>
      </c>
    </row>
    <row r="3186">
      <c r="W3186" s="7" t="n"/>
      <c r="X3186" s="7" t="n"/>
      <c r="Z3186">
        <f>Z3185+IF(W3186="",0,IF(ISNA(MATCH(W3186,W$256:W3185,0)),1,0))</f>
        <v/>
      </c>
      <c r="AA3186">
        <f>IF(Z3186&gt;Z3185,Z3186,"")</f>
        <v/>
      </c>
      <c r="AB3186">
        <f>AB3185+IF(X3186="",0,IF(ISNA(MATCH(X3186,X$256:X3185,0)),1,0))</f>
        <v/>
      </c>
      <c r="AC3186">
        <f>IF(AB3186&gt;AB3185,AB3186,"")</f>
        <v/>
      </c>
    </row>
    <row r="3187">
      <c r="W3187" s="7" t="n"/>
      <c r="X3187" s="7" t="n"/>
      <c r="Z3187">
        <f>Z3186+IF(W3187="",0,IF(ISNA(MATCH(W3187,W$256:W3186,0)),1,0))</f>
        <v/>
      </c>
      <c r="AA3187">
        <f>IF(Z3187&gt;Z3186,Z3187,"")</f>
        <v/>
      </c>
      <c r="AB3187">
        <f>AB3186+IF(X3187="",0,IF(ISNA(MATCH(X3187,X$256:X3186,0)),1,0))</f>
        <v/>
      </c>
      <c r="AC3187">
        <f>IF(AB3187&gt;AB3186,AB3187,"")</f>
        <v/>
      </c>
    </row>
    <row r="3188">
      <c r="W3188" s="7" t="n"/>
      <c r="X3188" s="7" t="n"/>
      <c r="Z3188">
        <f>Z3187+IF(W3188="",0,IF(ISNA(MATCH(W3188,W$256:W3187,0)),1,0))</f>
        <v/>
      </c>
      <c r="AA3188">
        <f>IF(Z3188&gt;Z3187,Z3188,"")</f>
        <v/>
      </c>
      <c r="AB3188">
        <f>AB3187+IF(X3188="",0,IF(ISNA(MATCH(X3188,X$256:X3187,0)),1,0))</f>
        <v/>
      </c>
      <c r="AC3188">
        <f>IF(AB3188&gt;AB3187,AB3188,"")</f>
        <v/>
      </c>
    </row>
    <row r="3189">
      <c r="W3189" s="7" t="n"/>
      <c r="X3189" s="7" t="n"/>
      <c r="Z3189">
        <f>Z3188+IF(W3189="",0,IF(ISNA(MATCH(W3189,W$256:W3188,0)),1,0))</f>
        <v/>
      </c>
      <c r="AA3189">
        <f>IF(Z3189&gt;Z3188,Z3189,"")</f>
        <v/>
      </c>
      <c r="AB3189">
        <f>AB3188+IF(X3189="",0,IF(ISNA(MATCH(X3189,X$256:X3188,0)),1,0))</f>
        <v/>
      </c>
      <c r="AC3189">
        <f>IF(AB3189&gt;AB3188,AB3189,"")</f>
        <v/>
      </c>
    </row>
    <row r="3190">
      <c r="W3190" s="7" t="n"/>
      <c r="X3190" s="7" t="n"/>
      <c r="Z3190">
        <f>Z3189+IF(W3190="",0,IF(ISNA(MATCH(W3190,W$256:W3189,0)),1,0))</f>
        <v/>
      </c>
      <c r="AA3190">
        <f>IF(Z3190&gt;Z3189,Z3190,"")</f>
        <v/>
      </c>
      <c r="AB3190">
        <f>AB3189+IF(X3190="",0,IF(ISNA(MATCH(X3190,X$256:X3189,0)),1,0))</f>
        <v/>
      </c>
      <c r="AC3190">
        <f>IF(AB3190&gt;AB3189,AB3190,"")</f>
        <v/>
      </c>
    </row>
    <row r="3191">
      <c r="W3191" s="7" t="n"/>
      <c r="X3191" s="7" t="n"/>
      <c r="Z3191">
        <f>Z3190+IF(W3191="",0,IF(ISNA(MATCH(W3191,W$256:W3190,0)),1,0))</f>
        <v/>
      </c>
      <c r="AA3191">
        <f>IF(Z3191&gt;Z3190,Z3191,"")</f>
        <v/>
      </c>
      <c r="AB3191">
        <f>AB3190+IF(X3191="",0,IF(ISNA(MATCH(X3191,X$256:X3190,0)),1,0))</f>
        <v/>
      </c>
      <c r="AC3191">
        <f>IF(AB3191&gt;AB3190,AB3191,"")</f>
        <v/>
      </c>
    </row>
    <row r="3192">
      <c r="W3192" s="7" t="n"/>
      <c r="X3192" s="7" t="n"/>
      <c r="Z3192">
        <f>Z3191+IF(W3192="",0,IF(ISNA(MATCH(W3192,W$256:W3191,0)),1,0))</f>
        <v/>
      </c>
      <c r="AA3192">
        <f>IF(Z3192&gt;Z3191,Z3192,"")</f>
        <v/>
      </c>
      <c r="AB3192">
        <f>AB3191+IF(X3192="",0,IF(ISNA(MATCH(X3192,X$256:X3191,0)),1,0))</f>
        <v/>
      </c>
      <c r="AC3192">
        <f>IF(AB3192&gt;AB3191,AB3192,"")</f>
        <v/>
      </c>
    </row>
    <row r="3193">
      <c r="W3193" s="7" t="n"/>
      <c r="X3193" s="7" t="n"/>
      <c r="Z3193">
        <f>Z3192+IF(W3193="",0,IF(ISNA(MATCH(W3193,W$256:W3192,0)),1,0))</f>
        <v/>
      </c>
      <c r="AA3193">
        <f>IF(Z3193&gt;Z3192,Z3193,"")</f>
        <v/>
      </c>
      <c r="AB3193">
        <f>AB3192+IF(X3193="",0,IF(ISNA(MATCH(X3193,X$256:X3192,0)),1,0))</f>
        <v/>
      </c>
      <c r="AC3193">
        <f>IF(AB3193&gt;AB3192,AB3193,"")</f>
        <v/>
      </c>
    </row>
    <row r="3194">
      <c r="W3194" s="7" t="n"/>
      <c r="X3194" s="7" t="n"/>
      <c r="Z3194">
        <f>Z3193+IF(W3194="",0,IF(ISNA(MATCH(W3194,W$256:W3193,0)),1,0))</f>
        <v/>
      </c>
      <c r="AA3194">
        <f>IF(Z3194&gt;Z3193,Z3194,"")</f>
        <v/>
      </c>
      <c r="AB3194">
        <f>AB3193+IF(X3194="",0,IF(ISNA(MATCH(X3194,X$256:X3193,0)),1,0))</f>
        <v/>
      </c>
      <c r="AC3194">
        <f>IF(AB3194&gt;AB3193,AB3194,"")</f>
        <v/>
      </c>
    </row>
    <row r="3195">
      <c r="W3195" s="7" t="n"/>
      <c r="X3195" s="7" t="n"/>
      <c r="Z3195">
        <f>Z3194+IF(W3195="",0,IF(ISNA(MATCH(W3195,W$256:W3194,0)),1,0))</f>
        <v/>
      </c>
      <c r="AA3195">
        <f>IF(Z3195&gt;Z3194,Z3195,"")</f>
        <v/>
      </c>
      <c r="AB3195">
        <f>AB3194+IF(X3195="",0,IF(ISNA(MATCH(X3195,X$256:X3194,0)),1,0))</f>
        <v/>
      </c>
      <c r="AC3195">
        <f>IF(AB3195&gt;AB3194,AB3195,"")</f>
        <v/>
      </c>
    </row>
    <row r="3196">
      <c r="W3196" s="7" t="n"/>
      <c r="X3196" s="7" t="n"/>
      <c r="Z3196">
        <f>Z3195+IF(W3196="",0,IF(ISNA(MATCH(W3196,W$256:W3195,0)),1,0))</f>
        <v/>
      </c>
      <c r="AA3196">
        <f>IF(Z3196&gt;Z3195,Z3196,"")</f>
        <v/>
      </c>
      <c r="AB3196">
        <f>AB3195+IF(X3196="",0,IF(ISNA(MATCH(X3196,X$256:X3195,0)),1,0))</f>
        <v/>
      </c>
      <c r="AC3196">
        <f>IF(AB3196&gt;AB3195,AB3196,"")</f>
        <v/>
      </c>
    </row>
    <row r="3197">
      <c r="W3197" s="7" t="n"/>
      <c r="X3197" s="7" t="n"/>
      <c r="Z3197">
        <f>Z3196+IF(W3197="",0,IF(ISNA(MATCH(W3197,W$256:W3196,0)),1,0))</f>
        <v/>
      </c>
      <c r="AA3197">
        <f>IF(Z3197&gt;Z3196,Z3197,"")</f>
        <v/>
      </c>
      <c r="AB3197">
        <f>AB3196+IF(X3197="",0,IF(ISNA(MATCH(X3197,X$256:X3196,0)),1,0))</f>
        <v/>
      </c>
      <c r="AC3197">
        <f>IF(AB3197&gt;AB3196,AB3197,"")</f>
        <v/>
      </c>
    </row>
    <row r="3198">
      <c r="W3198" s="7" t="n"/>
      <c r="X3198" s="7" t="n"/>
      <c r="Z3198">
        <f>Z3197+IF(W3198="",0,IF(ISNA(MATCH(W3198,W$256:W3197,0)),1,0))</f>
        <v/>
      </c>
      <c r="AA3198">
        <f>IF(Z3198&gt;Z3197,Z3198,"")</f>
        <v/>
      </c>
      <c r="AB3198">
        <f>AB3197+IF(X3198="",0,IF(ISNA(MATCH(X3198,X$256:X3197,0)),1,0))</f>
        <v/>
      </c>
      <c r="AC3198">
        <f>IF(AB3198&gt;AB3197,AB3198,"")</f>
        <v/>
      </c>
    </row>
    <row r="3199">
      <c r="W3199" s="7" t="n"/>
      <c r="X3199" s="7" t="n"/>
      <c r="Z3199">
        <f>Z3198+IF(W3199="",0,IF(ISNA(MATCH(W3199,W$256:W3198,0)),1,0))</f>
        <v/>
      </c>
      <c r="AA3199">
        <f>IF(Z3199&gt;Z3198,Z3199,"")</f>
        <v/>
      </c>
      <c r="AB3199">
        <f>AB3198+IF(X3199="",0,IF(ISNA(MATCH(X3199,X$256:X3198,0)),1,0))</f>
        <v/>
      </c>
      <c r="AC3199">
        <f>IF(AB3199&gt;AB3198,AB3199,"")</f>
        <v/>
      </c>
    </row>
    <row r="3200">
      <c r="W3200" s="7" t="n"/>
      <c r="X3200" s="7" t="n"/>
      <c r="Z3200">
        <f>Z3199+IF(W3200="",0,IF(ISNA(MATCH(W3200,W$256:W3199,0)),1,0))</f>
        <v/>
      </c>
      <c r="AA3200">
        <f>IF(Z3200&gt;Z3199,Z3200,"")</f>
        <v/>
      </c>
      <c r="AB3200">
        <f>AB3199+IF(X3200="",0,IF(ISNA(MATCH(X3200,X$256:X3199,0)),1,0))</f>
        <v/>
      </c>
      <c r="AC3200">
        <f>IF(AB3200&gt;AB3199,AB3200,"")</f>
        <v/>
      </c>
    </row>
    <row r="3201">
      <c r="W3201" s="7" t="n"/>
      <c r="X3201" s="7" t="n"/>
      <c r="Z3201">
        <f>Z3200+IF(W3201="",0,IF(ISNA(MATCH(W3201,W$256:W3200,0)),1,0))</f>
        <v/>
      </c>
      <c r="AA3201">
        <f>IF(Z3201&gt;Z3200,Z3201,"")</f>
        <v/>
      </c>
      <c r="AB3201">
        <f>AB3200+IF(X3201="",0,IF(ISNA(MATCH(X3201,X$256:X3200,0)),1,0))</f>
        <v/>
      </c>
      <c r="AC3201">
        <f>IF(AB3201&gt;AB3200,AB3201,"")</f>
        <v/>
      </c>
    </row>
    <row r="3202">
      <c r="W3202" s="7" t="n"/>
      <c r="X3202" s="7" t="n"/>
      <c r="Z3202">
        <f>Z3201+IF(W3202="",0,IF(ISNA(MATCH(W3202,W$256:W3201,0)),1,0))</f>
        <v/>
      </c>
      <c r="AA3202">
        <f>IF(Z3202&gt;Z3201,Z3202,"")</f>
        <v/>
      </c>
      <c r="AB3202">
        <f>AB3201+IF(X3202="",0,IF(ISNA(MATCH(X3202,X$256:X3201,0)),1,0))</f>
        <v/>
      </c>
      <c r="AC3202">
        <f>IF(AB3202&gt;AB3201,AB3202,"")</f>
        <v/>
      </c>
    </row>
    <row r="3203">
      <c r="W3203" s="7" t="n"/>
      <c r="X3203" s="7" t="n"/>
      <c r="Z3203">
        <f>Z3202+IF(W3203="",0,IF(ISNA(MATCH(W3203,W$256:W3202,0)),1,0))</f>
        <v/>
      </c>
      <c r="AA3203">
        <f>IF(Z3203&gt;Z3202,Z3203,"")</f>
        <v/>
      </c>
      <c r="AB3203">
        <f>AB3202+IF(X3203="",0,IF(ISNA(MATCH(X3203,X$256:X3202,0)),1,0))</f>
        <v/>
      </c>
      <c r="AC3203">
        <f>IF(AB3203&gt;AB3202,AB3203,"")</f>
        <v/>
      </c>
    </row>
    <row r="3204">
      <c r="W3204" s="7" t="n"/>
      <c r="X3204" s="7" t="n"/>
      <c r="Z3204">
        <f>Z3203+IF(W3204="",0,IF(ISNA(MATCH(W3204,W$256:W3203,0)),1,0))</f>
        <v/>
      </c>
      <c r="AA3204">
        <f>IF(Z3204&gt;Z3203,Z3204,"")</f>
        <v/>
      </c>
      <c r="AB3204">
        <f>AB3203+IF(X3204="",0,IF(ISNA(MATCH(X3204,X$256:X3203,0)),1,0))</f>
        <v/>
      </c>
      <c r="AC3204">
        <f>IF(AB3204&gt;AB3203,AB3204,"")</f>
        <v/>
      </c>
    </row>
    <row r="3205">
      <c r="W3205" s="7" t="n"/>
      <c r="X3205" s="7" t="n"/>
      <c r="Z3205">
        <f>Z3204+IF(W3205="",0,IF(ISNA(MATCH(W3205,W$256:W3204,0)),1,0))</f>
        <v/>
      </c>
      <c r="AA3205">
        <f>IF(Z3205&gt;Z3204,Z3205,"")</f>
        <v/>
      </c>
      <c r="AB3205">
        <f>AB3204+IF(X3205="",0,IF(ISNA(MATCH(X3205,X$256:X3204,0)),1,0))</f>
        <v/>
      </c>
      <c r="AC3205">
        <f>IF(AB3205&gt;AB3204,AB3205,"")</f>
        <v/>
      </c>
    </row>
    <row r="3206">
      <c r="W3206" s="7" t="n"/>
      <c r="X3206" s="7" t="n"/>
      <c r="Z3206">
        <f>Z3205+IF(W3206="",0,IF(ISNA(MATCH(W3206,W$256:W3205,0)),1,0))</f>
        <v/>
      </c>
      <c r="AA3206">
        <f>IF(Z3206&gt;Z3205,Z3206,"")</f>
        <v/>
      </c>
      <c r="AB3206">
        <f>AB3205+IF(X3206="",0,IF(ISNA(MATCH(X3206,X$256:X3205,0)),1,0))</f>
        <v/>
      </c>
      <c r="AC3206">
        <f>IF(AB3206&gt;AB3205,AB3206,"")</f>
        <v/>
      </c>
    </row>
    <row r="3207">
      <c r="W3207" s="7" t="n"/>
      <c r="X3207" s="7" t="n"/>
      <c r="Z3207">
        <f>Z3206+IF(W3207="",0,IF(ISNA(MATCH(W3207,W$256:W3206,0)),1,0))</f>
        <v/>
      </c>
      <c r="AA3207">
        <f>IF(Z3207&gt;Z3206,Z3207,"")</f>
        <v/>
      </c>
      <c r="AB3207">
        <f>AB3206+IF(X3207="",0,IF(ISNA(MATCH(X3207,X$256:X3206,0)),1,0))</f>
        <v/>
      </c>
      <c r="AC3207">
        <f>IF(AB3207&gt;AB3206,AB3207,"")</f>
        <v/>
      </c>
    </row>
    <row r="3208">
      <c r="W3208" s="7" t="n"/>
      <c r="X3208" s="7" t="n"/>
      <c r="Z3208">
        <f>Z3207+IF(W3208="",0,IF(ISNA(MATCH(W3208,W$256:W3207,0)),1,0))</f>
        <v/>
      </c>
      <c r="AA3208">
        <f>IF(Z3208&gt;Z3207,Z3208,"")</f>
        <v/>
      </c>
      <c r="AB3208">
        <f>AB3207+IF(X3208="",0,IF(ISNA(MATCH(X3208,X$256:X3207,0)),1,0))</f>
        <v/>
      </c>
      <c r="AC3208">
        <f>IF(AB3208&gt;AB3207,AB3208,"")</f>
        <v/>
      </c>
    </row>
    <row r="3209">
      <c r="W3209" s="7" t="n"/>
      <c r="X3209" s="7" t="n"/>
      <c r="Z3209">
        <f>Z3208+IF(W3209="",0,IF(ISNA(MATCH(W3209,W$256:W3208,0)),1,0))</f>
        <v/>
      </c>
      <c r="AA3209">
        <f>IF(Z3209&gt;Z3208,Z3209,"")</f>
        <v/>
      </c>
      <c r="AB3209">
        <f>AB3208+IF(X3209="",0,IF(ISNA(MATCH(X3209,X$256:X3208,0)),1,0))</f>
        <v/>
      </c>
      <c r="AC3209">
        <f>IF(AB3209&gt;AB3208,AB3209,"")</f>
        <v/>
      </c>
    </row>
    <row r="3210">
      <c r="W3210" s="7" t="n"/>
      <c r="X3210" s="7" t="n"/>
      <c r="Z3210">
        <f>Z3209+IF(W3210="",0,IF(ISNA(MATCH(W3210,W$256:W3209,0)),1,0))</f>
        <v/>
      </c>
      <c r="AA3210">
        <f>IF(Z3210&gt;Z3209,Z3210,"")</f>
        <v/>
      </c>
      <c r="AB3210">
        <f>AB3209+IF(X3210="",0,IF(ISNA(MATCH(X3210,X$256:X3209,0)),1,0))</f>
        <v/>
      </c>
      <c r="AC3210">
        <f>IF(AB3210&gt;AB3209,AB3210,"")</f>
        <v/>
      </c>
    </row>
    <row r="3211">
      <c r="W3211" s="7" t="n"/>
      <c r="X3211" s="7" t="n"/>
      <c r="Z3211">
        <f>Z3210+IF(W3211="",0,IF(ISNA(MATCH(W3211,W$256:W3210,0)),1,0))</f>
        <v/>
      </c>
      <c r="AA3211">
        <f>IF(Z3211&gt;Z3210,Z3211,"")</f>
        <v/>
      </c>
      <c r="AB3211">
        <f>AB3210+IF(X3211="",0,IF(ISNA(MATCH(X3211,X$256:X3210,0)),1,0))</f>
        <v/>
      </c>
      <c r="AC3211">
        <f>IF(AB3211&gt;AB3210,AB3211,"")</f>
        <v/>
      </c>
    </row>
    <row r="3212">
      <c r="W3212" s="7" t="n"/>
      <c r="X3212" s="7" t="n"/>
      <c r="Z3212">
        <f>Z3211+IF(W3212="",0,IF(ISNA(MATCH(W3212,W$256:W3211,0)),1,0))</f>
        <v/>
      </c>
      <c r="AA3212">
        <f>IF(Z3212&gt;Z3211,Z3212,"")</f>
        <v/>
      </c>
      <c r="AB3212">
        <f>AB3211+IF(X3212="",0,IF(ISNA(MATCH(X3212,X$256:X3211,0)),1,0))</f>
        <v/>
      </c>
      <c r="AC3212">
        <f>IF(AB3212&gt;AB3211,AB3212,"")</f>
        <v/>
      </c>
    </row>
    <row r="3213">
      <c r="W3213" s="7" t="n"/>
      <c r="X3213" s="7" t="n"/>
      <c r="Z3213">
        <f>Z3212+IF(W3213="",0,IF(ISNA(MATCH(W3213,W$256:W3212,0)),1,0))</f>
        <v/>
      </c>
      <c r="AA3213">
        <f>IF(Z3213&gt;Z3212,Z3213,"")</f>
        <v/>
      </c>
      <c r="AB3213">
        <f>AB3212+IF(X3213="",0,IF(ISNA(MATCH(X3213,X$256:X3212,0)),1,0))</f>
        <v/>
      </c>
      <c r="AC3213">
        <f>IF(AB3213&gt;AB3212,AB3213,"")</f>
        <v/>
      </c>
    </row>
    <row r="3214">
      <c r="W3214" s="7" t="n"/>
      <c r="X3214" s="7" t="n"/>
      <c r="Z3214">
        <f>Z3213+IF(W3214="",0,IF(ISNA(MATCH(W3214,W$256:W3213,0)),1,0))</f>
        <v/>
      </c>
      <c r="AA3214">
        <f>IF(Z3214&gt;Z3213,Z3214,"")</f>
        <v/>
      </c>
      <c r="AB3214">
        <f>AB3213+IF(X3214="",0,IF(ISNA(MATCH(X3214,X$256:X3213,0)),1,0))</f>
        <v/>
      </c>
      <c r="AC3214">
        <f>IF(AB3214&gt;AB3213,AB3214,"")</f>
        <v/>
      </c>
    </row>
    <row r="3215">
      <c r="W3215" s="7" t="n"/>
      <c r="X3215" s="7" t="n"/>
      <c r="Z3215">
        <f>Z3214+IF(W3215="",0,IF(ISNA(MATCH(W3215,W$256:W3214,0)),1,0))</f>
        <v/>
      </c>
      <c r="AA3215">
        <f>IF(Z3215&gt;Z3214,Z3215,"")</f>
        <v/>
      </c>
      <c r="AB3215">
        <f>AB3214+IF(X3215="",0,IF(ISNA(MATCH(X3215,X$256:X3214,0)),1,0))</f>
        <v/>
      </c>
      <c r="AC3215">
        <f>IF(AB3215&gt;AB3214,AB3215,"")</f>
        <v/>
      </c>
    </row>
    <row r="3216">
      <c r="W3216" s="7" t="n"/>
      <c r="X3216" s="7" t="n"/>
      <c r="Z3216">
        <f>Z3215+IF(W3216="",0,IF(ISNA(MATCH(W3216,W$256:W3215,0)),1,0))</f>
        <v/>
      </c>
      <c r="AA3216">
        <f>IF(Z3216&gt;Z3215,Z3216,"")</f>
        <v/>
      </c>
      <c r="AB3216">
        <f>AB3215+IF(X3216="",0,IF(ISNA(MATCH(X3216,X$256:X3215,0)),1,0))</f>
        <v/>
      </c>
      <c r="AC3216">
        <f>IF(AB3216&gt;AB3215,AB3216,"")</f>
        <v/>
      </c>
    </row>
    <row r="3217">
      <c r="W3217" s="7" t="n"/>
      <c r="X3217" s="7" t="n"/>
      <c r="Z3217">
        <f>Z3216+IF(W3217="",0,IF(ISNA(MATCH(W3217,W$256:W3216,0)),1,0))</f>
        <v/>
      </c>
      <c r="AA3217">
        <f>IF(Z3217&gt;Z3216,Z3217,"")</f>
        <v/>
      </c>
      <c r="AB3217">
        <f>AB3216+IF(X3217="",0,IF(ISNA(MATCH(X3217,X$256:X3216,0)),1,0))</f>
        <v/>
      </c>
      <c r="AC3217">
        <f>IF(AB3217&gt;AB3216,AB3217,"")</f>
        <v/>
      </c>
    </row>
    <row r="3218">
      <c r="W3218" s="7" t="n"/>
      <c r="X3218" s="7" t="n"/>
      <c r="Z3218">
        <f>Z3217+IF(W3218="",0,IF(ISNA(MATCH(W3218,W$256:W3217,0)),1,0))</f>
        <v/>
      </c>
      <c r="AA3218">
        <f>IF(Z3218&gt;Z3217,Z3218,"")</f>
        <v/>
      </c>
      <c r="AB3218">
        <f>AB3217+IF(X3218="",0,IF(ISNA(MATCH(X3218,X$256:X3217,0)),1,0))</f>
        <v/>
      </c>
      <c r="AC3218">
        <f>IF(AB3218&gt;AB3217,AB3218,"")</f>
        <v/>
      </c>
    </row>
    <row r="3219">
      <c r="W3219" s="7" t="n"/>
      <c r="X3219" s="7" t="n"/>
      <c r="Z3219">
        <f>Z3218+IF(W3219="",0,IF(ISNA(MATCH(W3219,W$256:W3218,0)),1,0))</f>
        <v/>
      </c>
      <c r="AA3219">
        <f>IF(Z3219&gt;Z3218,Z3219,"")</f>
        <v/>
      </c>
      <c r="AB3219">
        <f>AB3218+IF(X3219="",0,IF(ISNA(MATCH(X3219,X$256:X3218,0)),1,0))</f>
        <v/>
      </c>
      <c r="AC3219">
        <f>IF(AB3219&gt;AB3218,AB3219,"")</f>
        <v/>
      </c>
    </row>
    <row r="3220">
      <c r="W3220" s="7" t="n"/>
      <c r="X3220" s="7" t="n"/>
      <c r="Z3220">
        <f>Z3219+IF(W3220="",0,IF(ISNA(MATCH(W3220,W$256:W3219,0)),1,0))</f>
        <v/>
      </c>
      <c r="AA3220">
        <f>IF(Z3220&gt;Z3219,Z3220,"")</f>
        <v/>
      </c>
      <c r="AB3220">
        <f>AB3219+IF(X3220="",0,IF(ISNA(MATCH(X3220,X$256:X3219,0)),1,0))</f>
        <v/>
      </c>
      <c r="AC3220">
        <f>IF(AB3220&gt;AB3219,AB3220,"")</f>
        <v/>
      </c>
    </row>
    <row r="3221">
      <c r="W3221" s="7" t="n"/>
      <c r="X3221" s="7" t="n"/>
      <c r="Z3221">
        <f>Z3220+IF(W3221="",0,IF(ISNA(MATCH(W3221,W$256:W3220,0)),1,0))</f>
        <v/>
      </c>
      <c r="AA3221">
        <f>IF(Z3221&gt;Z3220,Z3221,"")</f>
        <v/>
      </c>
      <c r="AB3221">
        <f>AB3220+IF(X3221="",0,IF(ISNA(MATCH(X3221,X$256:X3220,0)),1,0))</f>
        <v/>
      </c>
      <c r="AC3221">
        <f>IF(AB3221&gt;AB3220,AB3221,"")</f>
        <v/>
      </c>
    </row>
    <row r="3222">
      <c r="W3222" s="7" t="n"/>
      <c r="X3222" s="7" t="n"/>
      <c r="Z3222">
        <f>Z3221+IF(W3222="",0,IF(ISNA(MATCH(W3222,W$256:W3221,0)),1,0))</f>
        <v/>
      </c>
      <c r="AA3222">
        <f>IF(Z3222&gt;Z3221,Z3222,"")</f>
        <v/>
      </c>
      <c r="AB3222">
        <f>AB3221+IF(X3222="",0,IF(ISNA(MATCH(X3222,X$256:X3221,0)),1,0))</f>
        <v/>
      </c>
      <c r="AC3222">
        <f>IF(AB3222&gt;AB3221,AB3222,"")</f>
        <v/>
      </c>
    </row>
    <row r="3223">
      <c r="W3223" s="7" t="n"/>
      <c r="X3223" s="7" t="n"/>
      <c r="Z3223">
        <f>Z3222+IF(W3223="",0,IF(ISNA(MATCH(W3223,W$256:W3222,0)),1,0))</f>
        <v/>
      </c>
      <c r="AA3223">
        <f>IF(Z3223&gt;Z3222,Z3223,"")</f>
        <v/>
      </c>
      <c r="AB3223">
        <f>AB3222+IF(X3223="",0,IF(ISNA(MATCH(X3223,X$256:X3222,0)),1,0))</f>
        <v/>
      </c>
      <c r="AC3223">
        <f>IF(AB3223&gt;AB3222,AB3223,"")</f>
        <v/>
      </c>
    </row>
    <row r="3224">
      <c r="W3224" s="7" t="n"/>
      <c r="X3224" s="7" t="n"/>
      <c r="Z3224">
        <f>Z3223+IF(W3224="",0,IF(ISNA(MATCH(W3224,W$256:W3223,0)),1,0))</f>
        <v/>
      </c>
      <c r="AA3224">
        <f>IF(Z3224&gt;Z3223,Z3224,"")</f>
        <v/>
      </c>
      <c r="AB3224">
        <f>AB3223+IF(X3224="",0,IF(ISNA(MATCH(X3224,X$256:X3223,0)),1,0))</f>
        <v/>
      </c>
      <c r="AC3224">
        <f>IF(AB3224&gt;AB3223,AB3224,"")</f>
        <v/>
      </c>
    </row>
    <row r="3225">
      <c r="W3225" s="7" t="n"/>
      <c r="X3225" s="7" t="n"/>
      <c r="Z3225">
        <f>Z3224+IF(W3225="",0,IF(ISNA(MATCH(W3225,W$256:W3224,0)),1,0))</f>
        <v/>
      </c>
      <c r="AA3225">
        <f>IF(Z3225&gt;Z3224,Z3225,"")</f>
        <v/>
      </c>
      <c r="AB3225">
        <f>AB3224+IF(X3225="",0,IF(ISNA(MATCH(X3225,X$256:X3224,0)),1,0))</f>
        <v/>
      </c>
      <c r="AC3225">
        <f>IF(AB3225&gt;AB3224,AB3225,"")</f>
        <v/>
      </c>
    </row>
    <row r="3226">
      <c r="W3226" s="7" t="n"/>
      <c r="X3226" s="7" t="n"/>
      <c r="Z3226">
        <f>Z3225+IF(W3226="",0,IF(ISNA(MATCH(W3226,W$256:W3225,0)),1,0))</f>
        <v/>
      </c>
      <c r="AA3226">
        <f>IF(Z3226&gt;Z3225,Z3226,"")</f>
        <v/>
      </c>
      <c r="AB3226">
        <f>AB3225+IF(X3226="",0,IF(ISNA(MATCH(X3226,X$256:X3225,0)),1,0))</f>
        <v/>
      </c>
      <c r="AC3226">
        <f>IF(AB3226&gt;AB3225,AB3226,"")</f>
        <v/>
      </c>
    </row>
    <row r="3227">
      <c r="W3227" s="7" t="n"/>
      <c r="X3227" s="7" t="n"/>
      <c r="Z3227">
        <f>Z3226+IF(W3227="",0,IF(ISNA(MATCH(W3227,W$256:W3226,0)),1,0))</f>
        <v/>
      </c>
      <c r="AA3227">
        <f>IF(Z3227&gt;Z3226,Z3227,"")</f>
        <v/>
      </c>
      <c r="AB3227">
        <f>AB3226+IF(X3227="",0,IF(ISNA(MATCH(X3227,X$256:X3226,0)),1,0))</f>
        <v/>
      </c>
      <c r="AC3227">
        <f>IF(AB3227&gt;AB3226,AB3227,"")</f>
        <v/>
      </c>
    </row>
    <row r="3228">
      <c r="W3228" s="7" t="n"/>
      <c r="X3228" s="7" t="n"/>
      <c r="Z3228">
        <f>Z3227+IF(W3228="",0,IF(ISNA(MATCH(W3228,W$256:W3227,0)),1,0))</f>
        <v/>
      </c>
      <c r="AA3228">
        <f>IF(Z3228&gt;Z3227,Z3228,"")</f>
        <v/>
      </c>
      <c r="AB3228">
        <f>AB3227+IF(X3228="",0,IF(ISNA(MATCH(X3228,X$256:X3227,0)),1,0))</f>
        <v/>
      </c>
      <c r="AC3228">
        <f>IF(AB3228&gt;AB3227,AB3228,"")</f>
        <v/>
      </c>
    </row>
    <row r="3229">
      <c r="W3229" s="7" t="n"/>
      <c r="X3229" s="7" t="n"/>
      <c r="Z3229">
        <f>Z3228+IF(W3229="",0,IF(ISNA(MATCH(W3229,W$256:W3228,0)),1,0))</f>
        <v/>
      </c>
      <c r="AA3229">
        <f>IF(Z3229&gt;Z3228,Z3229,"")</f>
        <v/>
      </c>
      <c r="AB3229">
        <f>AB3228+IF(X3229="",0,IF(ISNA(MATCH(X3229,X$256:X3228,0)),1,0))</f>
        <v/>
      </c>
      <c r="AC3229">
        <f>IF(AB3229&gt;AB3228,AB3229,"")</f>
        <v/>
      </c>
    </row>
    <row r="3230">
      <c r="W3230" s="7" t="n"/>
      <c r="X3230" s="7" t="n"/>
      <c r="Z3230">
        <f>Z3229+IF(W3230="",0,IF(ISNA(MATCH(W3230,W$256:W3229,0)),1,0))</f>
        <v/>
      </c>
      <c r="AA3230">
        <f>IF(Z3230&gt;Z3229,Z3230,"")</f>
        <v/>
      </c>
      <c r="AB3230">
        <f>AB3229+IF(X3230="",0,IF(ISNA(MATCH(X3230,X$256:X3229,0)),1,0))</f>
        <v/>
      </c>
      <c r="AC3230">
        <f>IF(AB3230&gt;AB3229,AB3230,"")</f>
        <v/>
      </c>
    </row>
    <row r="3231">
      <c r="W3231" s="7" t="n"/>
      <c r="X3231" s="7" t="n"/>
      <c r="Z3231">
        <f>Z3230+IF(W3231="",0,IF(ISNA(MATCH(W3231,W$256:W3230,0)),1,0))</f>
        <v/>
      </c>
      <c r="AA3231">
        <f>IF(Z3231&gt;Z3230,Z3231,"")</f>
        <v/>
      </c>
      <c r="AB3231">
        <f>AB3230+IF(X3231="",0,IF(ISNA(MATCH(X3231,X$256:X3230,0)),1,0))</f>
        <v/>
      </c>
      <c r="AC3231">
        <f>IF(AB3231&gt;AB3230,AB3231,"")</f>
        <v/>
      </c>
    </row>
    <row r="3232">
      <c r="W3232" s="7" t="n"/>
      <c r="X3232" s="7" t="n"/>
      <c r="Z3232">
        <f>Z3231+IF(W3232="",0,IF(ISNA(MATCH(W3232,W$256:W3231,0)),1,0))</f>
        <v/>
      </c>
      <c r="AA3232">
        <f>IF(Z3232&gt;Z3231,Z3232,"")</f>
        <v/>
      </c>
      <c r="AB3232">
        <f>AB3231+IF(X3232="",0,IF(ISNA(MATCH(X3232,X$256:X3231,0)),1,0))</f>
        <v/>
      </c>
      <c r="AC3232">
        <f>IF(AB3232&gt;AB3231,AB3232,"")</f>
        <v/>
      </c>
    </row>
    <row r="3233">
      <c r="W3233" s="7" t="n"/>
      <c r="X3233" s="7" t="n"/>
      <c r="Z3233">
        <f>Z3232+IF(W3233="",0,IF(ISNA(MATCH(W3233,W$256:W3232,0)),1,0))</f>
        <v/>
      </c>
      <c r="AA3233">
        <f>IF(Z3233&gt;Z3232,Z3233,"")</f>
        <v/>
      </c>
      <c r="AB3233">
        <f>AB3232+IF(X3233="",0,IF(ISNA(MATCH(X3233,X$256:X3232,0)),1,0))</f>
        <v/>
      </c>
      <c r="AC3233">
        <f>IF(AB3233&gt;AB3232,AB3233,"")</f>
        <v/>
      </c>
    </row>
    <row r="3234">
      <c r="W3234" s="7" t="n"/>
      <c r="X3234" s="7" t="n"/>
      <c r="Z3234">
        <f>Z3233+IF(W3234="",0,IF(ISNA(MATCH(W3234,W$256:W3233,0)),1,0))</f>
        <v/>
      </c>
      <c r="AA3234">
        <f>IF(Z3234&gt;Z3233,Z3234,"")</f>
        <v/>
      </c>
      <c r="AB3234">
        <f>AB3233+IF(X3234="",0,IF(ISNA(MATCH(X3234,X$256:X3233,0)),1,0))</f>
        <v/>
      </c>
      <c r="AC3234">
        <f>IF(AB3234&gt;AB3233,AB3234,"")</f>
        <v/>
      </c>
    </row>
    <row r="3235">
      <c r="W3235" s="7" t="n"/>
      <c r="X3235" s="7" t="n"/>
      <c r="Z3235">
        <f>Z3234+IF(W3235="",0,IF(ISNA(MATCH(W3235,W$256:W3234,0)),1,0))</f>
        <v/>
      </c>
      <c r="AA3235">
        <f>IF(Z3235&gt;Z3234,Z3235,"")</f>
        <v/>
      </c>
      <c r="AB3235">
        <f>AB3234+IF(X3235="",0,IF(ISNA(MATCH(X3235,X$256:X3234,0)),1,0))</f>
        <v/>
      </c>
      <c r="AC3235">
        <f>IF(AB3235&gt;AB3234,AB3235,"")</f>
        <v/>
      </c>
    </row>
    <row r="3236">
      <c r="W3236" s="7" t="n"/>
      <c r="X3236" s="7" t="n"/>
      <c r="Z3236">
        <f>Z3235+IF(W3236="",0,IF(ISNA(MATCH(W3236,W$256:W3235,0)),1,0))</f>
        <v/>
      </c>
      <c r="AA3236">
        <f>IF(Z3236&gt;Z3235,Z3236,"")</f>
        <v/>
      </c>
      <c r="AB3236">
        <f>AB3235+IF(X3236="",0,IF(ISNA(MATCH(X3236,X$256:X3235,0)),1,0))</f>
        <v/>
      </c>
      <c r="AC3236">
        <f>IF(AB3236&gt;AB3235,AB3236,"")</f>
        <v/>
      </c>
    </row>
    <row r="3237">
      <c r="W3237" s="7" t="n"/>
      <c r="X3237" s="7" t="n"/>
      <c r="Z3237">
        <f>Z3236+IF(W3237="",0,IF(ISNA(MATCH(W3237,W$256:W3236,0)),1,0))</f>
        <v/>
      </c>
      <c r="AA3237">
        <f>IF(Z3237&gt;Z3236,Z3237,"")</f>
        <v/>
      </c>
      <c r="AB3237">
        <f>AB3236+IF(X3237="",0,IF(ISNA(MATCH(X3237,X$256:X3236,0)),1,0))</f>
        <v/>
      </c>
      <c r="AC3237">
        <f>IF(AB3237&gt;AB3236,AB3237,"")</f>
        <v/>
      </c>
    </row>
    <row r="3238">
      <c r="W3238" s="7" t="n"/>
      <c r="X3238" s="7" t="n"/>
      <c r="Z3238">
        <f>Z3237+IF(W3238="",0,IF(ISNA(MATCH(W3238,W$256:W3237,0)),1,0))</f>
        <v/>
      </c>
      <c r="AA3238">
        <f>IF(Z3238&gt;Z3237,Z3238,"")</f>
        <v/>
      </c>
      <c r="AB3238">
        <f>AB3237+IF(X3238="",0,IF(ISNA(MATCH(X3238,X$256:X3237,0)),1,0))</f>
        <v/>
      </c>
      <c r="AC3238">
        <f>IF(AB3238&gt;AB3237,AB3238,"")</f>
        <v/>
      </c>
    </row>
    <row r="3239">
      <c r="W3239" s="7" t="n"/>
      <c r="X3239" s="7" t="n"/>
      <c r="Z3239">
        <f>Z3238+IF(W3239="",0,IF(ISNA(MATCH(W3239,W$256:W3238,0)),1,0))</f>
        <v/>
      </c>
      <c r="AA3239">
        <f>IF(Z3239&gt;Z3238,Z3239,"")</f>
        <v/>
      </c>
      <c r="AB3239">
        <f>AB3238+IF(X3239="",0,IF(ISNA(MATCH(X3239,X$256:X3238,0)),1,0))</f>
        <v/>
      </c>
      <c r="AC3239">
        <f>IF(AB3239&gt;AB3238,AB3239,"")</f>
        <v/>
      </c>
    </row>
    <row r="3240">
      <c r="W3240" s="7" t="n"/>
      <c r="X3240" s="7" t="n"/>
      <c r="Z3240">
        <f>Z3239+IF(W3240="",0,IF(ISNA(MATCH(W3240,W$256:W3239,0)),1,0))</f>
        <v/>
      </c>
      <c r="AA3240">
        <f>IF(Z3240&gt;Z3239,Z3240,"")</f>
        <v/>
      </c>
      <c r="AB3240">
        <f>AB3239+IF(X3240="",0,IF(ISNA(MATCH(X3240,X$256:X3239,0)),1,0))</f>
        <v/>
      </c>
      <c r="AC3240">
        <f>IF(AB3240&gt;AB3239,AB3240,"")</f>
        <v/>
      </c>
    </row>
    <row r="3241">
      <c r="W3241" s="7" t="n"/>
      <c r="X3241" s="7" t="n"/>
      <c r="Z3241">
        <f>Z3240+IF(W3241="",0,IF(ISNA(MATCH(W3241,W$256:W3240,0)),1,0))</f>
        <v/>
      </c>
      <c r="AA3241">
        <f>IF(Z3241&gt;Z3240,Z3241,"")</f>
        <v/>
      </c>
      <c r="AB3241">
        <f>AB3240+IF(X3241="",0,IF(ISNA(MATCH(X3241,X$256:X3240,0)),1,0))</f>
        <v/>
      </c>
      <c r="AC3241">
        <f>IF(AB3241&gt;AB3240,AB3241,"")</f>
        <v/>
      </c>
    </row>
    <row r="3242">
      <c r="W3242" s="7" t="n"/>
      <c r="X3242" s="7" t="n"/>
      <c r="Z3242">
        <f>Z3241+IF(W3242="",0,IF(ISNA(MATCH(W3242,W$256:W3241,0)),1,0))</f>
        <v/>
      </c>
      <c r="AA3242">
        <f>IF(Z3242&gt;Z3241,Z3242,"")</f>
        <v/>
      </c>
      <c r="AB3242">
        <f>AB3241+IF(X3242="",0,IF(ISNA(MATCH(X3242,X$256:X3241,0)),1,0))</f>
        <v/>
      </c>
      <c r="AC3242">
        <f>IF(AB3242&gt;AB3241,AB3242,"")</f>
        <v/>
      </c>
    </row>
    <row r="3243">
      <c r="W3243" s="7" t="n"/>
      <c r="X3243" s="7" t="n"/>
      <c r="Z3243">
        <f>Z3242+IF(W3243="",0,IF(ISNA(MATCH(W3243,W$256:W3242,0)),1,0))</f>
        <v/>
      </c>
      <c r="AA3243">
        <f>IF(Z3243&gt;Z3242,Z3243,"")</f>
        <v/>
      </c>
      <c r="AB3243">
        <f>AB3242+IF(X3243="",0,IF(ISNA(MATCH(X3243,X$256:X3242,0)),1,0))</f>
        <v/>
      </c>
      <c r="AC3243">
        <f>IF(AB3243&gt;AB3242,AB3243,"")</f>
        <v/>
      </c>
    </row>
    <row r="3244">
      <c r="W3244" s="7" t="n"/>
      <c r="X3244" s="7" t="n"/>
      <c r="Z3244">
        <f>Z3243+IF(W3244="",0,IF(ISNA(MATCH(W3244,W$256:W3243,0)),1,0))</f>
        <v/>
      </c>
      <c r="AA3244">
        <f>IF(Z3244&gt;Z3243,Z3244,"")</f>
        <v/>
      </c>
      <c r="AB3244">
        <f>AB3243+IF(X3244="",0,IF(ISNA(MATCH(X3244,X$256:X3243,0)),1,0))</f>
        <v/>
      </c>
      <c r="AC3244">
        <f>IF(AB3244&gt;AB3243,AB3244,"")</f>
        <v/>
      </c>
    </row>
    <row r="3245">
      <c r="W3245" s="7" t="n"/>
      <c r="X3245" s="7" t="n"/>
      <c r="Z3245">
        <f>Z3244+IF(W3245="",0,IF(ISNA(MATCH(W3245,W$256:W3244,0)),1,0))</f>
        <v/>
      </c>
      <c r="AA3245">
        <f>IF(Z3245&gt;Z3244,Z3245,"")</f>
        <v/>
      </c>
      <c r="AB3245">
        <f>AB3244+IF(X3245="",0,IF(ISNA(MATCH(X3245,X$256:X3244,0)),1,0))</f>
        <v/>
      </c>
      <c r="AC3245">
        <f>IF(AB3245&gt;AB3244,AB3245,"")</f>
        <v/>
      </c>
    </row>
    <row r="3246">
      <c r="W3246" s="7" t="n"/>
      <c r="X3246" s="7" t="n"/>
      <c r="Z3246">
        <f>Z3245+IF(W3246="",0,IF(ISNA(MATCH(W3246,W$256:W3245,0)),1,0))</f>
        <v/>
      </c>
      <c r="AA3246">
        <f>IF(Z3246&gt;Z3245,Z3246,"")</f>
        <v/>
      </c>
      <c r="AB3246">
        <f>AB3245+IF(X3246="",0,IF(ISNA(MATCH(X3246,X$256:X3245,0)),1,0))</f>
        <v/>
      </c>
      <c r="AC3246">
        <f>IF(AB3246&gt;AB3245,AB3246,"")</f>
        <v/>
      </c>
    </row>
    <row r="3247">
      <c r="W3247" s="7" t="n"/>
      <c r="X3247" s="7" t="n"/>
      <c r="Z3247">
        <f>Z3246+IF(W3247="",0,IF(ISNA(MATCH(W3247,W$256:W3246,0)),1,0))</f>
        <v/>
      </c>
      <c r="AA3247">
        <f>IF(Z3247&gt;Z3246,Z3247,"")</f>
        <v/>
      </c>
      <c r="AB3247">
        <f>AB3246+IF(X3247="",0,IF(ISNA(MATCH(X3247,X$256:X3246,0)),1,0))</f>
        <v/>
      </c>
      <c r="AC3247">
        <f>IF(AB3247&gt;AB3246,AB3247,"")</f>
        <v/>
      </c>
    </row>
    <row r="3248">
      <c r="W3248" s="7" t="n"/>
      <c r="X3248" s="7" t="n"/>
      <c r="Z3248">
        <f>Z3247+IF(W3248="",0,IF(ISNA(MATCH(W3248,W$256:W3247,0)),1,0))</f>
        <v/>
      </c>
      <c r="AA3248">
        <f>IF(Z3248&gt;Z3247,Z3248,"")</f>
        <v/>
      </c>
      <c r="AB3248">
        <f>AB3247+IF(X3248="",0,IF(ISNA(MATCH(X3248,X$256:X3247,0)),1,0))</f>
        <v/>
      </c>
      <c r="AC3248">
        <f>IF(AB3248&gt;AB3247,AB3248,"")</f>
        <v/>
      </c>
    </row>
    <row r="3249">
      <c r="W3249" s="7" t="n"/>
      <c r="X3249" s="7" t="n"/>
      <c r="Z3249">
        <f>Z3248+IF(W3249="",0,IF(ISNA(MATCH(W3249,W$256:W3248,0)),1,0))</f>
        <v/>
      </c>
      <c r="AA3249">
        <f>IF(Z3249&gt;Z3248,Z3249,"")</f>
        <v/>
      </c>
      <c r="AB3249">
        <f>AB3248+IF(X3249="",0,IF(ISNA(MATCH(X3249,X$256:X3248,0)),1,0))</f>
        <v/>
      </c>
      <c r="AC3249">
        <f>IF(AB3249&gt;AB3248,AB3249,"")</f>
        <v/>
      </c>
    </row>
    <row r="3250">
      <c r="W3250" s="7" t="n"/>
      <c r="X3250" s="7" t="n"/>
      <c r="Z3250">
        <f>Z3249+IF(W3250="",0,IF(ISNA(MATCH(W3250,W$256:W3249,0)),1,0))</f>
        <v/>
      </c>
      <c r="AA3250">
        <f>IF(Z3250&gt;Z3249,Z3250,"")</f>
        <v/>
      </c>
      <c r="AB3250">
        <f>AB3249+IF(X3250="",0,IF(ISNA(MATCH(X3250,X$256:X3249,0)),1,0))</f>
        <v/>
      </c>
      <c r="AC3250">
        <f>IF(AB3250&gt;AB3249,AB3250,"")</f>
        <v/>
      </c>
    </row>
    <row r="3251">
      <c r="W3251" s="7" t="n"/>
      <c r="X3251" s="7" t="n"/>
      <c r="Z3251">
        <f>Z3250+IF(W3251="",0,IF(ISNA(MATCH(W3251,W$256:W3250,0)),1,0))</f>
        <v/>
      </c>
      <c r="AA3251">
        <f>IF(Z3251&gt;Z3250,Z3251,"")</f>
        <v/>
      </c>
      <c r="AB3251">
        <f>AB3250+IF(X3251="",0,IF(ISNA(MATCH(X3251,X$256:X3250,0)),1,0))</f>
        <v/>
      </c>
      <c r="AC3251">
        <f>IF(AB3251&gt;AB3250,AB3251,"")</f>
        <v/>
      </c>
    </row>
    <row r="3252">
      <c r="W3252" s="7" t="n"/>
      <c r="X3252" s="7" t="n"/>
      <c r="Z3252">
        <f>Z3251+IF(W3252="",0,IF(ISNA(MATCH(W3252,W$256:W3251,0)),1,0))</f>
        <v/>
      </c>
      <c r="AA3252">
        <f>IF(Z3252&gt;Z3251,Z3252,"")</f>
        <v/>
      </c>
      <c r="AB3252">
        <f>AB3251+IF(X3252="",0,IF(ISNA(MATCH(X3252,X$256:X3251,0)),1,0))</f>
        <v/>
      </c>
      <c r="AC3252">
        <f>IF(AB3252&gt;AB3251,AB3252,"")</f>
        <v/>
      </c>
    </row>
    <row r="3253">
      <c r="W3253" s="7" t="n"/>
      <c r="X3253" s="7" t="n"/>
      <c r="Z3253">
        <f>Z3252+IF(W3253="",0,IF(ISNA(MATCH(W3253,W$256:W3252,0)),1,0))</f>
        <v/>
      </c>
      <c r="AA3253">
        <f>IF(Z3253&gt;Z3252,Z3253,"")</f>
        <v/>
      </c>
      <c r="AB3253">
        <f>AB3252+IF(X3253="",0,IF(ISNA(MATCH(X3253,X$256:X3252,0)),1,0))</f>
        <v/>
      </c>
      <c r="AC3253">
        <f>IF(AB3253&gt;AB3252,AB3253,"")</f>
        <v/>
      </c>
    </row>
    <row r="3254">
      <c r="W3254" s="7" t="n"/>
      <c r="X3254" s="7" t="n"/>
      <c r="Z3254">
        <f>Z3253+IF(W3254="",0,IF(ISNA(MATCH(W3254,W$256:W3253,0)),1,0))</f>
        <v/>
      </c>
      <c r="AA3254">
        <f>IF(Z3254&gt;Z3253,Z3254,"")</f>
        <v/>
      </c>
      <c r="AB3254">
        <f>AB3253+IF(X3254="",0,IF(ISNA(MATCH(X3254,X$256:X3253,0)),1,0))</f>
        <v/>
      </c>
      <c r="AC3254">
        <f>IF(AB3254&gt;AB3253,AB3254,"")</f>
        <v/>
      </c>
    </row>
    <row r="3255">
      <c r="W3255" s="7" t="n"/>
      <c r="X3255" s="7" t="n"/>
      <c r="Z3255">
        <f>Z3254+IF(W3255="",0,IF(ISNA(MATCH(W3255,W$256:W3254,0)),1,0))</f>
        <v/>
      </c>
      <c r="AA3255">
        <f>IF(Z3255&gt;Z3254,Z3255,"")</f>
        <v/>
      </c>
      <c r="AB3255">
        <f>AB3254+IF(X3255="",0,IF(ISNA(MATCH(X3255,X$256:X3254,0)),1,0))</f>
        <v/>
      </c>
      <c r="AC3255">
        <f>IF(AB3255&gt;AB3254,AB3255,"")</f>
        <v/>
      </c>
    </row>
    <row r="3256">
      <c r="W3256" s="7" t="n"/>
      <c r="X3256" s="7" t="n"/>
      <c r="Z3256">
        <f>Z3255+IF(W3256="",0,IF(ISNA(MATCH(W3256,W$256:W3255,0)),1,0))</f>
        <v/>
      </c>
      <c r="AA3256">
        <f>IF(Z3256&gt;Z3255,Z3256,"")</f>
        <v/>
      </c>
      <c r="AB3256">
        <f>AB3255+IF(X3256="",0,IF(ISNA(MATCH(X3256,X$256:X3255,0)),1,0))</f>
        <v/>
      </c>
      <c r="AC3256">
        <f>IF(AB3256&gt;AB3255,AB3256,"")</f>
        <v/>
      </c>
    </row>
    <row r="3257">
      <c r="W3257" s="7" t="n"/>
      <c r="X3257" s="7" t="n"/>
      <c r="Z3257">
        <f>Z3256+IF(W3257="",0,IF(ISNA(MATCH(W3257,W$256:W3256,0)),1,0))</f>
        <v/>
      </c>
      <c r="AA3257">
        <f>IF(Z3257&gt;Z3256,Z3257,"")</f>
        <v/>
      </c>
      <c r="AB3257">
        <f>AB3256+IF(X3257="",0,IF(ISNA(MATCH(X3257,X$256:X3256,0)),1,0))</f>
        <v/>
      </c>
      <c r="AC3257">
        <f>IF(AB3257&gt;AB3256,AB3257,"")</f>
        <v/>
      </c>
    </row>
    <row r="3258">
      <c r="W3258" s="7" t="n"/>
      <c r="X3258" s="7" t="n"/>
      <c r="Z3258">
        <f>Z3257+IF(W3258="",0,IF(ISNA(MATCH(W3258,W$256:W3257,0)),1,0))</f>
        <v/>
      </c>
      <c r="AA3258">
        <f>IF(Z3258&gt;Z3257,Z3258,"")</f>
        <v/>
      </c>
      <c r="AB3258">
        <f>AB3257+IF(X3258="",0,IF(ISNA(MATCH(X3258,X$256:X3257,0)),1,0))</f>
        <v/>
      </c>
      <c r="AC3258">
        <f>IF(AB3258&gt;AB3257,AB3258,"")</f>
        <v/>
      </c>
    </row>
    <row r="3259">
      <c r="W3259" s="7" t="n"/>
      <c r="X3259" s="7" t="n"/>
      <c r="Z3259">
        <f>Z3258+IF(W3259="",0,IF(ISNA(MATCH(W3259,W$256:W3258,0)),1,0))</f>
        <v/>
      </c>
      <c r="AA3259">
        <f>IF(Z3259&gt;Z3258,Z3259,"")</f>
        <v/>
      </c>
      <c r="AB3259">
        <f>AB3258+IF(X3259="",0,IF(ISNA(MATCH(X3259,X$256:X3258,0)),1,0))</f>
        <v/>
      </c>
      <c r="AC3259">
        <f>IF(AB3259&gt;AB3258,AB3259,"")</f>
        <v/>
      </c>
    </row>
    <row r="3260">
      <c r="W3260" s="7" t="n"/>
      <c r="X3260" s="7" t="n"/>
      <c r="Z3260">
        <f>Z3259+IF(W3260="",0,IF(ISNA(MATCH(W3260,W$256:W3259,0)),1,0))</f>
        <v/>
      </c>
      <c r="AA3260">
        <f>IF(Z3260&gt;Z3259,Z3260,"")</f>
        <v/>
      </c>
      <c r="AB3260">
        <f>AB3259+IF(X3260="",0,IF(ISNA(MATCH(X3260,X$256:X3259,0)),1,0))</f>
        <v/>
      </c>
      <c r="AC3260">
        <f>IF(AB3260&gt;AB3259,AB3260,"")</f>
        <v/>
      </c>
    </row>
    <row r="3261">
      <c r="W3261" s="7" t="n"/>
      <c r="X3261" s="7" t="n"/>
      <c r="Z3261">
        <f>Z3260+IF(W3261="",0,IF(ISNA(MATCH(W3261,W$256:W3260,0)),1,0))</f>
        <v/>
      </c>
      <c r="AA3261">
        <f>IF(Z3261&gt;Z3260,Z3261,"")</f>
        <v/>
      </c>
      <c r="AB3261">
        <f>AB3260+IF(X3261="",0,IF(ISNA(MATCH(X3261,X$256:X3260,0)),1,0))</f>
        <v/>
      </c>
      <c r="AC3261">
        <f>IF(AB3261&gt;AB3260,AB3261,"")</f>
        <v/>
      </c>
    </row>
    <row r="3262">
      <c r="W3262" s="7" t="n"/>
      <c r="X3262" s="7" t="n"/>
      <c r="Z3262">
        <f>Z3261+IF(W3262="",0,IF(ISNA(MATCH(W3262,W$256:W3261,0)),1,0))</f>
        <v/>
      </c>
      <c r="AA3262">
        <f>IF(Z3262&gt;Z3261,Z3262,"")</f>
        <v/>
      </c>
      <c r="AB3262">
        <f>AB3261+IF(X3262="",0,IF(ISNA(MATCH(X3262,X$256:X3261,0)),1,0))</f>
        <v/>
      </c>
      <c r="AC3262">
        <f>IF(AB3262&gt;AB3261,AB3262,"")</f>
        <v/>
      </c>
    </row>
    <row r="3263">
      <c r="W3263" s="7" t="n"/>
      <c r="X3263" s="7" t="n"/>
      <c r="Z3263">
        <f>Z3262+IF(W3263="",0,IF(ISNA(MATCH(W3263,W$256:W3262,0)),1,0))</f>
        <v/>
      </c>
      <c r="AA3263">
        <f>IF(Z3263&gt;Z3262,Z3263,"")</f>
        <v/>
      </c>
      <c r="AB3263">
        <f>AB3262+IF(X3263="",0,IF(ISNA(MATCH(X3263,X$256:X3262,0)),1,0))</f>
        <v/>
      </c>
      <c r="AC3263">
        <f>IF(AB3263&gt;AB3262,AB3263,"")</f>
        <v/>
      </c>
    </row>
    <row r="3264">
      <c r="W3264" s="7" t="n"/>
      <c r="X3264" s="7" t="n"/>
      <c r="Z3264">
        <f>Z3263+IF(W3264="",0,IF(ISNA(MATCH(W3264,W$256:W3263,0)),1,0))</f>
        <v/>
      </c>
      <c r="AA3264">
        <f>IF(Z3264&gt;Z3263,Z3264,"")</f>
        <v/>
      </c>
      <c r="AB3264">
        <f>AB3263+IF(X3264="",0,IF(ISNA(MATCH(X3264,X$256:X3263,0)),1,0))</f>
        <v/>
      </c>
      <c r="AC3264">
        <f>IF(AB3264&gt;AB3263,AB3264,"")</f>
        <v/>
      </c>
    </row>
    <row r="3265">
      <c r="W3265" s="7" t="n"/>
      <c r="X3265" s="7" t="n"/>
      <c r="Z3265">
        <f>Z3264+IF(W3265="",0,IF(ISNA(MATCH(W3265,W$256:W3264,0)),1,0))</f>
        <v/>
      </c>
      <c r="AA3265">
        <f>IF(Z3265&gt;Z3264,Z3265,"")</f>
        <v/>
      </c>
      <c r="AB3265">
        <f>AB3264+IF(X3265="",0,IF(ISNA(MATCH(X3265,X$256:X3264,0)),1,0))</f>
        <v/>
      </c>
      <c r="AC3265">
        <f>IF(AB3265&gt;AB3264,AB3265,"")</f>
        <v/>
      </c>
    </row>
    <row r="3266">
      <c r="W3266" s="7" t="n"/>
      <c r="X3266" s="7" t="n"/>
      <c r="Z3266">
        <f>Z3265+IF(W3266="",0,IF(ISNA(MATCH(W3266,W$256:W3265,0)),1,0))</f>
        <v/>
      </c>
      <c r="AA3266">
        <f>IF(Z3266&gt;Z3265,Z3266,"")</f>
        <v/>
      </c>
      <c r="AB3266">
        <f>AB3265+IF(X3266="",0,IF(ISNA(MATCH(X3266,X$256:X3265,0)),1,0))</f>
        <v/>
      </c>
      <c r="AC3266">
        <f>IF(AB3266&gt;AB3265,AB3266,"")</f>
        <v/>
      </c>
    </row>
    <row r="3267">
      <c r="W3267" s="7" t="n"/>
      <c r="X3267" s="7" t="n"/>
      <c r="Z3267">
        <f>Z3266+IF(W3267="",0,IF(ISNA(MATCH(W3267,W$256:W3266,0)),1,0))</f>
        <v/>
      </c>
      <c r="AA3267">
        <f>IF(Z3267&gt;Z3266,Z3267,"")</f>
        <v/>
      </c>
      <c r="AB3267">
        <f>AB3266+IF(X3267="",0,IF(ISNA(MATCH(X3267,X$256:X3266,0)),1,0))</f>
        <v/>
      </c>
      <c r="AC3267">
        <f>IF(AB3267&gt;AB3266,AB3267,"")</f>
        <v/>
      </c>
    </row>
    <row r="3268">
      <c r="W3268" s="7" t="n"/>
      <c r="X3268" s="7" t="n"/>
      <c r="Z3268">
        <f>Z3267+IF(W3268="",0,IF(ISNA(MATCH(W3268,W$256:W3267,0)),1,0))</f>
        <v/>
      </c>
      <c r="AA3268">
        <f>IF(Z3268&gt;Z3267,Z3268,"")</f>
        <v/>
      </c>
      <c r="AB3268">
        <f>AB3267+IF(X3268="",0,IF(ISNA(MATCH(X3268,X$256:X3267,0)),1,0))</f>
        <v/>
      </c>
      <c r="AC3268">
        <f>IF(AB3268&gt;AB3267,AB3268,"")</f>
        <v/>
      </c>
    </row>
    <row r="3269">
      <c r="W3269" s="7" t="n"/>
      <c r="X3269" s="7" t="n"/>
      <c r="Z3269">
        <f>Z3268+IF(W3269="",0,IF(ISNA(MATCH(W3269,W$256:W3268,0)),1,0))</f>
        <v/>
      </c>
      <c r="AA3269">
        <f>IF(Z3269&gt;Z3268,Z3269,"")</f>
        <v/>
      </c>
      <c r="AB3269">
        <f>AB3268+IF(X3269="",0,IF(ISNA(MATCH(X3269,X$256:X3268,0)),1,0))</f>
        <v/>
      </c>
      <c r="AC3269">
        <f>IF(AB3269&gt;AB3268,AB3269,"")</f>
        <v/>
      </c>
    </row>
    <row r="3270">
      <c r="W3270" s="7" t="n"/>
      <c r="X3270" s="7" t="n"/>
      <c r="Z3270">
        <f>Z3269+IF(W3270="",0,IF(ISNA(MATCH(W3270,W$256:W3269,0)),1,0))</f>
        <v/>
      </c>
      <c r="AA3270">
        <f>IF(Z3270&gt;Z3269,Z3270,"")</f>
        <v/>
      </c>
      <c r="AB3270">
        <f>AB3269+IF(X3270="",0,IF(ISNA(MATCH(X3270,X$256:X3269,0)),1,0))</f>
        <v/>
      </c>
      <c r="AC3270">
        <f>IF(AB3270&gt;AB3269,AB3270,"")</f>
        <v/>
      </c>
    </row>
    <row r="3271">
      <c r="W3271" s="7" t="n"/>
      <c r="X3271" s="7" t="n"/>
      <c r="Z3271">
        <f>Z3270+IF(W3271="",0,IF(ISNA(MATCH(W3271,W$256:W3270,0)),1,0))</f>
        <v/>
      </c>
      <c r="AA3271">
        <f>IF(Z3271&gt;Z3270,Z3271,"")</f>
        <v/>
      </c>
      <c r="AB3271">
        <f>AB3270+IF(X3271="",0,IF(ISNA(MATCH(X3271,X$256:X3270,0)),1,0))</f>
        <v/>
      </c>
      <c r="AC3271">
        <f>IF(AB3271&gt;AB3270,AB3271,"")</f>
        <v/>
      </c>
    </row>
    <row r="3272">
      <c r="W3272" s="7" t="n"/>
      <c r="X3272" s="7" t="n"/>
      <c r="Z3272">
        <f>Z3271+IF(W3272="",0,IF(ISNA(MATCH(W3272,W$256:W3271,0)),1,0))</f>
        <v/>
      </c>
      <c r="AA3272">
        <f>IF(Z3272&gt;Z3271,Z3272,"")</f>
        <v/>
      </c>
      <c r="AB3272">
        <f>AB3271+IF(X3272="",0,IF(ISNA(MATCH(X3272,X$256:X3271,0)),1,0))</f>
        <v/>
      </c>
      <c r="AC3272">
        <f>IF(AB3272&gt;AB3271,AB3272,"")</f>
        <v/>
      </c>
    </row>
    <row r="3273">
      <c r="W3273" s="7" t="n"/>
      <c r="X3273" s="7" t="n"/>
      <c r="Z3273">
        <f>Z3272+IF(W3273="",0,IF(ISNA(MATCH(W3273,W$256:W3272,0)),1,0))</f>
        <v/>
      </c>
      <c r="AA3273">
        <f>IF(Z3273&gt;Z3272,Z3273,"")</f>
        <v/>
      </c>
      <c r="AB3273">
        <f>AB3272+IF(X3273="",0,IF(ISNA(MATCH(X3273,X$256:X3272,0)),1,0))</f>
        <v/>
      </c>
      <c r="AC3273">
        <f>IF(AB3273&gt;AB3272,AB3273,"")</f>
        <v/>
      </c>
    </row>
    <row r="3274">
      <c r="W3274" s="7" t="n"/>
      <c r="X3274" s="7" t="n"/>
      <c r="Z3274">
        <f>Z3273+IF(W3274="",0,IF(ISNA(MATCH(W3274,W$256:W3273,0)),1,0))</f>
        <v/>
      </c>
      <c r="AA3274">
        <f>IF(Z3274&gt;Z3273,Z3274,"")</f>
        <v/>
      </c>
      <c r="AB3274">
        <f>AB3273+IF(X3274="",0,IF(ISNA(MATCH(X3274,X$256:X3273,0)),1,0))</f>
        <v/>
      </c>
      <c r="AC3274">
        <f>IF(AB3274&gt;AB3273,AB3274,"")</f>
        <v/>
      </c>
    </row>
    <row r="3275">
      <c r="W3275" s="7" t="n"/>
      <c r="X3275" s="7" t="n"/>
      <c r="Z3275">
        <f>Z3274+IF(W3275="",0,IF(ISNA(MATCH(W3275,W$256:W3274,0)),1,0))</f>
        <v/>
      </c>
      <c r="AA3275">
        <f>IF(Z3275&gt;Z3274,Z3275,"")</f>
        <v/>
      </c>
      <c r="AB3275">
        <f>AB3274+IF(X3275="",0,IF(ISNA(MATCH(X3275,X$256:X3274,0)),1,0))</f>
        <v/>
      </c>
      <c r="AC3275">
        <f>IF(AB3275&gt;AB3274,AB3275,"")</f>
        <v/>
      </c>
    </row>
    <row r="3276">
      <c r="W3276" s="7" t="n"/>
      <c r="X3276" s="7" t="n"/>
      <c r="Z3276">
        <f>Z3275+IF(W3276="",0,IF(ISNA(MATCH(W3276,W$256:W3275,0)),1,0))</f>
        <v/>
      </c>
      <c r="AA3276">
        <f>IF(Z3276&gt;Z3275,Z3276,"")</f>
        <v/>
      </c>
      <c r="AB3276">
        <f>AB3275+IF(X3276="",0,IF(ISNA(MATCH(X3276,X$256:X3275,0)),1,0))</f>
        <v/>
      </c>
      <c r="AC3276">
        <f>IF(AB3276&gt;AB3275,AB3276,"")</f>
        <v/>
      </c>
    </row>
    <row r="3277">
      <c r="W3277" s="7" t="n"/>
      <c r="X3277" s="7" t="n"/>
      <c r="Z3277">
        <f>Z3276+IF(W3277="",0,IF(ISNA(MATCH(W3277,W$256:W3276,0)),1,0))</f>
        <v/>
      </c>
      <c r="AA3277">
        <f>IF(Z3277&gt;Z3276,Z3277,"")</f>
        <v/>
      </c>
      <c r="AB3277">
        <f>AB3276+IF(X3277="",0,IF(ISNA(MATCH(X3277,X$256:X3276,0)),1,0))</f>
        <v/>
      </c>
      <c r="AC3277">
        <f>IF(AB3277&gt;AB3276,AB3277,"")</f>
        <v/>
      </c>
    </row>
    <row r="3278">
      <c r="W3278" s="7" t="n"/>
      <c r="X3278" s="7" t="n"/>
      <c r="Z3278">
        <f>Z3277+IF(W3278="",0,IF(ISNA(MATCH(W3278,W$256:W3277,0)),1,0))</f>
        <v/>
      </c>
      <c r="AA3278">
        <f>IF(Z3278&gt;Z3277,Z3278,"")</f>
        <v/>
      </c>
      <c r="AB3278">
        <f>AB3277+IF(X3278="",0,IF(ISNA(MATCH(X3278,X$256:X3277,0)),1,0))</f>
        <v/>
      </c>
      <c r="AC3278">
        <f>IF(AB3278&gt;AB3277,AB3278,"")</f>
        <v/>
      </c>
    </row>
    <row r="3279">
      <c r="W3279" s="7" t="n"/>
      <c r="X3279" s="7" t="n"/>
      <c r="Z3279">
        <f>Z3278+IF(W3279="",0,IF(ISNA(MATCH(W3279,W$256:W3278,0)),1,0))</f>
        <v/>
      </c>
      <c r="AA3279">
        <f>IF(Z3279&gt;Z3278,Z3279,"")</f>
        <v/>
      </c>
      <c r="AB3279">
        <f>AB3278+IF(X3279="",0,IF(ISNA(MATCH(X3279,X$256:X3278,0)),1,0))</f>
        <v/>
      </c>
      <c r="AC3279">
        <f>IF(AB3279&gt;AB3278,AB3279,"")</f>
        <v/>
      </c>
    </row>
    <row r="3280">
      <c r="W3280" s="7" t="n"/>
      <c r="X3280" s="7" t="n"/>
      <c r="Z3280">
        <f>Z3279+IF(W3280="",0,IF(ISNA(MATCH(W3280,W$256:W3279,0)),1,0))</f>
        <v/>
      </c>
      <c r="AA3280">
        <f>IF(Z3280&gt;Z3279,Z3280,"")</f>
        <v/>
      </c>
      <c r="AB3280">
        <f>AB3279+IF(X3280="",0,IF(ISNA(MATCH(X3280,X$256:X3279,0)),1,0))</f>
        <v/>
      </c>
      <c r="AC3280">
        <f>IF(AB3280&gt;AB3279,AB3280,"")</f>
        <v/>
      </c>
    </row>
    <row r="3281">
      <c r="W3281" s="7" t="n"/>
      <c r="X3281" s="7" t="n"/>
      <c r="Z3281">
        <f>Z3280+IF(W3281="",0,IF(ISNA(MATCH(W3281,W$256:W3280,0)),1,0))</f>
        <v/>
      </c>
      <c r="AA3281">
        <f>IF(Z3281&gt;Z3280,Z3281,"")</f>
        <v/>
      </c>
      <c r="AB3281">
        <f>AB3280+IF(X3281="",0,IF(ISNA(MATCH(X3281,X$256:X3280,0)),1,0))</f>
        <v/>
      </c>
      <c r="AC3281">
        <f>IF(AB3281&gt;AB3280,AB3281,"")</f>
        <v/>
      </c>
    </row>
    <row r="3282">
      <c r="W3282" s="7" t="n"/>
      <c r="X3282" s="7" t="n"/>
      <c r="Z3282">
        <f>Z3281+IF(W3282="",0,IF(ISNA(MATCH(W3282,W$256:W3281,0)),1,0))</f>
        <v/>
      </c>
      <c r="AA3282">
        <f>IF(Z3282&gt;Z3281,Z3282,"")</f>
        <v/>
      </c>
      <c r="AB3282">
        <f>AB3281+IF(X3282="",0,IF(ISNA(MATCH(X3282,X$256:X3281,0)),1,0))</f>
        <v/>
      </c>
      <c r="AC3282">
        <f>IF(AB3282&gt;AB3281,AB3282,"")</f>
        <v/>
      </c>
    </row>
    <row r="3283">
      <c r="W3283" s="7" t="n"/>
      <c r="X3283" s="7" t="n"/>
      <c r="Z3283">
        <f>Z3282+IF(W3283="",0,IF(ISNA(MATCH(W3283,W$256:W3282,0)),1,0))</f>
        <v/>
      </c>
      <c r="AA3283">
        <f>IF(Z3283&gt;Z3282,Z3283,"")</f>
        <v/>
      </c>
      <c r="AB3283">
        <f>AB3282+IF(X3283="",0,IF(ISNA(MATCH(X3283,X$256:X3282,0)),1,0))</f>
        <v/>
      </c>
      <c r="AC3283">
        <f>IF(AB3283&gt;AB3282,AB3283,"")</f>
        <v/>
      </c>
    </row>
    <row r="3284">
      <c r="W3284" s="7" t="n"/>
      <c r="X3284" s="7" t="n"/>
      <c r="Z3284">
        <f>Z3283+IF(W3284="",0,IF(ISNA(MATCH(W3284,W$256:W3283,0)),1,0))</f>
        <v/>
      </c>
      <c r="AA3284">
        <f>IF(Z3284&gt;Z3283,Z3284,"")</f>
        <v/>
      </c>
      <c r="AB3284">
        <f>AB3283+IF(X3284="",0,IF(ISNA(MATCH(X3284,X$256:X3283,0)),1,0))</f>
        <v/>
      </c>
      <c r="AC3284">
        <f>IF(AB3284&gt;AB3283,AB3284,"")</f>
        <v/>
      </c>
    </row>
    <row r="3285">
      <c r="W3285" s="7" t="n"/>
      <c r="X3285" s="7" t="n"/>
      <c r="Z3285">
        <f>Z3284+IF(W3285="",0,IF(ISNA(MATCH(W3285,W$256:W3284,0)),1,0))</f>
        <v/>
      </c>
      <c r="AA3285">
        <f>IF(Z3285&gt;Z3284,Z3285,"")</f>
        <v/>
      </c>
      <c r="AB3285">
        <f>AB3284+IF(X3285="",0,IF(ISNA(MATCH(X3285,X$256:X3284,0)),1,0))</f>
        <v/>
      </c>
      <c r="AC3285">
        <f>IF(AB3285&gt;AB3284,AB3285,"")</f>
        <v/>
      </c>
    </row>
    <row r="3286">
      <c r="W3286" s="7" t="n"/>
      <c r="X3286" s="7" t="n"/>
      <c r="Z3286">
        <f>Z3285+IF(W3286="",0,IF(ISNA(MATCH(W3286,W$256:W3285,0)),1,0))</f>
        <v/>
      </c>
      <c r="AA3286">
        <f>IF(Z3286&gt;Z3285,Z3286,"")</f>
        <v/>
      </c>
      <c r="AB3286">
        <f>AB3285+IF(X3286="",0,IF(ISNA(MATCH(X3286,X$256:X3285,0)),1,0))</f>
        <v/>
      </c>
      <c r="AC3286">
        <f>IF(AB3286&gt;AB3285,AB3286,"")</f>
        <v/>
      </c>
    </row>
    <row r="3287">
      <c r="W3287" s="7" t="n"/>
      <c r="X3287" s="7" t="n"/>
      <c r="Z3287">
        <f>Z3286+IF(W3287="",0,IF(ISNA(MATCH(W3287,W$256:W3286,0)),1,0))</f>
        <v/>
      </c>
      <c r="AA3287">
        <f>IF(Z3287&gt;Z3286,Z3287,"")</f>
        <v/>
      </c>
      <c r="AB3287">
        <f>AB3286+IF(X3287="",0,IF(ISNA(MATCH(X3287,X$256:X3286,0)),1,0))</f>
        <v/>
      </c>
      <c r="AC3287">
        <f>IF(AB3287&gt;AB3286,AB3287,"")</f>
        <v/>
      </c>
    </row>
    <row r="3288">
      <c r="W3288" s="7" t="n"/>
      <c r="X3288" s="7" t="n"/>
      <c r="Z3288">
        <f>Z3287+IF(W3288="",0,IF(ISNA(MATCH(W3288,W$256:W3287,0)),1,0))</f>
        <v/>
      </c>
      <c r="AA3288">
        <f>IF(Z3288&gt;Z3287,Z3288,"")</f>
        <v/>
      </c>
      <c r="AB3288">
        <f>AB3287+IF(X3288="",0,IF(ISNA(MATCH(X3288,X$256:X3287,0)),1,0))</f>
        <v/>
      </c>
      <c r="AC3288">
        <f>IF(AB3288&gt;AB3287,AB3288,"")</f>
        <v/>
      </c>
    </row>
    <row r="3289">
      <c r="W3289" s="7" t="n"/>
      <c r="X3289" s="7" t="n"/>
      <c r="Z3289">
        <f>Z3288+IF(W3289="",0,IF(ISNA(MATCH(W3289,W$256:W3288,0)),1,0))</f>
        <v/>
      </c>
      <c r="AA3289">
        <f>IF(Z3289&gt;Z3288,Z3289,"")</f>
        <v/>
      </c>
      <c r="AB3289">
        <f>AB3288+IF(X3289="",0,IF(ISNA(MATCH(X3289,X$256:X3288,0)),1,0))</f>
        <v/>
      </c>
      <c r="AC3289">
        <f>IF(AB3289&gt;AB3288,AB3289,"")</f>
        <v/>
      </c>
    </row>
    <row r="3290">
      <c r="W3290" s="7" t="n"/>
      <c r="X3290" s="7" t="n"/>
      <c r="Z3290">
        <f>Z3289+IF(W3290="",0,IF(ISNA(MATCH(W3290,W$256:W3289,0)),1,0))</f>
        <v/>
      </c>
      <c r="AA3290">
        <f>IF(Z3290&gt;Z3289,Z3290,"")</f>
        <v/>
      </c>
      <c r="AB3290">
        <f>AB3289+IF(X3290="",0,IF(ISNA(MATCH(X3290,X$256:X3289,0)),1,0))</f>
        <v/>
      </c>
      <c r="AC3290">
        <f>IF(AB3290&gt;AB3289,AB3290,"")</f>
        <v/>
      </c>
    </row>
    <row r="3291">
      <c r="W3291" s="7" t="n"/>
      <c r="X3291" s="7" t="n"/>
      <c r="Z3291">
        <f>Z3290+IF(W3291="",0,IF(ISNA(MATCH(W3291,W$256:W3290,0)),1,0))</f>
        <v/>
      </c>
      <c r="AA3291">
        <f>IF(Z3291&gt;Z3290,Z3291,"")</f>
        <v/>
      </c>
      <c r="AB3291">
        <f>AB3290+IF(X3291="",0,IF(ISNA(MATCH(X3291,X$256:X3290,0)),1,0))</f>
        <v/>
      </c>
      <c r="AC3291">
        <f>IF(AB3291&gt;AB3290,AB3291,"")</f>
        <v/>
      </c>
    </row>
    <row r="3292">
      <c r="W3292" s="7" t="n"/>
      <c r="X3292" s="7" t="n"/>
      <c r="Z3292">
        <f>Z3291+IF(W3292="",0,IF(ISNA(MATCH(W3292,W$256:W3291,0)),1,0))</f>
        <v/>
      </c>
      <c r="AA3292">
        <f>IF(Z3292&gt;Z3291,Z3292,"")</f>
        <v/>
      </c>
      <c r="AB3292">
        <f>AB3291+IF(X3292="",0,IF(ISNA(MATCH(X3292,X$256:X3291,0)),1,0))</f>
        <v/>
      </c>
      <c r="AC3292">
        <f>IF(AB3292&gt;AB3291,AB3292,"")</f>
        <v/>
      </c>
    </row>
    <row r="3293">
      <c r="W3293" s="7" t="n"/>
      <c r="X3293" s="7" t="n"/>
      <c r="Z3293">
        <f>Z3292+IF(W3293="",0,IF(ISNA(MATCH(W3293,W$256:W3292,0)),1,0))</f>
        <v/>
      </c>
      <c r="AA3293">
        <f>IF(Z3293&gt;Z3292,Z3293,"")</f>
        <v/>
      </c>
      <c r="AB3293">
        <f>AB3292+IF(X3293="",0,IF(ISNA(MATCH(X3293,X$256:X3292,0)),1,0))</f>
        <v/>
      </c>
      <c r="AC3293">
        <f>IF(AB3293&gt;AB3292,AB3293,"")</f>
        <v/>
      </c>
    </row>
    <row r="3294">
      <c r="W3294" s="7" t="n"/>
      <c r="X3294" s="7" t="n"/>
      <c r="Z3294">
        <f>Z3293+IF(W3294="",0,IF(ISNA(MATCH(W3294,W$256:W3293,0)),1,0))</f>
        <v/>
      </c>
      <c r="AA3294">
        <f>IF(Z3294&gt;Z3293,Z3294,"")</f>
        <v/>
      </c>
      <c r="AB3294">
        <f>AB3293+IF(X3294="",0,IF(ISNA(MATCH(X3294,X$256:X3293,0)),1,0))</f>
        <v/>
      </c>
      <c r="AC3294">
        <f>IF(AB3294&gt;AB3293,AB3294,"")</f>
        <v/>
      </c>
    </row>
    <row r="3295">
      <c r="W3295" s="7" t="n"/>
      <c r="X3295" s="7" t="n"/>
      <c r="Z3295">
        <f>Z3294+IF(W3295="",0,IF(ISNA(MATCH(W3295,W$256:W3294,0)),1,0))</f>
        <v/>
      </c>
      <c r="AA3295">
        <f>IF(Z3295&gt;Z3294,Z3295,"")</f>
        <v/>
      </c>
      <c r="AB3295">
        <f>AB3294+IF(X3295="",0,IF(ISNA(MATCH(X3295,X$256:X3294,0)),1,0))</f>
        <v/>
      </c>
      <c r="AC3295">
        <f>IF(AB3295&gt;AB3294,AB3295,"")</f>
        <v/>
      </c>
    </row>
    <row r="3296">
      <c r="W3296" s="7" t="n"/>
      <c r="X3296" s="7" t="n"/>
      <c r="Z3296">
        <f>Z3295+IF(W3296="",0,IF(ISNA(MATCH(W3296,W$256:W3295,0)),1,0))</f>
        <v/>
      </c>
      <c r="AA3296">
        <f>IF(Z3296&gt;Z3295,Z3296,"")</f>
        <v/>
      </c>
      <c r="AB3296">
        <f>AB3295+IF(X3296="",0,IF(ISNA(MATCH(X3296,X$256:X3295,0)),1,0))</f>
        <v/>
      </c>
      <c r="AC3296">
        <f>IF(AB3296&gt;AB3295,AB3296,"")</f>
        <v/>
      </c>
    </row>
    <row r="3297">
      <c r="W3297" s="7" t="n"/>
      <c r="X3297" s="7" t="n"/>
      <c r="Z3297">
        <f>Z3296+IF(W3297="",0,IF(ISNA(MATCH(W3297,W$256:W3296,0)),1,0))</f>
        <v/>
      </c>
      <c r="AA3297">
        <f>IF(Z3297&gt;Z3296,Z3297,"")</f>
        <v/>
      </c>
      <c r="AB3297">
        <f>AB3296+IF(X3297="",0,IF(ISNA(MATCH(X3297,X$256:X3296,0)),1,0))</f>
        <v/>
      </c>
      <c r="AC3297">
        <f>IF(AB3297&gt;AB3296,AB3297,"")</f>
        <v/>
      </c>
    </row>
    <row r="3298">
      <c r="W3298" s="7" t="n"/>
      <c r="X3298" s="7" t="n"/>
      <c r="Z3298">
        <f>Z3297+IF(W3298="",0,IF(ISNA(MATCH(W3298,W$256:W3297,0)),1,0))</f>
        <v/>
      </c>
      <c r="AA3298">
        <f>IF(Z3298&gt;Z3297,Z3298,"")</f>
        <v/>
      </c>
      <c r="AB3298">
        <f>AB3297+IF(X3298="",0,IF(ISNA(MATCH(X3298,X$256:X3297,0)),1,0))</f>
        <v/>
      </c>
      <c r="AC3298">
        <f>IF(AB3298&gt;AB3297,AB3298,"")</f>
        <v/>
      </c>
    </row>
    <row r="3299">
      <c r="W3299" s="7" t="n"/>
      <c r="X3299" s="7" t="n"/>
      <c r="Z3299">
        <f>Z3298+IF(W3299="",0,IF(ISNA(MATCH(W3299,W$256:W3298,0)),1,0))</f>
        <v/>
      </c>
      <c r="AA3299">
        <f>IF(Z3299&gt;Z3298,Z3299,"")</f>
        <v/>
      </c>
      <c r="AB3299">
        <f>AB3298+IF(X3299="",0,IF(ISNA(MATCH(X3299,X$256:X3298,0)),1,0))</f>
        <v/>
      </c>
      <c r="AC3299">
        <f>IF(AB3299&gt;AB3298,AB3299,"")</f>
        <v/>
      </c>
    </row>
    <row r="3300">
      <c r="W3300" s="7" t="n"/>
      <c r="X3300" s="7" t="n"/>
      <c r="Z3300">
        <f>Z3299+IF(W3300="",0,IF(ISNA(MATCH(W3300,W$256:W3299,0)),1,0))</f>
        <v/>
      </c>
      <c r="AA3300">
        <f>IF(Z3300&gt;Z3299,Z3300,"")</f>
        <v/>
      </c>
      <c r="AB3300">
        <f>AB3299+IF(X3300="",0,IF(ISNA(MATCH(X3300,X$256:X3299,0)),1,0))</f>
        <v/>
      </c>
      <c r="AC3300">
        <f>IF(AB3300&gt;AB3299,AB3300,"")</f>
        <v/>
      </c>
    </row>
    <row r="3301">
      <c r="W3301" s="7" t="n"/>
      <c r="X3301" s="7" t="n"/>
      <c r="Z3301">
        <f>Z3300+IF(W3301="",0,IF(ISNA(MATCH(W3301,W$256:W3300,0)),1,0))</f>
        <v/>
      </c>
      <c r="AA3301">
        <f>IF(Z3301&gt;Z3300,Z3301,"")</f>
        <v/>
      </c>
      <c r="AB3301">
        <f>AB3300+IF(X3301="",0,IF(ISNA(MATCH(X3301,X$256:X3300,0)),1,0))</f>
        <v/>
      </c>
      <c r="AC3301">
        <f>IF(AB3301&gt;AB3300,AB3301,"")</f>
        <v/>
      </c>
    </row>
    <row r="3302">
      <c r="W3302" s="7" t="n"/>
      <c r="X3302" s="7" t="n"/>
      <c r="Z3302">
        <f>Z3301+IF(W3302="",0,IF(ISNA(MATCH(W3302,W$256:W3301,0)),1,0))</f>
        <v/>
      </c>
      <c r="AA3302">
        <f>IF(Z3302&gt;Z3301,Z3302,"")</f>
        <v/>
      </c>
      <c r="AB3302">
        <f>AB3301+IF(X3302="",0,IF(ISNA(MATCH(X3302,X$256:X3301,0)),1,0))</f>
        <v/>
      </c>
      <c r="AC3302">
        <f>IF(AB3302&gt;AB3301,AB3302,"")</f>
        <v/>
      </c>
    </row>
    <row r="3303">
      <c r="W3303" s="7" t="n"/>
      <c r="X3303" s="7" t="n"/>
      <c r="Z3303">
        <f>Z3302+IF(W3303="",0,IF(ISNA(MATCH(W3303,W$256:W3302,0)),1,0))</f>
        <v/>
      </c>
      <c r="AA3303">
        <f>IF(Z3303&gt;Z3302,Z3303,"")</f>
        <v/>
      </c>
      <c r="AB3303">
        <f>AB3302+IF(X3303="",0,IF(ISNA(MATCH(X3303,X$256:X3302,0)),1,0))</f>
        <v/>
      </c>
      <c r="AC3303">
        <f>IF(AB3303&gt;AB3302,AB3303,"")</f>
        <v/>
      </c>
    </row>
    <row r="3304">
      <c r="W3304" s="7" t="n"/>
      <c r="X3304" s="7" t="n"/>
      <c r="Z3304">
        <f>Z3303+IF(W3304="",0,IF(ISNA(MATCH(W3304,W$256:W3303,0)),1,0))</f>
        <v/>
      </c>
      <c r="AA3304">
        <f>IF(Z3304&gt;Z3303,Z3304,"")</f>
        <v/>
      </c>
      <c r="AB3304">
        <f>AB3303+IF(X3304="",0,IF(ISNA(MATCH(X3304,X$256:X3303,0)),1,0))</f>
        <v/>
      </c>
      <c r="AC3304">
        <f>IF(AB3304&gt;AB3303,AB3304,"")</f>
        <v/>
      </c>
    </row>
    <row r="3305">
      <c r="W3305" s="7" t="n"/>
      <c r="X3305" s="7" t="n"/>
      <c r="Z3305">
        <f>Z3304+IF(W3305="",0,IF(ISNA(MATCH(W3305,W$256:W3304,0)),1,0))</f>
        <v/>
      </c>
      <c r="AA3305">
        <f>IF(Z3305&gt;Z3304,Z3305,"")</f>
        <v/>
      </c>
      <c r="AB3305">
        <f>AB3304+IF(X3305="",0,IF(ISNA(MATCH(X3305,X$256:X3304,0)),1,0))</f>
        <v/>
      </c>
      <c r="AC3305">
        <f>IF(AB3305&gt;AB3304,AB3305,"")</f>
        <v/>
      </c>
    </row>
    <row r="3306">
      <c r="W3306" s="7" t="n"/>
      <c r="X3306" s="7" t="n"/>
      <c r="Z3306">
        <f>Z3305+IF(W3306="",0,IF(ISNA(MATCH(W3306,W$256:W3305,0)),1,0))</f>
        <v/>
      </c>
      <c r="AA3306">
        <f>IF(Z3306&gt;Z3305,Z3306,"")</f>
        <v/>
      </c>
      <c r="AB3306">
        <f>AB3305+IF(X3306="",0,IF(ISNA(MATCH(X3306,X$256:X3305,0)),1,0))</f>
        <v/>
      </c>
      <c r="AC3306">
        <f>IF(AB3306&gt;AB3305,AB3306,"")</f>
        <v/>
      </c>
    </row>
    <row r="3307">
      <c r="W3307" s="7" t="n"/>
      <c r="X3307" s="7" t="n"/>
      <c r="Z3307">
        <f>Z3306+IF(W3307="",0,IF(ISNA(MATCH(W3307,W$256:W3306,0)),1,0))</f>
        <v/>
      </c>
      <c r="AA3307">
        <f>IF(Z3307&gt;Z3306,Z3307,"")</f>
        <v/>
      </c>
      <c r="AB3307">
        <f>AB3306+IF(X3307="",0,IF(ISNA(MATCH(X3307,X$256:X3306,0)),1,0))</f>
        <v/>
      </c>
      <c r="AC3307">
        <f>IF(AB3307&gt;AB3306,AB3307,"")</f>
        <v/>
      </c>
    </row>
    <row r="3308">
      <c r="W3308" s="7" t="n"/>
      <c r="X3308" s="7" t="n"/>
      <c r="Z3308">
        <f>Z3307+IF(W3308="",0,IF(ISNA(MATCH(W3308,W$256:W3307,0)),1,0))</f>
        <v/>
      </c>
      <c r="AA3308">
        <f>IF(Z3308&gt;Z3307,Z3308,"")</f>
        <v/>
      </c>
      <c r="AB3308">
        <f>AB3307+IF(X3308="",0,IF(ISNA(MATCH(X3308,X$256:X3307,0)),1,0))</f>
        <v/>
      </c>
      <c r="AC3308">
        <f>IF(AB3308&gt;AB3307,AB3308,"")</f>
        <v/>
      </c>
    </row>
    <row r="3309">
      <c r="W3309" s="7" t="n"/>
      <c r="X3309" s="7" t="n"/>
      <c r="Z3309">
        <f>Z3308+IF(W3309="",0,IF(ISNA(MATCH(W3309,W$256:W3308,0)),1,0))</f>
        <v/>
      </c>
      <c r="AA3309">
        <f>IF(Z3309&gt;Z3308,Z3309,"")</f>
        <v/>
      </c>
      <c r="AB3309">
        <f>AB3308+IF(X3309="",0,IF(ISNA(MATCH(X3309,X$256:X3308,0)),1,0))</f>
        <v/>
      </c>
      <c r="AC3309">
        <f>IF(AB3309&gt;AB3308,AB3309,"")</f>
        <v/>
      </c>
    </row>
    <row r="3310">
      <c r="W3310" s="7" t="n"/>
      <c r="X3310" s="7" t="n"/>
      <c r="Z3310">
        <f>Z3309+IF(W3310="",0,IF(ISNA(MATCH(W3310,W$256:W3309,0)),1,0))</f>
        <v/>
      </c>
      <c r="AA3310">
        <f>IF(Z3310&gt;Z3309,Z3310,"")</f>
        <v/>
      </c>
      <c r="AB3310">
        <f>AB3309+IF(X3310="",0,IF(ISNA(MATCH(X3310,X$256:X3309,0)),1,0))</f>
        <v/>
      </c>
      <c r="AC3310">
        <f>IF(AB3310&gt;AB3309,AB3310,"")</f>
        <v/>
      </c>
    </row>
    <row r="3311">
      <c r="W3311" s="7" t="n"/>
      <c r="X3311" s="7" t="n"/>
      <c r="Z3311">
        <f>Z3310+IF(W3311="",0,IF(ISNA(MATCH(W3311,W$256:W3310,0)),1,0))</f>
        <v/>
      </c>
      <c r="AA3311">
        <f>IF(Z3311&gt;Z3310,Z3311,"")</f>
        <v/>
      </c>
      <c r="AB3311">
        <f>AB3310+IF(X3311="",0,IF(ISNA(MATCH(X3311,X$256:X3310,0)),1,0))</f>
        <v/>
      </c>
      <c r="AC3311">
        <f>IF(AB3311&gt;AB3310,AB3311,"")</f>
        <v/>
      </c>
    </row>
    <row r="3312">
      <c r="W3312" s="7" t="n"/>
      <c r="X3312" s="7" t="n"/>
      <c r="Z3312">
        <f>Z3311+IF(W3312="",0,IF(ISNA(MATCH(W3312,W$256:W3311,0)),1,0))</f>
        <v/>
      </c>
      <c r="AA3312">
        <f>IF(Z3312&gt;Z3311,Z3312,"")</f>
        <v/>
      </c>
      <c r="AB3312">
        <f>AB3311+IF(X3312="",0,IF(ISNA(MATCH(X3312,X$256:X3311,0)),1,0))</f>
        <v/>
      </c>
      <c r="AC3312">
        <f>IF(AB3312&gt;AB3311,AB3312,"")</f>
        <v/>
      </c>
    </row>
    <row r="3313">
      <c r="W3313" s="7" t="n"/>
      <c r="X3313" s="7" t="n"/>
      <c r="Z3313">
        <f>Z3312+IF(W3313="",0,IF(ISNA(MATCH(W3313,W$256:W3312,0)),1,0))</f>
        <v/>
      </c>
      <c r="AA3313">
        <f>IF(Z3313&gt;Z3312,Z3313,"")</f>
        <v/>
      </c>
      <c r="AB3313">
        <f>AB3312+IF(X3313="",0,IF(ISNA(MATCH(X3313,X$256:X3312,0)),1,0))</f>
        <v/>
      </c>
      <c r="AC3313">
        <f>IF(AB3313&gt;AB3312,AB3313,"")</f>
        <v/>
      </c>
    </row>
    <row r="3314">
      <c r="W3314" s="7" t="n"/>
      <c r="X3314" s="7" t="n"/>
      <c r="Z3314">
        <f>Z3313+IF(W3314="",0,IF(ISNA(MATCH(W3314,W$256:W3313,0)),1,0))</f>
        <v/>
      </c>
      <c r="AA3314">
        <f>IF(Z3314&gt;Z3313,Z3314,"")</f>
        <v/>
      </c>
      <c r="AB3314">
        <f>AB3313+IF(X3314="",0,IF(ISNA(MATCH(X3314,X$256:X3313,0)),1,0))</f>
        <v/>
      </c>
      <c r="AC3314">
        <f>IF(AB3314&gt;AB3313,AB3314,"")</f>
        <v/>
      </c>
    </row>
    <row r="3315">
      <c r="W3315" s="7" t="n"/>
      <c r="X3315" s="7" t="n"/>
      <c r="Z3315">
        <f>Z3314+IF(W3315="",0,IF(ISNA(MATCH(W3315,W$256:W3314,0)),1,0))</f>
        <v/>
      </c>
      <c r="AA3315">
        <f>IF(Z3315&gt;Z3314,Z3315,"")</f>
        <v/>
      </c>
      <c r="AB3315">
        <f>AB3314+IF(X3315="",0,IF(ISNA(MATCH(X3315,X$256:X3314,0)),1,0))</f>
        <v/>
      </c>
      <c r="AC3315">
        <f>IF(AB3315&gt;AB3314,AB3315,"")</f>
        <v/>
      </c>
    </row>
    <row r="3316">
      <c r="W3316" s="7" t="n"/>
      <c r="X3316" s="7" t="n"/>
      <c r="Z3316">
        <f>Z3315+IF(W3316="",0,IF(ISNA(MATCH(W3316,W$256:W3315,0)),1,0))</f>
        <v/>
      </c>
      <c r="AA3316">
        <f>IF(Z3316&gt;Z3315,Z3316,"")</f>
        <v/>
      </c>
      <c r="AB3316">
        <f>AB3315+IF(X3316="",0,IF(ISNA(MATCH(X3316,X$256:X3315,0)),1,0))</f>
        <v/>
      </c>
      <c r="AC3316">
        <f>IF(AB3316&gt;AB3315,AB3316,"")</f>
        <v/>
      </c>
    </row>
    <row r="3317">
      <c r="W3317" s="7" t="n"/>
      <c r="X3317" s="7" t="n"/>
      <c r="Z3317">
        <f>Z3316+IF(W3317="",0,IF(ISNA(MATCH(W3317,W$256:W3316,0)),1,0))</f>
        <v/>
      </c>
      <c r="AA3317">
        <f>IF(Z3317&gt;Z3316,Z3317,"")</f>
        <v/>
      </c>
      <c r="AB3317">
        <f>AB3316+IF(X3317="",0,IF(ISNA(MATCH(X3317,X$256:X3316,0)),1,0))</f>
        <v/>
      </c>
      <c r="AC3317">
        <f>IF(AB3317&gt;AB3316,AB3317,"")</f>
        <v/>
      </c>
    </row>
    <row r="3318">
      <c r="W3318" s="7" t="n"/>
      <c r="X3318" s="7" t="n"/>
      <c r="Z3318">
        <f>Z3317+IF(W3318="",0,IF(ISNA(MATCH(W3318,W$256:W3317,0)),1,0))</f>
        <v/>
      </c>
      <c r="AA3318">
        <f>IF(Z3318&gt;Z3317,Z3318,"")</f>
        <v/>
      </c>
      <c r="AB3318">
        <f>AB3317+IF(X3318="",0,IF(ISNA(MATCH(X3318,X$256:X3317,0)),1,0))</f>
        <v/>
      </c>
      <c r="AC3318">
        <f>IF(AB3318&gt;AB3317,AB3318,"")</f>
        <v/>
      </c>
    </row>
    <row r="3319">
      <c r="W3319" s="7" t="n"/>
      <c r="X3319" s="7" t="n"/>
      <c r="Z3319">
        <f>Z3318+IF(W3319="",0,IF(ISNA(MATCH(W3319,W$256:W3318,0)),1,0))</f>
        <v/>
      </c>
      <c r="AA3319">
        <f>IF(Z3319&gt;Z3318,Z3319,"")</f>
        <v/>
      </c>
      <c r="AB3319">
        <f>AB3318+IF(X3319="",0,IF(ISNA(MATCH(X3319,X$256:X3318,0)),1,0))</f>
        <v/>
      </c>
      <c r="AC3319">
        <f>IF(AB3319&gt;AB3318,AB3319,"")</f>
        <v/>
      </c>
    </row>
    <row r="3320">
      <c r="W3320" s="7" t="n"/>
      <c r="X3320" s="7" t="n"/>
      <c r="Z3320">
        <f>Z3319+IF(W3320="",0,IF(ISNA(MATCH(W3320,W$256:W3319,0)),1,0))</f>
        <v/>
      </c>
      <c r="AA3320">
        <f>IF(Z3320&gt;Z3319,Z3320,"")</f>
        <v/>
      </c>
      <c r="AB3320">
        <f>AB3319+IF(X3320="",0,IF(ISNA(MATCH(X3320,X$256:X3319,0)),1,0))</f>
        <v/>
      </c>
      <c r="AC3320">
        <f>IF(AB3320&gt;AB3319,AB3320,"")</f>
        <v/>
      </c>
    </row>
    <row r="3321">
      <c r="W3321" s="7" t="n"/>
      <c r="X3321" s="7" t="n"/>
      <c r="Z3321">
        <f>Z3320+IF(W3321="",0,IF(ISNA(MATCH(W3321,W$256:W3320,0)),1,0))</f>
        <v/>
      </c>
      <c r="AA3321">
        <f>IF(Z3321&gt;Z3320,Z3321,"")</f>
        <v/>
      </c>
      <c r="AB3321">
        <f>AB3320+IF(X3321="",0,IF(ISNA(MATCH(X3321,X$256:X3320,0)),1,0))</f>
        <v/>
      </c>
      <c r="AC3321">
        <f>IF(AB3321&gt;AB3320,AB3321,"")</f>
        <v/>
      </c>
    </row>
    <row r="3322">
      <c r="W3322" s="7" t="n"/>
      <c r="X3322" s="7" t="n"/>
      <c r="Z3322">
        <f>Z3321+IF(W3322="",0,IF(ISNA(MATCH(W3322,W$256:W3321,0)),1,0))</f>
        <v/>
      </c>
      <c r="AA3322">
        <f>IF(Z3322&gt;Z3321,Z3322,"")</f>
        <v/>
      </c>
      <c r="AB3322">
        <f>AB3321+IF(X3322="",0,IF(ISNA(MATCH(X3322,X$256:X3321,0)),1,0))</f>
        <v/>
      </c>
      <c r="AC3322">
        <f>IF(AB3322&gt;AB3321,AB3322,"")</f>
        <v/>
      </c>
    </row>
    <row r="3323">
      <c r="W3323" s="7" t="n"/>
      <c r="X3323" s="7" t="n"/>
      <c r="Z3323">
        <f>Z3322+IF(W3323="",0,IF(ISNA(MATCH(W3323,W$256:W3322,0)),1,0))</f>
        <v/>
      </c>
      <c r="AA3323">
        <f>IF(Z3323&gt;Z3322,Z3323,"")</f>
        <v/>
      </c>
      <c r="AB3323">
        <f>AB3322+IF(X3323="",0,IF(ISNA(MATCH(X3323,X$256:X3322,0)),1,0))</f>
        <v/>
      </c>
      <c r="AC3323">
        <f>IF(AB3323&gt;AB3322,AB3323,"")</f>
        <v/>
      </c>
    </row>
    <row r="3324">
      <c r="W3324" s="7" t="n"/>
      <c r="X3324" s="7" t="n"/>
      <c r="Z3324">
        <f>Z3323+IF(W3324="",0,IF(ISNA(MATCH(W3324,W$256:W3323,0)),1,0))</f>
        <v/>
      </c>
      <c r="AA3324">
        <f>IF(Z3324&gt;Z3323,Z3324,"")</f>
        <v/>
      </c>
      <c r="AB3324">
        <f>AB3323+IF(X3324="",0,IF(ISNA(MATCH(X3324,X$256:X3323,0)),1,0))</f>
        <v/>
      </c>
      <c r="AC3324">
        <f>IF(AB3324&gt;AB3323,AB3324,"")</f>
        <v/>
      </c>
    </row>
    <row r="3325">
      <c r="W3325" s="7" t="n"/>
      <c r="X3325" s="7" t="n"/>
      <c r="Z3325">
        <f>Z3324+IF(W3325="",0,IF(ISNA(MATCH(W3325,W$256:W3324,0)),1,0))</f>
        <v/>
      </c>
      <c r="AA3325">
        <f>IF(Z3325&gt;Z3324,Z3325,"")</f>
        <v/>
      </c>
      <c r="AB3325">
        <f>AB3324+IF(X3325="",0,IF(ISNA(MATCH(X3325,X$256:X3324,0)),1,0))</f>
        <v/>
      </c>
      <c r="AC3325">
        <f>IF(AB3325&gt;AB3324,AB3325,"")</f>
        <v/>
      </c>
    </row>
    <row r="3326">
      <c r="W3326" s="7" t="n"/>
      <c r="X3326" s="7" t="n"/>
      <c r="Z3326">
        <f>Z3325+IF(W3326="",0,IF(ISNA(MATCH(W3326,W$256:W3325,0)),1,0))</f>
        <v/>
      </c>
      <c r="AA3326">
        <f>IF(Z3326&gt;Z3325,Z3326,"")</f>
        <v/>
      </c>
      <c r="AB3326">
        <f>AB3325+IF(X3326="",0,IF(ISNA(MATCH(X3326,X$256:X3325,0)),1,0))</f>
        <v/>
      </c>
      <c r="AC3326">
        <f>IF(AB3326&gt;AB3325,AB3326,"")</f>
        <v/>
      </c>
    </row>
    <row r="3327">
      <c r="W3327" s="7" t="n"/>
      <c r="X3327" s="7" t="n"/>
      <c r="Z3327">
        <f>Z3326+IF(W3327="",0,IF(ISNA(MATCH(W3327,W$256:W3326,0)),1,0))</f>
        <v/>
      </c>
      <c r="AA3327">
        <f>IF(Z3327&gt;Z3326,Z3327,"")</f>
        <v/>
      </c>
      <c r="AB3327">
        <f>AB3326+IF(X3327="",0,IF(ISNA(MATCH(X3327,X$256:X3326,0)),1,0))</f>
        <v/>
      </c>
      <c r="AC3327">
        <f>IF(AB3327&gt;AB3326,AB3327,"")</f>
        <v/>
      </c>
    </row>
    <row r="3328">
      <c r="W3328" s="7" t="n"/>
      <c r="X3328" s="7" t="n"/>
      <c r="Z3328">
        <f>Z3327+IF(W3328="",0,IF(ISNA(MATCH(W3328,W$256:W3327,0)),1,0))</f>
        <v/>
      </c>
      <c r="AA3328">
        <f>IF(Z3328&gt;Z3327,Z3328,"")</f>
        <v/>
      </c>
      <c r="AB3328">
        <f>AB3327+IF(X3328="",0,IF(ISNA(MATCH(X3328,X$256:X3327,0)),1,0))</f>
        <v/>
      </c>
      <c r="AC3328">
        <f>IF(AB3328&gt;AB3327,AB3328,"")</f>
        <v/>
      </c>
    </row>
    <row r="3329">
      <c r="W3329" s="7" t="n"/>
      <c r="X3329" s="7" t="n"/>
      <c r="Z3329">
        <f>Z3328+IF(W3329="",0,IF(ISNA(MATCH(W3329,W$256:W3328,0)),1,0))</f>
        <v/>
      </c>
      <c r="AA3329">
        <f>IF(Z3329&gt;Z3328,Z3329,"")</f>
        <v/>
      </c>
      <c r="AB3329">
        <f>AB3328+IF(X3329="",0,IF(ISNA(MATCH(X3329,X$256:X3328,0)),1,0))</f>
        <v/>
      </c>
      <c r="AC3329">
        <f>IF(AB3329&gt;AB3328,AB3329,"")</f>
        <v/>
      </c>
    </row>
    <row r="3330">
      <c r="W3330" s="7" t="n"/>
      <c r="X3330" s="7" t="n"/>
      <c r="Z3330">
        <f>Z3329+IF(W3330="",0,IF(ISNA(MATCH(W3330,W$256:W3329,0)),1,0))</f>
        <v/>
      </c>
      <c r="AA3330">
        <f>IF(Z3330&gt;Z3329,Z3330,"")</f>
        <v/>
      </c>
      <c r="AB3330">
        <f>AB3329+IF(X3330="",0,IF(ISNA(MATCH(X3330,X$256:X3329,0)),1,0))</f>
        <v/>
      </c>
      <c r="AC3330">
        <f>IF(AB3330&gt;AB3329,AB3330,"")</f>
        <v/>
      </c>
    </row>
    <row r="3331">
      <c r="W3331" s="7" t="n"/>
      <c r="X3331" s="7" t="n"/>
      <c r="Z3331">
        <f>Z3330+IF(W3331="",0,IF(ISNA(MATCH(W3331,W$256:W3330,0)),1,0))</f>
        <v/>
      </c>
      <c r="AA3331">
        <f>IF(Z3331&gt;Z3330,Z3331,"")</f>
        <v/>
      </c>
      <c r="AB3331">
        <f>AB3330+IF(X3331="",0,IF(ISNA(MATCH(X3331,X$256:X3330,0)),1,0))</f>
        <v/>
      </c>
      <c r="AC3331">
        <f>IF(AB3331&gt;AB3330,AB3331,"")</f>
        <v/>
      </c>
    </row>
    <row r="3332">
      <c r="W3332" s="7" t="n"/>
      <c r="X3332" s="7" t="n"/>
      <c r="Z3332">
        <f>Z3331+IF(W3332="",0,IF(ISNA(MATCH(W3332,W$256:W3331,0)),1,0))</f>
        <v/>
      </c>
      <c r="AA3332">
        <f>IF(Z3332&gt;Z3331,Z3332,"")</f>
        <v/>
      </c>
      <c r="AB3332">
        <f>AB3331+IF(X3332="",0,IF(ISNA(MATCH(X3332,X$256:X3331,0)),1,0))</f>
        <v/>
      </c>
      <c r="AC3332">
        <f>IF(AB3332&gt;AB3331,AB3332,"")</f>
        <v/>
      </c>
    </row>
    <row r="3333">
      <c r="W3333" s="7" t="n"/>
      <c r="X3333" s="7" t="n"/>
      <c r="Z3333">
        <f>Z3332+IF(W3333="",0,IF(ISNA(MATCH(W3333,W$256:W3332,0)),1,0))</f>
        <v/>
      </c>
      <c r="AA3333">
        <f>IF(Z3333&gt;Z3332,Z3333,"")</f>
        <v/>
      </c>
      <c r="AB3333">
        <f>AB3332+IF(X3333="",0,IF(ISNA(MATCH(X3333,X$256:X3332,0)),1,0))</f>
        <v/>
      </c>
      <c r="AC3333">
        <f>IF(AB3333&gt;AB3332,AB3333,"")</f>
        <v/>
      </c>
    </row>
    <row r="3334">
      <c r="W3334" s="7" t="n"/>
      <c r="X3334" s="7" t="n"/>
      <c r="Z3334">
        <f>Z3333+IF(W3334="",0,IF(ISNA(MATCH(W3334,W$256:W3333,0)),1,0))</f>
        <v/>
      </c>
      <c r="AA3334">
        <f>IF(Z3334&gt;Z3333,Z3334,"")</f>
        <v/>
      </c>
      <c r="AB3334">
        <f>AB3333+IF(X3334="",0,IF(ISNA(MATCH(X3334,X$256:X3333,0)),1,0))</f>
        <v/>
      </c>
      <c r="AC3334">
        <f>IF(AB3334&gt;AB3333,AB3334,"")</f>
        <v/>
      </c>
    </row>
    <row r="3335">
      <c r="W3335" s="7" t="n"/>
      <c r="X3335" s="7" t="n"/>
      <c r="Z3335">
        <f>Z3334+IF(W3335="",0,IF(ISNA(MATCH(W3335,W$256:W3334,0)),1,0))</f>
        <v/>
      </c>
      <c r="AA3335">
        <f>IF(Z3335&gt;Z3334,Z3335,"")</f>
        <v/>
      </c>
      <c r="AB3335">
        <f>AB3334+IF(X3335="",0,IF(ISNA(MATCH(X3335,X$256:X3334,0)),1,0))</f>
        <v/>
      </c>
      <c r="AC3335">
        <f>IF(AB3335&gt;AB3334,AB3335,"")</f>
        <v/>
      </c>
    </row>
    <row r="3336">
      <c r="W3336" s="7" t="n"/>
      <c r="X3336" s="7" t="n"/>
      <c r="Z3336">
        <f>Z3335+IF(W3336="",0,IF(ISNA(MATCH(W3336,W$256:W3335,0)),1,0))</f>
        <v/>
      </c>
      <c r="AA3336">
        <f>IF(Z3336&gt;Z3335,Z3336,"")</f>
        <v/>
      </c>
      <c r="AB3336">
        <f>AB3335+IF(X3336="",0,IF(ISNA(MATCH(X3336,X$256:X3335,0)),1,0))</f>
        <v/>
      </c>
      <c r="AC3336">
        <f>IF(AB3336&gt;AB3335,AB3336,"")</f>
        <v/>
      </c>
    </row>
    <row r="3337">
      <c r="W3337" s="7" t="n"/>
      <c r="X3337" s="7" t="n"/>
      <c r="Z3337">
        <f>Z3336+IF(W3337="",0,IF(ISNA(MATCH(W3337,W$256:W3336,0)),1,0))</f>
        <v/>
      </c>
      <c r="AA3337">
        <f>IF(Z3337&gt;Z3336,Z3337,"")</f>
        <v/>
      </c>
      <c r="AB3337">
        <f>AB3336+IF(X3337="",0,IF(ISNA(MATCH(X3337,X$256:X3336,0)),1,0))</f>
        <v/>
      </c>
      <c r="AC3337">
        <f>IF(AB3337&gt;AB3336,AB3337,"")</f>
        <v/>
      </c>
    </row>
    <row r="3338">
      <c r="W3338" s="7" t="n"/>
      <c r="X3338" s="7" t="n"/>
      <c r="Z3338">
        <f>Z3337+IF(W3338="",0,IF(ISNA(MATCH(W3338,W$256:W3337,0)),1,0))</f>
        <v/>
      </c>
      <c r="AA3338">
        <f>IF(Z3338&gt;Z3337,Z3338,"")</f>
        <v/>
      </c>
      <c r="AB3338">
        <f>AB3337+IF(X3338="",0,IF(ISNA(MATCH(X3338,X$256:X3337,0)),1,0))</f>
        <v/>
      </c>
      <c r="AC3338">
        <f>IF(AB3338&gt;AB3337,AB3338,"")</f>
        <v/>
      </c>
    </row>
    <row r="3339">
      <c r="W3339" s="7" t="n"/>
      <c r="X3339" s="7" t="n"/>
      <c r="Z3339">
        <f>Z3338+IF(W3339="",0,IF(ISNA(MATCH(W3339,W$256:W3338,0)),1,0))</f>
        <v/>
      </c>
      <c r="AA3339">
        <f>IF(Z3339&gt;Z3338,Z3339,"")</f>
        <v/>
      </c>
      <c r="AB3339">
        <f>AB3338+IF(X3339="",0,IF(ISNA(MATCH(X3339,X$256:X3338,0)),1,0))</f>
        <v/>
      </c>
      <c r="AC3339">
        <f>IF(AB3339&gt;AB3338,AB3339,"")</f>
        <v/>
      </c>
    </row>
    <row r="3340">
      <c r="W3340" s="7" t="n"/>
      <c r="X3340" s="7" t="n"/>
      <c r="Z3340">
        <f>Z3339+IF(W3340="",0,IF(ISNA(MATCH(W3340,W$256:W3339,0)),1,0))</f>
        <v/>
      </c>
      <c r="AA3340">
        <f>IF(Z3340&gt;Z3339,Z3340,"")</f>
        <v/>
      </c>
      <c r="AB3340">
        <f>AB3339+IF(X3340="",0,IF(ISNA(MATCH(X3340,X$256:X3339,0)),1,0))</f>
        <v/>
      </c>
      <c r="AC3340">
        <f>IF(AB3340&gt;AB3339,AB3340,"")</f>
        <v/>
      </c>
    </row>
    <row r="3341">
      <c r="W3341" s="7" t="n"/>
      <c r="X3341" s="7" t="n"/>
      <c r="Z3341">
        <f>Z3340+IF(W3341="",0,IF(ISNA(MATCH(W3341,W$256:W3340,0)),1,0))</f>
        <v/>
      </c>
      <c r="AA3341">
        <f>IF(Z3341&gt;Z3340,Z3341,"")</f>
        <v/>
      </c>
      <c r="AB3341">
        <f>AB3340+IF(X3341="",0,IF(ISNA(MATCH(X3341,X$256:X3340,0)),1,0))</f>
        <v/>
      </c>
      <c r="AC3341">
        <f>IF(AB3341&gt;AB3340,AB3341,"")</f>
        <v/>
      </c>
    </row>
    <row r="3342">
      <c r="W3342" s="7" t="n"/>
      <c r="X3342" s="7" t="n"/>
      <c r="Z3342">
        <f>Z3341+IF(W3342="",0,IF(ISNA(MATCH(W3342,W$256:W3341,0)),1,0))</f>
        <v/>
      </c>
      <c r="AA3342">
        <f>IF(Z3342&gt;Z3341,Z3342,"")</f>
        <v/>
      </c>
      <c r="AB3342">
        <f>AB3341+IF(X3342="",0,IF(ISNA(MATCH(X3342,X$256:X3341,0)),1,0))</f>
        <v/>
      </c>
      <c r="AC3342">
        <f>IF(AB3342&gt;AB3341,AB3342,"")</f>
        <v/>
      </c>
    </row>
    <row r="3343">
      <c r="W3343" s="7" t="n"/>
      <c r="X3343" s="7" t="n"/>
      <c r="Z3343">
        <f>Z3342+IF(W3343="",0,IF(ISNA(MATCH(W3343,W$256:W3342,0)),1,0))</f>
        <v/>
      </c>
      <c r="AA3343">
        <f>IF(Z3343&gt;Z3342,Z3343,"")</f>
        <v/>
      </c>
      <c r="AB3343">
        <f>AB3342+IF(X3343="",0,IF(ISNA(MATCH(X3343,X$256:X3342,0)),1,0))</f>
        <v/>
      </c>
      <c r="AC3343">
        <f>IF(AB3343&gt;AB3342,AB3343,"")</f>
        <v/>
      </c>
    </row>
    <row r="3344">
      <c r="W3344" s="7" t="n"/>
      <c r="X3344" s="7" t="n"/>
      <c r="Z3344">
        <f>Z3343+IF(W3344="",0,IF(ISNA(MATCH(W3344,W$256:W3343,0)),1,0))</f>
        <v/>
      </c>
      <c r="AA3344">
        <f>IF(Z3344&gt;Z3343,Z3344,"")</f>
        <v/>
      </c>
      <c r="AB3344">
        <f>AB3343+IF(X3344="",0,IF(ISNA(MATCH(X3344,X$256:X3343,0)),1,0))</f>
        <v/>
      </c>
      <c r="AC3344">
        <f>IF(AB3344&gt;AB3343,AB3344,"")</f>
        <v/>
      </c>
    </row>
    <row r="3345">
      <c r="W3345" s="7" t="n"/>
      <c r="X3345" s="7" t="n"/>
      <c r="Z3345">
        <f>Z3344+IF(W3345="",0,IF(ISNA(MATCH(W3345,W$256:W3344,0)),1,0))</f>
        <v/>
      </c>
      <c r="AA3345">
        <f>IF(Z3345&gt;Z3344,Z3345,"")</f>
        <v/>
      </c>
      <c r="AB3345">
        <f>AB3344+IF(X3345="",0,IF(ISNA(MATCH(X3345,X$256:X3344,0)),1,0))</f>
        <v/>
      </c>
      <c r="AC3345">
        <f>IF(AB3345&gt;AB3344,AB3345,"")</f>
        <v/>
      </c>
    </row>
    <row r="3346">
      <c r="W3346" s="7" t="n"/>
      <c r="X3346" s="7" t="n"/>
      <c r="Z3346">
        <f>Z3345+IF(W3346="",0,IF(ISNA(MATCH(W3346,W$256:W3345,0)),1,0))</f>
        <v/>
      </c>
      <c r="AA3346">
        <f>IF(Z3346&gt;Z3345,Z3346,"")</f>
        <v/>
      </c>
      <c r="AB3346">
        <f>AB3345+IF(X3346="",0,IF(ISNA(MATCH(X3346,X$256:X3345,0)),1,0))</f>
        <v/>
      </c>
      <c r="AC3346">
        <f>IF(AB3346&gt;AB3345,AB3346,"")</f>
        <v/>
      </c>
    </row>
    <row r="3347">
      <c r="W3347" s="7" t="n"/>
      <c r="X3347" s="7" t="n"/>
      <c r="Z3347">
        <f>Z3346+IF(W3347="",0,IF(ISNA(MATCH(W3347,W$256:W3346,0)),1,0))</f>
        <v/>
      </c>
      <c r="AA3347">
        <f>IF(Z3347&gt;Z3346,Z3347,"")</f>
        <v/>
      </c>
      <c r="AB3347">
        <f>AB3346+IF(X3347="",0,IF(ISNA(MATCH(X3347,X$256:X3346,0)),1,0))</f>
        <v/>
      </c>
      <c r="AC3347">
        <f>IF(AB3347&gt;AB3346,AB3347,"")</f>
        <v/>
      </c>
    </row>
    <row r="3348">
      <c r="W3348" s="7" t="n"/>
      <c r="X3348" s="7" t="n"/>
      <c r="Z3348">
        <f>Z3347+IF(W3348="",0,IF(ISNA(MATCH(W3348,W$256:W3347,0)),1,0))</f>
        <v/>
      </c>
      <c r="AA3348">
        <f>IF(Z3348&gt;Z3347,Z3348,"")</f>
        <v/>
      </c>
      <c r="AB3348">
        <f>AB3347+IF(X3348="",0,IF(ISNA(MATCH(X3348,X$256:X3347,0)),1,0))</f>
        <v/>
      </c>
      <c r="AC3348">
        <f>IF(AB3348&gt;AB3347,AB3348,"")</f>
        <v/>
      </c>
    </row>
    <row r="3349">
      <c r="W3349" s="7" t="n"/>
      <c r="X3349" s="7" t="n"/>
      <c r="Z3349">
        <f>Z3348+IF(W3349="",0,IF(ISNA(MATCH(W3349,W$256:W3348,0)),1,0))</f>
        <v/>
      </c>
      <c r="AA3349">
        <f>IF(Z3349&gt;Z3348,Z3349,"")</f>
        <v/>
      </c>
      <c r="AB3349">
        <f>AB3348+IF(X3349="",0,IF(ISNA(MATCH(X3349,X$256:X3348,0)),1,0))</f>
        <v/>
      </c>
      <c r="AC3349">
        <f>IF(AB3349&gt;AB3348,AB3349,"")</f>
        <v/>
      </c>
    </row>
    <row r="3350">
      <c r="W3350" s="7" t="n"/>
      <c r="X3350" s="7" t="n"/>
      <c r="Z3350">
        <f>Z3349+IF(W3350="",0,IF(ISNA(MATCH(W3350,W$256:W3349,0)),1,0))</f>
        <v/>
      </c>
      <c r="AA3350">
        <f>IF(Z3350&gt;Z3349,Z3350,"")</f>
        <v/>
      </c>
      <c r="AB3350">
        <f>AB3349+IF(X3350="",0,IF(ISNA(MATCH(X3350,X$256:X3349,0)),1,0))</f>
        <v/>
      </c>
      <c r="AC3350">
        <f>IF(AB3350&gt;AB3349,AB3350,"")</f>
        <v/>
      </c>
    </row>
    <row r="3351">
      <c r="W3351" s="7" t="n"/>
      <c r="X3351" s="7" t="n"/>
      <c r="Z3351">
        <f>Z3350+IF(W3351="",0,IF(ISNA(MATCH(W3351,W$256:W3350,0)),1,0))</f>
        <v/>
      </c>
      <c r="AA3351">
        <f>IF(Z3351&gt;Z3350,Z3351,"")</f>
        <v/>
      </c>
      <c r="AB3351">
        <f>AB3350+IF(X3351="",0,IF(ISNA(MATCH(X3351,X$256:X3350,0)),1,0))</f>
        <v/>
      </c>
      <c r="AC3351">
        <f>IF(AB3351&gt;AB3350,AB3351,"")</f>
        <v/>
      </c>
    </row>
    <row r="3352">
      <c r="W3352" s="7" t="n"/>
      <c r="X3352" s="7" t="n"/>
      <c r="Z3352">
        <f>Z3351+IF(W3352="",0,IF(ISNA(MATCH(W3352,W$256:W3351,0)),1,0))</f>
        <v/>
      </c>
      <c r="AA3352">
        <f>IF(Z3352&gt;Z3351,Z3352,"")</f>
        <v/>
      </c>
      <c r="AB3352">
        <f>AB3351+IF(X3352="",0,IF(ISNA(MATCH(X3352,X$256:X3351,0)),1,0))</f>
        <v/>
      </c>
      <c r="AC3352">
        <f>IF(AB3352&gt;AB3351,AB3352,"")</f>
        <v/>
      </c>
    </row>
    <row r="3353">
      <c r="W3353" s="7" t="n"/>
      <c r="X3353" s="7" t="n"/>
      <c r="Z3353">
        <f>Z3352+IF(W3353="",0,IF(ISNA(MATCH(W3353,W$256:W3352,0)),1,0))</f>
        <v/>
      </c>
      <c r="AA3353">
        <f>IF(Z3353&gt;Z3352,Z3353,"")</f>
        <v/>
      </c>
      <c r="AB3353">
        <f>AB3352+IF(X3353="",0,IF(ISNA(MATCH(X3353,X$256:X3352,0)),1,0))</f>
        <v/>
      </c>
      <c r="AC3353">
        <f>IF(AB3353&gt;AB3352,AB3353,"")</f>
        <v/>
      </c>
    </row>
    <row r="3354">
      <c r="W3354" s="7" t="n"/>
      <c r="X3354" s="7" t="n"/>
      <c r="Z3354">
        <f>Z3353+IF(W3354="",0,IF(ISNA(MATCH(W3354,W$256:W3353,0)),1,0))</f>
        <v/>
      </c>
      <c r="AA3354">
        <f>IF(Z3354&gt;Z3353,Z3354,"")</f>
        <v/>
      </c>
      <c r="AB3354">
        <f>AB3353+IF(X3354="",0,IF(ISNA(MATCH(X3354,X$256:X3353,0)),1,0))</f>
        <v/>
      </c>
      <c r="AC3354">
        <f>IF(AB3354&gt;AB3353,AB3354,"")</f>
        <v/>
      </c>
    </row>
    <row r="3355">
      <c r="W3355" s="7" t="n"/>
      <c r="X3355" s="7" t="n"/>
      <c r="Z3355">
        <f>Z3354+IF(W3355="",0,IF(ISNA(MATCH(W3355,W$256:W3354,0)),1,0))</f>
        <v/>
      </c>
      <c r="AA3355">
        <f>IF(Z3355&gt;Z3354,Z3355,"")</f>
        <v/>
      </c>
      <c r="AB3355">
        <f>AB3354+IF(X3355="",0,IF(ISNA(MATCH(X3355,X$256:X3354,0)),1,0))</f>
        <v/>
      </c>
      <c r="AC3355">
        <f>IF(AB3355&gt;AB3354,AB3355,"")</f>
        <v/>
      </c>
    </row>
    <row r="3356">
      <c r="W3356" s="7" t="n"/>
      <c r="X3356" s="7" t="n"/>
      <c r="Z3356">
        <f>Z3355+IF(W3356="",0,IF(ISNA(MATCH(W3356,W$256:W3355,0)),1,0))</f>
        <v/>
      </c>
      <c r="AA3356">
        <f>IF(Z3356&gt;Z3355,Z3356,"")</f>
        <v/>
      </c>
      <c r="AB3356">
        <f>AB3355+IF(X3356="",0,IF(ISNA(MATCH(X3356,X$256:X3355,0)),1,0))</f>
        <v/>
      </c>
      <c r="AC3356">
        <f>IF(AB3356&gt;AB3355,AB3356,"")</f>
        <v/>
      </c>
    </row>
    <row r="3357">
      <c r="W3357" s="7" t="n"/>
      <c r="X3357" s="7" t="n"/>
      <c r="Z3357">
        <f>Z3356+IF(W3357="",0,IF(ISNA(MATCH(W3357,W$256:W3356,0)),1,0))</f>
        <v/>
      </c>
      <c r="AA3357">
        <f>IF(Z3357&gt;Z3356,Z3357,"")</f>
        <v/>
      </c>
      <c r="AB3357">
        <f>AB3356+IF(X3357="",0,IF(ISNA(MATCH(X3357,X$256:X3356,0)),1,0))</f>
        <v/>
      </c>
      <c r="AC3357">
        <f>IF(AB3357&gt;AB3356,AB3357,"")</f>
        <v/>
      </c>
    </row>
    <row r="3358">
      <c r="W3358" s="7" t="n"/>
      <c r="X3358" s="7" t="n"/>
      <c r="Z3358">
        <f>Z3357+IF(W3358="",0,IF(ISNA(MATCH(W3358,W$256:W3357,0)),1,0))</f>
        <v/>
      </c>
      <c r="AA3358">
        <f>IF(Z3358&gt;Z3357,Z3358,"")</f>
        <v/>
      </c>
      <c r="AB3358">
        <f>AB3357+IF(X3358="",0,IF(ISNA(MATCH(X3358,X$256:X3357,0)),1,0))</f>
        <v/>
      </c>
      <c r="AC3358">
        <f>IF(AB3358&gt;AB3357,AB3358,"")</f>
        <v/>
      </c>
    </row>
    <row r="3359">
      <c r="W3359" s="7" t="n"/>
      <c r="X3359" s="7" t="n"/>
      <c r="Z3359">
        <f>Z3358+IF(W3359="",0,IF(ISNA(MATCH(W3359,W$256:W3358,0)),1,0))</f>
        <v/>
      </c>
      <c r="AA3359">
        <f>IF(Z3359&gt;Z3358,Z3359,"")</f>
        <v/>
      </c>
      <c r="AB3359">
        <f>AB3358+IF(X3359="",0,IF(ISNA(MATCH(X3359,X$256:X3358,0)),1,0))</f>
        <v/>
      </c>
      <c r="AC3359">
        <f>IF(AB3359&gt;AB3358,AB3359,"")</f>
        <v/>
      </c>
    </row>
    <row r="3360">
      <c r="W3360" s="7" t="n"/>
      <c r="X3360" s="7" t="n"/>
      <c r="Z3360">
        <f>Z3359+IF(W3360="",0,IF(ISNA(MATCH(W3360,W$256:W3359,0)),1,0))</f>
        <v/>
      </c>
      <c r="AA3360">
        <f>IF(Z3360&gt;Z3359,Z3360,"")</f>
        <v/>
      </c>
      <c r="AB3360">
        <f>AB3359+IF(X3360="",0,IF(ISNA(MATCH(X3360,X$256:X3359,0)),1,0))</f>
        <v/>
      </c>
      <c r="AC3360">
        <f>IF(AB3360&gt;AB3359,AB3360,"")</f>
        <v/>
      </c>
    </row>
    <row r="3361">
      <c r="W3361" s="7" t="n"/>
      <c r="X3361" s="7" t="n"/>
      <c r="Z3361">
        <f>Z3360+IF(W3361="",0,IF(ISNA(MATCH(W3361,W$256:W3360,0)),1,0))</f>
        <v/>
      </c>
      <c r="AA3361">
        <f>IF(Z3361&gt;Z3360,Z3361,"")</f>
        <v/>
      </c>
      <c r="AB3361">
        <f>AB3360+IF(X3361="",0,IF(ISNA(MATCH(X3361,X$256:X3360,0)),1,0))</f>
        <v/>
      </c>
      <c r="AC3361">
        <f>IF(AB3361&gt;AB3360,AB3361,"")</f>
        <v/>
      </c>
    </row>
    <row r="3362">
      <c r="W3362" s="7" t="n"/>
      <c r="X3362" s="7" t="n"/>
      <c r="Z3362">
        <f>Z3361+IF(W3362="",0,IF(ISNA(MATCH(W3362,W$256:W3361,0)),1,0))</f>
        <v/>
      </c>
      <c r="AA3362">
        <f>IF(Z3362&gt;Z3361,Z3362,"")</f>
        <v/>
      </c>
      <c r="AB3362">
        <f>AB3361+IF(X3362="",0,IF(ISNA(MATCH(X3362,X$256:X3361,0)),1,0))</f>
        <v/>
      </c>
      <c r="AC3362">
        <f>IF(AB3362&gt;AB3361,AB3362,"")</f>
        <v/>
      </c>
    </row>
    <row r="3363">
      <c r="W3363" s="7" t="n"/>
      <c r="X3363" s="7" t="n"/>
      <c r="Z3363">
        <f>Z3362+IF(W3363="",0,IF(ISNA(MATCH(W3363,W$256:W3362,0)),1,0))</f>
        <v/>
      </c>
      <c r="AA3363">
        <f>IF(Z3363&gt;Z3362,Z3363,"")</f>
        <v/>
      </c>
      <c r="AB3363">
        <f>AB3362+IF(X3363="",0,IF(ISNA(MATCH(X3363,X$256:X3362,0)),1,0))</f>
        <v/>
      </c>
      <c r="AC3363">
        <f>IF(AB3363&gt;AB3362,AB3363,"")</f>
        <v/>
      </c>
    </row>
    <row r="3364">
      <c r="W3364" s="7" t="n"/>
      <c r="X3364" s="7" t="n"/>
      <c r="Z3364">
        <f>Z3363+IF(W3364="",0,IF(ISNA(MATCH(W3364,W$256:W3363,0)),1,0))</f>
        <v/>
      </c>
      <c r="AA3364">
        <f>IF(Z3364&gt;Z3363,Z3364,"")</f>
        <v/>
      </c>
      <c r="AB3364">
        <f>AB3363+IF(X3364="",0,IF(ISNA(MATCH(X3364,X$256:X3363,0)),1,0))</f>
        <v/>
      </c>
      <c r="AC3364">
        <f>IF(AB3364&gt;AB3363,AB3364,"")</f>
        <v/>
      </c>
    </row>
    <row r="3365">
      <c r="W3365" s="7" t="n"/>
      <c r="X3365" s="7" t="n"/>
      <c r="Z3365">
        <f>Z3364+IF(W3365="",0,IF(ISNA(MATCH(W3365,W$256:W3364,0)),1,0))</f>
        <v/>
      </c>
      <c r="AA3365">
        <f>IF(Z3365&gt;Z3364,Z3365,"")</f>
        <v/>
      </c>
      <c r="AB3365">
        <f>AB3364+IF(X3365="",0,IF(ISNA(MATCH(X3365,X$256:X3364,0)),1,0))</f>
        <v/>
      </c>
      <c r="AC3365">
        <f>IF(AB3365&gt;AB3364,AB3365,"")</f>
        <v/>
      </c>
    </row>
    <row r="3366">
      <c r="W3366" s="7" t="n"/>
      <c r="X3366" s="7" t="n"/>
      <c r="Z3366">
        <f>Z3365+IF(W3366="",0,IF(ISNA(MATCH(W3366,W$256:W3365,0)),1,0))</f>
        <v/>
      </c>
      <c r="AA3366">
        <f>IF(Z3366&gt;Z3365,Z3366,"")</f>
        <v/>
      </c>
      <c r="AB3366">
        <f>AB3365+IF(X3366="",0,IF(ISNA(MATCH(X3366,X$256:X3365,0)),1,0))</f>
        <v/>
      </c>
      <c r="AC3366">
        <f>IF(AB3366&gt;AB3365,AB3366,"")</f>
        <v/>
      </c>
    </row>
    <row r="3367">
      <c r="W3367" s="7" t="n"/>
      <c r="X3367" s="7" t="n"/>
      <c r="Z3367">
        <f>Z3366+IF(W3367="",0,IF(ISNA(MATCH(W3367,W$256:W3366,0)),1,0))</f>
        <v/>
      </c>
      <c r="AA3367">
        <f>IF(Z3367&gt;Z3366,Z3367,"")</f>
        <v/>
      </c>
      <c r="AB3367">
        <f>AB3366+IF(X3367="",0,IF(ISNA(MATCH(X3367,X$256:X3366,0)),1,0))</f>
        <v/>
      </c>
      <c r="AC3367">
        <f>IF(AB3367&gt;AB3366,AB3367,"")</f>
        <v/>
      </c>
    </row>
    <row r="3368">
      <c r="W3368" s="7" t="n"/>
      <c r="X3368" s="7" t="n"/>
      <c r="Z3368">
        <f>Z3367+IF(W3368="",0,IF(ISNA(MATCH(W3368,W$256:W3367,0)),1,0))</f>
        <v/>
      </c>
      <c r="AA3368">
        <f>IF(Z3368&gt;Z3367,Z3368,"")</f>
        <v/>
      </c>
      <c r="AB3368">
        <f>AB3367+IF(X3368="",0,IF(ISNA(MATCH(X3368,X$256:X3367,0)),1,0))</f>
        <v/>
      </c>
      <c r="AC3368">
        <f>IF(AB3368&gt;AB3367,AB3368,"")</f>
        <v/>
      </c>
    </row>
    <row r="3369">
      <c r="W3369" s="7" t="n"/>
      <c r="X3369" s="7" t="n"/>
      <c r="Z3369">
        <f>Z3368+IF(W3369="",0,IF(ISNA(MATCH(W3369,W$256:W3368,0)),1,0))</f>
        <v/>
      </c>
      <c r="AA3369">
        <f>IF(Z3369&gt;Z3368,Z3369,"")</f>
        <v/>
      </c>
      <c r="AB3369">
        <f>AB3368+IF(X3369="",0,IF(ISNA(MATCH(X3369,X$256:X3368,0)),1,0))</f>
        <v/>
      </c>
      <c r="AC3369">
        <f>IF(AB3369&gt;AB3368,AB3369,"")</f>
        <v/>
      </c>
    </row>
    <row r="3370">
      <c r="W3370" s="7" t="n"/>
      <c r="X3370" s="7" t="n"/>
      <c r="Z3370">
        <f>Z3369+IF(W3370="",0,IF(ISNA(MATCH(W3370,W$256:W3369,0)),1,0))</f>
        <v/>
      </c>
      <c r="AA3370">
        <f>IF(Z3370&gt;Z3369,Z3370,"")</f>
        <v/>
      </c>
      <c r="AB3370">
        <f>AB3369+IF(X3370="",0,IF(ISNA(MATCH(X3370,X$256:X3369,0)),1,0))</f>
        <v/>
      </c>
      <c r="AC3370">
        <f>IF(AB3370&gt;AB3369,AB3370,"")</f>
        <v/>
      </c>
    </row>
    <row r="3371">
      <c r="W3371" s="7" t="n"/>
      <c r="X3371" s="7" t="n"/>
      <c r="Z3371">
        <f>Z3370+IF(W3371="",0,IF(ISNA(MATCH(W3371,W$256:W3370,0)),1,0))</f>
        <v/>
      </c>
      <c r="AA3371">
        <f>IF(Z3371&gt;Z3370,Z3371,"")</f>
        <v/>
      </c>
      <c r="AB3371">
        <f>AB3370+IF(X3371="",0,IF(ISNA(MATCH(X3371,X$256:X3370,0)),1,0))</f>
        <v/>
      </c>
      <c r="AC3371">
        <f>IF(AB3371&gt;AB3370,AB3371,"")</f>
        <v/>
      </c>
    </row>
    <row r="3372">
      <c r="W3372" s="7" t="n"/>
      <c r="X3372" s="7" t="n"/>
      <c r="Z3372">
        <f>Z3371+IF(W3372="",0,IF(ISNA(MATCH(W3372,W$256:W3371,0)),1,0))</f>
        <v/>
      </c>
      <c r="AA3372">
        <f>IF(Z3372&gt;Z3371,Z3372,"")</f>
        <v/>
      </c>
      <c r="AB3372">
        <f>AB3371+IF(X3372="",0,IF(ISNA(MATCH(X3372,X$256:X3371,0)),1,0))</f>
        <v/>
      </c>
      <c r="AC3372">
        <f>IF(AB3372&gt;AB3371,AB3372,"")</f>
        <v/>
      </c>
    </row>
    <row r="3373">
      <c r="W3373" s="7" t="n"/>
      <c r="X3373" s="7" t="n"/>
      <c r="Z3373">
        <f>Z3372+IF(W3373="",0,IF(ISNA(MATCH(W3373,W$256:W3372,0)),1,0))</f>
        <v/>
      </c>
      <c r="AA3373">
        <f>IF(Z3373&gt;Z3372,Z3373,"")</f>
        <v/>
      </c>
      <c r="AB3373">
        <f>AB3372+IF(X3373="",0,IF(ISNA(MATCH(X3373,X$256:X3372,0)),1,0))</f>
        <v/>
      </c>
      <c r="AC3373">
        <f>IF(AB3373&gt;AB3372,AB3373,"")</f>
        <v/>
      </c>
    </row>
    <row r="3374">
      <c r="W3374" s="7" t="n"/>
      <c r="X3374" s="7" t="n"/>
      <c r="Z3374">
        <f>Z3373+IF(W3374="",0,IF(ISNA(MATCH(W3374,W$256:W3373,0)),1,0))</f>
        <v/>
      </c>
      <c r="AA3374">
        <f>IF(Z3374&gt;Z3373,Z3374,"")</f>
        <v/>
      </c>
      <c r="AB3374">
        <f>AB3373+IF(X3374="",0,IF(ISNA(MATCH(X3374,X$256:X3373,0)),1,0))</f>
        <v/>
      </c>
      <c r="AC3374">
        <f>IF(AB3374&gt;AB3373,AB3374,"")</f>
        <v/>
      </c>
    </row>
    <row r="3375">
      <c r="W3375" s="7" t="n"/>
      <c r="X3375" s="7" t="n"/>
      <c r="Z3375">
        <f>Z3374+IF(W3375="",0,IF(ISNA(MATCH(W3375,W$256:W3374,0)),1,0))</f>
        <v/>
      </c>
      <c r="AA3375">
        <f>IF(Z3375&gt;Z3374,Z3375,"")</f>
        <v/>
      </c>
      <c r="AB3375">
        <f>AB3374+IF(X3375="",0,IF(ISNA(MATCH(X3375,X$256:X3374,0)),1,0))</f>
        <v/>
      </c>
      <c r="AC3375">
        <f>IF(AB3375&gt;AB3374,AB3375,"")</f>
        <v/>
      </c>
    </row>
    <row r="3376">
      <c r="W3376" s="7" t="n"/>
      <c r="X3376" s="7" t="n"/>
      <c r="Z3376">
        <f>Z3375+IF(W3376="",0,IF(ISNA(MATCH(W3376,W$256:W3375,0)),1,0))</f>
        <v/>
      </c>
      <c r="AA3376">
        <f>IF(Z3376&gt;Z3375,Z3376,"")</f>
        <v/>
      </c>
      <c r="AB3376">
        <f>AB3375+IF(X3376="",0,IF(ISNA(MATCH(X3376,X$256:X3375,0)),1,0))</f>
        <v/>
      </c>
      <c r="AC3376">
        <f>IF(AB3376&gt;AB3375,AB3376,"")</f>
        <v/>
      </c>
    </row>
    <row r="3377">
      <c r="W3377" s="7" t="n"/>
      <c r="X3377" s="7" t="n"/>
      <c r="Z3377">
        <f>Z3376+IF(W3377="",0,IF(ISNA(MATCH(W3377,W$256:W3376,0)),1,0))</f>
        <v/>
      </c>
      <c r="AA3377">
        <f>IF(Z3377&gt;Z3376,Z3377,"")</f>
        <v/>
      </c>
      <c r="AB3377">
        <f>AB3376+IF(X3377="",0,IF(ISNA(MATCH(X3377,X$256:X3376,0)),1,0))</f>
        <v/>
      </c>
      <c r="AC3377">
        <f>IF(AB3377&gt;AB3376,AB3377,"")</f>
        <v/>
      </c>
    </row>
    <row r="3378">
      <c r="W3378" s="7" t="n"/>
      <c r="X3378" s="7" t="n"/>
      <c r="Z3378">
        <f>Z3377+IF(W3378="",0,IF(ISNA(MATCH(W3378,W$256:W3377,0)),1,0))</f>
        <v/>
      </c>
      <c r="AA3378">
        <f>IF(Z3378&gt;Z3377,Z3378,"")</f>
        <v/>
      </c>
      <c r="AB3378">
        <f>AB3377+IF(X3378="",0,IF(ISNA(MATCH(X3378,X$256:X3377,0)),1,0))</f>
        <v/>
      </c>
      <c r="AC3378">
        <f>IF(AB3378&gt;AB3377,AB3378,"")</f>
        <v/>
      </c>
    </row>
    <row r="3379">
      <c r="W3379" s="7" t="n"/>
      <c r="X3379" s="7" t="n"/>
      <c r="Z3379">
        <f>Z3378+IF(W3379="",0,IF(ISNA(MATCH(W3379,W$256:W3378,0)),1,0))</f>
        <v/>
      </c>
      <c r="AA3379">
        <f>IF(Z3379&gt;Z3378,Z3379,"")</f>
        <v/>
      </c>
      <c r="AB3379">
        <f>AB3378+IF(X3379="",0,IF(ISNA(MATCH(X3379,X$256:X3378,0)),1,0))</f>
        <v/>
      </c>
      <c r="AC3379">
        <f>IF(AB3379&gt;AB3378,AB3379,"")</f>
        <v/>
      </c>
    </row>
    <row r="3380">
      <c r="W3380" s="7" t="n"/>
      <c r="X3380" s="7" t="n"/>
      <c r="Z3380">
        <f>Z3379+IF(W3380="",0,IF(ISNA(MATCH(W3380,W$256:W3379,0)),1,0))</f>
        <v/>
      </c>
      <c r="AA3380">
        <f>IF(Z3380&gt;Z3379,Z3380,"")</f>
        <v/>
      </c>
      <c r="AB3380">
        <f>AB3379+IF(X3380="",0,IF(ISNA(MATCH(X3380,X$256:X3379,0)),1,0))</f>
        <v/>
      </c>
      <c r="AC3380">
        <f>IF(AB3380&gt;AB3379,AB3380,"")</f>
        <v/>
      </c>
    </row>
    <row r="3381">
      <c r="W3381" s="7" t="n"/>
      <c r="X3381" s="7" t="n"/>
      <c r="Z3381">
        <f>Z3380+IF(W3381="",0,IF(ISNA(MATCH(W3381,W$256:W3380,0)),1,0))</f>
        <v/>
      </c>
      <c r="AA3381">
        <f>IF(Z3381&gt;Z3380,Z3381,"")</f>
        <v/>
      </c>
      <c r="AB3381">
        <f>AB3380+IF(X3381="",0,IF(ISNA(MATCH(X3381,X$256:X3380,0)),1,0))</f>
        <v/>
      </c>
      <c r="AC3381">
        <f>IF(AB3381&gt;AB3380,AB3381,"")</f>
        <v/>
      </c>
    </row>
    <row r="3382">
      <c r="W3382" s="7" t="n"/>
      <c r="X3382" s="7" t="n"/>
      <c r="Z3382">
        <f>Z3381+IF(W3382="",0,IF(ISNA(MATCH(W3382,W$256:W3381,0)),1,0))</f>
        <v/>
      </c>
      <c r="AA3382">
        <f>IF(Z3382&gt;Z3381,Z3382,"")</f>
        <v/>
      </c>
      <c r="AB3382">
        <f>AB3381+IF(X3382="",0,IF(ISNA(MATCH(X3382,X$256:X3381,0)),1,0))</f>
        <v/>
      </c>
      <c r="AC3382">
        <f>IF(AB3382&gt;AB3381,AB3382,"")</f>
        <v/>
      </c>
    </row>
    <row r="3383">
      <c r="W3383" s="7" t="n"/>
      <c r="X3383" s="7" t="n"/>
      <c r="Z3383">
        <f>Z3382+IF(W3383="",0,IF(ISNA(MATCH(W3383,W$256:W3382,0)),1,0))</f>
        <v/>
      </c>
      <c r="AA3383">
        <f>IF(Z3383&gt;Z3382,Z3383,"")</f>
        <v/>
      </c>
      <c r="AB3383">
        <f>AB3382+IF(X3383="",0,IF(ISNA(MATCH(X3383,X$256:X3382,0)),1,0))</f>
        <v/>
      </c>
      <c r="AC3383">
        <f>IF(AB3383&gt;AB3382,AB3383,"")</f>
        <v/>
      </c>
    </row>
    <row r="3384">
      <c r="W3384" s="7" t="n"/>
      <c r="X3384" s="7" t="n"/>
      <c r="Z3384">
        <f>Z3383+IF(W3384="",0,IF(ISNA(MATCH(W3384,W$256:W3383,0)),1,0))</f>
        <v/>
      </c>
      <c r="AA3384">
        <f>IF(Z3384&gt;Z3383,Z3384,"")</f>
        <v/>
      </c>
      <c r="AB3384">
        <f>AB3383+IF(X3384="",0,IF(ISNA(MATCH(X3384,X$256:X3383,0)),1,0))</f>
        <v/>
      </c>
      <c r="AC3384">
        <f>IF(AB3384&gt;AB3383,AB3384,"")</f>
        <v/>
      </c>
    </row>
    <row r="3385">
      <c r="W3385" s="7" t="n"/>
      <c r="X3385" s="7" t="n"/>
      <c r="Z3385">
        <f>Z3384+IF(W3385="",0,IF(ISNA(MATCH(W3385,W$256:W3384,0)),1,0))</f>
        <v/>
      </c>
      <c r="AA3385">
        <f>IF(Z3385&gt;Z3384,Z3385,"")</f>
        <v/>
      </c>
      <c r="AB3385">
        <f>AB3384+IF(X3385="",0,IF(ISNA(MATCH(X3385,X$256:X3384,0)),1,0))</f>
        <v/>
      </c>
      <c r="AC3385">
        <f>IF(AB3385&gt;AB3384,AB3385,"")</f>
        <v/>
      </c>
    </row>
    <row r="3386">
      <c r="W3386" s="7" t="n"/>
      <c r="X3386" s="7" t="n"/>
      <c r="Z3386">
        <f>Z3385+IF(W3386="",0,IF(ISNA(MATCH(W3386,W$256:W3385,0)),1,0))</f>
        <v/>
      </c>
      <c r="AA3386">
        <f>IF(Z3386&gt;Z3385,Z3386,"")</f>
        <v/>
      </c>
      <c r="AB3386">
        <f>AB3385+IF(X3386="",0,IF(ISNA(MATCH(X3386,X$256:X3385,0)),1,0))</f>
        <v/>
      </c>
      <c r="AC3386">
        <f>IF(AB3386&gt;AB3385,AB3386,"")</f>
        <v/>
      </c>
    </row>
    <row r="3387">
      <c r="W3387" s="7" t="n"/>
      <c r="X3387" s="7" t="n"/>
      <c r="Z3387">
        <f>Z3386+IF(W3387="",0,IF(ISNA(MATCH(W3387,W$256:W3386,0)),1,0))</f>
        <v/>
      </c>
      <c r="AA3387">
        <f>IF(Z3387&gt;Z3386,Z3387,"")</f>
        <v/>
      </c>
      <c r="AB3387">
        <f>AB3386+IF(X3387="",0,IF(ISNA(MATCH(X3387,X$256:X3386,0)),1,0))</f>
        <v/>
      </c>
      <c r="AC3387">
        <f>IF(AB3387&gt;AB3386,AB3387,"")</f>
        <v/>
      </c>
    </row>
    <row r="3388">
      <c r="W3388" s="7" t="n"/>
      <c r="X3388" s="7" t="n"/>
      <c r="Z3388">
        <f>Z3387+IF(W3388="",0,IF(ISNA(MATCH(W3388,W$256:W3387,0)),1,0))</f>
        <v/>
      </c>
      <c r="AA3388">
        <f>IF(Z3388&gt;Z3387,Z3388,"")</f>
        <v/>
      </c>
      <c r="AB3388">
        <f>AB3387+IF(X3388="",0,IF(ISNA(MATCH(X3388,X$256:X3387,0)),1,0))</f>
        <v/>
      </c>
      <c r="AC3388">
        <f>IF(AB3388&gt;AB3387,AB3388,"")</f>
        <v/>
      </c>
    </row>
    <row r="3389">
      <c r="W3389" s="7" t="n"/>
      <c r="X3389" s="7" t="n"/>
      <c r="Z3389">
        <f>Z3388+IF(W3389="",0,IF(ISNA(MATCH(W3389,W$256:W3388,0)),1,0))</f>
        <v/>
      </c>
      <c r="AA3389">
        <f>IF(Z3389&gt;Z3388,Z3389,"")</f>
        <v/>
      </c>
      <c r="AB3389">
        <f>AB3388+IF(X3389="",0,IF(ISNA(MATCH(X3389,X$256:X3388,0)),1,0))</f>
        <v/>
      </c>
      <c r="AC3389">
        <f>IF(AB3389&gt;AB3388,AB3389,"")</f>
        <v/>
      </c>
    </row>
    <row r="3390">
      <c r="W3390" s="7" t="n"/>
      <c r="X3390" s="7" t="n"/>
      <c r="Z3390">
        <f>Z3389+IF(W3390="",0,IF(ISNA(MATCH(W3390,W$256:W3389,0)),1,0))</f>
        <v/>
      </c>
      <c r="AA3390">
        <f>IF(Z3390&gt;Z3389,Z3390,"")</f>
        <v/>
      </c>
      <c r="AB3390">
        <f>AB3389+IF(X3390="",0,IF(ISNA(MATCH(X3390,X$256:X3389,0)),1,0))</f>
        <v/>
      </c>
      <c r="AC3390">
        <f>IF(AB3390&gt;AB3389,AB3390,"")</f>
        <v/>
      </c>
    </row>
    <row r="3391">
      <c r="W3391" s="7" t="n"/>
      <c r="X3391" s="7" t="n"/>
      <c r="Z3391">
        <f>Z3390+IF(W3391="",0,IF(ISNA(MATCH(W3391,W$256:W3390,0)),1,0))</f>
        <v/>
      </c>
      <c r="AA3391">
        <f>IF(Z3391&gt;Z3390,Z3391,"")</f>
        <v/>
      </c>
      <c r="AB3391">
        <f>AB3390+IF(X3391="",0,IF(ISNA(MATCH(X3391,X$256:X3390,0)),1,0))</f>
        <v/>
      </c>
      <c r="AC3391">
        <f>IF(AB3391&gt;AB3390,AB3391,"")</f>
        <v/>
      </c>
    </row>
    <row r="3392">
      <c r="W3392" s="7" t="n"/>
      <c r="X3392" s="7" t="n"/>
      <c r="Z3392">
        <f>Z3391+IF(W3392="",0,IF(ISNA(MATCH(W3392,W$256:W3391,0)),1,0))</f>
        <v/>
      </c>
      <c r="AA3392">
        <f>IF(Z3392&gt;Z3391,Z3392,"")</f>
        <v/>
      </c>
      <c r="AB3392">
        <f>AB3391+IF(X3392="",0,IF(ISNA(MATCH(X3392,X$256:X3391,0)),1,0))</f>
        <v/>
      </c>
      <c r="AC3392">
        <f>IF(AB3392&gt;AB3391,AB3392,"")</f>
        <v/>
      </c>
    </row>
    <row r="3393">
      <c r="W3393" s="7" t="n"/>
      <c r="X3393" s="7" t="n"/>
      <c r="Z3393">
        <f>Z3392+IF(W3393="",0,IF(ISNA(MATCH(W3393,W$256:W3392,0)),1,0))</f>
        <v/>
      </c>
      <c r="AA3393">
        <f>IF(Z3393&gt;Z3392,Z3393,"")</f>
        <v/>
      </c>
      <c r="AB3393">
        <f>AB3392+IF(X3393="",0,IF(ISNA(MATCH(X3393,X$256:X3392,0)),1,0))</f>
        <v/>
      </c>
      <c r="AC3393">
        <f>IF(AB3393&gt;AB3392,AB3393,"")</f>
        <v/>
      </c>
    </row>
    <row r="3394">
      <c r="W3394" s="7" t="n"/>
      <c r="X3394" s="7" t="n"/>
      <c r="Z3394">
        <f>Z3393+IF(W3394="",0,IF(ISNA(MATCH(W3394,W$256:W3393,0)),1,0))</f>
        <v/>
      </c>
      <c r="AA3394">
        <f>IF(Z3394&gt;Z3393,Z3394,"")</f>
        <v/>
      </c>
      <c r="AB3394">
        <f>AB3393+IF(X3394="",0,IF(ISNA(MATCH(X3394,X$256:X3393,0)),1,0))</f>
        <v/>
      </c>
      <c r="AC3394">
        <f>IF(AB3394&gt;AB3393,AB3394,"")</f>
        <v/>
      </c>
    </row>
    <row r="3395">
      <c r="W3395" s="7" t="n"/>
      <c r="X3395" s="7" t="n"/>
      <c r="Z3395">
        <f>Z3394+IF(W3395="",0,IF(ISNA(MATCH(W3395,W$256:W3394,0)),1,0))</f>
        <v/>
      </c>
      <c r="AA3395">
        <f>IF(Z3395&gt;Z3394,Z3395,"")</f>
        <v/>
      </c>
      <c r="AB3395">
        <f>AB3394+IF(X3395="",0,IF(ISNA(MATCH(X3395,X$256:X3394,0)),1,0))</f>
        <v/>
      </c>
      <c r="AC3395">
        <f>IF(AB3395&gt;AB3394,AB3395,"")</f>
        <v/>
      </c>
    </row>
    <row r="3396">
      <c r="W3396" s="7" t="n"/>
      <c r="X3396" s="7" t="n"/>
      <c r="Z3396">
        <f>Z3395+IF(W3396="",0,IF(ISNA(MATCH(W3396,W$256:W3395,0)),1,0))</f>
        <v/>
      </c>
      <c r="AA3396">
        <f>IF(Z3396&gt;Z3395,Z3396,"")</f>
        <v/>
      </c>
      <c r="AB3396">
        <f>AB3395+IF(X3396="",0,IF(ISNA(MATCH(X3396,X$256:X3395,0)),1,0))</f>
        <v/>
      </c>
      <c r="AC3396">
        <f>IF(AB3396&gt;AB3395,AB3396,"")</f>
        <v/>
      </c>
    </row>
    <row r="3397">
      <c r="W3397" s="7" t="n"/>
      <c r="X3397" s="7" t="n"/>
      <c r="Z3397">
        <f>Z3396+IF(W3397="",0,IF(ISNA(MATCH(W3397,W$256:W3396,0)),1,0))</f>
        <v/>
      </c>
      <c r="AA3397">
        <f>IF(Z3397&gt;Z3396,Z3397,"")</f>
        <v/>
      </c>
      <c r="AB3397">
        <f>AB3396+IF(X3397="",0,IF(ISNA(MATCH(X3397,X$256:X3396,0)),1,0))</f>
        <v/>
      </c>
      <c r="AC3397">
        <f>IF(AB3397&gt;AB3396,AB3397,"")</f>
        <v/>
      </c>
    </row>
    <row r="3398">
      <c r="W3398" s="7" t="n"/>
      <c r="X3398" s="7" t="n"/>
      <c r="Z3398">
        <f>Z3397+IF(W3398="",0,IF(ISNA(MATCH(W3398,W$256:W3397,0)),1,0))</f>
        <v/>
      </c>
      <c r="AA3398">
        <f>IF(Z3398&gt;Z3397,Z3398,"")</f>
        <v/>
      </c>
      <c r="AB3398">
        <f>AB3397+IF(X3398="",0,IF(ISNA(MATCH(X3398,X$256:X3397,0)),1,0))</f>
        <v/>
      </c>
      <c r="AC3398">
        <f>IF(AB3398&gt;AB3397,AB3398,"")</f>
        <v/>
      </c>
    </row>
    <row r="3399">
      <c r="W3399" s="7" t="n"/>
      <c r="X3399" s="7" t="n"/>
      <c r="Z3399">
        <f>Z3398+IF(W3399="",0,IF(ISNA(MATCH(W3399,W$256:W3398,0)),1,0))</f>
        <v/>
      </c>
      <c r="AA3399">
        <f>IF(Z3399&gt;Z3398,Z3399,"")</f>
        <v/>
      </c>
      <c r="AB3399">
        <f>AB3398+IF(X3399="",0,IF(ISNA(MATCH(X3399,X$256:X3398,0)),1,0))</f>
        <v/>
      </c>
      <c r="AC3399">
        <f>IF(AB3399&gt;AB3398,AB3399,"")</f>
        <v/>
      </c>
    </row>
    <row r="3400">
      <c r="W3400" s="7" t="n"/>
      <c r="X3400" s="7" t="n"/>
      <c r="Z3400">
        <f>Z3399+IF(W3400="",0,IF(ISNA(MATCH(W3400,W$256:W3399,0)),1,0))</f>
        <v/>
      </c>
      <c r="AA3400">
        <f>IF(Z3400&gt;Z3399,Z3400,"")</f>
        <v/>
      </c>
      <c r="AB3400">
        <f>AB3399+IF(X3400="",0,IF(ISNA(MATCH(X3400,X$256:X3399,0)),1,0))</f>
        <v/>
      </c>
      <c r="AC3400">
        <f>IF(AB3400&gt;AB3399,AB3400,"")</f>
        <v/>
      </c>
    </row>
    <row r="3401">
      <c r="W3401" s="7" t="n"/>
      <c r="X3401" s="7" t="n"/>
      <c r="Z3401">
        <f>Z3400+IF(W3401="",0,IF(ISNA(MATCH(W3401,W$256:W3400,0)),1,0))</f>
        <v/>
      </c>
      <c r="AA3401">
        <f>IF(Z3401&gt;Z3400,Z3401,"")</f>
        <v/>
      </c>
      <c r="AB3401">
        <f>AB3400+IF(X3401="",0,IF(ISNA(MATCH(X3401,X$256:X3400,0)),1,0))</f>
        <v/>
      </c>
      <c r="AC3401">
        <f>IF(AB3401&gt;AB3400,AB3401,"")</f>
        <v/>
      </c>
    </row>
    <row r="3402">
      <c r="W3402" s="7" t="n"/>
      <c r="X3402" s="7" t="n"/>
      <c r="Z3402">
        <f>Z3401+IF(W3402="",0,IF(ISNA(MATCH(W3402,W$256:W3401,0)),1,0))</f>
        <v/>
      </c>
      <c r="AA3402">
        <f>IF(Z3402&gt;Z3401,Z3402,"")</f>
        <v/>
      </c>
      <c r="AB3402">
        <f>AB3401+IF(X3402="",0,IF(ISNA(MATCH(X3402,X$256:X3401,0)),1,0))</f>
        <v/>
      </c>
      <c r="AC3402">
        <f>IF(AB3402&gt;AB3401,AB3402,"")</f>
        <v/>
      </c>
    </row>
    <row r="3403">
      <c r="W3403" s="7" t="n"/>
      <c r="X3403" s="7" t="n"/>
      <c r="Z3403">
        <f>Z3402+IF(W3403="",0,IF(ISNA(MATCH(W3403,W$256:W3402,0)),1,0))</f>
        <v/>
      </c>
      <c r="AA3403">
        <f>IF(Z3403&gt;Z3402,Z3403,"")</f>
        <v/>
      </c>
      <c r="AB3403">
        <f>AB3402+IF(X3403="",0,IF(ISNA(MATCH(X3403,X$256:X3402,0)),1,0))</f>
        <v/>
      </c>
      <c r="AC3403">
        <f>IF(AB3403&gt;AB3402,AB3403,"")</f>
        <v/>
      </c>
    </row>
    <row r="3404">
      <c r="W3404" s="7" t="n"/>
      <c r="X3404" s="7" t="n"/>
      <c r="Z3404">
        <f>Z3403+IF(W3404="",0,IF(ISNA(MATCH(W3404,W$256:W3403,0)),1,0))</f>
        <v/>
      </c>
      <c r="AA3404">
        <f>IF(Z3404&gt;Z3403,Z3404,"")</f>
        <v/>
      </c>
      <c r="AB3404">
        <f>AB3403+IF(X3404="",0,IF(ISNA(MATCH(X3404,X$256:X3403,0)),1,0))</f>
        <v/>
      </c>
      <c r="AC3404">
        <f>IF(AB3404&gt;AB3403,AB3404,"")</f>
        <v/>
      </c>
    </row>
    <row r="3405">
      <c r="W3405" s="7" t="n"/>
      <c r="X3405" s="7" t="n"/>
      <c r="Z3405">
        <f>Z3404+IF(W3405="",0,IF(ISNA(MATCH(W3405,W$256:W3404,0)),1,0))</f>
        <v/>
      </c>
      <c r="AA3405">
        <f>IF(Z3405&gt;Z3404,Z3405,"")</f>
        <v/>
      </c>
      <c r="AB3405">
        <f>AB3404+IF(X3405="",0,IF(ISNA(MATCH(X3405,X$256:X3404,0)),1,0))</f>
        <v/>
      </c>
      <c r="AC3405">
        <f>IF(AB3405&gt;AB3404,AB3405,"")</f>
        <v/>
      </c>
    </row>
    <row r="3406">
      <c r="W3406" s="7" t="n"/>
      <c r="X3406" s="7" t="n"/>
      <c r="Z3406">
        <f>Z3405+IF(W3406="",0,IF(ISNA(MATCH(W3406,W$256:W3405,0)),1,0))</f>
        <v/>
      </c>
      <c r="AA3406">
        <f>IF(Z3406&gt;Z3405,Z3406,"")</f>
        <v/>
      </c>
      <c r="AB3406">
        <f>AB3405+IF(X3406="",0,IF(ISNA(MATCH(X3406,X$256:X3405,0)),1,0))</f>
        <v/>
      </c>
      <c r="AC3406">
        <f>IF(AB3406&gt;AB3405,AB3406,"")</f>
        <v/>
      </c>
    </row>
    <row r="3407">
      <c r="W3407" s="7" t="n"/>
      <c r="X3407" s="7" t="n"/>
      <c r="Z3407">
        <f>Z3406+IF(W3407="",0,IF(ISNA(MATCH(W3407,W$256:W3406,0)),1,0))</f>
        <v/>
      </c>
      <c r="AA3407">
        <f>IF(Z3407&gt;Z3406,Z3407,"")</f>
        <v/>
      </c>
      <c r="AB3407">
        <f>AB3406+IF(X3407="",0,IF(ISNA(MATCH(X3407,X$256:X3406,0)),1,0))</f>
        <v/>
      </c>
      <c r="AC3407">
        <f>IF(AB3407&gt;AB3406,AB3407,"")</f>
        <v/>
      </c>
    </row>
    <row r="3408">
      <c r="W3408" s="7" t="n"/>
      <c r="X3408" s="7" t="n"/>
      <c r="Z3408">
        <f>Z3407+IF(W3408="",0,IF(ISNA(MATCH(W3408,W$256:W3407,0)),1,0))</f>
        <v/>
      </c>
      <c r="AA3408">
        <f>IF(Z3408&gt;Z3407,Z3408,"")</f>
        <v/>
      </c>
      <c r="AB3408">
        <f>AB3407+IF(X3408="",0,IF(ISNA(MATCH(X3408,X$256:X3407,0)),1,0))</f>
        <v/>
      </c>
      <c r="AC3408">
        <f>IF(AB3408&gt;AB3407,AB3408,"")</f>
        <v/>
      </c>
    </row>
    <row r="3409">
      <c r="W3409" s="7" t="n"/>
      <c r="X3409" s="7" t="n"/>
      <c r="Z3409">
        <f>Z3408+IF(W3409="",0,IF(ISNA(MATCH(W3409,W$256:W3408,0)),1,0))</f>
        <v/>
      </c>
      <c r="AA3409">
        <f>IF(Z3409&gt;Z3408,Z3409,"")</f>
        <v/>
      </c>
      <c r="AB3409">
        <f>AB3408+IF(X3409="",0,IF(ISNA(MATCH(X3409,X$256:X3408,0)),1,0))</f>
        <v/>
      </c>
      <c r="AC3409">
        <f>IF(AB3409&gt;AB3408,AB3409,"")</f>
        <v/>
      </c>
    </row>
    <row r="3410">
      <c r="W3410" s="7" t="n"/>
      <c r="X3410" s="7" t="n"/>
      <c r="Z3410">
        <f>Z3409+IF(W3410="",0,IF(ISNA(MATCH(W3410,W$256:W3409,0)),1,0))</f>
        <v/>
      </c>
      <c r="AA3410">
        <f>IF(Z3410&gt;Z3409,Z3410,"")</f>
        <v/>
      </c>
      <c r="AB3410">
        <f>AB3409+IF(X3410="",0,IF(ISNA(MATCH(X3410,X$256:X3409,0)),1,0))</f>
        <v/>
      </c>
      <c r="AC3410">
        <f>IF(AB3410&gt;AB3409,AB3410,"")</f>
        <v/>
      </c>
    </row>
    <row r="3411">
      <c r="W3411" s="7" t="n"/>
      <c r="X3411" s="7" t="n"/>
      <c r="Z3411">
        <f>Z3410+IF(W3411="",0,IF(ISNA(MATCH(W3411,W$256:W3410,0)),1,0))</f>
        <v/>
      </c>
      <c r="AA3411">
        <f>IF(Z3411&gt;Z3410,Z3411,"")</f>
        <v/>
      </c>
      <c r="AB3411">
        <f>AB3410+IF(X3411="",0,IF(ISNA(MATCH(X3411,X$256:X3410,0)),1,0))</f>
        <v/>
      </c>
      <c r="AC3411">
        <f>IF(AB3411&gt;AB3410,AB3411,"")</f>
        <v/>
      </c>
    </row>
    <row r="3412">
      <c r="W3412" s="7" t="n"/>
      <c r="X3412" s="7" t="n"/>
      <c r="Z3412">
        <f>Z3411+IF(W3412="",0,IF(ISNA(MATCH(W3412,W$256:W3411,0)),1,0))</f>
        <v/>
      </c>
      <c r="AA3412">
        <f>IF(Z3412&gt;Z3411,Z3412,"")</f>
        <v/>
      </c>
      <c r="AB3412">
        <f>AB3411+IF(X3412="",0,IF(ISNA(MATCH(X3412,X$256:X3411,0)),1,0))</f>
        <v/>
      </c>
      <c r="AC3412">
        <f>IF(AB3412&gt;AB3411,AB3412,"")</f>
        <v/>
      </c>
    </row>
    <row r="3413">
      <c r="W3413" s="7" t="n"/>
      <c r="X3413" s="7" t="n"/>
      <c r="Z3413">
        <f>Z3412+IF(W3413="",0,IF(ISNA(MATCH(W3413,W$256:W3412,0)),1,0))</f>
        <v/>
      </c>
      <c r="AA3413">
        <f>IF(Z3413&gt;Z3412,Z3413,"")</f>
        <v/>
      </c>
      <c r="AB3413">
        <f>AB3412+IF(X3413="",0,IF(ISNA(MATCH(X3413,X$256:X3412,0)),1,0))</f>
        <v/>
      </c>
      <c r="AC3413">
        <f>IF(AB3413&gt;AB3412,AB3413,"")</f>
        <v/>
      </c>
    </row>
    <row r="3414">
      <c r="W3414" s="7" t="n"/>
      <c r="X3414" s="7" t="n"/>
      <c r="Z3414">
        <f>Z3413+IF(W3414="",0,IF(ISNA(MATCH(W3414,W$256:W3413,0)),1,0))</f>
        <v/>
      </c>
      <c r="AA3414">
        <f>IF(Z3414&gt;Z3413,Z3414,"")</f>
        <v/>
      </c>
      <c r="AB3414">
        <f>AB3413+IF(X3414="",0,IF(ISNA(MATCH(X3414,X$256:X3413,0)),1,0))</f>
        <v/>
      </c>
      <c r="AC3414">
        <f>IF(AB3414&gt;AB3413,AB3414,"")</f>
        <v/>
      </c>
    </row>
    <row r="3415">
      <c r="W3415" s="7" t="n"/>
      <c r="X3415" s="7" t="n"/>
      <c r="Z3415">
        <f>Z3414+IF(W3415="",0,IF(ISNA(MATCH(W3415,W$256:W3414,0)),1,0))</f>
        <v/>
      </c>
      <c r="AA3415">
        <f>IF(Z3415&gt;Z3414,Z3415,"")</f>
        <v/>
      </c>
      <c r="AB3415">
        <f>AB3414+IF(X3415="",0,IF(ISNA(MATCH(X3415,X$256:X3414,0)),1,0))</f>
        <v/>
      </c>
      <c r="AC3415">
        <f>IF(AB3415&gt;AB3414,AB3415,"")</f>
        <v/>
      </c>
    </row>
    <row r="3416">
      <c r="W3416" s="7" t="n"/>
      <c r="X3416" s="7" t="n"/>
      <c r="Z3416">
        <f>Z3415+IF(W3416="",0,IF(ISNA(MATCH(W3416,W$256:W3415,0)),1,0))</f>
        <v/>
      </c>
      <c r="AA3416">
        <f>IF(Z3416&gt;Z3415,Z3416,"")</f>
        <v/>
      </c>
      <c r="AB3416">
        <f>AB3415+IF(X3416="",0,IF(ISNA(MATCH(X3416,X$256:X3415,0)),1,0))</f>
        <v/>
      </c>
      <c r="AC3416">
        <f>IF(AB3416&gt;AB3415,AB3416,"")</f>
        <v/>
      </c>
    </row>
    <row r="3417">
      <c r="W3417" s="7" t="n"/>
      <c r="X3417" s="7" t="n"/>
      <c r="Z3417">
        <f>Z3416+IF(W3417="",0,IF(ISNA(MATCH(W3417,W$256:W3416,0)),1,0))</f>
        <v/>
      </c>
      <c r="AA3417">
        <f>IF(Z3417&gt;Z3416,Z3417,"")</f>
        <v/>
      </c>
      <c r="AB3417">
        <f>AB3416+IF(X3417="",0,IF(ISNA(MATCH(X3417,X$256:X3416,0)),1,0))</f>
        <v/>
      </c>
      <c r="AC3417">
        <f>IF(AB3417&gt;AB3416,AB3417,"")</f>
        <v/>
      </c>
    </row>
    <row r="3418">
      <c r="W3418" s="7" t="n"/>
      <c r="X3418" s="7" t="n"/>
      <c r="Z3418">
        <f>Z3417+IF(W3418="",0,IF(ISNA(MATCH(W3418,W$256:W3417,0)),1,0))</f>
        <v/>
      </c>
      <c r="AA3418">
        <f>IF(Z3418&gt;Z3417,Z3418,"")</f>
        <v/>
      </c>
      <c r="AB3418">
        <f>AB3417+IF(X3418="",0,IF(ISNA(MATCH(X3418,X$256:X3417,0)),1,0))</f>
        <v/>
      </c>
      <c r="AC3418">
        <f>IF(AB3418&gt;AB3417,AB3418,"")</f>
        <v/>
      </c>
    </row>
    <row r="3419">
      <c r="W3419" s="7" t="n"/>
      <c r="X3419" s="7" t="n"/>
      <c r="Z3419">
        <f>Z3418+IF(W3419="",0,IF(ISNA(MATCH(W3419,W$256:W3418,0)),1,0))</f>
        <v/>
      </c>
      <c r="AA3419">
        <f>IF(Z3419&gt;Z3418,Z3419,"")</f>
        <v/>
      </c>
      <c r="AB3419">
        <f>AB3418+IF(X3419="",0,IF(ISNA(MATCH(X3419,X$256:X3418,0)),1,0))</f>
        <v/>
      </c>
      <c r="AC3419">
        <f>IF(AB3419&gt;AB3418,AB3419,"")</f>
        <v/>
      </c>
    </row>
    <row r="3420">
      <c r="W3420" s="7" t="n"/>
      <c r="X3420" s="7" t="n"/>
      <c r="Z3420">
        <f>Z3419+IF(W3420="",0,IF(ISNA(MATCH(W3420,W$256:W3419,0)),1,0))</f>
        <v/>
      </c>
      <c r="AA3420">
        <f>IF(Z3420&gt;Z3419,Z3420,"")</f>
        <v/>
      </c>
      <c r="AB3420">
        <f>AB3419+IF(X3420="",0,IF(ISNA(MATCH(X3420,X$256:X3419,0)),1,0))</f>
        <v/>
      </c>
      <c r="AC3420">
        <f>IF(AB3420&gt;AB3419,AB3420,"")</f>
        <v/>
      </c>
    </row>
    <row r="3421">
      <c r="W3421" s="7" t="n"/>
      <c r="X3421" s="7" t="n"/>
      <c r="Z3421">
        <f>Z3420+IF(W3421="",0,IF(ISNA(MATCH(W3421,W$256:W3420,0)),1,0))</f>
        <v/>
      </c>
      <c r="AA3421">
        <f>IF(Z3421&gt;Z3420,Z3421,"")</f>
        <v/>
      </c>
      <c r="AB3421">
        <f>AB3420+IF(X3421="",0,IF(ISNA(MATCH(X3421,X$256:X3420,0)),1,0))</f>
        <v/>
      </c>
      <c r="AC3421">
        <f>IF(AB3421&gt;AB3420,AB3421,"")</f>
        <v/>
      </c>
    </row>
    <row r="3422">
      <c r="W3422" s="7" t="n"/>
      <c r="X3422" s="7" t="n"/>
      <c r="Z3422">
        <f>Z3421+IF(W3422="",0,IF(ISNA(MATCH(W3422,W$256:W3421,0)),1,0))</f>
        <v/>
      </c>
      <c r="AA3422">
        <f>IF(Z3422&gt;Z3421,Z3422,"")</f>
        <v/>
      </c>
      <c r="AB3422">
        <f>AB3421+IF(X3422="",0,IF(ISNA(MATCH(X3422,X$256:X3421,0)),1,0))</f>
        <v/>
      </c>
      <c r="AC3422">
        <f>IF(AB3422&gt;AB3421,AB3422,"")</f>
        <v/>
      </c>
    </row>
    <row r="3423">
      <c r="W3423" s="7" t="n"/>
      <c r="X3423" s="7" t="n"/>
      <c r="Z3423">
        <f>Z3422+IF(W3423="",0,IF(ISNA(MATCH(W3423,W$256:W3422,0)),1,0))</f>
        <v/>
      </c>
      <c r="AA3423">
        <f>IF(Z3423&gt;Z3422,Z3423,"")</f>
        <v/>
      </c>
      <c r="AB3423">
        <f>AB3422+IF(X3423="",0,IF(ISNA(MATCH(X3423,X$256:X3422,0)),1,0))</f>
        <v/>
      </c>
      <c r="AC3423">
        <f>IF(AB3423&gt;AB3422,AB3423,"")</f>
        <v/>
      </c>
    </row>
    <row r="3424">
      <c r="W3424" s="7" t="n"/>
      <c r="X3424" s="7" t="n"/>
      <c r="Z3424">
        <f>Z3423+IF(W3424="",0,IF(ISNA(MATCH(W3424,W$256:W3423,0)),1,0))</f>
        <v/>
      </c>
      <c r="AA3424">
        <f>IF(Z3424&gt;Z3423,Z3424,"")</f>
        <v/>
      </c>
      <c r="AB3424">
        <f>AB3423+IF(X3424="",0,IF(ISNA(MATCH(X3424,X$256:X3423,0)),1,0))</f>
        <v/>
      </c>
      <c r="AC3424">
        <f>IF(AB3424&gt;AB3423,AB3424,"")</f>
        <v/>
      </c>
    </row>
    <row r="3425">
      <c r="W3425" s="7" t="n"/>
      <c r="X3425" s="7" t="n"/>
      <c r="Z3425">
        <f>Z3424+IF(W3425="",0,IF(ISNA(MATCH(W3425,W$256:W3424,0)),1,0))</f>
        <v/>
      </c>
      <c r="AA3425">
        <f>IF(Z3425&gt;Z3424,Z3425,"")</f>
        <v/>
      </c>
      <c r="AB3425">
        <f>AB3424+IF(X3425="",0,IF(ISNA(MATCH(X3425,X$256:X3424,0)),1,0))</f>
        <v/>
      </c>
      <c r="AC3425">
        <f>IF(AB3425&gt;AB3424,AB3425,"")</f>
        <v/>
      </c>
    </row>
    <row r="3426">
      <c r="W3426" s="7" t="n"/>
      <c r="X3426" s="7" t="n"/>
      <c r="Z3426">
        <f>Z3425+IF(W3426="",0,IF(ISNA(MATCH(W3426,W$256:W3425,0)),1,0))</f>
        <v/>
      </c>
      <c r="AA3426">
        <f>IF(Z3426&gt;Z3425,Z3426,"")</f>
        <v/>
      </c>
      <c r="AB3426">
        <f>AB3425+IF(X3426="",0,IF(ISNA(MATCH(X3426,X$256:X3425,0)),1,0))</f>
        <v/>
      </c>
      <c r="AC3426">
        <f>IF(AB3426&gt;AB3425,AB3426,"")</f>
        <v/>
      </c>
    </row>
    <row r="3427">
      <c r="W3427" s="7" t="n"/>
      <c r="X3427" s="7" t="n"/>
      <c r="Z3427">
        <f>Z3426+IF(W3427="",0,IF(ISNA(MATCH(W3427,W$256:W3426,0)),1,0))</f>
        <v/>
      </c>
      <c r="AA3427">
        <f>IF(Z3427&gt;Z3426,Z3427,"")</f>
        <v/>
      </c>
      <c r="AB3427">
        <f>AB3426+IF(X3427="",0,IF(ISNA(MATCH(X3427,X$256:X3426,0)),1,0))</f>
        <v/>
      </c>
      <c r="AC3427">
        <f>IF(AB3427&gt;AB3426,AB3427,"")</f>
        <v/>
      </c>
    </row>
    <row r="3428">
      <c r="W3428" s="7" t="n"/>
      <c r="X3428" s="7" t="n"/>
      <c r="Z3428">
        <f>Z3427+IF(W3428="",0,IF(ISNA(MATCH(W3428,W$256:W3427,0)),1,0))</f>
        <v/>
      </c>
      <c r="AA3428">
        <f>IF(Z3428&gt;Z3427,Z3428,"")</f>
        <v/>
      </c>
      <c r="AB3428">
        <f>AB3427+IF(X3428="",0,IF(ISNA(MATCH(X3428,X$256:X3427,0)),1,0))</f>
        <v/>
      </c>
      <c r="AC3428">
        <f>IF(AB3428&gt;AB3427,AB3428,"")</f>
        <v/>
      </c>
    </row>
    <row r="3429">
      <c r="W3429" s="7" t="n"/>
      <c r="X3429" s="7" t="n"/>
      <c r="Z3429">
        <f>Z3428+IF(W3429="",0,IF(ISNA(MATCH(W3429,W$256:W3428,0)),1,0))</f>
        <v/>
      </c>
      <c r="AA3429">
        <f>IF(Z3429&gt;Z3428,Z3429,"")</f>
        <v/>
      </c>
      <c r="AB3429">
        <f>AB3428+IF(X3429="",0,IF(ISNA(MATCH(X3429,X$256:X3428,0)),1,0))</f>
        <v/>
      </c>
      <c r="AC3429">
        <f>IF(AB3429&gt;AB3428,AB3429,"")</f>
        <v/>
      </c>
    </row>
    <row r="3430">
      <c r="W3430" s="7" t="n"/>
      <c r="X3430" s="7" t="n"/>
      <c r="Z3430">
        <f>Z3429+IF(W3430="",0,IF(ISNA(MATCH(W3430,W$256:W3429,0)),1,0))</f>
        <v/>
      </c>
      <c r="AA3430">
        <f>IF(Z3430&gt;Z3429,Z3430,"")</f>
        <v/>
      </c>
      <c r="AB3430">
        <f>AB3429+IF(X3430="",0,IF(ISNA(MATCH(X3430,X$256:X3429,0)),1,0))</f>
        <v/>
      </c>
      <c r="AC3430">
        <f>IF(AB3430&gt;AB3429,AB3430,"")</f>
        <v/>
      </c>
    </row>
    <row r="3431">
      <c r="W3431" s="7" t="n"/>
      <c r="X3431" s="7" t="n"/>
      <c r="Z3431">
        <f>Z3430+IF(W3431="",0,IF(ISNA(MATCH(W3431,W$256:W3430,0)),1,0))</f>
        <v/>
      </c>
      <c r="AA3431">
        <f>IF(Z3431&gt;Z3430,Z3431,"")</f>
        <v/>
      </c>
      <c r="AB3431">
        <f>AB3430+IF(X3431="",0,IF(ISNA(MATCH(X3431,X$256:X3430,0)),1,0))</f>
        <v/>
      </c>
      <c r="AC3431">
        <f>IF(AB3431&gt;AB3430,AB3431,"")</f>
        <v/>
      </c>
    </row>
    <row r="3432">
      <c r="W3432" s="7" t="n"/>
      <c r="X3432" s="7" t="n"/>
      <c r="Z3432">
        <f>Z3431+IF(W3432="",0,IF(ISNA(MATCH(W3432,W$256:W3431,0)),1,0))</f>
        <v/>
      </c>
      <c r="AA3432">
        <f>IF(Z3432&gt;Z3431,Z3432,"")</f>
        <v/>
      </c>
      <c r="AB3432">
        <f>AB3431+IF(X3432="",0,IF(ISNA(MATCH(X3432,X$256:X3431,0)),1,0))</f>
        <v/>
      </c>
      <c r="AC3432">
        <f>IF(AB3432&gt;AB3431,AB3432,"")</f>
        <v/>
      </c>
    </row>
    <row r="3433">
      <c r="W3433" s="7" t="n"/>
      <c r="X3433" s="7" t="n"/>
      <c r="Z3433">
        <f>Z3432+IF(W3433="",0,IF(ISNA(MATCH(W3433,W$256:W3432,0)),1,0))</f>
        <v/>
      </c>
      <c r="AA3433">
        <f>IF(Z3433&gt;Z3432,Z3433,"")</f>
        <v/>
      </c>
      <c r="AB3433">
        <f>AB3432+IF(X3433="",0,IF(ISNA(MATCH(X3433,X$256:X3432,0)),1,0))</f>
        <v/>
      </c>
      <c r="AC3433">
        <f>IF(AB3433&gt;AB3432,AB3433,"")</f>
        <v/>
      </c>
    </row>
    <row r="3434">
      <c r="W3434" s="7" t="n"/>
      <c r="X3434" s="7" t="n"/>
      <c r="Z3434">
        <f>Z3433+IF(W3434="",0,IF(ISNA(MATCH(W3434,W$256:W3433,0)),1,0))</f>
        <v/>
      </c>
      <c r="AA3434">
        <f>IF(Z3434&gt;Z3433,Z3434,"")</f>
        <v/>
      </c>
      <c r="AB3434">
        <f>AB3433+IF(X3434="",0,IF(ISNA(MATCH(X3434,X$256:X3433,0)),1,0))</f>
        <v/>
      </c>
      <c r="AC3434">
        <f>IF(AB3434&gt;AB3433,AB3434,"")</f>
        <v/>
      </c>
    </row>
    <row r="3435">
      <c r="W3435" s="7" t="n"/>
      <c r="X3435" s="7" t="n"/>
      <c r="Z3435">
        <f>Z3434+IF(W3435="",0,IF(ISNA(MATCH(W3435,W$256:W3434,0)),1,0))</f>
        <v/>
      </c>
      <c r="AA3435">
        <f>IF(Z3435&gt;Z3434,Z3435,"")</f>
        <v/>
      </c>
      <c r="AB3435">
        <f>AB3434+IF(X3435="",0,IF(ISNA(MATCH(X3435,X$256:X3434,0)),1,0))</f>
        <v/>
      </c>
      <c r="AC3435">
        <f>IF(AB3435&gt;AB3434,AB3435,"")</f>
        <v/>
      </c>
    </row>
    <row r="3436">
      <c r="W3436" s="7" t="n"/>
      <c r="X3436" s="7" t="n"/>
      <c r="Z3436">
        <f>Z3435+IF(W3436="",0,IF(ISNA(MATCH(W3436,W$256:W3435,0)),1,0))</f>
        <v/>
      </c>
      <c r="AA3436">
        <f>IF(Z3436&gt;Z3435,Z3436,"")</f>
        <v/>
      </c>
      <c r="AB3436">
        <f>AB3435+IF(X3436="",0,IF(ISNA(MATCH(X3436,X$256:X3435,0)),1,0))</f>
        <v/>
      </c>
      <c r="AC3436">
        <f>IF(AB3436&gt;AB3435,AB3436,"")</f>
        <v/>
      </c>
    </row>
    <row r="3437">
      <c r="W3437" s="7" t="n"/>
      <c r="X3437" s="7" t="n"/>
      <c r="Z3437">
        <f>Z3436+IF(W3437="",0,IF(ISNA(MATCH(W3437,W$256:W3436,0)),1,0))</f>
        <v/>
      </c>
      <c r="AA3437">
        <f>IF(Z3437&gt;Z3436,Z3437,"")</f>
        <v/>
      </c>
      <c r="AB3437">
        <f>AB3436+IF(X3437="",0,IF(ISNA(MATCH(X3437,X$256:X3436,0)),1,0))</f>
        <v/>
      </c>
      <c r="AC3437">
        <f>IF(AB3437&gt;AB3436,AB3437,"")</f>
        <v/>
      </c>
    </row>
    <row r="3438">
      <c r="W3438" s="7" t="n"/>
      <c r="X3438" s="7" t="n"/>
      <c r="Z3438">
        <f>Z3437+IF(W3438="",0,IF(ISNA(MATCH(W3438,W$256:W3437,0)),1,0))</f>
        <v/>
      </c>
      <c r="AA3438">
        <f>IF(Z3438&gt;Z3437,Z3438,"")</f>
        <v/>
      </c>
      <c r="AB3438">
        <f>AB3437+IF(X3438="",0,IF(ISNA(MATCH(X3438,X$256:X3437,0)),1,0))</f>
        <v/>
      </c>
      <c r="AC3438">
        <f>IF(AB3438&gt;AB3437,AB3438,"")</f>
        <v/>
      </c>
    </row>
    <row r="3439">
      <c r="W3439" s="7" t="n"/>
      <c r="X3439" s="7" t="n"/>
      <c r="Z3439">
        <f>Z3438+IF(W3439="",0,IF(ISNA(MATCH(W3439,W$256:W3438,0)),1,0))</f>
        <v/>
      </c>
      <c r="AA3439">
        <f>IF(Z3439&gt;Z3438,Z3439,"")</f>
        <v/>
      </c>
      <c r="AB3439">
        <f>AB3438+IF(X3439="",0,IF(ISNA(MATCH(X3439,X$256:X3438,0)),1,0))</f>
        <v/>
      </c>
      <c r="AC3439">
        <f>IF(AB3439&gt;AB3438,AB3439,"")</f>
        <v/>
      </c>
    </row>
    <row r="3440">
      <c r="W3440" s="7" t="n"/>
      <c r="X3440" s="7" t="n"/>
      <c r="Z3440">
        <f>Z3439+IF(W3440="",0,IF(ISNA(MATCH(W3440,W$256:W3439,0)),1,0))</f>
        <v/>
      </c>
      <c r="AA3440">
        <f>IF(Z3440&gt;Z3439,Z3440,"")</f>
        <v/>
      </c>
      <c r="AB3440">
        <f>AB3439+IF(X3440="",0,IF(ISNA(MATCH(X3440,X$256:X3439,0)),1,0))</f>
        <v/>
      </c>
      <c r="AC3440">
        <f>IF(AB3440&gt;AB3439,AB3440,"")</f>
        <v/>
      </c>
    </row>
    <row r="3441">
      <c r="W3441" s="7" t="n"/>
      <c r="X3441" s="7" t="n"/>
      <c r="Z3441">
        <f>Z3440+IF(W3441="",0,IF(ISNA(MATCH(W3441,W$256:W3440,0)),1,0))</f>
        <v/>
      </c>
      <c r="AA3441">
        <f>IF(Z3441&gt;Z3440,Z3441,"")</f>
        <v/>
      </c>
      <c r="AB3441">
        <f>AB3440+IF(X3441="",0,IF(ISNA(MATCH(X3441,X$256:X3440,0)),1,0))</f>
        <v/>
      </c>
      <c r="AC3441">
        <f>IF(AB3441&gt;AB3440,AB3441,"")</f>
        <v/>
      </c>
    </row>
    <row r="3442">
      <c r="W3442" s="7" t="n"/>
      <c r="X3442" s="7" t="n"/>
      <c r="Z3442">
        <f>Z3441+IF(W3442="",0,IF(ISNA(MATCH(W3442,W$256:W3441,0)),1,0))</f>
        <v/>
      </c>
      <c r="AA3442">
        <f>IF(Z3442&gt;Z3441,Z3442,"")</f>
        <v/>
      </c>
      <c r="AB3442">
        <f>AB3441+IF(X3442="",0,IF(ISNA(MATCH(X3442,X$256:X3441,0)),1,0))</f>
        <v/>
      </c>
      <c r="AC3442">
        <f>IF(AB3442&gt;AB3441,AB3442,"")</f>
        <v/>
      </c>
    </row>
    <row r="3443">
      <c r="W3443" s="7" t="n"/>
      <c r="X3443" s="7" t="n"/>
      <c r="Z3443">
        <f>Z3442+IF(W3443="",0,IF(ISNA(MATCH(W3443,W$256:W3442,0)),1,0))</f>
        <v/>
      </c>
      <c r="AA3443">
        <f>IF(Z3443&gt;Z3442,Z3443,"")</f>
        <v/>
      </c>
      <c r="AB3443">
        <f>AB3442+IF(X3443="",0,IF(ISNA(MATCH(X3443,X$256:X3442,0)),1,0))</f>
        <v/>
      </c>
      <c r="AC3443">
        <f>IF(AB3443&gt;AB3442,AB3443,"")</f>
        <v/>
      </c>
    </row>
    <row r="3444">
      <c r="W3444" s="7" t="n"/>
      <c r="X3444" s="7" t="n"/>
      <c r="Z3444">
        <f>Z3443+IF(W3444="",0,IF(ISNA(MATCH(W3444,W$256:W3443,0)),1,0))</f>
        <v/>
      </c>
      <c r="AA3444">
        <f>IF(Z3444&gt;Z3443,Z3444,"")</f>
        <v/>
      </c>
      <c r="AB3444">
        <f>AB3443+IF(X3444="",0,IF(ISNA(MATCH(X3444,X$256:X3443,0)),1,0))</f>
        <v/>
      </c>
      <c r="AC3444">
        <f>IF(AB3444&gt;AB3443,AB3444,"")</f>
        <v/>
      </c>
    </row>
    <row r="3445">
      <c r="W3445" s="7" t="n"/>
      <c r="X3445" s="7" t="n"/>
      <c r="Z3445">
        <f>Z3444+IF(W3445="",0,IF(ISNA(MATCH(W3445,W$256:W3444,0)),1,0))</f>
        <v/>
      </c>
      <c r="AA3445">
        <f>IF(Z3445&gt;Z3444,Z3445,"")</f>
        <v/>
      </c>
      <c r="AB3445">
        <f>AB3444+IF(X3445="",0,IF(ISNA(MATCH(X3445,X$256:X3444,0)),1,0))</f>
        <v/>
      </c>
      <c r="AC3445">
        <f>IF(AB3445&gt;AB3444,AB3445,"")</f>
        <v/>
      </c>
    </row>
    <row r="3446">
      <c r="W3446" s="7" t="n"/>
      <c r="X3446" s="7" t="n"/>
      <c r="Z3446">
        <f>Z3445+IF(W3446="",0,IF(ISNA(MATCH(W3446,W$256:W3445,0)),1,0))</f>
        <v/>
      </c>
      <c r="AA3446">
        <f>IF(Z3446&gt;Z3445,Z3446,"")</f>
        <v/>
      </c>
      <c r="AB3446">
        <f>AB3445+IF(X3446="",0,IF(ISNA(MATCH(X3446,X$256:X3445,0)),1,0))</f>
        <v/>
      </c>
      <c r="AC3446">
        <f>IF(AB3446&gt;AB3445,AB3446,"")</f>
        <v/>
      </c>
    </row>
    <row r="3447">
      <c r="W3447" s="7" t="n"/>
      <c r="X3447" s="7" t="n"/>
      <c r="Z3447">
        <f>Z3446+IF(W3447="",0,IF(ISNA(MATCH(W3447,W$256:W3446,0)),1,0))</f>
        <v/>
      </c>
      <c r="AA3447">
        <f>IF(Z3447&gt;Z3446,Z3447,"")</f>
        <v/>
      </c>
      <c r="AB3447">
        <f>AB3446+IF(X3447="",0,IF(ISNA(MATCH(X3447,X$256:X3446,0)),1,0))</f>
        <v/>
      </c>
      <c r="AC3447">
        <f>IF(AB3447&gt;AB3446,AB3447,"")</f>
        <v/>
      </c>
    </row>
    <row r="3448">
      <c r="W3448" s="7" t="n"/>
      <c r="X3448" s="7" t="n"/>
      <c r="Z3448">
        <f>Z3447+IF(W3448="",0,IF(ISNA(MATCH(W3448,W$256:W3447,0)),1,0))</f>
        <v/>
      </c>
      <c r="AA3448">
        <f>IF(Z3448&gt;Z3447,Z3448,"")</f>
        <v/>
      </c>
      <c r="AB3448">
        <f>AB3447+IF(X3448="",0,IF(ISNA(MATCH(X3448,X$256:X3447,0)),1,0))</f>
        <v/>
      </c>
      <c r="AC3448">
        <f>IF(AB3448&gt;AB3447,AB3448,"")</f>
        <v/>
      </c>
    </row>
    <row r="3449">
      <c r="W3449" s="7" t="n"/>
      <c r="X3449" s="7" t="n"/>
      <c r="Z3449">
        <f>Z3448+IF(W3449="",0,IF(ISNA(MATCH(W3449,W$256:W3448,0)),1,0))</f>
        <v/>
      </c>
      <c r="AA3449">
        <f>IF(Z3449&gt;Z3448,Z3449,"")</f>
        <v/>
      </c>
      <c r="AB3449">
        <f>AB3448+IF(X3449="",0,IF(ISNA(MATCH(X3449,X$256:X3448,0)),1,0))</f>
        <v/>
      </c>
      <c r="AC3449">
        <f>IF(AB3449&gt;AB3448,AB3449,"")</f>
        <v/>
      </c>
    </row>
    <row r="3450">
      <c r="W3450" s="7" t="n"/>
      <c r="X3450" s="7" t="n"/>
      <c r="Z3450">
        <f>Z3449+IF(W3450="",0,IF(ISNA(MATCH(W3450,W$256:W3449,0)),1,0))</f>
        <v/>
      </c>
      <c r="AA3450">
        <f>IF(Z3450&gt;Z3449,Z3450,"")</f>
        <v/>
      </c>
      <c r="AB3450">
        <f>AB3449+IF(X3450="",0,IF(ISNA(MATCH(X3450,X$256:X3449,0)),1,0))</f>
        <v/>
      </c>
      <c r="AC3450">
        <f>IF(AB3450&gt;AB3449,AB3450,"")</f>
        <v/>
      </c>
    </row>
    <row r="3451">
      <c r="W3451" s="7" t="n"/>
      <c r="X3451" s="7" t="n"/>
      <c r="Z3451">
        <f>Z3450+IF(W3451="",0,IF(ISNA(MATCH(W3451,W$256:W3450,0)),1,0))</f>
        <v/>
      </c>
      <c r="AA3451">
        <f>IF(Z3451&gt;Z3450,Z3451,"")</f>
        <v/>
      </c>
      <c r="AB3451">
        <f>AB3450+IF(X3451="",0,IF(ISNA(MATCH(X3451,X$256:X3450,0)),1,0))</f>
        <v/>
      </c>
      <c r="AC3451">
        <f>IF(AB3451&gt;AB3450,AB3451,"")</f>
        <v/>
      </c>
    </row>
    <row r="3452">
      <c r="W3452" s="7" t="n"/>
      <c r="X3452" s="7" t="n"/>
      <c r="Z3452">
        <f>Z3451+IF(W3452="",0,IF(ISNA(MATCH(W3452,W$256:W3451,0)),1,0))</f>
        <v/>
      </c>
      <c r="AA3452">
        <f>IF(Z3452&gt;Z3451,Z3452,"")</f>
        <v/>
      </c>
      <c r="AB3452">
        <f>AB3451+IF(X3452="",0,IF(ISNA(MATCH(X3452,X$256:X3451,0)),1,0))</f>
        <v/>
      </c>
      <c r="AC3452">
        <f>IF(AB3452&gt;AB3451,AB3452,"")</f>
        <v/>
      </c>
    </row>
    <row r="3453">
      <c r="W3453" s="7" t="n"/>
      <c r="X3453" s="7" t="n"/>
      <c r="Z3453">
        <f>Z3452+IF(W3453="",0,IF(ISNA(MATCH(W3453,W$256:W3452,0)),1,0))</f>
        <v/>
      </c>
      <c r="AA3453">
        <f>IF(Z3453&gt;Z3452,Z3453,"")</f>
        <v/>
      </c>
      <c r="AB3453">
        <f>AB3452+IF(X3453="",0,IF(ISNA(MATCH(X3453,X$256:X3452,0)),1,0))</f>
        <v/>
      </c>
      <c r="AC3453">
        <f>IF(AB3453&gt;AB3452,AB3453,"")</f>
        <v/>
      </c>
    </row>
    <row r="3454">
      <c r="W3454" s="7" t="n"/>
      <c r="X3454" s="7" t="n"/>
      <c r="Z3454">
        <f>Z3453+IF(W3454="",0,IF(ISNA(MATCH(W3454,W$256:W3453,0)),1,0))</f>
        <v/>
      </c>
      <c r="AA3454">
        <f>IF(Z3454&gt;Z3453,Z3454,"")</f>
        <v/>
      </c>
      <c r="AB3454">
        <f>AB3453+IF(X3454="",0,IF(ISNA(MATCH(X3454,X$256:X3453,0)),1,0))</f>
        <v/>
      </c>
      <c r="AC3454">
        <f>IF(AB3454&gt;AB3453,AB3454,"")</f>
        <v/>
      </c>
    </row>
    <row r="3455">
      <c r="W3455" s="7" t="n"/>
      <c r="X3455" s="7" t="n"/>
      <c r="Z3455">
        <f>Z3454+IF(W3455="",0,IF(ISNA(MATCH(W3455,W$256:W3454,0)),1,0))</f>
        <v/>
      </c>
      <c r="AA3455">
        <f>IF(Z3455&gt;Z3454,Z3455,"")</f>
        <v/>
      </c>
      <c r="AB3455">
        <f>AB3454+IF(X3455="",0,IF(ISNA(MATCH(X3455,X$256:X3454,0)),1,0))</f>
        <v/>
      </c>
      <c r="AC3455">
        <f>IF(AB3455&gt;AB3454,AB3455,"")</f>
        <v/>
      </c>
    </row>
    <row r="3456">
      <c r="W3456" s="7" t="n"/>
      <c r="X3456" s="7" t="n"/>
      <c r="Z3456">
        <f>Z3455+IF(W3456="",0,IF(ISNA(MATCH(W3456,W$256:W3455,0)),1,0))</f>
        <v/>
      </c>
      <c r="AA3456">
        <f>IF(Z3456&gt;Z3455,Z3456,"")</f>
        <v/>
      </c>
      <c r="AB3456">
        <f>AB3455+IF(X3456="",0,IF(ISNA(MATCH(X3456,X$256:X3455,0)),1,0))</f>
        <v/>
      </c>
      <c r="AC3456">
        <f>IF(AB3456&gt;AB3455,AB3456,"")</f>
        <v/>
      </c>
    </row>
    <row r="3457">
      <c r="W3457" s="7" t="n"/>
      <c r="X3457" s="7" t="n"/>
      <c r="Z3457">
        <f>Z3456+IF(W3457="",0,IF(ISNA(MATCH(W3457,W$256:W3456,0)),1,0))</f>
        <v/>
      </c>
      <c r="AA3457">
        <f>IF(Z3457&gt;Z3456,Z3457,"")</f>
        <v/>
      </c>
      <c r="AB3457">
        <f>AB3456+IF(X3457="",0,IF(ISNA(MATCH(X3457,X$256:X3456,0)),1,0))</f>
        <v/>
      </c>
      <c r="AC3457">
        <f>IF(AB3457&gt;AB3456,AB3457,"")</f>
        <v/>
      </c>
    </row>
    <row r="3458">
      <c r="W3458" s="7" t="n"/>
      <c r="X3458" s="7" t="n"/>
      <c r="Z3458">
        <f>Z3457+IF(W3458="",0,IF(ISNA(MATCH(W3458,W$256:W3457,0)),1,0))</f>
        <v/>
      </c>
      <c r="AA3458">
        <f>IF(Z3458&gt;Z3457,Z3458,"")</f>
        <v/>
      </c>
      <c r="AB3458">
        <f>AB3457+IF(X3458="",0,IF(ISNA(MATCH(X3458,X$256:X3457,0)),1,0))</f>
        <v/>
      </c>
      <c r="AC3458">
        <f>IF(AB3458&gt;AB3457,AB3458,"")</f>
        <v/>
      </c>
    </row>
    <row r="3459">
      <c r="W3459" s="7" t="n"/>
      <c r="X3459" s="7" t="n"/>
      <c r="Z3459">
        <f>Z3458+IF(W3459="",0,IF(ISNA(MATCH(W3459,W$256:W3458,0)),1,0))</f>
        <v/>
      </c>
      <c r="AA3459">
        <f>IF(Z3459&gt;Z3458,Z3459,"")</f>
        <v/>
      </c>
      <c r="AB3459">
        <f>AB3458+IF(X3459="",0,IF(ISNA(MATCH(X3459,X$256:X3458,0)),1,0))</f>
        <v/>
      </c>
      <c r="AC3459">
        <f>IF(AB3459&gt;AB3458,AB3459,"")</f>
        <v/>
      </c>
    </row>
    <row r="3460">
      <c r="W3460" s="7" t="n"/>
      <c r="X3460" s="7" t="n"/>
      <c r="Z3460">
        <f>Z3459+IF(W3460="",0,IF(ISNA(MATCH(W3460,W$256:W3459,0)),1,0))</f>
        <v/>
      </c>
      <c r="AA3460">
        <f>IF(Z3460&gt;Z3459,Z3460,"")</f>
        <v/>
      </c>
      <c r="AB3460">
        <f>AB3459+IF(X3460="",0,IF(ISNA(MATCH(X3460,X$256:X3459,0)),1,0))</f>
        <v/>
      </c>
      <c r="AC3460">
        <f>IF(AB3460&gt;AB3459,AB3460,"")</f>
        <v/>
      </c>
    </row>
    <row r="3461">
      <c r="W3461" s="7" t="n"/>
      <c r="X3461" s="7" t="n"/>
      <c r="Z3461">
        <f>Z3460+IF(W3461="",0,IF(ISNA(MATCH(W3461,W$256:W3460,0)),1,0))</f>
        <v/>
      </c>
      <c r="AA3461">
        <f>IF(Z3461&gt;Z3460,Z3461,"")</f>
        <v/>
      </c>
      <c r="AB3461">
        <f>AB3460+IF(X3461="",0,IF(ISNA(MATCH(X3461,X$256:X3460,0)),1,0))</f>
        <v/>
      </c>
      <c r="AC3461">
        <f>IF(AB3461&gt;AB3460,AB3461,"")</f>
        <v/>
      </c>
    </row>
    <row r="3462">
      <c r="W3462" s="7" t="n"/>
      <c r="X3462" s="7" t="n"/>
      <c r="Z3462">
        <f>Z3461+IF(W3462="",0,IF(ISNA(MATCH(W3462,W$256:W3461,0)),1,0))</f>
        <v/>
      </c>
      <c r="AA3462">
        <f>IF(Z3462&gt;Z3461,Z3462,"")</f>
        <v/>
      </c>
      <c r="AB3462">
        <f>AB3461+IF(X3462="",0,IF(ISNA(MATCH(X3462,X$256:X3461,0)),1,0))</f>
        <v/>
      </c>
      <c r="AC3462">
        <f>IF(AB3462&gt;AB3461,AB3462,"")</f>
        <v/>
      </c>
    </row>
    <row r="3463">
      <c r="W3463" s="7" t="n"/>
      <c r="X3463" s="7" t="n"/>
      <c r="Z3463">
        <f>Z3462+IF(W3463="",0,IF(ISNA(MATCH(W3463,W$256:W3462,0)),1,0))</f>
        <v/>
      </c>
      <c r="AA3463">
        <f>IF(Z3463&gt;Z3462,Z3463,"")</f>
        <v/>
      </c>
      <c r="AB3463">
        <f>AB3462+IF(X3463="",0,IF(ISNA(MATCH(X3463,X$256:X3462,0)),1,0))</f>
        <v/>
      </c>
      <c r="AC3463">
        <f>IF(AB3463&gt;AB3462,AB3463,"")</f>
        <v/>
      </c>
    </row>
    <row r="3464">
      <c r="W3464" s="7" t="n"/>
      <c r="X3464" s="7" t="n"/>
      <c r="Z3464">
        <f>Z3463+IF(W3464="",0,IF(ISNA(MATCH(W3464,W$256:W3463,0)),1,0))</f>
        <v/>
      </c>
      <c r="AA3464">
        <f>IF(Z3464&gt;Z3463,Z3464,"")</f>
        <v/>
      </c>
      <c r="AB3464">
        <f>AB3463+IF(X3464="",0,IF(ISNA(MATCH(X3464,X$256:X3463,0)),1,0))</f>
        <v/>
      </c>
      <c r="AC3464">
        <f>IF(AB3464&gt;AB3463,AB3464,"")</f>
        <v/>
      </c>
    </row>
    <row r="3465">
      <c r="W3465" s="7" t="n"/>
      <c r="X3465" s="7" t="n"/>
      <c r="Z3465">
        <f>Z3464+IF(W3465="",0,IF(ISNA(MATCH(W3465,W$256:W3464,0)),1,0))</f>
        <v/>
      </c>
      <c r="AA3465">
        <f>IF(Z3465&gt;Z3464,Z3465,"")</f>
        <v/>
      </c>
      <c r="AB3465">
        <f>AB3464+IF(X3465="",0,IF(ISNA(MATCH(X3465,X$256:X3464,0)),1,0))</f>
        <v/>
      </c>
      <c r="AC3465">
        <f>IF(AB3465&gt;AB3464,AB3465,"")</f>
        <v/>
      </c>
    </row>
    <row r="3466">
      <c r="W3466" s="7" t="n"/>
      <c r="X3466" s="7" t="n"/>
      <c r="Z3466">
        <f>Z3465+IF(W3466="",0,IF(ISNA(MATCH(W3466,W$256:W3465,0)),1,0))</f>
        <v/>
      </c>
      <c r="AA3466">
        <f>IF(Z3466&gt;Z3465,Z3466,"")</f>
        <v/>
      </c>
      <c r="AB3466">
        <f>AB3465+IF(X3466="",0,IF(ISNA(MATCH(X3466,X$256:X3465,0)),1,0))</f>
        <v/>
      </c>
      <c r="AC3466">
        <f>IF(AB3466&gt;AB3465,AB3466,"")</f>
        <v/>
      </c>
    </row>
    <row r="3467">
      <c r="W3467" s="7" t="n"/>
      <c r="X3467" s="7" t="n"/>
      <c r="Z3467">
        <f>Z3466+IF(W3467="",0,IF(ISNA(MATCH(W3467,W$256:W3466,0)),1,0))</f>
        <v/>
      </c>
      <c r="AA3467">
        <f>IF(Z3467&gt;Z3466,Z3467,"")</f>
        <v/>
      </c>
      <c r="AB3467">
        <f>AB3466+IF(X3467="",0,IF(ISNA(MATCH(X3467,X$256:X3466,0)),1,0))</f>
        <v/>
      </c>
      <c r="AC3467">
        <f>IF(AB3467&gt;AB3466,AB3467,"")</f>
        <v/>
      </c>
    </row>
    <row r="3468">
      <c r="W3468" s="7" t="n"/>
      <c r="X3468" s="7" t="n"/>
      <c r="Z3468">
        <f>Z3467+IF(W3468="",0,IF(ISNA(MATCH(W3468,W$256:W3467,0)),1,0))</f>
        <v/>
      </c>
      <c r="AA3468">
        <f>IF(Z3468&gt;Z3467,Z3468,"")</f>
        <v/>
      </c>
      <c r="AB3468">
        <f>AB3467+IF(X3468="",0,IF(ISNA(MATCH(X3468,X$256:X3467,0)),1,0))</f>
        <v/>
      </c>
      <c r="AC3468">
        <f>IF(AB3468&gt;AB3467,AB3468,"")</f>
        <v/>
      </c>
    </row>
    <row r="3469">
      <c r="W3469" s="7" t="n"/>
      <c r="X3469" s="7" t="n"/>
      <c r="Z3469">
        <f>Z3468+IF(W3469="",0,IF(ISNA(MATCH(W3469,W$256:W3468,0)),1,0))</f>
        <v/>
      </c>
      <c r="AA3469">
        <f>IF(Z3469&gt;Z3468,Z3469,"")</f>
        <v/>
      </c>
      <c r="AB3469">
        <f>AB3468+IF(X3469="",0,IF(ISNA(MATCH(X3469,X$256:X3468,0)),1,0))</f>
        <v/>
      </c>
      <c r="AC3469">
        <f>IF(AB3469&gt;AB3468,AB3469,"")</f>
        <v/>
      </c>
    </row>
    <row r="3470">
      <c r="W3470" s="7" t="n"/>
      <c r="X3470" s="7" t="n"/>
      <c r="Z3470">
        <f>Z3469+IF(W3470="",0,IF(ISNA(MATCH(W3470,W$256:W3469,0)),1,0))</f>
        <v/>
      </c>
      <c r="AA3470">
        <f>IF(Z3470&gt;Z3469,Z3470,"")</f>
        <v/>
      </c>
      <c r="AB3470">
        <f>AB3469+IF(X3470="",0,IF(ISNA(MATCH(X3470,X$256:X3469,0)),1,0))</f>
        <v/>
      </c>
      <c r="AC3470">
        <f>IF(AB3470&gt;AB3469,AB3470,"")</f>
        <v/>
      </c>
    </row>
    <row r="3471">
      <c r="W3471" s="7" t="n"/>
      <c r="X3471" s="7" t="n"/>
      <c r="Z3471">
        <f>Z3470+IF(W3471="",0,IF(ISNA(MATCH(W3471,W$256:W3470,0)),1,0))</f>
        <v/>
      </c>
      <c r="AA3471">
        <f>IF(Z3471&gt;Z3470,Z3471,"")</f>
        <v/>
      </c>
      <c r="AB3471">
        <f>AB3470+IF(X3471="",0,IF(ISNA(MATCH(X3471,X$256:X3470,0)),1,0))</f>
        <v/>
      </c>
      <c r="AC3471">
        <f>IF(AB3471&gt;AB3470,AB3471,"")</f>
        <v/>
      </c>
    </row>
    <row r="3472">
      <c r="W3472" s="7" t="n"/>
      <c r="X3472" s="7" t="n"/>
      <c r="Z3472">
        <f>Z3471+IF(W3472="",0,IF(ISNA(MATCH(W3472,W$256:W3471,0)),1,0))</f>
        <v/>
      </c>
      <c r="AA3472">
        <f>IF(Z3472&gt;Z3471,Z3472,"")</f>
        <v/>
      </c>
      <c r="AB3472">
        <f>AB3471+IF(X3472="",0,IF(ISNA(MATCH(X3472,X$256:X3471,0)),1,0))</f>
        <v/>
      </c>
      <c r="AC3472">
        <f>IF(AB3472&gt;AB3471,AB3472,"")</f>
        <v/>
      </c>
    </row>
    <row r="3473">
      <c r="W3473" s="7" t="n"/>
      <c r="X3473" s="7" t="n"/>
      <c r="Z3473">
        <f>Z3472+IF(W3473="",0,IF(ISNA(MATCH(W3473,W$256:W3472,0)),1,0))</f>
        <v/>
      </c>
      <c r="AA3473">
        <f>IF(Z3473&gt;Z3472,Z3473,"")</f>
        <v/>
      </c>
      <c r="AB3473">
        <f>AB3472+IF(X3473="",0,IF(ISNA(MATCH(X3473,X$256:X3472,0)),1,0))</f>
        <v/>
      </c>
      <c r="AC3473">
        <f>IF(AB3473&gt;AB3472,AB3473,"")</f>
        <v/>
      </c>
    </row>
    <row r="3474">
      <c r="W3474" s="7" t="n"/>
      <c r="X3474" s="7" t="n"/>
      <c r="Z3474">
        <f>Z3473+IF(W3474="",0,IF(ISNA(MATCH(W3474,W$256:W3473,0)),1,0))</f>
        <v/>
      </c>
      <c r="AA3474">
        <f>IF(Z3474&gt;Z3473,Z3474,"")</f>
        <v/>
      </c>
      <c r="AB3474">
        <f>AB3473+IF(X3474="",0,IF(ISNA(MATCH(X3474,X$256:X3473,0)),1,0))</f>
        <v/>
      </c>
      <c r="AC3474">
        <f>IF(AB3474&gt;AB3473,AB3474,"")</f>
        <v/>
      </c>
    </row>
    <row r="3475">
      <c r="W3475" s="7" t="n"/>
      <c r="X3475" s="7" t="n"/>
      <c r="Z3475">
        <f>Z3474+IF(W3475="",0,IF(ISNA(MATCH(W3475,W$256:W3474,0)),1,0))</f>
        <v/>
      </c>
      <c r="AA3475">
        <f>IF(Z3475&gt;Z3474,Z3475,"")</f>
        <v/>
      </c>
      <c r="AB3475">
        <f>AB3474+IF(X3475="",0,IF(ISNA(MATCH(X3475,X$256:X3474,0)),1,0))</f>
        <v/>
      </c>
      <c r="AC3475">
        <f>IF(AB3475&gt;AB3474,AB3475,"")</f>
        <v/>
      </c>
    </row>
    <row r="3476">
      <c r="W3476" s="7" t="n"/>
      <c r="X3476" s="7" t="n"/>
      <c r="Z3476">
        <f>Z3475+IF(W3476="",0,IF(ISNA(MATCH(W3476,W$256:W3475,0)),1,0))</f>
        <v/>
      </c>
      <c r="AA3476">
        <f>IF(Z3476&gt;Z3475,Z3476,"")</f>
        <v/>
      </c>
      <c r="AB3476">
        <f>AB3475+IF(X3476="",0,IF(ISNA(MATCH(X3476,X$256:X3475,0)),1,0))</f>
        <v/>
      </c>
      <c r="AC3476">
        <f>IF(AB3476&gt;AB3475,AB3476,"")</f>
        <v/>
      </c>
    </row>
    <row r="3477">
      <c r="W3477" s="7" t="n"/>
      <c r="X3477" s="7" t="n"/>
      <c r="Z3477">
        <f>Z3476+IF(W3477="",0,IF(ISNA(MATCH(W3477,W$256:W3476,0)),1,0))</f>
        <v/>
      </c>
      <c r="AA3477">
        <f>IF(Z3477&gt;Z3476,Z3477,"")</f>
        <v/>
      </c>
      <c r="AB3477">
        <f>AB3476+IF(X3477="",0,IF(ISNA(MATCH(X3477,X$256:X3476,0)),1,0))</f>
        <v/>
      </c>
      <c r="AC3477">
        <f>IF(AB3477&gt;AB3476,AB3477,"")</f>
        <v/>
      </c>
    </row>
    <row r="3478">
      <c r="W3478" s="7" t="n"/>
      <c r="X3478" s="7" t="n"/>
      <c r="Z3478">
        <f>Z3477+IF(W3478="",0,IF(ISNA(MATCH(W3478,W$256:W3477,0)),1,0))</f>
        <v/>
      </c>
      <c r="AA3478">
        <f>IF(Z3478&gt;Z3477,Z3478,"")</f>
        <v/>
      </c>
      <c r="AB3478">
        <f>AB3477+IF(X3478="",0,IF(ISNA(MATCH(X3478,X$256:X3477,0)),1,0))</f>
        <v/>
      </c>
      <c r="AC3478">
        <f>IF(AB3478&gt;AB3477,AB3478,"")</f>
        <v/>
      </c>
    </row>
    <row r="3479">
      <c r="W3479" s="7" t="n"/>
      <c r="X3479" s="7" t="n"/>
      <c r="Z3479">
        <f>Z3478+IF(W3479="",0,IF(ISNA(MATCH(W3479,W$256:W3478,0)),1,0))</f>
        <v/>
      </c>
      <c r="AA3479">
        <f>IF(Z3479&gt;Z3478,Z3479,"")</f>
        <v/>
      </c>
      <c r="AB3479">
        <f>AB3478+IF(X3479="",0,IF(ISNA(MATCH(X3479,X$256:X3478,0)),1,0))</f>
        <v/>
      </c>
      <c r="AC3479">
        <f>IF(AB3479&gt;AB3478,AB3479,"")</f>
        <v/>
      </c>
    </row>
    <row r="3480">
      <c r="W3480" s="7" t="n"/>
      <c r="X3480" s="7" t="n"/>
      <c r="Z3480">
        <f>Z3479+IF(W3480="",0,IF(ISNA(MATCH(W3480,W$256:W3479,0)),1,0))</f>
        <v/>
      </c>
      <c r="AA3480">
        <f>IF(Z3480&gt;Z3479,Z3480,"")</f>
        <v/>
      </c>
      <c r="AB3480">
        <f>AB3479+IF(X3480="",0,IF(ISNA(MATCH(X3480,X$256:X3479,0)),1,0))</f>
        <v/>
      </c>
      <c r="AC3480">
        <f>IF(AB3480&gt;AB3479,AB3480,"")</f>
        <v/>
      </c>
    </row>
    <row r="3481">
      <c r="W3481" s="7" t="n"/>
      <c r="X3481" s="7" t="n"/>
      <c r="Z3481">
        <f>Z3480+IF(W3481="",0,IF(ISNA(MATCH(W3481,W$256:W3480,0)),1,0))</f>
        <v/>
      </c>
      <c r="AA3481">
        <f>IF(Z3481&gt;Z3480,Z3481,"")</f>
        <v/>
      </c>
      <c r="AB3481">
        <f>AB3480+IF(X3481="",0,IF(ISNA(MATCH(X3481,X$256:X3480,0)),1,0))</f>
        <v/>
      </c>
      <c r="AC3481">
        <f>IF(AB3481&gt;AB3480,AB3481,"")</f>
        <v/>
      </c>
    </row>
    <row r="3482">
      <c r="W3482" s="7" t="n"/>
      <c r="X3482" s="7" t="n"/>
      <c r="Z3482">
        <f>Z3481+IF(W3482="",0,IF(ISNA(MATCH(W3482,W$256:W3481,0)),1,0))</f>
        <v/>
      </c>
      <c r="AA3482">
        <f>IF(Z3482&gt;Z3481,Z3482,"")</f>
        <v/>
      </c>
      <c r="AB3482">
        <f>AB3481+IF(X3482="",0,IF(ISNA(MATCH(X3482,X$256:X3481,0)),1,0))</f>
        <v/>
      </c>
      <c r="AC3482">
        <f>IF(AB3482&gt;AB3481,AB3482,"")</f>
        <v/>
      </c>
    </row>
    <row r="3483">
      <c r="W3483" s="7" t="n"/>
      <c r="X3483" s="7" t="n"/>
      <c r="Z3483">
        <f>Z3482+IF(W3483="",0,IF(ISNA(MATCH(W3483,W$256:W3482,0)),1,0))</f>
        <v/>
      </c>
      <c r="AA3483">
        <f>IF(Z3483&gt;Z3482,Z3483,"")</f>
        <v/>
      </c>
      <c r="AB3483">
        <f>AB3482+IF(X3483="",0,IF(ISNA(MATCH(X3483,X$256:X3482,0)),1,0))</f>
        <v/>
      </c>
      <c r="AC3483">
        <f>IF(AB3483&gt;AB3482,AB3483,"")</f>
        <v/>
      </c>
    </row>
    <row r="3484">
      <c r="W3484" s="7" t="n"/>
      <c r="X3484" s="7" t="n"/>
      <c r="Z3484">
        <f>Z3483+IF(W3484="",0,IF(ISNA(MATCH(W3484,W$256:W3483,0)),1,0))</f>
        <v/>
      </c>
      <c r="AA3484">
        <f>IF(Z3484&gt;Z3483,Z3484,"")</f>
        <v/>
      </c>
      <c r="AB3484">
        <f>AB3483+IF(X3484="",0,IF(ISNA(MATCH(X3484,X$256:X3483,0)),1,0))</f>
        <v/>
      </c>
      <c r="AC3484">
        <f>IF(AB3484&gt;AB3483,AB3484,"")</f>
        <v/>
      </c>
    </row>
    <row r="3485">
      <c r="W3485" s="7" t="n"/>
      <c r="X3485" s="7" t="n"/>
      <c r="Z3485">
        <f>Z3484+IF(W3485="",0,IF(ISNA(MATCH(W3485,W$256:W3484,0)),1,0))</f>
        <v/>
      </c>
      <c r="AA3485">
        <f>IF(Z3485&gt;Z3484,Z3485,"")</f>
        <v/>
      </c>
      <c r="AB3485">
        <f>AB3484+IF(X3485="",0,IF(ISNA(MATCH(X3485,X$256:X3484,0)),1,0))</f>
        <v/>
      </c>
      <c r="AC3485">
        <f>IF(AB3485&gt;AB3484,AB3485,"")</f>
        <v/>
      </c>
    </row>
    <row r="3486">
      <c r="W3486" s="7" t="n"/>
      <c r="X3486" s="7" t="n"/>
      <c r="Z3486">
        <f>Z3485+IF(W3486="",0,IF(ISNA(MATCH(W3486,W$256:W3485,0)),1,0))</f>
        <v/>
      </c>
      <c r="AA3486">
        <f>IF(Z3486&gt;Z3485,Z3486,"")</f>
        <v/>
      </c>
      <c r="AB3486">
        <f>AB3485+IF(X3486="",0,IF(ISNA(MATCH(X3486,X$256:X3485,0)),1,0))</f>
        <v/>
      </c>
      <c r="AC3486">
        <f>IF(AB3486&gt;AB3485,AB3486,"")</f>
        <v/>
      </c>
    </row>
    <row r="3487">
      <c r="W3487" s="7" t="n"/>
      <c r="X3487" s="7" t="n"/>
      <c r="Z3487">
        <f>Z3486+IF(W3487="",0,IF(ISNA(MATCH(W3487,W$256:W3486,0)),1,0))</f>
        <v/>
      </c>
      <c r="AA3487">
        <f>IF(Z3487&gt;Z3486,Z3487,"")</f>
        <v/>
      </c>
      <c r="AB3487">
        <f>AB3486+IF(X3487="",0,IF(ISNA(MATCH(X3487,X$256:X3486,0)),1,0))</f>
        <v/>
      </c>
      <c r="AC3487">
        <f>IF(AB3487&gt;AB3486,AB3487,"")</f>
        <v/>
      </c>
    </row>
    <row r="3488">
      <c r="W3488" s="7" t="n"/>
      <c r="X3488" s="7" t="n"/>
      <c r="Z3488">
        <f>Z3487+IF(W3488="",0,IF(ISNA(MATCH(W3488,W$256:W3487,0)),1,0))</f>
        <v/>
      </c>
      <c r="AA3488">
        <f>IF(Z3488&gt;Z3487,Z3488,"")</f>
        <v/>
      </c>
      <c r="AB3488">
        <f>AB3487+IF(X3488="",0,IF(ISNA(MATCH(X3488,X$256:X3487,0)),1,0))</f>
        <v/>
      </c>
      <c r="AC3488">
        <f>IF(AB3488&gt;AB3487,AB3488,"")</f>
        <v/>
      </c>
    </row>
    <row r="3489">
      <c r="W3489" s="7" t="n"/>
      <c r="X3489" s="7" t="n"/>
      <c r="Z3489">
        <f>Z3488+IF(W3489="",0,IF(ISNA(MATCH(W3489,W$256:W3488,0)),1,0))</f>
        <v/>
      </c>
      <c r="AA3489">
        <f>IF(Z3489&gt;Z3488,Z3489,"")</f>
        <v/>
      </c>
      <c r="AB3489">
        <f>AB3488+IF(X3489="",0,IF(ISNA(MATCH(X3489,X$256:X3488,0)),1,0))</f>
        <v/>
      </c>
      <c r="AC3489">
        <f>IF(AB3489&gt;AB3488,AB3489,"")</f>
        <v/>
      </c>
    </row>
    <row r="3490">
      <c r="W3490" s="7" t="n"/>
      <c r="X3490" s="7" t="n"/>
      <c r="Z3490">
        <f>Z3489+IF(W3490="",0,IF(ISNA(MATCH(W3490,W$256:W3489,0)),1,0))</f>
        <v/>
      </c>
      <c r="AA3490">
        <f>IF(Z3490&gt;Z3489,Z3490,"")</f>
        <v/>
      </c>
      <c r="AB3490">
        <f>AB3489+IF(X3490="",0,IF(ISNA(MATCH(X3490,X$256:X3489,0)),1,0))</f>
        <v/>
      </c>
      <c r="AC3490">
        <f>IF(AB3490&gt;AB3489,AB3490,"")</f>
        <v/>
      </c>
    </row>
    <row r="3491">
      <c r="W3491" s="7" t="n"/>
      <c r="X3491" s="7" t="n"/>
      <c r="Z3491">
        <f>Z3490+IF(W3491="",0,IF(ISNA(MATCH(W3491,W$256:W3490,0)),1,0))</f>
        <v/>
      </c>
      <c r="AA3491">
        <f>IF(Z3491&gt;Z3490,Z3491,"")</f>
        <v/>
      </c>
      <c r="AB3491">
        <f>AB3490+IF(X3491="",0,IF(ISNA(MATCH(X3491,X$256:X3490,0)),1,0))</f>
        <v/>
      </c>
      <c r="AC3491">
        <f>IF(AB3491&gt;AB3490,AB3491,"")</f>
        <v/>
      </c>
    </row>
    <row r="3492">
      <c r="W3492" s="7" t="n"/>
      <c r="X3492" s="7" t="n"/>
      <c r="Z3492">
        <f>Z3491+IF(W3492="",0,IF(ISNA(MATCH(W3492,W$256:W3491,0)),1,0))</f>
        <v/>
      </c>
      <c r="AA3492">
        <f>IF(Z3492&gt;Z3491,Z3492,"")</f>
        <v/>
      </c>
      <c r="AB3492">
        <f>AB3491+IF(X3492="",0,IF(ISNA(MATCH(X3492,X$256:X3491,0)),1,0))</f>
        <v/>
      </c>
      <c r="AC3492">
        <f>IF(AB3492&gt;AB3491,AB3492,"")</f>
        <v/>
      </c>
    </row>
    <row r="3493">
      <c r="W3493" s="7" t="n"/>
      <c r="X3493" s="7" t="n"/>
      <c r="Z3493">
        <f>Z3492+IF(W3493="",0,IF(ISNA(MATCH(W3493,W$256:W3492,0)),1,0))</f>
        <v/>
      </c>
      <c r="AA3493">
        <f>IF(Z3493&gt;Z3492,Z3493,"")</f>
        <v/>
      </c>
      <c r="AB3493">
        <f>AB3492+IF(X3493="",0,IF(ISNA(MATCH(X3493,X$256:X3492,0)),1,0))</f>
        <v/>
      </c>
      <c r="AC3493">
        <f>IF(AB3493&gt;AB3492,AB3493,"")</f>
        <v/>
      </c>
    </row>
    <row r="3494">
      <c r="W3494" s="7" t="n"/>
      <c r="X3494" s="7" t="n"/>
      <c r="Z3494">
        <f>Z3493+IF(W3494="",0,IF(ISNA(MATCH(W3494,W$256:W3493,0)),1,0))</f>
        <v/>
      </c>
      <c r="AA3494">
        <f>IF(Z3494&gt;Z3493,Z3494,"")</f>
        <v/>
      </c>
      <c r="AB3494">
        <f>AB3493+IF(X3494="",0,IF(ISNA(MATCH(X3494,X$256:X3493,0)),1,0))</f>
        <v/>
      </c>
      <c r="AC3494">
        <f>IF(AB3494&gt;AB3493,AB3494,"")</f>
        <v/>
      </c>
    </row>
    <row r="3495">
      <c r="W3495" s="7" t="n"/>
      <c r="X3495" s="7" t="n"/>
      <c r="Z3495">
        <f>Z3494+IF(W3495="",0,IF(ISNA(MATCH(W3495,W$256:W3494,0)),1,0))</f>
        <v/>
      </c>
      <c r="AA3495">
        <f>IF(Z3495&gt;Z3494,Z3495,"")</f>
        <v/>
      </c>
      <c r="AB3495">
        <f>AB3494+IF(X3495="",0,IF(ISNA(MATCH(X3495,X$256:X3494,0)),1,0))</f>
        <v/>
      </c>
      <c r="AC3495">
        <f>IF(AB3495&gt;AB3494,AB3495,"")</f>
        <v/>
      </c>
    </row>
    <row r="3496">
      <c r="W3496" s="7" t="n"/>
      <c r="X3496" s="7" t="n"/>
      <c r="Z3496">
        <f>Z3495+IF(W3496="",0,IF(ISNA(MATCH(W3496,W$256:W3495,0)),1,0))</f>
        <v/>
      </c>
      <c r="AA3496">
        <f>IF(Z3496&gt;Z3495,Z3496,"")</f>
        <v/>
      </c>
      <c r="AB3496">
        <f>AB3495+IF(X3496="",0,IF(ISNA(MATCH(X3496,X$256:X3495,0)),1,0))</f>
        <v/>
      </c>
      <c r="AC3496">
        <f>IF(AB3496&gt;AB3495,AB3496,"")</f>
        <v/>
      </c>
    </row>
    <row r="3497">
      <c r="W3497" s="7" t="n"/>
      <c r="X3497" s="7" t="n"/>
      <c r="Z3497">
        <f>Z3496+IF(W3497="",0,IF(ISNA(MATCH(W3497,W$256:W3496,0)),1,0))</f>
        <v/>
      </c>
      <c r="AA3497">
        <f>IF(Z3497&gt;Z3496,Z3497,"")</f>
        <v/>
      </c>
      <c r="AB3497">
        <f>AB3496+IF(X3497="",0,IF(ISNA(MATCH(X3497,X$256:X3496,0)),1,0))</f>
        <v/>
      </c>
      <c r="AC3497">
        <f>IF(AB3497&gt;AB3496,AB3497,"")</f>
        <v/>
      </c>
    </row>
    <row r="3498">
      <c r="W3498" s="7" t="n"/>
      <c r="X3498" s="7" t="n"/>
      <c r="Z3498">
        <f>Z3497+IF(W3498="",0,IF(ISNA(MATCH(W3498,W$256:W3497,0)),1,0))</f>
        <v/>
      </c>
      <c r="AA3498">
        <f>IF(Z3498&gt;Z3497,Z3498,"")</f>
        <v/>
      </c>
      <c r="AB3498">
        <f>AB3497+IF(X3498="",0,IF(ISNA(MATCH(X3498,X$256:X3497,0)),1,0))</f>
        <v/>
      </c>
      <c r="AC3498">
        <f>IF(AB3498&gt;AB3497,AB3498,"")</f>
        <v/>
      </c>
    </row>
    <row r="3499">
      <c r="W3499" s="7" t="n"/>
      <c r="X3499" s="7" t="n"/>
      <c r="Z3499">
        <f>Z3498+IF(W3499="",0,IF(ISNA(MATCH(W3499,W$256:W3498,0)),1,0))</f>
        <v/>
      </c>
      <c r="AA3499">
        <f>IF(Z3499&gt;Z3498,Z3499,"")</f>
        <v/>
      </c>
      <c r="AB3499">
        <f>AB3498+IF(X3499="",0,IF(ISNA(MATCH(X3499,X$256:X3498,0)),1,0))</f>
        <v/>
      </c>
      <c r="AC3499">
        <f>IF(AB3499&gt;AB3498,AB3499,"")</f>
        <v/>
      </c>
    </row>
    <row r="3500">
      <c r="W3500" s="7" t="n"/>
      <c r="X3500" s="7" t="n"/>
      <c r="Z3500">
        <f>Z3499+IF(W3500="",0,IF(ISNA(MATCH(W3500,W$256:W3499,0)),1,0))</f>
        <v/>
      </c>
      <c r="AA3500">
        <f>IF(Z3500&gt;Z3499,Z3500,"")</f>
        <v/>
      </c>
      <c r="AB3500">
        <f>AB3499+IF(X3500="",0,IF(ISNA(MATCH(X3500,X$256:X3499,0)),1,0))</f>
        <v/>
      </c>
      <c r="AC3500">
        <f>IF(AB3500&gt;AB3499,AB3500,"")</f>
        <v/>
      </c>
    </row>
    <row r="3501">
      <c r="W3501" s="7" t="n"/>
      <c r="X3501" s="7" t="n"/>
      <c r="Z3501">
        <f>Z3500+IF(W3501="",0,IF(ISNA(MATCH(W3501,W$256:W3500,0)),1,0))</f>
        <v/>
      </c>
      <c r="AA3501">
        <f>IF(Z3501&gt;Z3500,Z3501,"")</f>
        <v/>
      </c>
      <c r="AB3501">
        <f>AB3500+IF(X3501="",0,IF(ISNA(MATCH(X3501,X$256:X3500,0)),1,0))</f>
        <v/>
      </c>
      <c r="AC3501">
        <f>IF(AB3501&gt;AB3500,AB3501,"")</f>
        <v/>
      </c>
    </row>
    <row r="3502">
      <c r="W3502" s="7" t="n"/>
      <c r="X3502" s="7" t="n"/>
      <c r="Z3502">
        <f>Z3501+IF(W3502="",0,IF(ISNA(MATCH(W3502,W$256:W3501,0)),1,0))</f>
        <v/>
      </c>
      <c r="AA3502">
        <f>IF(Z3502&gt;Z3501,Z3502,"")</f>
        <v/>
      </c>
      <c r="AB3502">
        <f>AB3501+IF(X3502="",0,IF(ISNA(MATCH(X3502,X$256:X3501,0)),1,0))</f>
        <v/>
      </c>
      <c r="AC3502">
        <f>IF(AB3502&gt;AB3501,AB3502,"")</f>
        <v/>
      </c>
    </row>
    <row r="3503">
      <c r="W3503" s="7" t="n"/>
      <c r="X3503" s="7" t="n"/>
      <c r="Z3503">
        <f>Z3502+IF(W3503="",0,IF(ISNA(MATCH(W3503,W$256:W3502,0)),1,0))</f>
        <v/>
      </c>
      <c r="AA3503">
        <f>IF(Z3503&gt;Z3502,Z3503,"")</f>
        <v/>
      </c>
      <c r="AB3503">
        <f>AB3502+IF(X3503="",0,IF(ISNA(MATCH(X3503,X$256:X3502,0)),1,0))</f>
        <v/>
      </c>
      <c r="AC3503">
        <f>IF(AB3503&gt;AB3502,AB3503,"")</f>
        <v/>
      </c>
    </row>
    <row r="3504">
      <c r="W3504" s="7" t="n"/>
      <c r="X3504" s="7" t="n"/>
      <c r="Z3504">
        <f>Z3503+IF(W3504="",0,IF(ISNA(MATCH(W3504,W$256:W3503,0)),1,0))</f>
        <v/>
      </c>
      <c r="AA3504">
        <f>IF(Z3504&gt;Z3503,Z3504,"")</f>
        <v/>
      </c>
      <c r="AB3504">
        <f>AB3503+IF(X3504="",0,IF(ISNA(MATCH(X3504,X$256:X3503,0)),1,0))</f>
        <v/>
      </c>
      <c r="AC3504">
        <f>IF(AB3504&gt;AB3503,AB3504,"")</f>
        <v/>
      </c>
    </row>
    <row r="3505">
      <c r="W3505" s="7" t="n"/>
      <c r="X3505" s="7" t="n"/>
      <c r="Z3505">
        <f>Z3504+IF(W3505="",0,IF(ISNA(MATCH(W3505,W$256:W3504,0)),1,0))</f>
        <v/>
      </c>
      <c r="AA3505">
        <f>IF(Z3505&gt;Z3504,Z3505,"")</f>
        <v/>
      </c>
      <c r="AB3505">
        <f>AB3504+IF(X3505="",0,IF(ISNA(MATCH(X3505,X$256:X3504,0)),1,0))</f>
        <v/>
      </c>
      <c r="AC3505">
        <f>IF(AB3505&gt;AB3504,AB3505,"")</f>
        <v/>
      </c>
    </row>
    <row r="3506">
      <c r="W3506" s="7" t="n"/>
      <c r="X3506" s="7" t="n"/>
      <c r="Z3506">
        <f>Z3505+IF(W3506="",0,IF(ISNA(MATCH(W3506,W$256:W3505,0)),1,0))</f>
        <v/>
      </c>
      <c r="AA3506">
        <f>IF(Z3506&gt;Z3505,Z3506,"")</f>
        <v/>
      </c>
      <c r="AB3506">
        <f>AB3505+IF(X3506="",0,IF(ISNA(MATCH(X3506,X$256:X3505,0)),1,0))</f>
        <v/>
      </c>
      <c r="AC3506">
        <f>IF(AB3506&gt;AB3505,AB3506,"")</f>
        <v/>
      </c>
    </row>
    <row r="3507">
      <c r="W3507" s="7" t="n"/>
      <c r="X3507" s="7" t="n"/>
      <c r="Z3507">
        <f>Z3506+IF(W3507="",0,IF(ISNA(MATCH(W3507,W$256:W3506,0)),1,0))</f>
        <v/>
      </c>
      <c r="AA3507">
        <f>IF(Z3507&gt;Z3506,Z3507,"")</f>
        <v/>
      </c>
      <c r="AB3507">
        <f>AB3506+IF(X3507="",0,IF(ISNA(MATCH(X3507,X$256:X3506,0)),1,0))</f>
        <v/>
      </c>
      <c r="AC3507">
        <f>IF(AB3507&gt;AB3506,AB3507,"")</f>
        <v/>
      </c>
    </row>
    <row r="3508">
      <c r="W3508" s="7" t="n"/>
      <c r="X3508" s="7" t="n"/>
      <c r="Z3508">
        <f>Z3507+IF(W3508="",0,IF(ISNA(MATCH(W3508,W$256:W3507,0)),1,0))</f>
        <v/>
      </c>
      <c r="AA3508">
        <f>IF(Z3508&gt;Z3507,Z3508,"")</f>
        <v/>
      </c>
      <c r="AB3508">
        <f>AB3507+IF(X3508="",0,IF(ISNA(MATCH(X3508,X$256:X3507,0)),1,0))</f>
        <v/>
      </c>
      <c r="AC3508">
        <f>IF(AB3508&gt;AB3507,AB3508,"")</f>
        <v/>
      </c>
    </row>
    <row r="3509">
      <c r="W3509" s="7" t="n"/>
      <c r="X3509" s="7" t="n"/>
      <c r="Z3509">
        <f>Z3508+IF(W3509="",0,IF(ISNA(MATCH(W3509,W$256:W3508,0)),1,0))</f>
        <v/>
      </c>
      <c r="AA3509">
        <f>IF(Z3509&gt;Z3508,Z3509,"")</f>
        <v/>
      </c>
      <c r="AB3509">
        <f>AB3508+IF(X3509="",0,IF(ISNA(MATCH(X3509,X$256:X3508,0)),1,0))</f>
        <v/>
      </c>
      <c r="AC3509">
        <f>IF(AB3509&gt;AB3508,AB3509,"")</f>
        <v/>
      </c>
    </row>
    <row r="3510">
      <c r="W3510" s="7" t="n"/>
      <c r="X3510" s="7" t="n"/>
      <c r="Z3510">
        <f>Z3509+IF(W3510="",0,IF(ISNA(MATCH(W3510,W$256:W3509,0)),1,0))</f>
        <v/>
      </c>
      <c r="AA3510">
        <f>IF(Z3510&gt;Z3509,Z3510,"")</f>
        <v/>
      </c>
      <c r="AB3510">
        <f>AB3509+IF(X3510="",0,IF(ISNA(MATCH(X3510,X$256:X3509,0)),1,0))</f>
        <v/>
      </c>
      <c r="AC3510">
        <f>IF(AB3510&gt;AB3509,AB3510,"")</f>
        <v/>
      </c>
    </row>
    <row r="3511">
      <c r="W3511" s="7" t="n"/>
      <c r="X3511" s="7" t="n"/>
      <c r="Z3511">
        <f>Z3510+IF(W3511="",0,IF(ISNA(MATCH(W3511,W$256:W3510,0)),1,0))</f>
        <v/>
      </c>
      <c r="AA3511">
        <f>IF(Z3511&gt;Z3510,Z3511,"")</f>
        <v/>
      </c>
      <c r="AB3511">
        <f>AB3510+IF(X3511="",0,IF(ISNA(MATCH(X3511,X$256:X3510,0)),1,0))</f>
        <v/>
      </c>
      <c r="AC3511">
        <f>IF(AB3511&gt;AB3510,AB3511,"")</f>
        <v/>
      </c>
    </row>
    <row r="3512">
      <c r="W3512" s="7" t="n"/>
      <c r="X3512" s="7" t="n"/>
      <c r="Z3512">
        <f>Z3511+IF(W3512="",0,IF(ISNA(MATCH(W3512,W$256:W3511,0)),1,0))</f>
        <v/>
      </c>
      <c r="AA3512">
        <f>IF(Z3512&gt;Z3511,Z3512,"")</f>
        <v/>
      </c>
      <c r="AB3512">
        <f>AB3511+IF(X3512="",0,IF(ISNA(MATCH(X3512,X$256:X3511,0)),1,0))</f>
        <v/>
      </c>
      <c r="AC3512">
        <f>IF(AB3512&gt;AB3511,AB3512,"")</f>
        <v/>
      </c>
    </row>
    <row r="3513">
      <c r="W3513" s="7" t="n"/>
      <c r="X3513" s="7" t="n"/>
      <c r="Z3513">
        <f>Z3512+IF(W3513="",0,IF(ISNA(MATCH(W3513,W$256:W3512,0)),1,0))</f>
        <v/>
      </c>
      <c r="AA3513">
        <f>IF(Z3513&gt;Z3512,Z3513,"")</f>
        <v/>
      </c>
      <c r="AB3513">
        <f>AB3512+IF(X3513="",0,IF(ISNA(MATCH(X3513,X$256:X3512,0)),1,0))</f>
        <v/>
      </c>
      <c r="AC3513">
        <f>IF(AB3513&gt;AB3512,AB3513,"")</f>
        <v/>
      </c>
    </row>
    <row r="3514">
      <c r="W3514" s="7" t="n"/>
      <c r="X3514" s="7" t="n"/>
      <c r="Z3514">
        <f>Z3513+IF(W3514="",0,IF(ISNA(MATCH(W3514,W$256:W3513,0)),1,0))</f>
        <v/>
      </c>
      <c r="AA3514">
        <f>IF(Z3514&gt;Z3513,Z3514,"")</f>
        <v/>
      </c>
      <c r="AB3514">
        <f>AB3513+IF(X3514="",0,IF(ISNA(MATCH(X3514,X$256:X3513,0)),1,0))</f>
        <v/>
      </c>
      <c r="AC3514">
        <f>IF(AB3514&gt;AB3513,AB3514,"")</f>
        <v/>
      </c>
    </row>
    <row r="3515">
      <c r="W3515" s="7" t="n"/>
      <c r="X3515" s="7" t="n"/>
      <c r="Z3515">
        <f>Z3514+IF(W3515="",0,IF(ISNA(MATCH(W3515,W$256:W3514,0)),1,0))</f>
        <v/>
      </c>
      <c r="AA3515">
        <f>IF(Z3515&gt;Z3514,Z3515,"")</f>
        <v/>
      </c>
      <c r="AB3515">
        <f>AB3514+IF(X3515="",0,IF(ISNA(MATCH(X3515,X$256:X3514,0)),1,0))</f>
        <v/>
      </c>
      <c r="AC3515">
        <f>IF(AB3515&gt;AB3514,AB3515,"")</f>
        <v/>
      </c>
    </row>
    <row r="3516">
      <c r="W3516" s="7" t="n"/>
      <c r="X3516" s="7" t="n"/>
      <c r="Z3516">
        <f>Z3515+IF(W3516="",0,IF(ISNA(MATCH(W3516,W$256:W3515,0)),1,0))</f>
        <v/>
      </c>
      <c r="AA3516">
        <f>IF(Z3516&gt;Z3515,Z3516,"")</f>
        <v/>
      </c>
      <c r="AB3516">
        <f>AB3515+IF(X3516="",0,IF(ISNA(MATCH(X3516,X$256:X3515,0)),1,0))</f>
        <v/>
      </c>
      <c r="AC3516">
        <f>IF(AB3516&gt;AB3515,AB3516,"")</f>
        <v/>
      </c>
    </row>
    <row r="3517">
      <c r="W3517" s="7" t="n"/>
      <c r="X3517" s="7" t="n"/>
      <c r="Z3517">
        <f>Z3516+IF(W3517="",0,IF(ISNA(MATCH(W3517,W$256:W3516,0)),1,0))</f>
        <v/>
      </c>
      <c r="AA3517">
        <f>IF(Z3517&gt;Z3516,Z3517,"")</f>
        <v/>
      </c>
      <c r="AB3517">
        <f>AB3516+IF(X3517="",0,IF(ISNA(MATCH(X3517,X$256:X3516,0)),1,0))</f>
        <v/>
      </c>
      <c r="AC3517">
        <f>IF(AB3517&gt;AB3516,AB3517,"")</f>
        <v/>
      </c>
    </row>
    <row r="3518">
      <c r="W3518" s="7" t="n"/>
      <c r="X3518" s="7" t="n"/>
      <c r="Z3518">
        <f>Z3517+IF(W3518="",0,IF(ISNA(MATCH(W3518,W$256:W3517,0)),1,0))</f>
        <v/>
      </c>
      <c r="AA3518">
        <f>IF(Z3518&gt;Z3517,Z3518,"")</f>
        <v/>
      </c>
      <c r="AB3518">
        <f>AB3517+IF(X3518="",0,IF(ISNA(MATCH(X3518,X$256:X3517,0)),1,0))</f>
        <v/>
      </c>
      <c r="AC3518">
        <f>IF(AB3518&gt;AB3517,AB3518,"")</f>
        <v/>
      </c>
    </row>
    <row r="3519">
      <c r="W3519" s="7" t="n"/>
      <c r="X3519" s="7" t="n"/>
      <c r="Z3519">
        <f>Z3518+IF(W3519="",0,IF(ISNA(MATCH(W3519,W$256:W3518,0)),1,0))</f>
        <v/>
      </c>
      <c r="AA3519">
        <f>IF(Z3519&gt;Z3518,Z3519,"")</f>
        <v/>
      </c>
      <c r="AB3519">
        <f>AB3518+IF(X3519="",0,IF(ISNA(MATCH(X3519,X$256:X3518,0)),1,0))</f>
        <v/>
      </c>
      <c r="AC3519">
        <f>IF(AB3519&gt;AB3518,AB3519,"")</f>
        <v/>
      </c>
    </row>
    <row r="3520">
      <c r="W3520" s="7" t="n"/>
      <c r="X3520" s="7" t="n"/>
      <c r="Z3520">
        <f>Z3519+IF(W3520="",0,IF(ISNA(MATCH(W3520,W$256:W3519,0)),1,0))</f>
        <v/>
      </c>
      <c r="AA3520">
        <f>IF(Z3520&gt;Z3519,Z3520,"")</f>
        <v/>
      </c>
      <c r="AB3520">
        <f>AB3519+IF(X3520="",0,IF(ISNA(MATCH(X3520,X$256:X3519,0)),1,0))</f>
        <v/>
      </c>
      <c r="AC3520">
        <f>IF(AB3520&gt;AB3519,AB3520,"")</f>
        <v/>
      </c>
    </row>
    <row r="3521">
      <c r="W3521" s="7" t="n"/>
      <c r="X3521" s="7" t="n"/>
      <c r="Z3521">
        <f>Z3520+IF(W3521="",0,IF(ISNA(MATCH(W3521,W$256:W3520,0)),1,0))</f>
        <v/>
      </c>
      <c r="AA3521">
        <f>IF(Z3521&gt;Z3520,Z3521,"")</f>
        <v/>
      </c>
      <c r="AB3521">
        <f>AB3520+IF(X3521="",0,IF(ISNA(MATCH(X3521,X$256:X3520,0)),1,0))</f>
        <v/>
      </c>
      <c r="AC3521">
        <f>IF(AB3521&gt;AB3520,AB3521,"")</f>
        <v/>
      </c>
    </row>
    <row r="3522">
      <c r="W3522" s="7" t="n"/>
      <c r="X3522" s="7" t="n"/>
      <c r="Z3522">
        <f>Z3521+IF(W3522="",0,IF(ISNA(MATCH(W3522,W$256:W3521,0)),1,0))</f>
        <v/>
      </c>
      <c r="AA3522">
        <f>IF(Z3522&gt;Z3521,Z3522,"")</f>
        <v/>
      </c>
      <c r="AB3522">
        <f>AB3521+IF(X3522="",0,IF(ISNA(MATCH(X3522,X$256:X3521,0)),1,0))</f>
        <v/>
      </c>
      <c r="AC3522">
        <f>IF(AB3522&gt;AB3521,AB3522,"")</f>
        <v/>
      </c>
    </row>
    <row r="3523">
      <c r="W3523" s="7" t="n"/>
      <c r="X3523" s="7" t="n"/>
      <c r="Z3523">
        <f>Z3522+IF(W3523="",0,IF(ISNA(MATCH(W3523,W$256:W3522,0)),1,0))</f>
        <v/>
      </c>
      <c r="AA3523">
        <f>IF(Z3523&gt;Z3522,Z3523,"")</f>
        <v/>
      </c>
      <c r="AB3523">
        <f>AB3522+IF(X3523="",0,IF(ISNA(MATCH(X3523,X$256:X3522,0)),1,0))</f>
        <v/>
      </c>
      <c r="AC3523">
        <f>IF(AB3523&gt;AB3522,AB3523,"")</f>
        <v/>
      </c>
    </row>
    <row r="3524">
      <c r="W3524" s="7" t="n"/>
      <c r="X3524" s="7" t="n"/>
      <c r="Z3524">
        <f>Z3523+IF(W3524="",0,IF(ISNA(MATCH(W3524,W$256:W3523,0)),1,0))</f>
        <v/>
      </c>
      <c r="AA3524">
        <f>IF(Z3524&gt;Z3523,Z3524,"")</f>
        <v/>
      </c>
      <c r="AB3524">
        <f>AB3523+IF(X3524="",0,IF(ISNA(MATCH(X3524,X$256:X3523,0)),1,0))</f>
        <v/>
      </c>
      <c r="AC3524">
        <f>IF(AB3524&gt;AB3523,AB3524,"")</f>
        <v/>
      </c>
    </row>
    <row r="3525">
      <c r="W3525" s="7" t="n"/>
      <c r="X3525" s="7" t="n"/>
      <c r="Z3525">
        <f>Z3524+IF(W3525="",0,IF(ISNA(MATCH(W3525,W$256:W3524,0)),1,0))</f>
        <v/>
      </c>
      <c r="AA3525">
        <f>IF(Z3525&gt;Z3524,Z3525,"")</f>
        <v/>
      </c>
      <c r="AB3525">
        <f>AB3524+IF(X3525="",0,IF(ISNA(MATCH(X3525,X$256:X3524,0)),1,0))</f>
        <v/>
      </c>
      <c r="AC3525">
        <f>IF(AB3525&gt;AB3524,AB3525,"")</f>
        <v/>
      </c>
    </row>
    <row r="3526">
      <c r="W3526" s="7" t="n"/>
      <c r="X3526" s="7" t="n"/>
      <c r="Z3526">
        <f>Z3525+IF(W3526="",0,IF(ISNA(MATCH(W3526,W$256:W3525,0)),1,0))</f>
        <v/>
      </c>
      <c r="AA3526">
        <f>IF(Z3526&gt;Z3525,Z3526,"")</f>
        <v/>
      </c>
      <c r="AB3526">
        <f>AB3525+IF(X3526="",0,IF(ISNA(MATCH(X3526,X$256:X3525,0)),1,0))</f>
        <v/>
      </c>
      <c r="AC3526">
        <f>IF(AB3526&gt;AB3525,AB3526,"")</f>
        <v/>
      </c>
    </row>
    <row r="3527">
      <c r="W3527" s="7" t="n"/>
      <c r="X3527" s="7" t="n"/>
      <c r="Z3527">
        <f>Z3526+IF(W3527="",0,IF(ISNA(MATCH(W3527,W$256:W3526,0)),1,0))</f>
        <v/>
      </c>
      <c r="AA3527">
        <f>IF(Z3527&gt;Z3526,Z3527,"")</f>
        <v/>
      </c>
      <c r="AB3527">
        <f>AB3526+IF(X3527="",0,IF(ISNA(MATCH(X3527,X$256:X3526,0)),1,0))</f>
        <v/>
      </c>
      <c r="AC3527">
        <f>IF(AB3527&gt;AB3526,AB3527,"")</f>
        <v/>
      </c>
    </row>
    <row r="3528">
      <c r="W3528" s="7" t="n"/>
      <c r="X3528" s="7" t="n"/>
      <c r="Z3528">
        <f>Z3527+IF(W3528="",0,IF(ISNA(MATCH(W3528,W$256:W3527,0)),1,0))</f>
        <v/>
      </c>
      <c r="AA3528">
        <f>IF(Z3528&gt;Z3527,Z3528,"")</f>
        <v/>
      </c>
      <c r="AB3528">
        <f>AB3527+IF(X3528="",0,IF(ISNA(MATCH(X3528,X$256:X3527,0)),1,0))</f>
        <v/>
      </c>
      <c r="AC3528">
        <f>IF(AB3528&gt;AB3527,AB3528,"")</f>
        <v/>
      </c>
    </row>
    <row r="3529">
      <c r="W3529" s="7" t="n"/>
      <c r="X3529" s="7" t="n"/>
      <c r="Z3529">
        <f>Z3528+IF(W3529="",0,IF(ISNA(MATCH(W3529,W$256:W3528,0)),1,0))</f>
        <v/>
      </c>
      <c r="AA3529">
        <f>IF(Z3529&gt;Z3528,Z3529,"")</f>
        <v/>
      </c>
      <c r="AB3529">
        <f>AB3528+IF(X3529="",0,IF(ISNA(MATCH(X3529,X$256:X3528,0)),1,0))</f>
        <v/>
      </c>
      <c r="AC3529">
        <f>IF(AB3529&gt;AB3528,AB3529,"")</f>
        <v/>
      </c>
    </row>
    <row r="3530">
      <c r="W3530" s="7" t="n"/>
      <c r="X3530" s="7" t="n"/>
      <c r="Z3530">
        <f>Z3529+IF(W3530="",0,IF(ISNA(MATCH(W3530,W$256:W3529,0)),1,0))</f>
        <v/>
      </c>
      <c r="AA3530">
        <f>IF(Z3530&gt;Z3529,Z3530,"")</f>
        <v/>
      </c>
      <c r="AB3530">
        <f>AB3529+IF(X3530="",0,IF(ISNA(MATCH(X3530,X$256:X3529,0)),1,0))</f>
        <v/>
      </c>
      <c r="AC3530">
        <f>IF(AB3530&gt;AB3529,AB3530,"")</f>
        <v/>
      </c>
    </row>
    <row r="3531">
      <c r="W3531" s="7" t="n"/>
      <c r="X3531" s="7" t="n"/>
      <c r="Z3531">
        <f>Z3530+IF(W3531="",0,IF(ISNA(MATCH(W3531,W$256:W3530,0)),1,0))</f>
        <v/>
      </c>
      <c r="AA3531">
        <f>IF(Z3531&gt;Z3530,Z3531,"")</f>
        <v/>
      </c>
      <c r="AB3531">
        <f>AB3530+IF(X3531="",0,IF(ISNA(MATCH(X3531,X$256:X3530,0)),1,0))</f>
        <v/>
      </c>
      <c r="AC3531">
        <f>IF(AB3531&gt;AB3530,AB3531,"")</f>
        <v/>
      </c>
    </row>
    <row r="3532">
      <c r="W3532" s="7" t="n"/>
      <c r="X3532" s="7" t="n"/>
      <c r="Z3532">
        <f>Z3531+IF(W3532="",0,IF(ISNA(MATCH(W3532,W$256:W3531,0)),1,0))</f>
        <v/>
      </c>
      <c r="AA3532">
        <f>IF(Z3532&gt;Z3531,Z3532,"")</f>
        <v/>
      </c>
      <c r="AB3532">
        <f>AB3531+IF(X3532="",0,IF(ISNA(MATCH(X3532,X$256:X3531,0)),1,0))</f>
        <v/>
      </c>
      <c r="AC3532">
        <f>IF(AB3532&gt;AB3531,AB3532,"")</f>
        <v/>
      </c>
    </row>
    <row r="3533">
      <c r="W3533" s="7" t="n"/>
      <c r="X3533" s="7" t="n"/>
      <c r="Z3533">
        <f>Z3532+IF(W3533="",0,IF(ISNA(MATCH(W3533,W$256:W3532,0)),1,0))</f>
        <v/>
      </c>
      <c r="AA3533">
        <f>IF(Z3533&gt;Z3532,Z3533,"")</f>
        <v/>
      </c>
      <c r="AB3533">
        <f>AB3532+IF(X3533="",0,IF(ISNA(MATCH(X3533,X$256:X3532,0)),1,0))</f>
        <v/>
      </c>
      <c r="AC3533">
        <f>IF(AB3533&gt;AB3532,AB3533,"")</f>
        <v/>
      </c>
    </row>
    <row r="3534">
      <c r="W3534" s="7" t="n"/>
      <c r="X3534" s="7" t="n"/>
      <c r="Z3534">
        <f>Z3533+IF(W3534="",0,IF(ISNA(MATCH(W3534,W$256:W3533,0)),1,0))</f>
        <v/>
      </c>
      <c r="AA3534">
        <f>IF(Z3534&gt;Z3533,Z3534,"")</f>
        <v/>
      </c>
      <c r="AB3534">
        <f>AB3533+IF(X3534="",0,IF(ISNA(MATCH(X3534,X$256:X3533,0)),1,0))</f>
        <v/>
      </c>
      <c r="AC3534">
        <f>IF(AB3534&gt;AB3533,AB3534,"")</f>
        <v/>
      </c>
    </row>
    <row r="3535">
      <c r="W3535" s="7" t="n"/>
      <c r="X3535" s="7" t="n"/>
      <c r="Z3535">
        <f>Z3534+IF(W3535="",0,IF(ISNA(MATCH(W3535,W$256:W3534,0)),1,0))</f>
        <v/>
      </c>
      <c r="AA3535">
        <f>IF(Z3535&gt;Z3534,Z3535,"")</f>
        <v/>
      </c>
      <c r="AB3535">
        <f>AB3534+IF(X3535="",0,IF(ISNA(MATCH(X3535,X$256:X3534,0)),1,0))</f>
        <v/>
      </c>
      <c r="AC3535">
        <f>IF(AB3535&gt;AB3534,AB3535,"")</f>
        <v/>
      </c>
    </row>
    <row r="3536">
      <c r="W3536" s="7" t="n"/>
      <c r="X3536" s="7" t="n"/>
      <c r="Z3536">
        <f>Z3535+IF(W3536="",0,IF(ISNA(MATCH(W3536,W$256:W3535,0)),1,0))</f>
        <v/>
      </c>
      <c r="AA3536">
        <f>IF(Z3536&gt;Z3535,Z3536,"")</f>
        <v/>
      </c>
      <c r="AB3536">
        <f>AB3535+IF(X3536="",0,IF(ISNA(MATCH(X3536,X$256:X3535,0)),1,0))</f>
        <v/>
      </c>
      <c r="AC3536">
        <f>IF(AB3536&gt;AB3535,AB3536,"")</f>
        <v/>
      </c>
    </row>
    <row r="3537">
      <c r="W3537" s="7" t="n"/>
      <c r="X3537" s="7" t="n"/>
      <c r="Z3537">
        <f>Z3536+IF(W3537="",0,IF(ISNA(MATCH(W3537,W$256:W3536,0)),1,0))</f>
        <v/>
      </c>
      <c r="AA3537">
        <f>IF(Z3537&gt;Z3536,Z3537,"")</f>
        <v/>
      </c>
      <c r="AB3537">
        <f>AB3536+IF(X3537="",0,IF(ISNA(MATCH(X3537,X$256:X3536,0)),1,0))</f>
        <v/>
      </c>
      <c r="AC3537">
        <f>IF(AB3537&gt;AB3536,AB3537,"")</f>
        <v/>
      </c>
    </row>
    <row r="3538">
      <c r="W3538" s="7" t="n"/>
      <c r="X3538" s="7" t="n"/>
      <c r="Z3538">
        <f>Z3537+IF(W3538="",0,IF(ISNA(MATCH(W3538,W$256:W3537,0)),1,0))</f>
        <v/>
      </c>
      <c r="AA3538">
        <f>IF(Z3538&gt;Z3537,Z3538,"")</f>
        <v/>
      </c>
      <c r="AB3538">
        <f>AB3537+IF(X3538="",0,IF(ISNA(MATCH(X3538,X$256:X3537,0)),1,0))</f>
        <v/>
      </c>
      <c r="AC3538">
        <f>IF(AB3538&gt;AB3537,AB3538,"")</f>
        <v/>
      </c>
    </row>
    <row r="3539">
      <c r="W3539" s="7" t="n"/>
      <c r="X3539" s="7" t="n"/>
      <c r="Z3539">
        <f>Z3538+IF(W3539="",0,IF(ISNA(MATCH(W3539,W$256:W3538,0)),1,0))</f>
        <v/>
      </c>
      <c r="AA3539">
        <f>IF(Z3539&gt;Z3538,Z3539,"")</f>
        <v/>
      </c>
      <c r="AB3539">
        <f>AB3538+IF(X3539="",0,IF(ISNA(MATCH(X3539,X$256:X3538,0)),1,0))</f>
        <v/>
      </c>
      <c r="AC3539">
        <f>IF(AB3539&gt;AB3538,AB3539,"")</f>
        <v/>
      </c>
    </row>
    <row r="3540">
      <c r="W3540" s="7" t="n"/>
      <c r="X3540" s="7" t="n"/>
      <c r="Z3540">
        <f>Z3539+IF(W3540="",0,IF(ISNA(MATCH(W3540,W$256:W3539,0)),1,0))</f>
        <v/>
      </c>
      <c r="AA3540">
        <f>IF(Z3540&gt;Z3539,Z3540,"")</f>
        <v/>
      </c>
      <c r="AB3540">
        <f>AB3539+IF(X3540="",0,IF(ISNA(MATCH(X3540,X$256:X3539,0)),1,0))</f>
        <v/>
      </c>
      <c r="AC3540">
        <f>IF(AB3540&gt;AB3539,AB3540,"")</f>
        <v/>
      </c>
    </row>
    <row r="3541">
      <c r="W3541" s="7" t="n"/>
      <c r="X3541" s="7" t="n"/>
      <c r="Z3541">
        <f>Z3540+IF(W3541="",0,IF(ISNA(MATCH(W3541,W$256:W3540,0)),1,0))</f>
        <v/>
      </c>
      <c r="AA3541">
        <f>IF(Z3541&gt;Z3540,Z3541,"")</f>
        <v/>
      </c>
      <c r="AB3541">
        <f>AB3540+IF(X3541="",0,IF(ISNA(MATCH(X3541,X$256:X3540,0)),1,0))</f>
        <v/>
      </c>
      <c r="AC3541">
        <f>IF(AB3541&gt;AB3540,AB3541,"")</f>
        <v/>
      </c>
    </row>
    <row r="3542">
      <c r="W3542" s="7" t="n"/>
      <c r="X3542" s="7" t="n"/>
      <c r="Z3542">
        <f>Z3541+IF(W3542="",0,IF(ISNA(MATCH(W3542,W$256:W3541,0)),1,0))</f>
        <v/>
      </c>
      <c r="AA3542">
        <f>IF(Z3542&gt;Z3541,Z3542,"")</f>
        <v/>
      </c>
      <c r="AB3542">
        <f>AB3541+IF(X3542="",0,IF(ISNA(MATCH(X3542,X$256:X3541,0)),1,0))</f>
        <v/>
      </c>
      <c r="AC3542">
        <f>IF(AB3542&gt;AB3541,AB3542,"")</f>
        <v/>
      </c>
    </row>
    <row r="3543">
      <c r="W3543" s="7" t="n"/>
      <c r="X3543" s="7" t="n"/>
      <c r="Z3543">
        <f>Z3542+IF(W3543="",0,IF(ISNA(MATCH(W3543,W$256:W3542,0)),1,0))</f>
        <v/>
      </c>
      <c r="AA3543">
        <f>IF(Z3543&gt;Z3542,Z3543,"")</f>
        <v/>
      </c>
      <c r="AB3543">
        <f>AB3542+IF(X3543="",0,IF(ISNA(MATCH(X3543,X$256:X3542,0)),1,0))</f>
        <v/>
      </c>
      <c r="AC3543">
        <f>IF(AB3543&gt;AB3542,AB3543,"")</f>
        <v/>
      </c>
    </row>
    <row r="3544">
      <c r="W3544" s="7" t="n"/>
      <c r="X3544" s="7" t="n"/>
      <c r="Z3544">
        <f>Z3543+IF(W3544="",0,IF(ISNA(MATCH(W3544,W$256:W3543,0)),1,0))</f>
        <v/>
      </c>
      <c r="AA3544">
        <f>IF(Z3544&gt;Z3543,Z3544,"")</f>
        <v/>
      </c>
      <c r="AB3544">
        <f>AB3543+IF(X3544="",0,IF(ISNA(MATCH(X3544,X$256:X3543,0)),1,0))</f>
        <v/>
      </c>
      <c r="AC3544">
        <f>IF(AB3544&gt;AB3543,AB3544,"")</f>
        <v/>
      </c>
    </row>
    <row r="3545">
      <c r="W3545" s="7" t="n"/>
      <c r="X3545" s="7" t="n"/>
      <c r="Z3545">
        <f>Z3544+IF(W3545="",0,IF(ISNA(MATCH(W3545,W$256:W3544,0)),1,0))</f>
        <v/>
      </c>
      <c r="AA3545">
        <f>IF(Z3545&gt;Z3544,Z3545,"")</f>
        <v/>
      </c>
      <c r="AB3545">
        <f>AB3544+IF(X3545="",0,IF(ISNA(MATCH(X3545,X$256:X3544,0)),1,0))</f>
        <v/>
      </c>
      <c r="AC3545">
        <f>IF(AB3545&gt;AB3544,AB3545,"")</f>
        <v/>
      </c>
    </row>
    <row r="3546">
      <c r="W3546" s="7" t="n"/>
      <c r="X3546" s="7" t="n"/>
      <c r="Z3546">
        <f>Z3545+IF(W3546="",0,IF(ISNA(MATCH(W3546,W$256:W3545,0)),1,0))</f>
        <v/>
      </c>
      <c r="AA3546">
        <f>IF(Z3546&gt;Z3545,Z3546,"")</f>
        <v/>
      </c>
      <c r="AB3546">
        <f>AB3545+IF(X3546="",0,IF(ISNA(MATCH(X3546,X$256:X3545,0)),1,0))</f>
        <v/>
      </c>
      <c r="AC3546">
        <f>IF(AB3546&gt;AB3545,AB3546,"")</f>
        <v/>
      </c>
    </row>
    <row r="3547">
      <c r="W3547" s="7" t="n"/>
      <c r="X3547" s="7" t="n"/>
      <c r="Z3547">
        <f>Z3546+IF(W3547="",0,IF(ISNA(MATCH(W3547,W$256:W3546,0)),1,0))</f>
        <v/>
      </c>
      <c r="AA3547">
        <f>IF(Z3547&gt;Z3546,Z3547,"")</f>
        <v/>
      </c>
      <c r="AB3547">
        <f>AB3546+IF(X3547="",0,IF(ISNA(MATCH(X3547,X$256:X3546,0)),1,0))</f>
        <v/>
      </c>
      <c r="AC3547">
        <f>IF(AB3547&gt;AB3546,AB3547,"")</f>
        <v/>
      </c>
    </row>
    <row r="3548">
      <c r="W3548" s="7" t="n"/>
      <c r="X3548" s="7" t="n"/>
      <c r="Z3548">
        <f>Z3547+IF(W3548="",0,IF(ISNA(MATCH(W3548,W$256:W3547,0)),1,0))</f>
        <v/>
      </c>
      <c r="AA3548">
        <f>IF(Z3548&gt;Z3547,Z3548,"")</f>
        <v/>
      </c>
      <c r="AB3548">
        <f>AB3547+IF(X3548="",0,IF(ISNA(MATCH(X3548,X$256:X3547,0)),1,0))</f>
        <v/>
      </c>
      <c r="AC3548">
        <f>IF(AB3548&gt;AB3547,AB3548,"")</f>
        <v/>
      </c>
    </row>
    <row r="3549">
      <c r="W3549" s="7" t="n"/>
      <c r="X3549" s="7" t="n"/>
      <c r="Z3549">
        <f>Z3548+IF(W3549="",0,IF(ISNA(MATCH(W3549,W$256:W3548,0)),1,0))</f>
        <v/>
      </c>
      <c r="AA3549">
        <f>IF(Z3549&gt;Z3548,Z3549,"")</f>
        <v/>
      </c>
      <c r="AB3549">
        <f>AB3548+IF(X3549="",0,IF(ISNA(MATCH(X3549,X$256:X3548,0)),1,0))</f>
        <v/>
      </c>
      <c r="AC3549">
        <f>IF(AB3549&gt;AB3548,AB3549,"")</f>
        <v/>
      </c>
    </row>
    <row r="3550">
      <c r="W3550" s="7" t="n"/>
      <c r="X3550" s="7" t="n"/>
      <c r="Z3550">
        <f>Z3549+IF(W3550="",0,IF(ISNA(MATCH(W3550,W$256:W3549,0)),1,0))</f>
        <v/>
      </c>
      <c r="AA3550">
        <f>IF(Z3550&gt;Z3549,Z3550,"")</f>
        <v/>
      </c>
      <c r="AB3550">
        <f>AB3549+IF(X3550="",0,IF(ISNA(MATCH(X3550,X$256:X3549,0)),1,0))</f>
        <v/>
      </c>
      <c r="AC3550">
        <f>IF(AB3550&gt;AB3549,AB3550,"")</f>
        <v/>
      </c>
    </row>
    <row r="3551">
      <c r="W3551" s="7" t="n"/>
      <c r="X3551" s="7" t="n"/>
      <c r="Z3551">
        <f>Z3550+IF(W3551="",0,IF(ISNA(MATCH(W3551,W$256:W3550,0)),1,0))</f>
        <v/>
      </c>
      <c r="AA3551">
        <f>IF(Z3551&gt;Z3550,Z3551,"")</f>
        <v/>
      </c>
      <c r="AB3551">
        <f>AB3550+IF(X3551="",0,IF(ISNA(MATCH(X3551,X$256:X3550,0)),1,0))</f>
        <v/>
      </c>
      <c r="AC3551">
        <f>IF(AB3551&gt;AB3550,AB3551,"")</f>
        <v/>
      </c>
    </row>
    <row r="3552">
      <c r="W3552" s="7" t="n"/>
      <c r="X3552" s="7" t="n"/>
      <c r="Z3552">
        <f>Z3551+IF(W3552="",0,IF(ISNA(MATCH(W3552,W$256:W3551,0)),1,0))</f>
        <v/>
      </c>
      <c r="AA3552">
        <f>IF(Z3552&gt;Z3551,Z3552,"")</f>
        <v/>
      </c>
      <c r="AB3552">
        <f>AB3551+IF(X3552="",0,IF(ISNA(MATCH(X3552,X$256:X3551,0)),1,0))</f>
        <v/>
      </c>
      <c r="AC3552">
        <f>IF(AB3552&gt;AB3551,AB3552,"")</f>
        <v/>
      </c>
    </row>
    <row r="3553">
      <c r="W3553" s="7" t="n"/>
      <c r="X3553" s="7" t="n"/>
      <c r="Z3553">
        <f>Z3552+IF(W3553="",0,IF(ISNA(MATCH(W3553,W$256:W3552,0)),1,0))</f>
        <v/>
      </c>
      <c r="AA3553">
        <f>IF(Z3553&gt;Z3552,Z3553,"")</f>
        <v/>
      </c>
      <c r="AB3553">
        <f>AB3552+IF(X3553="",0,IF(ISNA(MATCH(X3553,X$256:X3552,0)),1,0))</f>
        <v/>
      </c>
      <c r="AC3553">
        <f>IF(AB3553&gt;AB3552,AB3553,"")</f>
        <v/>
      </c>
    </row>
    <row r="3554">
      <c r="W3554" s="7" t="n"/>
      <c r="X3554" s="7" t="n"/>
      <c r="Z3554">
        <f>Z3553+IF(W3554="",0,IF(ISNA(MATCH(W3554,W$256:W3553,0)),1,0))</f>
        <v/>
      </c>
      <c r="AA3554">
        <f>IF(Z3554&gt;Z3553,Z3554,"")</f>
        <v/>
      </c>
      <c r="AB3554">
        <f>AB3553+IF(X3554="",0,IF(ISNA(MATCH(X3554,X$256:X3553,0)),1,0))</f>
        <v/>
      </c>
      <c r="AC3554">
        <f>IF(AB3554&gt;AB3553,AB3554,"")</f>
        <v/>
      </c>
    </row>
    <row r="3555">
      <c r="W3555" s="7" t="n"/>
      <c r="X3555" s="7" t="n"/>
      <c r="Z3555">
        <f>Z3554+IF(W3555="",0,IF(ISNA(MATCH(W3555,W$256:W3554,0)),1,0))</f>
        <v/>
      </c>
      <c r="AA3555">
        <f>IF(Z3555&gt;Z3554,Z3555,"")</f>
        <v/>
      </c>
      <c r="AB3555">
        <f>AB3554+IF(X3555="",0,IF(ISNA(MATCH(X3555,X$256:X3554,0)),1,0))</f>
        <v/>
      </c>
      <c r="AC3555">
        <f>IF(AB3555&gt;AB3554,AB3555,"")</f>
        <v/>
      </c>
    </row>
    <row r="3556">
      <c r="W3556" s="7" t="n"/>
      <c r="X3556" s="7" t="n"/>
      <c r="Z3556">
        <f>Z3555+IF(W3556="",0,IF(ISNA(MATCH(W3556,W$256:W3555,0)),1,0))</f>
        <v/>
      </c>
      <c r="AA3556">
        <f>IF(Z3556&gt;Z3555,Z3556,"")</f>
        <v/>
      </c>
      <c r="AB3556">
        <f>AB3555+IF(X3556="",0,IF(ISNA(MATCH(X3556,X$256:X3555,0)),1,0))</f>
        <v/>
      </c>
      <c r="AC3556">
        <f>IF(AB3556&gt;AB3555,AB3556,"")</f>
        <v/>
      </c>
    </row>
    <row r="3557">
      <c r="W3557" s="7" t="n"/>
      <c r="X3557" s="7" t="n"/>
      <c r="Z3557">
        <f>Z3556+IF(W3557="",0,IF(ISNA(MATCH(W3557,W$256:W3556,0)),1,0))</f>
        <v/>
      </c>
      <c r="AA3557">
        <f>IF(Z3557&gt;Z3556,Z3557,"")</f>
        <v/>
      </c>
      <c r="AB3557">
        <f>AB3556+IF(X3557="",0,IF(ISNA(MATCH(X3557,X$256:X3556,0)),1,0))</f>
        <v/>
      </c>
      <c r="AC3557">
        <f>IF(AB3557&gt;AB3556,AB3557,"")</f>
        <v/>
      </c>
    </row>
    <row r="3558">
      <c r="W3558" s="7" t="n"/>
      <c r="X3558" s="7" t="n"/>
      <c r="Z3558">
        <f>Z3557+IF(W3558="",0,IF(ISNA(MATCH(W3558,W$256:W3557,0)),1,0))</f>
        <v/>
      </c>
      <c r="AA3558">
        <f>IF(Z3558&gt;Z3557,Z3558,"")</f>
        <v/>
      </c>
      <c r="AB3558">
        <f>AB3557+IF(X3558="",0,IF(ISNA(MATCH(X3558,X$256:X3557,0)),1,0))</f>
        <v/>
      </c>
      <c r="AC3558">
        <f>IF(AB3558&gt;AB3557,AB3558,"")</f>
        <v/>
      </c>
    </row>
    <row r="3559">
      <c r="W3559" s="7" t="n"/>
      <c r="X3559" s="7" t="n"/>
      <c r="Z3559">
        <f>Z3558+IF(W3559="",0,IF(ISNA(MATCH(W3559,W$256:W3558,0)),1,0))</f>
        <v/>
      </c>
      <c r="AA3559">
        <f>IF(Z3559&gt;Z3558,Z3559,"")</f>
        <v/>
      </c>
      <c r="AB3559">
        <f>AB3558+IF(X3559="",0,IF(ISNA(MATCH(X3559,X$256:X3558,0)),1,0))</f>
        <v/>
      </c>
      <c r="AC3559">
        <f>IF(AB3559&gt;AB3558,AB3559,"")</f>
        <v/>
      </c>
    </row>
    <row r="3560">
      <c r="W3560" s="7" t="n"/>
      <c r="X3560" s="7" t="n"/>
      <c r="Z3560">
        <f>Z3559+IF(W3560="",0,IF(ISNA(MATCH(W3560,W$256:W3559,0)),1,0))</f>
        <v/>
      </c>
      <c r="AA3560">
        <f>IF(Z3560&gt;Z3559,Z3560,"")</f>
        <v/>
      </c>
      <c r="AB3560">
        <f>AB3559+IF(X3560="",0,IF(ISNA(MATCH(X3560,X$256:X3559,0)),1,0))</f>
        <v/>
      </c>
      <c r="AC3560">
        <f>IF(AB3560&gt;AB3559,AB3560,"")</f>
        <v/>
      </c>
    </row>
    <row r="3561">
      <c r="W3561" s="7" t="n"/>
      <c r="X3561" s="7" t="n"/>
      <c r="Z3561">
        <f>Z3560+IF(W3561="",0,IF(ISNA(MATCH(W3561,W$256:W3560,0)),1,0))</f>
        <v/>
      </c>
      <c r="AA3561">
        <f>IF(Z3561&gt;Z3560,Z3561,"")</f>
        <v/>
      </c>
      <c r="AB3561">
        <f>AB3560+IF(X3561="",0,IF(ISNA(MATCH(X3561,X$256:X3560,0)),1,0))</f>
        <v/>
      </c>
      <c r="AC3561">
        <f>IF(AB3561&gt;AB3560,AB3561,"")</f>
        <v/>
      </c>
    </row>
    <row r="3562">
      <c r="W3562" s="7" t="n"/>
      <c r="X3562" s="7" t="n"/>
      <c r="Z3562">
        <f>Z3561+IF(W3562="",0,IF(ISNA(MATCH(W3562,W$256:W3561,0)),1,0))</f>
        <v/>
      </c>
      <c r="AA3562">
        <f>IF(Z3562&gt;Z3561,Z3562,"")</f>
        <v/>
      </c>
      <c r="AB3562">
        <f>AB3561+IF(X3562="",0,IF(ISNA(MATCH(X3562,X$256:X3561,0)),1,0))</f>
        <v/>
      </c>
      <c r="AC3562">
        <f>IF(AB3562&gt;AB3561,AB3562,"")</f>
        <v/>
      </c>
    </row>
    <row r="3563">
      <c r="W3563" s="7" t="n"/>
      <c r="X3563" s="7" t="n"/>
      <c r="Z3563">
        <f>Z3562+IF(W3563="",0,IF(ISNA(MATCH(W3563,W$256:W3562,0)),1,0))</f>
        <v/>
      </c>
      <c r="AA3563">
        <f>IF(Z3563&gt;Z3562,Z3563,"")</f>
        <v/>
      </c>
      <c r="AB3563">
        <f>AB3562+IF(X3563="",0,IF(ISNA(MATCH(X3563,X$256:X3562,0)),1,0))</f>
        <v/>
      </c>
      <c r="AC3563">
        <f>IF(AB3563&gt;AB3562,AB3563,"")</f>
        <v/>
      </c>
    </row>
    <row r="3564">
      <c r="W3564" s="7" t="n"/>
      <c r="X3564" s="7" t="n"/>
      <c r="Z3564">
        <f>Z3563+IF(W3564="",0,IF(ISNA(MATCH(W3564,W$256:W3563,0)),1,0))</f>
        <v/>
      </c>
      <c r="AA3564">
        <f>IF(Z3564&gt;Z3563,Z3564,"")</f>
        <v/>
      </c>
      <c r="AB3564">
        <f>AB3563+IF(X3564="",0,IF(ISNA(MATCH(X3564,X$256:X3563,0)),1,0))</f>
        <v/>
      </c>
      <c r="AC3564">
        <f>IF(AB3564&gt;AB3563,AB3564,"")</f>
        <v/>
      </c>
    </row>
    <row r="3565">
      <c r="W3565" s="7" t="n"/>
      <c r="X3565" s="7" t="n"/>
      <c r="Z3565">
        <f>Z3564+IF(W3565="",0,IF(ISNA(MATCH(W3565,W$256:W3564,0)),1,0))</f>
        <v/>
      </c>
      <c r="AA3565">
        <f>IF(Z3565&gt;Z3564,Z3565,"")</f>
        <v/>
      </c>
      <c r="AB3565">
        <f>AB3564+IF(X3565="",0,IF(ISNA(MATCH(X3565,X$256:X3564,0)),1,0))</f>
        <v/>
      </c>
      <c r="AC3565">
        <f>IF(AB3565&gt;AB3564,AB3565,"")</f>
        <v/>
      </c>
    </row>
    <row r="3566">
      <c r="W3566" s="7" t="n"/>
      <c r="X3566" s="7" t="n"/>
      <c r="Z3566">
        <f>Z3565+IF(W3566="",0,IF(ISNA(MATCH(W3566,W$256:W3565,0)),1,0))</f>
        <v/>
      </c>
      <c r="AA3566">
        <f>IF(Z3566&gt;Z3565,Z3566,"")</f>
        <v/>
      </c>
      <c r="AB3566">
        <f>AB3565+IF(X3566="",0,IF(ISNA(MATCH(X3566,X$256:X3565,0)),1,0))</f>
        <v/>
      </c>
      <c r="AC3566">
        <f>IF(AB3566&gt;AB3565,AB3566,"")</f>
        <v/>
      </c>
    </row>
    <row r="3567">
      <c r="W3567" s="7" t="n"/>
      <c r="X3567" s="7" t="n"/>
      <c r="Z3567">
        <f>Z3566+IF(W3567="",0,IF(ISNA(MATCH(W3567,W$256:W3566,0)),1,0))</f>
        <v/>
      </c>
      <c r="AA3567">
        <f>IF(Z3567&gt;Z3566,Z3567,"")</f>
        <v/>
      </c>
      <c r="AB3567">
        <f>AB3566+IF(X3567="",0,IF(ISNA(MATCH(X3567,X$256:X3566,0)),1,0))</f>
        <v/>
      </c>
      <c r="AC3567">
        <f>IF(AB3567&gt;AB3566,AB3567,"")</f>
        <v/>
      </c>
    </row>
    <row r="3568">
      <c r="W3568" s="7" t="n"/>
      <c r="X3568" s="7" t="n"/>
      <c r="Z3568">
        <f>Z3567+IF(W3568="",0,IF(ISNA(MATCH(W3568,W$256:W3567,0)),1,0))</f>
        <v/>
      </c>
      <c r="AA3568">
        <f>IF(Z3568&gt;Z3567,Z3568,"")</f>
        <v/>
      </c>
      <c r="AB3568">
        <f>AB3567+IF(X3568="",0,IF(ISNA(MATCH(X3568,X$256:X3567,0)),1,0))</f>
        <v/>
      </c>
      <c r="AC3568">
        <f>IF(AB3568&gt;AB3567,AB3568,"")</f>
        <v/>
      </c>
    </row>
    <row r="3569">
      <c r="W3569" s="7" t="n"/>
      <c r="X3569" s="7" t="n"/>
      <c r="Z3569">
        <f>Z3568+IF(W3569="",0,IF(ISNA(MATCH(W3569,W$256:W3568,0)),1,0))</f>
        <v/>
      </c>
      <c r="AA3569">
        <f>IF(Z3569&gt;Z3568,Z3569,"")</f>
        <v/>
      </c>
      <c r="AB3569">
        <f>AB3568+IF(X3569="",0,IF(ISNA(MATCH(X3569,X$256:X3568,0)),1,0))</f>
        <v/>
      </c>
      <c r="AC3569">
        <f>IF(AB3569&gt;AB3568,AB3569,"")</f>
        <v/>
      </c>
    </row>
    <row r="3570">
      <c r="W3570" s="7" t="n"/>
      <c r="X3570" s="7" t="n"/>
      <c r="Z3570">
        <f>Z3569+IF(W3570="",0,IF(ISNA(MATCH(W3570,W$256:W3569,0)),1,0))</f>
        <v/>
      </c>
      <c r="AA3570">
        <f>IF(Z3570&gt;Z3569,Z3570,"")</f>
        <v/>
      </c>
      <c r="AB3570">
        <f>AB3569+IF(X3570="",0,IF(ISNA(MATCH(X3570,X$256:X3569,0)),1,0))</f>
        <v/>
      </c>
      <c r="AC3570">
        <f>IF(AB3570&gt;AB3569,AB3570,"")</f>
        <v/>
      </c>
    </row>
    <row r="3571">
      <c r="W3571" s="7" t="n"/>
      <c r="X3571" s="7" t="n"/>
      <c r="Z3571">
        <f>Z3570+IF(W3571="",0,IF(ISNA(MATCH(W3571,W$256:W3570,0)),1,0))</f>
        <v/>
      </c>
      <c r="AA3571">
        <f>IF(Z3571&gt;Z3570,Z3571,"")</f>
        <v/>
      </c>
      <c r="AB3571">
        <f>AB3570+IF(X3571="",0,IF(ISNA(MATCH(X3571,X$256:X3570,0)),1,0))</f>
        <v/>
      </c>
      <c r="AC3571">
        <f>IF(AB3571&gt;AB3570,AB3571,"")</f>
        <v/>
      </c>
    </row>
    <row r="3572">
      <c r="W3572" s="7" t="n"/>
      <c r="X3572" s="7" t="n"/>
      <c r="Z3572">
        <f>Z3571+IF(W3572="",0,IF(ISNA(MATCH(W3572,W$256:W3571,0)),1,0))</f>
        <v/>
      </c>
      <c r="AA3572">
        <f>IF(Z3572&gt;Z3571,Z3572,"")</f>
        <v/>
      </c>
      <c r="AB3572">
        <f>AB3571+IF(X3572="",0,IF(ISNA(MATCH(X3572,X$256:X3571,0)),1,0))</f>
        <v/>
      </c>
      <c r="AC3572">
        <f>IF(AB3572&gt;AB3571,AB3572,"")</f>
        <v/>
      </c>
    </row>
    <row r="3573">
      <c r="W3573" s="7" t="n"/>
      <c r="X3573" s="7" t="n"/>
      <c r="Z3573">
        <f>Z3572+IF(W3573="",0,IF(ISNA(MATCH(W3573,W$256:W3572,0)),1,0))</f>
        <v/>
      </c>
      <c r="AA3573">
        <f>IF(Z3573&gt;Z3572,Z3573,"")</f>
        <v/>
      </c>
      <c r="AB3573">
        <f>AB3572+IF(X3573="",0,IF(ISNA(MATCH(X3573,X$256:X3572,0)),1,0))</f>
        <v/>
      </c>
      <c r="AC3573">
        <f>IF(AB3573&gt;AB3572,AB3573,"")</f>
        <v/>
      </c>
    </row>
    <row r="3574">
      <c r="W3574" s="7" t="n"/>
      <c r="X3574" s="7" t="n"/>
      <c r="Z3574">
        <f>Z3573+IF(W3574="",0,IF(ISNA(MATCH(W3574,W$256:W3573,0)),1,0))</f>
        <v/>
      </c>
      <c r="AA3574">
        <f>IF(Z3574&gt;Z3573,Z3574,"")</f>
        <v/>
      </c>
      <c r="AB3574">
        <f>AB3573+IF(X3574="",0,IF(ISNA(MATCH(X3574,X$256:X3573,0)),1,0))</f>
        <v/>
      </c>
      <c r="AC3574">
        <f>IF(AB3574&gt;AB3573,AB3574,"")</f>
        <v/>
      </c>
    </row>
    <row r="3575">
      <c r="W3575" s="7" t="n"/>
      <c r="X3575" s="7" t="n"/>
      <c r="Z3575">
        <f>Z3574+IF(W3575="",0,IF(ISNA(MATCH(W3575,W$256:W3574,0)),1,0))</f>
        <v/>
      </c>
      <c r="AA3575">
        <f>IF(Z3575&gt;Z3574,Z3575,"")</f>
        <v/>
      </c>
      <c r="AB3575">
        <f>AB3574+IF(X3575="",0,IF(ISNA(MATCH(X3575,X$256:X3574,0)),1,0))</f>
        <v/>
      </c>
      <c r="AC3575">
        <f>IF(AB3575&gt;AB3574,AB3575,"")</f>
        <v/>
      </c>
    </row>
    <row r="3576">
      <c r="W3576" s="7" t="n"/>
      <c r="X3576" s="7" t="n"/>
      <c r="Z3576">
        <f>Z3575+IF(W3576="",0,IF(ISNA(MATCH(W3576,W$256:W3575,0)),1,0))</f>
        <v/>
      </c>
      <c r="AA3576">
        <f>IF(Z3576&gt;Z3575,Z3576,"")</f>
        <v/>
      </c>
      <c r="AB3576">
        <f>AB3575+IF(X3576="",0,IF(ISNA(MATCH(X3576,X$256:X3575,0)),1,0))</f>
        <v/>
      </c>
      <c r="AC3576">
        <f>IF(AB3576&gt;AB3575,AB3576,"")</f>
        <v/>
      </c>
    </row>
    <row r="3577">
      <c r="W3577" s="7" t="n"/>
      <c r="X3577" s="7" t="n"/>
      <c r="Z3577">
        <f>Z3576+IF(W3577="",0,IF(ISNA(MATCH(W3577,W$256:W3576,0)),1,0))</f>
        <v/>
      </c>
      <c r="AA3577">
        <f>IF(Z3577&gt;Z3576,Z3577,"")</f>
        <v/>
      </c>
      <c r="AB3577">
        <f>AB3576+IF(X3577="",0,IF(ISNA(MATCH(X3577,X$256:X3576,0)),1,0))</f>
        <v/>
      </c>
      <c r="AC3577">
        <f>IF(AB3577&gt;AB3576,AB3577,"")</f>
        <v/>
      </c>
    </row>
    <row r="3578">
      <c r="W3578" s="7" t="n"/>
      <c r="X3578" s="7" t="n"/>
      <c r="Z3578">
        <f>Z3577+IF(W3578="",0,IF(ISNA(MATCH(W3578,W$256:W3577,0)),1,0))</f>
        <v/>
      </c>
      <c r="AA3578">
        <f>IF(Z3578&gt;Z3577,Z3578,"")</f>
        <v/>
      </c>
      <c r="AB3578">
        <f>AB3577+IF(X3578="",0,IF(ISNA(MATCH(X3578,X$256:X3577,0)),1,0))</f>
        <v/>
      </c>
      <c r="AC3578">
        <f>IF(AB3578&gt;AB3577,AB3578,"")</f>
        <v/>
      </c>
    </row>
    <row r="3579">
      <c r="W3579" s="7" t="n"/>
      <c r="X3579" s="7" t="n"/>
      <c r="Z3579">
        <f>Z3578+IF(W3579="",0,IF(ISNA(MATCH(W3579,W$256:W3578,0)),1,0))</f>
        <v/>
      </c>
      <c r="AA3579">
        <f>IF(Z3579&gt;Z3578,Z3579,"")</f>
        <v/>
      </c>
      <c r="AB3579">
        <f>AB3578+IF(X3579="",0,IF(ISNA(MATCH(X3579,X$256:X3578,0)),1,0))</f>
        <v/>
      </c>
      <c r="AC3579">
        <f>IF(AB3579&gt;AB3578,AB3579,"")</f>
        <v/>
      </c>
    </row>
    <row r="3580">
      <c r="W3580" s="7" t="n"/>
      <c r="X3580" s="7" t="n"/>
      <c r="Z3580">
        <f>Z3579+IF(W3580="",0,IF(ISNA(MATCH(W3580,W$256:W3579,0)),1,0))</f>
        <v/>
      </c>
      <c r="AA3580">
        <f>IF(Z3580&gt;Z3579,Z3580,"")</f>
        <v/>
      </c>
      <c r="AB3580">
        <f>AB3579+IF(X3580="",0,IF(ISNA(MATCH(X3580,X$256:X3579,0)),1,0))</f>
        <v/>
      </c>
      <c r="AC3580">
        <f>IF(AB3580&gt;AB3579,AB3580,"")</f>
        <v/>
      </c>
    </row>
    <row r="3581">
      <c r="W3581" s="7" t="n"/>
      <c r="X3581" s="7" t="n"/>
      <c r="Z3581">
        <f>Z3580+IF(W3581="",0,IF(ISNA(MATCH(W3581,W$256:W3580,0)),1,0))</f>
        <v/>
      </c>
      <c r="AA3581">
        <f>IF(Z3581&gt;Z3580,Z3581,"")</f>
        <v/>
      </c>
      <c r="AB3581">
        <f>AB3580+IF(X3581="",0,IF(ISNA(MATCH(X3581,X$256:X3580,0)),1,0))</f>
        <v/>
      </c>
      <c r="AC3581">
        <f>IF(AB3581&gt;AB3580,AB3581,"")</f>
        <v/>
      </c>
    </row>
    <row r="3582">
      <c r="W3582" s="7" t="n"/>
      <c r="X3582" s="7" t="n"/>
      <c r="Z3582">
        <f>Z3581+IF(W3582="",0,IF(ISNA(MATCH(W3582,W$256:W3581,0)),1,0))</f>
        <v/>
      </c>
      <c r="AA3582">
        <f>IF(Z3582&gt;Z3581,Z3582,"")</f>
        <v/>
      </c>
      <c r="AB3582">
        <f>AB3581+IF(X3582="",0,IF(ISNA(MATCH(X3582,X$256:X3581,0)),1,0))</f>
        <v/>
      </c>
      <c r="AC3582">
        <f>IF(AB3582&gt;AB3581,AB3582,"")</f>
        <v/>
      </c>
    </row>
    <row r="3583">
      <c r="W3583" s="7" t="n"/>
      <c r="X3583" s="7" t="n"/>
      <c r="Z3583">
        <f>Z3582+IF(W3583="",0,IF(ISNA(MATCH(W3583,W$256:W3582,0)),1,0))</f>
        <v/>
      </c>
      <c r="AA3583">
        <f>IF(Z3583&gt;Z3582,Z3583,"")</f>
        <v/>
      </c>
      <c r="AB3583">
        <f>AB3582+IF(X3583="",0,IF(ISNA(MATCH(X3583,X$256:X3582,0)),1,0))</f>
        <v/>
      </c>
      <c r="AC3583">
        <f>IF(AB3583&gt;AB3582,AB3583,"")</f>
        <v/>
      </c>
    </row>
    <row r="3584">
      <c r="W3584" s="7" t="n"/>
      <c r="X3584" s="7" t="n"/>
      <c r="Z3584">
        <f>Z3583+IF(W3584="",0,IF(ISNA(MATCH(W3584,W$256:W3583,0)),1,0))</f>
        <v/>
      </c>
      <c r="AA3584">
        <f>IF(Z3584&gt;Z3583,Z3584,"")</f>
        <v/>
      </c>
      <c r="AB3584">
        <f>AB3583+IF(X3584="",0,IF(ISNA(MATCH(X3584,X$256:X3583,0)),1,0))</f>
        <v/>
      </c>
      <c r="AC3584">
        <f>IF(AB3584&gt;AB3583,AB3584,"")</f>
        <v/>
      </c>
    </row>
    <row r="3585">
      <c r="W3585" s="7" t="n"/>
      <c r="X3585" s="7" t="n"/>
      <c r="Z3585">
        <f>Z3584+IF(W3585="",0,IF(ISNA(MATCH(W3585,W$256:W3584,0)),1,0))</f>
        <v/>
      </c>
      <c r="AA3585">
        <f>IF(Z3585&gt;Z3584,Z3585,"")</f>
        <v/>
      </c>
      <c r="AB3585">
        <f>AB3584+IF(X3585="",0,IF(ISNA(MATCH(X3585,X$256:X3584,0)),1,0))</f>
        <v/>
      </c>
      <c r="AC3585">
        <f>IF(AB3585&gt;AB3584,AB3585,"")</f>
        <v/>
      </c>
    </row>
    <row r="3586">
      <c r="W3586" s="7" t="n"/>
      <c r="X3586" s="7" t="n"/>
      <c r="Z3586">
        <f>Z3585+IF(W3586="",0,IF(ISNA(MATCH(W3586,W$256:W3585,0)),1,0))</f>
        <v/>
      </c>
      <c r="AA3586">
        <f>IF(Z3586&gt;Z3585,Z3586,"")</f>
        <v/>
      </c>
      <c r="AB3586">
        <f>AB3585+IF(X3586="",0,IF(ISNA(MATCH(X3586,X$256:X3585,0)),1,0))</f>
        <v/>
      </c>
      <c r="AC3586">
        <f>IF(AB3586&gt;AB3585,AB3586,"")</f>
        <v/>
      </c>
    </row>
    <row r="3587">
      <c r="W3587" s="7" t="n"/>
      <c r="X3587" s="7" t="n"/>
      <c r="Z3587">
        <f>Z3586+IF(W3587="",0,IF(ISNA(MATCH(W3587,W$256:W3586,0)),1,0))</f>
        <v/>
      </c>
      <c r="AA3587">
        <f>IF(Z3587&gt;Z3586,Z3587,"")</f>
        <v/>
      </c>
      <c r="AB3587">
        <f>AB3586+IF(X3587="",0,IF(ISNA(MATCH(X3587,X$256:X3586,0)),1,0))</f>
        <v/>
      </c>
      <c r="AC3587">
        <f>IF(AB3587&gt;AB3586,AB3587,"")</f>
        <v/>
      </c>
    </row>
    <row r="3588">
      <c r="W3588" s="7" t="n"/>
      <c r="X3588" s="7" t="n"/>
      <c r="Z3588">
        <f>Z3587+IF(W3588="",0,IF(ISNA(MATCH(W3588,W$256:W3587,0)),1,0))</f>
        <v/>
      </c>
      <c r="AA3588">
        <f>IF(Z3588&gt;Z3587,Z3588,"")</f>
        <v/>
      </c>
      <c r="AB3588">
        <f>AB3587+IF(X3588="",0,IF(ISNA(MATCH(X3588,X$256:X3587,0)),1,0))</f>
        <v/>
      </c>
      <c r="AC3588">
        <f>IF(AB3588&gt;AB3587,AB3588,"")</f>
        <v/>
      </c>
    </row>
    <row r="3589">
      <c r="W3589" s="7" t="n"/>
      <c r="X3589" s="7" t="n"/>
      <c r="Z3589">
        <f>Z3588+IF(W3589="",0,IF(ISNA(MATCH(W3589,W$256:W3588,0)),1,0))</f>
        <v/>
      </c>
      <c r="AA3589">
        <f>IF(Z3589&gt;Z3588,Z3589,"")</f>
        <v/>
      </c>
      <c r="AB3589">
        <f>AB3588+IF(X3589="",0,IF(ISNA(MATCH(X3589,X$256:X3588,0)),1,0))</f>
        <v/>
      </c>
      <c r="AC3589">
        <f>IF(AB3589&gt;AB3588,AB3589,"")</f>
        <v/>
      </c>
    </row>
    <row r="3590">
      <c r="W3590" s="7" t="n"/>
      <c r="X3590" s="7" t="n"/>
      <c r="Z3590">
        <f>Z3589+IF(W3590="",0,IF(ISNA(MATCH(W3590,W$256:W3589,0)),1,0))</f>
        <v/>
      </c>
      <c r="AA3590">
        <f>IF(Z3590&gt;Z3589,Z3590,"")</f>
        <v/>
      </c>
      <c r="AB3590">
        <f>AB3589+IF(X3590="",0,IF(ISNA(MATCH(X3590,X$256:X3589,0)),1,0))</f>
        <v/>
      </c>
      <c r="AC3590">
        <f>IF(AB3590&gt;AB3589,AB3590,"")</f>
        <v/>
      </c>
    </row>
    <row r="3591">
      <c r="W3591" s="7" t="n"/>
      <c r="X3591" s="7" t="n"/>
      <c r="Z3591">
        <f>Z3590+IF(W3591="",0,IF(ISNA(MATCH(W3591,W$256:W3590,0)),1,0))</f>
        <v/>
      </c>
      <c r="AA3591">
        <f>IF(Z3591&gt;Z3590,Z3591,"")</f>
        <v/>
      </c>
      <c r="AB3591">
        <f>AB3590+IF(X3591="",0,IF(ISNA(MATCH(X3591,X$256:X3590,0)),1,0))</f>
        <v/>
      </c>
      <c r="AC3591">
        <f>IF(AB3591&gt;AB3590,AB3591,"")</f>
        <v/>
      </c>
    </row>
    <row r="3592">
      <c r="W3592" s="7" t="n"/>
      <c r="X3592" s="7" t="n"/>
      <c r="Z3592">
        <f>Z3591+IF(W3592="",0,IF(ISNA(MATCH(W3592,W$256:W3591,0)),1,0))</f>
        <v/>
      </c>
      <c r="AA3592">
        <f>IF(Z3592&gt;Z3591,Z3592,"")</f>
        <v/>
      </c>
      <c r="AB3592">
        <f>AB3591+IF(X3592="",0,IF(ISNA(MATCH(X3592,X$256:X3591,0)),1,0))</f>
        <v/>
      </c>
      <c r="AC3592">
        <f>IF(AB3592&gt;AB3591,AB3592,"")</f>
        <v/>
      </c>
    </row>
    <row r="3593">
      <c r="W3593" s="7" t="n"/>
      <c r="X3593" s="7" t="n"/>
      <c r="Z3593">
        <f>Z3592+IF(W3593="",0,IF(ISNA(MATCH(W3593,W$256:W3592,0)),1,0))</f>
        <v/>
      </c>
      <c r="AA3593">
        <f>IF(Z3593&gt;Z3592,Z3593,"")</f>
        <v/>
      </c>
      <c r="AB3593">
        <f>AB3592+IF(X3593="",0,IF(ISNA(MATCH(X3593,X$256:X3592,0)),1,0))</f>
        <v/>
      </c>
      <c r="AC3593">
        <f>IF(AB3593&gt;AB3592,AB3593,"")</f>
        <v/>
      </c>
    </row>
    <row r="3594">
      <c r="W3594" s="7" t="n"/>
      <c r="X3594" s="7" t="n"/>
      <c r="Z3594">
        <f>Z3593+IF(W3594="",0,IF(ISNA(MATCH(W3594,W$256:W3593,0)),1,0))</f>
        <v/>
      </c>
      <c r="AA3594">
        <f>IF(Z3594&gt;Z3593,Z3594,"")</f>
        <v/>
      </c>
      <c r="AB3594">
        <f>AB3593+IF(X3594="",0,IF(ISNA(MATCH(X3594,X$256:X3593,0)),1,0))</f>
        <v/>
      </c>
      <c r="AC3594">
        <f>IF(AB3594&gt;AB3593,AB3594,"")</f>
        <v/>
      </c>
    </row>
    <row r="3595">
      <c r="W3595" s="7" t="n"/>
      <c r="X3595" s="7" t="n"/>
      <c r="Z3595">
        <f>Z3594+IF(W3595="",0,IF(ISNA(MATCH(W3595,W$256:W3594,0)),1,0))</f>
        <v/>
      </c>
      <c r="AA3595">
        <f>IF(Z3595&gt;Z3594,Z3595,"")</f>
        <v/>
      </c>
      <c r="AB3595">
        <f>AB3594+IF(X3595="",0,IF(ISNA(MATCH(X3595,X$256:X3594,0)),1,0))</f>
        <v/>
      </c>
      <c r="AC3595">
        <f>IF(AB3595&gt;AB3594,AB3595,"")</f>
        <v/>
      </c>
    </row>
    <row r="3596">
      <c r="W3596" s="7" t="n"/>
      <c r="X3596" s="7" t="n"/>
      <c r="Z3596">
        <f>Z3595+IF(W3596="",0,IF(ISNA(MATCH(W3596,W$256:W3595,0)),1,0))</f>
        <v/>
      </c>
      <c r="AA3596">
        <f>IF(Z3596&gt;Z3595,Z3596,"")</f>
        <v/>
      </c>
      <c r="AB3596">
        <f>AB3595+IF(X3596="",0,IF(ISNA(MATCH(X3596,X$256:X3595,0)),1,0))</f>
        <v/>
      </c>
      <c r="AC3596">
        <f>IF(AB3596&gt;AB3595,AB3596,"")</f>
        <v/>
      </c>
    </row>
    <row r="3597">
      <c r="W3597" s="7" t="n"/>
      <c r="X3597" s="7" t="n"/>
      <c r="Z3597">
        <f>Z3596+IF(W3597="",0,IF(ISNA(MATCH(W3597,W$256:W3596,0)),1,0))</f>
        <v/>
      </c>
      <c r="AA3597">
        <f>IF(Z3597&gt;Z3596,Z3597,"")</f>
        <v/>
      </c>
      <c r="AB3597">
        <f>AB3596+IF(X3597="",0,IF(ISNA(MATCH(X3597,X$256:X3596,0)),1,0))</f>
        <v/>
      </c>
      <c r="AC3597">
        <f>IF(AB3597&gt;AB3596,AB3597,"")</f>
        <v/>
      </c>
    </row>
    <row r="3598">
      <c r="W3598" s="7" t="n"/>
      <c r="X3598" s="7" t="n"/>
      <c r="Z3598">
        <f>Z3597+IF(W3598="",0,IF(ISNA(MATCH(W3598,W$256:W3597,0)),1,0))</f>
        <v/>
      </c>
      <c r="AA3598">
        <f>IF(Z3598&gt;Z3597,Z3598,"")</f>
        <v/>
      </c>
      <c r="AB3598">
        <f>AB3597+IF(X3598="",0,IF(ISNA(MATCH(X3598,X$256:X3597,0)),1,0))</f>
        <v/>
      </c>
      <c r="AC3598">
        <f>IF(AB3598&gt;AB3597,AB3598,"")</f>
        <v/>
      </c>
    </row>
    <row r="3599">
      <c r="W3599" s="7" t="n"/>
      <c r="X3599" s="7" t="n"/>
      <c r="Z3599">
        <f>Z3598+IF(W3599="",0,IF(ISNA(MATCH(W3599,W$256:W3598,0)),1,0))</f>
        <v/>
      </c>
      <c r="AA3599">
        <f>IF(Z3599&gt;Z3598,Z3599,"")</f>
        <v/>
      </c>
      <c r="AB3599">
        <f>AB3598+IF(X3599="",0,IF(ISNA(MATCH(X3599,X$256:X3598,0)),1,0))</f>
        <v/>
      </c>
      <c r="AC3599">
        <f>IF(AB3599&gt;AB3598,AB3599,"")</f>
        <v/>
      </c>
    </row>
    <row r="3600">
      <c r="W3600" s="7" t="n"/>
      <c r="X3600" s="7" t="n"/>
      <c r="Z3600">
        <f>Z3599+IF(W3600="",0,IF(ISNA(MATCH(W3600,W$256:W3599,0)),1,0))</f>
        <v/>
      </c>
      <c r="AA3600">
        <f>IF(Z3600&gt;Z3599,Z3600,"")</f>
        <v/>
      </c>
      <c r="AB3600">
        <f>AB3599+IF(X3600="",0,IF(ISNA(MATCH(X3600,X$256:X3599,0)),1,0))</f>
        <v/>
      </c>
      <c r="AC3600">
        <f>IF(AB3600&gt;AB3599,AB3600,"")</f>
        <v/>
      </c>
    </row>
    <row r="3601">
      <c r="W3601" s="7" t="n"/>
      <c r="X3601" s="7" t="n"/>
      <c r="Z3601">
        <f>Z3600+IF(W3601="",0,IF(ISNA(MATCH(W3601,W$256:W3600,0)),1,0))</f>
        <v/>
      </c>
      <c r="AA3601">
        <f>IF(Z3601&gt;Z3600,Z3601,"")</f>
        <v/>
      </c>
      <c r="AB3601">
        <f>AB3600+IF(X3601="",0,IF(ISNA(MATCH(X3601,X$256:X3600,0)),1,0))</f>
        <v/>
      </c>
      <c r="AC3601">
        <f>IF(AB3601&gt;AB3600,AB3601,"")</f>
        <v/>
      </c>
    </row>
    <row r="3602">
      <c r="W3602" s="7" t="n"/>
      <c r="X3602" s="7" t="n"/>
      <c r="Z3602">
        <f>Z3601+IF(W3602="",0,IF(ISNA(MATCH(W3602,W$256:W3601,0)),1,0))</f>
        <v/>
      </c>
      <c r="AA3602">
        <f>IF(Z3602&gt;Z3601,Z3602,"")</f>
        <v/>
      </c>
      <c r="AB3602">
        <f>AB3601+IF(X3602="",0,IF(ISNA(MATCH(X3602,X$256:X3601,0)),1,0))</f>
        <v/>
      </c>
      <c r="AC3602">
        <f>IF(AB3602&gt;AB3601,AB3602,"")</f>
        <v/>
      </c>
    </row>
    <row r="3603">
      <c r="W3603" s="7" t="n"/>
      <c r="X3603" s="7" t="n"/>
      <c r="Z3603">
        <f>Z3602+IF(W3603="",0,IF(ISNA(MATCH(W3603,W$256:W3602,0)),1,0))</f>
        <v/>
      </c>
      <c r="AA3603">
        <f>IF(Z3603&gt;Z3602,Z3603,"")</f>
        <v/>
      </c>
      <c r="AB3603">
        <f>AB3602+IF(X3603="",0,IF(ISNA(MATCH(X3603,X$256:X3602,0)),1,0))</f>
        <v/>
      </c>
      <c r="AC3603">
        <f>IF(AB3603&gt;AB3602,AB3603,"")</f>
        <v/>
      </c>
    </row>
    <row r="3604">
      <c r="W3604" s="7" t="n"/>
      <c r="X3604" s="7" t="n"/>
      <c r="Z3604">
        <f>Z3603+IF(W3604="",0,IF(ISNA(MATCH(W3604,W$256:W3603,0)),1,0))</f>
        <v/>
      </c>
      <c r="AA3604">
        <f>IF(Z3604&gt;Z3603,Z3604,"")</f>
        <v/>
      </c>
      <c r="AB3604">
        <f>AB3603+IF(X3604="",0,IF(ISNA(MATCH(X3604,X$256:X3603,0)),1,0))</f>
        <v/>
      </c>
      <c r="AC3604">
        <f>IF(AB3604&gt;AB3603,AB3604,"")</f>
        <v/>
      </c>
    </row>
    <row r="3605">
      <c r="W3605" s="7" t="n"/>
      <c r="X3605" s="7" t="n"/>
      <c r="Z3605">
        <f>Z3604+IF(W3605="",0,IF(ISNA(MATCH(W3605,W$256:W3604,0)),1,0))</f>
        <v/>
      </c>
      <c r="AA3605">
        <f>IF(Z3605&gt;Z3604,Z3605,"")</f>
        <v/>
      </c>
      <c r="AB3605">
        <f>AB3604+IF(X3605="",0,IF(ISNA(MATCH(X3605,X$256:X3604,0)),1,0))</f>
        <v/>
      </c>
      <c r="AC3605">
        <f>IF(AB3605&gt;AB3604,AB3605,"")</f>
        <v/>
      </c>
    </row>
    <row r="3606">
      <c r="W3606" s="7" t="n"/>
      <c r="X3606" s="7" t="n"/>
      <c r="Z3606">
        <f>Z3605+IF(W3606="",0,IF(ISNA(MATCH(W3606,W$256:W3605,0)),1,0))</f>
        <v/>
      </c>
      <c r="AA3606">
        <f>IF(Z3606&gt;Z3605,Z3606,"")</f>
        <v/>
      </c>
      <c r="AB3606">
        <f>AB3605+IF(X3606="",0,IF(ISNA(MATCH(X3606,X$256:X3605,0)),1,0))</f>
        <v/>
      </c>
      <c r="AC3606">
        <f>IF(AB3606&gt;AB3605,AB3606,"")</f>
        <v/>
      </c>
    </row>
    <row r="3607">
      <c r="W3607" s="7" t="n"/>
      <c r="X3607" s="7" t="n"/>
      <c r="Z3607">
        <f>Z3606+IF(W3607="",0,IF(ISNA(MATCH(W3607,W$256:W3606,0)),1,0))</f>
        <v/>
      </c>
      <c r="AA3607">
        <f>IF(Z3607&gt;Z3606,Z3607,"")</f>
        <v/>
      </c>
      <c r="AB3607">
        <f>AB3606+IF(X3607="",0,IF(ISNA(MATCH(X3607,X$256:X3606,0)),1,0))</f>
        <v/>
      </c>
      <c r="AC3607">
        <f>IF(AB3607&gt;AB3606,AB3607,"")</f>
        <v/>
      </c>
    </row>
    <row r="3608">
      <c r="W3608" s="7" t="n"/>
      <c r="X3608" s="7" t="n"/>
      <c r="Z3608">
        <f>Z3607+IF(W3608="",0,IF(ISNA(MATCH(W3608,W$256:W3607,0)),1,0))</f>
        <v/>
      </c>
      <c r="AA3608">
        <f>IF(Z3608&gt;Z3607,Z3608,"")</f>
        <v/>
      </c>
      <c r="AB3608">
        <f>AB3607+IF(X3608="",0,IF(ISNA(MATCH(X3608,X$256:X3607,0)),1,0))</f>
        <v/>
      </c>
      <c r="AC3608">
        <f>IF(AB3608&gt;AB3607,AB3608,"")</f>
        <v/>
      </c>
    </row>
    <row r="3609">
      <c r="W3609" s="7" t="n"/>
      <c r="X3609" s="7" t="n"/>
      <c r="Z3609">
        <f>Z3608+IF(W3609="",0,IF(ISNA(MATCH(W3609,W$256:W3608,0)),1,0))</f>
        <v/>
      </c>
      <c r="AA3609">
        <f>IF(Z3609&gt;Z3608,Z3609,"")</f>
        <v/>
      </c>
      <c r="AB3609">
        <f>AB3608+IF(X3609="",0,IF(ISNA(MATCH(X3609,X$256:X3608,0)),1,0))</f>
        <v/>
      </c>
      <c r="AC3609">
        <f>IF(AB3609&gt;AB3608,AB3609,"")</f>
        <v/>
      </c>
    </row>
    <row r="3610">
      <c r="W3610" s="7" t="n"/>
      <c r="X3610" s="7" t="n"/>
      <c r="Z3610">
        <f>Z3609+IF(W3610="",0,IF(ISNA(MATCH(W3610,W$256:W3609,0)),1,0))</f>
        <v/>
      </c>
      <c r="AA3610">
        <f>IF(Z3610&gt;Z3609,Z3610,"")</f>
        <v/>
      </c>
      <c r="AB3610">
        <f>AB3609+IF(X3610="",0,IF(ISNA(MATCH(X3610,X$256:X3609,0)),1,0))</f>
        <v/>
      </c>
      <c r="AC3610">
        <f>IF(AB3610&gt;AB3609,AB3610,"")</f>
        <v/>
      </c>
    </row>
    <row r="3611">
      <c r="W3611" s="7" t="n"/>
      <c r="X3611" s="7" t="n"/>
      <c r="Z3611">
        <f>Z3610+IF(W3611="",0,IF(ISNA(MATCH(W3611,W$256:W3610,0)),1,0))</f>
        <v/>
      </c>
      <c r="AA3611">
        <f>IF(Z3611&gt;Z3610,Z3611,"")</f>
        <v/>
      </c>
      <c r="AB3611">
        <f>AB3610+IF(X3611="",0,IF(ISNA(MATCH(X3611,X$256:X3610,0)),1,0))</f>
        <v/>
      </c>
      <c r="AC3611">
        <f>IF(AB3611&gt;AB3610,AB3611,"")</f>
        <v/>
      </c>
    </row>
    <row r="3612">
      <c r="W3612" s="7" t="n"/>
      <c r="X3612" s="7" t="n"/>
      <c r="Z3612">
        <f>Z3611+IF(W3612="",0,IF(ISNA(MATCH(W3612,W$256:W3611,0)),1,0))</f>
        <v/>
      </c>
      <c r="AA3612">
        <f>IF(Z3612&gt;Z3611,Z3612,"")</f>
        <v/>
      </c>
      <c r="AB3612">
        <f>AB3611+IF(X3612="",0,IF(ISNA(MATCH(X3612,X$256:X3611,0)),1,0))</f>
        <v/>
      </c>
      <c r="AC3612">
        <f>IF(AB3612&gt;AB3611,AB3612,"")</f>
        <v/>
      </c>
    </row>
    <row r="3613">
      <c r="W3613" s="7" t="n"/>
      <c r="X3613" s="7" t="n"/>
      <c r="Z3613">
        <f>Z3612+IF(W3613="",0,IF(ISNA(MATCH(W3613,W$256:W3612,0)),1,0))</f>
        <v/>
      </c>
      <c r="AA3613">
        <f>IF(Z3613&gt;Z3612,Z3613,"")</f>
        <v/>
      </c>
      <c r="AB3613">
        <f>AB3612+IF(X3613="",0,IF(ISNA(MATCH(X3613,X$256:X3612,0)),1,0))</f>
        <v/>
      </c>
      <c r="AC3613">
        <f>IF(AB3613&gt;AB3612,AB3613,"")</f>
        <v/>
      </c>
    </row>
    <row r="3614">
      <c r="W3614" s="7" t="n"/>
      <c r="X3614" s="7" t="n"/>
      <c r="Z3614">
        <f>Z3613+IF(W3614="",0,IF(ISNA(MATCH(W3614,W$256:W3613,0)),1,0))</f>
        <v/>
      </c>
      <c r="AA3614">
        <f>IF(Z3614&gt;Z3613,Z3614,"")</f>
        <v/>
      </c>
      <c r="AB3614">
        <f>AB3613+IF(X3614="",0,IF(ISNA(MATCH(X3614,X$256:X3613,0)),1,0))</f>
        <v/>
      </c>
      <c r="AC3614">
        <f>IF(AB3614&gt;AB3613,AB3614,"")</f>
        <v/>
      </c>
    </row>
    <row r="3615">
      <c r="W3615" s="7" t="n"/>
      <c r="X3615" s="7" t="n"/>
      <c r="Z3615">
        <f>Z3614+IF(W3615="",0,IF(ISNA(MATCH(W3615,W$256:W3614,0)),1,0))</f>
        <v/>
      </c>
      <c r="AA3615">
        <f>IF(Z3615&gt;Z3614,Z3615,"")</f>
        <v/>
      </c>
      <c r="AB3615">
        <f>AB3614+IF(X3615="",0,IF(ISNA(MATCH(X3615,X$256:X3614,0)),1,0))</f>
        <v/>
      </c>
      <c r="AC3615">
        <f>IF(AB3615&gt;AB3614,AB3615,"")</f>
        <v/>
      </c>
    </row>
    <row r="3616">
      <c r="W3616" s="7" t="n"/>
      <c r="X3616" s="7" t="n"/>
      <c r="Z3616">
        <f>Z3615+IF(W3616="",0,IF(ISNA(MATCH(W3616,W$256:W3615,0)),1,0))</f>
        <v/>
      </c>
      <c r="AA3616">
        <f>IF(Z3616&gt;Z3615,Z3616,"")</f>
        <v/>
      </c>
      <c r="AB3616">
        <f>AB3615+IF(X3616="",0,IF(ISNA(MATCH(X3616,X$256:X3615,0)),1,0))</f>
        <v/>
      </c>
      <c r="AC3616">
        <f>IF(AB3616&gt;AB3615,AB3616,"")</f>
        <v/>
      </c>
    </row>
    <row r="3617">
      <c r="W3617" s="7" t="n"/>
      <c r="X3617" s="7" t="n"/>
      <c r="Z3617">
        <f>Z3616+IF(W3617="",0,IF(ISNA(MATCH(W3617,W$256:W3616,0)),1,0))</f>
        <v/>
      </c>
      <c r="AA3617">
        <f>IF(Z3617&gt;Z3616,Z3617,"")</f>
        <v/>
      </c>
      <c r="AB3617">
        <f>AB3616+IF(X3617="",0,IF(ISNA(MATCH(X3617,X$256:X3616,0)),1,0))</f>
        <v/>
      </c>
      <c r="AC3617">
        <f>IF(AB3617&gt;AB3616,AB3617,"")</f>
        <v/>
      </c>
    </row>
    <row r="3618">
      <c r="W3618" s="7" t="n"/>
      <c r="X3618" s="7" t="n"/>
      <c r="Z3618">
        <f>Z3617+IF(W3618="",0,IF(ISNA(MATCH(W3618,W$256:W3617,0)),1,0))</f>
        <v/>
      </c>
      <c r="AA3618">
        <f>IF(Z3618&gt;Z3617,Z3618,"")</f>
        <v/>
      </c>
      <c r="AB3618">
        <f>AB3617+IF(X3618="",0,IF(ISNA(MATCH(X3618,X$256:X3617,0)),1,0))</f>
        <v/>
      </c>
      <c r="AC3618">
        <f>IF(AB3618&gt;AB3617,AB3618,"")</f>
        <v/>
      </c>
    </row>
    <row r="3619">
      <c r="W3619" s="7" t="n"/>
      <c r="X3619" s="7" t="n"/>
      <c r="Z3619">
        <f>Z3618+IF(W3619="",0,IF(ISNA(MATCH(W3619,W$256:W3618,0)),1,0))</f>
        <v/>
      </c>
      <c r="AA3619">
        <f>IF(Z3619&gt;Z3618,Z3619,"")</f>
        <v/>
      </c>
      <c r="AB3619">
        <f>AB3618+IF(X3619="",0,IF(ISNA(MATCH(X3619,X$256:X3618,0)),1,0))</f>
        <v/>
      </c>
      <c r="AC3619">
        <f>IF(AB3619&gt;AB3618,AB3619,"")</f>
        <v/>
      </c>
    </row>
    <row r="3620">
      <c r="W3620" s="7" t="n"/>
      <c r="X3620" s="7" t="n"/>
      <c r="Z3620">
        <f>Z3619+IF(W3620="",0,IF(ISNA(MATCH(W3620,W$256:W3619,0)),1,0))</f>
        <v/>
      </c>
      <c r="AA3620">
        <f>IF(Z3620&gt;Z3619,Z3620,"")</f>
        <v/>
      </c>
      <c r="AB3620">
        <f>AB3619+IF(X3620="",0,IF(ISNA(MATCH(X3620,X$256:X3619,0)),1,0))</f>
        <v/>
      </c>
      <c r="AC3620">
        <f>IF(AB3620&gt;AB3619,AB3620,"")</f>
        <v/>
      </c>
    </row>
    <row r="3621">
      <c r="W3621" s="7" t="n"/>
      <c r="X3621" s="7" t="n"/>
      <c r="Z3621">
        <f>Z3620+IF(W3621="",0,IF(ISNA(MATCH(W3621,W$256:W3620,0)),1,0))</f>
        <v/>
      </c>
      <c r="AA3621">
        <f>IF(Z3621&gt;Z3620,Z3621,"")</f>
        <v/>
      </c>
      <c r="AB3621">
        <f>AB3620+IF(X3621="",0,IF(ISNA(MATCH(X3621,X$256:X3620,0)),1,0))</f>
        <v/>
      </c>
      <c r="AC3621">
        <f>IF(AB3621&gt;AB3620,AB3621,"")</f>
        <v/>
      </c>
    </row>
    <row r="3622">
      <c r="W3622" s="7" t="n"/>
      <c r="X3622" s="7" t="n"/>
      <c r="Z3622">
        <f>Z3621+IF(W3622="",0,IF(ISNA(MATCH(W3622,W$256:W3621,0)),1,0))</f>
        <v/>
      </c>
      <c r="AA3622">
        <f>IF(Z3622&gt;Z3621,Z3622,"")</f>
        <v/>
      </c>
      <c r="AB3622">
        <f>AB3621+IF(X3622="",0,IF(ISNA(MATCH(X3622,X$256:X3621,0)),1,0))</f>
        <v/>
      </c>
      <c r="AC3622">
        <f>IF(AB3622&gt;AB3621,AB3622,"")</f>
        <v/>
      </c>
    </row>
    <row r="3623">
      <c r="W3623" s="7" t="n"/>
      <c r="X3623" s="7" t="n"/>
      <c r="Z3623">
        <f>Z3622+IF(W3623="",0,IF(ISNA(MATCH(W3623,W$256:W3622,0)),1,0))</f>
        <v/>
      </c>
      <c r="AA3623">
        <f>IF(Z3623&gt;Z3622,Z3623,"")</f>
        <v/>
      </c>
      <c r="AB3623">
        <f>AB3622+IF(X3623="",0,IF(ISNA(MATCH(X3623,X$256:X3622,0)),1,0))</f>
        <v/>
      </c>
      <c r="AC3623">
        <f>IF(AB3623&gt;AB3622,AB3623,"")</f>
        <v/>
      </c>
    </row>
    <row r="3624">
      <c r="W3624" s="7" t="n"/>
      <c r="X3624" s="7" t="n"/>
      <c r="Z3624">
        <f>Z3623+IF(W3624="",0,IF(ISNA(MATCH(W3624,W$256:W3623,0)),1,0))</f>
        <v/>
      </c>
      <c r="AA3624">
        <f>IF(Z3624&gt;Z3623,Z3624,"")</f>
        <v/>
      </c>
      <c r="AB3624">
        <f>AB3623+IF(X3624="",0,IF(ISNA(MATCH(X3624,X$256:X3623,0)),1,0))</f>
        <v/>
      </c>
      <c r="AC3624">
        <f>IF(AB3624&gt;AB3623,AB3624,"")</f>
        <v/>
      </c>
    </row>
    <row r="3625">
      <c r="W3625" s="7" t="n"/>
      <c r="X3625" s="7" t="n"/>
      <c r="Z3625">
        <f>Z3624+IF(W3625="",0,IF(ISNA(MATCH(W3625,W$256:W3624,0)),1,0))</f>
        <v/>
      </c>
      <c r="AA3625">
        <f>IF(Z3625&gt;Z3624,Z3625,"")</f>
        <v/>
      </c>
      <c r="AB3625">
        <f>AB3624+IF(X3625="",0,IF(ISNA(MATCH(X3625,X$256:X3624,0)),1,0))</f>
        <v/>
      </c>
      <c r="AC3625">
        <f>IF(AB3625&gt;AB3624,AB3625,"")</f>
        <v/>
      </c>
    </row>
    <row r="3626">
      <c r="W3626" s="7" t="n"/>
      <c r="X3626" s="7" t="n"/>
      <c r="Z3626">
        <f>Z3625+IF(W3626="",0,IF(ISNA(MATCH(W3626,W$256:W3625,0)),1,0))</f>
        <v/>
      </c>
      <c r="AA3626">
        <f>IF(Z3626&gt;Z3625,Z3626,"")</f>
        <v/>
      </c>
      <c r="AB3626">
        <f>AB3625+IF(X3626="",0,IF(ISNA(MATCH(X3626,X$256:X3625,0)),1,0))</f>
        <v/>
      </c>
      <c r="AC3626">
        <f>IF(AB3626&gt;AB3625,AB3626,"")</f>
        <v/>
      </c>
    </row>
    <row r="3627">
      <c r="W3627" s="7" t="n"/>
      <c r="X3627" s="7" t="n"/>
      <c r="Z3627">
        <f>Z3626+IF(W3627="",0,IF(ISNA(MATCH(W3627,W$256:W3626,0)),1,0))</f>
        <v/>
      </c>
      <c r="AA3627">
        <f>IF(Z3627&gt;Z3626,Z3627,"")</f>
        <v/>
      </c>
      <c r="AB3627">
        <f>AB3626+IF(X3627="",0,IF(ISNA(MATCH(X3627,X$256:X3626,0)),1,0))</f>
        <v/>
      </c>
      <c r="AC3627">
        <f>IF(AB3627&gt;AB3626,AB3627,"")</f>
        <v/>
      </c>
    </row>
    <row r="3628">
      <c r="W3628" s="7" t="n"/>
      <c r="X3628" s="7" t="n"/>
      <c r="Z3628">
        <f>Z3627+IF(W3628="",0,IF(ISNA(MATCH(W3628,W$256:W3627,0)),1,0))</f>
        <v/>
      </c>
      <c r="AA3628">
        <f>IF(Z3628&gt;Z3627,Z3628,"")</f>
        <v/>
      </c>
      <c r="AB3628">
        <f>AB3627+IF(X3628="",0,IF(ISNA(MATCH(X3628,X$256:X3627,0)),1,0))</f>
        <v/>
      </c>
      <c r="AC3628">
        <f>IF(AB3628&gt;AB3627,AB3628,"")</f>
        <v/>
      </c>
    </row>
    <row r="3629">
      <c r="W3629" s="7" t="n"/>
      <c r="X3629" s="7" t="n"/>
      <c r="Z3629">
        <f>Z3628+IF(W3629="",0,IF(ISNA(MATCH(W3629,W$256:W3628,0)),1,0))</f>
        <v/>
      </c>
      <c r="AA3629">
        <f>IF(Z3629&gt;Z3628,Z3629,"")</f>
        <v/>
      </c>
      <c r="AB3629">
        <f>AB3628+IF(X3629="",0,IF(ISNA(MATCH(X3629,X$256:X3628,0)),1,0))</f>
        <v/>
      </c>
      <c r="AC3629">
        <f>IF(AB3629&gt;AB3628,AB3629,"")</f>
        <v/>
      </c>
    </row>
    <row r="3630">
      <c r="W3630" s="7" t="n"/>
      <c r="X3630" s="7" t="n"/>
      <c r="Z3630">
        <f>Z3629+IF(W3630="",0,IF(ISNA(MATCH(W3630,W$256:W3629,0)),1,0))</f>
        <v/>
      </c>
      <c r="AA3630">
        <f>IF(Z3630&gt;Z3629,Z3630,"")</f>
        <v/>
      </c>
      <c r="AB3630">
        <f>AB3629+IF(X3630="",0,IF(ISNA(MATCH(X3630,X$256:X3629,0)),1,0))</f>
        <v/>
      </c>
      <c r="AC3630">
        <f>IF(AB3630&gt;AB3629,AB3630,"")</f>
        <v/>
      </c>
    </row>
    <row r="3631">
      <c r="W3631" s="7" t="n"/>
      <c r="X3631" s="7" t="n"/>
      <c r="Z3631">
        <f>Z3630+IF(W3631="",0,IF(ISNA(MATCH(W3631,W$256:W3630,0)),1,0))</f>
        <v/>
      </c>
      <c r="AA3631">
        <f>IF(Z3631&gt;Z3630,Z3631,"")</f>
        <v/>
      </c>
      <c r="AB3631">
        <f>AB3630+IF(X3631="",0,IF(ISNA(MATCH(X3631,X$256:X3630,0)),1,0))</f>
        <v/>
      </c>
      <c r="AC3631">
        <f>IF(AB3631&gt;AB3630,AB3631,"")</f>
        <v/>
      </c>
    </row>
    <row r="3632">
      <c r="W3632" s="7" t="n"/>
      <c r="X3632" s="7" t="n"/>
      <c r="Z3632">
        <f>Z3631+IF(W3632="",0,IF(ISNA(MATCH(W3632,W$256:W3631,0)),1,0))</f>
        <v/>
      </c>
      <c r="AA3632">
        <f>IF(Z3632&gt;Z3631,Z3632,"")</f>
        <v/>
      </c>
      <c r="AB3632">
        <f>AB3631+IF(X3632="",0,IF(ISNA(MATCH(X3632,X$256:X3631,0)),1,0))</f>
        <v/>
      </c>
      <c r="AC3632">
        <f>IF(AB3632&gt;AB3631,AB3632,"")</f>
        <v/>
      </c>
    </row>
    <row r="3633">
      <c r="W3633" s="7" t="n"/>
      <c r="X3633" s="7" t="n"/>
      <c r="Z3633">
        <f>Z3632+IF(W3633="",0,IF(ISNA(MATCH(W3633,W$256:W3632,0)),1,0))</f>
        <v/>
      </c>
      <c r="AA3633">
        <f>IF(Z3633&gt;Z3632,Z3633,"")</f>
        <v/>
      </c>
      <c r="AB3633">
        <f>AB3632+IF(X3633="",0,IF(ISNA(MATCH(X3633,X$256:X3632,0)),1,0))</f>
        <v/>
      </c>
      <c r="AC3633">
        <f>IF(AB3633&gt;AB3632,AB3633,"")</f>
        <v/>
      </c>
    </row>
    <row r="3634">
      <c r="W3634" s="7" t="n"/>
      <c r="X3634" s="7" t="n"/>
      <c r="Z3634">
        <f>Z3633+IF(W3634="",0,IF(ISNA(MATCH(W3634,W$256:W3633,0)),1,0))</f>
        <v/>
      </c>
      <c r="AA3634">
        <f>IF(Z3634&gt;Z3633,Z3634,"")</f>
        <v/>
      </c>
      <c r="AB3634">
        <f>AB3633+IF(X3634="",0,IF(ISNA(MATCH(X3634,X$256:X3633,0)),1,0))</f>
        <v/>
      </c>
      <c r="AC3634">
        <f>IF(AB3634&gt;AB3633,AB3634,"")</f>
        <v/>
      </c>
    </row>
    <row r="3635">
      <c r="W3635" s="7" t="n"/>
      <c r="X3635" s="7" t="n"/>
      <c r="Z3635">
        <f>Z3634+IF(W3635="",0,IF(ISNA(MATCH(W3635,W$256:W3634,0)),1,0))</f>
        <v/>
      </c>
      <c r="AA3635">
        <f>IF(Z3635&gt;Z3634,Z3635,"")</f>
        <v/>
      </c>
      <c r="AB3635">
        <f>AB3634+IF(X3635="",0,IF(ISNA(MATCH(X3635,X$256:X3634,0)),1,0))</f>
        <v/>
      </c>
      <c r="AC3635">
        <f>IF(AB3635&gt;AB3634,AB3635,"")</f>
        <v/>
      </c>
    </row>
    <row r="3636">
      <c r="W3636" s="7" t="n"/>
      <c r="X3636" s="7" t="n"/>
      <c r="Z3636">
        <f>Z3635+IF(W3636="",0,IF(ISNA(MATCH(W3636,W$256:W3635,0)),1,0))</f>
        <v/>
      </c>
      <c r="AA3636">
        <f>IF(Z3636&gt;Z3635,Z3636,"")</f>
        <v/>
      </c>
      <c r="AB3636">
        <f>AB3635+IF(X3636="",0,IF(ISNA(MATCH(X3636,X$256:X3635,0)),1,0))</f>
        <v/>
      </c>
      <c r="AC3636">
        <f>IF(AB3636&gt;AB3635,AB3636,"")</f>
        <v/>
      </c>
    </row>
    <row r="3637">
      <c r="W3637" s="7" t="n"/>
      <c r="X3637" s="7" t="n"/>
      <c r="Z3637">
        <f>Z3636+IF(W3637="",0,IF(ISNA(MATCH(W3637,W$256:W3636,0)),1,0))</f>
        <v/>
      </c>
      <c r="AA3637">
        <f>IF(Z3637&gt;Z3636,Z3637,"")</f>
        <v/>
      </c>
      <c r="AB3637">
        <f>AB3636+IF(X3637="",0,IF(ISNA(MATCH(X3637,X$256:X3636,0)),1,0))</f>
        <v/>
      </c>
      <c r="AC3637">
        <f>IF(AB3637&gt;AB3636,AB3637,"")</f>
        <v/>
      </c>
    </row>
    <row r="3638">
      <c r="W3638" s="7" t="n"/>
      <c r="X3638" s="7" t="n"/>
      <c r="Z3638">
        <f>Z3637+IF(W3638="",0,IF(ISNA(MATCH(W3638,W$256:W3637,0)),1,0))</f>
        <v/>
      </c>
      <c r="AA3638">
        <f>IF(Z3638&gt;Z3637,Z3638,"")</f>
        <v/>
      </c>
      <c r="AB3638">
        <f>AB3637+IF(X3638="",0,IF(ISNA(MATCH(X3638,X$256:X3637,0)),1,0))</f>
        <v/>
      </c>
      <c r="AC3638">
        <f>IF(AB3638&gt;AB3637,AB3638,"")</f>
        <v/>
      </c>
    </row>
    <row r="3639">
      <c r="W3639" s="7" t="n"/>
      <c r="X3639" s="7" t="n"/>
      <c r="Z3639">
        <f>Z3638+IF(W3639="",0,IF(ISNA(MATCH(W3639,W$256:W3638,0)),1,0))</f>
        <v/>
      </c>
      <c r="AA3639">
        <f>IF(Z3639&gt;Z3638,Z3639,"")</f>
        <v/>
      </c>
      <c r="AB3639">
        <f>AB3638+IF(X3639="",0,IF(ISNA(MATCH(X3639,X$256:X3638,0)),1,0))</f>
        <v/>
      </c>
      <c r="AC3639">
        <f>IF(AB3639&gt;AB3638,AB3639,"")</f>
        <v/>
      </c>
    </row>
    <row r="3640">
      <c r="W3640" s="7" t="n"/>
      <c r="X3640" s="7" t="n"/>
      <c r="Z3640">
        <f>Z3639+IF(W3640="",0,IF(ISNA(MATCH(W3640,W$256:W3639,0)),1,0))</f>
        <v/>
      </c>
      <c r="AA3640">
        <f>IF(Z3640&gt;Z3639,Z3640,"")</f>
        <v/>
      </c>
      <c r="AB3640">
        <f>AB3639+IF(X3640="",0,IF(ISNA(MATCH(X3640,X$256:X3639,0)),1,0))</f>
        <v/>
      </c>
      <c r="AC3640">
        <f>IF(AB3640&gt;AB3639,AB3640,"")</f>
        <v/>
      </c>
    </row>
    <row r="3641">
      <c r="W3641" s="7" t="n"/>
      <c r="X3641" s="7" t="n"/>
      <c r="Z3641">
        <f>Z3640+IF(W3641="",0,IF(ISNA(MATCH(W3641,W$256:W3640,0)),1,0))</f>
        <v/>
      </c>
      <c r="AA3641">
        <f>IF(Z3641&gt;Z3640,Z3641,"")</f>
        <v/>
      </c>
      <c r="AB3641">
        <f>AB3640+IF(X3641="",0,IF(ISNA(MATCH(X3641,X$256:X3640,0)),1,0))</f>
        <v/>
      </c>
      <c r="AC3641">
        <f>IF(AB3641&gt;AB3640,AB3641,"")</f>
        <v/>
      </c>
    </row>
    <row r="3642">
      <c r="W3642" s="7" t="n"/>
      <c r="X3642" s="7" t="n"/>
      <c r="Z3642">
        <f>Z3641+IF(W3642="",0,IF(ISNA(MATCH(W3642,W$256:W3641,0)),1,0))</f>
        <v/>
      </c>
      <c r="AA3642">
        <f>IF(Z3642&gt;Z3641,Z3642,"")</f>
        <v/>
      </c>
      <c r="AB3642">
        <f>AB3641+IF(X3642="",0,IF(ISNA(MATCH(X3642,X$256:X3641,0)),1,0))</f>
        <v/>
      </c>
      <c r="AC3642">
        <f>IF(AB3642&gt;AB3641,AB3642,"")</f>
        <v/>
      </c>
    </row>
    <row r="3643">
      <c r="W3643" s="7" t="n"/>
      <c r="X3643" s="7" t="n"/>
      <c r="Z3643">
        <f>Z3642+IF(W3643="",0,IF(ISNA(MATCH(W3643,W$256:W3642,0)),1,0))</f>
        <v/>
      </c>
      <c r="AA3643">
        <f>IF(Z3643&gt;Z3642,Z3643,"")</f>
        <v/>
      </c>
      <c r="AB3643">
        <f>AB3642+IF(X3643="",0,IF(ISNA(MATCH(X3643,X$256:X3642,0)),1,0))</f>
        <v/>
      </c>
      <c r="AC3643">
        <f>IF(AB3643&gt;AB3642,AB3643,"")</f>
        <v/>
      </c>
    </row>
    <row r="3644">
      <c r="W3644" s="7" t="n"/>
      <c r="X3644" s="7" t="n"/>
      <c r="Z3644">
        <f>Z3643+IF(W3644="",0,IF(ISNA(MATCH(W3644,W$256:W3643,0)),1,0))</f>
        <v/>
      </c>
      <c r="AA3644">
        <f>IF(Z3644&gt;Z3643,Z3644,"")</f>
        <v/>
      </c>
      <c r="AB3644">
        <f>AB3643+IF(X3644="",0,IF(ISNA(MATCH(X3644,X$256:X3643,0)),1,0))</f>
        <v/>
      </c>
      <c r="AC3644">
        <f>IF(AB3644&gt;AB3643,AB3644,"")</f>
        <v/>
      </c>
    </row>
    <row r="3645">
      <c r="W3645" s="7" t="n"/>
      <c r="X3645" s="7" t="n"/>
      <c r="Z3645">
        <f>Z3644+IF(W3645="",0,IF(ISNA(MATCH(W3645,W$256:W3644,0)),1,0))</f>
        <v/>
      </c>
      <c r="AA3645">
        <f>IF(Z3645&gt;Z3644,Z3645,"")</f>
        <v/>
      </c>
      <c r="AB3645">
        <f>AB3644+IF(X3645="",0,IF(ISNA(MATCH(X3645,X$256:X3644,0)),1,0))</f>
        <v/>
      </c>
      <c r="AC3645">
        <f>IF(AB3645&gt;AB3644,AB3645,"")</f>
        <v/>
      </c>
    </row>
    <row r="3646">
      <c r="W3646" s="7" t="n"/>
      <c r="X3646" s="7" t="n"/>
      <c r="Z3646">
        <f>Z3645+IF(W3646="",0,IF(ISNA(MATCH(W3646,W$256:W3645,0)),1,0))</f>
        <v/>
      </c>
      <c r="AA3646">
        <f>IF(Z3646&gt;Z3645,Z3646,"")</f>
        <v/>
      </c>
      <c r="AB3646">
        <f>AB3645+IF(X3646="",0,IF(ISNA(MATCH(X3646,X$256:X3645,0)),1,0))</f>
        <v/>
      </c>
      <c r="AC3646">
        <f>IF(AB3646&gt;AB3645,AB3646,"")</f>
        <v/>
      </c>
    </row>
    <row r="3647">
      <c r="W3647" s="7" t="n"/>
      <c r="X3647" s="7" t="n"/>
      <c r="Z3647">
        <f>Z3646+IF(W3647="",0,IF(ISNA(MATCH(W3647,W$256:W3646,0)),1,0))</f>
        <v/>
      </c>
      <c r="AA3647">
        <f>IF(Z3647&gt;Z3646,Z3647,"")</f>
        <v/>
      </c>
      <c r="AB3647">
        <f>AB3646+IF(X3647="",0,IF(ISNA(MATCH(X3647,X$256:X3646,0)),1,0))</f>
        <v/>
      </c>
      <c r="AC3647">
        <f>IF(AB3647&gt;AB3646,AB3647,"")</f>
        <v/>
      </c>
    </row>
    <row r="3648">
      <c r="W3648" s="7" t="n"/>
      <c r="X3648" s="7" t="n"/>
      <c r="Z3648">
        <f>Z3647+IF(W3648="",0,IF(ISNA(MATCH(W3648,W$256:W3647,0)),1,0))</f>
        <v/>
      </c>
      <c r="AA3648">
        <f>IF(Z3648&gt;Z3647,Z3648,"")</f>
        <v/>
      </c>
      <c r="AB3648">
        <f>AB3647+IF(X3648="",0,IF(ISNA(MATCH(X3648,X$256:X3647,0)),1,0))</f>
        <v/>
      </c>
      <c r="AC3648">
        <f>IF(AB3648&gt;AB3647,AB3648,"")</f>
        <v/>
      </c>
    </row>
    <row r="3649">
      <c r="W3649" s="7" t="n"/>
      <c r="X3649" s="7" t="n"/>
      <c r="Z3649">
        <f>Z3648+IF(W3649="",0,IF(ISNA(MATCH(W3649,W$256:W3648,0)),1,0))</f>
        <v/>
      </c>
      <c r="AA3649">
        <f>IF(Z3649&gt;Z3648,Z3649,"")</f>
        <v/>
      </c>
      <c r="AB3649">
        <f>AB3648+IF(X3649="",0,IF(ISNA(MATCH(X3649,X$256:X3648,0)),1,0))</f>
        <v/>
      </c>
      <c r="AC3649">
        <f>IF(AB3649&gt;AB3648,AB3649,"")</f>
        <v/>
      </c>
    </row>
    <row r="3650">
      <c r="W3650" s="7" t="n"/>
      <c r="X3650" s="7" t="n"/>
      <c r="Z3650">
        <f>Z3649+IF(W3650="",0,IF(ISNA(MATCH(W3650,W$256:W3649,0)),1,0))</f>
        <v/>
      </c>
      <c r="AA3650">
        <f>IF(Z3650&gt;Z3649,Z3650,"")</f>
        <v/>
      </c>
      <c r="AB3650">
        <f>AB3649+IF(X3650="",0,IF(ISNA(MATCH(X3650,X$256:X3649,0)),1,0))</f>
        <v/>
      </c>
      <c r="AC3650">
        <f>IF(AB3650&gt;AB3649,AB3650,"")</f>
        <v/>
      </c>
    </row>
    <row r="3651">
      <c r="W3651" s="7" t="n"/>
      <c r="X3651" s="7" t="n"/>
      <c r="Z3651">
        <f>Z3650+IF(W3651="",0,IF(ISNA(MATCH(W3651,W$256:W3650,0)),1,0))</f>
        <v/>
      </c>
      <c r="AA3651">
        <f>IF(Z3651&gt;Z3650,Z3651,"")</f>
        <v/>
      </c>
      <c r="AB3651">
        <f>AB3650+IF(X3651="",0,IF(ISNA(MATCH(X3651,X$256:X3650,0)),1,0))</f>
        <v/>
      </c>
      <c r="AC3651">
        <f>IF(AB3651&gt;AB3650,AB3651,"")</f>
        <v/>
      </c>
    </row>
    <row r="3652">
      <c r="W3652" s="7" t="n"/>
      <c r="X3652" s="7" t="n"/>
      <c r="Z3652">
        <f>Z3651+IF(W3652="",0,IF(ISNA(MATCH(W3652,W$256:W3651,0)),1,0))</f>
        <v/>
      </c>
      <c r="AA3652">
        <f>IF(Z3652&gt;Z3651,Z3652,"")</f>
        <v/>
      </c>
      <c r="AB3652">
        <f>AB3651+IF(X3652="",0,IF(ISNA(MATCH(X3652,X$256:X3651,0)),1,0))</f>
        <v/>
      </c>
      <c r="AC3652">
        <f>IF(AB3652&gt;AB3651,AB3652,"")</f>
        <v/>
      </c>
    </row>
    <row r="3653">
      <c r="W3653" s="7" t="n"/>
      <c r="X3653" s="7" t="n"/>
      <c r="Z3653">
        <f>Z3652+IF(W3653="",0,IF(ISNA(MATCH(W3653,W$256:W3652,0)),1,0))</f>
        <v/>
      </c>
      <c r="AA3653">
        <f>IF(Z3653&gt;Z3652,Z3653,"")</f>
        <v/>
      </c>
      <c r="AB3653">
        <f>AB3652+IF(X3653="",0,IF(ISNA(MATCH(X3653,X$256:X3652,0)),1,0))</f>
        <v/>
      </c>
      <c r="AC3653">
        <f>IF(AB3653&gt;AB3652,AB3653,"")</f>
        <v/>
      </c>
    </row>
    <row r="3654">
      <c r="W3654" s="7" t="n"/>
      <c r="X3654" s="7" t="n"/>
      <c r="Z3654">
        <f>Z3653+IF(W3654="",0,IF(ISNA(MATCH(W3654,W$256:W3653,0)),1,0))</f>
        <v/>
      </c>
      <c r="AA3654">
        <f>IF(Z3654&gt;Z3653,Z3654,"")</f>
        <v/>
      </c>
      <c r="AB3654">
        <f>AB3653+IF(X3654="",0,IF(ISNA(MATCH(X3654,X$256:X3653,0)),1,0))</f>
        <v/>
      </c>
      <c r="AC3654">
        <f>IF(AB3654&gt;AB3653,AB3654,"")</f>
        <v/>
      </c>
    </row>
    <row r="3655">
      <c r="W3655" s="7" t="n"/>
      <c r="X3655" s="7" t="n"/>
      <c r="Z3655">
        <f>Z3654+IF(W3655="",0,IF(ISNA(MATCH(W3655,W$256:W3654,0)),1,0))</f>
        <v/>
      </c>
      <c r="AA3655">
        <f>IF(Z3655&gt;Z3654,Z3655,"")</f>
        <v/>
      </c>
      <c r="AB3655">
        <f>AB3654+IF(X3655="",0,IF(ISNA(MATCH(X3655,X$256:X3654,0)),1,0))</f>
        <v/>
      </c>
      <c r="AC3655">
        <f>IF(AB3655&gt;AB3654,AB3655,"")</f>
        <v/>
      </c>
    </row>
    <row r="3656">
      <c r="W3656" s="7" t="n"/>
      <c r="X3656" s="7" t="n"/>
      <c r="Z3656">
        <f>Z3655+IF(W3656="",0,IF(ISNA(MATCH(W3656,W$256:W3655,0)),1,0))</f>
        <v/>
      </c>
      <c r="AA3656">
        <f>IF(Z3656&gt;Z3655,Z3656,"")</f>
        <v/>
      </c>
      <c r="AB3656">
        <f>AB3655+IF(X3656="",0,IF(ISNA(MATCH(X3656,X$256:X3655,0)),1,0))</f>
        <v/>
      </c>
      <c r="AC3656">
        <f>IF(AB3656&gt;AB3655,AB3656,"")</f>
        <v/>
      </c>
    </row>
    <row r="3657">
      <c r="W3657" s="7" t="n"/>
      <c r="X3657" s="7" t="n"/>
      <c r="Z3657">
        <f>Z3656+IF(W3657="",0,IF(ISNA(MATCH(W3657,W$256:W3656,0)),1,0))</f>
        <v/>
      </c>
      <c r="AA3657">
        <f>IF(Z3657&gt;Z3656,Z3657,"")</f>
        <v/>
      </c>
      <c r="AB3657">
        <f>AB3656+IF(X3657="",0,IF(ISNA(MATCH(X3657,X$256:X3656,0)),1,0))</f>
        <v/>
      </c>
      <c r="AC3657">
        <f>IF(AB3657&gt;AB3656,AB3657,"")</f>
        <v/>
      </c>
    </row>
    <row r="3658">
      <c r="W3658" s="7" t="n"/>
      <c r="X3658" s="7" t="n"/>
      <c r="Z3658">
        <f>Z3657+IF(W3658="",0,IF(ISNA(MATCH(W3658,W$256:W3657,0)),1,0))</f>
        <v/>
      </c>
      <c r="AA3658">
        <f>IF(Z3658&gt;Z3657,Z3658,"")</f>
        <v/>
      </c>
      <c r="AB3658">
        <f>AB3657+IF(X3658="",0,IF(ISNA(MATCH(X3658,X$256:X3657,0)),1,0))</f>
        <v/>
      </c>
      <c r="AC3658">
        <f>IF(AB3658&gt;AB3657,AB3658,"")</f>
        <v/>
      </c>
    </row>
    <row r="3659">
      <c r="W3659" s="7" t="n"/>
      <c r="X3659" s="7" t="n"/>
      <c r="Z3659">
        <f>Z3658+IF(W3659="",0,IF(ISNA(MATCH(W3659,W$256:W3658,0)),1,0))</f>
        <v/>
      </c>
      <c r="AA3659">
        <f>IF(Z3659&gt;Z3658,Z3659,"")</f>
        <v/>
      </c>
      <c r="AB3659">
        <f>AB3658+IF(X3659="",0,IF(ISNA(MATCH(X3659,X$256:X3658,0)),1,0))</f>
        <v/>
      </c>
      <c r="AC3659">
        <f>IF(AB3659&gt;AB3658,AB3659,"")</f>
        <v/>
      </c>
    </row>
    <row r="3660">
      <c r="W3660" s="7" t="n"/>
      <c r="X3660" s="7" t="n"/>
      <c r="Z3660">
        <f>Z3659+IF(W3660="",0,IF(ISNA(MATCH(W3660,W$256:W3659,0)),1,0))</f>
        <v/>
      </c>
      <c r="AA3660">
        <f>IF(Z3660&gt;Z3659,Z3660,"")</f>
        <v/>
      </c>
      <c r="AB3660">
        <f>AB3659+IF(X3660="",0,IF(ISNA(MATCH(X3660,X$256:X3659,0)),1,0))</f>
        <v/>
      </c>
      <c r="AC3660">
        <f>IF(AB3660&gt;AB3659,AB3660,"")</f>
        <v/>
      </c>
    </row>
    <row r="3661">
      <c r="W3661" s="7" t="n"/>
      <c r="X3661" s="7" t="n"/>
      <c r="Z3661">
        <f>Z3660+IF(W3661="",0,IF(ISNA(MATCH(W3661,W$256:W3660,0)),1,0))</f>
        <v/>
      </c>
      <c r="AA3661">
        <f>IF(Z3661&gt;Z3660,Z3661,"")</f>
        <v/>
      </c>
      <c r="AB3661">
        <f>AB3660+IF(X3661="",0,IF(ISNA(MATCH(X3661,X$256:X3660,0)),1,0))</f>
        <v/>
      </c>
      <c r="AC3661">
        <f>IF(AB3661&gt;AB3660,AB3661,"")</f>
        <v/>
      </c>
    </row>
    <row r="3662">
      <c r="W3662" s="7" t="n"/>
      <c r="X3662" s="7" t="n"/>
      <c r="Z3662">
        <f>Z3661+IF(W3662="",0,IF(ISNA(MATCH(W3662,W$256:W3661,0)),1,0))</f>
        <v/>
      </c>
      <c r="AA3662">
        <f>IF(Z3662&gt;Z3661,Z3662,"")</f>
        <v/>
      </c>
      <c r="AB3662">
        <f>AB3661+IF(X3662="",0,IF(ISNA(MATCH(X3662,X$256:X3661,0)),1,0))</f>
        <v/>
      </c>
      <c r="AC3662">
        <f>IF(AB3662&gt;AB3661,AB3662,"")</f>
        <v/>
      </c>
    </row>
    <row r="3663">
      <c r="W3663" s="7" t="n"/>
      <c r="X3663" s="7" t="n"/>
      <c r="Z3663">
        <f>Z3662+IF(W3663="",0,IF(ISNA(MATCH(W3663,W$256:W3662,0)),1,0))</f>
        <v/>
      </c>
      <c r="AA3663">
        <f>IF(Z3663&gt;Z3662,Z3663,"")</f>
        <v/>
      </c>
      <c r="AB3663">
        <f>AB3662+IF(X3663="",0,IF(ISNA(MATCH(X3663,X$256:X3662,0)),1,0))</f>
        <v/>
      </c>
      <c r="AC3663">
        <f>IF(AB3663&gt;AB3662,AB3663,"")</f>
        <v/>
      </c>
    </row>
    <row r="3664">
      <c r="W3664" s="7" t="n"/>
      <c r="X3664" s="7" t="n"/>
      <c r="Z3664">
        <f>Z3663+IF(W3664="",0,IF(ISNA(MATCH(W3664,W$256:W3663,0)),1,0))</f>
        <v/>
      </c>
      <c r="AA3664">
        <f>IF(Z3664&gt;Z3663,Z3664,"")</f>
        <v/>
      </c>
      <c r="AB3664">
        <f>AB3663+IF(X3664="",0,IF(ISNA(MATCH(X3664,X$256:X3663,0)),1,0))</f>
        <v/>
      </c>
      <c r="AC3664">
        <f>IF(AB3664&gt;AB3663,AB3664,"")</f>
        <v/>
      </c>
    </row>
    <row r="3665">
      <c r="W3665" s="7" t="n"/>
      <c r="X3665" s="7" t="n"/>
      <c r="Z3665">
        <f>Z3664+IF(W3665="",0,IF(ISNA(MATCH(W3665,W$256:W3664,0)),1,0))</f>
        <v/>
      </c>
      <c r="AA3665">
        <f>IF(Z3665&gt;Z3664,Z3665,"")</f>
        <v/>
      </c>
      <c r="AB3665">
        <f>AB3664+IF(X3665="",0,IF(ISNA(MATCH(X3665,X$256:X3664,0)),1,0))</f>
        <v/>
      </c>
      <c r="AC3665">
        <f>IF(AB3665&gt;AB3664,AB3665,"")</f>
        <v/>
      </c>
    </row>
    <row r="3666">
      <c r="W3666" s="7" t="n"/>
      <c r="X3666" s="7" t="n"/>
      <c r="Z3666">
        <f>Z3665+IF(W3666="",0,IF(ISNA(MATCH(W3666,W$256:W3665,0)),1,0))</f>
        <v/>
      </c>
      <c r="AA3666">
        <f>IF(Z3666&gt;Z3665,Z3666,"")</f>
        <v/>
      </c>
      <c r="AB3666">
        <f>AB3665+IF(X3666="",0,IF(ISNA(MATCH(X3666,X$256:X3665,0)),1,0))</f>
        <v/>
      </c>
      <c r="AC3666">
        <f>IF(AB3666&gt;AB3665,AB3666,"")</f>
        <v/>
      </c>
    </row>
    <row r="3667">
      <c r="W3667" s="7" t="n"/>
      <c r="X3667" s="7" t="n"/>
      <c r="Z3667">
        <f>Z3666+IF(W3667="",0,IF(ISNA(MATCH(W3667,W$256:W3666,0)),1,0))</f>
        <v/>
      </c>
      <c r="AA3667">
        <f>IF(Z3667&gt;Z3666,Z3667,"")</f>
        <v/>
      </c>
      <c r="AB3667">
        <f>AB3666+IF(X3667="",0,IF(ISNA(MATCH(X3667,X$256:X3666,0)),1,0))</f>
        <v/>
      </c>
      <c r="AC3667">
        <f>IF(AB3667&gt;AB3666,AB3667,"")</f>
        <v/>
      </c>
    </row>
    <row r="3668">
      <c r="W3668" s="7" t="n"/>
      <c r="X3668" s="7" t="n"/>
      <c r="Z3668">
        <f>Z3667+IF(W3668="",0,IF(ISNA(MATCH(W3668,W$256:W3667,0)),1,0))</f>
        <v/>
      </c>
      <c r="AA3668">
        <f>IF(Z3668&gt;Z3667,Z3668,"")</f>
        <v/>
      </c>
      <c r="AB3668">
        <f>AB3667+IF(X3668="",0,IF(ISNA(MATCH(X3668,X$256:X3667,0)),1,0))</f>
        <v/>
      </c>
      <c r="AC3668">
        <f>IF(AB3668&gt;AB3667,AB3668,"")</f>
        <v/>
      </c>
    </row>
    <row r="3669">
      <c r="W3669" s="7" t="n"/>
      <c r="X3669" s="7" t="n"/>
      <c r="Z3669">
        <f>Z3668+IF(W3669="",0,IF(ISNA(MATCH(W3669,W$256:W3668,0)),1,0))</f>
        <v/>
      </c>
      <c r="AA3669">
        <f>IF(Z3669&gt;Z3668,Z3669,"")</f>
        <v/>
      </c>
      <c r="AB3669">
        <f>AB3668+IF(X3669="",0,IF(ISNA(MATCH(X3669,X$256:X3668,0)),1,0))</f>
        <v/>
      </c>
      <c r="AC3669">
        <f>IF(AB3669&gt;AB3668,AB3669,"")</f>
        <v/>
      </c>
    </row>
    <row r="3670">
      <c r="W3670" s="7" t="n"/>
      <c r="X3670" s="7" t="n"/>
      <c r="Z3670">
        <f>Z3669+IF(W3670="",0,IF(ISNA(MATCH(W3670,W$256:W3669,0)),1,0))</f>
        <v/>
      </c>
      <c r="AA3670">
        <f>IF(Z3670&gt;Z3669,Z3670,"")</f>
        <v/>
      </c>
      <c r="AB3670">
        <f>AB3669+IF(X3670="",0,IF(ISNA(MATCH(X3670,X$256:X3669,0)),1,0))</f>
        <v/>
      </c>
      <c r="AC3670">
        <f>IF(AB3670&gt;AB3669,AB3670,"")</f>
        <v/>
      </c>
    </row>
    <row r="3671">
      <c r="W3671" s="7" t="n"/>
      <c r="X3671" s="7" t="n"/>
      <c r="Z3671">
        <f>Z3670+IF(W3671="",0,IF(ISNA(MATCH(W3671,W$256:W3670,0)),1,0))</f>
        <v/>
      </c>
      <c r="AA3671">
        <f>IF(Z3671&gt;Z3670,Z3671,"")</f>
        <v/>
      </c>
      <c r="AB3671">
        <f>AB3670+IF(X3671="",0,IF(ISNA(MATCH(X3671,X$256:X3670,0)),1,0))</f>
        <v/>
      </c>
      <c r="AC3671">
        <f>IF(AB3671&gt;AB3670,AB3671,"")</f>
        <v/>
      </c>
    </row>
    <row r="3672">
      <c r="W3672" s="7" t="n"/>
      <c r="X3672" s="7" t="n"/>
      <c r="Z3672">
        <f>Z3671+IF(W3672="",0,IF(ISNA(MATCH(W3672,W$256:W3671,0)),1,0))</f>
        <v/>
      </c>
      <c r="AA3672">
        <f>IF(Z3672&gt;Z3671,Z3672,"")</f>
        <v/>
      </c>
      <c r="AB3672">
        <f>AB3671+IF(X3672="",0,IF(ISNA(MATCH(X3672,X$256:X3671,0)),1,0))</f>
        <v/>
      </c>
      <c r="AC3672">
        <f>IF(AB3672&gt;AB3671,AB3672,"")</f>
        <v/>
      </c>
    </row>
    <row r="3673">
      <c r="W3673" s="7" t="n"/>
      <c r="X3673" s="7" t="n"/>
      <c r="Z3673">
        <f>Z3672+IF(W3673="",0,IF(ISNA(MATCH(W3673,W$256:W3672,0)),1,0))</f>
        <v/>
      </c>
      <c r="AA3673">
        <f>IF(Z3673&gt;Z3672,Z3673,"")</f>
        <v/>
      </c>
      <c r="AB3673">
        <f>AB3672+IF(X3673="",0,IF(ISNA(MATCH(X3673,X$256:X3672,0)),1,0))</f>
        <v/>
      </c>
      <c r="AC3673">
        <f>IF(AB3673&gt;AB3672,AB3673,"")</f>
        <v/>
      </c>
    </row>
    <row r="3674">
      <c r="W3674" s="7" t="n"/>
      <c r="X3674" s="7" t="n"/>
      <c r="Z3674">
        <f>Z3673+IF(W3674="",0,IF(ISNA(MATCH(W3674,W$256:W3673,0)),1,0))</f>
        <v/>
      </c>
      <c r="AA3674">
        <f>IF(Z3674&gt;Z3673,Z3674,"")</f>
        <v/>
      </c>
      <c r="AB3674">
        <f>AB3673+IF(X3674="",0,IF(ISNA(MATCH(X3674,X$256:X3673,0)),1,0))</f>
        <v/>
      </c>
      <c r="AC3674">
        <f>IF(AB3674&gt;AB3673,AB3674,"")</f>
        <v/>
      </c>
    </row>
    <row r="3675">
      <c r="W3675" s="7" t="n"/>
      <c r="X3675" s="7" t="n"/>
      <c r="Z3675">
        <f>Z3674+IF(W3675="",0,IF(ISNA(MATCH(W3675,W$256:W3674,0)),1,0))</f>
        <v/>
      </c>
      <c r="AA3675">
        <f>IF(Z3675&gt;Z3674,Z3675,"")</f>
        <v/>
      </c>
      <c r="AB3675">
        <f>AB3674+IF(X3675="",0,IF(ISNA(MATCH(X3675,X$256:X3674,0)),1,0))</f>
        <v/>
      </c>
      <c r="AC3675">
        <f>IF(AB3675&gt;AB3674,AB3675,"")</f>
        <v/>
      </c>
    </row>
    <row r="3676">
      <c r="W3676" s="7" t="n"/>
      <c r="X3676" s="7" t="n"/>
      <c r="Z3676">
        <f>Z3675+IF(W3676="",0,IF(ISNA(MATCH(W3676,W$256:W3675,0)),1,0))</f>
        <v/>
      </c>
      <c r="AA3676">
        <f>IF(Z3676&gt;Z3675,Z3676,"")</f>
        <v/>
      </c>
      <c r="AB3676">
        <f>AB3675+IF(X3676="",0,IF(ISNA(MATCH(X3676,X$256:X3675,0)),1,0))</f>
        <v/>
      </c>
      <c r="AC3676">
        <f>IF(AB3676&gt;AB3675,AB3676,"")</f>
        <v/>
      </c>
    </row>
    <row r="3677">
      <c r="W3677" s="7" t="n"/>
      <c r="X3677" s="7" t="n"/>
      <c r="Z3677">
        <f>Z3676+IF(W3677="",0,IF(ISNA(MATCH(W3677,W$256:W3676,0)),1,0))</f>
        <v/>
      </c>
      <c r="AA3677">
        <f>IF(Z3677&gt;Z3676,Z3677,"")</f>
        <v/>
      </c>
      <c r="AB3677">
        <f>AB3676+IF(X3677="",0,IF(ISNA(MATCH(X3677,X$256:X3676,0)),1,0))</f>
        <v/>
      </c>
      <c r="AC3677">
        <f>IF(AB3677&gt;AB3676,AB3677,"")</f>
        <v/>
      </c>
    </row>
    <row r="3678">
      <c r="W3678" s="7" t="n"/>
      <c r="X3678" s="7" t="n"/>
      <c r="Z3678">
        <f>Z3677+IF(W3678="",0,IF(ISNA(MATCH(W3678,W$256:W3677,0)),1,0))</f>
        <v/>
      </c>
      <c r="AA3678">
        <f>IF(Z3678&gt;Z3677,Z3678,"")</f>
        <v/>
      </c>
      <c r="AB3678">
        <f>AB3677+IF(X3678="",0,IF(ISNA(MATCH(X3678,X$256:X3677,0)),1,0))</f>
        <v/>
      </c>
      <c r="AC3678">
        <f>IF(AB3678&gt;AB3677,AB3678,"")</f>
        <v/>
      </c>
    </row>
    <row r="3679">
      <c r="W3679" s="7" t="n"/>
      <c r="X3679" s="7" t="n"/>
      <c r="Z3679">
        <f>Z3678+IF(W3679="",0,IF(ISNA(MATCH(W3679,W$256:W3678,0)),1,0))</f>
        <v/>
      </c>
      <c r="AA3679">
        <f>IF(Z3679&gt;Z3678,Z3679,"")</f>
        <v/>
      </c>
      <c r="AB3679">
        <f>AB3678+IF(X3679="",0,IF(ISNA(MATCH(X3679,X$256:X3678,0)),1,0))</f>
        <v/>
      </c>
      <c r="AC3679">
        <f>IF(AB3679&gt;AB3678,AB3679,"")</f>
        <v/>
      </c>
    </row>
    <row r="3680">
      <c r="W3680" s="7" t="n"/>
      <c r="X3680" s="7" t="n"/>
      <c r="Z3680">
        <f>Z3679+IF(W3680="",0,IF(ISNA(MATCH(W3680,W$256:W3679,0)),1,0))</f>
        <v/>
      </c>
      <c r="AA3680">
        <f>IF(Z3680&gt;Z3679,Z3680,"")</f>
        <v/>
      </c>
      <c r="AB3680">
        <f>AB3679+IF(X3680="",0,IF(ISNA(MATCH(X3680,X$256:X3679,0)),1,0))</f>
        <v/>
      </c>
      <c r="AC3680">
        <f>IF(AB3680&gt;AB3679,AB3680,"")</f>
        <v/>
      </c>
    </row>
    <row r="3681">
      <c r="W3681" s="7" t="n"/>
      <c r="X3681" s="7" t="n"/>
      <c r="Z3681">
        <f>Z3680+IF(W3681="",0,IF(ISNA(MATCH(W3681,W$256:W3680,0)),1,0))</f>
        <v/>
      </c>
      <c r="AA3681">
        <f>IF(Z3681&gt;Z3680,Z3681,"")</f>
        <v/>
      </c>
      <c r="AB3681">
        <f>AB3680+IF(X3681="",0,IF(ISNA(MATCH(X3681,X$256:X3680,0)),1,0))</f>
        <v/>
      </c>
      <c r="AC3681">
        <f>IF(AB3681&gt;AB3680,AB3681,"")</f>
        <v/>
      </c>
    </row>
    <row r="3682">
      <c r="W3682" s="7" t="n"/>
      <c r="X3682" s="7" t="n"/>
      <c r="Z3682">
        <f>Z3681+IF(W3682="",0,IF(ISNA(MATCH(W3682,W$256:W3681,0)),1,0))</f>
        <v/>
      </c>
      <c r="AA3682">
        <f>IF(Z3682&gt;Z3681,Z3682,"")</f>
        <v/>
      </c>
      <c r="AB3682">
        <f>AB3681+IF(X3682="",0,IF(ISNA(MATCH(X3682,X$256:X3681,0)),1,0))</f>
        <v/>
      </c>
      <c r="AC3682">
        <f>IF(AB3682&gt;AB3681,AB3682,"")</f>
        <v/>
      </c>
    </row>
    <row r="3683">
      <c r="W3683" s="7" t="n"/>
      <c r="X3683" s="7" t="n"/>
      <c r="Z3683">
        <f>Z3682+IF(W3683="",0,IF(ISNA(MATCH(W3683,W$256:W3682,0)),1,0))</f>
        <v/>
      </c>
      <c r="AA3683">
        <f>IF(Z3683&gt;Z3682,Z3683,"")</f>
        <v/>
      </c>
      <c r="AB3683">
        <f>AB3682+IF(X3683="",0,IF(ISNA(MATCH(X3683,X$256:X3682,0)),1,0))</f>
        <v/>
      </c>
      <c r="AC3683">
        <f>IF(AB3683&gt;AB3682,AB3683,"")</f>
        <v/>
      </c>
    </row>
    <row r="3684">
      <c r="W3684" s="7" t="n"/>
      <c r="X3684" s="7" t="n"/>
      <c r="Z3684">
        <f>Z3683+IF(W3684="",0,IF(ISNA(MATCH(W3684,W$256:W3683,0)),1,0))</f>
        <v/>
      </c>
      <c r="AA3684">
        <f>IF(Z3684&gt;Z3683,Z3684,"")</f>
        <v/>
      </c>
      <c r="AB3684">
        <f>AB3683+IF(X3684="",0,IF(ISNA(MATCH(X3684,X$256:X3683,0)),1,0))</f>
        <v/>
      </c>
      <c r="AC3684">
        <f>IF(AB3684&gt;AB3683,AB3684,"")</f>
        <v/>
      </c>
    </row>
    <row r="3685">
      <c r="W3685" s="7" t="n"/>
      <c r="X3685" s="7" t="n"/>
      <c r="Z3685">
        <f>Z3684+IF(W3685="",0,IF(ISNA(MATCH(W3685,W$256:W3684,0)),1,0))</f>
        <v/>
      </c>
      <c r="AA3685">
        <f>IF(Z3685&gt;Z3684,Z3685,"")</f>
        <v/>
      </c>
      <c r="AB3685">
        <f>AB3684+IF(X3685="",0,IF(ISNA(MATCH(X3685,X$256:X3684,0)),1,0))</f>
        <v/>
      </c>
      <c r="AC3685">
        <f>IF(AB3685&gt;AB3684,AB3685,"")</f>
        <v/>
      </c>
    </row>
    <row r="3686">
      <c r="W3686" s="7" t="n"/>
      <c r="X3686" s="7" t="n"/>
      <c r="Z3686">
        <f>Z3685+IF(W3686="",0,IF(ISNA(MATCH(W3686,W$256:W3685,0)),1,0))</f>
        <v/>
      </c>
      <c r="AA3686">
        <f>IF(Z3686&gt;Z3685,Z3686,"")</f>
        <v/>
      </c>
      <c r="AB3686">
        <f>AB3685+IF(X3686="",0,IF(ISNA(MATCH(X3686,X$256:X3685,0)),1,0))</f>
        <v/>
      </c>
      <c r="AC3686">
        <f>IF(AB3686&gt;AB3685,AB3686,"")</f>
        <v/>
      </c>
    </row>
    <row r="3687">
      <c r="W3687" s="7" t="n"/>
      <c r="X3687" s="7" t="n"/>
      <c r="Z3687">
        <f>Z3686+IF(W3687="",0,IF(ISNA(MATCH(W3687,W$256:W3686,0)),1,0))</f>
        <v/>
      </c>
      <c r="AA3687">
        <f>IF(Z3687&gt;Z3686,Z3687,"")</f>
        <v/>
      </c>
      <c r="AB3687">
        <f>AB3686+IF(X3687="",0,IF(ISNA(MATCH(X3687,X$256:X3686,0)),1,0))</f>
        <v/>
      </c>
      <c r="AC3687">
        <f>IF(AB3687&gt;AB3686,AB3687,"")</f>
        <v/>
      </c>
    </row>
    <row r="3688">
      <c r="W3688" s="7" t="n"/>
      <c r="X3688" s="7" t="n"/>
      <c r="Z3688">
        <f>Z3687+IF(W3688="",0,IF(ISNA(MATCH(W3688,W$256:W3687,0)),1,0))</f>
        <v/>
      </c>
      <c r="AA3688">
        <f>IF(Z3688&gt;Z3687,Z3688,"")</f>
        <v/>
      </c>
      <c r="AB3688">
        <f>AB3687+IF(X3688="",0,IF(ISNA(MATCH(X3688,X$256:X3687,0)),1,0))</f>
        <v/>
      </c>
      <c r="AC3688">
        <f>IF(AB3688&gt;AB3687,AB3688,"")</f>
        <v/>
      </c>
    </row>
    <row r="3689">
      <c r="W3689" s="7" t="n"/>
      <c r="X3689" s="7" t="n"/>
      <c r="Z3689">
        <f>Z3688+IF(W3689="",0,IF(ISNA(MATCH(W3689,W$256:W3688,0)),1,0))</f>
        <v/>
      </c>
      <c r="AA3689">
        <f>IF(Z3689&gt;Z3688,Z3689,"")</f>
        <v/>
      </c>
      <c r="AB3689">
        <f>AB3688+IF(X3689="",0,IF(ISNA(MATCH(X3689,X$256:X3688,0)),1,0))</f>
        <v/>
      </c>
      <c r="AC3689">
        <f>IF(AB3689&gt;AB3688,AB3689,"")</f>
        <v/>
      </c>
    </row>
    <row r="3690">
      <c r="W3690" s="7" t="n"/>
      <c r="X3690" s="7" t="n"/>
      <c r="Z3690">
        <f>Z3689+IF(W3690="",0,IF(ISNA(MATCH(W3690,W$256:W3689,0)),1,0))</f>
        <v/>
      </c>
      <c r="AA3690">
        <f>IF(Z3690&gt;Z3689,Z3690,"")</f>
        <v/>
      </c>
      <c r="AB3690">
        <f>AB3689+IF(X3690="",0,IF(ISNA(MATCH(X3690,X$256:X3689,0)),1,0))</f>
        <v/>
      </c>
      <c r="AC3690">
        <f>IF(AB3690&gt;AB3689,AB3690,"")</f>
        <v/>
      </c>
    </row>
    <row r="3691">
      <c r="W3691" s="7" t="n"/>
      <c r="X3691" s="7" t="n"/>
      <c r="Z3691">
        <f>Z3690+IF(W3691="",0,IF(ISNA(MATCH(W3691,W$256:W3690,0)),1,0))</f>
        <v/>
      </c>
      <c r="AA3691">
        <f>IF(Z3691&gt;Z3690,Z3691,"")</f>
        <v/>
      </c>
      <c r="AB3691">
        <f>AB3690+IF(X3691="",0,IF(ISNA(MATCH(X3691,X$256:X3690,0)),1,0))</f>
        <v/>
      </c>
      <c r="AC3691">
        <f>IF(AB3691&gt;AB3690,AB3691,"")</f>
        <v/>
      </c>
    </row>
    <row r="3692">
      <c r="W3692" s="7" t="n"/>
      <c r="X3692" s="7" t="n"/>
      <c r="Z3692">
        <f>Z3691+IF(W3692="",0,IF(ISNA(MATCH(W3692,W$256:W3691,0)),1,0))</f>
        <v/>
      </c>
      <c r="AA3692">
        <f>IF(Z3692&gt;Z3691,Z3692,"")</f>
        <v/>
      </c>
      <c r="AB3692">
        <f>AB3691+IF(X3692="",0,IF(ISNA(MATCH(X3692,X$256:X3691,0)),1,0))</f>
        <v/>
      </c>
      <c r="AC3692">
        <f>IF(AB3692&gt;AB3691,AB3692,"")</f>
        <v/>
      </c>
    </row>
    <row r="3693">
      <c r="W3693" s="7" t="n"/>
      <c r="X3693" s="7" t="n"/>
      <c r="Z3693">
        <f>Z3692+IF(W3693="",0,IF(ISNA(MATCH(W3693,W$256:W3692,0)),1,0))</f>
        <v/>
      </c>
      <c r="AA3693">
        <f>IF(Z3693&gt;Z3692,Z3693,"")</f>
        <v/>
      </c>
      <c r="AB3693">
        <f>AB3692+IF(X3693="",0,IF(ISNA(MATCH(X3693,X$256:X3692,0)),1,0))</f>
        <v/>
      </c>
      <c r="AC3693">
        <f>IF(AB3693&gt;AB3692,AB3693,"")</f>
        <v/>
      </c>
    </row>
    <row r="3694">
      <c r="W3694" s="7" t="n"/>
      <c r="X3694" s="7" t="n"/>
      <c r="Z3694">
        <f>Z3693+IF(W3694="",0,IF(ISNA(MATCH(W3694,W$256:W3693,0)),1,0))</f>
        <v/>
      </c>
      <c r="AA3694">
        <f>IF(Z3694&gt;Z3693,Z3694,"")</f>
        <v/>
      </c>
      <c r="AB3694">
        <f>AB3693+IF(X3694="",0,IF(ISNA(MATCH(X3694,X$256:X3693,0)),1,0))</f>
        <v/>
      </c>
      <c r="AC3694">
        <f>IF(AB3694&gt;AB3693,AB3694,"")</f>
        <v/>
      </c>
    </row>
    <row r="3695">
      <c r="W3695" s="7" t="n"/>
      <c r="X3695" s="7" t="n"/>
      <c r="Z3695">
        <f>Z3694+IF(W3695="",0,IF(ISNA(MATCH(W3695,W$256:W3694,0)),1,0))</f>
        <v/>
      </c>
      <c r="AA3695">
        <f>IF(Z3695&gt;Z3694,Z3695,"")</f>
        <v/>
      </c>
      <c r="AB3695">
        <f>AB3694+IF(X3695="",0,IF(ISNA(MATCH(X3695,X$256:X3694,0)),1,0))</f>
        <v/>
      </c>
      <c r="AC3695">
        <f>IF(AB3695&gt;AB3694,AB3695,"")</f>
        <v/>
      </c>
    </row>
    <row r="3696">
      <c r="W3696" s="7" t="n"/>
      <c r="X3696" s="7" t="n"/>
      <c r="Z3696">
        <f>Z3695+IF(W3696="",0,IF(ISNA(MATCH(W3696,W$256:W3695,0)),1,0))</f>
        <v/>
      </c>
      <c r="AA3696">
        <f>IF(Z3696&gt;Z3695,Z3696,"")</f>
        <v/>
      </c>
      <c r="AB3696">
        <f>AB3695+IF(X3696="",0,IF(ISNA(MATCH(X3696,X$256:X3695,0)),1,0))</f>
        <v/>
      </c>
      <c r="AC3696">
        <f>IF(AB3696&gt;AB3695,AB3696,"")</f>
        <v/>
      </c>
    </row>
    <row r="3697">
      <c r="W3697" s="7" t="n"/>
      <c r="X3697" s="7" t="n"/>
      <c r="Z3697">
        <f>Z3696+IF(W3697="",0,IF(ISNA(MATCH(W3697,W$256:W3696,0)),1,0))</f>
        <v/>
      </c>
      <c r="AA3697">
        <f>IF(Z3697&gt;Z3696,Z3697,"")</f>
        <v/>
      </c>
      <c r="AB3697">
        <f>AB3696+IF(X3697="",0,IF(ISNA(MATCH(X3697,X$256:X3696,0)),1,0))</f>
        <v/>
      </c>
      <c r="AC3697">
        <f>IF(AB3697&gt;AB3696,AB3697,"")</f>
        <v/>
      </c>
    </row>
    <row r="3698">
      <c r="W3698" s="7" t="n"/>
      <c r="X3698" s="7" t="n"/>
      <c r="Z3698">
        <f>Z3697+IF(W3698="",0,IF(ISNA(MATCH(W3698,W$256:W3697,0)),1,0))</f>
        <v/>
      </c>
      <c r="AA3698">
        <f>IF(Z3698&gt;Z3697,Z3698,"")</f>
        <v/>
      </c>
      <c r="AB3698">
        <f>AB3697+IF(X3698="",0,IF(ISNA(MATCH(X3698,X$256:X3697,0)),1,0))</f>
        <v/>
      </c>
      <c r="AC3698">
        <f>IF(AB3698&gt;AB3697,AB3698,"")</f>
        <v/>
      </c>
    </row>
    <row r="3699">
      <c r="W3699" s="7" t="n"/>
      <c r="X3699" s="7" t="n"/>
      <c r="Z3699">
        <f>Z3698+IF(W3699="",0,IF(ISNA(MATCH(W3699,W$256:W3698,0)),1,0))</f>
        <v/>
      </c>
      <c r="AA3699">
        <f>IF(Z3699&gt;Z3698,Z3699,"")</f>
        <v/>
      </c>
      <c r="AB3699">
        <f>AB3698+IF(X3699="",0,IF(ISNA(MATCH(X3699,X$256:X3698,0)),1,0))</f>
        <v/>
      </c>
      <c r="AC3699">
        <f>IF(AB3699&gt;AB3698,AB3699,"")</f>
        <v/>
      </c>
    </row>
    <row r="3700">
      <c r="W3700" s="7" t="n"/>
      <c r="X3700" s="7" t="n"/>
      <c r="Z3700">
        <f>Z3699+IF(W3700="",0,IF(ISNA(MATCH(W3700,W$256:W3699,0)),1,0))</f>
        <v/>
      </c>
      <c r="AA3700">
        <f>IF(Z3700&gt;Z3699,Z3700,"")</f>
        <v/>
      </c>
      <c r="AB3700">
        <f>AB3699+IF(X3700="",0,IF(ISNA(MATCH(X3700,X$256:X3699,0)),1,0))</f>
        <v/>
      </c>
      <c r="AC3700">
        <f>IF(AB3700&gt;AB3699,AB3700,"")</f>
        <v/>
      </c>
    </row>
    <row r="3701">
      <c r="W3701" s="7" t="n"/>
      <c r="X3701" s="7" t="n"/>
      <c r="Z3701">
        <f>Z3700+IF(W3701="",0,IF(ISNA(MATCH(W3701,W$256:W3700,0)),1,0))</f>
        <v/>
      </c>
      <c r="AA3701">
        <f>IF(Z3701&gt;Z3700,Z3701,"")</f>
        <v/>
      </c>
      <c r="AB3701">
        <f>AB3700+IF(X3701="",0,IF(ISNA(MATCH(X3701,X$256:X3700,0)),1,0))</f>
        <v/>
      </c>
      <c r="AC3701">
        <f>IF(AB3701&gt;AB3700,AB3701,"")</f>
        <v/>
      </c>
    </row>
    <row r="3702">
      <c r="W3702" s="7" t="n"/>
      <c r="X3702" s="7" t="n"/>
      <c r="Z3702">
        <f>Z3701+IF(W3702="",0,IF(ISNA(MATCH(W3702,W$256:W3701,0)),1,0))</f>
        <v/>
      </c>
      <c r="AA3702">
        <f>IF(Z3702&gt;Z3701,Z3702,"")</f>
        <v/>
      </c>
      <c r="AB3702">
        <f>AB3701+IF(X3702="",0,IF(ISNA(MATCH(X3702,X$256:X3701,0)),1,0))</f>
        <v/>
      </c>
      <c r="AC3702">
        <f>IF(AB3702&gt;AB3701,AB3702,"")</f>
        <v/>
      </c>
    </row>
    <row r="3703">
      <c r="W3703" s="7" t="n"/>
      <c r="X3703" s="7" t="n"/>
      <c r="Z3703">
        <f>Z3702+IF(W3703="",0,IF(ISNA(MATCH(W3703,W$256:W3702,0)),1,0))</f>
        <v/>
      </c>
      <c r="AA3703">
        <f>IF(Z3703&gt;Z3702,Z3703,"")</f>
        <v/>
      </c>
      <c r="AB3703">
        <f>AB3702+IF(X3703="",0,IF(ISNA(MATCH(X3703,X$256:X3702,0)),1,0))</f>
        <v/>
      </c>
      <c r="AC3703">
        <f>IF(AB3703&gt;AB3702,AB3703,"")</f>
        <v/>
      </c>
    </row>
    <row r="3704">
      <c r="W3704" s="7" t="n"/>
      <c r="X3704" s="7" t="n"/>
      <c r="Z3704">
        <f>Z3703+IF(W3704="",0,IF(ISNA(MATCH(W3704,W$256:W3703,0)),1,0))</f>
        <v/>
      </c>
      <c r="AA3704">
        <f>IF(Z3704&gt;Z3703,Z3704,"")</f>
        <v/>
      </c>
      <c r="AB3704">
        <f>AB3703+IF(X3704="",0,IF(ISNA(MATCH(X3704,X$256:X3703,0)),1,0))</f>
        <v/>
      </c>
      <c r="AC3704">
        <f>IF(AB3704&gt;AB3703,AB3704,"")</f>
        <v/>
      </c>
    </row>
    <row r="3705">
      <c r="W3705" s="7" t="n"/>
      <c r="X3705" s="7" t="n"/>
      <c r="Z3705">
        <f>Z3704+IF(W3705="",0,IF(ISNA(MATCH(W3705,W$256:W3704,0)),1,0))</f>
        <v/>
      </c>
      <c r="AA3705">
        <f>IF(Z3705&gt;Z3704,Z3705,"")</f>
        <v/>
      </c>
      <c r="AB3705">
        <f>AB3704+IF(X3705="",0,IF(ISNA(MATCH(X3705,X$256:X3704,0)),1,0))</f>
        <v/>
      </c>
      <c r="AC3705">
        <f>IF(AB3705&gt;AB3704,AB3705,"")</f>
        <v/>
      </c>
    </row>
    <row r="3706">
      <c r="W3706" s="7" t="n"/>
      <c r="X3706" s="7" t="n"/>
      <c r="Z3706">
        <f>Z3705+IF(W3706="",0,IF(ISNA(MATCH(W3706,W$256:W3705,0)),1,0))</f>
        <v/>
      </c>
      <c r="AA3706">
        <f>IF(Z3706&gt;Z3705,Z3706,"")</f>
        <v/>
      </c>
      <c r="AB3706">
        <f>AB3705+IF(X3706="",0,IF(ISNA(MATCH(X3706,X$256:X3705,0)),1,0))</f>
        <v/>
      </c>
      <c r="AC3706">
        <f>IF(AB3706&gt;AB3705,AB3706,"")</f>
        <v/>
      </c>
    </row>
    <row r="3707">
      <c r="W3707" s="7" t="n"/>
      <c r="X3707" s="7" t="n"/>
      <c r="Z3707">
        <f>Z3706+IF(W3707="",0,IF(ISNA(MATCH(W3707,W$256:W3706,0)),1,0))</f>
        <v/>
      </c>
      <c r="AA3707">
        <f>IF(Z3707&gt;Z3706,Z3707,"")</f>
        <v/>
      </c>
      <c r="AB3707">
        <f>AB3706+IF(X3707="",0,IF(ISNA(MATCH(X3707,X$256:X3706,0)),1,0))</f>
        <v/>
      </c>
      <c r="AC3707">
        <f>IF(AB3707&gt;AB3706,AB3707,"")</f>
        <v/>
      </c>
    </row>
    <row r="3708">
      <c r="W3708" s="7" t="n"/>
      <c r="X3708" s="7" t="n"/>
      <c r="Z3708">
        <f>Z3707+IF(W3708="",0,IF(ISNA(MATCH(W3708,W$256:W3707,0)),1,0))</f>
        <v/>
      </c>
      <c r="AA3708">
        <f>IF(Z3708&gt;Z3707,Z3708,"")</f>
        <v/>
      </c>
      <c r="AB3708">
        <f>AB3707+IF(X3708="",0,IF(ISNA(MATCH(X3708,X$256:X3707,0)),1,0))</f>
        <v/>
      </c>
      <c r="AC3708">
        <f>IF(AB3708&gt;AB3707,AB3708,"")</f>
        <v/>
      </c>
    </row>
    <row r="3709">
      <c r="W3709" s="7" t="n"/>
      <c r="X3709" s="7" t="n"/>
      <c r="Z3709">
        <f>Z3708+IF(W3709="",0,IF(ISNA(MATCH(W3709,W$256:W3708,0)),1,0))</f>
        <v/>
      </c>
      <c r="AA3709">
        <f>IF(Z3709&gt;Z3708,Z3709,"")</f>
        <v/>
      </c>
      <c r="AB3709">
        <f>AB3708+IF(X3709="",0,IF(ISNA(MATCH(X3709,X$256:X3708,0)),1,0))</f>
        <v/>
      </c>
      <c r="AC3709">
        <f>IF(AB3709&gt;AB3708,AB3709,"")</f>
        <v/>
      </c>
    </row>
    <row r="3710">
      <c r="W3710" s="7" t="n"/>
      <c r="X3710" s="7" t="n"/>
      <c r="Z3710">
        <f>Z3709+IF(W3710="",0,IF(ISNA(MATCH(W3710,W$256:W3709,0)),1,0))</f>
        <v/>
      </c>
      <c r="AA3710">
        <f>IF(Z3710&gt;Z3709,Z3710,"")</f>
        <v/>
      </c>
      <c r="AB3710">
        <f>AB3709+IF(X3710="",0,IF(ISNA(MATCH(X3710,X$256:X3709,0)),1,0))</f>
        <v/>
      </c>
      <c r="AC3710">
        <f>IF(AB3710&gt;AB3709,AB3710,"")</f>
        <v/>
      </c>
    </row>
    <row r="3711">
      <c r="W3711" s="7" t="n"/>
      <c r="X3711" s="7" t="n"/>
      <c r="Z3711">
        <f>Z3710+IF(W3711="",0,IF(ISNA(MATCH(W3711,W$256:W3710,0)),1,0))</f>
        <v/>
      </c>
      <c r="AA3711">
        <f>IF(Z3711&gt;Z3710,Z3711,"")</f>
        <v/>
      </c>
      <c r="AB3711">
        <f>AB3710+IF(X3711="",0,IF(ISNA(MATCH(X3711,X$256:X3710,0)),1,0))</f>
        <v/>
      </c>
      <c r="AC3711">
        <f>IF(AB3711&gt;AB3710,AB3711,"")</f>
        <v/>
      </c>
    </row>
    <row r="3712">
      <c r="W3712" s="7" t="n"/>
      <c r="X3712" s="7" t="n"/>
      <c r="Z3712">
        <f>Z3711+IF(W3712="",0,IF(ISNA(MATCH(W3712,W$256:W3711,0)),1,0))</f>
        <v/>
      </c>
      <c r="AA3712">
        <f>IF(Z3712&gt;Z3711,Z3712,"")</f>
        <v/>
      </c>
      <c r="AB3712">
        <f>AB3711+IF(X3712="",0,IF(ISNA(MATCH(X3712,X$256:X3711,0)),1,0))</f>
        <v/>
      </c>
      <c r="AC3712">
        <f>IF(AB3712&gt;AB3711,AB3712,"")</f>
        <v/>
      </c>
    </row>
    <row r="3713">
      <c r="W3713" s="7" t="n"/>
      <c r="X3713" s="7" t="n"/>
      <c r="Z3713">
        <f>Z3712+IF(W3713="",0,IF(ISNA(MATCH(W3713,W$256:W3712,0)),1,0))</f>
        <v/>
      </c>
      <c r="AA3713">
        <f>IF(Z3713&gt;Z3712,Z3713,"")</f>
        <v/>
      </c>
      <c r="AB3713">
        <f>AB3712+IF(X3713="",0,IF(ISNA(MATCH(X3713,X$256:X3712,0)),1,0))</f>
        <v/>
      </c>
      <c r="AC3713">
        <f>IF(AB3713&gt;AB3712,AB3713,"")</f>
        <v/>
      </c>
    </row>
    <row r="3714">
      <c r="W3714" s="7" t="n"/>
      <c r="X3714" s="7" t="n"/>
      <c r="Z3714">
        <f>Z3713+IF(W3714="",0,IF(ISNA(MATCH(W3714,W$256:W3713,0)),1,0))</f>
        <v/>
      </c>
      <c r="AA3714">
        <f>IF(Z3714&gt;Z3713,Z3714,"")</f>
        <v/>
      </c>
      <c r="AB3714">
        <f>AB3713+IF(X3714="",0,IF(ISNA(MATCH(X3714,X$256:X3713,0)),1,0))</f>
        <v/>
      </c>
      <c r="AC3714">
        <f>IF(AB3714&gt;AB3713,AB3714,"")</f>
        <v/>
      </c>
    </row>
    <row r="3715">
      <c r="W3715" s="7" t="n"/>
      <c r="X3715" s="7" t="n"/>
      <c r="Z3715">
        <f>Z3714+IF(W3715="",0,IF(ISNA(MATCH(W3715,W$256:W3714,0)),1,0))</f>
        <v/>
      </c>
      <c r="AA3715">
        <f>IF(Z3715&gt;Z3714,Z3715,"")</f>
        <v/>
      </c>
      <c r="AB3715">
        <f>AB3714+IF(X3715="",0,IF(ISNA(MATCH(X3715,X$256:X3714,0)),1,0))</f>
        <v/>
      </c>
      <c r="AC3715">
        <f>IF(AB3715&gt;AB3714,AB3715,"")</f>
        <v/>
      </c>
    </row>
    <row r="3716">
      <c r="W3716" s="7" t="n"/>
      <c r="X3716" s="7" t="n"/>
      <c r="Z3716">
        <f>Z3715+IF(W3716="",0,IF(ISNA(MATCH(W3716,W$256:W3715,0)),1,0))</f>
        <v/>
      </c>
      <c r="AA3716">
        <f>IF(Z3716&gt;Z3715,Z3716,"")</f>
        <v/>
      </c>
      <c r="AB3716">
        <f>AB3715+IF(X3716="",0,IF(ISNA(MATCH(X3716,X$256:X3715,0)),1,0))</f>
        <v/>
      </c>
      <c r="AC3716">
        <f>IF(AB3716&gt;AB3715,AB3716,"")</f>
        <v/>
      </c>
    </row>
    <row r="3717">
      <c r="W3717" s="7" t="n"/>
      <c r="X3717" s="7" t="n"/>
      <c r="Z3717">
        <f>Z3716+IF(W3717="",0,IF(ISNA(MATCH(W3717,W$256:W3716,0)),1,0))</f>
        <v/>
      </c>
      <c r="AA3717">
        <f>IF(Z3717&gt;Z3716,Z3717,"")</f>
        <v/>
      </c>
      <c r="AB3717">
        <f>AB3716+IF(X3717="",0,IF(ISNA(MATCH(X3717,X$256:X3716,0)),1,0))</f>
        <v/>
      </c>
      <c r="AC3717">
        <f>IF(AB3717&gt;AB3716,AB3717,"")</f>
        <v/>
      </c>
    </row>
    <row r="3718">
      <c r="W3718" s="7" t="n"/>
      <c r="X3718" s="7" t="n"/>
      <c r="Z3718">
        <f>Z3717+IF(W3718="",0,IF(ISNA(MATCH(W3718,W$256:W3717,0)),1,0))</f>
        <v/>
      </c>
      <c r="AA3718">
        <f>IF(Z3718&gt;Z3717,Z3718,"")</f>
        <v/>
      </c>
      <c r="AB3718">
        <f>AB3717+IF(X3718="",0,IF(ISNA(MATCH(X3718,X$256:X3717,0)),1,0))</f>
        <v/>
      </c>
      <c r="AC3718">
        <f>IF(AB3718&gt;AB3717,AB3718,"")</f>
        <v/>
      </c>
    </row>
    <row r="3719">
      <c r="W3719" s="7" t="n"/>
      <c r="X3719" s="7" t="n"/>
      <c r="Z3719">
        <f>Z3718+IF(W3719="",0,IF(ISNA(MATCH(W3719,W$256:W3718,0)),1,0))</f>
        <v/>
      </c>
      <c r="AA3719">
        <f>IF(Z3719&gt;Z3718,Z3719,"")</f>
        <v/>
      </c>
      <c r="AB3719">
        <f>AB3718+IF(X3719="",0,IF(ISNA(MATCH(X3719,X$256:X3718,0)),1,0))</f>
        <v/>
      </c>
      <c r="AC3719">
        <f>IF(AB3719&gt;AB3718,AB3719,"")</f>
        <v/>
      </c>
    </row>
    <row r="3720">
      <c r="W3720" s="7" t="n"/>
      <c r="X3720" s="7" t="n"/>
      <c r="Z3720">
        <f>Z3719+IF(W3720="",0,IF(ISNA(MATCH(W3720,W$256:W3719,0)),1,0))</f>
        <v/>
      </c>
      <c r="AA3720">
        <f>IF(Z3720&gt;Z3719,Z3720,"")</f>
        <v/>
      </c>
      <c r="AB3720">
        <f>AB3719+IF(X3720="",0,IF(ISNA(MATCH(X3720,X$256:X3719,0)),1,0))</f>
        <v/>
      </c>
      <c r="AC3720">
        <f>IF(AB3720&gt;AB3719,AB3720,"")</f>
        <v/>
      </c>
    </row>
    <row r="3721">
      <c r="W3721" s="7" t="n"/>
      <c r="X3721" s="7" t="n"/>
      <c r="Z3721">
        <f>Z3720+IF(W3721="",0,IF(ISNA(MATCH(W3721,W$256:W3720,0)),1,0))</f>
        <v/>
      </c>
      <c r="AA3721">
        <f>IF(Z3721&gt;Z3720,Z3721,"")</f>
        <v/>
      </c>
      <c r="AB3721">
        <f>AB3720+IF(X3721="",0,IF(ISNA(MATCH(X3721,X$256:X3720,0)),1,0))</f>
        <v/>
      </c>
      <c r="AC3721">
        <f>IF(AB3721&gt;AB3720,AB3721,"")</f>
        <v/>
      </c>
    </row>
    <row r="3722">
      <c r="W3722" s="7" t="n"/>
      <c r="X3722" s="7" t="n"/>
      <c r="Z3722">
        <f>Z3721+IF(W3722="",0,IF(ISNA(MATCH(W3722,W$256:W3721,0)),1,0))</f>
        <v/>
      </c>
      <c r="AA3722">
        <f>IF(Z3722&gt;Z3721,Z3722,"")</f>
        <v/>
      </c>
      <c r="AB3722">
        <f>AB3721+IF(X3722="",0,IF(ISNA(MATCH(X3722,X$256:X3721,0)),1,0))</f>
        <v/>
      </c>
      <c r="AC3722">
        <f>IF(AB3722&gt;AB3721,AB3722,"")</f>
        <v/>
      </c>
    </row>
    <row r="3723">
      <c r="W3723" s="7" t="n"/>
      <c r="X3723" s="7" t="n"/>
      <c r="Z3723">
        <f>Z3722+IF(W3723="",0,IF(ISNA(MATCH(W3723,W$256:W3722,0)),1,0))</f>
        <v/>
      </c>
      <c r="AA3723">
        <f>IF(Z3723&gt;Z3722,Z3723,"")</f>
        <v/>
      </c>
      <c r="AB3723">
        <f>AB3722+IF(X3723="",0,IF(ISNA(MATCH(X3723,X$256:X3722,0)),1,0))</f>
        <v/>
      </c>
      <c r="AC3723">
        <f>IF(AB3723&gt;AB3722,AB3723,"")</f>
        <v/>
      </c>
    </row>
    <row r="3724">
      <c r="W3724" s="7" t="n"/>
      <c r="X3724" s="7" t="n"/>
      <c r="Z3724">
        <f>Z3723+IF(W3724="",0,IF(ISNA(MATCH(W3724,W$256:W3723,0)),1,0))</f>
        <v/>
      </c>
      <c r="AA3724">
        <f>IF(Z3724&gt;Z3723,Z3724,"")</f>
        <v/>
      </c>
      <c r="AB3724">
        <f>AB3723+IF(X3724="",0,IF(ISNA(MATCH(X3724,X$256:X3723,0)),1,0))</f>
        <v/>
      </c>
      <c r="AC3724">
        <f>IF(AB3724&gt;AB3723,AB3724,"")</f>
        <v/>
      </c>
    </row>
    <row r="3725">
      <c r="W3725" s="7" t="n"/>
      <c r="X3725" s="7" t="n"/>
      <c r="Z3725">
        <f>Z3724+IF(W3725="",0,IF(ISNA(MATCH(W3725,W$256:W3724,0)),1,0))</f>
        <v/>
      </c>
      <c r="AA3725">
        <f>IF(Z3725&gt;Z3724,Z3725,"")</f>
        <v/>
      </c>
      <c r="AB3725">
        <f>AB3724+IF(X3725="",0,IF(ISNA(MATCH(X3725,X$256:X3724,0)),1,0))</f>
        <v/>
      </c>
      <c r="AC3725">
        <f>IF(AB3725&gt;AB3724,AB3725,"")</f>
        <v/>
      </c>
    </row>
    <row r="3726">
      <c r="W3726" s="7" t="n"/>
      <c r="X3726" s="7" t="n"/>
      <c r="Z3726">
        <f>Z3725+IF(W3726="",0,IF(ISNA(MATCH(W3726,W$256:W3725,0)),1,0))</f>
        <v/>
      </c>
      <c r="AA3726">
        <f>IF(Z3726&gt;Z3725,Z3726,"")</f>
        <v/>
      </c>
      <c r="AB3726">
        <f>AB3725+IF(X3726="",0,IF(ISNA(MATCH(X3726,X$256:X3725,0)),1,0))</f>
        <v/>
      </c>
      <c r="AC3726">
        <f>IF(AB3726&gt;AB3725,AB3726,"")</f>
        <v/>
      </c>
    </row>
    <row r="3727">
      <c r="W3727" s="7" t="n"/>
      <c r="X3727" s="7" t="n"/>
      <c r="Z3727">
        <f>Z3726+IF(W3727="",0,IF(ISNA(MATCH(W3727,W$256:W3726,0)),1,0))</f>
        <v/>
      </c>
      <c r="AA3727">
        <f>IF(Z3727&gt;Z3726,Z3727,"")</f>
        <v/>
      </c>
      <c r="AB3727">
        <f>AB3726+IF(X3727="",0,IF(ISNA(MATCH(X3727,X$256:X3726,0)),1,0))</f>
        <v/>
      </c>
      <c r="AC3727">
        <f>IF(AB3727&gt;AB3726,AB3727,"")</f>
        <v/>
      </c>
    </row>
    <row r="3728">
      <c r="W3728" s="7" t="n"/>
      <c r="X3728" s="7" t="n"/>
      <c r="Z3728">
        <f>Z3727+IF(W3728="",0,IF(ISNA(MATCH(W3728,W$256:W3727,0)),1,0))</f>
        <v/>
      </c>
      <c r="AA3728">
        <f>IF(Z3728&gt;Z3727,Z3728,"")</f>
        <v/>
      </c>
      <c r="AB3728">
        <f>AB3727+IF(X3728="",0,IF(ISNA(MATCH(X3728,X$256:X3727,0)),1,0))</f>
        <v/>
      </c>
      <c r="AC3728">
        <f>IF(AB3728&gt;AB3727,AB3728,"")</f>
        <v/>
      </c>
    </row>
    <row r="3729">
      <c r="W3729" s="7" t="n"/>
      <c r="X3729" s="7" t="n"/>
      <c r="Z3729">
        <f>Z3728+IF(W3729="",0,IF(ISNA(MATCH(W3729,W$256:W3728,0)),1,0))</f>
        <v/>
      </c>
      <c r="AA3729">
        <f>IF(Z3729&gt;Z3728,Z3729,"")</f>
        <v/>
      </c>
      <c r="AB3729">
        <f>AB3728+IF(X3729="",0,IF(ISNA(MATCH(X3729,X$256:X3728,0)),1,0))</f>
        <v/>
      </c>
      <c r="AC3729">
        <f>IF(AB3729&gt;AB3728,AB3729,"")</f>
        <v/>
      </c>
    </row>
    <row r="3730">
      <c r="W3730" s="7" t="n"/>
      <c r="X3730" s="7" t="n"/>
      <c r="Z3730">
        <f>Z3729+IF(W3730="",0,IF(ISNA(MATCH(W3730,W$256:W3729,0)),1,0))</f>
        <v/>
      </c>
      <c r="AA3730">
        <f>IF(Z3730&gt;Z3729,Z3730,"")</f>
        <v/>
      </c>
      <c r="AB3730">
        <f>AB3729+IF(X3730="",0,IF(ISNA(MATCH(X3730,X$256:X3729,0)),1,0))</f>
        <v/>
      </c>
      <c r="AC3730">
        <f>IF(AB3730&gt;AB3729,AB3730,"")</f>
        <v/>
      </c>
    </row>
    <row r="3731">
      <c r="W3731" s="7" t="n"/>
      <c r="X3731" s="7" t="n"/>
      <c r="Z3731">
        <f>Z3730+IF(W3731="",0,IF(ISNA(MATCH(W3731,W$256:W3730,0)),1,0))</f>
        <v/>
      </c>
      <c r="AA3731">
        <f>IF(Z3731&gt;Z3730,Z3731,"")</f>
        <v/>
      </c>
      <c r="AB3731">
        <f>AB3730+IF(X3731="",0,IF(ISNA(MATCH(X3731,X$256:X3730,0)),1,0))</f>
        <v/>
      </c>
      <c r="AC3731">
        <f>IF(AB3731&gt;AB3730,AB3731,"")</f>
        <v/>
      </c>
    </row>
    <row r="3732">
      <c r="W3732" s="7" t="n"/>
      <c r="X3732" s="7" t="n"/>
      <c r="Z3732">
        <f>Z3731+IF(W3732="",0,IF(ISNA(MATCH(W3732,W$256:W3731,0)),1,0))</f>
        <v/>
      </c>
      <c r="AA3732">
        <f>IF(Z3732&gt;Z3731,Z3732,"")</f>
        <v/>
      </c>
      <c r="AB3732">
        <f>AB3731+IF(X3732="",0,IF(ISNA(MATCH(X3732,X$256:X3731,0)),1,0))</f>
        <v/>
      </c>
      <c r="AC3732">
        <f>IF(AB3732&gt;AB3731,AB3732,"")</f>
        <v/>
      </c>
    </row>
    <row r="3733">
      <c r="W3733" s="7" t="n"/>
      <c r="X3733" s="7" t="n"/>
      <c r="Z3733">
        <f>Z3732+IF(W3733="",0,IF(ISNA(MATCH(W3733,W$256:W3732,0)),1,0))</f>
        <v/>
      </c>
      <c r="AA3733">
        <f>IF(Z3733&gt;Z3732,Z3733,"")</f>
        <v/>
      </c>
      <c r="AB3733">
        <f>AB3732+IF(X3733="",0,IF(ISNA(MATCH(X3733,X$256:X3732,0)),1,0))</f>
        <v/>
      </c>
      <c r="AC3733">
        <f>IF(AB3733&gt;AB3732,AB3733,"")</f>
        <v/>
      </c>
    </row>
    <row r="3734">
      <c r="W3734" s="7" t="n"/>
      <c r="X3734" s="7" t="n"/>
      <c r="Z3734">
        <f>Z3733+IF(W3734="",0,IF(ISNA(MATCH(W3734,W$256:W3733,0)),1,0))</f>
        <v/>
      </c>
      <c r="AA3734">
        <f>IF(Z3734&gt;Z3733,Z3734,"")</f>
        <v/>
      </c>
      <c r="AB3734">
        <f>AB3733+IF(X3734="",0,IF(ISNA(MATCH(X3734,X$256:X3733,0)),1,0))</f>
        <v/>
      </c>
      <c r="AC3734">
        <f>IF(AB3734&gt;AB3733,AB3734,"")</f>
        <v/>
      </c>
    </row>
    <row r="3735">
      <c r="W3735" s="7" t="n"/>
      <c r="X3735" s="7" t="n"/>
      <c r="Z3735">
        <f>Z3734+IF(W3735="",0,IF(ISNA(MATCH(W3735,W$256:W3734,0)),1,0))</f>
        <v/>
      </c>
      <c r="AA3735">
        <f>IF(Z3735&gt;Z3734,Z3735,"")</f>
        <v/>
      </c>
      <c r="AB3735">
        <f>AB3734+IF(X3735="",0,IF(ISNA(MATCH(X3735,X$256:X3734,0)),1,0))</f>
        <v/>
      </c>
      <c r="AC3735">
        <f>IF(AB3735&gt;AB3734,AB3735,"")</f>
        <v/>
      </c>
    </row>
    <row r="3736">
      <c r="W3736" s="7" t="n"/>
      <c r="X3736" s="7" t="n"/>
      <c r="Z3736">
        <f>Z3735+IF(W3736="",0,IF(ISNA(MATCH(W3736,W$256:W3735,0)),1,0))</f>
        <v/>
      </c>
      <c r="AA3736">
        <f>IF(Z3736&gt;Z3735,Z3736,"")</f>
        <v/>
      </c>
      <c r="AB3736">
        <f>AB3735+IF(X3736="",0,IF(ISNA(MATCH(X3736,X$256:X3735,0)),1,0))</f>
        <v/>
      </c>
      <c r="AC3736">
        <f>IF(AB3736&gt;AB3735,AB3736,"")</f>
        <v/>
      </c>
    </row>
    <row r="3737">
      <c r="W3737" s="7" t="n"/>
      <c r="X3737" s="7" t="n"/>
      <c r="Z3737">
        <f>Z3736+IF(W3737="",0,IF(ISNA(MATCH(W3737,W$256:W3736,0)),1,0))</f>
        <v/>
      </c>
      <c r="AA3737">
        <f>IF(Z3737&gt;Z3736,Z3737,"")</f>
        <v/>
      </c>
      <c r="AB3737">
        <f>AB3736+IF(X3737="",0,IF(ISNA(MATCH(X3737,X$256:X3736,0)),1,0))</f>
        <v/>
      </c>
      <c r="AC3737">
        <f>IF(AB3737&gt;AB3736,AB3737,"")</f>
        <v/>
      </c>
    </row>
    <row r="3738">
      <c r="W3738" s="7" t="n"/>
      <c r="X3738" s="7" t="n"/>
      <c r="Z3738">
        <f>Z3737+IF(W3738="",0,IF(ISNA(MATCH(W3738,W$256:W3737,0)),1,0))</f>
        <v/>
      </c>
      <c r="AA3738">
        <f>IF(Z3738&gt;Z3737,Z3738,"")</f>
        <v/>
      </c>
      <c r="AB3738">
        <f>AB3737+IF(X3738="",0,IF(ISNA(MATCH(X3738,X$256:X3737,0)),1,0))</f>
        <v/>
      </c>
      <c r="AC3738">
        <f>IF(AB3738&gt;AB3737,AB3738,"")</f>
        <v/>
      </c>
    </row>
    <row r="3739">
      <c r="W3739" s="7" t="n"/>
      <c r="X3739" s="7" t="n"/>
      <c r="Z3739">
        <f>Z3738+IF(W3739="",0,IF(ISNA(MATCH(W3739,W$256:W3738,0)),1,0))</f>
        <v/>
      </c>
      <c r="AA3739">
        <f>IF(Z3739&gt;Z3738,Z3739,"")</f>
        <v/>
      </c>
      <c r="AB3739">
        <f>AB3738+IF(X3739="",0,IF(ISNA(MATCH(X3739,X$256:X3738,0)),1,0))</f>
        <v/>
      </c>
      <c r="AC3739">
        <f>IF(AB3739&gt;AB3738,AB3739,"")</f>
        <v/>
      </c>
    </row>
    <row r="3740">
      <c r="W3740" s="7" t="n"/>
      <c r="X3740" s="7" t="n"/>
      <c r="Z3740">
        <f>Z3739+IF(W3740="",0,IF(ISNA(MATCH(W3740,W$256:W3739,0)),1,0))</f>
        <v/>
      </c>
      <c r="AA3740">
        <f>IF(Z3740&gt;Z3739,Z3740,"")</f>
        <v/>
      </c>
      <c r="AB3740">
        <f>AB3739+IF(X3740="",0,IF(ISNA(MATCH(X3740,X$256:X3739,0)),1,0))</f>
        <v/>
      </c>
      <c r="AC3740">
        <f>IF(AB3740&gt;AB3739,AB3740,"")</f>
        <v/>
      </c>
    </row>
    <row r="3741">
      <c r="W3741" s="7" t="n"/>
      <c r="X3741" s="7" t="n"/>
      <c r="Z3741">
        <f>Z3740+IF(W3741="",0,IF(ISNA(MATCH(W3741,W$256:W3740,0)),1,0))</f>
        <v/>
      </c>
      <c r="AA3741">
        <f>IF(Z3741&gt;Z3740,Z3741,"")</f>
        <v/>
      </c>
      <c r="AB3741">
        <f>AB3740+IF(X3741="",0,IF(ISNA(MATCH(X3741,X$256:X3740,0)),1,0))</f>
        <v/>
      </c>
      <c r="AC3741">
        <f>IF(AB3741&gt;AB3740,AB3741,"")</f>
        <v/>
      </c>
    </row>
    <row r="3742">
      <c r="W3742" s="7" t="n"/>
      <c r="X3742" s="7" t="n"/>
      <c r="Z3742">
        <f>Z3741+IF(W3742="",0,IF(ISNA(MATCH(W3742,W$256:W3741,0)),1,0))</f>
        <v/>
      </c>
      <c r="AA3742">
        <f>IF(Z3742&gt;Z3741,Z3742,"")</f>
        <v/>
      </c>
      <c r="AB3742">
        <f>AB3741+IF(X3742="",0,IF(ISNA(MATCH(X3742,X$256:X3741,0)),1,0))</f>
        <v/>
      </c>
      <c r="AC3742">
        <f>IF(AB3742&gt;AB3741,AB3742,"")</f>
        <v/>
      </c>
    </row>
    <row r="3743">
      <c r="W3743" s="7" t="n"/>
      <c r="X3743" s="7" t="n"/>
      <c r="Z3743">
        <f>Z3742+IF(W3743="",0,IF(ISNA(MATCH(W3743,W$256:W3742,0)),1,0))</f>
        <v/>
      </c>
      <c r="AA3743">
        <f>IF(Z3743&gt;Z3742,Z3743,"")</f>
        <v/>
      </c>
      <c r="AB3743">
        <f>AB3742+IF(X3743="",0,IF(ISNA(MATCH(X3743,X$256:X3742,0)),1,0))</f>
        <v/>
      </c>
      <c r="AC3743">
        <f>IF(AB3743&gt;AB3742,AB3743,"")</f>
        <v/>
      </c>
    </row>
    <row r="3744">
      <c r="W3744" s="7" t="n"/>
      <c r="X3744" s="7" t="n"/>
      <c r="Z3744">
        <f>Z3743+IF(W3744="",0,IF(ISNA(MATCH(W3744,W$256:W3743,0)),1,0))</f>
        <v/>
      </c>
      <c r="AA3744">
        <f>IF(Z3744&gt;Z3743,Z3744,"")</f>
        <v/>
      </c>
      <c r="AB3744">
        <f>AB3743+IF(X3744="",0,IF(ISNA(MATCH(X3744,X$256:X3743,0)),1,0))</f>
        <v/>
      </c>
      <c r="AC3744">
        <f>IF(AB3744&gt;AB3743,AB3744,"")</f>
        <v/>
      </c>
    </row>
    <row r="3745">
      <c r="W3745" s="7" t="n"/>
      <c r="X3745" s="7" t="n"/>
      <c r="Z3745">
        <f>Z3744+IF(W3745="",0,IF(ISNA(MATCH(W3745,W$256:W3744,0)),1,0))</f>
        <v/>
      </c>
      <c r="AA3745">
        <f>IF(Z3745&gt;Z3744,Z3745,"")</f>
        <v/>
      </c>
      <c r="AB3745">
        <f>AB3744+IF(X3745="",0,IF(ISNA(MATCH(X3745,X$256:X3744,0)),1,0))</f>
        <v/>
      </c>
      <c r="AC3745">
        <f>IF(AB3745&gt;AB3744,AB3745,"")</f>
        <v/>
      </c>
    </row>
    <row r="3746">
      <c r="W3746" s="7" t="n"/>
      <c r="X3746" s="7" t="n"/>
      <c r="Z3746">
        <f>Z3745+IF(W3746="",0,IF(ISNA(MATCH(W3746,W$256:W3745,0)),1,0))</f>
        <v/>
      </c>
      <c r="AA3746">
        <f>IF(Z3746&gt;Z3745,Z3746,"")</f>
        <v/>
      </c>
      <c r="AB3746">
        <f>AB3745+IF(X3746="",0,IF(ISNA(MATCH(X3746,X$256:X3745,0)),1,0))</f>
        <v/>
      </c>
      <c r="AC3746">
        <f>IF(AB3746&gt;AB3745,AB3746,"")</f>
        <v/>
      </c>
    </row>
    <row r="3747">
      <c r="W3747" s="7" t="n"/>
      <c r="X3747" s="7" t="n"/>
      <c r="Z3747">
        <f>Z3746+IF(W3747="",0,IF(ISNA(MATCH(W3747,W$256:W3746,0)),1,0))</f>
        <v/>
      </c>
      <c r="AA3747">
        <f>IF(Z3747&gt;Z3746,Z3747,"")</f>
        <v/>
      </c>
      <c r="AB3747">
        <f>AB3746+IF(X3747="",0,IF(ISNA(MATCH(X3747,X$256:X3746,0)),1,0))</f>
        <v/>
      </c>
      <c r="AC3747">
        <f>IF(AB3747&gt;AB3746,AB3747,"")</f>
        <v/>
      </c>
    </row>
    <row r="3748">
      <c r="W3748" s="7" t="n"/>
      <c r="X3748" s="7" t="n"/>
      <c r="Z3748">
        <f>Z3747+IF(W3748="",0,IF(ISNA(MATCH(W3748,W$256:W3747,0)),1,0))</f>
        <v/>
      </c>
      <c r="AA3748">
        <f>IF(Z3748&gt;Z3747,Z3748,"")</f>
        <v/>
      </c>
      <c r="AB3748">
        <f>AB3747+IF(X3748="",0,IF(ISNA(MATCH(X3748,X$256:X3747,0)),1,0))</f>
        <v/>
      </c>
      <c r="AC3748">
        <f>IF(AB3748&gt;AB3747,AB3748,"")</f>
        <v/>
      </c>
    </row>
    <row r="3749">
      <c r="W3749" s="7" t="n"/>
      <c r="X3749" s="7" t="n"/>
      <c r="Z3749">
        <f>Z3748+IF(W3749="",0,IF(ISNA(MATCH(W3749,W$256:W3748,0)),1,0))</f>
        <v/>
      </c>
      <c r="AA3749">
        <f>IF(Z3749&gt;Z3748,Z3749,"")</f>
        <v/>
      </c>
      <c r="AB3749">
        <f>AB3748+IF(X3749="",0,IF(ISNA(MATCH(X3749,X$256:X3748,0)),1,0))</f>
        <v/>
      </c>
      <c r="AC3749">
        <f>IF(AB3749&gt;AB3748,AB3749,"")</f>
        <v/>
      </c>
    </row>
    <row r="3750">
      <c r="W3750" s="7" t="n"/>
      <c r="X3750" s="7" t="n"/>
      <c r="Z3750">
        <f>Z3749+IF(W3750="",0,IF(ISNA(MATCH(W3750,W$256:W3749,0)),1,0))</f>
        <v/>
      </c>
      <c r="AA3750">
        <f>IF(Z3750&gt;Z3749,Z3750,"")</f>
        <v/>
      </c>
      <c r="AB3750">
        <f>AB3749+IF(X3750="",0,IF(ISNA(MATCH(X3750,X$256:X3749,0)),1,0))</f>
        <v/>
      </c>
      <c r="AC3750">
        <f>IF(AB3750&gt;AB3749,AB3750,"")</f>
        <v/>
      </c>
    </row>
    <row r="3751">
      <c r="W3751" s="7" t="n"/>
      <c r="X3751" s="7" t="n"/>
      <c r="Z3751">
        <f>Z3750+IF(W3751="",0,IF(ISNA(MATCH(W3751,W$256:W3750,0)),1,0))</f>
        <v/>
      </c>
      <c r="AA3751">
        <f>IF(Z3751&gt;Z3750,Z3751,"")</f>
        <v/>
      </c>
      <c r="AB3751">
        <f>AB3750+IF(X3751="",0,IF(ISNA(MATCH(X3751,X$256:X3750,0)),1,0))</f>
        <v/>
      </c>
      <c r="AC3751">
        <f>IF(AB3751&gt;AB3750,AB3751,"")</f>
        <v/>
      </c>
    </row>
    <row r="3752">
      <c r="W3752" s="7" t="n"/>
      <c r="X3752" s="7" t="n"/>
      <c r="Z3752">
        <f>Z3751+IF(W3752="",0,IF(ISNA(MATCH(W3752,W$256:W3751,0)),1,0))</f>
        <v/>
      </c>
      <c r="AA3752">
        <f>IF(Z3752&gt;Z3751,Z3752,"")</f>
        <v/>
      </c>
      <c r="AB3752">
        <f>AB3751+IF(X3752="",0,IF(ISNA(MATCH(X3752,X$256:X3751,0)),1,0))</f>
        <v/>
      </c>
      <c r="AC3752">
        <f>IF(AB3752&gt;AB3751,AB3752,"")</f>
        <v/>
      </c>
    </row>
    <row r="3753">
      <c r="W3753" s="7" t="n"/>
      <c r="X3753" s="7" t="n"/>
      <c r="Z3753">
        <f>Z3752+IF(W3753="",0,IF(ISNA(MATCH(W3753,W$256:W3752,0)),1,0))</f>
        <v/>
      </c>
      <c r="AA3753">
        <f>IF(Z3753&gt;Z3752,Z3753,"")</f>
        <v/>
      </c>
      <c r="AB3753">
        <f>AB3752+IF(X3753="",0,IF(ISNA(MATCH(X3753,X$256:X3752,0)),1,0))</f>
        <v/>
      </c>
      <c r="AC3753">
        <f>IF(AB3753&gt;AB3752,AB3753,"")</f>
        <v/>
      </c>
    </row>
    <row r="3754">
      <c r="W3754" s="7" t="n"/>
      <c r="X3754" s="7" t="n"/>
      <c r="Z3754">
        <f>Z3753+IF(W3754="",0,IF(ISNA(MATCH(W3754,W$256:W3753,0)),1,0))</f>
        <v/>
      </c>
      <c r="AA3754">
        <f>IF(Z3754&gt;Z3753,Z3754,"")</f>
        <v/>
      </c>
      <c r="AB3754">
        <f>AB3753+IF(X3754="",0,IF(ISNA(MATCH(X3754,X$256:X3753,0)),1,0))</f>
        <v/>
      </c>
      <c r="AC3754">
        <f>IF(AB3754&gt;AB3753,AB3754,"")</f>
        <v/>
      </c>
    </row>
    <row r="3755">
      <c r="W3755" s="7" t="n"/>
      <c r="X3755" s="7" t="n"/>
      <c r="Z3755">
        <f>Z3754+IF(W3755="",0,IF(ISNA(MATCH(W3755,W$256:W3754,0)),1,0))</f>
        <v/>
      </c>
      <c r="AA3755">
        <f>IF(Z3755&gt;Z3754,Z3755,"")</f>
        <v/>
      </c>
      <c r="AB3755">
        <f>AB3754+IF(X3755="",0,IF(ISNA(MATCH(X3755,X$256:X3754,0)),1,0))</f>
        <v/>
      </c>
      <c r="AC3755">
        <f>IF(AB3755&gt;AB3754,AB3755,"")</f>
        <v/>
      </c>
    </row>
    <row r="3756">
      <c r="W3756" s="7" t="n"/>
      <c r="X3756" s="7" t="n"/>
      <c r="Z3756">
        <f>Z3755+IF(W3756="",0,IF(ISNA(MATCH(W3756,W$256:W3755,0)),1,0))</f>
        <v/>
      </c>
      <c r="AA3756">
        <f>IF(Z3756&gt;Z3755,Z3756,"")</f>
        <v/>
      </c>
      <c r="AB3756">
        <f>AB3755+IF(X3756="",0,IF(ISNA(MATCH(X3756,X$256:X3755,0)),1,0))</f>
        <v/>
      </c>
      <c r="AC3756">
        <f>IF(AB3756&gt;AB3755,AB3756,"")</f>
        <v/>
      </c>
    </row>
    <row r="3757">
      <c r="W3757" s="7" t="n"/>
      <c r="X3757" s="7" t="n"/>
      <c r="Z3757">
        <f>Z3756+IF(W3757="",0,IF(ISNA(MATCH(W3757,W$256:W3756,0)),1,0))</f>
        <v/>
      </c>
      <c r="AA3757">
        <f>IF(Z3757&gt;Z3756,Z3757,"")</f>
        <v/>
      </c>
      <c r="AB3757">
        <f>AB3756+IF(X3757="",0,IF(ISNA(MATCH(X3757,X$256:X3756,0)),1,0))</f>
        <v/>
      </c>
      <c r="AC3757">
        <f>IF(AB3757&gt;AB3756,AB3757,"")</f>
        <v/>
      </c>
    </row>
    <row r="3758">
      <c r="W3758" s="7" t="n"/>
      <c r="X3758" s="7" t="n"/>
      <c r="Z3758">
        <f>Z3757+IF(W3758="",0,IF(ISNA(MATCH(W3758,W$256:W3757,0)),1,0))</f>
        <v/>
      </c>
      <c r="AA3758">
        <f>IF(Z3758&gt;Z3757,Z3758,"")</f>
        <v/>
      </c>
      <c r="AB3758">
        <f>AB3757+IF(X3758="",0,IF(ISNA(MATCH(X3758,X$256:X3757,0)),1,0))</f>
        <v/>
      </c>
      <c r="AC3758">
        <f>IF(AB3758&gt;AB3757,AB3758,"")</f>
        <v/>
      </c>
    </row>
    <row r="3759">
      <c r="W3759" s="7" t="n"/>
      <c r="X3759" s="7" t="n"/>
      <c r="Z3759">
        <f>Z3758+IF(W3759="",0,IF(ISNA(MATCH(W3759,W$256:W3758,0)),1,0))</f>
        <v/>
      </c>
      <c r="AA3759">
        <f>IF(Z3759&gt;Z3758,Z3759,"")</f>
        <v/>
      </c>
      <c r="AB3759">
        <f>AB3758+IF(X3759="",0,IF(ISNA(MATCH(X3759,X$256:X3758,0)),1,0))</f>
        <v/>
      </c>
      <c r="AC3759">
        <f>IF(AB3759&gt;AB3758,AB3759,"")</f>
        <v/>
      </c>
    </row>
    <row r="3760">
      <c r="W3760" s="7" t="n"/>
      <c r="X3760" s="7" t="n"/>
      <c r="Z3760">
        <f>Z3759+IF(W3760="",0,IF(ISNA(MATCH(W3760,W$256:W3759,0)),1,0))</f>
        <v/>
      </c>
      <c r="AA3760">
        <f>IF(Z3760&gt;Z3759,Z3760,"")</f>
        <v/>
      </c>
      <c r="AB3760">
        <f>AB3759+IF(X3760="",0,IF(ISNA(MATCH(X3760,X$256:X3759,0)),1,0))</f>
        <v/>
      </c>
      <c r="AC3760">
        <f>IF(AB3760&gt;AB3759,AB3760,"")</f>
        <v/>
      </c>
    </row>
    <row r="3761">
      <c r="W3761" s="7" t="n"/>
      <c r="X3761" s="7" t="n"/>
      <c r="Z3761">
        <f>Z3760+IF(W3761="",0,IF(ISNA(MATCH(W3761,W$256:W3760,0)),1,0))</f>
        <v/>
      </c>
      <c r="AA3761">
        <f>IF(Z3761&gt;Z3760,Z3761,"")</f>
        <v/>
      </c>
      <c r="AB3761">
        <f>AB3760+IF(X3761="",0,IF(ISNA(MATCH(X3761,X$256:X3760,0)),1,0))</f>
        <v/>
      </c>
      <c r="AC3761">
        <f>IF(AB3761&gt;AB3760,AB3761,"")</f>
        <v/>
      </c>
    </row>
    <row r="3762">
      <c r="W3762" s="7" t="n"/>
      <c r="X3762" s="7" t="n"/>
      <c r="Z3762">
        <f>Z3761+IF(W3762="",0,IF(ISNA(MATCH(W3762,W$256:W3761,0)),1,0))</f>
        <v/>
      </c>
      <c r="AA3762">
        <f>IF(Z3762&gt;Z3761,Z3762,"")</f>
        <v/>
      </c>
      <c r="AB3762">
        <f>AB3761+IF(X3762="",0,IF(ISNA(MATCH(X3762,X$256:X3761,0)),1,0))</f>
        <v/>
      </c>
      <c r="AC3762">
        <f>IF(AB3762&gt;AB3761,AB3762,"")</f>
        <v/>
      </c>
    </row>
    <row r="3763">
      <c r="W3763" s="7" t="n"/>
      <c r="X3763" s="7" t="n"/>
      <c r="Z3763">
        <f>Z3762+IF(W3763="",0,IF(ISNA(MATCH(W3763,W$256:W3762,0)),1,0))</f>
        <v/>
      </c>
      <c r="AA3763">
        <f>IF(Z3763&gt;Z3762,Z3763,"")</f>
        <v/>
      </c>
      <c r="AB3763">
        <f>AB3762+IF(X3763="",0,IF(ISNA(MATCH(X3763,X$256:X3762,0)),1,0))</f>
        <v/>
      </c>
      <c r="AC3763">
        <f>IF(AB3763&gt;AB3762,AB3763,"")</f>
        <v/>
      </c>
    </row>
    <row r="3764">
      <c r="W3764" s="7" t="n"/>
      <c r="X3764" s="7" t="n"/>
      <c r="Z3764">
        <f>Z3763+IF(W3764="",0,IF(ISNA(MATCH(W3764,W$256:W3763,0)),1,0))</f>
        <v/>
      </c>
      <c r="AA3764">
        <f>IF(Z3764&gt;Z3763,Z3764,"")</f>
        <v/>
      </c>
      <c r="AB3764">
        <f>AB3763+IF(X3764="",0,IF(ISNA(MATCH(X3764,X$256:X3763,0)),1,0))</f>
        <v/>
      </c>
      <c r="AC3764">
        <f>IF(AB3764&gt;AB3763,AB3764,"")</f>
        <v/>
      </c>
    </row>
    <row r="3765">
      <c r="W3765" s="7" t="n"/>
      <c r="X3765" s="7" t="n"/>
      <c r="Z3765">
        <f>Z3764+IF(W3765="",0,IF(ISNA(MATCH(W3765,W$256:W3764,0)),1,0))</f>
        <v/>
      </c>
      <c r="AA3765">
        <f>IF(Z3765&gt;Z3764,Z3765,"")</f>
        <v/>
      </c>
      <c r="AB3765">
        <f>AB3764+IF(X3765="",0,IF(ISNA(MATCH(X3765,X$256:X3764,0)),1,0))</f>
        <v/>
      </c>
      <c r="AC3765">
        <f>IF(AB3765&gt;AB3764,AB3765,"")</f>
        <v/>
      </c>
    </row>
    <row r="3766">
      <c r="W3766" s="7" t="n"/>
      <c r="X3766" s="7" t="n"/>
      <c r="Z3766">
        <f>Z3765+IF(W3766="",0,IF(ISNA(MATCH(W3766,W$256:W3765,0)),1,0))</f>
        <v/>
      </c>
      <c r="AA3766">
        <f>IF(Z3766&gt;Z3765,Z3766,"")</f>
        <v/>
      </c>
      <c r="AB3766">
        <f>AB3765+IF(X3766="",0,IF(ISNA(MATCH(X3766,X$256:X3765,0)),1,0))</f>
        <v/>
      </c>
      <c r="AC3766">
        <f>IF(AB3766&gt;AB3765,AB3766,"")</f>
        <v/>
      </c>
    </row>
    <row r="3767">
      <c r="W3767" s="7" t="n"/>
      <c r="X3767" s="7" t="n"/>
      <c r="Z3767">
        <f>Z3766+IF(W3767="",0,IF(ISNA(MATCH(W3767,W$256:W3766,0)),1,0))</f>
        <v/>
      </c>
      <c r="AA3767">
        <f>IF(Z3767&gt;Z3766,Z3767,"")</f>
        <v/>
      </c>
      <c r="AB3767">
        <f>AB3766+IF(X3767="",0,IF(ISNA(MATCH(X3767,X$256:X3766,0)),1,0))</f>
        <v/>
      </c>
      <c r="AC3767">
        <f>IF(AB3767&gt;AB3766,AB3767,"")</f>
        <v/>
      </c>
    </row>
    <row r="3768">
      <c r="W3768" s="7" t="n"/>
      <c r="X3768" s="7" t="n"/>
      <c r="Z3768">
        <f>Z3767+IF(W3768="",0,IF(ISNA(MATCH(W3768,W$256:W3767,0)),1,0))</f>
        <v/>
      </c>
      <c r="AA3768">
        <f>IF(Z3768&gt;Z3767,Z3768,"")</f>
        <v/>
      </c>
      <c r="AB3768">
        <f>AB3767+IF(X3768="",0,IF(ISNA(MATCH(X3768,X$256:X3767,0)),1,0))</f>
        <v/>
      </c>
      <c r="AC3768">
        <f>IF(AB3768&gt;AB3767,AB3768,"")</f>
        <v/>
      </c>
    </row>
    <row r="3769">
      <c r="W3769" s="7" t="n"/>
      <c r="X3769" s="7" t="n"/>
      <c r="Z3769">
        <f>Z3768+IF(W3769="",0,IF(ISNA(MATCH(W3769,W$256:W3768,0)),1,0))</f>
        <v/>
      </c>
      <c r="AA3769">
        <f>IF(Z3769&gt;Z3768,Z3769,"")</f>
        <v/>
      </c>
      <c r="AB3769">
        <f>AB3768+IF(X3769="",0,IF(ISNA(MATCH(X3769,X$256:X3768,0)),1,0))</f>
        <v/>
      </c>
      <c r="AC3769">
        <f>IF(AB3769&gt;AB3768,AB3769,"")</f>
        <v/>
      </c>
    </row>
    <row r="3770">
      <c r="W3770" s="7" t="n"/>
      <c r="X3770" s="7" t="n"/>
      <c r="Z3770">
        <f>Z3769+IF(W3770="",0,IF(ISNA(MATCH(W3770,W$256:W3769,0)),1,0))</f>
        <v/>
      </c>
      <c r="AA3770">
        <f>IF(Z3770&gt;Z3769,Z3770,"")</f>
        <v/>
      </c>
      <c r="AB3770">
        <f>AB3769+IF(X3770="",0,IF(ISNA(MATCH(X3770,X$256:X3769,0)),1,0))</f>
        <v/>
      </c>
      <c r="AC3770">
        <f>IF(AB3770&gt;AB3769,AB3770,"")</f>
        <v/>
      </c>
    </row>
    <row r="3771">
      <c r="W3771" s="7" t="n"/>
      <c r="X3771" s="7" t="n"/>
      <c r="Z3771">
        <f>Z3770+IF(W3771="",0,IF(ISNA(MATCH(W3771,W$256:W3770,0)),1,0))</f>
        <v/>
      </c>
      <c r="AA3771">
        <f>IF(Z3771&gt;Z3770,Z3771,"")</f>
        <v/>
      </c>
      <c r="AB3771">
        <f>AB3770+IF(X3771="",0,IF(ISNA(MATCH(X3771,X$256:X3770,0)),1,0))</f>
        <v/>
      </c>
      <c r="AC3771">
        <f>IF(AB3771&gt;AB3770,AB3771,"")</f>
        <v/>
      </c>
    </row>
    <row r="3772">
      <c r="W3772" s="7" t="n"/>
      <c r="X3772" s="7" t="n"/>
      <c r="Z3772">
        <f>Z3771+IF(W3772="",0,IF(ISNA(MATCH(W3772,W$256:W3771,0)),1,0))</f>
        <v/>
      </c>
      <c r="AA3772">
        <f>IF(Z3772&gt;Z3771,Z3772,"")</f>
        <v/>
      </c>
      <c r="AB3772">
        <f>AB3771+IF(X3772="",0,IF(ISNA(MATCH(X3772,X$256:X3771,0)),1,0))</f>
        <v/>
      </c>
      <c r="AC3772">
        <f>IF(AB3772&gt;AB3771,AB3772,"")</f>
        <v/>
      </c>
    </row>
    <row r="3773">
      <c r="W3773" s="7" t="n"/>
      <c r="X3773" s="7" t="n"/>
      <c r="Z3773">
        <f>Z3772+IF(W3773="",0,IF(ISNA(MATCH(W3773,W$256:W3772,0)),1,0))</f>
        <v/>
      </c>
      <c r="AA3773">
        <f>IF(Z3773&gt;Z3772,Z3773,"")</f>
        <v/>
      </c>
      <c r="AB3773">
        <f>AB3772+IF(X3773="",0,IF(ISNA(MATCH(X3773,X$256:X3772,0)),1,0))</f>
        <v/>
      </c>
      <c r="AC3773">
        <f>IF(AB3773&gt;AB3772,AB3773,"")</f>
        <v/>
      </c>
    </row>
    <row r="3774">
      <c r="W3774" s="7" t="n"/>
      <c r="X3774" s="7" t="n"/>
      <c r="Z3774">
        <f>Z3773+IF(W3774="",0,IF(ISNA(MATCH(W3774,W$256:W3773,0)),1,0))</f>
        <v/>
      </c>
      <c r="AA3774">
        <f>IF(Z3774&gt;Z3773,Z3774,"")</f>
        <v/>
      </c>
      <c r="AB3774">
        <f>AB3773+IF(X3774="",0,IF(ISNA(MATCH(X3774,X$256:X3773,0)),1,0))</f>
        <v/>
      </c>
      <c r="AC3774">
        <f>IF(AB3774&gt;AB3773,AB3774,"")</f>
        <v/>
      </c>
    </row>
    <row r="3775">
      <c r="W3775" s="7" t="n"/>
      <c r="X3775" s="7" t="n"/>
      <c r="Z3775">
        <f>Z3774+IF(W3775="",0,IF(ISNA(MATCH(W3775,W$256:W3774,0)),1,0))</f>
        <v/>
      </c>
      <c r="AA3775">
        <f>IF(Z3775&gt;Z3774,Z3775,"")</f>
        <v/>
      </c>
      <c r="AB3775">
        <f>AB3774+IF(X3775="",0,IF(ISNA(MATCH(X3775,X$256:X3774,0)),1,0))</f>
        <v/>
      </c>
      <c r="AC3775">
        <f>IF(AB3775&gt;AB3774,AB3775,"")</f>
        <v/>
      </c>
    </row>
    <row r="3776">
      <c r="W3776" s="7" t="n"/>
      <c r="X3776" s="7" t="n"/>
      <c r="Z3776">
        <f>Z3775+IF(W3776="",0,IF(ISNA(MATCH(W3776,W$256:W3775,0)),1,0))</f>
        <v/>
      </c>
      <c r="AA3776">
        <f>IF(Z3776&gt;Z3775,Z3776,"")</f>
        <v/>
      </c>
      <c r="AB3776">
        <f>AB3775+IF(X3776="",0,IF(ISNA(MATCH(X3776,X$256:X3775,0)),1,0))</f>
        <v/>
      </c>
      <c r="AC3776">
        <f>IF(AB3776&gt;AB3775,AB3776,"")</f>
        <v/>
      </c>
    </row>
    <row r="3777">
      <c r="W3777" s="7" t="n"/>
      <c r="X3777" s="7" t="n"/>
      <c r="Z3777">
        <f>Z3776+IF(W3777="",0,IF(ISNA(MATCH(W3777,W$256:W3776,0)),1,0))</f>
        <v/>
      </c>
      <c r="AA3777">
        <f>IF(Z3777&gt;Z3776,Z3777,"")</f>
        <v/>
      </c>
      <c r="AB3777">
        <f>AB3776+IF(X3777="",0,IF(ISNA(MATCH(X3777,X$256:X3776,0)),1,0))</f>
        <v/>
      </c>
      <c r="AC3777">
        <f>IF(AB3777&gt;AB3776,AB3777,"")</f>
        <v/>
      </c>
    </row>
    <row r="3778">
      <c r="W3778" s="7" t="n"/>
      <c r="X3778" s="7" t="n"/>
      <c r="Z3778">
        <f>Z3777+IF(W3778="",0,IF(ISNA(MATCH(W3778,W$256:W3777,0)),1,0))</f>
        <v/>
      </c>
      <c r="AA3778">
        <f>IF(Z3778&gt;Z3777,Z3778,"")</f>
        <v/>
      </c>
      <c r="AB3778">
        <f>AB3777+IF(X3778="",0,IF(ISNA(MATCH(X3778,X$256:X3777,0)),1,0))</f>
        <v/>
      </c>
      <c r="AC3778">
        <f>IF(AB3778&gt;AB3777,AB3778,"")</f>
        <v/>
      </c>
    </row>
    <row r="3779">
      <c r="W3779" s="7" t="n"/>
      <c r="X3779" s="7" t="n"/>
      <c r="Z3779">
        <f>Z3778+IF(W3779="",0,IF(ISNA(MATCH(W3779,W$256:W3778,0)),1,0))</f>
        <v/>
      </c>
      <c r="AA3779">
        <f>IF(Z3779&gt;Z3778,Z3779,"")</f>
        <v/>
      </c>
      <c r="AB3779">
        <f>AB3778+IF(X3779="",0,IF(ISNA(MATCH(X3779,X$256:X3778,0)),1,0))</f>
        <v/>
      </c>
      <c r="AC3779">
        <f>IF(AB3779&gt;AB3778,AB3779,"")</f>
        <v/>
      </c>
    </row>
    <row r="3780">
      <c r="W3780" s="7" t="n"/>
      <c r="X3780" s="7" t="n"/>
      <c r="Z3780">
        <f>Z3779+IF(W3780="",0,IF(ISNA(MATCH(W3780,W$256:W3779,0)),1,0))</f>
        <v/>
      </c>
      <c r="AA3780">
        <f>IF(Z3780&gt;Z3779,Z3780,"")</f>
        <v/>
      </c>
      <c r="AB3780">
        <f>AB3779+IF(X3780="",0,IF(ISNA(MATCH(X3780,X$256:X3779,0)),1,0))</f>
        <v/>
      </c>
      <c r="AC3780">
        <f>IF(AB3780&gt;AB3779,AB3780,"")</f>
        <v/>
      </c>
    </row>
    <row r="3781">
      <c r="W3781" s="7" t="n"/>
      <c r="X3781" s="7" t="n"/>
      <c r="Z3781">
        <f>Z3780+IF(W3781="",0,IF(ISNA(MATCH(W3781,W$256:W3780,0)),1,0))</f>
        <v/>
      </c>
      <c r="AA3781">
        <f>IF(Z3781&gt;Z3780,Z3781,"")</f>
        <v/>
      </c>
      <c r="AB3781">
        <f>AB3780+IF(X3781="",0,IF(ISNA(MATCH(X3781,X$256:X3780,0)),1,0))</f>
        <v/>
      </c>
      <c r="AC3781">
        <f>IF(AB3781&gt;AB3780,AB3781,"")</f>
        <v/>
      </c>
    </row>
    <row r="3782">
      <c r="W3782" s="7" t="n"/>
      <c r="X3782" s="7" t="n"/>
      <c r="Z3782">
        <f>Z3781+IF(W3782="",0,IF(ISNA(MATCH(W3782,W$256:W3781,0)),1,0))</f>
        <v/>
      </c>
      <c r="AA3782">
        <f>IF(Z3782&gt;Z3781,Z3782,"")</f>
        <v/>
      </c>
      <c r="AB3782">
        <f>AB3781+IF(X3782="",0,IF(ISNA(MATCH(X3782,X$256:X3781,0)),1,0))</f>
        <v/>
      </c>
      <c r="AC3782">
        <f>IF(AB3782&gt;AB3781,AB3782,"")</f>
        <v/>
      </c>
    </row>
    <row r="3783">
      <c r="W3783" s="7" t="n"/>
      <c r="X3783" s="7" t="n"/>
      <c r="Z3783">
        <f>Z3782+IF(W3783="",0,IF(ISNA(MATCH(W3783,W$256:W3782,0)),1,0))</f>
        <v/>
      </c>
      <c r="AA3783">
        <f>IF(Z3783&gt;Z3782,Z3783,"")</f>
        <v/>
      </c>
      <c r="AB3783">
        <f>AB3782+IF(X3783="",0,IF(ISNA(MATCH(X3783,X$256:X3782,0)),1,0))</f>
        <v/>
      </c>
      <c r="AC3783">
        <f>IF(AB3783&gt;AB3782,AB3783,"")</f>
        <v/>
      </c>
    </row>
    <row r="3784">
      <c r="W3784" s="7" t="n"/>
      <c r="X3784" s="7" t="n"/>
      <c r="Z3784">
        <f>Z3783+IF(W3784="",0,IF(ISNA(MATCH(W3784,W$256:W3783,0)),1,0))</f>
        <v/>
      </c>
      <c r="AA3784">
        <f>IF(Z3784&gt;Z3783,Z3784,"")</f>
        <v/>
      </c>
      <c r="AB3784">
        <f>AB3783+IF(X3784="",0,IF(ISNA(MATCH(X3784,X$256:X3783,0)),1,0))</f>
        <v/>
      </c>
      <c r="AC3784">
        <f>IF(AB3784&gt;AB3783,AB3784,"")</f>
        <v/>
      </c>
    </row>
    <row r="3785">
      <c r="W3785" s="7" t="n"/>
      <c r="X3785" s="7" t="n"/>
      <c r="Z3785">
        <f>Z3784+IF(W3785="",0,IF(ISNA(MATCH(W3785,W$256:W3784,0)),1,0))</f>
        <v/>
      </c>
      <c r="AA3785">
        <f>IF(Z3785&gt;Z3784,Z3785,"")</f>
        <v/>
      </c>
      <c r="AB3785">
        <f>AB3784+IF(X3785="",0,IF(ISNA(MATCH(X3785,X$256:X3784,0)),1,0))</f>
        <v/>
      </c>
      <c r="AC3785">
        <f>IF(AB3785&gt;AB3784,AB3785,"")</f>
        <v/>
      </c>
    </row>
    <row r="3786">
      <c r="W3786" s="7" t="n"/>
      <c r="X3786" s="7" t="n"/>
      <c r="Z3786">
        <f>Z3785+IF(W3786="",0,IF(ISNA(MATCH(W3786,W$256:W3785,0)),1,0))</f>
        <v/>
      </c>
      <c r="AA3786">
        <f>IF(Z3786&gt;Z3785,Z3786,"")</f>
        <v/>
      </c>
      <c r="AB3786">
        <f>AB3785+IF(X3786="",0,IF(ISNA(MATCH(X3786,X$256:X3785,0)),1,0))</f>
        <v/>
      </c>
      <c r="AC3786">
        <f>IF(AB3786&gt;AB3785,AB3786,"")</f>
        <v/>
      </c>
    </row>
    <row r="3787">
      <c r="W3787" s="7" t="n"/>
      <c r="X3787" s="7" t="n"/>
      <c r="Z3787">
        <f>Z3786+IF(W3787="",0,IF(ISNA(MATCH(W3787,W$256:W3786,0)),1,0))</f>
        <v/>
      </c>
      <c r="AA3787">
        <f>IF(Z3787&gt;Z3786,Z3787,"")</f>
        <v/>
      </c>
      <c r="AB3787">
        <f>AB3786+IF(X3787="",0,IF(ISNA(MATCH(X3787,X$256:X3786,0)),1,0))</f>
        <v/>
      </c>
      <c r="AC3787">
        <f>IF(AB3787&gt;AB3786,AB3787,"")</f>
        <v/>
      </c>
    </row>
    <row r="3788">
      <c r="W3788" s="7" t="n"/>
      <c r="X3788" s="7" t="n"/>
      <c r="Z3788">
        <f>Z3787+IF(W3788="",0,IF(ISNA(MATCH(W3788,W$256:W3787,0)),1,0))</f>
        <v/>
      </c>
      <c r="AA3788">
        <f>IF(Z3788&gt;Z3787,Z3788,"")</f>
        <v/>
      </c>
      <c r="AB3788">
        <f>AB3787+IF(X3788="",0,IF(ISNA(MATCH(X3788,X$256:X3787,0)),1,0))</f>
        <v/>
      </c>
      <c r="AC3788">
        <f>IF(AB3788&gt;AB3787,AB3788,"")</f>
        <v/>
      </c>
    </row>
    <row r="3789">
      <c r="W3789" s="7" t="n"/>
      <c r="X3789" s="7" t="n"/>
      <c r="Z3789">
        <f>Z3788+IF(W3789="",0,IF(ISNA(MATCH(W3789,W$256:W3788,0)),1,0))</f>
        <v/>
      </c>
      <c r="AA3789">
        <f>IF(Z3789&gt;Z3788,Z3789,"")</f>
        <v/>
      </c>
      <c r="AB3789">
        <f>AB3788+IF(X3789="",0,IF(ISNA(MATCH(X3789,X$256:X3788,0)),1,0))</f>
        <v/>
      </c>
      <c r="AC3789">
        <f>IF(AB3789&gt;AB3788,AB3789,"")</f>
        <v/>
      </c>
    </row>
    <row r="3790">
      <c r="W3790" s="7" t="n"/>
      <c r="X3790" s="7" t="n"/>
      <c r="Z3790">
        <f>Z3789+IF(W3790="",0,IF(ISNA(MATCH(W3790,W$256:W3789,0)),1,0))</f>
        <v/>
      </c>
      <c r="AA3790">
        <f>IF(Z3790&gt;Z3789,Z3790,"")</f>
        <v/>
      </c>
      <c r="AB3790">
        <f>AB3789+IF(X3790="",0,IF(ISNA(MATCH(X3790,X$256:X3789,0)),1,0))</f>
        <v/>
      </c>
      <c r="AC3790">
        <f>IF(AB3790&gt;AB3789,AB3790,"")</f>
        <v/>
      </c>
    </row>
    <row r="3791">
      <c r="W3791" s="7" t="n"/>
      <c r="X3791" s="7" t="n"/>
      <c r="Z3791">
        <f>Z3790+IF(W3791="",0,IF(ISNA(MATCH(W3791,W$256:W3790,0)),1,0))</f>
        <v/>
      </c>
      <c r="AA3791">
        <f>IF(Z3791&gt;Z3790,Z3791,"")</f>
        <v/>
      </c>
      <c r="AB3791">
        <f>AB3790+IF(X3791="",0,IF(ISNA(MATCH(X3791,X$256:X3790,0)),1,0))</f>
        <v/>
      </c>
      <c r="AC3791">
        <f>IF(AB3791&gt;AB3790,AB3791,"")</f>
        <v/>
      </c>
    </row>
    <row r="3792">
      <c r="W3792" s="7" t="n"/>
      <c r="X3792" s="7" t="n"/>
      <c r="Z3792">
        <f>Z3791+IF(W3792="",0,IF(ISNA(MATCH(W3792,W$256:W3791,0)),1,0))</f>
        <v/>
      </c>
      <c r="AA3792">
        <f>IF(Z3792&gt;Z3791,Z3792,"")</f>
        <v/>
      </c>
      <c r="AB3792">
        <f>AB3791+IF(X3792="",0,IF(ISNA(MATCH(X3792,X$256:X3791,0)),1,0))</f>
        <v/>
      </c>
      <c r="AC3792">
        <f>IF(AB3792&gt;AB3791,AB3792,"")</f>
        <v/>
      </c>
    </row>
    <row r="3793">
      <c r="W3793" s="7" t="n"/>
      <c r="X3793" s="7" t="n"/>
      <c r="Z3793">
        <f>Z3792+IF(W3793="",0,IF(ISNA(MATCH(W3793,W$256:W3792,0)),1,0))</f>
        <v/>
      </c>
      <c r="AA3793">
        <f>IF(Z3793&gt;Z3792,Z3793,"")</f>
        <v/>
      </c>
      <c r="AB3793">
        <f>AB3792+IF(X3793="",0,IF(ISNA(MATCH(X3793,X$256:X3792,0)),1,0))</f>
        <v/>
      </c>
      <c r="AC3793">
        <f>IF(AB3793&gt;AB3792,AB3793,"")</f>
        <v/>
      </c>
    </row>
    <row r="3794">
      <c r="W3794" s="7" t="n"/>
      <c r="X3794" s="7" t="n"/>
      <c r="Z3794">
        <f>Z3793+IF(W3794="",0,IF(ISNA(MATCH(W3794,W$256:W3793,0)),1,0))</f>
        <v/>
      </c>
      <c r="AA3794">
        <f>IF(Z3794&gt;Z3793,Z3794,"")</f>
        <v/>
      </c>
      <c r="AB3794">
        <f>AB3793+IF(X3794="",0,IF(ISNA(MATCH(X3794,X$256:X3793,0)),1,0))</f>
        <v/>
      </c>
      <c r="AC3794">
        <f>IF(AB3794&gt;AB3793,AB3794,"")</f>
        <v/>
      </c>
    </row>
    <row r="3795">
      <c r="W3795" s="7" t="n"/>
      <c r="X3795" s="7" t="n"/>
      <c r="Z3795">
        <f>Z3794+IF(W3795="",0,IF(ISNA(MATCH(W3795,W$256:W3794,0)),1,0))</f>
        <v/>
      </c>
      <c r="AA3795">
        <f>IF(Z3795&gt;Z3794,Z3795,"")</f>
        <v/>
      </c>
      <c r="AB3795">
        <f>AB3794+IF(X3795="",0,IF(ISNA(MATCH(X3795,X$256:X3794,0)),1,0))</f>
        <v/>
      </c>
      <c r="AC3795">
        <f>IF(AB3795&gt;AB3794,AB3795,"")</f>
        <v/>
      </c>
    </row>
    <row r="3796">
      <c r="W3796" s="7" t="n"/>
      <c r="X3796" s="7" t="n"/>
      <c r="Z3796">
        <f>Z3795+IF(W3796="",0,IF(ISNA(MATCH(W3796,W$256:W3795,0)),1,0))</f>
        <v/>
      </c>
      <c r="AA3796">
        <f>IF(Z3796&gt;Z3795,Z3796,"")</f>
        <v/>
      </c>
      <c r="AB3796">
        <f>AB3795+IF(X3796="",0,IF(ISNA(MATCH(X3796,X$256:X3795,0)),1,0))</f>
        <v/>
      </c>
      <c r="AC3796">
        <f>IF(AB3796&gt;AB3795,AB3796,"")</f>
        <v/>
      </c>
    </row>
    <row r="3797">
      <c r="W3797" s="7" t="n"/>
      <c r="X3797" s="7" t="n"/>
      <c r="Z3797">
        <f>Z3796+IF(W3797="",0,IF(ISNA(MATCH(W3797,W$256:W3796,0)),1,0))</f>
        <v/>
      </c>
      <c r="AA3797">
        <f>IF(Z3797&gt;Z3796,Z3797,"")</f>
        <v/>
      </c>
      <c r="AB3797">
        <f>AB3796+IF(X3797="",0,IF(ISNA(MATCH(X3797,X$256:X3796,0)),1,0))</f>
        <v/>
      </c>
      <c r="AC3797">
        <f>IF(AB3797&gt;AB3796,AB3797,"")</f>
        <v/>
      </c>
    </row>
    <row r="3798">
      <c r="W3798" s="7" t="n"/>
      <c r="X3798" s="7" t="n"/>
      <c r="Z3798">
        <f>Z3797+IF(W3798="",0,IF(ISNA(MATCH(W3798,W$256:W3797,0)),1,0))</f>
        <v/>
      </c>
      <c r="AA3798">
        <f>IF(Z3798&gt;Z3797,Z3798,"")</f>
        <v/>
      </c>
      <c r="AB3798">
        <f>AB3797+IF(X3798="",0,IF(ISNA(MATCH(X3798,X$256:X3797,0)),1,0))</f>
        <v/>
      </c>
      <c r="AC3798">
        <f>IF(AB3798&gt;AB3797,AB3798,"")</f>
        <v/>
      </c>
    </row>
    <row r="3799">
      <c r="W3799" s="7" t="n"/>
      <c r="X3799" s="7" t="n"/>
      <c r="Z3799">
        <f>Z3798+IF(W3799="",0,IF(ISNA(MATCH(W3799,W$256:W3798,0)),1,0))</f>
        <v/>
      </c>
      <c r="AA3799">
        <f>IF(Z3799&gt;Z3798,Z3799,"")</f>
        <v/>
      </c>
      <c r="AB3799">
        <f>AB3798+IF(X3799="",0,IF(ISNA(MATCH(X3799,X$256:X3798,0)),1,0))</f>
        <v/>
      </c>
      <c r="AC3799">
        <f>IF(AB3799&gt;AB3798,AB3799,"")</f>
        <v/>
      </c>
    </row>
    <row r="3800">
      <c r="W3800" s="7" t="n"/>
      <c r="X3800" s="7" t="n"/>
      <c r="Z3800">
        <f>Z3799+IF(W3800="",0,IF(ISNA(MATCH(W3800,W$256:W3799,0)),1,0))</f>
        <v/>
      </c>
      <c r="AA3800">
        <f>IF(Z3800&gt;Z3799,Z3800,"")</f>
        <v/>
      </c>
      <c r="AB3800">
        <f>AB3799+IF(X3800="",0,IF(ISNA(MATCH(X3800,X$256:X3799,0)),1,0))</f>
        <v/>
      </c>
      <c r="AC3800">
        <f>IF(AB3800&gt;AB3799,AB3800,"")</f>
        <v/>
      </c>
    </row>
    <row r="3801">
      <c r="W3801" s="7" t="n"/>
      <c r="X3801" s="7" t="n"/>
      <c r="Z3801">
        <f>Z3800+IF(W3801="",0,IF(ISNA(MATCH(W3801,W$256:W3800,0)),1,0))</f>
        <v/>
      </c>
      <c r="AA3801">
        <f>IF(Z3801&gt;Z3800,Z3801,"")</f>
        <v/>
      </c>
      <c r="AB3801">
        <f>AB3800+IF(X3801="",0,IF(ISNA(MATCH(X3801,X$256:X3800,0)),1,0))</f>
        <v/>
      </c>
      <c r="AC3801">
        <f>IF(AB3801&gt;AB3800,AB3801,"")</f>
        <v/>
      </c>
    </row>
    <row r="3802">
      <c r="W3802" s="7" t="n"/>
      <c r="X3802" s="7" t="n"/>
      <c r="Z3802">
        <f>Z3801+IF(W3802="",0,IF(ISNA(MATCH(W3802,W$256:W3801,0)),1,0))</f>
        <v/>
      </c>
      <c r="AA3802">
        <f>IF(Z3802&gt;Z3801,Z3802,"")</f>
        <v/>
      </c>
      <c r="AB3802">
        <f>AB3801+IF(X3802="",0,IF(ISNA(MATCH(X3802,X$256:X3801,0)),1,0))</f>
        <v/>
      </c>
      <c r="AC3802">
        <f>IF(AB3802&gt;AB3801,AB3802,"")</f>
        <v/>
      </c>
    </row>
    <row r="3803">
      <c r="W3803" s="7" t="n"/>
      <c r="X3803" s="7" t="n"/>
      <c r="Z3803">
        <f>Z3802+IF(W3803="",0,IF(ISNA(MATCH(W3803,W$256:W3802,0)),1,0))</f>
        <v/>
      </c>
      <c r="AA3803">
        <f>IF(Z3803&gt;Z3802,Z3803,"")</f>
        <v/>
      </c>
      <c r="AB3803">
        <f>AB3802+IF(X3803="",0,IF(ISNA(MATCH(X3803,X$256:X3802,0)),1,0))</f>
        <v/>
      </c>
      <c r="AC3803">
        <f>IF(AB3803&gt;AB3802,AB3803,"")</f>
        <v/>
      </c>
    </row>
    <row r="3804">
      <c r="W3804" s="7" t="n"/>
      <c r="X3804" s="7" t="n"/>
      <c r="Z3804">
        <f>Z3803+IF(W3804="",0,IF(ISNA(MATCH(W3804,W$256:W3803,0)),1,0))</f>
        <v/>
      </c>
      <c r="AA3804">
        <f>IF(Z3804&gt;Z3803,Z3804,"")</f>
        <v/>
      </c>
      <c r="AB3804">
        <f>AB3803+IF(X3804="",0,IF(ISNA(MATCH(X3804,X$256:X3803,0)),1,0))</f>
        <v/>
      </c>
      <c r="AC3804">
        <f>IF(AB3804&gt;AB3803,AB3804,"")</f>
        <v/>
      </c>
    </row>
    <row r="3805">
      <c r="W3805" s="7" t="n"/>
      <c r="X3805" s="7" t="n"/>
      <c r="Z3805">
        <f>Z3804+IF(W3805="",0,IF(ISNA(MATCH(W3805,W$256:W3804,0)),1,0))</f>
        <v/>
      </c>
      <c r="AA3805">
        <f>IF(Z3805&gt;Z3804,Z3805,"")</f>
        <v/>
      </c>
      <c r="AB3805">
        <f>AB3804+IF(X3805="",0,IF(ISNA(MATCH(X3805,X$256:X3804,0)),1,0))</f>
        <v/>
      </c>
      <c r="AC3805">
        <f>IF(AB3805&gt;AB3804,AB3805,"")</f>
        <v/>
      </c>
    </row>
    <row r="3806">
      <c r="W3806" s="7" t="n"/>
      <c r="X3806" s="7" t="n"/>
      <c r="Z3806">
        <f>Z3805+IF(W3806="",0,IF(ISNA(MATCH(W3806,W$256:W3805,0)),1,0))</f>
        <v/>
      </c>
      <c r="AA3806">
        <f>IF(Z3806&gt;Z3805,Z3806,"")</f>
        <v/>
      </c>
      <c r="AB3806">
        <f>AB3805+IF(X3806="",0,IF(ISNA(MATCH(X3806,X$256:X3805,0)),1,0))</f>
        <v/>
      </c>
      <c r="AC3806">
        <f>IF(AB3806&gt;AB3805,AB3806,"")</f>
        <v/>
      </c>
    </row>
    <row r="3807">
      <c r="W3807" s="7" t="n"/>
      <c r="X3807" s="7" t="n"/>
      <c r="Z3807">
        <f>Z3806+IF(W3807="",0,IF(ISNA(MATCH(W3807,W$256:W3806,0)),1,0))</f>
        <v/>
      </c>
      <c r="AA3807">
        <f>IF(Z3807&gt;Z3806,Z3807,"")</f>
        <v/>
      </c>
      <c r="AB3807">
        <f>AB3806+IF(X3807="",0,IF(ISNA(MATCH(X3807,X$256:X3806,0)),1,0))</f>
        <v/>
      </c>
      <c r="AC3807">
        <f>IF(AB3807&gt;AB3806,AB3807,"")</f>
        <v/>
      </c>
    </row>
    <row r="3808">
      <c r="W3808" s="7" t="n"/>
      <c r="X3808" s="7" t="n"/>
      <c r="Z3808">
        <f>Z3807+IF(W3808="",0,IF(ISNA(MATCH(W3808,W$256:W3807,0)),1,0))</f>
        <v/>
      </c>
      <c r="AA3808">
        <f>IF(Z3808&gt;Z3807,Z3808,"")</f>
        <v/>
      </c>
      <c r="AB3808">
        <f>AB3807+IF(X3808="",0,IF(ISNA(MATCH(X3808,X$256:X3807,0)),1,0))</f>
        <v/>
      </c>
      <c r="AC3808">
        <f>IF(AB3808&gt;AB3807,AB3808,"")</f>
        <v/>
      </c>
    </row>
    <row r="3809">
      <c r="W3809" s="7" t="n"/>
      <c r="X3809" s="7" t="n"/>
      <c r="Z3809">
        <f>Z3808+IF(W3809="",0,IF(ISNA(MATCH(W3809,W$256:W3808,0)),1,0))</f>
        <v/>
      </c>
      <c r="AA3809">
        <f>IF(Z3809&gt;Z3808,Z3809,"")</f>
        <v/>
      </c>
      <c r="AB3809">
        <f>AB3808+IF(X3809="",0,IF(ISNA(MATCH(X3809,X$256:X3808,0)),1,0))</f>
        <v/>
      </c>
      <c r="AC3809">
        <f>IF(AB3809&gt;AB3808,AB3809,"")</f>
        <v/>
      </c>
    </row>
    <row r="3810">
      <c r="W3810" s="7" t="n"/>
      <c r="X3810" s="7" t="n"/>
      <c r="Z3810">
        <f>Z3809+IF(W3810="",0,IF(ISNA(MATCH(W3810,W$256:W3809,0)),1,0))</f>
        <v/>
      </c>
      <c r="AA3810">
        <f>IF(Z3810&gt;Z3809,Z3810,"")</f>
        <v/>
      </c>
      <c r="AB3810">
        <f>AB3809+IF(X3810="",0,IF(ISNA(MATCH(X3810,X$256:X3809,0)),1,0))</f>
        <v/>
      </c>
      <c r="AC3810">
        <f>IF(AB3810&gt;AB3809,AB3810,"")</f>
        <v/>
      </c>
    </row>
    <row r="3811">
      <c r="W3811" s="7" t="n"/>
      <c r="X3811" s="7" t="n"/>
      <c r="Z3811">
        <f>Z3810+IF(W3811="",0,IF(ISNA(MATCH(W3811,W$256:W3810,0)),1,0))</f>
        <v/>
      </c>
      <c r="AA3811">
        <f>IF(Z3811&gt;Z3810,Z3811,"")</f>
        <v/>
      </c>
      <c r="AB3811">
        <f>AB3810+IF(X3811="",0,IF(ISNA(MATCH(X3811,X$256:X3810,0)),1,0))</f>
        <v/>
      </c>
      <c r="AC3811">
        <f>IF(AB3811&gt;AB3810,AB3811,"")</f>
        <v/>
      </c>
    </row>
    <row r="3812">
      <c r="W3812" s="7" t="n"/>
      <c r="X3812" s="7" t="n"/>
      <c r="Z3812">
        <f>Z3811+IF(W3812="",0,IF(ISNA(MATCH(W3812,W$256:W3811,0)),1,0))</f>
        <v/>
      </c>
      <c r="AA3812">
        <f>IF(Z3812&gt;Z3811,Z3812,"")</f>
        <v/>
      </c>
      <c r="AB3812">
        <f>AB3811+IF(X3812="",0,IF(ISNA(MATCH(X3812,X$256:X3811,0)),1,0))</f>
        <v/>
      </c>
      <c r="AC3812">
        <f>IF(AB3812&gt;AB3811,AB3812,"")</f>
        <v/>
      </c>
    </row>
    <row r="3813">
      <c r="W3813" s="7" t="n"/>
      <c r="X3813" s="7" t="n"/>
      <c r="Z3813">
        <f>Z3812+IF(W3813="",0,IF(ISNA(MATCH(W3813,W$256:W3812,0)),1,0))</f>
        <v/>
      </c>
      <c r="AA3813">
        <f>IF(Z3813&gt;Z3812,Z3813,"")</f>
        <v/>
      </c>
      <c r="AB3813">
        <f>AB3812+IF(X3813="",0,IF(ISNA(MATCH(X3813,X$256:X3812,0)),1,0))</f>
        <v/>
      </c>
      <c r="AC3813">
        <f>IF(AB3813&gt;AB3812,AB3813,"")</f>
        <v/>
      </c>
    </row>
    <row r="3814">
      <c r="W3814" s="7" t="n"/>
      <c r="X3814" s="7" t="n"/>
      <c r="Z3814">
        <f>Z3813+IF(W3814="",0,IF(ISNA(MATCH(W3814,W$256:W3813,0)),1,0))</f>
        <v/>
      </c>
      <c r="AA3814">
        <f>IF(Z3814&gt;Z3813,Z3814,"")</f>
        <v/>
      </c>
      <c r="AB3814">
        <f>AB3813+IF(X3814="",0,IF(ISNA(MATCH(X3814,X$256:X3813,0)),1,0))</f>
        <v/>
      </c>
      <c r="AC3814">
        <f>IF(AB3814&gt;AB3813,AB3814,"")</f>
        <v/>
      </c>
    </row>
    <row r="3815">
      <c r="W3815" s="7" t="n"/>
      <c r="X3815" s="7" t="n"/>
      <c r="Z3815">
        <f>Z3814+IF(W3815="",0,IF(ISNA(MATCH(W3815,W$256:W3814,0)),1,0))</f>
        <v/>
      </c>
      <c r="AA3815">
        <f>IF(Z3815&gt;Z3814,Z3815,"")</f>
        <v/>
      </c>
      <c r="AB3815">
        <f>AB3814+IF(X3815="",0,IF(ISNA(MATCH(X3815,X$256:X3814,0)),1,0))</f>
        <v/>
      </c>
      <c r="AC3815">
        <f>IF(AB3815&gt;AB3814,AB3815,"")</f>
        <v/>
      </c>
    </row>
    <row r="3816">
      <c r="W3816" s="7" t="n"/>
      <c r="X3816" s="7" t="n"/>
      <c r="Z3816">
        <f>Z3815+IF(W3816="",0,IF(ISNA(MATCH(W3816,W$256:W3815,0)),1,0))</f>
        <v/>
      </c>
      <c r="AA3816">
        <f>IF(Z3816&gt;Z3815,Z3816,"")</f>
        <v/>
      </c>
      <c r="AB3816">
        <f>AB3815+IF(X3816="",0,IF(ISNA(MATCH(X3816,X$256:X3815,0)),1,0))</f>
        <v/>
      </c>
      <c r="AC3816">
        <f>IF(AB3816&gt;AB3815,AB3816,"")</f>
        <v/>
      </c>
    </row>
    <row r="3817">
      <c r="W3817" s="7" t="n"/>
      <c r="X3817" s="7" t="n"/>
      <c r="Z3817">
        <f>Z3816+IF(W3817="",0,IF(ISNA(MATCH(W3817,W$256:W3816,0)),1,0))</f>
        <v/>
      </c>
      <c r="AA3817">
        <f>IF(Z3817&gt;Z3816,Z3817,"")</f>
        <v/>
      </c>
      <c r="AB3817">
        <f>AB3816+IF(X3817="",0,IF(ISNA(MATCH(X3817,X$256:X3816,0)),1,0))</f>
        <v/>
      </c>
      <c r="AC3817">
        <f>IF(AB3817&gt;AB3816,AB3817,"")</f>
        <v/>
      </c>
    </row>
    <row r="3818">
      <c r="W3818" s="7" t="n"/>
      <c r="X3818" s="7" t="n"/>
      <c r="Z3818">
        <f>Z3817+IF(W3818="",0,IF(ISNA(MATCH(W3818,W$256:W3817,0)),1,0))</f>
        <v/>
      </c>
      <c r="AA3818">
        <f>IF(Z3818&gt;Z3817,Z3818,"")</f>
        <v/>
      </c>
      <c r="AB3818">
        <f>AB3817+IF(X3818="",0,IF(ISNA(MATCH(X3818,X$256:X3817,0)),1,0))</f>
        <v/>
      </c>
      <c r="AC3818">
        <f>IF(AB3818&gt;AB3817,AB3818,"")</f>
        <v/>
      </c>
    </row>
    <row r="3819">
      <c r="W3819" s="7" t="n"/>
      <c r="X3819" s="7" t="n"/>
      <c r="Z3819">
        <f>Z3818+IF(W3819="",0,IF(ISNA(MATCH(W3819,W$256:W3818,0)),1,0))</f>
        <v/>
      </c>
      <c r="AA3819">
        <f>IF(Z3819&gt;Z3818,Z3819,"")</f>
        <v/>
      </c>
      <c r="AB3819">
        <f>AB3818+IF(X3819="",0,IF(ISNA(MATCH(X3819,X$256:X3818,0)),1,0))</f>
        <v/>
      </c>
      <c r="AC3819">
        <f>IF(AB3819&gt;AB3818,AB3819,"")</f>
        <v/>
      </c>
    </row>
    <row r="3820">
      <c r="W3820" s="7" t="n"/>
      <c r="X3820" s="7" t="n"/>
      <c r="Z3820">
        <f>Z3819+IF(W3820="",0,IF(ISNA(MATCH(W3820,W$256:W3819,0)),1,0))</f>
        <v/>
      </c>
      <c r="AA3820">
        <f>IF(Z3820&gt;Z3819,Z3820,"")</f>
        <v/>
      </c>
      <c r="AB3820">
        <f>AB3819+IF(X3820="",0,IF(ISNA(MATCH(X3820,X$256:X3819,0)),1,0))</f>
        <v/>
      </c>
      <c r="AC3820">
        <f>IF(AB3820&gt;AB3819,AB3820,"")</f>
        <v/>
      </c>
    </row>
    <row r="3821">
      <c r="W3821" s="7" t="n"/>
      <c r="X3821" s="7" t="n"/>
      <c r="Z3821">
        <f>Z3820+IF(W3821="",0,IF(ISNA(MATCH(W3821,W$256:W3820,0)),1,0))</f>
        <v/>
      </c>
      <c r="AA3821">
        <f>IF(Z3821&gt;Z3820,Z3821,"")</f>
        <v/>
      </c>
      <c r="AB3821">
        <f>AB3820+IF(X3821="",0,IF(ISNA(MATCH(X3821,X$256:X3820,0)),1,0))</f>
        <v/>
      </c>
      <c r="AC3821">
        <f>IF(AB3821&gt;AB3820,AB3821,"")</f>
        <v/>
      </c>
    </row>
    <row r="3822">
      <c r="W3822" s="7" t="n"/>
      <c r="X3822" s="7" t="n"/>
      <c r="Z3822">
        <f>Z3821+IF(W3822="",0,IF(ISNA(MATCH(W3822,W$256:W3821,0)),1,0))</f>
        <v/>
      </c>
      <c r="AA3822">
        <f>IF(Z3822&gt;Z3821,Z3822,"")</f>
        <v/>
      </c>
      <c r="AB3822">
        <f>AB3821+IF(X3822="",0,IF(ISNA(MATCH(X3822,X$256:X3821,0)),1,0))</f>
        <v/>
      </c>
      <c r="AC3822">
        <f>IF(AB3822&gt;AB3821,AB3822,"")</f>
        <v/>
      </c>
    </row>
    <row r="3823">
      <c r="W3823" s="7" t="n"/>
      <c r="X3823" s="7" t="n"/>
      <c r="Z3823">
        <f>Z3822+IF(W3823="",0,IF(ISNA(MATCH(W3823,W$256:W3822,0)),1,0))</f>
        <v/>
      </c>
      <c r="AA3823">
        <f>IF(Z3823&gt;Z3822,Z3823,"")</f>
        <v/>
      </c>
      <c r="AB3823">
        <f>AB3822+IF(X3823="",0,IF(ISNA(MATCH(X3823,X$256:X3822,0)),1,0))</f>
        <v/>
      </c>
      <c r="AC3823">
        <f>IF(AB3823&gt;AB3822,AB3823,"")</f>
        <v/>
      </c>
    </row>
    <row r="3824">
      <c r="W3824" s="7" t="n"/>
      <c r="X3824" s="7" t="n"/>
      <c r="Z3824">
        <f>Z3823+IF(W3824="",0,IF(ISNA(MATCH(W3824,W$256:W3823,0)),1,0))</f>
        <v/>
      </c>
      <c r="AA3824">
        <f>IF(Z3824&gt;Z3823,Z3824,"")</f>
        <v/>
      </c>
      <c r="AB3824">
        <f>AB3823+IF(X3824="",0,IF(ISNA(MATCH(X3824,X$256:X3823,0)),1,0))</f>
        <v/>
      </c>
      <c r="AC3824">
        <f>IF(AB3824&gt;AB3823,AB3824,"")</f>
        <v/>
      </c>
    </row>
    <row r="3825">
      <c r="W3825" s="7" t="n"/>
      <c r="X3825" s="7" t="n"/>
      <c r="Z3825">
        <f>Z3824+IF(W3825="",0,IF(ISNA(MATCH(W3825,W$256:W3824,0)),1,0))</f>
        <v/>
      </c>
      <c r="AA3825">
        <f>IF(Z3825&gt;Z3824,Z3825,"")</f>
        <v/>
      </c>
      <c r="AB3825">
        <f>AB3824+IF(X3825="",0,IF(ISNA(MATCH(X3825,X$256:X3824,0)),1,0))</f>
        <v/>
      </c>
      <c r="AC3825">
        <f>IF(AB3825&gt;AB3824,AB3825,"")</f>
        <v/>
      </c>
    </row>
    <row r="3826">
      <c r="W3826" s="7" t="n"/>
      <c r="X3826" s="7" t="n"/>
      <c r="Z3826">
        <f>Z3825+IF(W3826="",0,IF(ISNA(MATCH(W3826,W$256:W3825,0)),1,0))</f>
        <v/>
      </c>
      <c r="AA3826">
        <f>IF(Z3826&gt;Z3825,Z3826,"")</f>
        <v/>
      </c>
      <c r="AB3826">
        <f>AB3825+IF(X3826="",0,IF(ISNA(MATCH(X3826,X$256:X3825,0)),1,0))</f>
        <v/>
      </c>
      <c r="AC3826">
        <f>IF(AB3826&gt;AB3825,AB3826,"")</f>
        <v/>
      </c>
    </row>
    <row r="3827">
      <c r="W3827" s="7" t="n"/>
      <c r="X3827" s="7" t="n"/>
      <c r="Z3827">
        <f>Z3826+IF(W3827="",0,IF(ISNA(MATCH(W3827,W$256:W3826,0)),1,0))</f>
        <v/>
      </c>
      <c r="AA3827">
        <f>IF(Z3827&gt;Z3826,Z3827,"")</f>
        <v/>
      </c>
      <c r="AB3827">
        <f>AB3826+IF(X3827="",0,IF(ISNA(MATCH(X3827,X$256:X3826,0)),1,0))</f>
        <v/>
      </c>
      <c r="AC3827">
        <f>IF(AB3827&gt;AB3826,AB3827,"")</f>
        <v/>
      </c>
    </row>
    <row r="3828">
      <c r="W3828" s="7" t="n"/>
      <c r="X3828" s="7" t="n"/>
      <c r="Z3828">
        <f>Z3827+IF(W3828="",0,IF(ISNA(MATCH(W3828,W$256:W3827,0)),1,0))</f>
        <v/>
      </c>
      <c r="AA3828">
        <f>IF(Z3828&gt;Z3827,Z3828,"")</f>
        <v/>
      </c>
      <c r="AB3828">
        <f>AB3827+IF(X3828="",0,IF(ISNA(MATCH(X3828,X$256:X3827,0)),1,0))</f>
        <v/>
      </c>
      <c r="AC3828">
        <f>IF(AB3828&gt;AB3827,AB3828,"")</f>
        <v/>
      </c>
    </row>
    <row r="3829">
      <c r="W3829" s="7" t="n"/>
      <c r="X3829" s="7" t="n"/>
      <c r="Z3829">
        <f>Z3828+IF(W3829="",0,IF(ISNA(MATCH(W3829,W$256:W3828,0)),1,0))</f>
        <v/>
      </c>
      <c r="AA3829">
        <f>IF(Z3829&gt;Z3828,Z3829,"")</f>
        <v/>
      </c>
      <c r="AB3829">
        <f>AB3828+IF(X3829="",0,IF(ISNA(MATCH(X3829,X$256:X3828,0)),1,0))</f>
        <v/>
      </c>
      <c r="AC3829">
        <f>IF(AB3829&gt;AB3828,AB3829,"")</f>
        <v/>
      </c>
    </row>
    <row r="3830">
      <c r="W3830" s="7" t="n"/>
      <c r="X3830" s="7" t="n"/>
      <c r="Z3830">
        <f>Z3829+IF(W3830="",0,IF(ISNA(MATCH(W3830,W$256:W3829,0)),1,0))</f>
        <v/>
      </c>
      <c r="AA3830">
        <f>IF(Z3830&gt;Z3829,Z3830,"")</f>
        <v/>
      </c>
      <c r="AB3830">
        <f>AB3829+IF(X3830="",0,IF(ISNA(MATCH(X3830,X$256:X3829,0)),1,0))</f>
        <v/>
      </c>
      <c r="AC3830">
        <f>IF(AB3830&gt;AB3829,AB3830,"")</f>
        <v/>
      </c>
    </row>
    <row r="3831">
      <c r="W3831" s="7" t="n"/>
      <c r="X3831" s="7" t="n"/>
      <c r="Z3831">
        <f>Z3830+IF(W3831="",0,IF(ISNA(MATCH(W3831,W$256:W3830,0)),1,0))</f>
        <v/>
      </c>
      <c r="AA3831">
        <f>IF(Z3831&gt;Z3830,Z3831,"")</f>
        <v/>
      </c>
      <c r="AB3831">
        <f>AB3830+IF(X3831="",0,IF(ISNA(MATCH(X3831,X$256:X3830,0)),1,0))</f>
        <v/>
      </c>
      <c r="AC3831">
        <f>IF(AB3831&gt;AB3830,AB3831,"")</f>
        <v/>
      </c>
    </row>
    <row r="3832">
      <c r="W3832" s="7" t="n"/>
      <c r="X3832" s="7" t="n"/>
      <c r="Z3832">
        <f>Z3831+IF(W3832="",0,IF(ISNA(MATCH(W3832,W$256:W3831,0)),1,0))</f>
        <v/>
      </c>
      <c r="AA3832">
        <f>IF(Z3832&gt;Z3831,Z3832,"")</f>
        <v/>
      </c>
      <c r="AB3832">
        <f>AB3831+IF(X3832="",0,IF(ISNA(MATCH(X3832,X$256:X3831,0)),1,0))</f>
        <v/>
      </c>
      <c r="AC3832">
        <f>IF(AB3832&gt;AB3831,AB3832,"")</f>
        <v/>
      </c>
    </row>
    <row r="3833">
      <c r="W3833" s="7" t="n"/>
      <c r="X3833" s="7" t="n"/>
      <c r="Z3833">
        <f>Z3832+IF(W3833="",0,IF(ISNA(MATCH(W3833,W$256:W3832,0)),1,0))</f>
        <v/>
      </c>
      <c r="AA3833">
        <f>IF(Z3833&gt;Z3832,Z3833,"")</f>
        <v/>
      </c>
      <c r="AB3833">
        <f>AB3832+IF(X3833="",0,IF(ISNA(MATCH(X3833,X$256:X3832,0)),1,0))</f>
        <v/>
      </c>
      <c r="AC3833">
        <f>IF(AB3833&gt;AB3832,AB3833,"")</f>
        <v/>
      </c>
    </row>
    <row r="3834">
      <c r="W3834" s="7" t="n"/>
      <c r="X3834" s="7" t="n"/>
      <c r="Z3834">
        <f>Z3833+IF(W3834="",0,IF(ISNA(MATCH(W3834,W$256:W3833,0)),1,0))</f>
        <v/>
      </c>
      <c r="AA3834">
        <f>IF(Z3834&gt;Z3833,Z3834,"")</f>
        <v/>
      </c>
      <c r="AB3834">
        <f>AB3833+IF(X3834="",0,IF(ISNA(MATCH(X3834,X$256:X3833,0)),1,0))</f>
        <v/>
      </c>
      <c r="AC3834">
        <f>IF(AB3834&gt;AB3833,AB3834,"")</f>
        <v/>
      </c>
    </row>
    <row r="3835">
      <c r="W3835" s="7" t="n"/>
      <c r="X3835" s="7" t="n"/>
      <c r="Z3835">
        <f>Z3834+IF(W3835="",0,IF(ISNA(MATCH(W3835,W$256:W3834,0)),1,0))</f>
        <v/>
      </c>
      <c r="AA3835">
        <f>IF(Z3835&gt;Z3834,Z3835,"")</f>
        <v/>
      </c>
      <c r="AB3835">
        <f>AB3834+IF(X3835="",0,IF(ISNA(MATCH(X3835,X$256:X3834,0)),1,0))</f>
        <v/>
      </c>
      <c r="AC3835">
        <f>IF(AB3835&gt;AB3834,AB3835,"")</f>
        <v/>
      </c>
    </row>
    <row r="3836">
      <c r="W3836" s="7" t="n"/>
      <c r="X3836" s="7" t="n"/>
      <c r="Z3836">
        <f>Z3835+IF(W3836="",0,IF(ISNA(MATCH(W3836,W$256:W3835,0)),1,0))</f>
        <v/>
      </c>
      <c r="AA3836">
        <f>IF(Z3836&gt;Z3835,Z3836,"")</f>
        <v/>
      </c>
      <c r="AB3836">
        <f>AB3835+IF(X3836="",0,IF(ISNA(MATCH(X3836,X$256:X3835,0)),1,0))</f>
        <v/>
      </c>
      <c r="AC3836">
        <f>IF(AB3836&gt;AB3835,AB3836,"")</f>
        <v/>
      </c>
    </row>
    <row r="3837">
      <c r="W3837" s="7" t="n"/>
      <c r="X3837" s="7" t="n"/>
      <c r="Z3837">
        <f>Z3836+IF(W3837="",0,IF(ISNA(MATCH(W3837,W$256:W3836,0)),1,0))</f>
        <v/>
      </c>
      <c r="AA3837">
        <f>IF(Z3837&gt;Z3836,Z3837,"")</f>
        <v/>
      </c>
      <c r="AB3837">
        <f>AB3836+IF(X3837="",0,IF(ISNA(MATCH(X3837,X$256:X3836,0)),1,0))</f>
        <v/>
      </c>
      <c r="AC3837">
        <f>IF(AB3837&gt;AB3836,AB3837,"")</f>
        <v/>
      </c>
    </row>
    <row r="3838">
      <c r="W3838" s="7" t="n"/>
      <c r="X3838" s="7" t="n"/>
      <c r="Z3838">
        <f>Z3837+IF(W3838="",0,IF(ISNA(MATCH(W3838,W$256:W3837,0)),1,0))</f>
        <v/>
      </c>
      <c r="AA3838">
        <f>IF(Z3838&gt;Z3837,Z3838,"")</f>
        <v/>
      </c>
      <c r="AB3838">
        <f>AB3837+IF(X3838="",0,IF(ISNA(MATCH(X3838,X$256:X3837,0)),1,0))</f>
        <v/>
      </c>
      <c r="AC3838">
        <f>IF(AB3838&gt;AB3837,AB3838,"")</f>
        <v/>
      </c>
    </row>
    <row r="3839">
      <c r="W3839" s="7" t="n"/>
      <c r="X3839" s="7" t="n"/>
      <c r="Z3839">
        <f>Z3838+IF(W3839="",0,IF(ISNA(MATCH(W3839,W$256:W3838,0)),1,0))</f>
        <v/>
      </c>
      <c r="AA3839">
        <f>IF(Z3839&gt;Z3838,Z3839,"")</f>
        <v/>
      </c>
      <c r="AB3839">
        <f>AB3838+IF(X3839="",0,IF(ISNA(MATCH(X3839,X$256:X3838,0)),1,0))</f>
        <v/>
      </c>
      <c r="AC3839">
        <f>IF(AB3839&gt;AB3838,AB3839,"")</f>
        <v/>
      </c>
    </row>
    <row r="3840">
      <c r="W3840" s="7" t="n"/>
      <c r="X3840" s="7" t="n"/>
      <c r="Z3840">
        <f>Z3839+IF(W3840="",0,IF(ISNA(MATCH(W3840,W$256:W3839,0)),1,0))</f>
        <v/>
      </c>
      <c r="AA3840">
        <f>IF(Z3840&gt;Z3839,Z3840,"")</f>
        <v/>
      </c>
      <c r="AB3840">
        <f>AB3839+IF(X3840="",0,IF(ISNA(MATCH(X3840,X$256:X3839,0)),1,0))</f>
        <v/>
      </c>
      <c r="AC3840">
        <f>IF(AB3840&gt;AB3839,AB3840,"")</f>
        <v/>
      </c>
    </row>
    <row r="3841">
      <c r="W3841" s="7" t="n"/>
      <c r="X3841" s="7" t="n"/>
      <c r="Z3841">
        <f>Z3840+IF(W3841="",0,IF(ISNA(MATCH(W3841,W$256:W3840,0)),1,0))</f>
        <v/>
      </c>
      <c r="AA3841">
        <f>IF(Z3841&gt;Z3840,Z3841,"")</f>
        <v/>
      </c>
      <c r="AB3841">
        <f>AB3840+IF(X3841="",0,IF(ISNA(MATCH(X3841,X$256:X3840,0)),1,0))</f>
        <v/>
      </c>
      <c r="AC3841">
        <f>IF(AB3841&gt;AB3840,AB3841,"")</f>
        <v/>
      </c>
    </row>
    <row r="3842">
      <c r="W3842" s="7" t="n"/>
      <c r="X3842" s="7" t="n"/>
      <c r="Z3842">
        <f>Z3841+IF(W3842="",0,IF(ISNA(MATCH(W3842,W$256:W3841,0)),1,0))</f>
        <v/>
      </c>
      <c r="AA3842">
        <f>IF(Z3842&gt;Z3841,Z3842,"")</f>
        <v/>
      </c>
      <c r="AB3842">
        <f>AB3841+IF(X3842="",0,IF(ISNA(MATCH(X3842,X$256:X3841,0)),1,0))</f>
        <v/>
      </c>
      <c r="AC3842">
        <f>IF(AB3842&gt;AB3841,AB3842,"")</f>
        <v/>
      </c>
    </row>
    <row r="3843">
      <c r="W3843" s="7" t="n"/>
      <c r="X3843" s="7" t="n"/>
      <c r="Z3843">
        <f>Z3842+IF(W3843="",0,IF(ISNA(MATCH(W3843,W$256:W3842,0)),1,0))</f>
        <v/>
      </c>
      <c r="AA3843">
        <f>IF(Z3843&gt;Z3842,Z3843,"")</f>
        <v/>
      </c>
      <c r="AB3843">
        <f>AB3842+IF(X3843="",0,IF(ISNA(MATCH(X3843,X$256:X3842,0)),1,0))</f>
        <v/>
      </c>
      <c r="AC3843">
        <f>IF(AB3843&gt;AB3842,AB3843,"")</f>
        <v/>
      </c>
    </row>
    <row r="3844">
      <c r="W3844" s="7" t="n"/>
      <c r="X3844" s="7" t="n"/>
      <c r="Z3844">
        <f>Z3843+IF(W3844="",0,IF(ISNA(MATCH(W3844,W$256:W3843,0)),1,0))</f>
        <v/>
      </c>
      <c r="AA3844">
        <f>IF(Z3844&gt;Z3843,Z3844,"")</f>
        <v/>
      </c>
      <c r="AB3844">
        <f>AB3843+IF(X3844="",0,IF(ISNA(MATCH(X3844,X$256:X3843,0)),1,0))</f>
        <v/>
      </c>
      <c r="AC3844">
        <f>IF(AB3844&gt;AB3843,AB3844,"")</f>
        <v/>
      </c>
    </row>
    <row r="3845">
      <c r="W3845" s="7" t="n"/>
      <c r="X3845" s="7" t="n"/>
      <c r="Z3845">
        <f>Z3844+IF(W3845="",0,IF(ISNA(MATCH(W3845,W$256:W3844,0)),1,0))</f>
        <v/>
      </c>
      <c r="AA3845">
        <f>IF(Z3845&gt;Z3844,Z3845,"")</f>
        <v/>
      </c>
      <c r="AB3845">
        <f>AB3844+IF(X3845="",0,IF(ISNA(MATCH(X3845,X$256:X3844,0)),1,0))</f>
        <v/>
      </c>
      <c r="AC3845">
        <f>IF(AB3845&gt;AB3844,AB3845,"")</f>
        <v/>
      </c>
    </row>
    <row r="3846">
      <c r="W3846" s="7" t="n"/>
      <c r="X3846" s="7" t="n"/>
      <c r="Z3846">
        <f>Z3845+IF(W3846="",0,IF(ISNA(MATCH(W3846,W$256:W3845,0)),1,0))</f>
        <v/>
      </c>
      <c r="AA3846">
        <f>IF(Z3846&gt;Z3845,Z3846,"")</f>
        <v/>
      </c>
      <c r="AB3846">
        <f>AB3845+IF(X3846="",0,IF(ISNA(MATCH(X3846,X$256:X3845,0)),1,0))</f>
        <v/>
      </c>
      <c r="AC3846">
        <f>IF(AB3846&gt;AB3845,AB3846,"")</f>
        <v/>
      </c>
    </row>
    <row r="3847">
      <c r="W3847" s="7" t="n"/>
      <c r="X3847" s="7" t="n"/>
      <c r="Z3847">
        <f>Z3846+IF(W3847="",0,IF(ISNA(MATCH(W3847,W$256:W3846,0)),1,0))</f>
        <v/>
      </c>
      <c r="AA3847">
        <f>IF(Z3847&gt;Z3846,Z3847,"")</f>
        <v/>
      </c>
      <c r="AB3847">
        <f>AB3846+IF(X3847="",0,IF(ISNA(MATCH(X3847,X$256:X3846,0)),1,0))</f>
        <v/>
      </c>
      <c r="AC3847">
        <f>IF(AB3847&gt;AB3846,AB3847,"")</f>
        <v/>
      </c>
    </row>
    <row r="3848">
      <c r="W3848" s="7" t="n"/>
      <c r="X3848" s="7" t="n"/>
      <c r="Z3848">
        <f>Z3847+IF(W3848="",0,IF(ISNA(MATCH(W3848,W$256:W3847,0)),1,0))</f>
        <v/>
      </c>
      <c r="AA3848">
        <f>IF(Z3848&gt;Z3847,Z3848,"")</f>
        <v/>
      </c>
      <c r="AB3848">
        <f>AB3847+IF(X3848="",0,IF(ISNA(MATCH(X3848,X$256:X3847,0)),1,0))</f>
        <v/>
      </c>
      <c r="AC3848">
        <f>IF(AB3848&gt;AB3847,AB3848,"")</f>
        <v/>
      </c>
    </row>
    <row r="3849">
      <c r="W3849" s="7" t="n"/>
      <c r="X3849" s="7" t="n"/>
      <c r="Z3849">
        <f>Z3848+IF(W3849="",0,IF(ISNA(MATCH(W3849,W$256:W3848,0)),1,0))</f>
        <v/>
      </c>
      <c r="AA3849">
        <f>IF(Z3849&gt;Z3848,Z3849,"")</f>
        <v/>
      </c>
      <c r="AB3849">
        <f>AB3848+IF(X3849="",0,IF(ISNA(MATCH(X3849,X$256:X3848,0)),1,0))</f>
        <v/>
      </c>
      <c r="AC3849">
        <f>IF(AB3849&gt;AB3848,AB3849,"")</f>
        <v/>
      </c>
    </row>
    <row r="3850">
      <c r="W3850" s="7" t="n"/>
      <c r="X3850" s="7" t="n"/>
      <c r="Z3850">
        <f>Z3849+IF(W3850="",0,IF(ISNA(MATCH(W3850,W$256:W3849,0)),1,0))</f>
        <v/>
      </c>
      <c r="AA3850">
        <f>IF(Z3850&gt;Z3849,Z3850,"")</f>
        <v/>
      </c>
      <c r="AB3850">
        <f>AB3849+IF(X3850="",0,IF(ISNA(MATCH(X3850,X$256:X3849,0)),1,0))</f>
        <v/>
      </c>
      <c r="AC3850">
        <f>IF(AB3850&gt;AB3849,AB3850,"")</f>
        <v/>
      </c>
    </row>
    <row r="3851">
      <c r="W3851" s="7" t="n"/>
      <c r="X3851" s="7" t="n"/>
      <c r="Z3851">
        <f>Z3850+IF(W3851="",0,IF(ISNA(MATCH(W3851,W$256:W3850,0)),1,0))</f>
        <v/>
      </c>
      <c r="AA3851">
        <f>IF(Z3851&gt;Z3850,Z3851,"")</f>
        <v/>
      </c>
      <c r="AB3851">
        <f>AB3850+IF(X3851="",0,IF(ISNA(MATCH(X3851,X$256:X3850,0)),1,0))</f>
        <v/>
      </c>
      <c r="AC3851">
        <f>IF(AB3851&gt;AB3850,AB3851,"")</f>
        <v/>
      </c>
    </row>
    <row r="3852">
      <c r="W3852" s="7" t="n"/>
      <c r="X3852" s="7" t="n"/>
      <c r="Z3852">
        <f>Z3851+IF(W3852="",0,IF(ISNA(MATCH(W3852,W$256:W3851,0)),1,0))</f>
        <v/>
      </c>
      <c r="AA3852">
        <f>IF(Z3852&gt;Z3851,Z3852,"")</f>
        <v/>
      </c>
      <c r="AB3852">
        <f>AB3851+IF(X3852="",0,IF(ISNA(MATCH(X3852,X$256:X3851,0)),1,0))</f>
        <v/>
      </c>
      <c r="AC3852">
        <f>IF(AB3852&gt;AB3851,AB3852,"")</f>
        <v/>
      </c>
    </row>
    <row r="3853">
      <c r="W3853" s="7" t="n"/>
      <c r="X3853" s="7" t="n"/>
      <c r="Z3853">
        <f>Z3852+IF(W3853="",0,IF(ISNA(MATCH(W3853,W$256:W3852,0)),1,0))</f>
        <v/>
      </c>
      <c r="AA3853">
        <f>IF(Z3853&gt;Z3852,Z3853,"")</f>
        <v/>
      </c>
      <c r="AB3853">
        <f>AB3852+IF(X3853="",0,IF(ISNA(MATCH(X3853,X$256:X3852,0)),1,0))</f>
        <v/>
      </c>
      <c r="AC3853">
        <f>IF(AB3853&gt;AB3852,AB3853,"")</f>
        <v/>
      </c>
    </row>
    <row r="3854">
      <c r="W3854" s="7" t="n"/>
      <c r="X3854" s="7" t="n"/>
      <c r="Z3854">
        <f>Z3853+IF(W3854="",0,IF(ISNA(MATCH(W3854,W$256:W3853,0)),1,0))</f>
        <v/>
      </c>
      <c r="AA3854">
        <f>IF(Z3854&gt;Z3853,Z3854,"")</f>
        <v/>
      </c>
      <c r="AB3854">
        <f>AB3853+IF(X3854="",0,IF(ISNA(MATCH(X3854,X$256:X3853,0)),1,0))</f>
        <v/>
      </c>
      <c r="AC3854">
        <f>IF(AB3854&gt;AB3853,AB3854,"")</f>
        <v/>
      </c>
    </row>
    <row r="3855">
      <c r="W3855" s="7" t="n"/>
      <c r="X3855" s="7" t="n"/>
      <c r="Z3855">
        <f>Z3854+IF(W3855="",0,IF(ISNA(MATCH(W3855,W$256:W3854,0)),1,0))</f>
        <v/>
      </c>
      <c r="AA3855">
        <f>IF(Z3855&gt;Z3854,Z3855,"")</f>
        <v/>
      </c>
      <c r="AB3855">
        <f>AB3854+IF(X3855="",0,IF(ISNA(MATCH(X3855,X$256:X3854,0)),1,0))</f>
        <v/>
      </c>
      <c r="AC3855">
        <f>IF(AB3855&gt;AB3854,AB3855,"")</f>
        <v/>
      </c>
    </row>
    <row r="3856">
      <c r="W3856" s="7" t="n"/>
      <c r="X3856" s="7" t="n"/>
      <c r="Z3856">
        <f>Z3855+IF(W3856="",0,IF(ISNA(MATCH(W3856,W$256:W3855,0)),1,0))</f>
        <v/>
      </c>
      <c r="AA3856">
        <f>IF(Z3856&gt;Z3855,Z3856,"")</f>
        <v/>
      </c>
      <c r="AB3856">
        <f>AB3855+IF(X3856="",0,IF(ISNA(MATCH(X3856,X$256:X3855,0)),1,0))</f>
        <v/>
      </c>
      <c r="AC3856">
        <f>IF(AB3856&gt;AB3855,AB3856,"")</f>
        <v/>
      </c>
    </row>
    <row r="3857">
      <c r="W3857" s="7" t="n"/>
      <c r="X3857" s="7" t="n"/>
      <c r="Z3857">
        <f>Z3856+IF(W3857="",0,IF(ISNA(MATCH(W3857,W$256:W3856,0)),1,0))</f>
        <v/>
      </c>
      <c r="AA3857">
        <f>IF(Z3857&gt;Z3856,Z3857,"")</f>
        <v/>
      </c>
      <c r="AB3857">
        <f>AB3856+IF(X3857="",0,IF(ISNA(MATCH(X3857,X$256:X3856,0)),1,0))</f>
        <v/>
      </c>
      <c r="AC3857">
        <f>IF(AB3857&gt;AB3856,AB3857,"")</f>
        <v/>
      </c>
    </row>
    <row r="3858">
      <c r="W3858" s="7" t="n"/>
      <c r="X3858" s="7" t="n"/>
      <c r="Z3858">
        <f>Z3857+IF(W3858="",0,IF(ISNA(MATCH(W3858,W$256:W3857,0)),1,0))</f>
        <v/>
      </c>
      <c r="AA3858">
        <f>IF(Z3858&gt;Z3857,Z3858,"")</f>
        <v/>
      </c>
      <c r="AB3858">
        <f>AB3857+IF(X3858="",0,IF(ISNA(MATCH(X3858,X$256:X3857,0)),1,0))</f>
        <v/>
      </c>
      <c r="AC3858">
        <f>IF(AB3858&gt;AB3857,AB3858,"")</f>
        <v/>
      </c>
    </row>
    <row r="3859">
      <c r="W3859" s="7" t="n"/>
      <c r="X3859" s="7" t="n"/>
      <c r="Z3859">
        <f>Z3858+IF(W3859="",0,IF(ISNA(MATCH(W3859,W$256:W3858,0)),1,0))</f>
        <v/>
      </c>
      <c r="AA3859">
        <f>IF(Z3859&gt;Z3858,Z3859,"")</f>
        <v/>
      </c>
      <c r="AB3859">
        <f>AB3858+IF(X3859="",0,IF(ISNA(MATCH(X3859,X$256:X3858,0)),1,0))</f>
        <v/>
      </c>
      <c r="AC3859">
        <f>IF(AB3859&gt;AB3858,AB3859,"")</f>
        <v/>
      </c>
    </row>
    <row r="3860">
      <c r="W3860" s="7" t="n"/>
      <c r="X3860" s="7" t="n"/>
      <c r="Z3860">
        <f>Z3859+IF(W3860="",0,IF(ISNA(MATCH(W3860,W$256:W3859,0)),1,0))</f>
        <v/>
      </c>
      <c r="AA3860">
        <f>IF(Z3860&gt;Z3859,Z3860,"")</f>
        <v/>
      </c>
      <c r="AB3860">
        <f>AB3859+IF(X3860="",0,IF(ISNA(MATCH(X3860,X$256:X3859,0)),1,0))</f>
        <v/>
      </c>
      <c r="AC3860">
        <f>IF(AB3860&gt;AB3859,AB3860,"")</f>
        <v/>
      </c>
    </row>
    <row r="3861">
      <c r="W3861" s="7" t="n"/>
      <c r="X3861" s="7" t="n"/>
      <c r="Z3861">
        <f>Z3860+IF(W3861="",0,IF(ISNA(MATCH(W3861,W$256:W3860,0)),1,0))</f>
        <v/>
      </c>
      <c r="AA3861">
        <f>IF(Z3861&gt;Z3860,Z3861,"")</f>
        <v/>
      </c>
      <c r="AB3861">
        <f>AB3860+IF(X3861="",0,IF(ISNA(MATCH(X3861,X$256:X3860,0)),1,0))</f>
        <v/>
      </c>
      <c r="AC3861">
        <f>IF(AB3861&gt;AB3860,AB3861,"")</f>
        <v/>
      </c>
    </row>
    <row r="3862">
      <c r="W3862" s="7" t="n"/>
      <c r="X3862" s="7" t="n"/>
      <c r="Z3862">
        <f>Z3861+IF(W3862="",0,IF(ISNA(MATCH(W3862,W$256:W3861,0)),1,0))</f>
        <v/>
      </c>
      <c r="AA3862">
        <f>IF(Z3862&gt;Z3861,Z3862,"")</f>
        <v/>
      </c>
      <c r="AB3862">
        <f>AB3861+IF(X3862="",0,IF(ISNA(MATCH(X3862,X$256:X3861,0)),1,0))</f>
        <v/>
      </c>
      <c r="AC3862">
        <f>IF(AB3862&gt;AB3861,AB3862,"")</f>
        <v/>
      </c>
    </row>
    <row r="3863">
      <c r="W3863" s="7" t="n"/>
      <c r="X3863" s="7" t="n"/>
      <c r="Z3863">
        <f>Z3862+IF(W3863="",0,IF(ISNA(MATCH(W3863,W$256:W3862,0)),1,0))</f>
        <v/>
      </c>
      <c r="AA3863">
        <f>IF(Z3863&gt;Z3862,Z3863,"")</f>
        <v/>
      </c>
      <c r="AB3863">
        <f>AB3862+IF(X3863="",0,IF(ISNA(MATCH(X3863,X$256:X3862,0)),1,0))</f>
        <v/>
      </c>
      <c r="AC3863">
        <f>IF(AB3863&gt;AB3862,AB3863,"")</f>
        <v/>
      </c>
    </row>
    <row r="3864">
      <c r="W3864" s="7" t="n"/>
      <c r="X3864" s="7" t="n"/>
      <c r="Z3864">
        <f>Z3863+IF(W3864="",0,IF(ISNA(MATCH(W3864,W$256:W3863,0)),1,0))</f>
        <v/>
      </c>
      <c r="AA3864">
        <f>IF(Z3864&gt;Z3863,Z3864,"")</f>
        <v/>
      </c>
      <c r="AB3864">
        <f>AB3863+IF(X3864="",0,IF(ISNA(MATCH(X3864,X$256:X3863,0)),1,0))</f>
        <v/>
      </c>
      <c r="AC3864">
        <f>IF(AB3864&gt;AB3863,AB3864,"")</f>
        <v/>
      </c>
    </row>
    <row r="3865">
      <c r="W3865" s="7" t="n"/>
      <c r="X3865" s="7" t="n"/>
      <c r="Z3865">
        <f>Z3864+IF(W3865="",0,IF(ISNA(MATCH(W3865,W$256:W3864,0)),1,0))</f>
        <v/>
      </c>
      <c r="AA3865">
        <f>IF(Z3865&gt;Z3864,Z3865,"")</f>
        <v/>
      </c>
      <c r="AB3865">
        <f>AB3864+IF(X3865="",0,IF(ISNA(MATCH(X3865,X$256:X3864,0)),1,0))</f>
        <v/>
      </c>
      <c r="AC3865">
        <f>IF(AB3865&gt;AB3864,AB3865,"")</f>
        <v/>
      </c>
    </row>
    <row r="3866">
      <c r="W3866" s="7" t="n"/>
      <c r="X3866" s="7" t="n"/>
      <c r="Z3866">
        <f>Z3865+IF(W3866="",0,IF(ISNA(MATCH(W3866,W$256:W3865,0)),1,0))</f>
        <v/>
      </c>
      <c r="AA3866">
        <f>IF(Z3866&gt;Z3865,Z3866,"")</f>
        <v/>
      </c>
      <c r="AB3866">
        <f>AB3865+IF(X3866="",0,IF(ISNA(MATCH(X3866,X$256:X3865,0)),1,0))</f>
        <v/>
      </c>
      <c r="AC3866">
        <f>IF(AB3866&gt;AB3865,AB3866,"")</f>
        <v/>
      </c>
    </row>
    <row r="3867">
      <c r="W3867" s="7" t="n"/>
      <c r="X3867" s="7" t="n"/>
      <c r="Z3867">
        <f>Z3866+IF(W3867="",0,IF(ISNA(MATCH(W3867,W$256:W3866,0)),1,0))</f>
        <v/>
      </c>
      <c r="AA3867">
        <f>IF(Z3867&gt;Z3866,Z3867,"")</f>
        <v/>
      </c>
      <c r="AB3867">
        <f>AB3866+IF(X3867="",0,IF(ISNA(MATCH(X3867,X$256:X3866,0)),1,0))</f>
        <v/>
      </c>
      <c r="AC3867">
        <f>IF(AB3867&gt;AB3866,AB3867,"")</f>
        <v/>
      </c>
    </row>
    <row r="3868">
      <c r="W3868" s="7" t="n"/>
      <c r="X3868" s="7" t="n"/>
      <c r="Z3868">
        <f>Z3867+IF(W3868="",0,IF(ISNA(MATCH(W3868,W$256:W3867,0)),1,0))</f>
        <v/>
      </c>
      <c r="AA3868">
        <f>IF(Z3868&gt;Z3867,Z3868,"")</f>
        <v/>
      </c>
      <c r="AB3868">
        <f>AB3867+IF(X3868="",0,IF(ISNA(MATCH(X3868,X$256:X3867,0)),1,0))</f>
        <v/>
      </c>
      <c r="AC3868">
        <f>IF(AB3868&gt;AB3867,AB3868,"")</f>
        <v/>
      </c>
    </row>
    <row r="3869">
      <c r="W3869" s="7" t="n"/>
      <c r="X3869" s="7" t="n"/>
      <c r="Z3869">
        <f>Z3868+IF(W3869="",0,IF(ISNA(MATCH(W3869,W$256:W3868,0)),1,0))</f>
        <v/>
      </c>
      <c r="AA3869">
        <f>IF(Z3869&gt;Z3868,Z3869,"")</f>
        <v/>
      </c>
      <c r="AB3869">
        <f>AB3868+IF(X3869="",0,IF(ISNA(MATCH(X3869,X$256:X3868,0)),1,0))</f>
        <v/>
      </c>
      <c r="AC3869">
        <f>IF(AB3869&gt;AB3868,AB3869,"")</f>
        <v/>
      </c>
    </row>
    <row r="3870">
      <c r="W3870" s="7" t="n"/>
      <c r="X3870" s="7" t="n"/>
      <c r="Z3870">
        <f>Z3869+IF(W3870="",0,IF(ISNA(MATCH(W3870,W$256:W3869,0)),1,0))</f>
        <v/>
      </c>
      <c r="AA3870">
        <f>IF(Z3870&gt;Z3869,Z3870,"")</f>
        <v/>
      </c>
      <c r="AB3870">
        <f>AB3869+IF(X3870="",0,IF(ISNA(MATCH(X3870,X$256:X3869,0)),1,0))</f>
        <v/>
      </c>
      <c r="AC3870">
        <f>IF(AB3870&gt;AB3869,AB3870,"")</f>
        <v/>
      </c>
    </row>
    <row r="3871">
      <c r="W3871" s="7" t="n"/>
      <c r="X3871" s="7" t="n"/>
      <c r="Z3871">
        <f>Z3870+IF(W3871="",0,IF(ISNA(MATCH(W3871,W$256:W3870,0)),1,0))</f>
        <v/>
      </c>
      <c r="AA3871">
        <f>IF(Z3871&gt;Z3870,Z3871,"")</f>
        <v/>
      </c>
      <c r="AB3871">
        <f>AB3870+IF(X3871="",0,IF(ISNA(MATCH(X3871,X$256:X3870,0)),1,0))</f>
        <v/>
      </c>
      <c r="AC3871">
        <f>IF(AB3871&gt;AB3870,AB3871,"")</f>
        <v/>
      </c>
    </row>
    <row r="3872">
      <c r="W3872" s="7" t="n"/>
      <c r="X3872" s="7" t="n"/>
      <c r="Z3872">
        <f>Z3871+IF(W3872="",0,IF(ISNA(MATCH(W3872,W$256:W3871,0)),1,0))</f>
        <v/>
      </c>
      <c r="AA3872">
        <f>IF(Z3872&gt;Z3871,Z3872,"")</f>
        <v/>
      </c>
      <c r="AB3872">
        <f>AB3871+IF(X3872="",0,IF(ISNA(MATCH(X3872,X$256:X3871,0)),1,0))</f>
        <v/>
      </c>
      <c r="AC3872">
        <f>IF(AB3872&gt;AB3871,AB3872,"")</f>
        <v/>
      </c>
    </row>
    <row r="3873">
      <c r="W3873" s="7" t="n"/>
      <c r="X3873" s="7" t="n"/>
      <c r="Z3873">
        <f>Z3872+IF(W3873="",0,IF(ISNA(MATCH(W3873,W$256:W3872,0)),1,0))</f>
        <v/>
      </c>
      <c r="AA3873">
        <f>IF(Z3873&gt;Z3872,Z3873,"")</f>
        <v/>
      </c>
      <c r="AB3873">
        <f>AB3872+IF(X3873="",0,IF(ISNA(MATCH(X3873,X$256:X3872,0)),1,0))</f>
        <v/>
      </c>
      <c r="AC3873">
        <f>IF(AB3873&gt;AB3872,AB3873,"")</f>
        <v/>
      </c>
    </row>
    <row r="3874">
      <c r="W3874" s="7" t="n"/>
      <c r="X3874" s="7" t="n"/>
      <c r="Z3874">
        <f>Z3873+IF(W3874="",0,IF(ISNA(MATCH(W3874,W$256:W3873,0)),1,0))</f>
        <v/>
      </c>
      <c r="AA3874">
        <f>IF(Z3874&gt;Z3873,Z3874,"")</f>
        <v/>
      </c>
      <c r="AB3874">
        <f>AB3873+IF(X3874="",0,IF(ISNA(MATCH(X3874,X$256:X3873,0)),1,0))</f>
        <v/>
      </c>
      <c r="AC3874">
        <f>IF(AB3874&gt;AB3873,AB3874,"")</f>
        <v/>
      </c>
    </row>
    <row r="3875">
      <c r="W3875" s="7" t="n"/>
      <c r="X3875" s="7" t="n"/>
      <c r="Z3875">
        <f>Z3874+IF(W3875="",0,IF(ISNA(MATCH(W3875,W$256:W3874,0)),1,0))</f>
        <v/>
      </c>
      <c r="AA3875">
        <f>IF(Z3875&gt;Z3874,Z3875,"")</f>
        <v/>
      </c>
      <c r="AB3875">
        <f>AB3874+IF(X3875="",0,IF(ISNA(MATCH(X3875,X$256:X3874,0)),1,0))</f>
        <v/>
      </c>
      <c r="AC3875">
        <f>IF(AB3875&gt;AB3874,AB3875,"")</f>
        <v/>
      </c>
    </row>
    <row r="3876">
      <c r="W3876" s="7" t="n"/>
      <c r="X3876" s="7" t="n"/>
      <c r="Z3876">
        <f>Z3875+IF(W3876="",0,IF(ISNA(MATCH(W3876,W$256:W3875,0)),1,0))</f>
        <v/>
      </c>
      <c r="AA3876">
        <f>IF(Z3876&gt;Z3875,Z3876,"")</f>
        <v/>
      </c>
      <c r="AB3876">
        <f>AB3875+IF(X3876="",0,IF(ISNA(MATCH(X3876,X$256:X3875,0)),1,0))</f>
        <v/>
      </c>
      <c r="AC3876">
        <f>IF(AB3876&gt;AB3875,AB3876,"")</f>
        <v/>
      </c>
    </row>
    <row r="3877">
      <c r="W3877" s="7" t="n"/>
      <c r="X3877" s="7" t="n"/>
      <c r="Z3877">
        <f>Z3876+IF(W3877="",0,IF(ISNA(MATCH(W3877,W$256:W3876,0)),1,0))</f>
        <v/>
      </c>
      <c r="AA3877">
        <f>IF(Z3877&gt;Z3876,Z3877,"")</f>
        <v/>
      </c>
      <c r="AB3877">
        <f>AB3876+IF(X3877="",0,IF(ISNA(MATCH(X3877,X$256:X3876,0)),1,0))</f>
        <v/>
      </c>
      <c r="AC3877">
        <f>IF(AB3877&gt;AB3876,AB3877,"")</f>
        <v/>
      </c>
    </row>
    <row r="3878">
      <c r="W3878" s="7" t="n"/>
      <c r="X3878" s="7" t="n"/>
      <c r="Z3878">
        <f>Z3877+IF(W3878="",0,IF(ISNA(MATCH(W3878,W$256:W3877,0)),1,0))</f>
        <v/>
      </c>
      <c r="AA3878">
        <f>IF(Z3878&gt;Z3877,Z3878,"")</f>
        <v/>
      </c>
      <c r="AB3878">
        <f>AB3877+IF(X3878="",0,IF(ISNA(MATCH(X3878,X$256:X3877,0)),1,0))</f>
        <v/>
      </c>
      <c r="AC3878">
        <f>IF(AB3878&gt;AB3877,AB3878,"")</f>
        <v/>
      </c>
    </row>
    <row r="3879">
      <c r="W3879" s="7" t="n"/>
      <c r="X3879" s="7" t="n"/>
      <c r="Z3879">
        <f>Z3878+IF(W3879="",0,IF(ISNA(MATCH(W3879,W$256:W3878,0)),1,0))</f>
        <v/>
      </c>
      <c r="AA3879">
        <f>IF(Z3879&gt;Z3878,Z3879,"")</f>
        <v/>
      </c>
      <c r="AB3879">
        <f>AB3878+IF(X3879="",0,IF(ISNA(MATCH(X3879,X$256:X3878,0)),1,0))</f>
        <v/>
      </c>
      <c r="AC3879">
        <f>IF(AB3879&gt;AB3878,AB3879,"")</f>
        <v/>
      </c>
    </row>
    <row r="3880">
      <c r="W3880" s="7" t="n"/>
      <c r="X3880" s="7" t="n"/>
      <c r="Z3880">
        <f>Z3879+IF(W3880="",0,IF(ISNA(MATCH(W3880,W$256:W3879,0)),1,0))</f>
        <v/>
      </c>
      <c r="AA3880">
        <f>IF(Z3880&gt;Z3879,Z3880,"")</f>
        <v/>
      </c>
      <c r="AB3880">
        <f>AB3879+IF(X3880="",0,IF(ISNA(MATCH(X3880,X$256:X3879,0)),1,0))</f>
        <v/>
      </c>
      <c r="AC3880">
        <f>IF(AB3880&gt;AB3879,AB3880,"")</f>
        <v/>
      </c>
    </row>
    <row r="3881">
      <c r="W3881" s="7" t="n"/>
      <c r="X3881" s="7" t="n"/>
      <c r="Z3881">
        <f>Z3880+IF(W3881="",0,IF(ISNA(MATCH(W3881,W$256:W3880,0)),1,0))</f>
        <v/>
      </c>
      <c r="AA3881">
        <f>IF(Z3881&gt;Z3880,Z3881,"")</f>
        <v/>
      </c>
      <c r="AB3881">
        <f>AB3880+IF(X3881="",0,IF(ISNA(MATCH(X3881,X$256:X3880,0)),1,0))</f>
        <v/>
      </c>
      <c r="AC3881">
        <f>IF(AB3881&gt;AB3880,AB3881,"")</f>
        <v/>
      </c>
    </row>
    <row r="3882">
      <c r="W3882" s="7" t="n"/>
      <c r="X3882" s="7" t="n"/>
      <c r="Z3882">
        <f>Z3881+IF(W3882="",0,IF(ISNA(MATCH(W3882,W$256:W3881,0)),1,0))</f>
        <v/>
      </c>
      <c r="AA3882">
        <f>IF(Z3882&gt;Z3881,Z3882,"")</f>
        <v/>
      </c>
      <c r="AB3882">
        <f>AB3881+IF(X3882="",0,IF(ISNA(MATCH(X3882,X$256:X3881,0)),1,0))</f>
        <v/>
      </c>
      <c r="AC3882">
        <f>IF(AB3882&gt;AB3881,AB3882,"")</f>
        <v/>
      </c>
    </row>
    <row r="3883">
      <c r="W3883" s="7" t="n"/>
      <c r="X3883" s="7" t="n"/>
      <c r="Z3883">
        <f>Z3882+IF(W3883="",0,IF(ISNA(MATCH(W3883,W$256:W3882,0)),1,0))</f>
        <v/>
      </c>
      <c r="AA3883">
        <f>IF(Z3883&gt;Z3882,Z3883,"")</f>
        <v/>
      </c>
      <c r="AB3883">
        <f>AB3882+IF(X3883="",0,IF(ISNA(MATCH(X3883,X$256:X3882,0)),1,0))</f>
        <v/>
      </c>
      <c r="AC3883">
        <f>IF(AB3883&gt;AB3882,AB3883,"")</f>
        <v/>
      </c>
    </row>
    <row r="3884">
      <c r="W3884" s="7" t="n"/>
      <c r="X3884" s="7" t="n"/>
      <c r="Z3884">
        <f>Z3883+IF(W3884="",0,IF(ISNA(MATCH(W3884,W$256:W3883,0)),1,0))</f>
        <v/>
      </c>
      <c r="AA3884">
        <f>IF(Z3884&gt;Z3883,Z3884,"")</f>
        <v/>
      </c>
      <c r="AB3884">
        <f>AB3883+IF(X3884="",0,IF(ISNA(MATCH(X3884,X$256:X3883,0)),1,0))</f>
        <v/>
      </c>
      <c r="AC3884">
        <f>IF(AB3884&gt;AB3883,AB3884,"")</f>
        <v/>
      </c>
    </row>
    <row r="3885">
      <c r="W3885" s="7" t="n"/>
      <c r="X3885" s="7" t="n"/>
      <c r="Z3885">
        <f>Z3884+IF(W3885="",0,IF(ISNA(MATCH(W3885,W$256:W3884,0)),1,0))</f>
        <v/>
      </c>
      <c r="AA3885">
        <f>IF(Z3885&gt;Z3884,Z3885,"")</f>
        <v/>
      </c>
      <c r="AB3885">
        <f>AB3884+IF(X3885="",0,IF(ISNA(MATCH(X3885,X$256:X3884,0)),1,0))</f>
        <v/>
      </c>
      <c r="AC3885">
        <f>IF(AB3885&gt;AB3884,AB3885,"")</f>
        <v/>
      </c>
    </row>
    <row r="3886">
      <c r="W3886" s="7" t="n"/>
      <c r="X3886" s="7" t="n"/>
      <c r="Z3886">
        <f>Z3885+IF(W3886="",0,IF(ISNA(MATCH(W3886,W$256:W3885,0)),1,0))</f>
        <v/>
      </c>
      <c r="AA3886">
        <f>IF(Z3886&gt;Z3885,Z3886,"")</f>
        <v/>
      </c>
      <c r="AB3886">
        <f>AB3885+IF(X3886="",0,IF(ISNA(MATCH(X3886,X$256:X3885,0)),1,0))</f>
        <v/>
      </c>
      <c r="AC3886">
        <f>IF(AB3886&gt;AB3885,AB3886,"")</f>
        <v/>
      </c>
    </row>
    <row r="3887">
      <c r="W3887" s="7" t="n"/>
      <c r="X3887" s="7" t="n"/>
      <c r="Z3887">
        <f>Z3886+IF(W3887="",0,IF(ISNA(MATCH(W3887,W$256:W3886,0)),1,0))</f>
        <v/>
      </c>
      <c r="AA3887">
        <f>IF(Z3887&gt;Z3886,Z3887,"")</f>
        <v/>
      </c>
      <c r="AB3887">
        <f>AB3886+IF(X3887="",0,IF(ISNA(MATCH(X3887,X$256:X3886,0)),1,0))</f>
        <v/>
      </c>
      <c r="AC3887">
        <f>IF(AB3887&gt;AB3886,AB3887,"")</f>
        <v/>
      </c>
    </row>
    <row r="3888">
      <c r="W3888" s="7" t="n"/>
      <c r="X3888" s="7" t="n"/>
      <c r="Z3888">
        <f>Z3887+IF(W3888="",0,IF(ISNA(MATCH(W3888,W$256:W3887,0)),1,0))</f>
        <v/>
      </c>
      <c r="AA3888">
        <f>IF(Z3888&gt;Z3887,Z3888,"")</f>
        <v/>
      </c>
      <c r="AB3888">
        <f>AB3887+IF(X3888="",0,IF(ISNA(MATCH(X3888,X$256:X3887,0)),1,0))</f>
        <v/>
      </c>
      <c r="AC3888">
        <f>IF(AB3888&gt;AB3887,AB3888,"")</f>
        <v/>
      </c>
    </row>
    <row r="3889">
      <c r="W3889" s="7" t="n"/>
      <c r="X3889" s="7" t="n"/>
      <c r="Z3889">
        <f>Z3888+IF(W3889="",0,IF(ISNA(MATCH(W3889,W$256:W3888,0)),1,0))</f>
        <v/>
      </c>
      <c r="AA3889">
        <f>IF(Z3889&gt;Z3888,Z3889,"")</f>
        <v/>
      </c>
      <c r="AB3889">
        <f>AB3888+IF(X3889="",0,IF(ISNA(MATCH(X3889,X$256:X3888,0)),1,0))</f>
        <v/>
      </c>
      <c r="AC3889">
        <f>IF(AB3889&gt;AB3888,AB3889,"")</f>
        <v/>
      </c>
    </row>
    <row r="3890">
      <c r="W3890" s="7" t="n"/>
      <c r="X3890" s="7" t="n"/>
      <c r="Z3890">
        <f>Z3889+IF(W3890="",0,IF(ISNA(MATCH(W3890,W$256:W3889,0)),1,0))</f>
        <v/>
      </c>
      <c r="AA3890">
        <f>IF(Z3890&gt;Z3889,Z3890,"")</f>
        <v/>
      </c>
      <c r="AB3890">
        <f>AB3889+IF(X3890="",0,IF(ISNA(MATCH(X3890,X$256:X3889,0)),1,0))</f>
        <v/>
      </c>
      <c r="AC3890">
        <f>IF(AB3890&gt;AB3889,AB3890,"")</f>
        <v/>
      </c>
    </row>
    <row r="3891">
      <c r="W3891" s="7" t="n"/>
      <c r="X3891" s="7" t="n"/>
      <c r="Z3891">
        <f>Z3890+IF(W3891="",0,IF(ISNA(MATCH(W3891,W$256:W3890,0)),1,0))</f>
        <v/>
      </c>
      <c r="AA3891">
        <f>IF(Z3891&gt;Z3890,Z3891,"")</f>
        <v/>
      </c>
      <c r="AB3891">
        <f>AB3890+IF(X3891="",0,IF(ISNA(MATCH(X3891,X$256:X3890,0)),1,0))</f>
        <v/>
      </c>
      <c r="AC3891">
        <f>IF(AB3891&gt;AB3890,AB3891,"")</f>
        <v/>
      </c>
    </row>
    <row r="3892">
      <c r="W3892" s="7" t="n"/>
      <c r="X3892" s="7" t="n"/>
      <c r="Z3892">
        <f>Z3891+IF(W3892="",0,IF(ISNA(MATCH(W3892,W$256:W3891,0)),1,0))</f>
        <v/>
      </c>
      <c r="AA3892">
        <f>IF(Z3892&gt;Z3891,Z3892,"")</f>
        <v/>
      </c>
      <c r="AB3892">
        <f>AB3891+IF(X3892="",0,IF(ISNA(MATCH(X3892,X$256:X3891,0)),1,0))</f>
        <v/>
      </c>
      <c r="AC3892">
        <f>IF(AB3892&gt;AB3891,AB3892,"")</f>
        <v/>
      </c>
    </row>
    <row r="3893">
      <c r="W3893" s="7" t="n"/>
      <c r="X3893" s="7" t="n"/>
      <c r="Z3893">
        <f>Z3892+IF(W3893="",0,IF(ISNA(MATCH(W3893,W$256:W3892,0)),1,0))</f>
        <v/>
      </c>
      <c r="AA3893">
        <f>IF(Z3893&gt;Z3892,Z3893,"")</f>
        <v/>
      </c>
      <c r="AB3893">
        <f>AB3892+IF(X3893="",0,IF(ISNA(MATCH(X3893,X$256:X3892,0)),1,0))</f>
        <v/>
      </c>
      <c r="AC3893">
        <f>IF(AB3893&gt;AB3892,AB3893,"")</f>
        <v/>
      </c>
    </row>
    <row r="3894">
      <c r="W3894" s="7" t="n"/>
      <c r="X3894" s="7" t="n"/>
      <c r="Z3894">
        <f>Z3893+IF(W3894="",0,IF(ISNA(MATCH(W3894,W$256:W3893,0)),1,0))</f>
        <v/>
      </c>
      <c r="AA3894">
        <f>IF(Z3894&gt;Z3893,Z3894,"")</f>
        <v/>
      </c>
      <c r="AB3894">
        <f>AB3893+IF(X3894="",0,IF(ISNA(MATCH(X3894,X$256:X3893,0)),1,0))</f>
        <v/>
      </c>
      <c r="AC3894">
        <f>IF(AB3894&gt;AB3893,AB3894,"")</f>
        <v/>
      </c>
    </row>
    <row r="3895">
      <c r="W3895" s="7" t="n"/>
      <c r="X3895" s="7" t="n"/>
      <c r="Z3895">
        <f>Z3894+IF(W3895="",0,IF(ISNA(MATCH(W3895,W$256:W3894,0)),1,0))</f>
        <v/>
      </c>
      <c r="AA3895">
        <f>IF(Z3895&gt;Z3894,Z3895,"")</f>
        <v/>
      </c>
      <c r="AB3895">
        <f>AB3894+IF(X3895="",0,IF(ISNA(MATCH(X3895,X$256:X3894,0)),1,0))</f>
        <v/>
      </c>
      <c r="AC3895">
        <f>IF(AB3895&gt;AB3894,AB3895,"")</f>
        <v/>
      </c>
    </row>
    <row r="3896">
      <c r="W3896" s="7" t="n"/>
      <c r="X3896" s="7" t="n"/>
      <c r="Z3896">
        <f>Z3895+IF(W3896="",0,IF(ISNA(MATCH(W3896,W$256:W3895,0)),1,0))</f>
        <v/>
      </c>
      <c r="AA3896">
        <f>IF(Z3896&gt;Z3895,Z3896,"")</f>
        <v/>
      </c>
      <c r="AB3896">
        <f>AB3895+IF(X3896="",0,IF(ISNA(MATCH(X3896,X$256:X3895,0)),1,0))</f>
        <v/>
      </c>
      <c r="AC3896">
        <f>IF(AB3896&gt;AB3895,AB3896,"")</f>
        <v/>
      </c>
    </row>
    <row r="3897">
      <c r="W3897" s="7" t="n"/>
      <c r="X3897" s="7" t="n"/>
      <c r="Z3897">
        <f>Z3896+IF(W3897="",0,IF(ISNA(MATCH(W3897,W$256:W3896,0)),1,0))</f>
        <v/>
      </c>
      <c r="AA3897">
        <f>IF(Z3897&gt;Z3896,Z3897,"")</f>
        <v/>
      </c>
      <c r="AB3897">
        <f>AB3896+IF(X3897="",0,IF(ISNA(MATCH(X3897,X$256:X3896,0)),1,0))</f>
        <v/>
      </c>
      <c r="AC3897">
        <f>IF(AB3897&gt;AB3896,AB3897,"")</f>
        <v/>
      </c>
    </row>
    <row r="3898">
      <c r="W3898" s="7" t="n"/>
      <c r="X3898" s="7" t="n"/>
      <c r="Z3898">
        <f>Z3897+IF(W3898="",0,IF(ISNA(MATCH(W3898,W$256:W3897,0)),1,0))</f>
        <v/>
      </c>
      <c r="AA3898">
        <f>IF(Z3898&gt;Z3897,Z3898,"")</f>
        <v/>
      </c>
      <c r="AB3898">
        <f>AB3897+IF(X3898="",0,IF(ISNA(MATCH(X3898,X$256:X3897,0)),1,0))</f>
        <v/>
      </c>
      <c r="AC3898">
        <f>IF(AB3898&gt;AB3897,AB3898,"")</f>
        <v/>
      </c>
    </row>
    <row r="3899">
      <c r="W3899" s="7" t="n"/>
      <c r="X3899" s="7" t="n"/>
      <c r="Z3899">
        <f>Z3898+IF(W3899="",0,IF(ISNA(MATCH(W3899,W$256:W3898,0)),1,0))</f>
        <v/>
      </c>
      <c r="AA3899">
        <f>IF(Z3899&gt;Z3898,Z3899,"")</f>
        <v/>
      </c>
      <c r="AB3899">
        <f>AB3898+IF(X3899="",0,IF(ISNA(MATCH(X3899,X$256:X3898,0)),1,0))</f>
        <v/>
      </c>
      <c r="AC3899">
        <f>IF(AB3899&gt;AB3898,AB3899,"")</f>
        <v/>
      </c>
    </row>
    <row r="3900">
      <c r="W3900" s="7" t="n"/>
      <c r="X3900" s="7" t="n"/>
      <c r="Z3900">
        <f>Z3899+IF(W3900="",0,IF(ISNA(MATCH(W3900,W$256:W3899,0)),1,0))</f>
        <v/>
      </c>
      <c r="AA3900">
        <f>IF(Z3900&gt;Z3899,Z3900,"")</f>
        <v/>
      </c>
      <c r="AB3900">
        <f>AB3899+IF(X3900="",0,IF(ISNA(MATCH(X3900,X$256:X3899,0)),1,0))</f>
        <v/>
      </c>
      <c r="AC3900">
        <f>IF(AB3900&gt;AB3899,AB3900,"")</f>
        <v/>
      </c>
    </row>
    <row r="3901">
      <c r="W3901" s="7" t="n"/>
      <c r="X3901" s="7" t="n"/>
      <c r="Z3901">
        <f>Z3900+IF(W3901="",0,IF(ISNA(MATCH(W3901,W$256:W3900,0)),1,0))</f>
        <v/>
      </c>
      <c r="AA3901">
        <f>IF(Z3901&gt;Z3900,Z3901,"")</f>
        <v/>
      </c>
      <c r="AB3901">
        <f>AB3900+IF(X3901="",0,IF(ISNA(MATCH(X3901,X$256:X3900,0)),1,0))</f>
        <v/>
      </c>
      <c r="AC3901">
        <f>IF(AB3901&gt;AB3900,AB3901,"")</f>
        <v/>
      </c>
    </row>
    <row r="3902">
      <c r="W3902" s="7" t="n"/>
      <c r="X3902" s="7" t="n"/>
      <c r="Z3902">
        <f>Z3901+IF(W3902="",0,IF(ISNA(MATCH(W3902,W$256:W3901,0)),1,0))</f>
        <v/>
      </c>
      <c r="AA3902">
        <f>IF(Z3902&gt;Z3901,Z3902,"")</f>
        <v/>
      </c>
      <c r="AB3902">
        <f>AB3901+IF(X3902="",0,IF(ISNA(MATCH(X3902,X$256:X3901,0)),1,0))</f>
        <v/>
      </c>
      <c r="AC3902">
        <f>IF(AB3902&gt;AB3901,AB3902,"")</f>
        <v/>
      </c>
    </row>
    <row r="3903">
      <c r="W3903" s="7" t="n"/>
      <c r="X3903" s="7" t="n"/>
      <c r="Z3903">
        <f>Z3902+IF(W3903="",0,IF(ISNA(MATCH(W3903,W$256:W3902,0)),1,0))</f>
        <v/>
      </c>
      <c r="AA3903">
        <f>IF(Z3903&gt;Z3902,Z3903,"")</f>
        <v/>
      </c>
      <c r="AB3903">
        <f>AB3902+IF(X3903="",0,IF(ISNA(MATCH(X3903,X$256:X3902,0)),1,0))</f>
        <v/>
      </c>
      <c r="AC3903">
        <f>IF(AB3903&gt;AB3902,AB3903,"")</f>
        <v/>
      </c>
    </row>
    <row r="3904">
      <c r="W3904" s="7" t="n"/>
      <c r="X3904" s="7" t="n"/>
      <c r="Z3904">
        <f>Z3903+IF(W3904="",0,IF(ISNA(MATCH(W3904,W$256:W3903,0)),1,0))</f>
        <v/>
      </c>
      <c r="AA3904">
        <f>IF(Z3904&gt;Z3903,Z3904,"")</f>
        <v/>
      </c>
      <c r="AB3904">
        <f>AB3903+IF(X3904="",0,IF(ISNA(MATCH(X3904,X$256:X3903,0)),1,0))</f>
        <v/>
      </c>
      <c r="AC3904">
        <f>IF(AB3904&gt;AB3903,AB3904,"")</f>
        <v/>
      </c>
    </row>
    <row r="3905">
      <c r="W3905" s="7" t="n"/>
      <c r="X3905" s="7" t="n"/>
      <c r="Z3905">
        <f>Z3904+IF(W3905="",0,IF(ISNA(MATCH(W3905,W$256:W3904,0)),1,0))</f>
        <v/>
      </c>
      <c r="AA3905">
        <f>IF(Z3905&gt;Z3904,Z3905,"")</f>
        <v/>
      </c>
      <c r="AB3905">
        <f>AB3904+IF(X3905="",0,IF(ISNA(MATCH(X3905,X$256:X3904,0)),1,0))</f>
        <v/>
      </c>
      <c r="AC3905">
        <f>IF(AB3905&gt;AB3904,AB3905,"")</f>
        <v/>
      </c>
    </row>
    <row r="3906">
      <c r="W3906" s="7" t="n"/>
      <c r="X3906" s="7" t="n"/>
      <c r="Z3906">
        <f>Z3905+IF(W3906="",0,IF(ISNA(MATCH(W3906,W$256:W3905,0)),1,0))</f>
        <v/>
      </c>
      <c r="AA3906">
        <f>IF(Z3906&gt;Z3905,Z3906,"")</f>
        <v/>
      </c>
      <c r="AB3906">
        <f>AB3905+IF(X3906="",0,IF(ISNA(MATCH(X3906,X$256:X3905,0)),1,0))</f>
        <v/>
      </c>
      <c r="AC3906">
        <f>IF(AB3906&gt;AB3905,AB3906,"")</f>
        <v/>
      </c>
    </row>
    <row r="3907">
      <c r="W3907" s="7" t="n"/>
      <c r="X3907" s="7" t="n"/>
      <c r="Z3907">
        <f>Z3906+IF(W3907="",0,IF(ISNA(MATCH(W3907,W$256:W3906,0)),1,0))</f>
        <v/>
      </c>
      <c r="AA3907">
        <f>IF(Z3907&gt;Z3906,Z3907,"")</f>
        <v/>
      </c>
      <c r="AB3907">
        <f>AB3906+IF(X3907="",0,IF(ISNA(MATCH(X3907,X$256:X3906,0)),1,0))</f>
        <v/>
      </c>
      <c r="AC3907">
        <f>IF(AB3907&gt;AB3906,AB3907,"")</f>
        <v/>
      </c>
    </row>
    <row r="3908">
      <c r="W3908" s="7" t="n"/>
      <c r="X3908" s="7" t="n"/>
      <c r="Z3908">
        <f>Z3907+IF(W3908="",0,IF(ISNA(MATCH(W3908,W$256:W3907,0)),1,0))</f>
        <v/>
      </c>
      <c r="AA3908">
        <f>IF(Z3908&gt;Z3907,Z3908,"")</f>
        <v/>
      </c>
      <c r="AB3908">
        <f>AB3907+IF(X3908="",0,IF(ISNA(MATCH(X3908,X$256:X3907,0)),1,0))</f>
        <v/>
      </c>
      <c r="AC3908">
        <f>IF(AB3908&gt;AB3907,AB3908,"")</f>
        <v/>
      </c>
    </row>
    <row r="3909">
      <c r="W3909" s="7" t="n"/>
      <c r="X3909" s="7" t="n"/>
      <c r="Z3909">
        <f>Z3908+IF(W3909="",0,IF(ISNA(MATCH(W3909,W$256:W3908,0)),1,0))</f>
        <v/>
      </c>
      <c r="AA3909">
        <f>IF(Z3909&gt;Z3908,Z3909,"")</f>
        <v/>
      </c>
      <c r="AB3909">
        <f>AB3908+IF(X3909="",0,IF(ISNA(MATCH(X3909,X$256:X3908,0)),1,0))</f>
        <v/>
      </c>
      <c r="AC3909">
        <f>IF(AB3909&gt;AB3908,AB3909,"")</f>
        <v/>
      </c>
    </row>
    <row r="3910">
      <c r="W3910" s="7" t="n"/>
      <c r="X3910" s="7" t="n"/>
      <c r="Z3910">
        <f>Z3909+IF(W3910="",0,IF(ISNA(MATCH(W3910,W$256:W3909,0)),1,0))</f>
        <v/>
      </c>
      <c r="AA3910">
        <f>IF(Z3910&gt;Z3909,Z3910,"")</f>
        <v/>
      </c>
      <c r="AB3910">
        <f>AB3909+IF(X3910="",0,IF(ISNA(MATCH(X3910,X$256:X3909,0)),1,0))</f>
        <v/>
      </c>
      <c r="AC3910">
        <f>IF(AB3910&gt;AB3909,AB3910,"")</f>
        <v/>
      </c>
    </row>
    <row r="3911">
      <c r="W3911" s="7" t="n"/>
      <c r="X3911" s="7" t="n"/>
      <c r="Z3911">
        <f>Z3910+IF(W3911="",0,IF(ISNA(MATCH(W3911,W$256:W3910,0)),1,0))</f>
        <v/>
      </c>
      <c r="AA3911">
        <f>IF(Z3911&gt;Z3910,Z3911,"")</f>
        <v/>
      </c>
      <c r="AB3911">
        <f>AB3910+IF(X3911="",0,IF(ISNA(MATCH(X3911,X$256:X3910,0)),1,0))</f>
        <v/>
      </c>
      <c r="AC3911">
        <f>IF(AB3911&gt;AB3910,AB3911,"")</f>
        <v/>
      </c>
    </row>
    <row r="3912">
      <c r="W3912" s="7" t="n"/>
      <c r="X3912" s="7" t="n"/>
      <c r="Z3912">
        <f>Z3911+IF(W3912="",0,IF(ISNA(MATCH(W3912,W$256:W3911,0)),1,0))</f>
        <v/>
      </c>
      <c r="AA3912">
        <f>IF(Z3912&gt;Z3911,Z3912,"")</f>
        <v/>
      </c>
      <c r="AB3912">
        <f>AB3911+IF(X3912="",0,IF(ISNA(MATCH(X3912,X$256:X3911,0)),1,0))</f>
        <v/>
      </c>
      <c r="AC3912">
        <f>IF(AB3912&gt;AB3911,AB3912,"")</f>
        <v/>
      </c>
    </row>
    <row r="3913">
      <c r="W3913" s="7" t="n"/>
      <c r="X3913" s="7" t="n"/>
      <c r="Z3913">
        <f>Z3912+IF(W3913="",0,IF(ISNA(MATCH(W3913,W$256:W3912,0)),1,0))</f>
        <v/>
      </c>
      <c r="AA3913">
        <f>IF(Z3913&gt;Z3912,Z3913,"")</f>
        <v/>
      </c>
      <c r="AB3913">
        <f>AB3912+IF(X3913="",0,IF(ISNA(MATCH(X3913,X$256:X3912,0)),1,0))</f>
        <v/>
      </c>
      <c r="AC3913">
        <f>IF(AB3913&gt;AB3912,AB3913,"")</f>
        <v/>
      </c>
    </row>
    <row r="3914">
      <c r="W3914" s="7" t="n"/>
      <c r="X3914" s="7" t="n"/>
      <c r="Z3914">
        <f>Z3913+IF(W3914="",0,IF(ISNA(MATCH(W3914,W$256:W3913,0)),1,0))</f>
        <v/>
      </c>
      <c r="AA3914">
        <f>IF(Z3914&gt;Z3913,Z3914,"")</f>
        <v/>
      </c>
      <c r="AB3914">
        <f>AB3913+IF(X3914="",0,IF(ISNA(MATCH(X3914,X$256:X3913,0)),1,0))</f>
        <v/>
      </c>
      <c r="AC3914">
        <f>IF(AB3914&gt;AB3913,AB3914,"")</f>
        <v/>
      </c>
    </row>
    <row r="3915">
      <c r="W3915" s="7" t="n"/>
      <c r="X3915" s="7" t="n"/>
      <c r="Z3915">
        <f>Z3914+IF(W3915="",0,IF(ISNA(MATCH(W3915,W$256:W3914,0)),1,0))</f>
        <v/>
      </c>
      <c r="AA3915">
        <f>IF(Z3915&gt;Z3914,Z3915,"")</f>
        <v/>
      </c>
      <c r="AB3915">
        <f>AB3914+IF(X3915="",0,IF(ISNA(MATCH(X3915,X$256:X3914,0)),1,0))</f>
        <v/>
      </c>
      <c r="AC3915">
        <f>IF(AB3915&gt;AB3914,AB3915,"")</f>
        <v/>
      </c>
    </row>
    <row r="3916">
      <c r="W3916" s="7" t="n"/>
      <c r="X3916" s="7" t="n"/>
      <c r="Z3916">
        <f>Z3915+IF(W3916="",0,IF(ISNA(MATCH(W3916,W$256:W3915,0)),1,0))</f>
        <v/>
      </c>
      <c r="AA3916">
        <f>IF(Z3916&gt;Z3915,Z3916,"")</f>
        <v/>
      </c>
      <c r="AB3916">
        <f>AB3915+IF(X3916="",0,IF(ISNA(MATCH(X3916,X$256:X3915,0)),1,0))</f>
        <v/>
      </c>
      <c r="AC3916">
        <f>IF(AB3916&gt;AB3915,AB3916,"")</f>
        <v/>
      </c>
    </row>
    <row r="3917">
      <c r="W3917" s="7" t="n"/>
      <c r="X3917" s="7" t="n"/>
      <c r="Z3917">
        <f>Z3916+IF(W3917="",0,IF(ISNA(MATCH(W3917,W$256:W3916,0)),1,0))</f>
        <v/>
      </c>
      <c r="AA3917">
        <f>IF(Z3917&gt;Z3916,Z3917,"")</f>
        <v/>
      </c>
      <c r="AB3917">
        <f>AB3916+IF(X3917="",0,IF(ISNA(MATCH(X3917,X$256:X3916,0)),1,0))</f>
        <v/>
      </c>
      <c r="AC3917">
        <f>IF(AB3917&gt;AB3916,AB3917,"")</f>
        <v/>
      </c>
    </row>
    <row r="3918">
      <c r="W3918" s="7" t="n"/>
      <c r="X3918" s="7" t="n"/>
      <c r="Z3918">
        <f>Z3917+IF(W3918="",0,IF(ISNA(MATCH(W3918,W$256:W3917,0)),1,0))</f>
        <v/>
      </c>
      <c r="AA3918">
        <f>IF(Z3918&gt;Z3917,Z3918,"")</f>
        <v/>
      </c>
      <c r="AB3918">
        <f>AB3917+IF(X3918="",0,IF(ISNA(MATCH(X3918,X$256:X3917,0)),1,0))</f>
        <v/>
      </c>
      <c r="AC3918">
        <f>IF(AB3918&gt;AB3917,AB3918,"")</f>
        <v/>
      </c>
    </row>
    <row r="3919">
      <c r="W3919" s="7" t="n"/>
      <c r="X3919" s="7" t="n"/>
      <c r="Z3919">
        <f>Z3918+IF(W3919="",0,IF(ISNA(MATCH(W3919,W$256:W3918,0)),1,0))</f>
        <v/>
      </c>
      <c r="AA3919">
        <f>IF(Z3919&gt;Z3918,Z3919,"")</f>
        <v/>
      </c>
      <c r="AB3919">
        <f>AB3918+IF(X3919="",0,IF(ISNA(MATCH(X3919,X$256:X3918,0)),1,0))</f>
        <v/>
      </c>
      <c r="AC3919">
        <f>IF(AB3919&gt;AB3918,AB3919,"")</f>
        <v/>
      </c>
    </row>
    <row r="3920">
      <c r="W3920" s="7" t="n"/>
      <c r="X3920" s="7" t="n"/>
      <c r="Z3920">
        <f>Z3919+IF(W3920="",0,IF(ISNA(MATCH(W3920,W$256:W3919,0)),1,0))</f>
        <v/>
      </c>
      <c r="AA3920">
        <f>IF(Z3920&gt;Z3919,Z3920,"")</f>
        <v/>
      </c>
      <c r="AB3920">
        <f>AB3919+IF(X3920="",0,IF(ISNA(MATCH(X3920,X$256:X3919,0)),1,0))</f>
        <v/>
      </c>
      <c r="AC3920">
        <f>IF(AB3920&gt;AB3919,AB3920,"")</f>
        <v/>
      </c>
    </row>
    <row r="3921">
      <c r="W3921" s="7" t="n"/>
      <c r="X3921" s="7" t="n"/>
      <c r="Z3921">
        <f>Z3920+IF(W3921="",0,IF(ISNA(MATCH(W3921,W$256:W3920,0)),1,0))</f>
        <v/>
      </c>
      <c r="AA3921">
        <f>IF(Z3921&gt;Z3920,Z3921,"")</f>
        <v/>
      </c>
      <c r="AB3921">
        <f>AB3920+IF(X3921="",0,IF(ISNA(MATCH(X3921,X$256:X3920,0)),1,0))</f>
        <v/>
      </c>
      <c r="AC3921">
        <f>IF(AB3921&gt;AB3920,AB3921,"")</f>
        <v/>
      </c>
    </row>
    <row r="3922">
      <c r="W3922" s="7" t="n"/>
      <c r="X3922" s="7" t="n"/>
      <c r="Z3922">
        <f>Z3921+IF(W3922="",0,IF(ISNA(MATCH(W3922,W$256:W3921,0)),1,0))</f>
        <v/>
      </c>
      <c r="AA3922">
        <f>IF(Z3922&gt;Z3921,Z3922,"")</f>
        <v/>
      </c>
      <c r="AB3922">
        <f>AB3921+IF(X3922="",0,IF(ISNA(MATCH(X3922,X$256:X3921,0)),1,0))</f>
        <v/>
      </c>
      <c r="AC3922">
        <f>IF(AB3922&gt;AB3921,AB3922,"")</f>
        <v/>
      </c>
    </row>
    <row r="3923">
      <c r="W3923" s="7" t="n"/>
      <c r="X3923" s="7" t="n"/>
      <c r="Z3923">
        <f>Z3922+IF(W3923="",0,IF(ISNA(MATCH(W3923,W$256:W3922,0)),1,0))</f>
        <v/>
      </c>
      <c r="AA3923">
        <f>IF(Z3923&gt;Z3922,Z3923,"")</f>
        <v/>
      </c>
      <c r="AB3923">
        <f>AB3922+IF(X3923="",0,IF(ISNA(MATCH(X3923,X$256:X3922,0)),1,0))</f>
        <v/>
      </c>
      <c r="AC3923">
        <f>IF(AB3923&gt;AB3922,AB3923,"")</f>
        <v/>
      </c>
    </row>
    <row r="3924">
      <c r="W3924" s="7" t="n"/>
      <c r="X3924" s="7" t="n"/>
      <c r="Z3924">
        <f>Z3923+IF(W3924="",0,IF(ISNA(MATCH(W3924,W$256:W3923,0)),1,0))</f>
        <v/>
      </c>
      <c r="AA3924">
        <f>IF(Z3924&gt;Z3923,Z3924,"")</f>
        <v/>
      </c>
      <c r="AB3924">
        <f>AB3923+IF(X3924="",0,IF(ISNA(MATCH(X3924,X$256:X3923,0)),1,0))</f>
        <v/>
      </c>
      <c r="AC3924">
        <f>IF(AB3924&gt;AB3923,AB3924,"")</f>
        <v/>
      </c>
    </row>
    <row r="3925">
      <c r="W3925" s="7" t="n"/>
      <c r="X3925" s="7" t="n"/>
      <c r="Z3925">
        <f>Z3924+IF(W3925="",0,IF(ISNA(MATCH(W3925,W$256:W3924,0)),1,0))</f>
        <v/>
      </c>
      <c r="AA3925">
        <f>IF(Z3925&gt;Z3924,Z3925,"")</f>
        <v/>
      </c>
      <c r="AB3925">
        <f>AB3924+IF(X3925="",0,IF(ISNA(MATCH(X3925,X$256:X3924,0)),1,0))</f>
        <v/>
      </c>
      <c r="AC3925">
        <f>IF(AB3925&gt;AB3924,AB3925,"")</f>
        <v/>
      </c>
    </row>
    <row r="3926">
      <c r="W3926" s="7" t="n"/>
      <c r="X3926" s="7" t="n"/>
      <c r="Z3926">
        <f>Z3925+IF(W3926="",0,IF(ISNA(MATCH(W3926,W$256:W3925,0)),1,0))</f>
        <v/>
      </c>
      <c r="AA3926">
        <f>IF(Z3926&gt;Z3925,Z3926,"")</f>
        <v/>
      </c>
      <c r="AB3926">
        <f>AB3925+IF(X3926="",0,IF(ISNA(MATCH(X3926,X$256:X3925,0)),1,0))</f>
        <v/>
      </c>
      <c r="AC3926">
        <f>IF(AB3926&gt;AB3925,AB3926,"")</f>
        <v/>
      </c>
    </row>
    <row r="3927">
      <c r="W3927" s="7" t="n"/>
      <c r="X3927" s="7" t="n"/>
      <c r="Z3927">
        <f>Z3926+IF(W3927="",0,IF(ISNA(MATCH(W3927,W$256:W3926,0)),1,0))</f>
        <v/>
      </c>
      <c r="AA3927">
        <f>IF(Z3927&gt;Z3926,Z3927,"")</f>
        <v/>
      </c>
      <c r="AB3927">
        <f>AB3926+IF(X3927="",0,IF(ISNA(MATCH(X3927,X$256:X3926,0)),1,0))</f>
        <v/>
      </c>
      <c r="AC3927">
        <f>IF(AB3927&gt;AB3926,AB3927,"")</f>
        <v/>
      </c>
    </row>
    <row r="3928">
      <c r="W3928" s="7" t="n"/>
      <c r="X3928" s="7" t="n"/>
      <c r="Z3928">
        <f>Z3927+IF(W3928="",0,IF(ISNA(MATCH(W3928,W$256:W3927,0)),1,0))</f>
        <v/>
      </c>
      <c r="AA3928">
        <f>IF(Z3928&gt;Z3927,Z3928,"")</f>
        <v/>
      </c>
      <c r="AB3928">
        <f>AB3927+IF(X3928="",0,IF(ISNA(MATCH(X3928,X$256:X3927,0)),1,0))</f>
        <v/>
      </c>
      <c r="AC3928">
        <f>IF(AB3928&gt;AB3927,AB3928,"")</f>
        <v/>
      </c>
    </row>
    <row r="3929">
      <c r="W3929" s="7" t="n"/>
      <c r="X3929" s="7" t="n"/>
      <c r="Z3929">
        <f>Z3928+IF(W3929="",0,IF(ISNA(MATCH(W3929,W$256:W3928,0)),1,0))</f>
        <v/>
      </c>
      <c r="AA3929">
        <f>IF(Z3929&gt;Z3928,Z3929,"")</f>
        <v/>
      </c>
      <c r="AB3929">
        <f>AB3928+IF(X3929="",0,IF(ISNA(MATCH(X3929,X$256:X3928,0)),1,0))</f>
        <v/>
      </c>
      <c r="AC3929">
        <f>IF(AB3929&gt;AB3928,AB3929,"")</f>
        <v/>
      </c>
    </row>
    <row r="3930">
      <c r="W3930" s="7" t="n"/>
      <c r="X3930" s="7" t="n"/>
      <c r="Z3930">
        <f>Z3929+IF(W3930="",0,IF(ISNA(MATCH(W3930,W$256:W3929,0)),1,0))</f>
        <v/>
      </c>
      <c r="AA3930">
        <f>IF(Z3930&gt;Z3929,Z3930,"")</f>
        <v/>
      </c>
      <c r="AB3930">
        <f>AB3929+IF(X3930="",0,IF(ISNA(MATCH(X3930,X$256:X3929,0)),1,0))</f>
        <v/>
      </c>
      <c r="AC3930">
        <f>IF(AB3930&gt;AB3929,AB3930,"")</f>
        <v/>
      </c>
    </row>
    <row r="3931">
      <c r="W3931" s="7" t="n"/>
      <c r="X3931" s="7" t="n"/>
      <c r="Z3931">
        <f>Z3930+IF(W3931="",0,IF(ISNA(MATCH(W3931,W$256:W3930,0)),1,0))</f>
        <v/>
      </c>
      <c r="AA3931">
        <f>IF(Z3931&gt;Z3930,Z3931,"")</f>
        <v/>
      </c>
      <c r="AB3931">
        <f>AB3930+IF(X3931="",0,IF(ISNA(MATCH(X3931,X$256:X3930,0)),1,0))</f>
        <v/>
      </c>
      <c r="AC3931">
        <f>IF(AB3931&gt;AB3930,AB3931,"")</f>
        <v/>
      </c>
    </row>
    <row r="3932">
      <c r="W3932" s="7" t="n"/>
      <c r="X3932" s="7" t="n"/>
      <c r="Z3932">
        <f>Z3931+IF(W3932="",0,IF(ISNA(MATCH(W3932,W$256:W3931,0)),1,0))</f>
        <v/>
      </c>
      <c r="AA3932">
        <f>IF(Z3932&gt;Z3931,Z3932,"")</f>
        <v/>
      </c>
      <c r="AB3932">
        <f>AB3931+IF(X3932="",0,IF(ISNA(MATCH(X3932,X$256:X3931,0)),1,0))</f>
        <v/>
      </c>
      <c r="AC3932">
        <f>IF(AB3932&gt;AB3931,AB3932,"")</f>
        <v/>
      </c>
    </row>
    <row r="3933">
      <c r="W3933" s="7" t="n"/>
      <c r="X3933" s="7" t="n"/>
      <c r="Z3933">
        <f>Z3932+IF(W3933="",0,IF(ISNA(MATCH(W3933,W$256:W3932,0)),1,0))</f>
        <v/>
      </c>
      <c r="AA3933">
        <f>IF(Z3933&gt;Z3932,Z3933,"")</f>
        <v/>
      </c>
      <c r="AB3933">
        <f>AB3932+IF(X3933="",0,IF(ISNA(MATCH(X3933,X$256:X3932,0)),1,0))</f>
        <v/>
      </c>
      <c r="AC3933">
        <f>IF(AB3933&gt;AB3932,AB3933,"")</f>
        <v/>
      </c>
    </row>
    <row r="3934">
      <c r="W3934" s="7" t="n"/>
      <c r="X3934" s="7" t="n"/>
      <c r="Z3934">
        <f>Z3933+IF(W3934="",0,IF(ISNA(MATCH(W3934,W$256:W3933,0)),1,0))</f>
        <v/>
      </c>
      <c r="AA3934">
        <f>IF(Z3934&gt;Z3933,Z3934,"")</f>
        <v/>
      </c>
      <c r="AB3934">
        <f>AB3933+IF(X3934="",0,IF(ISNA(MATCH(X3934,X$256:X3933,0)),1,0))</f>
        <v/>
      </c>
      <c r="AC3934">
        <f>IF(AB3934&gt;AB3933,AB3934,"")</f>
        <v/>
      </c>
    </row>
    <row r="3935">
      <c r="W3935" s="7" t="n"/>
      <c r="X3935" s="7" t="n"/>
      <c r="Z3935">
        <f>Z3934+IF(W3935="",0,IF(ISNA(MATCH(W3935,W$256:W3934,0)),1,0))</f>
        <v/>
      </c>
      <c r="AA3935">
        <f>IF(Z3935&gt;Z3934,Z3935,"")</f>
        <v/>
      </c>
      <c r="AB3935">
        <f>AB3934+IF(X3935="",0,IF(ISNA(MATCH(X3935,X$256:X3934,0)),1,0))</f>
        <v/>
      </c>
      <c r="AC3935">
        <f>IF(AB3935&gt;AB3934,AB3935,"")</f>
        <v/>
      </c>
    </row>
    <row r="3936">
      <c r="W3936" s="7" t="n"/>
      <c r="X3936" s="7" t="n"/>
      <c r="Z3936">
        <f>Z3935+IF(W3936="",0,IF(ISNA(MATCH(W3936,W$256:W3935,0)),1,0))</f>
        <v/>
      </c>
      <c r="AA3936">
        <f>IF(Z3936&gt;Z3935,Z3936,"")</f>
        <v/>
      </c>
      <c r="AB3936">
        <f>AB3935+IF(X3936="",0,IF(ISNA(MATCH(X3936,X$256:X3935,0)),1,0))</f>
        <v/>
      </c>
      <c r="AC3936">
        <f>IF(AB3936&gt;AB3935,AB3936,"")</f>
        <v/>
      </c>
    </row>
    <row r="3937">
      <c r="W3937" s="7" t="n"/>
      <c r="X3937" s="7" t="n"/>
      <c r="Z3937">
        <f>Z3936+IF(W3937="",0,IF(ISNA(MATCH(W3937,W$256:W3936,0)),1,0))</f>
        <v/>
      </c>
      <c r="AA3937">
        <f>IF(Z3937&gt;Z3936,Z3937,"")</f>
        <v/>
      </c>
      <c r="AB3937">
        <f>AB3936+IF(X3937="",0,IF(ISNA(MATCH(X3937,X$256:X3936,0)),1,0))</f>
        <v/>
      </c>
      <c r="AC3937">
        <f>IF(AB3937&gt;AB3936,AB3937,"")</f>
        <v/>
      </c>
    </row>
    <row r="3938">
      <c r="W3938" s="7" t="n"/>
      <c r="X3938" s="7" t="n"/>
      <c r="Z3938">
        <f>Z3937+IF(W3938="",0,IF(ISNA(MATCH(W3938,W$256:W3937,0)),1,0))</f>
        <v/>
      </c>
      <c r="AA3938">
        <f>IF(Z3938&gt;Z3937,Z3938,"")</f>
        <v/>
      </c>
      <c r="AB3938">
        <f>AB3937+IF(X3938="",0,IF(ISNA(MATCH(X3938,X$256:X3937,0)),1,0))</f>
        <v/>
      </c>
      <c r="AC3938">
        <f>IF(AB3938&gt;AB3937,AB3938,"")</f>
        <v/>
      </c>
    </row>
    <row r="3939">
      <c r="W3939" s="7" t="n"/>
      <c r="X3939" s="7" t="n"/>
      <c r="Z3939">
        <f>Z3938+IF(W3939="",0,IF(ISNA(MATCH(W3939,W$256:W3938,0)),1,0))</f>
        <v/>
      </c>
      <c r="AA3939">
        <f>IF(Z3939&gt;Z3938,Z3939,"")</f>
        <v/>
      </c>
      <c r="AB3939">
        <f>AB3938+IF(X3939="",0,IF(ISNA(MATCH(X3939,X$256:X3938,0)),1,0))</f>
        <v/>
      </c>
      <c r="AC3939">
        <f>IF(AB3939&gt;AB3938,AB3939,"")</f>
        <v/>
      </c>
    </row>
    <row r="3940">
      <c r="W3940" s="7" t="n"/>
      <c r="X3940" s="7" t="n"/>
      <c r="Z3940">
        <f>Z3939+IF(W3940="",0,IF(ISNA(MATCH(W3940,W$256:W3939,0)),1,0))</f>
        <v/>
      </c>
      <c r="AA3940">
        <f>IF(Z3940&gt;Z3939,Z3940,"")</f>
        <v/>
      </c>
      <c r="AB3940">
        <f>AB3939+IF(X3940="",0,IF(ISNA(MATCH(X3940,X$256:X3939,0)),1,0))</f>
        <v/>
      </c>
      <c r="AC3940">
        <f>IF(AB3940&gt;AB3939,AB3940,"")</f>
        <v/>
      </c>
    </row>
    <row r="3941">
      <c r="W3941" s="7" t="n"/>
      <c r="X3941" s="7" t="n"/>
      <c r="Z3941">
        <f>Z3940+IF(W3941="",0,IF(ISNA(MATCH(W3941,W$256:W3940,0)),1,0))</f>
        <v/>
      </c>
      <c r="AA3941">
        <f>IF(Z3941&gt;Z3940,Z3941,"")</f>
        <v/>
      </c>
      <c r="AB3941">
        <f>AB3940+IF(X3941="",0,IF(ISNA(MATCH(X3941,X$256:X3940,0)),1,0))</f>
        <v/>
      </c>
      <c r="AC3941">
        <f>IF(AB3941&gt;AB3940,AB3941,"")</f>
        <v/>
      </c>
    </row>
    <row r="3942">
      <c r="W3942" s="7" t="n"/>
      <c r="X3942" s="7" t="n"/>
      <c r="Z3942">
        <f>Z3941+IF(W3942="",0,IF(ISNA(MATCH(W3942,W$256:W3941,0)),1,0))</f>
        <v/>
      </c>
      <c r="AA3942">
        <f>IF(Z3942&gt;Z3941,Z3942,"")</f>
        <v/>
      </c>
      <c r="AB3942">
        <f>AB3941+IF(X3942="",0,IF(ISNA(MATCH(X3942,X$256:X3941,0)),1,0))</f>
        <v/>
      </c>
      <c r="AC3942">
        <f>IF(AB3942&gt;AB3941,AB3942,"")</f>
        <v/>
      </c>
    </row>
    <row r="3943">
      <c r="W3943" s="7" t="n"/>
      <c r="X3943" s="7" t="n"/>
      <c r="Z3943">
        <f>Z3942+IF(W3943="",0,IF(ISNA(MATCH(W3943,W$256:W3942,0)),1,0))</f>
        <v/>
      </c>
      <c r="AA3943">
        <f>IF(Z3943&gt;Z3942,Z3943,"")</f>
        <v/>
      </c>
      <c r="AB3943">
        <f>AB3942+IF(X3943="",0,IF(ISNA(MATCH(X3943,X$256:X3942,0)),1,0))</f>
        <v/>
      </c>
      <c r="AC3943">
        <f>IF(AB3943&gt;AB3942,AB3943,"")</f>
        <v/>
      </c>
    </row>
    <row r="3944">
      <c r="W3944" s="7" t="n"/>
      <c r="X3944" s="7" t="n"/>
      <c r="Z3944">
        <f>Z3943+IF(W3944="",0,IF(ISNA(MATCH(W3944,W$256:W3943,0)),1,0))</f>
        <v/>
      </c>
      <c r="AA3944">
        <f>IF(Z3944&gt;Z3943,Z3944,"")</f>
        <v/>
      </c>
      <c r="AB3944">
        <f>AB3943+IF(X3944="",0,IF(ISNA(MATCH(X3944,X$256:X3943,0)),1,0))</f>
        <v/>
      </c>
      <c r="AC3944">
        <f>IF(AB3944&gt;AB3943,AB3944,"")</f>
        <v/>
      </c>
    </row>
    <row r="3945">
      <c r="W3945" s="7" t="n"/>
      <c r="X3945" s="7" t="n"/>
      <c r="Z3945">
        <f>Z3944+IF(W3945="",0,IF(ISNA(MATCH(W3945,W$256:W3944,0)),1,0))</f>
        <v/>
      </c>
      <c r="AA3945">
        <f>IF(Z3945&gt;Z3944,Z3945,"")</f>
        <v/>
      </c>
      <c r="AB3945">
        <f>AB3944+IF(X3945="",0,IF(ISNA(MATCH(X3945,X$256:X3944,0)),1,0))</f>
        <v/>
      </c>
      <c r="AC3945">
        <f>IF(AB3945&gt;AB3944,AB3945,"")</f>
        <v/>
      </c>
    </row>
    <row r="3946">
      <c r="W3946" s="7" t="n"/>
      <c r="X3946" s="7" t="n"/>
      <c r="Z3946">
        <f>Z3945+IF(W3946="",0,IF(ISNA(MATCH(W3946,W$256:W3945,0)),1,0))</f>
        <v/>
      </c>
      <c r="AA3946">
        <f>IF(Z3946&gt;Z3945,Z3946,"")</f>
        <v/>
      </c>
      <c r="AB3946">
        <f>AB3945+IF(X3946="",0,IF(ISNA(MATCH(X3946,X$256:X3945,0)),1,0))</f>
        <v/>
      </c>
      <c r="AC3946">
        <f>IF(AB3946&gt;AB3945,AB3946,"")</f>
        <v/>
      </c>
    </row>
    <row r="3947">
      <c r="W3947" s="7" t="n"/>
      <c r="X3947" s="7" t="n"/>
      <c r="Z3947">
        <f>Z3946+IF(W3947="",0,IF(ISNA(MATCH(W3947,W$256:W3946,0)),1,0))</f>
        <v/>
      </c>
      <c r="AA3947">
        <f>IF(Z3947&gt;Z3946,Z3947,"")</f>
        <v/>
      </c>
      <c r="AB3947">
        <f>AB3946+IF(X3947="",0,IF(ISNA(MATCH(X3947,X$256:X3946,0)),1,0))</f>
        <v/>
      </c>
      <c r="AC3947">
        <f>IF(AB3947&gt;AB3946,AB3947,"")</f>
        <v/>
      </c>
    </row>
    <row r="3948">
      <c r="W3948" s="7" t="n"/>
      <c r="X3948" s="7" t="n"/>
      <c r="Z3948">
        <f>Z3947+IF(W3948="",0,IF(ISNA(MATCH(W3948,W$256:W3947,0)),1,0))</f>
        <v/>
      </c>
      <c r="AA3948">
        <f>IF(Z3948&gt;Z3947,Z3948,"")</f>
        <v/>
      </c>
      <c r="AB3948">
        <f>AB3947+IF(X3948="",0,IF(ISNA(MATCH(X3948,X$256:X3947,0)),1,0))</f>
        <v/>
      </c>
      <c r="AC3948">
        <f>IF(AB3948&gt;AB3947,AB3948,"")</f>
        <v/>
      </c>
    </row>
    <row r="3949">
      <c r="W3949" s="7" t="n"/>
      <c r="X3949" s="7" t="n"/>
      <c r="Z3949">
        <f>Z3948+IF(W3949="",0,IF(ISNA(MATCH(W3949,W$256:W3948,0)),1,0))</f>
        <v/>
      </c>
      <c r="AA3949">
        <f>IF(Z3949&gt;Z3948,Z3949,"")</f>
        <v/>
      </c>
      <c r="AB3949">
        <f>AB3948+IF(X3949="",0,IF(ISNA(MATCH(X3949,X$256:X3948,0)),1,0))</f>
        <v/>
      </c>
      <c r="AC3949">
        <f>IF(AB3949&gt;AB3948,AB3949,"")</f>
        <v/>
      </c>
    </row>
    <row r="3950">
      <c r="W3950" s="7" t="n"/>
      <c r="X3950" s="7" t="n"/>
      <c r="Z3950">
        <f>Z3949+IF(W3950="",0,IF(ISNA(MATCH(W3950,W$256:W3949,0)),1,0))</f>
        <v/>
      </c>
      <c r="AA3950">
        <f>IF(Z3950&gt;Z3949,Z3950,"")</f>
        <v/>
      </c>
      <c r="AB3950">
        <f>AB3949+IF(X3950="",0,IF(ISNA(MATCH(X3950,X$256:X3949,0)),1,0))</f>
        <v/>
      </c>
      <c r="AC3950">
        <f>IF(AB3950&gt;AB3949,AB3950,"")</f>
        <v/>
      </c>
    </row>
    <row r="3951">
      <c r="W3951" s="7" t="n"/>
      <c r="X3951" s="7" t="n"/>
      <c r="Z3951">
        <f>Z3950+IF(W3951="",0,IF(ISNA(MATCH(W3951,W$256:W3950,0)),1,0))</f>
        <v/>
      </c>
      <c r="AA3951">
        <f>IF(Z3951&gt;Z3950,Z3951,"")</f>
        <v/>
      </c>
      <c r="AB3951">
        <f>AB3950+IF(X3951="",0,IF(ISNA(MATCH(X3951,X$256:X3950,0)),1,0))</f>
        <v/>
      </c>
      <c r="AC3951">
        <f>IF(AB3951&gt;AB3950,AB3951,"")</f>
        <v/>
      </c>
    </row>
    <row r="3952">
      <c r="W3952" s="7" t="n"/>
      <c r="X3952" s="7" t="n"/>
      <c r="Z3952">
        <f>Z3951+IF(W3952="",0,IF(ISNA(MATCH(W3952,W$256:W3951,0)),1,0))</f>
        <v/>
      </c>
      <c r="AA3952">
        <f>IF(Z3952&gt;Z3951,Z3952,"")</f>
        <v/>
      </c>
      <c r="AB3952">
        <f>AB3951+IF(X3952="",0,IF(ISNA(MATCH(X3952,X$256:X3951,0)),1,0))</f>
        <v/>
      </c>
      <c r="AC3952">
        <f>IF(AB3952&gt;AB3951,AB3952,"")</f>
        <v/>
      </c>
    </row>
    <row r="3953">
      <c r="W3953" s="7" t="n"/>
      <c r="X3953" s="7" t="n"/>
      <c r="Z3953">
        <f>Z3952+IF(W3953="",0,IF(ISNA(MATCH(W3953,W$256:W3952,0)),1,0))</f>
        <v/>
      </c>
      <c r="AA3953">
        <f>IF(Z3953&gt;Z3952,Z3953,"")</f>
        <v/>
      </c>
      <c r="AB3953">
        <f>AB3952+IF(X3953="",0,IF(ISNA(MATCH(X3953,X$256:X3952,0)),1,0))</f>
        <v/>
      </c>
      <c r="AC3953">
        <f>IF(AB3953&gt;AB3952,AB3953,"")</f>
        <v/>
      </c>
    </row>
    <row r="3954">
      <c r="W3954" s="7" t="n"/>
      <c r="X3954" s="7" t="n"/>
      <c r="Z3954">
        <f>Z3953+IF(W3954="",0,IF(ISNA(MATCH(W3954,W$256:W3953,0)),1,0))</f>
        <v/>
      </c>
      <c r="AA3954">
        <f>IF(Z3954&gt;Z3953,Z3954,"")</f>
        <v/>
      </c>
      <c r="AB3954">
        <f>AB3953+IF(X3954="",0,IF(ISNA(MATCH(X3954,X$256:X3953,0)),1,0))</f>
        <v/>
      </c>
      <c r="AC3954">
        <f>IF(AB3954&gt;AB3953,AB3954,"")</f>
        <v/>
      </c>
    </row>
    <row r="3955">
      <c r="W3955" s="7" t="n"/>
      <c r="X3955" s="7" t="n"/>
      <c r="Z3955">
        <f>Z3954+IF(W3955="",0,IF(ISNA(MATCH(W3955,W$256:W3954,0)),1,0))</f>
        <v/>
      </c>
      <c r="AA3955">
        <f>IF(Z3955&gt;Z3954,Z3955,"")</f>
        <v/>
      </c>
      <c r="AB3955">
        <f>AB3954+IF(X3955="",0,IF(ISNA(MATCH(X3955,X$256:X3954,0)),1,0))</f>
        <v/>
      </c>
      <c r="AC3955">
        <f>IF(AB3955&gt;AB3954,AB3955,"")</f>
        <v/>
      </c>
    </row>
    <row r="3956">
      <c r="W3956" s="7" t="n"/>
      <c r="X3956" s="7" t="n"/>
      <c r="Z3956">
        <f>Z3955+IF(W3956="",0,IF(ISNA(MATCH(W3956,W$256:W3955,0)),1,0))</f>
        <v/>
      </c>
      <c r="AA3956">
        <f>IF(Z3956&gt;Z3955,Z3956,"")</f>
        <v/>
      </c>
      <c r="AB3956">
        <f>AB3955+IF(X3956="",0,IF(ISNA(MATCH(X3956,X$256:X3955,0)),1,0))</f>
        <v/>
      </c>
      <c r="AC3956">
        <f>IF(AB3956&gt;AB3955,AB3956,"")</f>
        <v/>
      </c>
    </row>
    <row r="3957">
      <c r="W3957" s="7" t="n"/>
      <c r="X3957" s="7" t="n"/>
      <c r="Z3957">
        <f>Z3956+IF(W3957="",0,IF(ISNA(MATCH(W3957,W$256:W3956,0)),1,0))</f>
        <v/>
      </c>
      <c r="AA3957">
        <f>IF(Z3957&gt;Z3956,Z3957,"")</f>
        <v/>
      </c>
      <c r="AB3957">
        <f>AB3956+IF(X3957="",0,IF(ISNA(MATCH(X3957,X$256:X3956,0)),1,0))</f>
        <v/>
      </c>
      <c r="AC3957">
        <f>IF(AB3957&gt;AB3956,AB3957,"")</f>
        <v/>
      </c>
    </row>
    <row r="3958">
      <c r="W3958" s="7" t="n"/>
      <c r="X3958" s="7" t="n"/>
      <c r="Z3958">
        <f>Z3957+IF(W3958="",0,IF(ISNA(MATCH(W3958,W$256:W3957,0)),1,0))</f>
        <v/>
      </c>
      <c r="AA3958">
        <f>IF(Z3958&gt;Z3957,Z3958,"")</f>
        <v/>
      </c>
      <c r="AB3958">
        <f>AB3957+IF(X3958="",0,IF(ISNA(MATCH(X3958,X$256:X3957,0)),1,0))</f>
        <v/>
      </c>
      <c r="AC3958">
        <f>IF(AB3958&gt;AB3957,AB3958,"")</f>
        <v/>
      </c>
    </row>
    <row r="3959">
      <c r="W3959" s="7" t="n"/>
      <c r="X3959" s="7" t="n"/>
      <c r="Z3959">
        <f>Z3958+IF(W3959="",0,IF(ISNA(MATCH(W3959,W$256:W3958,0)),1,0))</f>
        <v/>
      </c>
      <c r="AA3959">
        <f>IF(Z3959&gt;Z3958,Z3959,"")</f>
        <v/>
      </c>
      <c r="AB3959">
        <f>AB3958+IF(X3959="",0,IF(ISNA(MATCH(X3959,X$256:X3958,0)),1,0))</f>
        <v/>
      </c>
      <c r="AC3959">
        <f>IF(AB3959&gt;AB3958,AB3959,"")</f>
        <v/>
      </c>
    </row>
    <row r="3960">
      <c r="W3960" s="7" t="n"/>
      <c r="X3960" s="7" t="n"/>
      <c r="Z3960">
        <f>Z3959+IF(W3960="",0,IF(ISNA(MATCH(W3960,W$256:W3959,0)),1,0))</f>
        <v/>
      </c>
      <c r="AA3960">
        <f>IF(Z3960&gt;Z3959,Z3960,"")</f>
        <v/>
      </c>
      <c r="AB3960">
        <f>AB3959+IF(X3960="",0,IF(ISNA(MATCH(X3960,X$256:X3959,0)),1,0))</f>
        <v/>
      </c>
      <c r="AC3960">
        <f>IF(AB3960&gt;AB3959,AB3960,"")</f>
        <v/>
      </c>
    </row>
    <row r="3961">
      <c r="W3961" s="7" t="n"/>
      <c r="X3961" s="7" t="n"/>
      <c r="Z3961">
        <f>Z3960+IF(W3961="",0,IF(ISNA(MATCH(W3961,W$256:W3960,0)),1,0))</f>
        <v/>
      </c>
      <c r="AA3961">
        <f>IF(Z3961&gt;Z3960,Z3961,"")</f>
        <v/>
      </c>
      <c r="AB3961">
        <f>AB3960+IF(X3961="",0,IF(ISNA(MATCH(X3961,X$256:X3960,0)),1,0))</f>
        <v/>
      </c>
      <c r="AC3961">
        <f>IF(AB3961&gt;AB3960,AB3961,"")</f>
        <v/>
      </c>
    </row>
    <row r="3962">
      <c r="W3962" s="7" t="n"/>
      <c r="X3962" s="7" t="n"/>
      <c r="Z3962">
        <f>Z3961+IF(W3962="",0,IF(ISNA(MATCH(W3962,W$256:W3961,0)),1,0))</f>
        <v/>
      </c>
      <c r="AA3962">
        <f>IF(Z3962&gt;Z3961,Z3962,"")</f>
        <v/>
      </c>
      <c r="AB3962">
        <f>AB3961+IF(X3962="",0,IF(ISNA(MATCH(X3962,X$256:X3961,0)),1,0))</f>
        <v/>
      </c>
      <c r="AC3962">
        <f>IF(AB3962&gt;AB3961,AB3962,"")</f>
        <v/>
      </c>
    </row>
    <row r="3963">
      <c r="W3963" s="7" t="n"/>
      <c r="X3963" s="7" t="n"/>
      <c r="Z3963">
        <f>Z3962+IF(W3963="",0,IF(ISNA(MATCH(W3963,W$256:W3962,0)),1,0))</f>
        <v/>
      </c>
      <c r="AA3963">
        <f>IF(Z3963&gt;Z3962,Z3963,"")</f>
        <v/>
      </c>
      <c r="AB3963">
        <f>AB3962+IF(X3963="",0,IF(ISNA(MATCH(X3963,X$256:X3962,0)),1,0))</f>
        <v/>
      </c>
      <c r="AC3963">
        <f>IF(AB3963&gt;AB3962,AB3963,"")</f>
        <v/>
      </c>
    </row>
    <row r="3964">
      <c r="W3964" s="7" t="n"/>
      <c r="X3964" s="7" t="n"/>
      <c r="Z3964">
        <f>Z3963+IF(W3964="",0,IF(ISNA(MATCH(W3964,W$256:W3963,0)),1,0))</f>
        <v/>
      </c>
      <c r="AA3964">
        <f>IF(Z3964&gt;Z3963,Z3964,"")</f>
        <v/>
      </c>
      <c r="AB3964">
        <f>AB3963+IF(X3964="",0,IF(ISNA(MATCH(X3964,X$256:X3963,0)),1,0))</f>
        <v/>
      </c>
      <c r="AC3964">
        <f>IF(AB3964&gt;AB3963,AB3964,"")</f>
        <v/>
      </c>
    </row>
    <row r="3965">
      <c r="W3965" s="7" t="n"/>
      <c r="X3965" s="7" t="n"/>
      <c r="Z3965">
        <f>Z3964+IF(W3965="",0,IF(ISNA(MATCH(W3965,W$256:W3964,0)),1,0))</f>
        <v/>
      </c>
      <c r="AA3965">
        <f>IF(Z3965&gt;Z3964,Z3965,"")</f>
        <v/>
      </c>
      <c r="AB3965">
        <f>AB3964+IF(X3965="",0,IF(ISNA(MATCH(X3965,X$256:X3964,0)),1,0))</f>
        <v/>
      </c>
      <c r="AC3965">
        <f>IF(AB3965&gt;AB3964,AB3965,"")</f>
        <v/>
      </c>
    </row>
    <row r="3966">
      <c r="W3966" s="7" t="n"/>
      <c r="X3966" s="7" t="n"/>
      <c r="Z3966">
        <f>Z3965+IF(W3966="",0,IF(ISNA(MATCH(W3966,W$256:W3965,0)),1,0))</f>
        <v/>
      </c>
      <c r="AA3966">
        <f>IF(Z3966&gt;Z3965,Z3966,"")</f>
        <v/>
      </c>
      <c r="AB3966">
        <f>AB3965+IF(X3966="",0,IF(ISNA(MATCH(X3966,X$256:X3965,0)),1,0))</f>
        <v/>
      </c>
      <c r="AC3966">
        <f>IF(AB3966&gt;AB3965,AB3966,"")</f>
        <v/>
      </c>
    </row>
    <row r="3967">
      <c r="W3967" s="7" t="n"/>
      <c r="X3967" s="7" t="n"/>
      <c r="Z3967">
        <f>Z3966+IF(W3967="",0,IF(ISNA(MATCH(W3967,W$256:W3966,0)),1,0))</f>
        <v/>
      </c>
      <c r="AA3967">
        <f>IF(Z3967&gt;Z3966,Z3967,"")</f>
        <v/>
      </c>
      <c r="AB3967">
        <f>AB3966+IF(X3967="",0,IF(ISNA(MATCH(X3967,X$256:X3966,0)),1,0))</f>
        <v/>
      </c>
      <c r="AC3967">
        <f>IF(AB3967&gt;AB3966,AB3967,"")</f>
        <v/>
      </c>
    </row>
    <row r="3968">
      <c r="W3968" s="7" t="n"/>
      <c r="X3968" s="7" t="n"/>
      <c r="Z3968">
        <f>Z3967+IF(W3968="",0,IF(ISNA(MATCH(W3968,W$256:W3967,0)),1,0))</f>
        <v/>
      </c>
      <c r="AA3968">
        <f>IF(Z3968&gt;Z3967,Z3968,"")</f>
        <v/>
      </c>
      <c r="AB3968">
        <f>AB3967+IF(X3968="",0,IF(ISNA(MATCH(X3968,X$256:X3967,0)),1,0))</f>
        <v/>
      </c>
      <c r="AC3968">
        <f>IF(AB3968&gt;AB3967,AB3968,"")</f>
        <v/>
      </c>
    </row>
    <row r="3969">
      <c r="W3969" s="7" t="n"/>
      <c r="X3969" s="7" t="n"/>
      <c r="Z3969">
        <f>Z3968+IF(W3969="",0,IF(ISNA(MATCH(W3969,W$256:W3968,0)),1,0))</f>
        <v/>
      </c>
      <c r="AA3969">
        <f>IF(Z3969&gt;Z3968,Z3969,"")</f>
        <v/>
      </c>
      <c r="AB3969">
        <f>AB3968+IF(X3969="",0,IF(ISNA(MATCH(X3969,X$256:X3968,0)),1,0))</f>
        <v/>
      </c>
      <c r="AC3969">
        <f>IF(AB3969&gt;AB3968,AB3969,"")</f>
        <v/>
      </c>
    </row>
    <row r="3970">
      <c r="W3970" s="7" t="n"/>
      <c r="X3970" s="7" t="n"/>
      <c r="Z3970">
        <f>Z3969+IF(W3970="",0,IF(ISNA(MATCH(W3970,W$256:W3969,0)),1,0))</f>
        <v/>
      </c>
      <c r="AA3970">
        <f>IF(Z3970&gt;Z3969,Z3970,"")</f>
        <v/>
      </c>
      <c r="AB3970">
        <f>AB3969+IF(X3970="",0,IF(ISNA(MATCH(X3970,X$256:X3969,0)),1,0))</f>
        <v/>
      </c>
      <c r="AC3970">
        <f>IF(AB3970&gt;AB3969,AB3970,"")</f>
        <v/>
      </c>
    </row>
    <row r="3971">
      <c r="W3971" s="7" t="n"/>
      <c r="X3971" s="7" t="n"/>
      <c r="Z3971">
        <f>Z3970+IF(W3971="",0,IF(ISNA(MATCH(W3971,W$256:W3970,0)),1,0))</f>
        <v/>
      </c>
      <c r="AA3971">
        <f>IF(Z3971&gt;Z3970,Z3971,"")</f>
        <v/>
      </c>
      <c r="AB3971">
        <f>AB3970+IF(X3971="",0,IF(ISNA(MATCH(X3971,X$256:X3970,0)),1,0))</f>
        <v/>
      </c>
      <c r="AC3971">
        <f>IF(AB3971&gt;AB3970,AB3971,"")</f>
        <v/>
      </c>
    </row>
    <row r="3972">
      <c r="W3972" s="7" t="n"/>
      <c r="X3972" s="7" t="n"/>
      <c r="Z3972">
        <f>Z3971+IF(W3972="",0,IF(ISNA(MATCH(W3972,W$256:W3971,0)),1,0))</f>
        <v/>
      </c>
      <c r="AA3972">
        <f>IF(Z3972&gt;Z3971,Z3972,"")</f>
        <v/>
      </c>
      <c r="AB3972">
        <f>AB3971+IF(X3972="",0,IF(ISNA(MATCH(X3972,X$256:X3971,0)),1,0))</f>
        <v/>
      </c>
      <c r="AC3972">
        <f>IF(AB3972&gt;AB3971,AB3972,"")</f>
        <v/>
      </c>
    </row>
    <row r="3973">
      <c r="W3973" s="7" t="n"/>
      <c r="X3973" s="7" t="n"/>
      <c r="Z3973">
        <f>Z3972+IF(W3973="",0,IF(ISNA(MATCH(W3973,W$256:W3972,0)),1,0))</f>
        <v/>
      </c>
      <c r="AA3973">
        <f>IF(Z3973&gt;Z3972,Z3973,"")</f>
        <v/>
      </c>
      <c r="AB3973">
        <f>AB3972+IF(X3973="",0,IF(ISNA(MATCH(X3973,X$256:X3972,0)),1,0))</f>
        <v/>
      </c>
      <c r="AC3973">
        <f>IF(AB3973&gt;AB3972,AB3973,"")</f>
        <v/>
      </c>
    </row>
    <row r="3974">
      <c r="W3974" s="7" t="n"/>
      <c r="X3974" s="7" t="n"/>
      <c r="Z3974">
        <f>Z3973+IF(W3974="",0,IF(ISNA(MATCH(W3974,W$256:W3973,0)),1,0))</f>
        <v/>
      </c>
      <c r="AA3974">
        <f>IF(Z3974&gt;Z3973,Z3974,"")</f>
        <v/>
      </c>
      <c r="AB3974">
        <f>AB3973+IF(X3974="",0,IF(ISNA(MATCH(X3974,X$256:X3973,0)),1,0))</f>
        <v/>
      </c>
      <c r="AC3974">
        <f>IF(AB3974&gt;AB3973,AB3974,"")</f>
        <v/>
      </c>
    </row>
    <row r="3975">
      <c r="W3975" s="7" t="n"/>
      <c r="X3975" s="7" t="n"/>
      <c r="Z3975">
        <f>Z3974+IF(W3975="",0,IF(ISNA(MATCH(W3975,W$256:W3974,0)),1,0))</f>
        <v/>
      </c>
      <c r="AA3975">
        <f>IF(Z3975&gt;Z3974,Z3975,"")</f>
        <v/>
      </c>
      <c r="AB3975">
        <f>AB3974+IF(X3975="",0,IF(ISNA(MATCH(X3975,X$256:X3974,0)),1,0))</f>
        <v/>
      </c>
      <c r="AC3975">
        <f>IF(AB3975&gt;AB3974,AB3975,"")</f>
        <v/>
      </c>
    </row>
    <row r="3976">
      <c r="W3976" s="7" t="n"/>
      <c r="X3976" s="7" t="n"/>
      <c r="Z3976">
        <f>Z3975+IF(W3976="",0,IF(ISNA(MATCH(W3976,W$256:W3975,0)),1,0))</f>
        <v/>
      </c>
      <c r="AA3976">
        <f>IF(Z3976&gt;Z3975,Z3976,"")</f>
        <v/>
      </c>
      <c r="AB3976">
        <f>AB3975+IF(X3976="",0,IF(ISNA(MATCH(X3976,X$256:X3975,0)),1,0))</f>
        <v/>
      </c>
      <c r="AC3976">
        <f>IF(AB3976&gt;AB3975,AB3976,"")</f>
        <v/>
      </c>
    </row>
    <row r="3977">
      <c r="W3977" s="7" t="n"/>
      <c r="X3977" s="7" t="n"/>
      <c r="Z3977">
        <f>Z3976+IF(W3977="",0,IF(ISNA(MATCH(W3977,W$256:W3976,0)),1,0))</f>
        <v/>
      </c>
      <c r="AA3977">
        <f>IF(Z3977&gt;Z3976,Z3977,"")</f>
        <v/>
      </c>
      <c r="AB3977">
        <f>AB3976+IF(X3977="",0,IF(ISNA(MATCH(X3977,X$256:X3976,0)),1,0))</f>
        <v/>
      </c>
      <c r="AC3977">
        <f>IF(AB3977&gt;AB3976,AB3977,"")</f>
        <v/>
      </c>
    </row>
    <row r="3978">
      <c r="W3978" s="7" t="n"/>
      <c r="X3978" s="7" t="n"/>
      <c r="Z3978">
        <f>Z3977+IF(W3978="",0,IF(ISNA(MATCH(W3978,W$256:W3977,0)),1,0))</f>
        <v/>
      </c>
      <c r="AA3978">
        <f>IF(Z3978&gt;Z3977,Z3978,"")</f>
        <v/>
      </c>
      <c r="AB3978">
        <f>AB3977+IF(X3978="",0,IF(ISNA(MATCH(X3978,X$256:X3977,0)),1,0))</f>
        <v/>
      </c>
      <c r="AC3978">
        <f>IF(AB3978&gt;AB3977,AB3978,"")</f>
        <v/>
      </c>
    </row>
    <row r="3979">
      <c r="W3979" s="7" t="n"/>
      <c r="X3979" s="7" t="n"/>
      <c r="Z3979">
        <f>Z3978+IF(W3979="",0,IF(ISNA(MATCH(W3979,W$256:W3978,0)),1,0))</f>
        <v/>
      </c>
      <c r="AA3979">
        <f>IF(Z3979&gt;Z3978,Z3979,"")</f>
        <v/>
      </c>
      <c r="AB3979">
        <f>AB3978+IF(X3979="",0,IF(ISNA(MATCH(X3979,X$256:X3978,0)),1,0))</f>
        <v/>
      </c>
      <c r="AC3979">
        <f>IF(AB3979&gt;AB3978,AB3979,"")</f>
        <v/>
      </c>
    </row>
    <row r="3980">
      <c r="W3980" s="7" t="n"/>
      <c r="X3980" s="7" t="n"/>
      <c r="Z3980">
        <f>Z3979+IF(W3980="",0,IF(ISNA(MATCH(W3980,W$256:W3979,0)),1,0))</f>
        <v/>
      </c>
      <c r="AA3980">
        <f>IF(Z3980&gt;Z3979,Z3980,"")</f>
        <v/>
      </c>
      <c r="AB3980">
        <f>AB3979+IF(X3980="",0,IF(ISNA(MATCH(X3980,X$256:X3979,0)),1,0))</f>
        <v/>
      </c>
      <c r="AC3980">
        <f>IF(AB3980&gt;AB3979,AB3980,"")</f>
        <v/>
      </c>
    </row>
    <row r="3981">
      <c r="W3981" s="7" t="n"/>
      <c r="X3981" s="7" t="n"/>
      <c r="Z3981">
        <f>Z3980+IF(W3981="",0,IF(ISNA(MATCH(W3981,W$256:W3980,0)),1,0))</f>
        <v/>
      </c>
      <c r="AA3981">
        <f>IF(Z3981&gt;Z3980,Z3981,"")</f>
        <v/>
      </c>
      <c r="AB3981">
        <f>AB3980+IF(X3981="",0,IF(ISNA(MATCH(X3981,X$256:X3980,0)),1,0))</f>
        <v/>
      </c>
      <c r="AC3981">
        <f>IF(AB3981&gt;AB3980,AB3981,"")</f>
        <v/>
      </c>
    </row>
    <row r="3982">
      <c r="W3982" s="7" t="n"/>
      <c r="X3982" s="7" t="n"/>
      <c r="Z3982">
        <f>Z3981+IF(W3982="",0,IF(ISNA(MATCH(W3982,W$256:W3981,0)),1,0))</f>
        <v/>
      </c>
      <c r="AA3982">
        <f>IF(Z3982&gt;Z3981,Z3982,"")</f>
        <v/>
      </c>
      <c r="AB3982">
        <f>AB3981+IF(X3982="",0,IF(ISNA(MATCH(X3982,X$256:X3981,0)),1,0))</f>
        <v/>
      </c>
      <c r="AC3982">
        <f>IF(AB3982&gt;AB3981,AB3982,"")</f>
        <v/>
      </c>
    </row>
    <row r="3983">
      <c r="W3983" s="7" t="n"/>
      <c r="X3983" s="7" t="n"/>
      <c r="Z3983">
        <f>Z3982+IF(W3983="",0,IF(ISNA(MATCH(W3983,W$256:W3982,0)),1,0))</f>
        <v/>
      </c>
      <c r="AA3983">
        <f>IF(Z3983&gt;Z3982,Z3983,"")</f>
        <v/>
      </c>
      <c r="AB3983">
        <f>AB3982+IF(X3983="",0,IF(ISNA(MATCH(X3983,X$256:X3982,0)),1,0))</f>
        <v/>
      </c>
      <c r="AC3983">
        <f>IF(AB3983&gt;AB3982,AB3983,"")</f>
        <v/>
      </c>
    </row>
    <row r="3984">
      <c r="W3984" s="7" t="n"/>
      <c r="X3984" s="7" t="n"/>
      <c r="Z3984">
        <f>Z3983+IF(W3984="",0,IF(ISNA(MATCH(W3984,W$256:W3983,0)),1,0))</f>
        <v/>
      </c>
      <c r="AA3984">
        <f>IF(Z3984&gt;Z3983,Z3984,"")</f>
        <v/>
      </c>
      <c r="AB3984">
        <f>AB3983+IF(X3984="",0,IF(ISNA(MATCH(X3984,X$256:X3983,0)),1,0))</f>
        <v/>
      </c>
      <c r="AC3984">
        <f>IF(AB3984&gt;AB3983,AB3984,"")</f>
        <v/>
      </c>
    </row>
    <row r="3985">
      <c r="W3985" s="7" t="n"/>
      <c r="X3985" s="7" t="n"/>
      <c r="Z3985">
        <f>Z3984+IF(W3985="",0,IF(ISNA(MATCH(W3985,W$256:W3984,0)),1,0))</f>
        <v/>
      </c>
      <c r="AA3985">
        <f>IF(Z3985&gt;Z3984,Z3985,"")</f>
        <v/>
      </c>
      <c r="AB3985">
        <f>AB3984+IF(X3985="",0,IF(ISNA(MATCH(X3985,X$256:X3984,0)),1,0))</f>
        <v/>
      </c>
      <c r="AC3985">
        <f>IF(AB3985&gt;AB3984,AB3985,"")</f>
        <v/>
      </c>
    </row>
    <row r="3986">
      <c r="W3986" s="7" t="n"/>
      <c r="X3986" s="7" t="n"/>
      <c r="Z3986">
        <f>Z3985+IF(W3986="",0,IF(ISNA(MATCH(W3986,W$256:W3985,0)),1,0))</f>
        <v/>
      </c>
      <c r="AA3986">
        <f>IF(Z3986&gt;Z3985,Z3986,"")</f>
        <v/>
      </c>
      <c r="AB3986">
        <f>AB3985+IF(X3986="",0,IF(ISNA(MATCH(X3986,X$256:X3985,0)),1,0))</f>
        <v/>
      </c>
      <c r="AC3986">
        <f>IF(AB3986&gt;AB3985,AB3986,"")</f>
        <v/>
      </c>
    </row>
    <row r="3987">
      <c r="W3987" s="7" t="n"/>
      <c r="X3987" s="7" t="n"/>
      <c r="Z3987">
        <f>Z3986+IF(W3987="",0,IF(ISNA(MATCH(W3987,W$256:W3986,0)),1,0))</f>
        <v/>
      </c>
      <c r="AA3987">
        <f>IF(Z3987&gt;Z3986,Z3987,"")</f>
        <v/>
      </c>
      <c r="AB3987">
        <f>AB3986+IF(X3987="",0,IF(ISNA(MATCH(X3987,X$256:X3986,0)),1,0))</f>
        <v/>
      </c>
      <c r="AC3987">
        <f>IF(AB3987&gt;AB3986,AB3987,"")</f>
        <v/>
      </c>
    </row>
    <row r="3988">
      <c r="W3988" s="7" t="n"/>
      <c r="X3988" s="7" t="n"/>
      <c r="Z3988">
        <f>Z3987+IF(W3988="",0,IF(ISNA(MATCH(W3988,W$256:W3987,0)),1,0))</f>
        <v/>
      </c>
      <c r="AA3988">
        <f>IF(Z3988&gt;Z3987,Z3988,"")</f>
        <v/>
      </c>
      <c r="AB3988">
        <f>AB3987+IF(X3988="",0,IF(ISNA(MATCH(X3988,X$256:X3987,0)),1,0))</f>
        <v/>
      </c>
      <c r="AC3988">
        <f>IF(AB3988&gt;AB3987,AB3988,"")</f>
        <v/>
      </c>
    </row>
    <row r="3989">
      <c r="W3989" s="7" t="n"/>
      <c r="X3989" s="7" t="n"/>
      <c r="Z3989">
        <f>Z3988+IF(W3989="",0,IF(ISNA(MATCH(W3989,W$256:W3988,0)),1,0))</f>
        <v/>
      </c>
      <c r="AA3989">
        <f>IF(Z3989&gt;Z3988,Z3989,"")</f>
        <v/>
      </c>
      <c r="AB3989">
        <f>AB3988+IF(X3989="",0,IF(ISNA(MATCH(X3989,X$256:X3988,0)),1,0))</f>
        <v/>
      </c>
      <c r="AC3989">
        <f>IF(AB3989&gt;AB3988,AB3989,"")</f>
        <v/>
      </c>
    </row>
    <row r="3990">
      <c r="W3990" s="7" t="n"/>
      <c r="X3990" s="7" t="n"/>
      <c r="Z3990">
        <f>Z3989+IF(W3990="",0,IF(ISNA(MATCH(W3990,W$256:W3989,0)),1,0))</f>
        <v/>
      </c>
      <c r="AA3990">
        <f>IF(Z3990&gt;Z3989,Z3990,"")</f>
        <v/>
      </c>
      <c r="AB3990">
        <f>AB3989+IF(X3990="",0,IF(ISNA(MATCH(X3990,X$256:X3989,0)),1,0))</f>
        <v/>
      </c>
      <c r="AC3990">
        <f>IF(AB3990&gt;AB3989,AB3990,"")</f>
        <v/>
      </c>
    </row>
    <row r="3991">
      <c r="W3991" s="7" t="n"/>
      <c r="X3991" s="7" t="n"/>
      <c r="Z3991">
        <f>Z3990+IF(W3991="",0,IF(ISNA(MATCH(W3991,W$256:W3990,0)),1,0))</f>
        <v/>
      </c>
      <c r="AA3991">
        <f>IF(Z3991&gt;Z3990,Z3991,"")</f>
        <v/>
      </c>
      <c r="AB3991">
        <f>AB3990+IF(X3991="",0,IF(ISNA(MATCH(X3991,X$256:X3990,0)),1,0))</f>
        <v/>
      </c>
      <c r="AC3991">
        <f>IF(AB3991&gt;AB3990,AB3991,"")</f>
        <v/>
      </c>
    </row>
    <row r="3992">
      <c r="W3992" s="7" t="n"/>
      <c r="X3992" s="7" t="n"/>
      <c r="Z3992">
        <f>Z3991+IF(W3992="",0,IF(ISNA(MATCH(W3992,W$256:W3991,0)),1,0))</f>
        <v/>
      </c>
      <c r="AA3992">
        <f>IF(Z3992&gt;Z3991,Z3992,"")</f>
        <v/>
      </c>
      <c r="AB3992">
        <f>AB3991+IF(X3992="",0,IF(ISNA(MATCH(X3992,X$256:X3991,0)),1,0))</f>
        <v/>
      </c>
      <c r="AC3992">
        <f>IF(AB3992&gt;AB3991,AB3992,"")</f>
        <v/>
      </c>
    </row>
    <row r="3993">
      <c r="W3993" s="7" t="n"/>
      <c r="X3993" s="7" t="n"/>
      <c r="Z3993">
        <f>Z3992+IF(W3993="",0,IF(ISNA(MATCH(W3993,W$256:W3992,0)),1,0))</f>
        <v/>
      </c>
      <c r="AA3993">
        <f>IF(Z3993&gt;Z3992,Z3993,"")</f>
        <v/>
      </c>
      <c r="AB3993">
        <f>AB3992+IF(X3993="",0,IF(ISNA(MATCH(X3993,X$256:X3992,0)),1,0))</f>
        <v/>
      </c>
      <c r="AC3993">
        <f>IF(AB3993&gt;AB3992,AB3993,"")</f>
        <v/>
      </c>
    </row>
    <row r="3994">
      <c r="W3994" s="7" t="n"/>
      <c r="X3994" s="7" t="n"/>
      <c r="Z3994">
        <f>Z3993+IF(W3994="",0,IF(ISNA(MATCH(W3994,W$256:W3993,0)),1,0))</f>
        <v/>
      </c>
      <c r="AA3994">
        <f>IF(Z3994&gt;Z3993,Z3994,"")</f>
        <v/>
      </c>
      <c r="AB3994">
        <f>AB3993+IF(X3994="",0,IF(ISNA(MATCH(X3994,X$256:X3993,0)),1,0))</f>
        <v/>
      </c>
      <c r="AC3994">
        <f>IF(AB3994&gt;AB3993,AB3994,"")</f>
        <v/>
      </c>
    </row>
    <row r="3995">
      <c r="W3995" s="7" t="n"/>
      <c r="X3995" s="7" t="n"/>
      <c r="Z3995">
        <f>Z3994+IF(W3995="",0,IF(ISNA(MATCH(W3995,W$256:W3994,0)),1,0))</f>
        <v/>
      </c>
      <c r="AA3995">
        <f>IF(Z3995&gt;Z3994,Z3995,"")</f>
        <v/>
      </c>
      <c r="AB3995">
        <f>AB3994+IF(X3995="",0,IF(ISNA(MATCH(X3995,X$256:X3994,0)),1,0))</f>
        <v/>
      </c>
      <c r="AC3995">
        <f>IF(AB3995&gt;AB3994,AB3995,"")</f>
        <v/>
      </c>
    </row>
    <row r="3996">
      <c r="W3996" s="7" t="n"/>
      <c r="X3996" s="7" t="n"/>
      <c r="Z3996">
        <f>Z3995+IF(W3996="",0,IF(ISNA(MATCH(W3996,W$256:W3995,0)),1,0))</f>
        <v/>
      </c>
      <c r="AA3996">
        <f>IF(Z3996&gt;Z3995,Z3996,"")</f>
        <v/>
      </c>
      <c r="AB3996">
        <f>AB3995+IF(X3996="",0,IF(ISNA(MATCH(X3996,X$256:X3995,0)),1,0))</f>
        <v/>
      </c>
      <c r="AC3996">
        <f>IF(AB3996&gt;AB3995,AB3996,"")</f>
        <v/>
      </c>
    </row>
    <row r="3997">
      <c r="W3997" s="7" t="n"/>
      <c r="X3997" s="7" t="n"/>
      <c r="Z3997">
        <f>Z3996+IF(W3997="",0,IF(ISNA(MATCH(W3997,W$256:W3996,0)),1,0))</f>
        <v/>
      </c>
      <c r="AA3997">
        <f>IF(Z3997&gt;Z3996,Z3997,"")</f>
        <v/>
      </c>
      <c r="AB3997">
        <f>AB3996+IF(X3997="",0,IF(ISNA(MATCH(X3997,X$256:X3996,0)),1,0))</f>
        <v/>
      </c>
      <c r="AC3997">
        <f>IF(AB3997&gt;AB3996,AB3997,"")</f>
        <v/>
      </c>
    </row>
    <row r="3998">
      <c r="W3998" s="7" t="n"/>
      <c r="X3998" s="7" t="n"/>
      <c r="Z3998">
        <f>Z3997+IF(W3998="",0,IF(ISNA(MATCH(W3998,W$256:W3997,0)),1,0))</f>
        <v/>
      </c>
      <c r="AA3998">
        <f>IF(Z3998&gt;Z3997,Z3998,"")</f>
        <v/>
      </c>
      <c r="AB3998">
        <f>AB3997+IF(X3998="",0,IF(ISNA(MATCH(X3998,X$256:X3997,0)),1,0))</f>
        <v/>
      </c>
      <c r="AC3998">
        <f>IF(AB3998&gt;AB3997,AB3998,"")</f>
        <v/>
      </c>
    </row>
    <row r="3999">
      <c r="W3999" s="7" t="n"/>
      <c r="X3999" s="7" t="n"/>
      <c r="Z3999">
        <f>Z3998+IF(W3999="",0,IF(ISNA(MATCH(W3999,W$256:W3998,0)),1,0))</f>
        <v/>
      </c>
      <c r="AA3999">
        <f>IF(Z3999&gt;Z3998,Z3999,"")</f>
        <v/>
      </c>
      <c r="AB3999">
        <f>AB3998+IF(X3999="",0,IF(ISNA(MATCH(X3999,X$256:X3998,0)),1,0))</f>
        <v/>
      </c>
      <c r="AC3999">
        <f>IF(AB3999&gt;AB3998,AB3999,"")</f>
        <v/>
      </c>
    </row>
    <row r="4000">
      <c r="W4000" s="7" t="n"/>
      <c r="X4000" s="7" t="n"/>
      <c r="Z4000">
        <f>Z3999+IF(W4000="",0,IF(ISNA(MATCH(W4000,W$256:W3999,0)),1,0))</f>
        <v/>
      </c>
      <c r="AA4000">
        <f>IF(Z4000&gt;Z3999,Z4000,"")</f>
        <v/>
      </c>
      <c r="AB4000">
        <f>AB3999+IF(X4000="",0,IF(ISNA(MATCH(X4000,X$256:X3999,0)),1,0))</f>
        <v/>
      </c>
      <c r="AC4000">
        <f>IF(AB4000&gt;AB3999,AB4000,"")</f>
        <v/>
      </c>
    </row>
    <row r="4001">
      <c r="W4001" s="7" t="n"/>
      <c r="X4001" s="7" t="n"/>
      <c r="Z4001">
        <f>Z4000+IF(W4001="",0,IF(ISNA(MATCH(W4001,W$256:W4000,0)),1,0))</f>
        <v/>
      </c>
      <c r="AA4001">
        <f>IF(Z4001&gt;Z4000,Z4001,"")</f>
        <v/>
      </c>
      <c r="AB4001">
        <f>AB4000+IF(X4001="",0,IF(ISNA(MATCH(X4001,X$256:X4000,0)),1,0))</f>
        <v/>
      </c>
      <c r="AC4001">
        <f>IF(AB4001&gt;AB4000,AB4001,"")</f>
        <v/>
      </c>
    </row>
    <row r="4002">
      <c r="W4002" s="7" t="n"/>
      <c r="X4002" s="7" t="n"/>
      <c r="Z4002">
        <f>Z4001+IF(W4002="",0,IF(ISNA(MATCH(W4002,W$256:W4001,0)),1,0))</f>
        <v/>
      </c>
      <c r="AA4002">
        <f>IF(Z4002&gt;Z4001,Z4002,"")</f>
        <v/>
      </c>
      <c r="AB4002">
        <f>AB4001+IF(X4002="",0,IF(ISNA(MATCH(X4002,X$256:X4001,0)),1,0))</f>
        <v/>
      </c>
      <c r="AC4002">
        <f>IF(AB4002&gt;AB4001,AB4002,"")</f>
        <v/>
      </c>
    </row>
    <row r="4003">
      <c r="W4003" s="7" t="n"/>
      <c r="X4003" s="7" t="n"/>
      <c r="Z4003">
        <f>Z4002+IF(W4003="",0,IF(ISNA(MATCH(W4003,W$256:W4002,0)),1,0))</f>
        <v/>
      </c>
      <c r="AA4003">
        <f>IF(Z4003&gt;Z4002,Z4003,"")</f>
        <v/>
      </c>
      <c r="AB4003">
        <f>AB4002+IF(X4003="",0,IF(ISNA(MATCH(X4003,X$256:X4002,0)),1,0))</f>
        <v/>
      </c>
      <c r="AC4003">
        <f>IF(AB4003&gt;AB4002,AB4003,"")</f>
        <v/>
      </c>
    </row>
    <row r="4004">
      <c r="W4004" s="7" t="n"/>
      <c r="X4004" s="7" t="n"/>
      <c r="Z4004">
        <f>Z4003+IF(W4004="",0,IF(ISNA(MATCH(W4004,W$256:W4003,0)),1,0))</f>
        <v/>
      </c>
      <c r="AA4004">
        <f>IF(Z4004&gt;Z4003,Z4004,"")</f>
        <v/>
      </c>
      <c r="AB4004">
        <f>AB4003+IF(X4004="",0,IF(ISNA(MATCH(X4004,X$256:X4003,0)),1,0))</f>
        <v/>
      </c>
      <c r="AC4004">
        <f>IF(AB4004&gt;AB4003,AB4004,"")</f>
        <v/>
      </c>
    </row>
    <row r="4005">
      <c r="W4005" s="7" t="n"/>
      <c r="X4005" s="7" t="n"/>
      <c r="Z4005">
        <f>Z4004+IF(W4005="",0,IF(ISNA(MATCH(W4005,W$256:W4004,0)),1,0))</f>
        <v/>
      </c>
      <c r="AA4005">
        <f>IF(Z4005&gt;Z4004,Z4005,"")</f>
        <v/>
      </c>
      <c r="AB4005">
        <f>AB4004+IF(X4005="",0,IF(ISNA(MATCH(X4005,X$256:X4004,0)),1,0))</f>
        <v/>
      </c>
      <c r="AC4005">
        <f>IF(AB4005&gt;AB4004,AB4005,"")</f>
        <v/>
      </c>
    </row>
    <row r="4006">
      <c r="W4006" s="7" t="n"/>
      <c r="X4006" s="7" t="n"/>
      <c r="Z4006">
        <f>Z4005+IF(W4006="",0,IF(ISNA(MATCH(W4006,W$256:W4005,0)),1,0))</f>
        <v/>
      </c>
      <c r="AA4006">
        <f>IF(Z4006&gt;Z4005,Z4006,"")</f>
        <v/>
      </c>
      <c r="AB4006">
        <f>AB4005+IF(X4006="",0,IF(ISNA(MATCH(X4006,X$256:X4005,0)),1,0))</f>
        <v/>
      </c>
      <c r="AC4006">
        <f>IF(AB4006&gt;AB4005,AB4006,"")</f>
        <v/>
      </c>
    </row>
    <row r="4007">
      <c r="W4007" s="7" t="n"/>
      <c r="X4007" s="7" t="n"/>
      <c r="Z4007">
        <f>Z4006+IF(W4007="",0,IF(ISNA(MATCH(W4007,W$256:W4006,0)),1,0))</f>
        <v/>
      </c>
      <c r="AA4007">
        <f>IF(Z4007&gt;Z4006,Z4007,"")</f>
        <v/>
      </c>
      <c r="AB4007">
        <f>AB4006+IF(X4007="",0,IF(ISNA(MATCH(X4007,X$256:X4006,0)),1,0))</f>
        <v/>
      </c>
      <c r="AC4007">
        <f>IF(AB4007&gt;AB4006,AB4007,"")</f>
        <v/>
      </c>
    </row>
    <row r="4008">
      <c r="W4008" s="7" t="n"/>
      <c r="X4008" s="7" t="n"/>
      <c r="Z4008">
        <f>Z4007+IF(W4008="",0,IF(ISNA(MATCH(W4008,W$256:W4007,0)),1,0))</f>
        <v/>
      </c>
      <c r="AA4008">
        <f>IF(Z4008&gt;Z4007,Z4008,"")</f>
        <v/>
      </c>
      <c r="AB4008">
        <f>AB4007+IF(X4008="",0,IF(ISNA(MATCH(X4008,X$256:X4007,0)),1,0))</f>
        <v/>
      </c>
      <c r="AC4008">
        <f>IF(AB4008&gt;AB4007,AB4008,"")</f>
        <v/>
      </c>
    </row>
    <row r="4009">
      <c r="W4009" s="7" t="n"/>
      <c r="X4009" s="7" t="n"/>
      <c r="Z4009">
        <f>Z4008+IF(W4009="",0,IF(ISNA(MATCH(W4009,W$256:W4008,0)),1,0))</f>
        <v/>
      </c>
      <c r="AA4009">
        <f>IF(Z4009&gt;Z4008,Z4009,"")</f>
        <v/>
      </c>
      <c r="AB4009">
        <f>AB4008+IF(X4009="",0,IF(ISNA(MATCH(X4009,X$256:X4008,0)),1,0))</f>
        <v/>
      </c>
      <c r="AC4009">
        <f>IF(AB4009&gt;AB4008,AB4009,"")</f>
        <v/>
      </c>
    </row>
    <row r="4010">
      <c r="W4010" s="7" t="n"/>
      <c r="X4010" s="7" t="n"/>
      <c r="Z4010">
        <f>Z4009+IF(W4010="",0,IF(ISNA(MATCH(W4010,W$256:W4009,0)),1,0))</f>
        <v/>
      </c>
      <c r="AA4010">
        <f>IF(Z4010&gt;Z4009,Z4010,"")</f>
        <v/>
      </c>
      <c r="AB4010">
        <f>AB4009+IF(X4010="",0,IF(ISNA(MATCH(X4010,X$256:X4009,0)),1,0))</f>
        <v/>
      </c>
      <c r="AC4010">
        <f>IF(AB4010&gt;AB4009,AB4010,"")</f>
        <v/>
      </c>
    </row>
    <row r="4011">
      <c r="W4011" s="7" t="n"/>
      <c r="X4011" s="7" t="n"/>
      <c r="Z4011">
        <f>Z4010+IF(W4011="",0,IF(ISNA(MATCH(W4011,W$256:W4010,0)),1,0))</f>
        <v/>
      </c>
      <c r="AA4011">
        <f>IF(Z4011&gt;Z4010,Z4011,"")</f>
        <v/>
      </c>
      <c r="AB4011">
        <f>AB4010+IF(X4011="",0,IF(ISNA(MATCH(X4011,X$256:X4010,0)),1,0))</f>
        <v/>
      </c>
      <c r="AC4011">
        <f>IF(AB4011&gt;AB4010,AB4011,"")</f>
        <v/>
      </c>
    </row>
    <row r="4012">
      <c r="W4012" s="7" t="n"/>
      <c r="X4012" s="7" t="n"/>
      <c r="Z4012">
        <f>Z4011+IF(W4012="",0,IF(ISNA(MATCH(W4012,W$256:W4011,0)),1,0))</f>
        <v/>
      </c>
      <c r="AA4012">
        <f>IF(Z4012&gt;Z4011,Z4012,"")</f>
        <v/>
      </c>
      <c r="AB4012">
        <f>AB4011+IF(X4012="",0,IF(ISNA(MATCH(X4012,X$256:X4011,0)),1,0))</f>
        <v/>
      </c>
      <c r="AC4012">
        <f>IF(AB4012&gt;AB4011,AB4012,"")</f>
        <v/>
      </c>
    </row>
    <row r="4013">
      <c r="W4013" s="7" t="n"/>
      <c r="X4013" s="7" t="n"/>
      <c r="Z4013">
        <f>Z4012+IF(W4013="",0,IF(ISNA(MATCH(W4013,W$256:W4012,0)),1,0))</f>
        <v/>
      </c>
      <c r="AA4013">
        <f>IF(Z4013&gt;Z4012,Z4013,"")</f>
        <v/>
      </c>
      <c r="AB4013">
        <f>AB4012+IF(X4013="",0,IF(ISNA(MATCH(X4013,X$256:X4012,0)),1,0))</f>
        <v/>
      </c>
      <c r="AC4013">
        <f>IF(AB4013&gt;AB4012,AB4013,"")</f>
        <v/>
      </c>
    </row>
    <row r="4014">
      <c r="W4014" s="7" t="n"/>
      <c r="X4014" s="7" t="n"/>
      <c r="Z4014">
        <f>Z4013+IF(W4014="",0,IF(ISNA(MATCH(W4014,W$256:W4013,0)),1,0))</f>
        <v/>
      </c>
      <c r="AA4014">
        <f>IF(Z4014&gt;Z4013,Z4014,"")</f>
        <v/>
      </c>
      <c r="AB4014">
        <f>AB4013+IF(X4014="",0,IF(ISNA(MATCH(X4014,X$256:X4013,0)),1,0))</f>
        <v/>
      </c>
      <c r="AC4014">
        <f>IF(AB4014&gt;AB4013,AB4014,"")</f>
        <v/>
      </c>
    </row>
    <row r="4015">
      <c r="W4015" s="7" t="n"/>
      <c r="X4015" s="7" t="n"/>
      <c r="Z4015">
        <f>Z4014+IF(W4015="",0,IF(ISNA(MATCH(W4015,W$256:W4014,0)),1,0))</f>
        <v/>
      </c>
      <c r="AA4015">
        <f>IF(Z4015&gt;Z4014,Z4015,"")</f>
        <v/>
      </c>
      <c r="AB4015">
        <f>AB4014+IF(X4015="",0,IF(ISNA(MATCH(X4015,X$256:X4014,0)),1,0))</f>
        <v/>
      </c>
      <c r="AC4015">
        <f>IF(AB4015&gt;AB4014,AB4015,"")</f>
        <v/>
      </c>
    </row>
    <row r="4016">
      <c r="W4016" s="7" t="n"/>
      <c r="X4016" s="7" t="n"/>
      <c r="Z4016">
        <f>Z4015+IF(W4016="",0,IF(ISNA(MATCH(W4016,W$256:W4015,0)),1,0))</f>
        <v/>
      </c>
      <c r="AA4016">
        <f>IF(Z4016&gt;Z4015,Z4016,"")</f>
        <v/>
      </c>
      <c r="AB4016">
        <f>AB4015+IF(X4016="",0,IF(ISNA(MATCH(X4016,X$256:X4015,0)),1,0))</f>
        <v/>
      </c>
      <c r="AC4016">
        <f>IF(AB4016&gt;AB4015,AB4016,"")</f>
        <v/>
      </c>
    </row>
    <row r="4017">
      <c r="W4017" s="7" t="n"/>
      <c r="X4017" s="7" t="n"/>
      <c r="Z4017">
        <f>Z4016+IF(W4017="",0,IF(ISNA(MATCH(W4017,W$256:W4016,0)),1,0))</f>
        <v/>
      </c>
      <c r="AA4017">
        <f>IF(Z4017&gt;Z4016,Z4017,"")</f>
        <v/>
      </c>
      <c r="AB4017">
        <f>AB4016+IF(X4017="",0,IF(ISNA(MATCH(X4017,X$256:X4016,0)),1,0))</f>
        <v/>
      </c>
      <c r="AC4017">
        <f>IF(AB4017&gt;AB4016,AB4017,"")</f>
        <v/>
      </c>
    </row>
    <row r="4018">
      <c r="W4018" s="7" t="n"/>
      <c r="X4018" s="7" t="n"/>
      <c r="Z4018">
        <f>Z4017+IF(W4018="",0,IF(ISNA(MATCH(W4018,W$256:W4017,0)),1,0))</f>
        <v/>
      </c>
      <c r="AA4018">
        <f>IF(Z4018&gt;Z4017,Z4018,"")</f>
        <v/>
      </c>
      <c r="AB4018">
        <f>AB4017+IF(X4018="",0,IF(ISNA(MATCH(X4018,X$256:X4017,0)),1,0))</f>
        <v/>
      </c>
      <c r="AC4018">
        <f>IF(AB4018&gt;AB4017,AB4018,"")</f>
        <v/>
      </c>
    </row>
    <row r="4019">
      <c r="W4019" s="7" t="n"/>
      <c r="X4019" s="7" t="n"/>
      <c r="Z4019">
        <f>Z4018+IF(W4019="",0,IF(ISNA(MATCH(W4019,W$256:W4018,0)),1,0))</f>
        <v/>
      </c>
      <c r="AA4019">
        <f>IF(Z4019&gt;Z4018,Z4019,"")</f>
        <v/>
      </c>
      <c r="AB4019">
        <f>AB4018+IF(X4019="",0,IF(ISNA(MATCH(X4019,X$256:X4018,0)),1,0))</f>
        <v/>
      </c>
      <c r="AC4019">
        <f>IF(AB4019&gt;AB4018,AB4019,"")</f>
        <v/>
      </c>
    </row>
    <row r="4020">
      <c r="W4020" s="7" t="n"/>
      <c r="X4020" s="7" t="n"/>
      <c r="Z4020">
        <f>Z4019+IF(W4020="",0,IF(ISNA(MATCH(W4020,W$256:W4019,0)),1,0))</f>
        <v/>
      </c>
      <c r="AA4020">
        <f>IF(Z4020&gt;Z4019,Z4020,"")</f>
        <v/>
      </c>
      <c r="AB4020">
        <f>AB4019+IF(X4020="",0,IF(ISNA(MATCH(X4020,X$256:X4019,0)),1,0))</f>
        <v/>
      </c>
      <c r="AC4020">
        <f>IF(AB4020&gt;AB4019,AB4020,"")</f>
        <v/>
      </c>
    </row>
    <row r="4021">
      <c r="W4021" s="7" t="n"/>
      <c r="X4021" s="7" t="n"/>
      <c r="Z4021">
        <f>Z4020+IF(W4021="",0,IF(ISNA(MATCH(W4021,W$256:W4020,0)),1,0))</f>
        <v/>
      </c>
      <c r="AA4021">
        <f>IF(Z4021&gt;Z4020,Z4021,"")</f>
        <v/>
      </c>
      <c r="AB4021">
        <f>AB4020+IF(X4021="",0,IF(ISNA(MATCH(X4021,X$256:X4020,0)),1,0))</f>
        <v/>
      </c>
      <c r="AC4021">
        <f>IF(AB4021&gt;AB4020,AB4021,"")</f>
        <v/>
      </c>
    </row>
    <row r="4022">
      <c r="W4022" s="7" t="n"/>
      <c r="X4022" s="7" t="n"/>
      <c r="Z4022">
        <f>Z4021+IF(W4022="",0,IF(ISNA(MATCH(W4022,W$256:W4021,0)),1,0))</f>
        <v/>
      </c>
      <c r="AA4022">
        <f>IF(Z4022&gt;Z4021,Z4022,"")</f>
        <v/>
      </c>
      <c r="AB4022">
        <f>AB4021+IF(X4022="",0,IF(ISNA(MATCH(X4022,X$256:X4021,0)),1,0))</f>
        <v/>
      </c>
      <c r="AC4022">
        <f>IF(AB4022&gt;AB4021,AB4022,"")</f>
        <v/>
      </c>
    </row>
    <row r="4023">
      <c r="W4023" s="7" t="n"/>
      <c r="X4023" s="7" t="n"/>
      <c r="Z4023">
        <f>Z4022+IF(W4023="",0,IF(ISNA(MATCH(W4023,W$256:W4022,0)),1,0))</f>
        <v/>
      </c>
      <c r="AA4023">
        <f>IF(Z4023&gt;Z4022,Z4023,"")</f>
        <v/>
      </c>
      <c r="AB4023">
        <f>AB4022+IF(X4023="",0,IF(ISNA(MATCH(X4023,X$256:X4022,0)),1,0))</f>
        <v/>
      </c>
      <c r="AC4023">
        <f>IF(AB4023&gt;AB4022,AB4023,"")</f>
        <v/>
      </c>
    </row>
    <row r="4024">
      <c r="W4024" s="7" t="n"/>
      <c r="X4024" s="7" t="n"/>
      <c r="Z4024">
        <f>Z4023+IF(W4024="",0,IF(ISNA(MATCH(W4024,W$256:W4023,0)),1,0))</f>
        <v/>
      </c>
      <c r="AA4024">
        <f>IF(Z4024&gt;Z4023,Z4024,"")</f>
        <v/>
      </c>
      <c r="AB4024">
        <f>AB4023+IF(X4024="",0,IF(ISNA(MATCH(X4024,X$256:X4023,0)),1,0))</f>
        <v/>
      </c>
      <c r="AC4024">
        <f>IF(AB4024&gt;AB4023,AB4024,"")</f>
        <v/>
      </c>
    </row>
    <row r="4025">
      <c r="W4025" s="7" t="n"/>
      <c r="X4025" s="7" t="n"/>
      <c r="Z4025">
        <f>Z4024+IF(W4025="",0,IF(ISNA(MATCH(W4025,W$256:W4024,0)),1,0))</f>
        <v/>
      </c>
      <c r="AA4025">
        <f>IF(Z4025&gt;Z4024,Z4025,"")</f>
        <v/>
      </c>
      <c r="AB4025">
        <f>AB4024+IF(X4025="",0,IF(ISNA(MATCH(X4025,X$256:X4024,0)),1,0))</f>
        <v/>
      </c>
      <c r="AC4025">
        <f>IF(AB4025&gt;AB4024,AB4025,"")</f>
        <v/>
      </c>
    </row>
    <row r="4026">
      <c r="W4026" s="7" t="n"/>
      <c r="X4026" s="7" t="n"/>
      <c r="Z4026">
        <f>Z4025+IF(W4026="",0,IF(ISNA(MATCH(W4026,W$256:W4025,0)),1,0))</f>
        <v/>
      </c>
      <c r="AA4026">
        <f>IF(Z4026&gt;Z4025,Z4026,"")</f>
        <v/>
      </c>
      <c r="AB4026">
        <f>AB4025+IF(X4026="",0,IF(ISNA(MATCH(X4026,X$256:X4025,0)),1,0))</f>
        <v/>
      </c>
      <c r="AC4026">
        <f>IF(AB4026&gt;AB4025,AB4026,"")</f>
        <v/>
      </c>
    </row>
    <row r="4027">
      <c r="W4027" s="7" t="n"/>
      <c r="X4027" s="7" t="n"/>
      <c r="Z4027">
        <f>Z4026+IF(W4027="",0,IF(ISNA(MATCH(W4027,W$256:W4026,0)),1,0))</f>
        <v/>
      </c>
      <c r="AA4027">
        <f>IF(Z4027&gt;Z4026,Z4027,"")</f>
        <v/>
      </c>
      <c r="AB4027">
        <f>AB4026+IF(X4027="",0,IF(ISNA(MATCH(X4027,X$256:X4026,0)),1,0))</f>
        <v/>
      </c>
      <c r="AC4027">
        <f>IF(AB4027&gt;AB4026,AB4027,"")</f>
        <v/>
      </c>
    </row>
    <row r="4028">
      <c r="W4028" s="7" t="n"/>
      <c r="X4028" s="7" t="n"/>
      <c r="Z4028">
        <f>Z4027+IF(W4028="",0,IF(ISNA(MATCH(W4028,W$256:W4027,0)),1,0))</f>
        <v/>
      </c>
      <c r="AA4028">
        <f>IF(Z4028&gt;Z4027,Z4028,"")</f>
        <v/>
      </c>
      <c r="AB4028">
        <f>AB4027+IF(X4028="",0,IF(ISNA(MATCH(X4028,X$256:X4027,0)),1,0))</f>
        <v/>
      </c>
      <c r="AC4028">
        <f>IF(AB4028&gt;AB4027,AB4028,"")</f>
        <v/>
      </c>
    </row>
    <row r="4029">
      <c r="W4029" s="7" t="n"/>
      <c r="X4029" s="7" t="n"/>
      <c r="Z4029">
        <f>Z4028+IF(W4029="",0,IF(ISNA(MATCH(W4029,W$256:W4028,0)),1,0))</f>
        <v/>
      </c>
      <c r="AA4029">
        <f>IF(Z4029&gt;Z4028,Z4029,"")</f>
        <v/>
      </c>
      <c r="AB4029">
        <f>AB4028+IF(X4029="",0,IF(ISNA(MATCH(X4029,X$256:X4028,0)),1,0))</f>
        <v/>
      </c>
      <c r="AC4029">
        <f>IF(AB4029&gt;AB4028,AB4029,"")</f>
        <v/>
      </c>
    </row>
    <row r="4030">
      <c r="W4030" s="7" t="n"/>
      <c r="X4030" s="7" t="n"/>
      <c r="Z4030">
        <f>Z4029+IF(W4030="",0,IF(ISNA(MATCH(W4030,W$256:W4029,0)),1,0))</f>
        <v/>
      </c>
      <c r="AA4030">
        <f>IF(Z4030&gt;Z4029,Z4030,"")</f>
        <v/>
      </c>
      <c r="AB4030">
        <f>AB4029+IF(X4030="",0,IF(ISNA(MATCH(X4030,X$256:X4029,0)),1,0))</f>
        <v/>
      </c>
      <c r="AC4030">
        <f>IF(AB4030&gt;AB4029,AB4030,"")</f>
        <v/>
      </c>
    </row>
    <row r="4031">
      <c r="W4031" s="7" t="n"/>
      <c r="X4031" s="7" t="n"/>
      <c r="Z4031">
        <f>Z4030+IF(W4031="",0,IF(ISNA(MATCH(W4031,W$256:W4030,0)),1,0))</f>
        <v/>
      </c>
      <c r="AA4031">
        <f>IF(Z4031&gt;Z4030,Z4031,"")</f>
        <v/>
      </c>
      <c r="AB4031">
        <f>AB4030+IF(X4031="",0,IF(ISNA(MATCH(X4031,X$256:X4030,0)),1,0))</f>
        <v/>
      </c>
      <c r="AC4031">
        <f>IF(AB4031&gt;AB4030,AB4031,"")</f>
        <v/>
      </c>
    </row>
    <row r="4032">
      <c r="W4032" s="7" t="n"/>
      <c r="X4032" s="7" t="n"/>
      <c r="Z4032">
        <f>Z4031+IF(W4032="",0,IF(ISNA(MATCH(W4032,W$256:W4031,0)),1,0))</f>
        <v/>
      </c>
      <c r="AA4032">
        <f>IF(Z4032&gt;Z4031,Z4032,"")</f>
        <v/>
      </c>
      <c r="AB4032">
        <f>AB4031+IF(X4032="",0,IF(ISNA(MATCH(X4032,X$256:X4031,0)),1,0))</f>
        <v/>
      </c>
      <c r="AC4032">
        <f>IF(AB4032&gt;AB4031,AB4032,"")</f>
        <v/>
      </c>
    </row>
    <row r="4033">
      <c r="W4033" s="7" t="n"/>
      <c r="X4033" s="7" t="n"/>
      <c r="Z4033">
        <f>Z4032+IF(W4033="",0,IF(ISNA(MATCH(W4033,W$256:W4032,0)),1,0))</f>
        <v/>
      </c>
      <c r="AA4033">
        <f>IF(Z4033&gt;Z4032,Z4033,"")</f>
        <v/>
      </c>
      <c r="AB4033">
        <f>AB4032+IF(X4033="",0,IF(ISNA(MATCH(X4033,X$256:X4032,0)),1,0))</f>
        <v/>
      </c>
      <c r="AC4033">
        <f>IF(AB4033&gt;AB4032,AB4033,"")</f>
        <v/>
      </c>
    </row>
    <row r="4034">
      <c r="W4034" s="7" t="n"/>
      <c r="X4034" s="7" t="n"/>
      <c r="Z4034">
        <f>Z4033+IF(W4034="",0,IF(ISNA(MATCH(W4034,W$256:W4033,0)),1,0))</f>
        <v/>
      </c>
      <c r="AA4034">
        <f>IF(Z4034&gt;Z4033,Z4034,"")</f>
        <v/>
      </c>
      <c r="AB4034">
        <f>AB4033+IF(X4034="",0,IF(ISNA(MATCH(X4034,X$256:X4033,0)),1,0))</f>
        <v/>
      </c>
      <c r="AC4034">
        <f>IF(AB4034&gt;AB4033,AB4034,"")</f>
        <v/>
      </c>
    </row>
    <row r="4035">
      <c r="W4035" s="7" t="n"/>
      <c r="X4035" s="7" t="n"/>
      <c r="Z4035">
        <f>Z4034+IF(W4035="",0,IF(ISNA(MATCH(W4035,W$256:W4034,0)),1,0))</f>
        <v/>
      </c>
      <c r="AA4035">
        <f>IF(Z4035&gt;Z4034,Z4035,"")</f>
        <v/>
      </c>
      <c r="AB4035">
        <f>AB4034+IF(X4035="",0,IF(ISNA(MATCH(X4035,X$256:X4034,0)),1,0))</f>
        <v/>
      </c>
      <c r="AC4035">
        <f>IF(AB4035&gt;AB4034,AB4035,"")</f>
        <v/>
      </c>
    </row>
    <row r="4036">
      <c r="W4036" s="7" t="n"/>
      <c r="X4036" s="7" t="n"/>
      <c r="Z4036">
        <f>Z4035+IF(W4036="",0,IF(ISNA(MATCH(W4036,W$256:W4035,0)),1,0))</f>
        <v/>
      </c>
      <c r="AA4036">
        <f>IF(Z4036&gt;Z4035,Z4036,"")</f>
        <v/>
      </c>
      <c r="AB4036">
        <f>AB4035+IF(X4036="",0,IF(ISNA(MATCH(X4036,X$256:X4035,0)),1,0))</f>
        <v/>
      </c>
      <c r="AC4036">
        <f>IF(AB4036&gt;AB4035,AB4036,"")</f>
        <v/>
      </c>
    </row>
    <row r="4037">
      <c r="W4037" s="7" t="n"/>
      <c r="X4037" s="7" t="n"/>
      <c r="Z4037">
        <f>Z4036+IF(W4037="",0,IF(ISNA(MATCH(W4037,W$256:W4036,0)),1,0))</f>
        <v/>
      </c>
      <c r="AA4037">
        <f>IF(Z4037&gt;Z4036,Z4037,"")</f>
        <v/>
      </c>
      <c r="AB4037">
        <f>AB4036+IF(X4037="",0,IF(ISNA(MATCH(X4037,X$256:X4036,0)),1,0))</f>
        <v/>
      </c>
      <c r="AC4037">
        <f>IF(AB4037&gt;AB4036,AB4037,"")</f>
        <v/>
      </c>
    </row>
    <row r="4038">
      <c r="W4038" s="7" t="n"/>
      <c r="X4038" s="7" t="n"/>
      <c r="Z4038">
        <f>Z4037+IF(W4038="",0,IF(ISNA(MATCH(W4038,W$256:W4037,0)),1,0))</f>
        <v/>
      </c>
      <c r="AA4038">
        <f>IF(Z4038&gt;Z4037,Z4038,"")</f>
        <v/>
      </c>
      <c r="AB4038">
        <f>AB4037+IF(X4038="",0,IF(ISNA(MATCH(X4038,X$256:X4037,0)),1,0))</f>
        <v/>
      </c>
      <c r="AC4038">
        <f>IF(AB4038&gt;AB4037,AB4038,"")</f>
        <v/>
      </c>
    </row>
    <row r="4039">
      <c r="W4039" s="7" t="n"/>
      <c r="X4039" s="7" t="n"/>
      <c r="Z4039">
        <f>Z4038+IF(W4039="",0,IF(ISNA(MATCH(W4039,W$256:W4038,0)),1,0))</f>
        <v/>
      </c>
      <c r="AA4039">
        <f>IF(Z4039&gt;Z4038,Z4039,"")</f>
        <v/>
      </c>
      <c r="AB4039">
        <f>AB4038+IF(X4039="",0,IF(ISNA(MATCH(X4039,X$256:X4038,0)),1,0))</f>
        <v/>
      </c>
      <c r="AC4039">
        <f>IF(AB4039&gt;AB4038,AB4039,"")</f>
        <v/>
      </c>
    </row>
    <row r="4040">
      <c r="W4040" s="7" t="n"/>
      <c r="X4040" s="7" t="n"/>
      <c r="Z4040">
        <f>Z4039+IF(W4040="",0,IF(ISNA(MATCH(W4040,W$256:W4039,0)),1,0))</f>
        <v/>
      </c>
      <c r="AA4040">
        <f>IF(Z4040&gt;Z4039,Z4040,"")</f>
        <v/>
      </c>
      <c r="AB4040">
        <f>AB4039+IF(X4040="",0,IF(ISNA(MATCH(X4040,X$256:X4039,0)),1,0))</f>
        <v/>
      </c>
      <c r="AC4040">
        <f>IF(AB4040&gt;AB4039,AB4040,"")</f>
        <v/>
      </c>
    </row>
    <row r="4041">
      <c r="W4041" s="7" t="n"/>
      <c r="X4041" s="7" t="n"/>
      <c r="Z4041">
        <f>Z4040+IF(W4041="",0,IF(ISNA(MATCH(W4041,W$256:W4040,0)),1,0))</f>
        <v/>
      </c>
      <c r="AA4041">
        <f>IF(Z4041&gt;Z4040,Z4041,"")</f>
        <v/>
      </c>
      <c r="AB4041">
        <f>AB4040+IF(X4041="",0,IF(ISNA(MATCH(X4041,X$256:X4040,0)),1,0))</f>
        <v/>
      </c>
      <c r="AC4041">
        <f>IF(AB4041&gt;AB4040,AB4041,"")</f>
        <v/>
      </c>
    </row>
    <row r="4042">
      <c r="W4042" s="7" t="n"/>
      <c r="X4042" s="7" t="n"/>
      <c r="Z4042">
        <f>Z4041+IF(W4042="",0,IF(ISNA(MATCH(W4042,W$256:W4041,0)),1,0))</f>
        <v/>
      </c>
      <c r="AA4042">
        <f>IF(Z4042&gt;Z4041,Z4042,"")</f>
        <v/>
      </c>
      <c r="AB4042">
        <f>AB4041+IF(X4042="",0,IF(ISNA(MATCH(X4042,X$256:X4041,0)),1,0))</f>
        <v/>
      </c>
      <c r="AC4042">
        <f>IF(AB4042&gt;AB4041,AB4042,"")</f>
        <v/>
      </c>
    </row>
    <row r="4043">
      <c r="W4043" s="7" t="n"/>
      <c r="X4043" s="7" t="n"/>
      <c r="Z4043">
        <f>Z4042+IF(W4043="",0,IF(ISNA(MATCH(W4043,W$256:W4042,0)),1,0))</f>
        <v/>
      </c>
      <c r="AA4043">
        <f>IF(Z4043&gt;Z4042,Z4043,"")</f>
        <v/>
      </c>
      <c r="AB4043">
        <f>AB4042+IF(X4043="",0,IF(ISNA(MATCH(X4043,X$256:X4042,0)),1,0))</f>
        <v/>
      </c>
      <c r="AC4043">
        <f>IF(AB4043&gt;AB4042,AB4043,"")</f>
        <v/>
      </c>
    </row>
    <row r="4044">
      <c r="W4044" s="7" t="n"/>
      <c r="X4044" s="7" t="n"/>
      <c r="Z4044">
        <f>Z4043+IF(W4044="",0,IF(ISNA(MATCH(W4044,W$256:W4043,0)),1,0))</f>
        <v/>
      </c>
      <c r="AA4044">
        <f>IF(Z4044&gt;Z4043,Z4044,"")</f>
        <v/>
      </c>
      <c r="AB4044">
        <f>AB4043+IF(X4044="",0,IF(ISNA(MATCH(X4044,X$256:X4043,0)),1,0))</f>
        <v/>
      </c>
      <c r="AC4044">
        <f>IF(AB4044&gt;AB4043,AB4044,"")</f>
        <v/>
      </c>
    </row>
    <row r="4045">
      <c r="W4045" s="7" t="n"/>
      <c r="X4045" s="7" t="n"/>
      <c r="Z4045">
        <f>Z4044+IF(W4045="",0,IF(ISNA(MATCH(W4045,W$256:W4044,0)),1,0))</f>
        <v/>
      </c>
      <c r="AA4045">
        <f>IF(Z4045&gt;Z4044,Z4045,"")</f>
        <v/>
      </c>
      <c r="AB4045">
        <f>AB4044+IF(X4045="",0,IF(ISNA(MATCH(X4045,X$256:X4044,0)),1,0))</f>
        <v/>
      </c>
      <c r="AC4045">
        <f>IF(AB4045&gt;AB4044,AB4045,"")</f>
        <v/>
      </c>
    </row>
    <row r="4046">
      <c r="W4046" s="7" t="n"/>
      <c r="X4046" s="7" t="n"/>
      <c r="Z4046">
        <f>Z4045+IF(W4046="",0,IF(ISNA(MATCH(W4046,W$256:W4045,0)),1,0))</f>
        <v/>
      </c>
      <c r="AA4046">
        <f>IF(Z4046&gt;Z4045,Z4046,"")</f>
        <v/>
      </c>
      <c r="AB4046">
        <f>AB4045+IF(X4046="",0,IF(ISNA(MATCH(X4046,X$256:X4045,0)),1,0))</f>
        <v/>
      </c>
      <c r="AC4046">
        <f>IF(AB4046&gt;AB4045,AB4046,"")</f>
        <v/>
      </c>
    </row>
    <row r="4047">
      <c r="W4047" s="7" t="n"/>
      <c r="X4047" s="7" t="n"/>
      <c r="Z4047">
        <f>Z4046+IF(W4047="",0,IF(ISNA(MATCH(W4047,W$256:W4046,0)),1,0))</f>
        <v/>
      </c>
      <c r="AA4047">
        <f>IF(Z4047&gt;Z4046,Z4047,"")</f>
        <v/>
      </c>
      <c r="AB4047">
        <f>AB4046+IF(X4047="",0,IF(ISNA(MATCH(X4047,X$256:X4046,0)),1,0))</f>
        <v/>
      </c>
      <c r="AC4047">
        <f>IF(AB4047&gt;AB4046,AB4047,"")</f>
        <v/>
      </c>
    </row>
    <row r="4048">
      <c r="W4048" s="7" t="n"/>
      <c r="X4048" s="7" t="n"/>
      <c r="Z4048">
        <f>Z4047+IF(W4048="",0,IF(ISNA(MATCH(W4048,W$256:W4047,0)),1,0))</f>
        <v/>
      </c>
      <c r="AA4048">
        <f>IF(Z4048&gt;Z4047,Z4048,"")</f>
        <v/>
      </c>
      <c r="AB4048">
        <f>AB4047+IF(X4048="",0,IF(ISNA(MATCH(X4048,X$256:X4047,0)),1,0))</f>
        <v/>
      </c>
      <c r="AC4048">
        <f>IF(AB4048&gt;AB4047,AB4048,"")</f>
        <v/>
      </c>
    </row>
    <row r="4049">
      <c r="W4049" s="7" t="n"/>
      <c r="X4049" s="7" t="n"/>
      <c r="Z4049">
        <f>Z4048+IF(W4049="",0,IF(ISNA(MATCH(W4049,W$256:W4048,0)),1,0))</f>
        <v/>
      </c>
      <c r="AA4049">
        <f>IF(Z4049&gt;Z4048,Z4049,"")</f>
        <v/>
      </c>
      <c r="AB4049">
        <f>AB4048+IF(X4049="",0,IF(ISNA(MATCH(X4049,X$256:X4048,0)),1,0))</f>
        <v/>
      </c>
      <c r="AC4049">
        <f>IF(AB4049&gt;AB4048,AB4049,"")</f>
        <v/>
      </c>
    </row>
    <row r="4050">
      <c r="W4050" s="7" t="n"/>
      <c r="X4050" s="7" t="n"/>
      <c r="Z4050">
        <f>Z4049+IF(W4050="",0,IF(ISNA(MATCH(W4050,W$256:W4049,0)),1,0))</f>
        <v/>
      </c>
      <c r="AA4050">
        <f>IF(Z4050&gt;Z4049,Z4050,"")</f>
        <v/>
      </c>
      <c r="AB4050">
        <f>AB4049+IF(X4050="",0,IF(ISNA(MATCH(X4050,X$256:X4049,0)),1,0))</f>
        <v/>
      </c>
      <c r="AC4050">
        <f>IF(AB4050&gt;AB4049,AB4050,"")</f>
        <v/>
      </c>
    </row>
    <row r="4051">
      <c r="W4051" s="7" t="n"/>
      <c r="X4051" s="7" t="n"/>
      <c r="Z4051">
        <f>Z4050+IF(W4051="",0,IF(ISNA(MATCH(W4051,W$256:W4050,0)),1,0))</f>
        <v/>
      </c>
      <c r="AA4051">
        <f>IF(Z4051&gt;Z4050,Z4051,"")</f>
        <v/>
      </c>
      <c r="AB4051">
        <f>AB4050+IF(X4051="",0,IF(ISNA(MATCH(X4051,X$256:X4050,0)),1,0))</f>
        <v/>
      </c>
      <c r="AC4051">
        <f>IF(AB4051&gt;AB4050,AB4051,"")</f>
        <v/>
      </c>
    </row>
    <row r="4052">
      <c r="W4052" s="7" t="n"/>
      <c r="X4052" s="7" t="n"/>
      <c r="Z4052">
        <f>Z4051+IF(W4052="",0,IF(ISNA(MATCH(W4052,W$256:W4051,0)),1,0))</f>
        <v/>
      </c>
      <c r="AA4052">
        <f>IF(Z4052&gt;Z4051,Z4052,"")</f>
        <v/>
      </c>
      <c r="AB4052">
        <f>AB4051+IF(X4052="",0,IF(ISNA(MATCH(X4052,X$256:X4051,0)),1,0))</f>
        <v/>
      </c>
      <c r="AC4052">
        <f>IF(AB4052&gt;AB4051,AB4052,"")</f>
        <v/>
      </c>
    </row>
    <row r="4053">
      <c r="W4053" s="7" t="n"/>
      <c r="X4053" s="7" t="n"/>
      <c r="Z4053">
        <f>Z4052+IF(W4053="",0,IF(ISNA(MATCH(W4053,W$256:W4052,0)),1,0))</f>
        <v/>
      </c>
      <c r="AA4053">
        <f>IF(Z4053&gt;Z4052,Z4053,"")</f>
        <v/>
      </c>
      <c r="AB4053">
        <f>AB4052+IF(X4053="",0,IF(ISNA(MATCH(X4053,X$256:X4052,0)),1,0))</f>
        <v/>
      </c>
      <c r="AC4053">
        <f>IF(AB4053&gt;AB4052,AB4053,"")</f>
        <v/>
      </c>
    </row>
    <row r="4054">
      <c r="W4054" s="7" t="n"/>
      <c r="X4054" s="7" t="n"/>
      <c r="Z4054">
        <f>Z4053+IF(W4054="",0,IF(ISNA(MATCH(W4054,W$256:W4053,0)),1,0))</f>
        <v/>
      </c>
      <c r="AA4054">
        <f>IF(Z4054&gt;Z4053,Z4054,"")</f>
        <v/>
      </c>
      <c r="AB4054">
        <f>AB4053+IF(X4054="",0,IF(ISNA(MATCH(X4054,X$256:X4053,0)),1,0))</f>
        <v/>
      </c>
      <c r="AC4054">
        <f>IF(AB4054&gt;AB4053,AB4054,"")</f>
        <v/>
      </c>
    </row>
    <row r="4055">
      <c r="W4055" s="7" t="n"/>
      <c r="X4055" s="7" t="n"/>
      <c r="Z4055">
        <f>Z4054+IF(W4055="",0,IF(ISNA(MATCH(W4055,W$256:W4054,0)),1,0))</f>
        <v/>
      </c>
      <c r="AA4055">
        <f>IF(Z4055&gt;Z4054,Z4055,"")</f>
        <v/>
      </c>
      <c r="AB4055">
        <f>AB4054+IF(X4055="",0,IF(ISNA(MATCH(X4055,X$256:X4054,0)),1,0))</f>
        <v/>
      </c>
      <c r="AC4055">
        <f>IF(AB4055&gt;AB4054,AB4055,"")</f>
        <v/>
      </c>
    </row>
    <row r="4056">
      <c r="W4056" s="7" t="n"/>
      <c r="X4056" s="7" t="n"/>
      <c r="Z4056">
        <f>Z4055+IF(W4056="",0,IF(ISNA(MATCH(W4056,W$256:W4055,0)),1,0))</f>
        <v/>
      </c>
      <c r="AA4056">
        <f>IF(Z4056&gt;Z4055,Z4056,"")</f>
        <v/>
      </c>
      <c r="AB4056">
        <f>AB4055+IF(X4056="",0,IF(ISNA(MATCH(X4056,X$256:X4055,0)),1,0))</f>
        <v/>
      </c>
      <c r="AC4056">
        <f>IF(AB4056&gt;AB4055,AB4056,"")</f>
        <v/>
      </c>
    </row>
    <row r="4057">
      <c r="W4057" s="7" t="n"/>
      <c r="X4057" s="7" t="n"/>
      <c r="Z4057">
        <f>Z4056+IF(W4057="",0,IF(ISNA(MATCH(W4057,W$256:W4056,0)),1,0))</f>
        <v/>
      </c>
      <c r="AA4057">
        <f>IF(Z4057&gt;Z4056,Z4057,"")</f>
        <v/>
      </c>
      <c r="AB4057">
        <f>AB4056+IF(X4057="",0,IF(ISNA(MATCH(X4057,X$256:X4056,0)),1,0))</f>
        <v/>
      </c>
      <c r="AC4057">
        <f>IF(AB4057&gt;AB4056,AB4057,"")</f>
        <v/>
      </c>
    </row>
    <row r="4058">
      <c r="W4058" s="7" t="n"/>
      <c r="X4058" s="7" t="n"/>
      <c r="Z4058">
        <f>Z4057+IF(W4058="",0,IF(ISNA(MATCH(W4058,W$256:W4057,0)),1,0))</f>
        <v/>
      </c>
      <c r="AA4058">
        <f>IF(Z4058&gt;Z4057,Z4058,"")</f>
        <v/>
      </c>
      <c r="AB4058">
        <f>AB4057+IF(X4058="",0,IF(ISNA(MATCH(X4058,X$256:X4057,0)),1,0))</f>
        <v/>
      </c>
      <c r="AC4058">
        <f>IF(AB4058&gt;AB4057,AB4058,"")</f>
        <v/>
      </c>
    </row>
    <row r="4059">
      <c r="W4059" s="7" t="n"/>
      <c r="X4059" s="7" t="n"/>
      <c r="Z4059">
        <f>Z4058+IF(W4059="",0,IF(ISNA(MATCH(W4059,W$256:W4058,0)),1,0))</f>
        <v/>
      </c>
      <c r="AA4059">
        <f>IF(Z4059&gt;Z4058,Z4059,"")</f>
        <v/>
      </c>
      <c r="AB4059">
        <f>AB4058+IF(X4059="",0,IF(ISNA(MATCH(X4059,X$256:X4058,0)),1,0))</f>
        <v/>
      </c>
      <c r="AC4059">
        <f>IF(AB4059&gt;AB4058,AB4059,"")</f>
        <v/>
      </c>
    </row>
    <row r="4060">
      <c r="W4060" s="7" t="n"/>
      <c r="X4060" s="7" t="n"/>
      <c r="Z4060">
        <f>Z4059+IF(W4060="",0,IF(ISNA(MATCH(W4060,W$256:W4059,0)),1,0))</f>
        <v/>
      </c>
      <c r="AA4060">
        <f>IF(Z4060&gt;Z4059,Z4060,"")</f>
        <v/>
      </c>
      <c r="AB4060">
        <f>AB4059+IF(X4060="",0,IF(ISNA(MATCH(X4060,X$256:X4059,0)),1,0))</f>
        <v/>
      </c>
      <c r="AC4060">
        <f>IF(AB4060&gt;AB4059,AB4060,"")</f>
        <v/>
      </c>
    </row>
    <row r="4061">
      <c r="W4061" s="7" t="n"/>
      <c r="X4061" s="7" t="n"/>
      <c r="Z4061">
        <f>Z4060+IF(W4061="",0,IF(ISNA(MATCH(W4061,W$256:W4060,0)),1,0))</f>
        <v/>
      </c>
      <c r="AA4061">
        <f>IF(Z4061&gt;Z4060,Z4061,"")</f>
        <v/>
      </c>
      <c r="AB4061">
        <f>AB4060+IF(X4061="",0,IF(ISNA(MATCH(X4061,X$256:X4060,0)),1,0))</f>
        <v/>
      </c>
      <c r="AC4061">
        <f>IF(AB4061&gt;AB4060,AB4061,"")</f>
        <v/>
      </c>
    </row>
    <row r="4062">
      <c r="W4062" s="7" t="n"/>
      <c r="X4062" s="7" t="n"/>
      <c r="Z4062">
        <f>Z4061+IF(W4062="",0,IF(ISNA(MATCH(W4062,W$256:W4061,0)),1,0))</f>
        <v/>
      </c>
      <c r="AA4062">
        <f>IF(Z4062&gt;Z4061,Z4062,"")</f>
        <v/>
      </c>
      <c r="AB4062">
        <f>AB4061+IF(X4062="",0,IF(ISNA(MATCH(X4062,X$256:X4061,0)),1,0))</f>
        <v/>
      </c>
      <c r="AC4062">
        <f>IF(AB4062&gt;AB4061,AB4062,"")</f>
        <v/>
      </c>
    </row>
    <row r="4063">
      <c r="W4063" s="7" t="n"/>
      <c r="X4063" s="7" t="n"/>
      <c r="Z4063">
        <f>Z4062+IF(W4063="",0,IF(ISNA(MATCH(W4063,W$256:W4062,0)),1,0))</f>
        <v/>
      </c>
      <c r="AA4063">
        <f>IF(Z4063&gt;Z4062,Z4063,"")</f>
        <v/>
      </c>
      <c r="AB4063">
        <f>AB4062+IF(X4063="",0,IF(ISNA(MATCH(X4063,X$256:X4062,0)),1,0))</f>
        <v/>
      </c>
      <c r="AC4063">
        <f>IF(AB4063&gt;AB4062,AB4063,"")</f>
        <v/>
      </c>
    </row>
    <row r="4064">
      <c r="W4064" s="7" t="n"/>
      <c r="X4064" s="7" t="n"/>
      <c r="Z4064">
        <f>Z4063+IF(W4064="",0,IF(ISNA(MATCH(W4064,W$256:W4063,0)),1,0))</f>
        <v/>
      </c>
      <c r="AA4064">
        <f>IF(Z4064&gt;Z4063,Z4064,"")</f>
        <v/>
      </c>
      <c r="AB4064">
        <f>AB4063+IF(X4064="",0,IF(ISNA(MATCH(X4064,X$256:X4063,0)),1,0))</f>
        <v/>
      </c>
      <c r="AC4064">
        <f>IF(AB4064&gt;AB4063,AB4064,"")</f>
        <v/>
      </c>
    </row>
    <row r="4065">
      <c r="W4065" s="7" t="n"/>
      <c r="X4065" s="7" t="n"/>
      <c r="Z4065">
        <f>Z4064+IF(W4065="",0,IF(ISNA(MATCH(W4065,W$256:W4064,0)),1,0))</f>
        <v/>
      </c>
      <c r="AA4065">
        <f>IF(Z4065&gt;Z4064,Z4065,"")</f>
        <v/>
      </c>
      <c r="AB4065">
        <f>AB4064+IF(X4065="",0,IF(ISNA(MATCH(X4065,X$256:X4064,0)),1,0))</f>
        <v/>
      </c>
      <c r="AC4065">
        <f>IF(AB4065&gt;AB4064,AB4065,"")</f>
        <v/>
      </c>
    </row>
    <row r="4066">
      <c r="W4066" s="7" t="n"/>
      <c r="X4066" s="7" t="n"/>
      <c r="Z4066">
        <f>Z4065+IF(W4066="",0,IF(ISNA(MATCH(W4066,W$256:W4065,0)),1,0))</f>
        <v/>
      </c>
      <c r="AA4066">
        <f>IF(Z4066&gt;Z4065,Z4066,"")</f>
        <v/>
      </c>
      <c r="AB4066">
        <f>AB4065+IF(X4066="",0,IF(ISNA(MATCH(X4066,X$256:X4065,0)),1,0))</f>
        <v/>
      </c>
      <c r="AC4066">
        <f>IF(AB4066&gt;AB4065,AB4066,"")</f>
        <v/>
      </c>
    </row>
    <row r="4067">
      <c r="W4067" s="7" t="n"/>
      <c r="X4067" s="7" t="n"/>
      <c r="Z4067">
        <f>Z4066+IF(W4067="",0,IF(ISNA(MATCH(W4067,W$256:W4066,0)),1,0))</f>
        <v/>
      </c>
      <c r="AA4067">
        <f>IF(Z4067&gt;Z4066,Z4067,"")</f>
        <v/>
      </c>
      <c r="AB4067">
        <f>AB4066+IF(X4067="",0,IF(ISNA(MATCH(X4067,X$256:X4066,0)),1,0))</f>
        <v/>
      </c>
      <c r="AC4067">
        <f>IF(AB4067&gt;AB4066,AB4067,"")</f>
        <v/>
      </c>
    </row>
    <row r="4068">
      <c r="W4068" s="7" t="n"/>
      <c r="X4068" s="7" t="n"/>
      <c r="Z4068">
        <f>Z4067+IF(W4068="",0,IF(ISNA(MATCH(W4068,W$256:W4067,0)),1,0))</f>
        <v/>
      </c>
      <c r="AA4068">
        <f>IF(Z4068&gt;Z4067,Z4068,"")</f>
        <v/>
      </c>
      <c r="AB4068">
        <f>AB4067+IF(X4068="",0,IF(ISNA(MATCH(X4068,X$256:X4067,0)),1,0))</f>
        <v/>
      </c>
      <c r="AC4068">
        <f>IF(AB4068&gt;AB4067,AB4068,"")</f>
        <v/>
      </c>
    </row>
    <row r="4069">
      <c r="W4069" s="7" t="n"/>
      <c r="X4069" s="7" t="n"/>
      <c r="Z4069">
        <f>Z4068+IF(W4069="",0,IF(ISNA(MATCH(W4069,W$256:W4068,0)),1,0))</f>
        <v/>
      </c>
      <c r="AA4069">
        <f>IF(Z4069&gt;Z4068,Z4069,"")</f>
        <v/>
      </c>
      <c r="AB4069">
        <f>AB4068+IF(X4069="",0,IF(ISNA(MATCH(X4069,X$256:X4068,0)),1,0))</f>
        <v/>
      </c>
      <c r="AC4069">
        <f>IF(AB4069&gt;AB4068,AB4069,"")</f>
        <v/>
      </c>
    </row>
    <row r="4070">
      <c r="W4070" s="7" t="n"/>
      <c r="X4070" s="7" t="n"/>
      <c r="Z4070">
        <f>Z4069+IF(W4070="",0,IF(ISNA(MATCH(W4070,W$256:W4069,0)),1,0))</f>
        <v/>
      </c>
      <c r="AA4070">
        <f>IF(Z4070&gt;Z4069,Z4070,"")</f>
        <v/>
      </c>
      <c r="AB4070">
        <f>AB4069+IF(X4070="",0,IF(ISNA(MATCH(X4070,X$256:X4069,0)),1,0))</f>
        <v/>
      </c>
      <c r="AC4070">
        <f>IF(AB4070&gt;AB4069,AB4070,"")</f>
        <v/>
      </c>
    </row>
    <row r="4071">
      <c r="W4071" s="7" t="n"/>
      <c r="X4071" s="7" t="n"/>
      <c r="Z4071">
        <f>Z4070+IF(W4071="",0,IF(ISNA(MATCH(W4071,W$256:W4070,0)),1,0))</f>
        <v/>
      </c>
      <c r="AA4071">
        <f>IF(Z4071&gt;Z4070,Z4071,"")</f>
        <v/>
      </c>
      <c r="AB4071">
        <f>AB4070+IF(X4071="",0,IF(ISNA(MATCH(X4071,X$256:X4070,0)),1,0))</f>
        <v/>
      </c>
      <c r="AC4071">
        <f>IF(AB4071&gt;AB4070,AB4071,"")</f>
        <v/>
      </c>
    </row>
    <row r="4072">
      <c r="W4072" s="7" t="n"/>
      <c r="X4072" s="7" t="n"/>
      <c r="Z4072">
        <f>Z4071+IF(W4072="",0,IF(ISNA(MATCH(W4072,W$256:W4071,0)),1,0))</f>
        <v/>
      </c>
      <c r="AA4072">
        <f>IF(Z4072&gt;Z4071,Z4072,"")</f>
        <v/>
      </c>
      <c r="AB4072">
        <f>AB4071+IF(X4072="",0,IF(ISNA(MATCH(X4072,X$256:X4071,0)),1,0))</f>
        <v/>
      </c>
      <c r="AC4072">
        <f>IF(AB4072&gt;AB4071,AB4072,"")</f>
        <v/>
      </c>
    </row>
    <row r="4073">
      <c r="W4073" s="7" t="n"/>
      <c r="X4073" s="7" t="n"/>
      <c r="Z4073">
        <f>Z4072+IF(W4073="",0,IF(ISNA(MATCH(W4073,W$256:W4072,0)),1,0))</f>
        <v/>
      </c>
      <c r="AA4073">
        <f>IF(Z4073&gt;Z4072,Z4073,"")</f>
        <v/>
      </c>
      <c r="AB4073">
        <f>AB4072+IF(X4073="",0,IF(ISNA(MATCH(X4073,X$256:X4072,0)),1,0))</f>
        <v/>
      </c>
      <c r="AC4073">
        <f>IF(AB4073&gt;AB4072,AB4073,"")</f>
        <v/>
      </c>
    </row>
    <row r="4074">
      <c r="W4074" s="7" t="n"/>
      <c r="X4074" s="7" t="n"/>
      <c r="Z4074">
        <f>Z4073+IF(W4074="",0,IF(ISNA(MATCH(W4074,W$256:W4073,0)),1,0))</f>
        <v/>
      </c>
      <c r="AA4074">
        <f>IF(Z4074&gt;Z4073,Z4074,"")</f>
        <v/>
      </c>
      <c r="AB4074">
        <f>AB4073+IF(X4074="",0,IF(ISNA(MATCH(X4074,X$256:X4073,0)),1,0))</f>
        <v/>
      </c>
      <c r="AC4074">
        <f>IF(AB4074&gt;AB4073,AB4074,"")</f>
        <v/>
      </c>
    </row>
    <row r="4075">
      <c r="W4075" s="7" t="n"/>
      <c r="X4075" s="7" t="n"/>
      <c r="Z4075">
        <f>Z4074+IF(W4075="",0,IF(ISNA(MATCH(W4075,W$256:W4074,0)),1,0))</f>
        <v/>
      </c>
      <c r="AA4075">
        <f>IF(Z4075&gt;Z4074,Z4075,"")</f>
        <v/>
      </c>
      <c r="AB4075">
        <f>AB4074+IF(X4075="",0,IF(ISNA(MATCH(X4075,X$256:X4074,0)),1,0))</f>
        <v/>
      </c>
      <c r="AC4075">
        <f>IF(AB4075&gt;AB4074,AB4075,"")</f>
        <v/>
      </c>
    </row>
    <row r="4076">
      <c r="W4076" s="7" t="n"/>
      <c r="X4076" s="7" t="n"/>
      <c r="Z4076">
        <f>Z4075+IF(W4076="",0,IF(ISNA(MATCH(W4076,W$256:W4075,0)),1,0))</f>
        <v/>
      </c>
      <c r="AA4076">
        <f>IF(Z4076&gt;Z4075,Z4076,"")</f>
        <v/>
      </c>
      <c r="AB4076">
        <f>AB4075+IF(X4076="",0,IF(ISNA(MATCH(X4076,X$256:X4075,0)),1,0))</f>
        <v/>
      </c>
      <c r="AC4076">
        <f>IF(AB4076&gt;AB4075,AB4076,"")</f>
        <v/>
      </c>
    </row>
    <row r="4077">
      <c r="W4077" s="7" t="n"/>
      <c r="X4077" s="7" t="n"/>
      <c r="Z4077">
        <f>Z4076+IF(W4077="",0,IF(ISNA(MATCH(W4077,W$256:W4076,0)),1,0))</f>
        <v/>
      </c>
      <c r="AA4077">
        <f>IF(Z4077&gt;Z4076,Z4077,"")</f>
        <v/>
      </c>
      <c r="AB4077">
        <f>AB4076+IF(X4077="",0,IF(ISNA(MATCH(X4077,X$256:X4076,0)),1,0))</f>
        <v/>
      </c>
      <c r="AC4077">
        <f>IF(AB4077&gt;AB4076,AB4077,"")</f>
        <v/>
      </c>
    </row>
    <row r="4078">
      <c r="W4078" s="7" t="n"/>
      <c r="X4078" s="7" t="n"/>
      <c r="Z4078">
        <f>Z4077+IF(W4078="",0,IF(ISNA(MATCH(W4078,W$256:W4077,0)),1,0))</f>
        <v/>
      </c>
      <c r="AA4078">
        <f>IF(Z4078&gt;Z4077,Z4078,"")</f>
        <v/>
      </c>
      <c r="AB4078">
        <f>AB4077+IF(X4078="",0,IF(ISNA(MATCH(X4078,X$256:X4077,0)),1,0))</f>
        <v/>
      </c>
      <c r="AC4078">
        <f>IF(AB4078&gt;AB4077,AB4078,"")</f>
        <v/>
      </c>
    </row>
    <row r="4079">
      <c r="W4079" s="7" t="n"/>
      <c r="X4079" s="7" t="n"/>
      <c r="Z4079">
        <f>Z4078+IF(W4079="",0,IF(ISNA(MATCH(W4079,W$256:W4078,0)),1,0))</f>
        <v/>
      </c>
      <c r="AA4079">
        <f>IF(Z4079&gt;Z4078,Z4079,"")</f>
        <v/>
      </c>
      <c r="AB4079">
        <f>AB4078+IF(X4079="",0,IF(ISNA(MATCH(X4079,X$256:X4078,0)),1,0))</f>
        <v/>
      </c>
      <c r="AC4079">
        <f>IF(AB4079&gt;AB4078,AB4079,"")</f>
        <v/>
      </c>
    </row>
    <row r="4080">
      <c r="W4080" s="7" t="n"/>
      <c r="X4080" s="7" t="n"/>
      <c r="Z4080">
        <f>Z4079+IF(W4080="",0,IF(ISNA(MATCH(W4080,W$256:W4079,0)),1,0))</f>
        <v/>
      </c>
      <c r="AA4080">
        <f>IF(Z4080&gt;Z4079,Z4080,"")</f>
        <v/>
      </c>
      <c r="AB4080">
        <f>AB4079+IF(X4080="",0,IF(ISNA(MATCH(X4080,X$256:X4079,0)),1,0))</f>
        <v/>
      </c>
      <c r="AC4080">
        <f>IF(AB4080&gt;AB4079,AB4080,"")</f>
        <v/>
      </c>
    </row>
    <row r="4081">
      <c r="W4081" s="7" t="n"/>
      <c r="X4081" s="7" t="n"/>
      <c r="Z4081">
        <f>Z4080+IF(W4081="",0,IF(ISNA(MATCH(W4081,W$256:W4080,0)),1,0))</f>
        <v/>
      </c>
      <c r="AA4081">
        <f>IF(Z4081&gt;Z4080,Z4081,"")</f>
        <v/>
      </c>
      <c r="AB4081">
        <f>AB4080+IF(X4081="",0,IF(ISNA(MATCH(X4081,X$256:X4080,0)),1,0))</f>
        <v/>
      </c>
      <c r="AC4081">
        <f>IF(AB4081&gt;AB4080,AB4081,"")</f>
        <v/>
      </c>
    </row>
    <row r="4082">
      <c r="W4082" s="7" t="n"/>
      <c r="X4082" s="7" t="n"/>
      <c r="Z4082">
        <f>Z4081+IF(W4082="",0,IF(ISNA(MATCH(W4082,W$256:W4081,0)),1,0))</f>
        <v/>
      </c>
      <c r="AA4082">
        <f>IF(Z4082&gt;Z4081,Z4082,"")</f>
        <v/>
      </c>
      <c r="AB4082">
        <f>AB4081+IF(X4082="",0,IF(ISNA(MATCH(X4082,X$256:X4081,0)),1,0))</f>
        <v/>
      </c>
      <c r="AC4082">
        <f>IF(AB4082&gt;AB4081,AB4082,"")</f>
        <v/>
      </c>
    </row>
    <row r="4083">
      <c r="W4083" s="7" t="n"/>
      <c r="X4083" s="7" t="n"/>
      <c r="Z4083">
        <f>Z4082+IF(W4083="",0,IF(ISNA(MATCH(W4083,W$256:W4082,0)),1,0))</f>
        <v/>
      </c>
      <c r="AA4083">
        <f>IF(Z4083&gt;Z4082,Z4083,"")</f>
        <v/>
      </c>
      <c r="AB4083">
        <f>AB4082+IF(X4083="",0,IF(ISNA(MATCH(X4083,X$256:X4082,0)),1,0))</f>
        <v/>
      </c>
      <c r="AC4083">
        <f>IF(AB4083&gt;AB4082,AB4083,"")</f>
        <v/>
      </c>
    </row>
    <row r="4084">
      <c r="W4084" s="7" t="n"/>
      <c r="X4084" s="7" t="n"/>
      <c r="Z4084">
        <f>Z4083+IF(W4084="",0,IF(ISNA(MATCH(W4084,W$256:W4083,0)),1,0))</f>
        <v/>
      </c>
      <c r="AA4084">
        <f>IF(Z4084&gt;Z4083,Z4084,"")</f>
        <v/>
      </c>
      <c r="AB4084">
        <f>AB4083+IF(X4084="",0,IF(ISNA(MATCH(X4084,X$256:X4083,0)),1,0))</f>
        <v/>
      </c>
      <c r="AC4084">
        <f>IF(AB4084&gt;AB4083,AB4084,"")</f>
        <v/>
      </c>
    </row>
    <row r="4085">
      <c r="W4085" s="7" t="n"/>
      <c r="X4085" s="7" t="n"/>
      <c r="Z4085">
        <f>Z4084+IF(W4085="",0,IF(ISNA(MATCH(W4085,W$256:W4084,0)),1,0))</f>
        <v/>
      </c>
      <c r="AA4085">
        <f>IF(Z4085&gt;Z4084,Z4085,"")</f>
        <v/>
      </c>
      <c r="AB4085">
        <f>AB4084+IF(X4085="",0,IF(ISNA(MATCH(X4085,X$256:X4084,0)),1,0))</f>
        <v/>
      </c>
      <c r="AC4085">
        <f>IF(AB4085&gt;AB4084,AB4085,"")</f>
        <v/>
      </c>
    </row>
    <row r="4086">
      <c r="W4086" s="7" t="n"/>
      <c r="X4086" s="7" t="n"/>
      <c r="Z4086">
        <f>Z4085+IF(W4086="",0,IF(ISNA(MATCH(W4086,W$256:W4085,0)),1,0))</f>
        <v/>
      </c>
      <c r="AA4086">
        <f>IF(Z4086&gt;Z4085,Z4086,"")</f>
        <v/>
      </c>
      <c r="AB4086">
        <f>AB4085+IF(X4086="",0,IF(ISNA(MATCH(X4086,X$256:X4085,0)),1,0))</f>
        <v/>
      </c>
      <c r="AC4086">
        <f>IF(AB4086&gt;AB4085,AB4086,"")</f>
        <v/>
      </c>
    </row>
    <row r="4087">
      <c r="W4087" s="7" t="n"/>
      <c r="X4087" s="7" t="n"/>
      <c r="Z4087">
        <f>Z4086+IF(W4087="",0,IF(ISNA(MATCH(W4087,W$256:W4086,0)),1,0))</f>
        <v/>
      </c>
      <c r="AA4087">
        <f>IF(Z4087&gt;Z4086,Z4087,"")</f>
        <v/>
      </c>
      <c r="AB4087">
        <f>AB4086+IF(X4087="",0,IF(ISNA(MATCH(X4087,X$256:X4086,0)),1,0))</f>
        <v/>
      </c>
      <c r="AC4087">
        <f>IF(AB4087&gt;AB4086,AB4087,"")</f>
        <v/>
      </c>
    </row>
    <row r="4088">
      <c r="W4088" s="7" t="n"/>
      <c r="X4088" s="7" t="n"/>
      <c r="Z4088">
        <f>Z4087+IF(W4088="",0,IF(ISNA(MATCH(W4088,W$256:W4087,0)),1,0))</f>
        <v/>
      </c>
      <c r="AA4088">
        <f>IF(Z4088&gt;Z4087,Z4088,"")</f>
        <v/>
      </c>
      <c r="AB4088">
        <f>AB4087+IF(X4088="",0,IF(ISNA(MATCH(X4088,X$256:X4087,0)),1,0))</f>
        <v/>
      </c>
      <c r="AC4088">
        <f>IF(AB4088&gt;AB4087,AB4088,"")</f>
        <v/>
      </c>
    </row>
    <row r="4089">
      <c r="W4089" s="7" t="n"/>
      <c r="X4089" s="7" t="n"/>
      <c r="Z4089">
        <f>Z4088+IF(W4089="",0,IF(ISNA(MATCH(W4089,W$256:W4088,0)),1,0))</f>
        <v/>
      </c>
      <c r="AA4089">
        <f>IF(Z4089&gt;Z4088,Z4089,"")</f>
        <v/>
      </c>
      <c r="AB4089">
        <f>AB4088+IF(X4089="",0,IF(ISNA(MATCH(X4089,X$256:X4088,0)),1,0))</f>
        <v/>
      </c>
      <c r="AC4089">
        <f>IF(AB4089&gt;AB4088,AB4089,"")</f>
        <v/>
      </c>
    </row>
    <row r="4090">
      <c r="W4090" s="7" t="n"/>
      <c r="X4090" s="7" t="n"/>
      <c r="Z4090">
        <f>Z4089+IF(W4090="",0,IF(ISNA(MATCH(W4090,W$256:W4089,0)),1,0))</f>
        <v/>
      </c>
      <c r="AA4090">
        <f>IF(Z4090&gt;Z4089,Z4090,"")</f>
        <v/>
      </c>
      <c r="AB4090">
        <f>AB4089+IF(X4090="",0,IF(ISNA(MATCH(X4090,X$256:X4089,0)),1,0))</f>
        <v/>
      </c>
      <c r="AC4090">
        <f>IF(AB4090&gt;AB4089,AB4090,"")</f>
        <v/>
      </c>
    </row>
    <row r="4091">
      <c r="W4091" s="7" t="n"/>
      <c r="X4091" s="7" t="n"/>
      <c r="Z4091">
        <f>Z4090+IF(W4091="",0,IF(ISNA(MATCH(W4091,W$256:W4090,0)),1,0))</f>
        <v/>
      </c>
      <c r="AA4091">
        <f>IF(Z4091&gt;Z4090,Z4091,"")</f>
        <v/>
      </c>
      <c r="AB4091">
        <f>AB4090+IF(X4091="",0,IF(ISNA(MATCH(X4091,X$256:X4090,0)),1,0))</f>
        <v/>
      </c>
      <c r="AC4091">
        <f>IF(AB4091&gt;AB4090,AB4091,"")</f>
        <v/>
      </c>
    </row>
    <row r="4092">
      <c r="W4092" s="7" t="n"/>
      <c r="X4092" s="7" t="n"/>
      <c r="Z4092">
        <f>Z4091+IF(W4092="",0,IF(ISNA(MATCH(W4092,W$256:W4091,0)),1,0))</f>
        <v/>
      </c>
      <c r="AA4092">
        <f>IF(Z4092&gt;Z4091,Z4092,"")</f>
        <v/>
      </c>
      <c r="AB4092">
        <f>AB4091+IF(X4092="",0,IF(ISNA(MATCH(X4092,X$256:X4091,0)),1,0))</f>
        <v/>
      </c>
      <c r="AC4092">
        <f>IF(AB4092&gt;AB4091,AB4092,"")</f>
        <v/>
      </c>
    </row>
    <row r="4093">
      <c r="W4093" s="7" t="n"/>
      <c r="X4093" s="7" t="n"/>
      <c r="Z4093">
        <f>Z4092+IF(W4093="",0,IF(ISNA(MATCH(W4093,W$256:W4092,0)),1,0))</f>
        <v/>
      </c>
      <c r="AA4093">
        <f>IF(Z4093&gt;Z4092,Z4093,"")</f>
        <v/>
      </c>
      <c r="AB4093">
        <f>AB4092+IF(X4093="",0,IF(ISNA(MATCH(X4093,X$256:X4092,0)),1,0))</f>
        <v/>
      </c>
      <c r="AC4093">
        <f>IF(AB4093&gt;AB4092,AB4093,"")</f>
        <v/>
      </c>
    </row>
    <row r="4094">
      <c r="W4094" s="7" t="n"/>
      <c r="X4094" s="7" t="n"/>
      <c r="Z4094">
        <f>Z4093+IF(W4094="",0,IF(ISNA(MATCH(W4094,W$256:W4093,0)),1,0))</f>
        <v/>
      </c>
      <c r="AA4094">
        <f>IF(Z4094&gt;Z4093,Z4094,"")</f>
        <v/>
      </c>
      <c r="AB4094">
        <f>AB4093+IF(X4094="",0,IF(ISNA(MATCH(X4094,X$256:X4093,0)),1,0))</f>
        <v/>
      </c>
      <c r="AC4094">
        <f>IF(AB4094&gt;AB4093,AB4094,"")</f>
        <v/>
      </c>
    </row>
    <row r="4095">
      <c r="W4095" s="7" t="n"/>
      <c r="X4095" s="7" t="n"/>
      <c r="Z4095">
        <f>Z4094+IF(W4095="",0,IF(ISNA(MATCH(W4095,W$256:W4094,0)),1,0))</f>
        <v/>
      </c>
      <c r="AA4095">
        <f>IF(Z4095&gt;Z4094,Z4095,"")</f>
        <v/>
      </c>
      <c r="AB4095">
        <f>AB4094+IF(X4095="",0,IF(ISNA(MATCH(X4095,X$256:X4094,0)),1,0))</f>
        <v/>
      </c>
      <c r="AC4095">
        <f>IF(AB4095&gt;AB4094,AB4095,"")</f>
        <v/>
      </c>
    </row>
    <row r="4096">
      <c r="W4096" s="7" t="n"/>
      <c r="X4096" s="7" t="n"/>
      <c r="Z4096">
        <f>Z4095+IF(W4096="",0,IF(ISNA(MATCH(W4096,W$256:W4095,0)),1,0))</f>
        <v/>
      </c>
      <c r="AA4096">
        <f>IF(Z4096&gt;Z4095,Z4096,"")</f>
        <v/>
      </c>
      <c r="AB4096">
        <f>AB4095+IF(X4096="",0,IF(ISNA(MATCH(X4096,X$256:X4095,0)),1,0))</f>
        <v/>
      </c>
      <c r="AC4096">
        <f>IF(AB4096&gt;AB4095,AB4096,"")</f>
        <v/>
      </c>
    </row>
    <row r="4097">
      <c r="W4097" s="7" t="n"/>
      <c r="X4097" s="7" t="n"/>
      <c r="Z4097">
        <f>Z4096+IF(W4097="",0,IF(ISNA(MATCH(W4097,W$256:W4096,0)),1,0))</f>
        <v/>
      </c>
      <c r="AA4097">
        <f>IF(Z4097&gt;Z4096,Z4097,"")</f>
        <v/>
      </c>
      <c r="AB4097">
        <f>AB4096+IF(X4097="",0,IF(ISNA(MATCH(X4097,X$256:X4096,0)),1,0))</f>
        <v/>
      </c>
      <c r="AC4097">
        <f>IF(AB4097&gt;AB4096,AB4097,"")</f>
        <v/>
      </c>
    </row>
    <row r="4098">
      <c r="W4098" s="7" t="n"/>
      <c r="X4098" s="7" t="n"/>
      <c r="Z4098">
        <f>Z4097+IF(W4098="",0,IF(ISNA(MATCH(W4098,W$256:W4097,0)),1,0))</f>
        <v/>
      </c>
      <c r="AA4098">
        <f>IF(Z4098&gt;Z4097,Z4098,"")</f>
        <v/>
      </c>
      <c r="AB4098">
        <f>AB4097+IF(X4098="",0,IF(ISNA(MATCH(X4098,X$256:X4097,0)),1,0))</f>
        <v/>
      </c>
      <c r="AC4098">
        <f>IF(AB4098&gt;AB4097,AB4098,"")</f>
        <v/>
      </c>
    </row>
    <row r="4099">
      <c r="W4099" s="7" t="n"/>
      <c r="X4099" s="7" t="n"/>
      <c r="Z4099">
        <f>Z4098+IF(W4099="",0,IF(ISNA(MATCH(W4099,W$256:W4098,0)),1,0))</f>
        <v/>
      </c>
      <c r="AA4099">
        <f>IF(Z4099&gt;Z4098,Z4099,"")</f>
        <v/>
      </c>
      <c r="AB4099">
        <f>AB4098+IF(X4099="",0,IF(ISNA(MATCH(X4099,X$256:X4098,0)),1,0))</f>
        <v/>
      </c>
      <c r="AC4099">
        <f>IF(AB4099&gt;AB4098,AB4099,"")</f>
        <v/>
      </c>
    </row>
    <row r="4100">
      <c r="W4100" s="7" t="n"/>
      <c r="X4100" s="7" t="n"/>
      <c r="Z4100">
        <f>Z4099+IF(W4100="",0,IF(ISNA(MATCH(W4100,W$256:W4099,0)),1,0))</f>
        <v/>
      </c>
      <c r="AA4100">
        <f>IF(Z4100&gt;Z4099,Z4100,"")</f>
        <v/>
      </c>
      <c r="AB4100">
        <f>AB4099+IF(X4100="",0,IF(ISNA(MATCH(X4100,X$256:X4099,0)),1,0))</f>
        <v/>
      </c>
      <c r="AC4100">
        <f>IF(AB4100&gt;AB4099,AB4100,"")</f>
        <v/>
      </c>
    </row>
    <row r="4101">
      <c r="W4101" s="7" t="n"/>
      <c r="X4101" s="7" t="n"/>
      <c r="Z4101">
        <f>Z4100+IF(W4101="",0,IF(ISNA(MATCH(W4101,W$256:W4100,0)),1,0))</f>
        <v/>
      </c>
      <c r="AA4101">
        <f>IF(Z4101&gt;Z4100,Z4101,"")</f>
        <v/>
      </c>
      <c r="AB4101">
        <f>AB4100+IF(X4101="",0,IF(ISNA(MATCH(X4101,X$256:X4100,0)),1,0))</f>
        <v/>
      </c>
      <c r="AC4101">
        <f>IF(AB4101&gt;AB4100,AB4101,"")</f>
        <v/>
      </c>
    </row>
    <row r="4102">
      <c r="W4102" s="7" t="n"/>
      <c r="X4102" s="7" t="n"/>
      <c r="Z4102">
        <f>Z4101+IF(W4102="",0,IF(ISNA(MATCH(W4102,W$256:W4101,0)),1,0))</f>
        <v/>
      </c>
      <c r="AA4102">
        <f>IF(Z4102&gt;Z4101,Z4102,"")</f>
        <v/>
      </c>
      <c r="AB4102">
        <f>AB4101+IF(X4102="",0,IF(ISNA(MATCH(X4102,X$256:X4101,0)),1,0))</f>
        <v/>
      </c>
      <c r="AC4102">
        <f>IF(AB4102&gt;AB4101,AB4102,"")</f>
        <v/>
      </c>
    </row>
    <row r="4103">
      <c r="W4103" s="7" t="n"/>
      <c r="X4103" s="7" t="n"/>
      <c r="Z4103">
        <f>Z4102+IF(W4103="",0,IF(ISNA(MATCH(W4103,W$256:W4102,0)),1,0))</f>
        <v/>
      </c>
      <c r="AA4103">
        <f>IF(Z4103&gt;Z4102,Z4103,"")</f>
        <v/>
      </c>
      <c r="AB4103">
        <f>AB4102+IF(X4103="",0,IF(ISNA(MATCH(X4103,X$256:X4102,0)),1,0))</f>
        <v/>
      </c>
      <c r="AC4103">
        <f>IF(AB4103&gt;AB4102,AB4103,"")</f>
        <v/>
      </c>
    </row>
    <row r="4104">
      <c r="W4104" s="7" t="n"/>
      <c r="X4104" s="7" t="n"/>
      <c r="Z4104">
        <f>Z4103+IF(W4104="",0,IF(ISNA(MATCH(W4104,W$256:W4103,0)),1,0))</f>
        <v/>
      </c>
      <c r="AA4104">
        <f>IF(Z4104&gt;Z4103,Z4104,"")</f>
        <v/>
      </c>
      <c r="AB4104">
        <f>AB4103+IF(X4104="",0,IF(ISNA(MATCH(X4104,X$256:X4103,0)),1,0))</f>
        <v/>
      </c>
      <c r="AC4104">
        <f>IF(AB4104&gt;AB4103,AB4104,"")</f>
        <v/>
      </c>
    </row>
    <row r="4105">
      <c r="W4105" s="7" t="n"/>
      <c r="X4105" s="7" t="n"/>
      <c r="Z4105">
        <f>Z4104+IF(W4105="",0,IF(ISNA(MATCH(W4105,W$256:W4104,0)),1,0))</f>
        <v/>
      </c>
      <c r="AA4105">
        <f>IF(Z4105&gt;Z4104,Z4105,"")</f>
        <v/>
      </c>
      <c r="AB4105">
        <f>AB4104+IF(X4105="",0,IF(ISNA(MATCH(X4105,X$256:X4104,0)),1,0))</f>
        <v/>
      </c>
      <c r="AC4105">
        <f>IF(AB4105&gt;AB4104,AB4105,"")</f>
        <v/>
      </c>
    </row>
    <row r="4106">
      <c r="W4106" s="7" t="n"/>
      <c r="X4106" s="7" t="n"/>
      <c r="Z4106">
        <f>Z4105+IF(W4106="",0,IF(ISNA(MATCH(W4106,W$256:W4105,0)),1,0))</f>
        <v/>
      </c>
      <c r="AA4106">
        <f>IF(Z4106&gt;Z4105,Z4106,"")</f>
        <v/>
      </c>
      <c r="AB4106">
        <f>AB4105+IF(X4106="",0,IF(ISNA(MATCH(X4106,X$256:X4105,0)),1,0))</f>
        <v/>
      </c>
      <c r="AC4106">
        <f>IF(AB4106&gt;AB4105,AB4106,"")</f>
        <v/>
      </c>
    </row>
    <row r="4107">
      <c r="W4107" s="7" t="n"/>
      <c r="X4107" s="7" t="n"/>
      <c r="Z4107">
        <f>Z4106+IF(W4107="",0,IF(ISNA(MATCH(W4107,W$256:W4106,0)),1,0))</f>
        <v/>
      </c>
      <c r="AA4107">
        <f>IF(Z4107&gt;Z4106,Z4107,"")</f>
        <v/>
      </c>
      <c r="AB4107">
        <f>AB4106+IF(X4107="",0,IF(ISNA(MATCH(X4107,X$256:X4106,0)),1,0))</f>
        <v/>
      </c>
      <c r="AC4107">
        <f>IF(AB4107&gt;AB4106,AB4107,"")</f>
        <v/>
      </c>
    </row>
    <row r="4108">
      <c r="W4108" s="7" t="n"/>
      <c r="X4108" s="7" t="n"/>
      <c r="Z4108">
        <f>Z4107+IF(W4108="",0,IF(ISNA(MATCH(W4108,W$256:W4107,0)),1,0))</f>
        <v/>
      </c>
      <c r="AA4108">
        <f>IF(Z4108&gt;Z4107,Z4108,"")</f>
        <v/>
      </c>
      <c r="AB4108">
        <f>AB4107+IF(X4108="",0,IF(ISNA(MATCH(X4108,X$256:X4107,0)),1,0))</f>
        <v/>
      </c>
      <c r="AC4108">
        <f>IF(AB4108&gt;AB4107,AB4108,"")</f>
        <v/>
      </c>
    </row>
    <row r="4109">
      <c r="W4109" s="7" t="n"/>
      <c r="X4109" s="7" t="n"/>
      <c r="Z4109">
        <f>Z4108+IF(W4109="",0,IF(ISNA(MATCH(W4109,W$256:W4108,0)),1,0))</f>
        <v/>
      </c>
      <c r="AA4109">
        <f>IF(Z4109&gt;Z4108,Z4109,"")</f>
        <v/>
      </c>
      <c r="AB4109">
        <f>AB4108+IF(X4109="",0,IF(ISNA(MATCH(X4109,X$256:X4108,0)),1,0))</f>
        <v/>
      </c>
      <c r="AC4109">
        <f>IF(AB4109&gt;AB4108,AB4109,"")</f>
        <v/>
      </c>
    </row>
    <row r="4110">
      <c r="W4110" s="7" t="n"/>
      <c r="X4110" s="7" t="n"/>
      <c r="Z4110">
        <f>Z4109+IF(W4110="",0,IF(ISNA(MATCH(W4110,W$256:W4109,0)),1,0))</f>
        <v/>
      </c>
      <c r="AA4110">
        <f>IF(Z4110&gt;Z4109,Z4110,"")</f>
        <v/>
      </c>
      <c r="AB4110">
        <f>AB4109+IF(X4110="",0,IF(ISNA(MATCH(X4110,X$256:X4109,0)),1,0))</f>
        <v/>
      </c>
      <c r="AC4110">
        <f>IF(AB4110&gt;AB4109,AB4110,"")</f>
        <v/>
      </c>
    </row>
    <row r="4111">
      <c r="W4111" s="7" t="n"/>
      <c r="X4111" s="7" t="n"/>
      <c r="Z4111">
        <f>Z4110+IF(W4111="",0,IF(ISNA(MATCH(W4111,W$256:W4110,0)),1,0))</f>
        <v/>
      </c>
      <c r="AA4111">
        <f>IF(Z4111&gt;Z4110,Z4111,"")</f>
        <v/>
      </c>
      <c r="AB4111">
        <f>AB4110+IF(X4111="",0,IF(ISNA(MATCH(X4111,X$256:X4110,0)),1,0))</f>
        <v/>
      </c>
      <c r="AC4111">
        <f>IF(AB4111&gt;AB4110,AB4111,"")</f>
        <v/>
      </c>
    </row>
    <row r="4112">
      <c r="W4112" s="7" t="n"/>
      <c r="X4112" s="7" t="n"/>
      <c r="Z4112">
        <f>Z4111+IF(W4112="",0,IF(ISNA(MATCH(W4112,W$256:W4111,0)),1,0))</f>
        <v/>
      </c>
      <c r="AA4112">
        <f>IF(Z4112&gt;Z4111,Z4112,"")</f>
        <v/>
      </c>
      <c r="AB4112">
        <f>AB4111+IF(X4112="",0,IF(ISNA(MATCH(X4112,X$256:X4111,0)),1,0))</f>
        <v/>
      </c>
      <c r="AC4112">
        <f>IF(AB4112&gt;AB4111,AB4112,"")</f>
        <v/>
      </c>
    </row>
    <row r="4113">
      <c r="W4113" s="7" t="n"/>
      <c r="X4113" s="7" t="n"/>
      <c r="Z4113">
        <f>Z4112+IF(W4113="",0,IF(ISNA(MATCH(W4113,W$256:W4112,0)),1,0))</f>
        <v/>
      </c>
      <c r="AA4113">
        <f>IF(Z4113&gt;Z4112,Z4113,"")</f>
        <v/>
      </c>
      <c r="AB4113">
        <f>AB4112+IF(X4113="",0,IF(ISNA(MATCH(X4113,X$256:X4112,0)),1,0))</f>
        <v/>
      </c>
      <c r="AC4113">
        <f>IF(AB4113&gt;AB4112,AB4113,"")</f>
        <v/>
      </c>
    </row>
    <row r="4114">
      <c r="W4114" s="7" t="n"/>
      <c r="X4114" s="7" t="n"/>
      <c r="Z4114">
        <f>Z4113+IF(W4114="",0,IF(ISNA(MATCH(W4114,W$256:W4113,0)),1,0))</f>
        <v/>
      </c>
      <c r="AA4114">
        <f>IF(Z4114&gt;Z4113,Z4114,"")</f>
        <v/>
      </c>
      <c r="AB4114">
        <f>AB4113+IF(X4114="",0,IF(ISNA(MATCH(X4114,X$256:X4113,0)),1,0))</f>
        <v/>
      </c>
      <c r="AC4114">
        <f>IF(AB4114&gt;AB4113,AB4114,"")</f>
        <v/>
      </c>
    </row>
    <row r="4115">
      <c r="W4115" s="7" t="n"/>
      <c r="X4115" s="7" t="n"/>
      <c r="Z4115">
        <f>Z4114+IF(W4115="",0,IF(ISNA(MATCH(W4115,W$256:W4114,0)),1,0))</f>
        <v/>
      </c>
      <c r="AA4115">
        <f>IF(Z4115&gt;Z4114,Z4115,"")</f>
        <v/>
      </c>
      <c r="AB4115">
        <f>AB4114+IF(X4115="",0,IF(ISNA(MATCH(X4115,X$256:X4114,0)),1,0))</f>
        <v/>
      </c>
      <c r="AC4115">
        <f>IF(AB4115&gt;AB4114,AB4115,"")</f>
        <v/>
      </c>
    </row>
    <row r="4116">
      <c r="W4116" s="7" t="n"/>
      <c r="X4116" s="7" t="n"/>
      <c r="Z4116">
        <f>Z4115+IF(W4116="",0,IF(ISNA(MATCH(W4116,W$256:W4115,0)),1,0))</f>
        <v/>
      </c>
      <c r="AA4116">
        <f>IF(Z4116&gt;Z4115,Z4116,"")</f>
        <v/>
      </c>
      <c r="AB4116">
        <f>AB4115+IF(X4116="",0,IF(ISNA(MATCH(X4116,X$256:X4115,0)),1,0))</f>
        <v/>
      </c>
      <c r="AC4116">
        <f>IF(AB4116&gt;AB4115,AB4116,"")</f>
        <v/>
      </c>
    </row>
    <row r="4117">
      <c r="W4117" s="7" t="n"/>
      <c r="X4117" s="7" t="n"/>
      <c r="Z4117">
        <f>Z4116+IF(W4117="",0,IF(ISNA(MATCH(W4117,W$256:W4116,0)),1,0))</f>
        <v/>
      </c>
      <c r="AA4117">
        <f>IF(Z4117&gt;Z4116,Z4117,"")</f>
        <v/>
      </c>
      <c r="AB4117">
        <f>AB4116+IF(X4117="",0,IF(ISNA(MATCH(X4117,X$256:X4116,0)),1,0))</f>
        <v/>
      </c>
      <c r="AC4117">
        <f>IF(AB4117&gt;AB4116,AB4117,"")</f>
        <v/>
      </c>
    </row>
    <row r="4118">
      <c r="W4118" s="7" t="n"/>
      <c r="X4118" s="7" t="n"/>
      <c r="Z4118">
        <f>Z4117+IF(W4118="",0,IF(ISNA(MATCH(W4118,W$256:W4117,0)),1,0))</f>
        <v/>
      </c>
      <c r="AA4118">
        <f>IF(Z4118&gt;Z4117,Z4118,"")</f>
        <v/>
      </c>
      <c r="AB4118">
        <f>AB4117+IF(X4118="",0,IF(ISNA(MATCH(X4118,X$256:X4117,0)),1,0))</f>
        <v/>
      </c>
      <c r="AC4118">
        <f>IF(AB4118&gt;AB4117,AB4118,"")</f>
        <v/>
      </c>
    </row>
    <row r="4119">
      <c r="W4119" s="7" t="n"/>
      <c r="X4119" s="7" t="n"/>
      <c r="Z4119">
        <f>Z4118+IF(W4119="",0,IF(ISNA(MATCH(W4119,W$256:W4118,0)),1,0))</f>
        <v/>
      </c>
      <c r="AA4119">
        <f>IF(Z4119&gt;Z4118,Z4119,"")</f>
        <v/>
      </c>
      <c r="AB4119">
        <f>AB4118+IF(X4119="",0,IF(ISNA(MATCH(X4119,X$256:X4118,0)),1,0))</f>
        <v/>
      </c>
      <c r="AC4119">
        <f>IF(AB4119&gt;AB4118,AB4119,"")</f>
        <v/>
      </c>
    </row>
    <row r="4120">
      <c r="W4120" s="7" t="n"/>
      <c r="X4120" s="7" t="n"/>
      <c r="Z4120">
        <f>Z4119+IF(W4120="",0,IF(ISNA(MATCH(W4120,W$256:W4119,0)),1,0))</f>
        <v/>
      </c>
      <c r="AA4120">
        <f>IF(Z4120&gt;Z4119,Z4120,"")</f>
        <v/>
      </c>
      <c r="AB4120">
        <f>AB4119+IF(X4120="",0,IF(ISNA(MATCH(X4120,X$256:X4119,0)),1,0))</f>
        <v/>
      </c>
      <c r="AC4120">
        <f>IF(AB4120&gt;AB4119,AB4120,"")</f>
        <v/>
      </c>
    </row>
    <row r="4121">
      <c r="W4121" s="7" t="n"/>
      <c r="X4121" s="7" t="n"/>
      <c r="Z4121">
        <f>Z4120+IF(W4121="",0,IF(ISNA(MATCH(W4121,W$256:W4120,0)),1,0))</f>
        <v/>
      </c>
      <c r="AA4121">
        <f>IF(Z4121&gt;Z4120,Z4121,"")</f>
        <v/>
      </c>
      <c r="AB4121">
        <f>AB4120+IF(X4121="",0,IF(ISNA(MATCH(X4121,X$256:X4120,0)),1,0))</f>
        <v/>
      </c>
      <c r="AC4121">
        <f>IF(AB4121&gt;AB4120,AB4121,"")</f>
        <v/>
      </c>
    </row>
    <row r="4122">
      <c r="W4122" s="7" t="n"/>
      <c r="X4122" s="7" t="n"/>
      <c r="Z4122">
        <f>Z4121+IF(W4122="",0,IF(ISNA(MATCH(W4122,W$256:W4121,0)),1,0))</f>
        <v/>
      </c>
      <c r="AA4122">
        <f>IF(Z4122&gt;Z4121,Z4122,"")</f>
        <v/>
      </c>
      <c r="AB4122">
        <f>AB4121+IF(X4122="",0,IF(ISNA(MATCH(X4122,X$256:X4121,0)),1,0))</f>
        <v/>
      </c>
      <c r="AC4122">
        <f>IF(AB4122&gt;AB4121,AB4122,"")</f>
        <v/>
      </c>
    </row>
    <row r="4123">
      <c r="W4123" s="7" t="n"/>
      <c r="X4123" s="7" t="n"/>
      <c r="Z4123">
        <f>Z4122+IF(W4123="",0,IF(ISNA(MATCH(W4123,W$256:W4122,0)),1,0))</f>
        <v/>
      </c>
      <c r="AA4123">
        <f>IF(Z4123&gt;Z4122,Z4123,"")</f>
        <v/>
      </c>
      <c r="AB4123">
        <f>AB4122+IF(X4123="",0,IF(ISNA(MATCH(X4123,X$256:X4122,0)),1,0))</f>
        <v/>
      </c>
      <c r="AC4123">
        <f>IF(AB4123&gt;AB4122,AB4123,"")</f>
        <v/>
      </c>
    </row>
    <row r="4124">
      <c r="W4124" s="7" t="n"/>
      <c r="X4124" s="7" t="n"/>
      <c r="Z4124">
        <f>Z4123+IF(W4124="",0,IF(ISNA(MATCH(W4124,W$256:W4123,0)),1,0))</f>
        <v/>
      </c>
      <c r="AA4124">
        <f>IF(Z4124&gt;Z4123,Z4124,"")</f>
        <v/>
      </c>
      <c r="AB4124">
        <f>AB4123+IF(X4124="",0,IF(ISNA(MATCH(X4124,X$256:X4123,0)),1,0))</f>
        <v/>
      </c>
      <c r="AC4124">
        <f>IF(AB4124&gt;AB4123,AB4124,"")</f>
        <v/>
      </c>
    </row>
    <row r="4125">
      <c r="W4125" s="7" t="n"/>
      <c r="X4125" s="7" t="n"/>
      <c r="Z4125">
        <f>Z4124+IF(W4125="",0,IF(ISNA(MATCH(W4125,W$256:W4124,0)),1,0))</f>
        <v/>
      </c>
      <c r="AA4125">
        <f>IF(Z4125&gt;Z4124,Z4125,"")</f>
        <v/>
      </c>
      <c r="AB4125">
        <f>AB4124+IF(X4125="",0,IF(ISNA(MATCH(X4125,X$256:X4124,0)),1,0))</f>
        <v/>
      </c>
      <c r="AC4125">
        <f>IF(AB4125&gt;AB4124,AB4125,"")</f>
        <v/>
      </c>
    </row>
    <row r="4126">
      <c r="W4126" s="7" t="n"/>
      <c r="X4126" s="7" t="n"/>
      <c r="Z4126">
        <f>Z4125+IF(W4126="",0,IF(ISNA(MATCH(W4126,W$256:W4125,0)),1,0))</f>
        <v/>
      </c>
      <c r="AA4126">
        <f>IF(Z4126&gt;Z4125,Z4126,"")</f>
        <v/>
      </c>
      <c r="AB4126">
        <f>AB4125+IF(X4126="",0,IF(ISNA(MATCH(X4126,X$256:X4125,0)),1,0))</f>
        <v/>
      </c>
      <c r="AC4126">
        <f>IF(AB4126&gt;AB4125,AB4126,"")</f>
        <v/>
      </c>
    </row>
    <row r="4127">
      <c r="W4127" s="7" t="n"/>
      <c r="X4127" s="7" t="n"/>
      <c r="Z4127">
        <f>Z4126+IF(W4127="",0,IF(ISNA(MATCH(W4127,W$256:W4126,0)),1,0))</f>
        <v/>
      </c>
      <c r="AA4127">
        <f>IF(Z4127&gt;Z4126,Z4127,"")</f>
        <v/>
      </c>
      <c r="AB4127">
        <f>AB4126+IF(X4127="",0,IF(ISNA(MATCH(X4127,X$256:X4126,0)),1,0))</f>
        <v/>
      </c>
      <c r="AC4127">
        <f>IF(AB4127&gt;AB4126,AB4127,"")</f>
        <v/>
      </c>
    </row>
    <row r="4128">
      <c r="W4128" s="7" t="n"/>
      <c r="X4128" s="7" t="n"/>
      <c r="Z4128">
        <f>Z4127+IF(W4128="",0,IF(ISNA(MATCH(W4128,W$256:W4127,0)),1,0))</f>
        <v/>
      </c>
      <c r="AA4128">
        <f>IF(Z4128&gt;Z4127,Z4128,"")</f>
        <v/>
      </c>
      <c r="AB4128">
        <f>AB4127+IF(X4128="",0,IF(ISNA(MATCH(X4128,X$256:X4127,0)),1,0))</f>
        <v/>
      </c>
      <c r="AC4128">
        <f>IF(AB4128&gt;AB4127,AB4128,"")</f>
        <v/>
      </c>
    </row>
    <row r="4129">
      <c r="W4129" s="7" t="n"/>
      <c r="X4129" s="7" t="n"/>
      <c r="Z4129">
        <f>Z4128+IF(W4129="",0,IF(ISNA(MATCH(W4129,W$256:W4128,0)),1,0))</f>
        <v/>
      </c>
      <c r="AA4129">
        <f>IF(Z4129&gt;Z4128,Z4129,"")</f>
        <v/>
      </c>
      <c r="AB4129">
        <f>AB4128+IF(X4129="",0,IF(ISNA(MATCH(X4129,X$256:X4128,0)),1,0))</f>
        <v/>
      </c>
      <c r="AC4129">
        <f>IF(AB4129&gt;AB4128,AB4129,"")</f>
        <v/>
      </c>
    </row>
    <row r="4130">
      <c r="W4130" s="7" t="n"/>
      <c r="X4130" s="7" t="n"/>
      <c r="Z4130">
        <f>Z4129+IF(W4130="",0,IF(ISNA(MATCH(W4130,W$256:W4129,0)),1,0))</f>
        <v/>
      </c>
      <c r="AA4130">
        <f>IF(Z4130&gt;Z4129,Z4130,"")</f>
        <v/>
      </c>
      <c r="AB4130">
        <f>AB4129+IF(X4130="",0,IF(ISNA(MATCH(X4130,X$256:X4129,0)),1,0))</f>
        <v/>
      </c>
      <c r="AC4130">
        <f>IF(AB4130&gt;AB4129,AB4130,"")</f>
        <v/>
      </c>
    </row>
    <row r="4131">
      <c r="W4131" s="7" t="n"/>
      <c r="X4131" s="7" t="n"/>
      <c r="Z4131">
        <f>Z4130+IF(W4131="",0,IF(ISNA(MATCH(W4131,W$256:W4130,0)),1,0))</f>
        <v/>
      </c>
      <c r="AA4131">
        <f>IF(Z4131&gt;Z4130,Z4131,"")</f>
        <v/>
      </c>
      <c r="AB4131">
        <f>AB4130+IF(X4131="",0,IF(ISNA(MATCH(X4131,X$256:X4130,0)),1,0))</f>
        <v/>
      </c>
      <c r="AC4131">
        <f>IF(AB4131&gt;AB4130,AB4131,"")</f>
        <v/>
      </c>
    </row>
    <row r="4132">
      <c r="W4132" s="7" t="n"/>
      <c r="X4132" s="7" t="n"/>
      <c r="Z4132">
        <f>Z4131+IF(W4132="",0,IF(ISNA(MATCH(W4132,W$256:W4131,0)),1,0))</f>
        <v/>
      </c>
      <c r="AA4132">
        <f>IF(Z4132&gt;Z4131,Z4132,"")</f>
        <v/>
      </c>
      <c r="AB4132">
        <f>AB4131+IF(X4132="",0,IF(ISNA(MATCH(X4132,X$256:X4131,0)),1,0))</f>
        <v/>
      </c>
      <c r="AC4132">
        <f>IF(AB4132&gt;AB4131,AB4132,"")</f>
        <v/>
      </c>
    </row>
    <row r="4133">
      <c r="W4133" s="7" t="n"/>
      <c r="X4133" s="7" t="n"/>
      <c r="Z4133">
        <f>Z4132+IF(W4133="",0,IF(ISNA(MATCH(W4133,W$256:W4132,0)),1,0))</f>
        <v/>
      </c>
      <c r="AA4133">
        <f>IF(Z4133&gt;Z4132,Z4133,"")</f>
        <v/>
      </c>
      <c r="AB4133">
        <f>AB4132+IF(X4133="",0,IF(ISNA(MATCH(X4133,X$256:X4132,0)),1,0))</f>
        <v/>
      </c>
      <c r="AC4133">
        <f>IF(AB4133&gt;AB4132,AB4133,"")</f>
        <v/>
      </c>
    </row>
    <row r="4134">
      <c r="W4134" s="7" t="n"/>
      <c r="X4134" s="7" t="n"/>
      <c r="Z4134">
        <f>Z4133+IF(W4134="",0,IF(ISNA(MATCH(W4134,W$256:W4133,0)),1,0))</f>
        <v/>
      </c>
      <c r="AA4134">
        <f>IF(Z4134&gt;Z4133,Z4134,"")</f>
        <v/>
      </c>
      <c r="AB4134">
        <f>AB4133+IF(X4134="",0,IF(ISNA(MATCH(X4134,X$256:X4133,0)),1,0))</f>
        <v/>
      </c>
      <c r="AC4134">
        <f>IF(AB4134&gt;AB4133,AB4134,"")</f>
        <v/>
      </c>
    </row>
    <row r="4135">
      <c r="W4135" s="7" t="n"/>
      <c r="X4135" s="7" t="n"/>
      <c r="Z4135">
        <f>Z4134+IF(W4135="",0,IF(ISNA(MATCH(W4135,W$256:W4134,0)),1,0))</f>
        <v/>
      </c>
      <c r="AA4135">
        <f>IF(Z4135&gt;Z4134,Z4135,"")</f>
        <v/>
      </c>
      <c r="AB4135">
        <f>AB4134+IF(X4135="",0,IF(ISNA(MATCH(X4135,X$256:X4134,0)),1,0))</f>
        <v/>
      </c>
      <c r="AC4135">
        <f>IF(AB4135&gt;AB4134,AB4135,"")</f>
        <v/>
      </c>
    </row>
    <row r="4136">
      <c r="W4136" s="7" t="n"/>
      <c r="X4136" s="7" t="n"/>
      <c r="Z4136">
        <f>Z4135+IF(W4136="",0,IF(ISNA(MATCH(W4136,W$256:W4135,0)),1,0))</f>
        <v/>
      </c>
      <c r="AA4136">
        <f>IF(Z4136&gt;Z4135,Z4136,"")</f>
        <v/>
      </c>
      <c r="AB4136">
        <f>AB4135+IF(X4136="",0,IF(ISNA(MATCH(X4136,X$256:X4135,0)),1,0))</f>
        <v/>
      </c>
      <c r="AC4136">
        <f>IF(AB4136&gt;AB4135,AB4136,"")</f>
        <v/>
      </c>
    </row>
    <row r="4137">
      <c r="W4137" s="7" t="n"/>
      <c r="X4137" s="7" t="n"/>
      <c r="Z4137">
        <f>Z4136+IF(W4137="",0,IF(ISNA(MATCH(W4137,W$256:W4136,0)),1,0))</f>
        <v/>
      </c>
      <c r="AA4137">
        <f>IF(Z4137&gt;Z4136,Z4137,"")</f>
        <v/>
      </c>
      <c r="AB4137">
        <f>AB4136+IF(X4137="",0,IF(ISNA(MATCH(X4137,X$256:X4136,0)),1,0))</f>
        <v/>
      </c>
      <c r="AC4137">
        <f>IF(AB4137&gt;AB4136,AB4137,"")</f>
        <v/>
      </c>
    </row>
    <row r="4138">
      <c r="W4138" s="7" t="n"/>
      <c r="X4138" s="7" t="n"/>
      <c r="Z4138">
        <f>Z4137+IF(W4138="",0,IF(ISNA(MATCH(W4138,W$256:W4137,0)),1,0))</f>
        <v/>
      </c>
      <c r="AA4138">
        <f>IF(Z4138&gt;Z4137,Z4138,"")</f>
        <v/>
      </c>
      <c r="AB4138">
        <f>AB4137+IF(X4138="",0,IF(ISNA(MATCH(X4138,X$256:X4137,0)),1,0))</f>
        <v/>
      </c>
      <c r="AC4138">
        <f>IF(AB4138&gt;AB4137,AB4138,"")</f>
        <v/>
      </c>
    </row>
    <row r="4139">
      <c r="W4139" s="7" t="n"/>
      <c r="X4139" s="7" t="n"/>
      <c r="Z4139">
        <f>Z4138+IF(W4139="",0,IF(ISNA(MATCH(W4139,W$256:W4138,0)),1,0))</f>
        <v/>
      </c>
      <c r="AA4139">
        <f>IF(Z4139&gt;Z4138,Z4139,"")</f>
        <v/>
      </c>
      <c r="AB4139">
        <f>AB4138+IF(X4139="",0,IF(ISNA(MATCH(X4139,X$256:X4138,0)),1,0))</f>
        <v/>
      </c>
      <c r="AC4139">
        <f>IF(AB4139&gt;AB4138,AB4139,"")</f>
        <v/>
      </c>
    </row>
    <row r="4140">
      <c r="W4140" s="7" t="n"/>
      <c r="X4140" s="7" t="n"/>
      <c r="Z4140">
        <f>Z4139+IF(W4140="",0,IF(ISNA(MATCH(W4140,W$256:W4139,0)),1,0))</f>
        <v/>
      </c>
      <c r="AA4140">
        <f>IF(Z4140&gt;Z4139,Z4140,"")</f>
        <v/>
      </c>
      <c r="AB4140">
        <f>AB4139+IF(X4140="",0,IF(ISNA(MATCH(X4140,X$256:X4139,0)),1,0))</f>
        <v/>
      </c>
      <c r="AC4140">
        <f>IF(AB4140&gt;AB4139,AB4140,"")</f>
        <v/>
      </c>
    </row>
    <row r="4141">
      <c r="W4141" s="7" t="n"/>
      <c r="X4141" s="7" t="n"/>
      <c r="Z4141">
        <f>Z4140+IF(W4141="",0,IF(ISNA(MATCH(W4141,W$256:W4140,0)),1,0))</f>
        <v/>
      </c>
      <c r="AA4141">
        <f>IF(Z4141&gt;Z4140,Z4141,"")</f>
        <v/>
      </c>
      <c r="AB4141">
        <f>AB4140+IF(X4141="",0,IF(ISNA(MATCH(X4141,X$256:X4140,0)),1,0))</f>
        <v/>
      </c>
      <c r="AC4141">
        <f>IF(AB4141&gt;AB4140,AB4141,"")</f>
        <v/>
      </c>
    </row>
    <row r="4142">
      <c r="W4142" s="7" t="n"/>
      <c r="X4142" s="7" t="n"/>
      <c r="Z4142">
        <f>Z4141+IF(W4142="",0,IF(ISNA(MATCH(W4142,W$256:W4141,0)),1,0))</f>
        <v/>
      </c>
      <c r="AA4142">
        <f>IF(Z4142&gt;Z4141,Z4142,"")</f>
        <v/>
      </c>
      <c r="AB4142">
        <f>AB4141+IF(X4142="",0,IF(ISNA(MATCH(X4142,X$256:X4141,0)),1,0))</f>
        <v/>
      </c>
      <c r="AC4142">
        <f>IF(AB4142&gt;AB4141,AB4142,"")</f>
        <v/>
      </c>
    </row>
    <row r="4143">
      <c r="W4143" s="7" t="n"/>
      <c r="X4143" s="7" t="n"/>
      <c r="Z4143">
        <f>Z4142+IF(W4143="",0,IF(ISNA(MATCH(W4143,W$256:W4142,0)),1,0))</f>
        <v/>
      </c>
      <c r="AA4143">
        <f>IF(Z4143&gt;Z4142,Z4143,"")</f>
        <v/>
      </c>
      <c r="AB4143">
        <f>AB4142+IF(X4143="",0,IF(ISNA(MATCH(X4143,X$256:X4142,0)),1,0))</f>
        <v/>
      </c>
      <c r="AC4143">
        <f>IF(AB4143&gt;AB4142,AB4143,"")</f>
        <v/>
      </c>
    </row>
    <row r="4144">
      <c r="W4144" s="7" t="n"/>
      <c r="X4144" s="7" t="n"/>
      <c r="Z4144">
        <f>Z4143+IF(W4144="",0,IF(ISNA(MATCH(W4144,W$256:W4143,0)),1,0))</f>
        <v/>
      </c>
      <c r="AA4144">
        <f>IF(Z4144&gt;Z4143,Z4144,"")</f>
        <v/>
      </c>
      <c r="AB4144">
        <f>AB4143+IF(X4144="",0,IF(ISNA(MATCH(X4144,X$256:X4143,0)),1,0))</f>
        <v/>
      </c>
      <c r="AC4144">
        <f>IF(AB4144&gt;AB4143,AB4144,"")</f>
        <v/>
      </c>
    </row>
    <row r="4145">
      <c r="W4145" s="7" t="n"/>
      <c r="X4145" s="7" t="n"/>
      <c r="Z4145">
        <f>Z4144+IF(W4145="",0,IF(ISNA(MATCH(W4145,W$256:W4144,0)),1,0))</f>
        <v/>
      </c>
      <c r="AA4145">
        <f>IF(Z4145&gt;Z4144,Z4145,"")</f>
        <v/>
      </c>
      <c r="AB4145">
        <f>AB4144+IF(X4145="",0,IF(ISNA(MATCH(X4145,X$256:X4144,0)),1,0))</f>
        <v/>
      </c>
      <c r="AC4145">
        <f>IF(AB4145&gt;AB4144,AB4145,"")</f>
        <v/>
      </c>
    </row>
    <row r="4146">
      <c r="W4146" s="7" t="n"/>
      <c r="X4146" s="7" t="n"/>
      <c r="Z4146">
        <f>Z4145+IF(W4146="",0,IF(ISNA(MATCH(W4146,W$256:W4145,0)),1,0))</f>
        <v/>
      </c>
      <c r="AA4146">
        <f>IF(Z4146&gt;Z4145,Z4146,"")</f>
        <v/>
      </c>
      <c r="AB4146">
        <f>AB4145+IF(X4146="",0,IF(ISNA(MATCH(X4146,X$256:X4145,0)),1,0))</f>
        <v/>
      </c>
      <c r="AC4146">
        <f>IF(AB4146&gt;AB4145,AB4146,"")</f>
        <v/>
      </c>
    </row>
    <row r="4147">
      <c r="W4147" s="7" t="n"/>
      <c r="X4147" s="7" t="n"/>
      <c r="Z4147">
        <f>Z4146+IF(W4147="",0,IF(ISNA(MATCH(W4147,W$256:W4146,0)),1,0))</f>
        <v/>
      </c>
      <c r="AA4147">
        <f>IF(Z4147&gt;Z4146,Z4147,"")</f>
        <v/>
      </c>
      <c r="AB4147">
        <f>AB4146+IF(X4147="",0,IF(ISNA(MATCH(X4147,X$256:X4146,0)),1,0))</f>
        <v/>
      </c>
      <c r="AC4147">
        <f>IF(AB4147&gt;AB4146,AB4147,"")</f>
        <v/>
      </c>
    </row>
    <row r="4148">
      <c r="W4148" s="7" t="n"/>
      <c r="X4148" s="7" t="n"/>
      <c r="Z4148">
        <f>Z4147+IF(W4148="",0,IF(ISNA(MATCH(W4148,W$256:W4147,0)),1,0))</f>
        <v/>
      </c>
      <c r="AA4148">
        <f>IF(Z4148&gt;Z4147,Z4148,"")</f>
        <v/>
      </c>
      <c r="AB4148">
        <f>AB4147+IF(X4148="",0,IF(ISNA(MATCH(X4148,X$256:X4147,0)),1,0))</f>
        <v/>
      </c>
      <c r="AC4148">
        <f>IF(AB4148&gt;AB4147,AB4148,"")</f>
        <v/>
      </c>
    </row>
    <row r="4149">
      <c r="W4149" s="7" t="n"/>
      <c r="X4149" s="7" t="n"/>
      <c r="Z4149">
        <f>Z4148+IF(W4149="",0,IF(ISNA(MATCH(W4149,W$256:W4148,0)),1,0))</f>
        <v/>
      </c>
      <c r="AA4149">
        <f>IF(Z4149&gt;Z4148,Z4149,"")</f>
        <v/>
      </c>
      <c r="AB4149">
        <f>AB4148+IF(X4149="",0,IF(ISNA(MATCH(X4149,X$256:X4148,0)),1,0))</f>
        <v/>
      </c>
      <c r="AC4149">
        <f>IF(AB4149&gt;AB4148,AB4149,"")</f>
        <v/>
      </c>
    </row>
    <row r="4150">
      <c r="W4150" s="7" t="n"/>
      <c r="X4150" s="7" t="n"/>
      <c r="Z4150">
        <f>Z4149+IF(W4150="",0,IF(ISNA(MATCH(W4150,W$256:W4149,0)),1,0))</f>
        <v/>
      </c>
      <c r="AA4150">
        <f>IF(Z4150&gt;Z4149,Z4150,"")</f>
        <v/>
      </c>
      <c r="AB4150">
        <f>AB4149+IF(X4150="",0,IF(ISNA(MATCH(X4150,X$256:X4149,0)),1,0))</f>
        <v/>
      </c>
      <c r="AC4150">
        <f>IF(AB4150&gt;AB4149,AB4150,"")</f>
        <v/>
      </c>
    </row>
    <row r="4151">
      <c r="W4151" s="7" t="n"/>
      <c r="X4151" s="7" t="n"/>
      <c r="Z4151">
        <f>Z4150+IF(W4151="",0,IF(ISNA(MATCH(W4151,W$256:W4150,0)),1,0))</f>
        <v/>
      </c>
      <c r="AA4151">
        <f>IF(Z4151&gt;Z4150,Z4151,"")</f>
        <v/>
      </c>
      <c r="AB4151">
        <f>AB4150+IF(X4151="",0,IF(ISNA(MATCH(X4151,X$256:X4150,0)),1,0))</f>
        <v/>
      </c>
      <c r="AC4151">
        <f>IF(AB4151&gt;AB4150,AB4151,"")</f>
        <v/>
      </c>
    </row>
    <row r="4152">
      <c r="W4152" s="7" t="n"/>
      <c r="X4152" s="7" t="n"/>
      <c r="Z4152">
        <f>Z4151+IF(W4152="",0,IF(ISNA(MATCH(W4152,W$256:W4151,0)),1,0))</f>
        <v/>
      </c>
      <c r="AA4152">
        <f>IF(Z4152&gt;Z4151,Z4152,"")</f>
        <v/>
      </c>
      <c r="AB4152">
        <f>AB4151+IF(X4152="",0,IF(ISNA(MATCH(X4152,X$256:X4151,0)),1,0))</f>
        <v/>
      </c>
      <c r="AC4152">
        <f>IF(AB4152&gt;AB4151,AB4152,"")</f>
        <v/>
      </c>
    </row>
    <row r="4153">
      <c r="W4153" s="7" t="n"/>
      <c r="X4153" s="7" t="n"/>
      <c r="Z4153">
        <f>Z4152+IF(W4153="",0,IF(ISNA(MATCH(W4153,W$256:W4152,0)),1,0))</f>
        <v/>
      </c>
      <c r="AA4153">
        <f>IF(Z4153&gt;Z4152,Z4153,"")</f>
        <v/>
      </c>
      <c r="AB4153">
        <f>AB4152+IF(X4153="",0,IF(ISNA(MATCH(X4153,X$256:X4152,0)),1,0))</f>
        <v/>
      </c>
      <c r="AC4153">
        <f>IF(AB4153&gt;AB4152,AB4153,"")</f>
        <v/>
      </c>
    </row>
    <row r="4154">
      <c r="W4154" s="7" t="n"/>
      <c r="X4154" s="7" t="n"/>
      <c r="Z4154">
        <f>Z4153+IF(W4154="",0,IF(ISNA(MATCH(W4154,W$256:W4153,0)),1,0))</f>
        <v/>
      </c>
      <c r="AA4154">
        <f>IF(Z4154&gt;Z4153,Z4154,"")</f>
        <v/>
      </c>
      <c r="AB4154">
        <f>AB4153+IF(X4154="",0,IF(ISNA(MATCH(X4154,X$256:X4153,0)),1,0))</f>
        <v/>
      </c>
      <c r="AC4154">
        <f>IF(AB4154&gt;AB4153,AB4154,"")</f>
        <v/>
      </c>
    </row>
    <row r="4155">
      <c r="W4155" s="7" t="n"/>
      <c r="X4155" s="7" t="n"/>
      <c r="Z4155">
        <f>Z4154+IF(W4155="",0,IF(ISNA(MATCH(W4155,W$256:W4154,0)),1,0))</f>
        <v/>
      </c>
      <c r="AA4155">
        <f>IF(Z4155&gt;Z4154,Z4155,"")</f>
        <v/>
      </c>
      <c r="AB4155">
        <f>AB4154+IF(X4155="",0,IF(ISNA(MATCH(X4155,X$256:X4154,0)),1,0))</f>
        <v/>
      </c>
      <c r="AC4155">
        <f>IF(AB4155&gt;AB4154,AB4155,"")</f>
        <v/>
      </c>
    </row>
    <row r="4156">
      <c r="W4156" s="7" t="n"/>
      <c r="X4156" s="7" t="n"/>
      <c r="Z4156">
        <f>Z4155+IF(W4156="",0,IF(ISNA(MATCH(W4156,W$256:W4155,0)),1,0))</f>
        <v/>
      </c>
      <c r="AA4156">
        <f>IF(Z4156&gt;Z4155,Z4156,"")</f>
        <v/>
      </c>
      <c r="AB4156">
        <f>AB4155+IF(X4156="",0,IF(ISNA(MATCH(X4156,X$256:X4155,0)),1,0))</f>
        <v/>
      </c>
      <c r="AC4156">
        <f>IF(AB4156&gt;AB4155,AB4156,"")</f>
        <v/>
      </c>
    </row>
    <row r="4157">
      <c r="W4157" s="7" t="n"/>
      <c r="X4157" s="7" t="n"/>
      <c r="Z4157">
        <f>Z4156+IF(W4157="",0,IF(ISNA(MATCH(W4157,W$256:W4156,0)),1,0))</f>
        <v/>
      </c>
      <c r="AA4157">
        <f>IF(Z4157&gt;Z4156,Z4157,"")</f>
        <v/>
      </c>
      <c r="AB4157">
        <f>AB4156+IF(X4157="",0,IF(ISNA(MATCH(X4157,X$256:X4156,0)),1,0))</f>
        <v/>
      </c>
      <c r="AC4157">
        <f>IF(AB4157&gt;AB4156,AB4157,"")</f>
        <v/>
      </c>
    </row>
    <row r="4158">
      <c r="W4158" s="7" t="n"/>
      <c r="X4158" s="7" t="n"/>
      <c r="Z4158">
        <f>Z4157+IF(W4158="",0,IF(ISNA(MATCH(W4158,W$256:W4157,0)),1,0))</f>
        <v/>
      </c>
      <c r="AA4158">
        <f>IF(Z4158&gt;Z4157,Z4158,"")</f>
        <v/>
      </c>
      <c r="AB4158">
        <f>AB4157+IF(X4158="",0,IF(ISNA(MATCH(X4158,X$256:X4157,0)),1,0))</f>
        <v/>
      </c>
      <c r="AC4158">
        <f>IF(AB4158&gt;AB4157,AB4158,"")</f>
        <v/>
      </c>
    </row>
    <row r="4159">
      <c r="W4159" s="7" t="n"/>
      <c r="X4159" s="7" t="n"/>
      <c r="Z4159">
        <f>Z4158+IF(W4159="",0,IF(ISNA(MATCH(W4159,W$256:W4158,0)),1,0))</f>
        <v/>
      </c>
      <c r="AA4159">
        <f>IF(Z4159&gt;Z4158,Z4159,"")</f>
        <v/>
      </c>
      <c r="AB4159">
        <f>AB4158+IF(X4159="",0,IF(ISNA(MATCH(X4159,X$256:X4158,0)),1,0))</f>
        <v/>
      </c>
      <c r="AC4159">
        <f>IF(AB4159&gt;AB4158,AB4159,"")</f>
        <v/>
      </c>
    </row>
    <row r="4160">
      <c r="W4160" s="7" t="n"/>
      <c r="X4160" s="7" t="n"/>
      <c r="Z4160">
        <f>Z4159+IF(W4160="",0,IF(ISNA(MATCH(W4160,W$256:W4159,0)),1,0))</f>
        <v/>
      </c>
      <c r="AA4160">
        <f>IF(Z4160&gt;Z4159,Z4160,"")</f>
        <v/>
      </c>
      <c r="AB4160">
        <f>AB4159+IF(X4160="",0,IF(ISNA(MATCH(X4160,X$256:X4159,0)),1,0))</f>
        <v/>
      </c>
      <c r="AC4160">
        <f>IF(AB4160&gt;AB4159,AB4160,"")</f>
        <v/>
      </c>
    </row>
    <row r="4161">
      <c r="W4161" s="7" t="n"/>
      <c r="X4161" s="7" t="n"/>
      <c r="Z4161">
        <f>Z4160+IF(W4161="",0,IF(ISNA(MATCH(W4161,W$256:W4160,0)),1,0))</f>
        <v/>
      </c>
      <c r="AA4161">
        <f>IF(Z4161&gt;Z4160,Z4161,"")</f>
        <v/>
      </c>
      <c r="AB4161">
        <f>AB4160+IF(X4161="",0,IF(ISNA(MATCH(X4161,X$256:X4160,0)),1,0))</f>
        <v/>
      </c>
      <c r="AC4161">
        <f>IF(AB4161&gt;AB4160,AB4161,"")</f>
        <v/>
      </c>
    </row>
    <row r="4162">
      <c r="W4162" s="7" t="n"/>
      <c r="X4162" s="7" t="n"/>
      <c r="Z4162">
        <f>Z4161+IF(W4162="",0,IF(ISNA(MATCH(W4162,W$256:W4161,0)),1,0))</f>
        <v/>
      </c>
      <c r="AA4162">
        <f>IF(Z4162&gt;Z4161,Z4162,"")</f>
        <v/>
      </c>
      <c r="AB4162">
        <f>AB4161+IF(X4162="",0,IF(ISNA(MATCH(X4162,X$256:X4161,0)),1,0))</f>
        <v/>
      </c>
      <c r="AC4162">
        <f>IF(AB4162&gt;AB4161,AB4162,"")</f>
        <v/>
      </c>
    </row>
    <row r="4163">
      <c r="W4163" s="7" t="n"/>
      <c r="X4163" s="7" t="n"/>
      <c r="Z4163">
        <f>Z4162+IF(W4163="",0,IF(ISNA(MATCH(W4163,W$256:W4162,0)),1,0))</f>
        <v/>
      </c>
      <c r="AA4163">
        <f>IF(Z4163&gt;Z4162,Z4163,"")</f>
        <v/>
      </c>
      <c r="AB4163">
        <f>AB4162+IF(X4163="",0,IF(ISNA(MATCH(X4163,X$256:X4162,0)),1,0))</f>
        <v/>
      </c>
      <c r="AC4163">
        <f>IF(AB4163&gt;AB4162,AB4163,"")</f>
        <v/>
      </c>
    </row>
    <row r="4164">
      <c r="W4164" s="7" t="n"/>
      <c r="X4164" s="7" t="n"/>
      <c r="Z4164">
        <f>Z4163+IF(W4164="",0,IF(ISNA(MATCH(W4164,W$256:W4163,0)),1,0))</f>
        <v/>
      </c>
      <c r="AA4164">
        <f>IF(Z4164&gt;Z4163,Z4164,"")</f>
        <v/>
      </c>
      <c r="AB4164">
        <f>AB4163+IF(X4164="",0,IF(ISNA(MATCH(X4164,X$256:X4163,0)),1,0))</f>
        <v/>
      </c>
      <c r="AC4164">
        <f>IF(AB4164&gt;AB4163,AB4164,"")</f>
        <v/>
      </c>
    </row>
    <row r="4165">
      <c r="W4165" s="7" t="n"/>
      <c r="X4165" s="7" t="n"/>
      <c r="Z4165">
        <f>Z4164+IF(W4165="",0,IF(ISNA(MATCH(W4165,W$256:W4164,0)),1,0))</f>
        <v/>
      </c>
      <c r="AA4165">
        <f>IF(Z4165&gt;Z4164,Z4165,"")</f>
        <v/>
      </c>
      <c r="AB4165">
        <f>AB4164+IF(X4165="",0,IF(ISNA(MATCH(X4165,X$256:X4164,0)),1,0))</f>
        <v/>
      </c>
      <c r="AC4165">
        <f>IF(AB4165&gt;AB4164,AB4165,"")</f>
        <v/>
      </c>
    </row>
    <row r="4166">
      <c r="W4166" s="7" t="n"/>
      <c r="X4166" s="7" t="n"/>
      <c r="Z4166">
        <f>Z4165+IF(W4166="",0,IF(ISNA(MATCH(W4166,W$256:W4165,0)),1,0))</f>
        <v/>
      </c>
      <c r="AA4166">
        <f>IF(Z4166&gt;Z4165,Z4166,"")</f>
        <v/>
      </c>
      <c r="AB4166">
        <f>AB4165+IF(X4166="",0,IF(ISNA(MATCH(X4166,X$256:X4165,0)),1,0))</f>
        <v/>
      </c>
      <c r="AC4166">
        <f>IF(AB4166&gt;AB4165,AB4166,"")</f>
        <v/>
      </c>
    </row>
    <row r="4167">
      <c r="W4167" s="7" t="n"/>
      <c r="X4167" s="7" t="n"/>
      <c r="Z4167">
        <f>Z4166+IF(W4167="",0,IF(ISNA(MATCH(W4167,W$256:W4166,0)),1,0))</f>
        <v/>
      </c>
      <c r="AA4167">
        <f>IF(Z4167&gt;Z4166,Z4167,"")</f>
        <v/>
      </c>
      <c r="AB4167">
        <f>AB4166+IF(X4167="",0,IF(ISNA(MATCH(X4167,X$256:X4166,0)),1,0))</f>
        <v/>
      </c>
      <c r="AC4167">
        <f>IF(AB4167&gt;AB4166,AB4167,"")</f>
        <v/>
      </c>
    </row>
    <row r="4168">
      <c r="W4168" s="7" t="n"/>
      <c r="X4168" s="7" t="n"/>
      <c r="Z4168">
        <f>Z4167+IF(W4168="",0,IF(ISNA(MATCH(W4168,W$256:W4167,0)),1,0))</f>
        <v/>
      </c>
      <c r="AA4168">
        <f>IF(Z4168&gt;Z4167,Z4168,"")</f>
        <v/>
      </c>
      <c r="AB4168">
        <f>AB4167+IF(X4168="",0,IF(ISNA(MATCH(X4168,X$256:X4167,0)),1,0))</f>
        <v/>
      </c>
      <c r="AC4168">
        <f>IF(AB4168&gt;AB4167,AB4168,"")</f>
        <v/>
      </c>
    </row>
    <row r="4169">
      <c r="W4169" s="7" t="n"/>
      <c r="X4169" s="7" t="n"/>
      <c r="Z4169">
        <f>Z4168+IF(W4169="",0,IF(ISNA(MATCH(W4169,W$256:W4168,0)),1,0))</f>
        <v/>
      </c>
      <c r="AA4169">
        <f>IF(Z4169&gt;Z4168,Z4169,"")</f>
        <v/>
      </c>
      <c r="AB4169">
        <f>AB4168+IF(X4169="",0,IF(ISNA(MATCH(X4169,X$256:X4168,0)),1,0))</f>
        <v/>
      </c>
      <c r="AC4169">
        <f>IF(AB4169&gt;AB4168,AB4169,"")</f>
        <v/>
      </c>
    </row>
    <row r="4170">
      <c r="W4170" s="7" t="n"/>
      <c r="X4170" s="7" t="n"/>
      <c r="Z4170">
        <f>Z4169+IF(W4170="",0,IF(ISNA(MATCH(W4170,W$256:W4169,0)),1,0))</f>
        <v/>
      </c>
      <c r="AA4170">
        <f>IF(Z4170&gt;Z4169,Z4170,"")</f>
        <v/>
      </c>
      <c r="AB4170">
        <f>AB4169+IF(X4170="",0,IF(ISNA(MATCH(X4170,X$256:X4169,0)),1,0))</f>
        <v/>
      </c>
      <c r="AC4170">
        <f>IF(AB4170&gt;AB4169,AB4170,"")</f>
        <v/>
      </c>
    </row>
    <row r="4171">
      <c r="W4171" s="7" t="n"/>
      <c r="X4171" s="7" t="n"/>
      <c r="Z4171">
        <f>Z4170+IF(W4171="",0,IF(ISNA(MATCH(W4171,W$256:W4170,0)),1,0))</f>
        <v/>
      </c>
      <c r="AA4171">
        <f>IF(Z4171&gt;Z4170,Z4171,"")</f>
        <v/>
      </c>
      <c r="AB4171">
        <f>AB4170+IF(X4171="",0,IF(ISNA(MATCH(X4171,X$256:X4170,0)),1,0))</f>
        <v/>
      </c>
      <c r="AC4171">
        <f>IF(AB4171&gt;AB4170,AB4171,"")</f>
        <v/>
      </c>
    </row>
    <row r="4172">
      <c r="W4172" s="7" t="n"/>
      <c r="X4172" s="7" t="n"/>
      <c r="Z4172">
        <f>Z4171+IF(W4172="",0,IF(ISNA(MATCH(W4172,W$256:W4171,0)),1,0))</f>
        <v/>
      </c>
      <c r="AA4172">
        <f>IF(Z4172&gt;Z4171,Z4172,"")</f>
        <v/>
      </c>
      <c r="AB4172">
        <f>AB4171+IF(X4172="",0,IF(ISNA(MATCH(X4172,X$256:X4171,0)),1,0))</f>
        <v/>
      </c>
      <c r="AC4172">
        <f>IF(AB4172&gt;AB4171,AB4172,"")</f>
        <v/>
      </c>
    </row>
    <row r="4173">
      <c r="W4173" s="7" t="n"/>
      <c r="X4173" s="7" t="n"/>
      <c r="Z4173">
        <f>Z4172+IF(W4173="",0,IF(ISNA(MATCH(W4173,W$256:W4172,0)),1,0))</f>
        <v/>
      </c>
      <c r="AA4173">
        <f>IF(Z4173&gt;Z4172,Z4173,"")</f>
        <v/>
      </c>
      <c r="AB4173">
        <f>AB4172+IF(X4173="",0,IF(ISNA(MATCH(X4173,X$256:X4172,0)),1,0))</f>
        <v/>
      </c>
      <c r="AC4173">
        <f>IF(AB4173&gt;AB4172,AB4173,"")</f>
        <v/>
      </c>
    </row>
    <row r="4174">
      <c r="W4174" s="7" t="n"/>
      <c r="X4174" s="7" t="n"/>
      <c r="Z4174">
        <f>Z4173+IF(W4174="",0,IF(ISNA(MATCH(W4174,W$256:W4173,0)),1,0))</f>
        <v/>
      </c>
      <c r="AA4174">
        <f>IF(Z4174&gt;Z4173,Z4174,"")</f>
        <v/>
      </c>
      <c r="AB4174">
        <f>AB4173+IF(X4174="",0,IF(ISNA(MATCH(X4174,X$256:X4173,0)),1,0))</f>
        <v/>
      </c>
      <c r="AC4174">
        <f>IF(AB4174&gt;AB4173,AB4174,"")</f>
        <v/>
      </c>
    </row>
    <row r="4175">
      <c r="W4175" s="7" t="n"/>
      <c r="X4175" s="7" t="n"/>
      <c r="Z4175">
        <f>Z4174+IF(W4175="",0,IF(ISNA(MATCH(W4175,W$256:W4174,0)),1,0))</f>
        <v/>
      </c>
      <c r="AA4175">
        <f>IF(Z4175&gt;Z4174,Z4175,"")</f>
        <v/>
      </c>
      <c r="AB4175">
        <f>AB4174+IF(X4175="",0,IF(ISNA(MATCH(X4175,X$256:X4174,0)),1,0))</f>
        <v/>
      </c>
      <c r="AC4175">
        <f>IF(AB4175&gt;AB4174,AB4175,"")</f>
        <v/>
      </c>
    </row>
    <row r="4176">
      <c r="W4176" s="7" t="n"/>
      <c r="X4176" s="7" t="n"/>
      <c r="Z4176">
        <f>Z4175+IF(W4176="",0,IF(ISNA(MATCH(W4176,W$256:W4175,0)),1,0))</f>
        <v/>
      </c>
      <c r="AA4176">
        <f>IF(Z4176&gt;Z4175,Z4176,"")</f>
        <v/>
      </c>
      <c r="AB4176">
        <f>AB4175+IF(X4176="",0,IF(ISNA(MATCH(X4176,X$256:X4175,0)),1,0))</f>
        <v/>
      </c>
      <c r="AC4176">
        <f>IF(AB4176&gt;AB4175,AB4176,"")</f>
        <v/>
      </c>
    </row>
    <row r="4177">
      <c r="W4177" s="7" t="n"/>
      <c r="X4177" s="7" t="n"/>
      <c r="Z4177">
        <f>Z4176+IF(W4177="",0,IF(ISNA(MATCH(W4177,W$256:W4176,0)),1,0))</f>
        <v/>
      </c>
      <c r="AA4177">
        <f>IF(Z4177&gt;Z4176,Z4177,"")</f>
        <v/>
      </c>
      <c r="AB4177">
        <f>AB4176+IF(X4177="",0,IF(ISNA(MATCH(X4177,X$256:X4176,0)),1,0))</f>
        <v/>
      </c>
      <c r="AC4177">
        <f>IF(AB4177&gt;AB4176,AB4177,"")</f>
        <v/>
      </c>
    </row>
    <row r="4178">
      <c r="W4178" s="7" t="n"/>
      <c r="X4178" s="7" t="n"/>
      <c r="Z4178">
        <f>Z4177+IF(W4178="",0,IF(ISNA(MATCH(W4178,W$256:W4177,0)),1,0))</f>
        <v/>
      </c>
      <c r="AA4178">
        <f>IF(Z4178&gt;Z4177,Z4178,"")</f>
        <v/>
      </c>
      <c r="AB4178">
        <f>AB4177+IF(X4178="",0,IF(ISNA(MATCH(X4178,X$256:X4177,0)),1,0))</f>
        <v/>
      </c>
      <c r="AC4178">
        <f>IF(AB4178&gt;AB4177,AB4178,"")</f>
        <v/>
      </c>
    </row>
    <row r="4179">
      <c r="W4179" s="7" t="n"/>
      <c r="X4179" s="7" t="n"/>
      <c r="Z4179">
        <f>Z4178+IF(W4179="",0,IF(ISNA(MATCH(W4179,W$256:W4178,0)),1,0))</f>
        <v/>
      </c>
      <c r="AA4179">
        <f>IF(Z4179&gt;Z4178,Z4179,"")</f>
        <v/>
      </c>
      <c r="AB4179">
        <f>AB4178+IF(X4179="",0,IF(ISNA(MATCH(X4179,X$256:X4178,0)),1,0))</f>
        <v/>
      </c>
      <c r="AC4179">
        <f>IF(AB4179&gt;AB4178,AB4179,"")</f>
        <v/>
      </c>
    </row>
    <row r="4180">
      <c r="W4180" s="7" t="n"/>
      <c r="X4180" s="7" t="n"/>
      <c r="Z4180">
        <f>Z4179+IF(W4180="",0,IF(ISNA(MATCH(W4180,W$256:W4179,0)),1,0))</f>
        <v/>
      </c>
      <c r="AA4180">
        <f>IF(Z4180&gt;Z4179,Z4180,"")</f>
        <v/>
      </c>
      <c r="AB4180">
        <f>AB4179+IF(X4180="",0,IF(ISNA(MATCH(X4180,X$256:X4179,0)),1,0))</f>
        <v/>
      </c>
      <c r="AC4180">
        <f>IF(AB4180&gt;AB4179,AB4180,"")</f>
        <v/>
      </c>
    </row>
    <row r="4181">
      <c r="W4181" s="7" t="n"/>
      <c r="X4181" s="7" t="n"/>
      <c r="Z4181">
        <f>Z4180+IF(W4181="",0,IF(ISNA(MATCH(W4181,W$256:W4180,0)),1,0))</f>
        <v/>
      </c>
      <c r="AA4181">
        <f>IF(Z4181&gt;Z4180,Z4181,"")</f>
        <v/>
      </c>
      <c r="AB4181">
        <f>AB4180+IF(X4181="",0,IF(ISNA(MATCH(X4181,X$256:X4180,0)),1,0))</f>
        <v/>
      </c>
      <c r="AC4181">
        <f>IF(AB4181&gt;AB4180,AB4181,"")</f>
        <v/>
      </c>
    </row>
    <row r="4182">
      <c r="W4182" s="7" t="n"/>
      <c r="X4182" s="7" t="n"/>
      <c r="Z4182">
        <f>Z4181+IF(W4182="",0,IF(ISNA(MATCH(W4182,W$256:W4181,0)),1,0))</f>
        <v/>
      </c>
      <c r="AA4182">
        <f>IF(Z4182&gt;Z4181,Z4182,"")</f>
        <v/>
      </c>
      <c r="AB4182">
        <f>AB4181+IF(X4182="",0,IF(ISNA(MATCH(X4182,X$256:X4181,0)),1,0))</f>
        <v/>
      </c>
      <c r="AC4182">
        <f>IF(AB4182&gt;AB4181,AB4182,"")</f>
        <v/>
      </c>
    </row>
    <row r="4183">
      <c r="W4183" s="7" t="n"/>
      <c r="X4183" s="7" t="n"/>
      <c r="Z4183">
        <f>Z4182+IF(W4183="",0,IF(ISNA(MATCH(W4183,W$256:W4182,0)),1,0))</f>
        <v/>
      </c>
      <c r="AA4183">
        <f>IF(Z4183&gt;Z4182,Z4183,"")</f>
        <v/>
      </c>
      <c r="AB4183">
        <f>AB4182+IF(X4183="",0,IF(ISNA(MATCH(X4183,X$256:X4182,0)),1,0))</f>
        <v/>
      </c>
      <c r="AC4183">
        <f>IF(AB4183&gt;AB4182,AB4183,"")</f>
        <v/>
      </c>
    </row>
    <row r="4184">
      <c r="W4184" s="7" t="n"/>
      <c r="X4184" s="7" t="n"/>
      <c r="Z4184">
        <f>Z4183+IF(W4184="",0,IF(ISNA(MATCH(W4184,W$256:W4183,0)),1,0))</f>
        <v/>
      </c>
      <c r="AA4184">
        <f>IF(Z4184&gt;Z4183,Z4184,"")</f>
        <v/>
      </c>
      <c r="AB4184">
        <f>AB4183+IF(X4184="",0,IF(ISNA(MATCH(X4184,X$256:X4183,0)),1,0))</f>
        <v/>
      </c>
      <c r="AC4184">
        <f>IF(AB4184&gt;AB4183,AB4184,"")</f>
        <v/>
      </c>
    </row>
    <row r="4185">
      <c r="W4185" s="7" t="n"/>
      <c r="X4185" s="7" t="n"/>
      <c r="Z4185">
        <f>Z4184+IF(W4185="",0,IF(ISNA(MATCH(W4185,W$256:W4184,0)),1,0))</f>
        <v/>
      </c>
      <c r="AA4185">
        <f>IF(Z4185&gt;Z4184,Z4185,"")</f>
        <v/>
      </c>
      <c r="AB4185">
        <f>AB4184+IF(X4185="",0,IF(ISNA(MATCH(X4185,X$256:X4184,0)),1,0))</f>
        <v/>
      </c>
      <c r="AC4185">
        <f>IF(AB4185&gt;AB4184,AB4185,"")</f>
        <v/>
      </c>
    </row>
    <row r="4186">
      <c r="W4186" s="7" t="n"/>
      <c r="X4186" s="7" t="n"/>
      <c r="Z4186">
        <f>Z4185+IF(W4186="",0,IF(ISNA(MATCH(W4186,W$256:W4185,0)),1,0))</f>
        <v/>
      </c>
      <c r="AA4186">
        <f>IF(Z4186&gt;Z4185,Z4186,"")</f>
        <v/>
      </c>
      <c r="AB4186">
        <f>AB4185+IF(X4186="",0,IF(ISNA(MATCH(X4186,X$256:X4185,0)),1,0))</f>
        <v/>
      </c>
      <c r="AC4186">
        <f>IF(AB4186&gt;AB4185,AB4186,"")</f>
        <v/>
      </c>
    </row>
    <row r="4187">
      <c r="W4187" s="7" t="n"/>
      <c r="X4187" s="7" t="n"/>
      <c r="Z4187">
        <f>Z4186+IF(W4187="",0,IF(ISNA(MATCH(W4187,W$256:W4186,0)),1,0))</f>
        <v/>
      </c>
      <c r="AA4187">
        <f>IF(Z4187&gt;Z4186,Z4187,"")</f>
        <v/>
      </c>
      <c r="AB4187">
        <f>AB4186+IF(X4187="",0,IF(ISNA(MATCH(X4187,X$256:X4186,0)),1,0))</f>
        <v/>
      </c>
      <c r="AC4187">
        <f>IF(AB4187&gt;AB4186,AB4187,"")</f>
        <v/>
      </c>
    </row>
    <row r="4188">
      <c r="W4188" s="7" t="n"/>
      <c r="X4188" s="7" t="n"/>
      <c r="Z4188">
        <f>Z4187+IF(W4188="",0,IF(ISNA(MATCH(W4188,W$256:W4187,0)),1,0))</f>
        <v/>
      </c>
      <c r="AA4188">
        <f>IF(Z4188&gt;Z4187,Z4188,"")</f>
        <v/>
      </c>
      <c r="AB4188">
        <f>AB4187+IF(X4188="",0,IF(ISNA(MATCH(X4188,X$256:X4187,0)),1,0))</f>
        <v/>
      </c>
      <c r="AC4188">
        <f>IF(AB4188&gt;AB4187,AB4188,"")</f>
        <v/>
      </c>
    </row>
    <row r="4189">
      <c r="W4189" s="7" t="n"/>
      <c r="X4189" s="7" t="n"/>
      <c r="Z4189">
        <f>Z4188+IF(W4189="",0,IF(ISNA(MATCH(W4189,W$256:W4188,0)),1,0))</f>
        <v/>
      </c>
      <c r="AA4189">
        <f>IF(Z4189&gt;Z4188,Z4189,"")</f>
        <v/>
      </c>
      <c r="AB4189">
        <f>AB4188+IF(X4189="",0,IF(ISNA(MATCH(X4189,X$256:X4188,0)),1,0))</f>
        <v/>
      </c>
      <c r="AC4189">
        <f>IF(AB4189&gt;AB4188,AB4189,"")</f>
        <v/>
      </c>
    </row>
    <row r="4190">
      <c r="W4190" s="7" t="n"/>
      <c r="X4190" s="7" t="n"/>
      <c r="Z4190">
        <f>Z4189+IF(W4190="",0,IF(ISNA(MATCH(W4190,W$256:W4189,0)),1,0))</f>
        <v/>
      </c>
      <c r="AA4190">
        <f>IF(Z4190&gt;Z4189,Z4190,"")</f>
        <v/>
      </c>
      <c r="AB4190">
        <f>AB4189+IF(X4190="",0,IF(ISNA(MATCH(X4190,X$256:X4189,0)),1,0))</f>
        <v/>
      </c>
      <c r="AC4190">
        <f>IF(AB4190&gt;AB4189,AB4190,"")</f>
        <v/>
      </c>
    </row>
    <row r="4191">
      <c r="W4191" s="7" t="n"/>
      <c r="X4191" s="7" t="n"/>
      <c r="Z4191">
        <f>Z4190+IF(W4191="",0,IF(ISNA(MATCH(W4191,W$256:W4190,0)),1,0))</f>
        <v/>
      </c>
      <c r="AA4191">
        <f>IF(Z4191&gt;Z4190,Z4191,"")</f>
        <v/>
      </c>
      <c r="AB4191">
        <f>AB4190+IF(X4191="",0,IF(ISNA(MATCH(X4191,X$256:X4190,0)),1,0))</f>
        <v/>
      </c>
      <c r="AC4191">
        <f>IF(AB4191&gt;AB4190,AB4191,"")</f>
        <v/>
      </c>
    </row>
    <row r="4192">
      <c r="W4192" s="7" t="n"/>
      <c r="X4192" s="7" t="n"/>
      <c r="Z4192">
        <f>Z4191+IF(W4192="",0,IF(ISNA(MATCH(W4192,W$256:W4191,0)),1,0))</f>
        <v/>
      </c>
      <c r="AA4192">
        <f>IF(Z4192&gt;Z4191,Z4192,"")</f>
        <v/>
      </c>
      <c r="AB4192">
        <f>AB4191+IF(X4192="",0,IF(ISNA(MATCH(X4192,X$256:X4191,0)),1,0))</f>
        <v/>
      </c>
      <c r="AC4192">
        <f>IF(AB4192&gt;AB4191,AB4192,"")</f>
        <v/>
      </c>
    </row>
    <row r="4193">
      <c r="W4193" s="7" t="n"/>
      <c r="X4193" s="7" t="n"/>
      <c r="Z4193">
        <f>Z4192+IF(W4193="",0,IF(ISNA(MATCH(W4193,W$256:W4192,0)),1,0))</f>
        <v/>
      </c>
      <c r="AA4193">
        <f>IF(Z4193&gt;Z4192,Z4193,"")</f>
        <v/>
      </c>
      <c r="AB4193">
        <f>AB4192+IF(X4193="",0,IF(ISNA(MATCH(X4193,X$256:X4192,0)),1,0))</f>
        <v/>
      </c>
      <c r="AC4193">
        <f>IF(AB4193&gt;AB4192,AB4193,"")</f>
        <v/>
      </c>
    </row>
    <row r="4194">
      <c r="W4194" s="7" t="n"/>
      <c r="X4194" s="7" t="n"/>
      <c r="Z4194">
        <f>Z4193+IF(W4194="",0,IF(ISNA(MATCH(W4194,W$256:W4193,0)),1,0))</f>
        <v/>
      </c>
      <c r="AA4194">
        <f>IF(Z4194&gt;Z4193,Z4194,"")</f>
        <v/>
      </c>
      <c r="AB4194">
        <f>AB4193+IF(X4194="",0,IF(ISNA(MATCH(X4194,X$256:X4193,0)),1,0))</f>
        <v/>
      </c>
      <c r="AC4194">
        <f>IF(AB4194&gt;AB4193,AB4194,"")</f>
        <v/>
      </c>
    </row>
    <row r="4195">
      <c r="W4195" s="7" t="n"/>
      <c r="X4195" s="7" t="n"/>
      <c r="Z4195">
        <f>Z4194+IF(W4195="",0,IF(ISNA(MATCH(W4195,W$256:W4194,0)),1,0))</f>
        <v/>
      </c>
      <c r="AA4195">
        <f>IF(Z4195&gt;Z4194,Z4195,"")</f>
        <v/>
      </c>
      <c r="AB4195">
        <f>AB4194+IF(X4195="",0,IF(ISNA(MATCH(X4195,X$256:X4194,0)),1,0))</f>
        <v/>
      </c>
      <c r="AC4195">
        <f>IF(AB4195&gt;AB4194,AB4195,"")</f>
        <v/>
      </c>
    </row>
    <row r="4196">
      <c r="W4196" s="7" t="n"/>
      <c r="X4196" s="7" t="n"/>
      <c r="Z4196">
        <f>Z4195+IF(W4196="",0,IF(ISNA(MATCH(W4196,W$256:W4195,0)),1,0))</f>
        <v/>
      </c>
      <c r="AA4196">
        <f>IF(Z4196&gt;Z4195,Z4196,"")</f>
        <v/>
      </c>
      <c r="AB4196">
        <f>AB4195+IF(X4196="",0,IF(ISNA(MATCH(X4196,X$256:X4195,0)),1,0))</f>
        <v/>
      </c>
      <c r="AC4196">
        <f>IF(AB4196&gt;AB4195,AB4196,"")</f>
        <v/>
      </c>
    </row>
    <row r="4197">
      <c r="W4197" s="7" t="n"/>
      <c r="X4197" s="7" t="n"/>
      <c r="Z4197">
        <f>Z4196+IF(W4197="",0,IF(ISNA(MATCH(W4197,W$256:W4196,0)),1,0))</f>
        <v/>
      </c>
      <c r="AA4197">
        <f>IF(Z4197&gt;Z4196,Z4197,"")</f>
        <v/>
      </c>
      <c r="AB4197">
        <f>AB4196+IF(X4197="",0,IF(ISNA(MATCH(X4197,X$256:X4196,0)),1,0))</f>
        <v/>
      </c>
      <c r="AC4197">
        <f>IF(AB4197&gt;AB4196,AB4197,"")</f>
        <v/>
      </c>
    </row>
    <row r="4198">
      <c r="W4198" s="7" t="n"/>
      <c r="X4198" s="7" t="n"/>
      <c r="Z4198">
        <f>Z4197+IF(W4198="",0,IF(ISNA(MATCH(W4198,W$256:W4197,0)),1,0))</f>
        <v/>
      </c>
      <c r="AA4198">
        <f>IF(Z4198&gt;Z4197,Z4198,"")</f>
        <v/>
      </c>
      <c r="AB4198">
        <f>AB4197+IF(X4198="",0,IF(ISNA(MATCH(X4198,X$256:X4197,0)),1,0))</f>
        <v/>
      </c>
      <c r="AC4198">
        <f>IF(AB4198&gt;AB4197,AB4198,"")</f>
        <v/>
      </c>
    </row>
    <row r="4199">
      <c r="W4199" s="7" t="n"/>
      <c r="X4199" s="7" t="n"/>
      <c r="Z4199">
        <f>Z4198+IF(W4199="",0,IF(ISNA(MATCH(W4199,W$256:W4198,0)),1,0))</f>
        <v/>
      </c>
      <c r="AA4199">
        <f>IF(Z4199&gt;Z4198,Z4199,"")</f>
        <v/>
      </c>
      <c r="AB4199">
        <f>AB4198+IF(X4199="",0,IF(ISNA(MATCH(X4199,X$256:X4198,0)),1,0))</f>
        <v/>
      </c>
      <c r="AC4199">
        <f>IF(AB4199&gt;AB4198,AB4199,"")</f>
        <v/>
      </c>
    </row>
    <row r="4200">
      <c r="W4200" s="7" t="n"/>
      <c r="X4200" s="7" t="n"/>
      <c r="Z4200">
        <f>Z4199+IF(W4200="",0,IF(ISNA(MATCH(W4200,W$256:W4199,0)),1,0))</f>
        <v/>
      </c>
      <c r="AA4200">
        <f>IF(Z4200&gt;Z4199,Z4200,"")</f>
        <v/>
      </c>
      <c r="AB4200">
        <f>AB4199+IF(X4200="",0,IF(ISNA(MATCH(X4200,X$256:X4199,0)),1,0))</f>
        <v/>
      </c>
      <c r="AC4200">
        <f>IF(AB4200&gt;AB4199,AB4200,"")</f>
        <v/>
      </c>
    </row>
    <row r="4201">
      <c r="W4201" s="7" t="n"/>
      <c r="X4201" s="7" t="n"/>
      <c r="Z4201">
        <f>Z4200+IF(W4201="",0,IF(ISNA(MATCH(W4201,W$256:W4200,0)),1,0))</f>
        <v/>
      </c>
      <c r="AA4201">
        <f>IF(Z4201&gt;Z4200,Z4201,"")</f>
        <v/>
      </c>
      <c r="AB4201">
        <f>AB4200+IF(X4201="",0,IF(ISNA(MATCH(X4201,X$256:X4200,0)),1,0))</f>
        <v/>
      </c>
      <c r="AC4201">
        <f>IF(AB4201&gt;AB4200,AB4201,"")</f>
        <v/>
      </c>
    </row>
    <row r="4202">
      <c r="W4202" s="7" t="n"/>
      <c r="X4202" s="7" t="n"/>
      <c r="Z4202">
        <f>Z4201+IF(W4202="",0,IF(ISNA(MATCH(W4202,W$256:W4201,0)),1,0))</f>
        <v/>
      </c>
      <c r="AA4202">
        <f>IF(Z4202&gt;Z4201,Z4202,"")</f>
        <v/>
      </c>
      <c r="AB4202">
        <f>AB4201+IF(X4202="",0,IF(ISNA(MATCH(X4202,X$256:X4201,0)),1,0))</f>
        <v/>
      </c>
      <c r="AC4202">
        <f>IF(AB4202&gt;AB4201,AB4202,"")</f>
        <v/>
      </c>
    </row>
    <row r="4203">
      <c r="W4203" s="7" t="n"/>
      <c r="X4203" s="7" t="n"/>
      <c r="Z4203">
        <f>Z4202+IF(W4203="",0,IF(ISNA(MATCH(W4203,W$256:W4202,0)),1,0))</f>
        <v/>
      </c>
      <c r="AA4203">
        <f>IF(Z4203&gt;Z4202,Z4203,"")</f>
        <v/>
      </c>
      <c r="AB4203">
        <f>AB4202+IF(X4203="",0,IF(ISNA(MATCH(X4203,X$256:X4202,0)),1,0))</f>
        <v/>
      </c>
      <c r="AC4203">
        <f>IF(AB4203&gt;AB4202,AB4203,"")</f>
        <v/>
      </c>
    </row>
    <row r="4204">
      <c r="W4204" s="7" t="n"/>
      <c r="X4204" s="7" t="n"/>
      <c r="Z4204">
        <f>Z4203+IF(W4204="",0,IF(ISNA(MATCH(W4204,W$256:W4203,0)),1,0))</f>
        <v/>
      </c>
      <c r="AA4204">
        <f>IF(Z4204&gt;Z4203,Z4204,"")</f>
        <v/>
      </c>
      <c r="AB4204">
        <f>AB4203+IF(X4204="",0,IF(ISNA(MATCH(X4204,X$256:X4203,0)),1,0))</f>
        <v/>
      </c>
      <c r="AC4204">
        <f>IF(AB4204&gt;AB4203,AB4204,"")</f>
        <v/>
      </c>
    </row>
    <row r="4205">
      <c r="W4205" s="7" t="n"/>
      <c r="X4205" s="7" t="n"/>
      <c r="Z4205">
        <f>Z4204+IF(W4205="",0,IF(ISNA(MATCH(W4205,W$256:W4204,0)),1,0))</f>
        <v/>
      </c>
      <c r="AA4205">
        <f>IF(Z4205&gt;Z4204,Z4205,"")</f>
        <v/>
      </c>
      <c r="AB4205">
        <f>AB4204+IF(X4205="",0,IF(ISNA(MATCH(X4205,X$256:X4204,0)),1,0))</f>
        <v/>
      </c>
      <c r="AC4205">
        <f>IF(AB4205&gt;AB4204,AB4205,"")</f>
        <v/>
      </c>
    </row>
    <row r="4206">
      <c r="W4206" s="7" t="n"/>
      <c r="X4206" s="7" t="n"/>
      <c r="Z4206">
        <f>Z4205+IF(W4206="",0,IF(ISNA(MATCH(W4206,W$256:W4205,0)),1,0))</f>
        <v/>
      </c>
      <c r="AA4206">
        <f>IF(Z4206&gt;Z4205,Z4206,"")</f>
        <v/>
      </c>
      <c r="AB4206">
        <f>AB4205+IF(X4206="",0,IF(ISNA(MATCH(X4206,X$256:X4205,0)),1,0))</f>
        <v/>
      </c>
      <c r="AC4206">
        <f>IF(AB4206&gt;AB4205,AB4206,"")</f>
        <v/>
      </c>
    </row>
    <row r="4207">
      <c r="W4207" s="7" t="n"/>
      <c r="X4207" s="7" t="n"/>
      <c r="Z4207">
        <f>Z4206+IF(W4207="",0,IF(ISNA(MATCH(W4207,W$256:W4206,0)),1,0))</f>
        <v/>
      </c>
      <c r="AA4207">
        <f>IF(Z4207&gt;Z4206,Z4207,"")</f>
        <v/>
      </c>
      <c r="AB4207">
        <f>AB4206+IF(X4207="",0,IF(ISNA(MATCH(X4207,X$256:X4206,0)),1,0))</f>
        <v/>
      </c>
      <c r="AC4207">
        <f>IF(AB4207&gt;AB4206,AB4207,"")</f>
        <v/>
      </c>
    </row>
    <row r="4208">
      <c r="W4208" s="7" t="n"/>
      <c r="X4208" s="7" t="n"/>
      <c r="Z4208">
        <f>Z4207+IF(W4208="",0,IF(ISNA(MATCH(W4208,W$256:W4207,0)),1,0))</f>
        <v/>
      </c>
      <c r="AA4208">
        <f>IF(Z4208&gt;Z4207,Z4208,"")</f>
        <v/>
      </c>
      <c r="AB4208">
        <f>AB4207+IF(X4208="",0,IF(ISNA(MATCH(X4208,X$256:X4207,0)),1,0))</f>
        <v/>
      </c>
      <c r="AC4208">
        <f>IF(AB4208&gt;AB4207,AB4208,"")</f>
        <v/>
      </c>
    </row>
    <row r="4209">
      <c r="W4209" s="7" t="n"/>
      <c r="X4209" s="7" t="n"/>
      <c r="Z4209">
        <f>Z4208+IF(W4209="",0,IF(ISNA(MATCH(W4209,W$256:W4208,0)),1,0))</f>
        <v/>
      </c>
      <c r="AA4209">
        <f>IF(Z4209&gt;Z4208,Z4209,"")</f>
        <v/>
      </c>
      <c r="AB4209">
        <f>AB4208+IF(X4209="",0,IF(ISNA(MATCH(X4209,X$256:X4208,0)),1,0))</f>
        <v/>
      </c>
      <c r="AC4209">
        <f>IF(AB4209&gt;AB4208,AB4209,"")</f>
        <v/>
      </c>
    </row>
    <row r="4210">
      <c r="W4210" s="7" t="n"/>
      <c r="X4210" s="7" t="n"/>
      <c r="Z4210">
        <f>Z4209+IF(W4210="",0,IF(ISNA(MATCH(W4210,W$256:W4209,0)),1,0))</f>
        <v/>
      </c>
      <c r="AA4210">
        <f>IF(Z4210&gt;Z4209,Z4210,"")</f>
        <v/>
      </c>
      <c r="AB4210">
        <f>AB4209+IF(X4210="",0,IF(ISNA(MATCH(X4210,X$256:X4209,0)),1,0))</f>
        <v/>
      </c>
      <c r="AC4210">
        <f>IF(AB4210&gt;AB4209,AB4210,"")</f>
        <v/>
      </c>
    </row>
    <row r="4211">
      <c r="W4211" s="7" t="n"/>
      <c r="X4211" s="7" t="n"/>
      <c r="Z4211">
        <f>Z4210+IF(W4211="",0,IF(ISNA(MATCH(W4211,W$256:W4210,0)),1,0))</f>
        <v/>
      </c>
      <c r="AA4211">
        <f>IF(Z4211&gt;Z4210,Z4211,"")</f>
        <v/>
      </c>
      <c r="AB4211">
        <f>AB4210+IF(X4211="",0,IF(ISNA(MATCH(X4211,X$256:X4210,0)),1,0))</f>
        <v/>
      </c>
      <c r="AC4211">
        <f>IF(AB4211&gt;AB4210,AB4211,"")</f>
        <v/>
      </c>
    </row>
    <row r="4212">
      <c r="W4212" s="7" t="n"/>
      <c r="X4212" s="7" t="n"/>
      <c r="Z4212">
        <f>Z4211+IF(W4212="",0,IF(ISNA(MATCH(W4212,W$256:W4211,0)),1,0))</f>
        <v/>
      </c>
      <c r="AA4212">
        <f>IF(Z4212&gt;Z4211,Z4212,"")</f>
        <v/>
      </c>
      <c r="AB4212">
        <f>AB4211+IF(X4212="",0,IF(ISNA(MATCH(X4212,X$256:X4211,0)),1,0))</f>
        <v/>
      </c>
      <c r="AC4212">
        <f>IF(AB4212&gt;AB4211,AB4212,"")</f>
        <v/>
      </c>
    </row>
    <row r="4213">
      <c r="W4213" s="7" t="n"/>
      <c r="X4213" s="7" t="n"/>
      <c r="Z4213">
        <f>Z4212+IF(W4213="",0,IF(ISNA(MATCH(W4213,W$256:W4212,0)),1,0))</f>
        <v/>
      </c>
      <c r="AA4213">
        <f>IF(Z4213&gt;Z4212,Z4213,"")</f>
        <v/>
      </c>
      <c r="AB4213">
        <f>AB4212+IF(X4213="",0,IF(ISNA(MATCH(X4213,X$256:X4212,0)),1,0))</f>
        <v/>
      </c>
      <c r="AC4213">
        <f>IF(AB4213&gt;AB4212,AB4213,"")</f>
        <v/>
      </c>
    </row>
    <row r="4214">
      <c r="W4214" s="7" t="n"/>
      <c r="X4214" s="7" t="n"/>
      <c r="Z4214">
        <f>Z4213+IF(W4214="",0,IF(ISNA(MATCH(W4214,W$256:W4213,0)),1,0))</f>
        <v/>
      </c>
      <c r="AA4214">
        <f>IF(Z4214&gt;Z4213,Z4214,"")</f>
        <v/>
      </c>
      <c r="AB4214">
        <f>AB4213+IF(X4214="",0,IF(ISNA(MATCH(X4214,X$256:X4213,0)),1,0))</f>
        <v/>
      </c>
      <c r="AC4214">
        <f>IF(AB4214&gt;AB4213,AB4214,"")</f>
        <v/>
      </c>
    </row>
    <row r="4215">
      <c r="W4215" s="7" t="n"/>
      <c r="X4215" s="7" t="n"/>
      <c r="Z4215">
        <f>Z4214+IF(W4215="",0,IF(ISNA(MATCH(W4215,W$256:W4214,0)),1,0))</f>
        <v/>
      </c>
      <c r="AA4215">
        <f>IF(Z4215&gt;Z4214,Z4215,"")</f>
        <v/>
      </c>
      <c r="AB4215">
        <f>AB4214+IF(X4215="",0,IF(ISNA(MATCH(X4215,X$256:X4214,0)),1,0))</f>
        <v/>
      </c>
      <c r="AC4215">
        <f>IF(AB4215&gt;AB4214,AB4215,"")</f>
        <v/>
      </c>
    </row>
    <row r="4216">
      <c r="W4216" s="7" t="n"/>
      <c r="X4216" s="7" t="n"/>
      <c r="Z4216">
        <f>Z4215+IF(W4216="",0,IF(ISNA(MATCH(W4216,W$256:W4215,0)),1,0))</f>
        <v/>
      </c>
      <c r="AA4216">
        <f>IF(Z4216&gt;Z4215,Z4216,"")</f>
        <v/>
      </c>
      <c r="AB4216">
        <f>AB4215+IF(X4216="",0,IF(ISNA(MATCH(X4216,X$256:X4215,0)),1,0))</f>
        <v/>
      </c>
      <c r="AC4216">
        <f>IF(AB4216&gt;AB4215,AB4216,"")</f>
        <v/>
      </c>
    </row>
    <row r="4217">
      <c r="W4217" s="7" t="n"/>
      <c r="X4217" s="7" t="n"/>
      <c r="Z4217">
        <f>Z4216+IF(W4217="",0,IF(ISNA(MATCH(W4217,W$256:W4216,0)),1,0))</f>
        <v/>
      </c>
      <c r="AA4217">
        <f>IF(Z4217&gt;Z4216,Z4217,"")</f>
        <v/>
      </c>
      <c r="AB4217">
        <f>AB4216+IF(X4217="",0,IF(ISNA(MATCH(X4217,X$256:X4216,0)),1,0))</f>
        <v/>
      </c>
      <c r="AC4217">
        <f>IF(AB4217&gt;AB4216,AB4217,"")</f>
        <v/>
      </c>
    </row>
    <row r="4218">
      <c r="W4218" s="7" t="n"/>
      <c r="X4218" s="7" t="n"/>
      <c r="Z4218">
        <f>Z4217+IF(W4218="",0,IF(ISNA(MATCH(W4218,W$256:W4217,0)),1,0))</f>
        <v/>
      </c>
      <c r="AA4218">
        <f>IF(Z4218&gt;Z4217,Z4218,"")</f>
        <v/>
      </c>
      <c r="AB4218">
        <f>AB4217+IF(X4218="",0,IF(ISNA(MATCH(X4218,X$256:X4217,0)),1,0))</f>
        <v/>
      </c>
      <c r="AC4218">
        <f>IF(AB4218&gt;AB4217,AB4218,"")</f>
        <v/>
      </c>
    </row>
    <row r="4219">
      <c r="W4219" s="7" t="n"/>
      <c r="X4219" s="7" t="n"/>
      <c r="Z4219">
        <f>Z4218+IF(W4219="",0,IF(ISNA(MATCH(W4219,W$256:W4218,0)),1,0))</f>
        <v/>
      </c>
      <c r="AA4219">
        <f>IF(Z4219&gt;Z4218,Z4219,"")</f>
        <v/>
      </c>
      <c r="AB4219">
        <f>AB4218+IF(X4219="",0,IF(ISNA(MATCH(X4219,X$256:X4218,0)),1,0))</f>
        <v/>
      </c>
      <c r="AC4219">
        <f>IF(AB4219&gt;AB4218,AB4219,"")</f>
        <v/>
      </c>
    </row>
    <row r="4220">
      <c r="W4220" s="7" t="n"/>
      <c r="X4220" s="7" t="n"/>
      <c r="Z4220">
        <f>Z4219+IF(W4220="",0,IF(ISNA(MATCH(W4220,W$256:W4219,0)),1,0))</f>
        <v/>
      </c>
      <c r="AA4220">
        <f>IF(Z4220&gt;Z4219,Z4220,"")</f>
        <v/>
      </c>
      <c r="AB4220">
        <f>AB4219+IF(X4220="",0,IF(ISNA(MATCH(X4220,X$256:X4219,0)),1,0))</f>
        <v/>
      </c>
      <c r="AC4220">
        <f>IF(AB4220&gt;AB4219,AB4220,"")</f>
        <v/>
      </c>
    </row>
    <row r="4221">
      <c r="W4221" s="7" t="n"/>
      <c r="X4221" s="7" t="n"/>
      <c r="Z4221">
        <f>Z4220+IF(W4221="",0,IF(ISNA(MATCH(W4221,W$256:W4220,0)),1,0))</f>
        <v/>
      </c>
      <c r="AA4221">
        <f>IF(Z4221&gt;Z4220,Z4221,"")</f>
        <v/>
      </c>
      <c r="AB4221">
        <f>AB4220+IF(X4221="",0,IF(ISNA(MATCH(X4221,X$256:X4220,0)),1,0))</f>
        <v/>
      </c>
      <c r="AC4221">
        <f>IF(AB4221&gt;AB4220,AB4221,"")</f>
        <v/>
      </c>
    </row>
    <row r="4222">
      <c r="W4222" s="7" t="n"/>
      <c r="X4222" s="7" t="n"/>
      <c r="Z4222">
        <f>Z4221+IF(W4222="",0,IF(ISNA(MATCH(W4222,W$256:W4221,0)),1,0))</f>
        <v/>
      </c>
      <c r="AA4222">
        <f>IF(Z4222&gt;Z4221,Z4222,"")</f>
        <v/>
      </c>
      <c r="AB4222">
        <f>AB4221+IF(X4222="",0,IF(ISNA(MATCH(X4222,X$256:X4221,0)),1,0))</f>
        <v/>
      </c>
      <c r="AC4222">
        <f>IF(AB4222&gt;AB4221,AB4222,"")</f>
        <v/>
      </c>
    </row>
    <row r="4223">
      <c r="W4223" s="7" t="n"/>
      <c r="X4223" s="7" t="n"/>
      <c r="Z4223">
        <f>Z4222+IF(W4223="",0,IF(ISNA(MATCH(W4223,W$256:W4222,0)),1,0))</f>
        <v/>
      </c>
      <c r="AA4223">
        <f>IF(Z4223&gt;Z4222,Z4223,"")</f>
        <v/>
      </c>
      <c r="AB4223">
        <f>AB4222+IF(X4223="",0,IF(ISNA(MATCH(X4223,X$256:X4222,0)),1,0))</f>
        <v/>
      </c>
      <c r="AC4223">
        <f>IF(AB4223&gt;AB4222,AB4223,"")</f>
        <v/>
      </c>
    </row>
    <row r="4224">
      <c r="W4224" s="7" t="n"/>
      <c r="X4224" s="7" t="n"/>
      <c r="Z4224">
        <f>Z4223+IF(W4224="",0,IF(ISNA(MATCH(W4224,W$256:W4223,0)),1,0))</f>
        <v/>
      </c>
      <c r="AA4224">
        <f>IF(Z4224&gt;Z4223,Z4224,"")</f>
        <v/>
      </c>
      <c r="AB4224">
        <f>AB4223+IF(X4224="",0,IF(ISNA(MATCH(X4224,X$256:X4223,0)),1,0))</f>
        <v/>
      </c>
      <c r="AC4224">
        <f>IF(AB4224&gt;AB4223,AB4224,"")</f>
        <v/>
      </c>
    </row>
    <row r="4225">
      <c r="W4225" s="7" t="n"/>
      <c r="X4225" s="7" t="n"/>
      <c r="Z4225">
        <f>Z4224+IF(W4225="",0,IF(ISNA(MATCH(W4225,W$256:W4224,0)),1,0))</f>
        <v/>
      </c>
      <c r="AA4225">
        <f>IF(Z4225&gt;Z4224,Z4225,"")</f>
        <v/>
      </c>
      <c r="AB4225">
        <f>AB4224+IF(X4225="",0,IF(ISNA(MATCH(X4225,X$256:X4224,0)),1,0))</f>
        <v/>
      </c>
      <c r="AC4225">
        <f>IF(AB4225&gt;AB4224,AB4225,"")</f>
        <v/>
      </c>
    </row>
    <row r="4226">
      <c r="W4226" s="7" t="n"/>
      <c r="X4226" s="7" t="n"/>
      <c r="Z4226">
        <f>Z4225+IF(W4226="",0,IF(ISNA(MATCH(W4226,W$256:W4225,0)),1,0))</f>
        <v/>
      </c>
      <c r="AA4226">
        <f>IF(Z4226&gt;Z4225,Z4226,"")</f>
        <v/>
      </c>
      <c r="AB4226">
        <f>AB4225+IF(X4226="",0,IF(ISNA(MATCH(X4226,X$256:X4225,0)),1,0))</f>
        <v/>
      </c>
      <c r="AC4226">
        <f>IF(AB4226&gt;AB4225,AB4226,"")</f>
        <v/>
      </c>
    </row>
    <row r="4227">
      <c r="W4227" s="7" t="n"/>
      <c r="X4227" s="7" t="n"/>
      <c r="Z4227">
        <f>Z4226+IF(W4227="",0,IF(ISNA(MATCH(W4227,W$256:W4226,0)),1,0))</f>
        <v/>
      </c>
      <c r="AA4227">
        <f>IF(Z4227&gt;Z4226,Z4227,"")</f>
        <v/>
      </c>
      <c r="AB4227">
        <f>AB4226+IF(X4227="",0,IF(ISNA(MATCH(X4227,X$256:X4226,0)),1,0))</f>
        <v/>
      </c>
      <c r="AC4227">
        <f>IF(AB4227&gt;AB4226,AB4227,"")</f>
        <v/>
      </c>
    </row>
    <row r="4228">
      <c r="W4228" s="7" t="n"/>
      <c r="X4228" s="7" t="n"/>
      <c r="Z4228">
        <f>Z4227+IF(W4228="",0,IF(ISNA(MATCH(W4228,W$256:W4227,0)),1,0))</f>
        <v/>
      </c>
      <c r="AA4228">
        <f>IF(Z4228&gt;Z4227,Z4228,"")</f>
        <v/>
      </c>
      <c r="AB4228">
        <f>AB4227+IF(X4228="",0,IF(ISNA(MATCH(X4228,X$256:X4227,0)),1,0))</f>
        <v/>
      </c>
      <c r="AC4228">
        <f>IF(AB4228&gt;AB4227,AB4228,"")</f>
        <v/>
      </c>
    </row>
    <row r="4229">
      <c r="W4229" s="7" t="n"/>
      <c r="X4229" s="7" t="n"/>
      <c r="Z4229">
        <f>Z4228+IF(W4229="",0,IF(ISNA(MATCH(W4229,W$256:W4228,0)),1,0))</f>
        <v/>
      </c>
      <c r="AA4229">
        <f>IF(Z4229&gt;Z4228,Z4229,"")</f>
        <v/>
      </c>
      <c r="AB4229">
        <f>AB4228+IF(X4229="",0,IF(ISNA(MATCH(X4229,X$256:X4228,0)),1,0))</f>
        <v/>
      </c>
      <c r="AC4229">
        <f>IF(AB4229&gt;AB4228,AB4229,"")</f>
        <v/>
      </c>
    </row>
    <row r="4230">
      <c r="W4230" s="7" t="n"/>
      <c r="X4230" s="7" t="n"/>
      <c r="Z4230">
        <f>Z4229+IF(W4230="",0,IF(ISNA(MATCH(W4230,W$256:W4229,0)),1,0))</f>
        <v/>
      </c>
      <c r="AA4230">
        <f>IF(Z4230&gt;Z4229,Z4230,"")</f>
        <v/>
      </c>
      <c r="AB4230">
        <f>AB4229+IF(X4230="",0,IF(ISNA(MATCH(X4230,X$256:X4229,0)),1,0))</f>
        <v/>
      </c>
      <c r="AC4230">
        <f>IF(AB4230&gt;AB4229,AB4230,"")</f>
        <v/>
      </c>
    </row>
    <row r="4231">
      <c r="W4231" s="7" t="n"/>
      <c r="X4231" s="7" t="n"/>
      <c r="Z4231">
        <f>Z4230+IF(W4231="",0,IF(ISNA(MATCH(W4231,W$256:W4230,0)),1,0))</f>
        <v/>
      </c>
      <c r="AA4231">
        <f>IF(Z4231&gt;Z4230,Z4231,"")</f>
        <v/>
      </c>
      <c r="AB4231">
        <f>AB4230+IF(X4231="",0,IF(ISNA(MATCH(X4231,X$256:X4230,0)),1,0))</f>
        <v/>
      </c>
      <c r="AC4231">
        <f>IF(AB4231&gt;AB4230,AB4231,"")</f>
        <v/>
      </c>
    </row>
    <row r="4232">
      <c r="W4232" s="7" t="n"/>
      <c r="X4232" s="7" t="n"/>
      <c r="Z4232">
        <f>Z4231+IF(W4232="",0,IF(ISNA(MATCH(W4232,W$256:W4231,0)),1,0))</f>
        <v/>
      </c>
      <c r="AA4232">
        <f>IF(Z4232&gt;Z4231,Z4232,"")</f>
        <v/>
      </c>
      <c r="AB4232">
        <f>AB4231+IF(X4232="",0,IF(ISNA(MATCH(X4232,X$256:X4231,0)),1,0))</f>
        <v/>
      </c>
      <c r="AC4232">
        <f>IF(AB4232&gt;AB4231,AB4232,"")</f>
        <v/>
      </c>
    </row>
    <row r="4233">
      <c r="W4233" s="7" t="n"/>
      <c r="X4233" s="7" t="n"/>
      <c r="Z4233">
        <f>Z4232+IF(W4233="",0,IF(ISNA(MATCH(W4233,W$256:W4232,0)),1,0))</f>
        <v/>
      </c>
      <c r="AA4233">
        <f>IF(Z4233&gt;Z4232,Z4233,"")</f>
        <v/>
      </c>
      <c r="AB4233">
        <f>AB4232+IF(X4233="",0,IF(ISNA(MATCH(X4233,X$256:X4232,0)),1,0))</f>
        <v/>
      </c>
      <c r="AC4233">
        <f>IF(AB4233&gt;AB4232,AB4233,"")</f>
        <v/>
      </c>
    </row>
    <row r="4234">
      <c r="W4234" s="7" t="n"/>
      <c r="X4234" s="7" t="n"/>
      <c r="Z4234">
        <f>Z4233+IF(W4234="",0,IF(ISNA(MATCH(W4234,W$256:W4233,0)),1,0))</f>
        <v/>
      </c>
      <c r="AA4234">
        <f>IF(Z4234&gt;Z4233,Z4234,"")</f>
        <v/>
      </c>
      <c r="AB4234">
        <f>AB4233+IF(X4234="",0,IF(ISNA(MATCH(X4234,X$256:X4233,0)),1,0))</f>
        <v/>
      </c>
      <c r="AC4234">
        <f>IF(AB4234&gt;AB4233,AB4234,"")</f>
        <v/>
      </c>
    </row>
    <row r="4235">
      <c r="W4235" s="7" t="n"/>
      <c r="X4235" s="7" t="n"/>
      <c r="Z4235">
        <f>Z4234+IF(W4235="",0,IF(ISNA(MATCH(W4235,W$256:W4234,0)),1,0))</f>
        <v/>
      </c>
      <c r="AA4235">
        <f>IF(Z4235&gt;Z4234,Z4235,"")</f>
        <v/>
      </c>
      <c r="AB4235">
        <f>AB4234+IF(X4235="",0,IF(ISNA(MATCH(X4235,X$256:X4234,0)),1,0))</f>
        <v/>
      </c>
      <c r="AC4235">
        <f>IF(AB4235&gt;AB4234,AB4235,"")</f>
        <v/>
      </c>
    </row>
    <row r="4236">
      <c r="W4236" s="7" t="n"/>
      <c r="X4236" s="7" t="n"/>
      <c r="Z4236">
        <f>Z4235+IF(W4236="",0,IF(ISNA(MATCH(W4236,W$256:W4235,0)),1,0))</f>
        <v/>
      </c>
      <c r="AA4236">
        <f>IF(Z4236&gt;Z4235,Z4236,"")</f>
        <v/>
      </c>
      <c r="AB4236">
        <f>AB4235+IF(X4236="",0,IF(ISNA(MATCH(X4236,X$256:X4235,0)),1,0))</f>
        <v/>
      </c>
      <c r="AC4236">
        <f>IF(AB4236&gt;AB4235,AB4236,"")</f>
        <v/>
      </c>
    </row>
    <row r="4237">
      <c r="W4237" s="7" t="n"/>
      <c r="X4237" s="7" t="n"/>
      <c r="Z4237">
        <f>Z4236+IF(W4237="",0,IF(ISNA(MATCH(W4237,W$256:W4236,0)),1,0))</f>
        <v/>
      </c>
      <c r="AA4237">
        <f>IF(Z4237&gt;Z4236,Z4237,"")</f>
        <v/>
      </c>
      <c r="AB4237">
        <f>AB4236+IF(X4237="",0,IF(ISNA(MATCH(X4237,X$256:X4236,0)),1,0))</f>
        <v/>
      </c>
      <c r="AC4237">
        <f>IF(AB4237&gt;AB4236,AB4237,"")</f>
        <v/>
      </c>
    </row>
    <row r="4238">
      <c r="W4238" s="7" t="n"/>
      <c r="X4238" s="7" t="n"/>
      <c r="Z4238">
        <f>Z4237+IF(W4238="",0,IF(ISNA(MATCH(W4238,W$256:W4237,0)),1,0))</f>
        <v/>
      </c>
      <c r="AA4238">
        <f>IF(Z4238&gt;Z4237,Z4238,"")</f>
        <v/>
      </c>
      <c r="AB4238">
        <f>AB4237+IF(X4238="",0,IF(ISNA(MATCH(X4238,X$256:X4237,0)),1,0))</f>
        <v/>
      </c>
      <c r="AC4238">
        <f>IF(AB4238&gt;AB4237,AB4238,"")</f>
        <v/>
      </c>
    </row>
    <row r="4239">
      <c r="W4239" s="7" t="n"/>
      <c r="X4239" s="7" t="n"/>
      <c r="Z4239">
        <f>Z4238+IF(W4239="",0,IF(ISNA(MATCH(W4239,W$256:W4238,0)),1,0))</f>
        <v/>
      </c>
      <c r="AA4239">
        <f>IF(Z4239&gt;Z4238,Z4239,"")</f>
        <v/>
      </c>
      <c r="AB4239">
        <f>AB4238+IF(X4239="",0,IF(ISNA(MATCH(X4239,X$256:X4238,0)),1,0))</f>
        <v/>
      </c>
      <c r="AC4239">
        <f>IF(AB4239&gt;AB4238,AB4239,"")</f>
        <v/>
      </c>
    </row>
    <row r="4240">
      <c r="W4240" s="7" t="n"/>
      <c r="X4240" s="7" t="n"/>
      <c r="Z4240">
        <f>Z4239+IF(W4240="",0,IF(ISNA(MATCH(W4240,W$256:W4239,0)),1,0))</f>
        <v/>
      </c>
      <c r="AA4240">
        <f>IF(Z4240&gt;Z4239,Z4240,"")</f>
        <v/>
      </c>
      <c r="AB4240">
        <f>AB4239+IF(X4240="",0,IF(ISNA(MATCH(X4240,X$256:X4239,0)),1,0))</f>
        <v/>
      </c>
      <c r="AC4240">
        <f>IF(AB4240&gt;AB4239,AB4240,"")</f>
        <v/>
      </c>
    </row>
    <row r="4241">
      <c r="W4241" s="7" t="n"/>
      <c r="X4241" s="7" t="n"/>
      <c r="Z4241">
        <f>Z4240+IF(W4241="",0,IF(ISNA(MATCH(W4241,W$256:W4240,0)),1,0))</f>
        <v/>
      </c>
      <c r="AA4241">
        <f>IF(Z4241&gt;Z4240,Z4241,"")</f>
        <v/>
      </c>
      <c r="AB4241">
        <f>AB4240+IF(X4241="",0,IF(ISNA(MATCH(X4241,X$256:X4240,0)),1,0))</f>
        <v/>
      </c>
      <c r="AC4241">
        <f>IF(AB4241&gt;AB4240,AB4241,"")</f>
        <v/>
      </c>
    </row>
    <row r="4242">
      <c r="W4242" s="7" t="n"/>
      <c r="X4242" s="7" t="n"/>
      <c r="Z4242">
        <f>Z4241+IF(W4242="",0,IF(ISNA(MATCH(W4242,W$256:W4241,0)),1,0))</f>
        <v/>
      </c>
      <c r="AA4242">
        <f>IF(Z4242&gt;Z4241,Z4242,"")</f>
        <v/>
      </c>
      <c r="AB4242">
        <f>AB4241+IF(X4242="",0,IF(ISNA(MATCH(X4242,X$256:X4241,0)),1,0))</f>
        <v/>
      </c>
      <c r="AC4242">
        <f>IF(AB4242&gt;AB4241,AB4242,"")</f>
        <v/>
      </c>
    </row>
    <row r="4243">
      <c r="W4243" s="7" t="n"/>
      <c r="X4243" s="7" t="n"/>
      <c r="Z4243">
        <f>Z4242+IF(W4243="",0,IF(ISNA(MATCH(W4243,W$256:W4242,0)),1,0))</f>
        <v/>
      </c>
      <c r="AA4243">
        <f>IF(Z4243&gt;Z4242,Z4243,"")</f>
        <v/>
      </c>
      <c r="AB4243">
        <f>AB4242+IF(X4243="",0,IF(ISNA(MATCH(X4243,X$256:X4242,0)),1,0))</f>
        <v/>
      </c>
      <c r="AC4243">
        <f>IF(AB4243&gt;AB4242,AB4243,"")</f>
        <v/>
      </c>
    </row>
    <row r="4244">
      <c r="W4244" s="7" t="n"/>
      <c r="X4244" s="7" t="n"/>
      <c r="Z4244">
        <f>Z4243+IF(W4244="",0,IF(ISNA(MATCH(W4244,W$256:W4243,0)),1,0))</f>
        <v/>
      </c>
      <c r="AA4244">
        <f>IF(Z4244&gt;Z4243,Z4244,"")</f>
        <v/>
      </c>
      <c r="AB4244">
        <f>AB4243+IF(X4244="",0,IF(ISNA(MATCH(X4244,X$256:X4243,0)),1,0))</f>
        <v/>
      </c>
      <c r="AC4244">
        <f>IF(AB4244&gt;AB4243,AB4244,"")</f>
        <v/>
      </c>
    </row>
    <row r="4245">
      <c r="W4245" s="7" t="n"/>
      <c r="X4245" s="7" t="n"/>
      <c r="Z4245">
        <f>Z4244+IF(W4245="",0,IF(ISNA(MATCH(W4245,W$256:W4244,0)),1,0))</f>
        <v/>
      </c>
      <c r="AA4245">
        <f>IF(Z4245&gt;Z4244,Z4245,"")</f>
        <v/>
      </c>
      <c r="AB4245">
        <f>AB4244+IF(X4245="",0,IF(ISNA(MATCH(X4245,X$256:X4244,0)),1,0))</f>
        <v/>
      </c>
      <c r="AC4245">
        <f>IF(AB4245&gt;AB4244,AB4245,"")</f>
        <v/>
      </c>
    </row>
    <row r="4246">
      <c r="W4246" s="7" t="n"/>
      <c r="X4246" s="7" t="n"/>
      <c r="Z4246">
        <f>Z4245+IF(W4246="",0,IF(ISNA(MATCH(W4246,W$256:W4245,0)),1,0))</f>
        <v/>
      </c>
      <c r="AA4246">
        <f>IF(Z4246&gt;Z4245,Z4246,"")</f>
        <v/>
      </c>
      <c r="AB4246">
        <f>AB4245+IF(X4246="",0,IF(ISNA(MATCH(X4246,X$256:X4245,0)),1,0))</f>
        <v/>
      </c>
      <c r="AC4246">
        <f>IF(AB4246&gt;AB4245,AB4246,"")</f>
        <v/>
      </c>
    </row>
    <row r="4247">
      <c r="W4247" s="7" t="n"/>
      <c r="X4247" s="7" t="n"/>
      <c r="Z4247">
        <f>Z4246+IF(W4247="",0,IF(ISNA(MATCH(W4247,W$256:W4246,0)),1,0))</f>
        <v/>
      </c>
      <c r="AA4247">
        <f>IF(Z4247&gt;Z4246,Z4247,"")</f>
        <v/>
      </c>
      <c r="AB4247">
        <f>AB4246+IF(X4247="",0,IF(ISNA(MATCH(X4247,X$256:X4246,0)),1,0))</f>
        <v/>
      </c>
      <c r="AC4247">
        <f>IF(AB4247&gt;AB4246,AB4247,"")</f>
        <v/>
      </c>
    </row>
    <row r="4248">
      <c r="W4248" s="7" t="n"/>
      <c r="X4248" s="7" t="n"/>
      <c r="Z4248">
        <f>Z4247+IF(W4248="",0,IF(ISNA(MATCH(W4248,W$256:W4247,0)),1,0))</f>
        <v/>
      </c>
      <c r="AA4248">
        <f>IF(Z4248&gt;Z4247,Z4248,"")</f>
        <v/>
      </c>
      <c r="AB4248">
        <f>AB4247+IF(X4248="",0,IF(ISNA(MATCH(X4248,X$256:X4247,0)),1,0))</f>
        <v/>
      </c>
      <c r="AC4248">
        <f>IF(AB4248&gt;AB4247,AB4248,"")</f>
        <v/>
      </c>
    </row>
    <row r="4249">
      <c r="W4249" s="7" t="n"/>
      <c r="X4249" s="7" t="n"/>
      <c r="Z4249">
        <f>Z4248+IF(W4249="",0,IF(ISNA(MATCH(W4249,W$256:W4248,0)),1,0))</f>
        <v/>
      </c>
      <c r="AA4249">
        <f>IF(Z4249&gt;Z4248,Z4249,"")</f>
        <v/>
      </c>
      <c r="AB4249">
        <f>AB4248+IF(X4249="",0,IF(ISNA(MATCH(X4249,X$256:X4248,0)),1,0))</f>
        <v/>
      </c>
      <c r="AC4249">
        <f>IF(AB4249&gt;AB4248,AB4249,"")</f>
        <v/>
      </c>
    </row>
    <row r="4250">
      <c r="W4250" s="7" t="n"/>
      <c r="X4250" s="7" t="n"/>
      <c r="Z4250">
        <f>Z4249+IF(W4250="",0,IF(ISNA(MATCH(W4250,W$256:W4249,0)),1,0))</f>
        <v/>
      </c>
      <c r="AA4250">
        <f>IF(Z4250&gt;Z4249,Z4250,"")</f>
        <v/>
      </c>
      <c r="AB4250">
        <f>AB4249+IF(X4250="",0,IF(ISNA(MATCH(X4250,X$256:X4249,0)),1,0))</f>
        <v/>
      </c>
      <c r="AC4250">
        <f>IF(AB4250&gt;AB4249,AB4250,"")</f>
        <v/>
      </c>
    </row>
    <row r="4251">
      <c r="W4251" s="7" t="n"/>
      <c r="X4251" s="7" t="n"/>
      <c r="Z4251">
        <f>Z4250+IF(W4251="",0,IF(ISNA(MATCH(W4251,W$256:W4250,0)),1,0))</f>
        <v/>
      </c>
      <c r="AA4251">
        <f>IF(Z4251&gt;Z4250,Z4251,"")</f>
        <v/>
      </c>
      <c r="AB4251">
        <f>AB4250+IF(X4251="",0,IF(ISNA(MATCH(X4251,X$256:X4250,0)),1,0))</f>
        <v/>
      </c>
      <c r="AC4251">
        <f>IF(AB4251&gt;AB4250,AB4251,"")</f>
        <v/>
      </c>
    </row>
    <row r="4252">
      <c r="W4252" s="7" t="n"/>
      <c r="X4252" s="7" t="n"/>
      <c r="Z4252">
        <f>Z4251+IF(W4252="",0,IF(ISNA(MATCH(W4252,W$256:W4251,0)),1,0))</f>
        <v/>
      </c>
      <c r="AA4252">
        <f>IF(Z4252&gt;Z4251,Z4252,"")</f>
        <v/>
      </c>
      <c r="AB4252">
        <f>AB4251+IF(X4252="",0,IF(ISNA(MATCH(X4252,X$256:X4251,0)),1,0))</f>
        <v/>
      </c>
      <c r="AC4252">
        <f>IF(AB4252&gt;AB4251,AB4252,"")</f>
        <v/>
      </c>
    </row>
    <row r="4253">
      <c r="W4253" s="7" t="n"/>
      <c r="X4253" s="7" t="n"/>
      <c r="Z4253">
        <f>Z4252+IF(W4253="",0,IF(ISNA(MATCH(W4253,W$256:W4252,0)),1,0))</f>
        <v/>
      </c>
      <c r="AA4253">
        <f>IF(Z4253&gt;Z4252,Z4253,"")</f>
        <v/>
      </c>
      <c r="AB4253">
        <f>AB4252+IF(X4253="",0,IF(ISNA(MATCH(X4253,X$256:X4252,0)),1,0))</f>
        <v/>
      </c>
      <c r="AC4253">
        <f>IF(AB4253&gt;AB4252,AB4253,"")</f>
        <v/>
      </c>
    </row>
    <row r="4254">
      <c r="W4254" s="7" t="n"/>
      <c r="X4254" s="7" t="n"/>
      <c r="Z4254">
        <f>Z4253+IF(W4254="",0,IF(ISNA(MATCH(W4254,W$256:W4253,0)),1,0))</f>
        <v/>
      </c>
      <c r="AA4254">
        <f>IF(Z4254&gt;Z4253,Z4254,"")</f>
        <v/>
      </c>
      <c r="AB4254">
        <f>AB4253+IF(X4254="",0,IF(ISNA(MATCH(X4254,X$256:X4253,0)),1,0))</f>
        <v/>
      </c>
      <c r="AC4254">
        <f>IF(AB4254&gt;AB4253,AB4254,"")</f>
        <v/>
      </c>
    </row>
    <row r="4255">
      <c r="W4255" s="7" t="n"/>
      <c r="X4255" s="7" t="n"/>
      <c r="Z4255">
        <f>Z4254+IF(W4255="",0,IF(ISNA(MATCH(W4255,W$256:W4254,0)),1,0))</f>
        <v/>
      </c>
      <c r="AA4255">
        <f>IF(Z4255&gt;Z4254,Z4255,"")</f>
        <v/>
      </c>
      <c r="AB4255">
        <f>AB4254+IF(X4255="",0,IF(ISNA(MATCH(X4255,X$256:X4254,0)),1,0))</f>
        <v/>
      </c>
      <c r="AC4255">
        <f>IF(AB4255&gt;AB4254,AB4255,"")</f>
        <v/>
      </c>
    </row>
    <row r="4256">
      <c r="W4256" s="7" t="n"/>
      <c r="X4256" s="7" t="n"/>
      <c r="Z4256">
        <f>Z4255+IF(W4256="",0,IF(ISNA(MATCH(W4256,W$256:W4255,0)),1,0))</f>
        <v/>
      </c>
      <c r="AA4256">
        <f>IF(Z4256&gt;Z4255,Z4256,"")</f>
        <v/>
      </c>
      <c r="AB4256">
        <f>AB4255+IF(X4256="",0,IF(ISNA(MATCH(X4256,X$256:X4255,0)),1,0))</f>
        <v/>
      </c>
      <c r="AC4256">
        <f>IF(AB4256&gt;AB4255,AB4256,"")</f>
        <v/>
      </c>
    </row>
    <row r="4257">
      <c r="W4257" s="7" t="n"/>
      <c r="X4257" s="7" t="n"/>
      <c r="Z4257">
        <f>Z4256+IF(W4257="",0,IF(ISNA(MATCH(W4257,W$256:W4256,0)),1,0))</f>
        <v/>
      </c>
      <c r="AA4257">
        <f>IF(Z4257&gt;Z4256,Z4257,"")</f>
        <v/>
      </c>
      <c r="AB4257">
        <f>AB4256+IF(X4257="",0,IF(ISNA(MATCH(X4257,X$256:X4256,0)),1,0))</f>
        <v/>
      </c>
      <c r="AC4257">
        <f>IF(AB4257&gt;AB4256,AB4257,"")</f>
        <v/>
      </c>
    </row>
    <row r="4258">
      <c r="W4258" s="7" t="n"/>
      <c r="X4258" s="7" t="n"/>
      <c r="Z4258">
        <f>Z4257+IF(W4258="",0,IF(ISNA(MATCH(W4258,W$256:W4257,0)),1,0))</f>
        <v/>
      </c>
      <c r="AA4258">
        <f>IF(Z4258&gt;Z4257,Z4258,"")</f>
        <v/>
      </c>
      <c r="AB4258">
        <f>AB4257+IF(X4258="",0,IF(ISNA(MATCH(X4258,X$256:X4257,0)),1,0))</f>
        <v/>
      </c>
      <c r="AC4258">
        <f>IF(AB4258&gt;AB4257,AB4258,"")</f>
        <v/>
      </c>
    </row>
    <row r="4259">
      <c r="W4259" s="7" t="n"/>
      <c r="X4259" s="7" t="n"/>
      <c r="Z4259">
        <f>Z4258+IF(W4259="",0,IF(ISNA(MATCH(W4259,W$256:W4258,0)),1,0))</f>
        <v/>
      </c>
      <c r="AA4259">
        <f>IF(Z4259&gt;Z4258,Z4259,"")</f>
        <v/>
      </c>
      <c r="AB4259">
        <f>AB4258+IF(X4259="",0,IF(ISNA(MATCH(X4259,X$256:X4258,0)),1,0))</f>
        <v/>
      </c>
      <c r="AC4259">
        <f>IF(AB4259&gt;AB4258,AB4259,"")</f>
        <v/>
      </c>
    </row>
    <row r="4260">
      <c r="W4260" s="7" t="n"/>
      <c r="X4260" s="7" t="n"/>
      <c r="Z4260">
        <f>Z4259+IF(W4260="",0,IF(ISNA(MATCH(W4260,W$256:W4259,0)),1,0))</f>
        <v/>
      </c>
      <c r="AA4260">
        <f>IF(Z4260&gt;Z4259,Z4260,"")</f>
        <v/>
      </c>
      <c r="AB4260">
        <f>AB4259+IF(X4260="",0,IF(ISNA(MATCH(X4260,X$256:X4259,0)),1,0))</f>
        <v/>
      </c>
      <c r="AC4260">
        <f>IF(AB4260&gt;AB4259,AB4260,"")</f>
        <v/>
      </c>
    </row>
    <row r="4261">
      <c r="W4261" s="7" t="n"/>
      <c r="X4261" s="7" t="n"/>
      <c r="Z4261">
        <f>Z4260+IF(W4261="",0,IF(ISNA(MATCH(W4261,W$256:W4260,0)),1,0))</f>
        <v/>
      </c>
      <c r="AA4261">
        <f>IF(Z4261&gt;Z4260,Z4261,"")</f>
        <v/>
      </c>
      <c r="AB4261">
        <f>AB4260+IF(X4261="",0,IF(ISNA(MATCH(X4261,X$256:X4260,0)),1,0))</f>
        <v/>
      </c>
      <c r="AC4261">
        <f>IF(AB4261&gt;AB4260,AB4261,"")</f>
        <v/>
      </c>
    </row>
    <row r="4262">
      <c r="W4262" s="7" t="n"/>
      <c r="X4262" s="7" t="n"/>
      <c r="Z4262">
        <f>Z4261+IF(W4262="",0,IF(ISNA(MATCH(W4262,W$256:W4261,0)),1,0))</f>
        <v/>
      </c>
      <c r="AA4262">
        <f>IF(Z4262&gt;Z4261,Z4262,"")</f>
        <v/>
      </c>
      <c r="AB4262">
        <f>AB4261+IF(X4262="",0,IF(ISNA(MATCH(X4262,X$256:X4261,0)),1,0))</f>
        <v/>
      </c>
      <c r="AC4262">
        <f>IF(AB4262&gt;AB4261,AB4262,"")</f>
        <v/>
      </c>
    </row>
    <row r="4263">
      <c r="W4263" s="7" t="n"/>
      <c r="X4263" s="7" t="n"/>
      <c r="Z4263">
        <f>Z4262+IF(W4263="",0,IF(ISNA(MATCH(W4263,W$256:W4262,0)),1,0))</f>
        <v/>
      </c>
      <c r="AA4263">
        <f>IF(Z4263&gt;Z4262,Z4263,"")</f>
        <v/>
      </c>
      <c r="AB4263">
        <f>AB4262+IF(X4263="",0,IF(ISNA(MATCH(X4263,X$256:X4262,0)),1,0))</f>
        <v/>
      </c>
      <c r="AC4263">
        <f>IF(AB4263&gt;AB4262,AB4263,"")</f>
        <v/>
      </c>
    </row>
    <row r="4264">
      <c r="W4264" s="7" t="n"/>
      <c r="X4264" s="7" t="n"/>
      <c r="Z4264">
        <f>Z4263+IF(W4264="",0,IF(ISNA(MATCH(W4264,W$256:W4263,0)),1,0))</f>
        <v/>
      </c>
      <c r="AA4264">
        <f>IF(Z4264&gt;Z4263,Z4264,"")</f>
        <v/>
      </c>
      <c r="AB4264">
        <f>AB4263+IF(X4264="",0,IF(ISNA(MATCH(X4264,X$256:X4263,0)),1,0))</f>
        <v/>
      </c>
      <c r="AC4264">
        <f>IF(AB4264&gt;AB4263,AB4264,"")</f>
        <v/>
      </c>
    </row>
    <row r="4265">
      <c r="W4265" s="7" t="n"/>
      <c r="X4265" s="7" t="n"/>
      <c r="Z4265">
        <f>Z4264+IF(W4265="",0,IF(ISNA(MATCH(W4265,W$256:W4264,0)),1,0))</f>
        <v/>
      </c>
      <c r="AA4265">
        <f>IF(Z4265&gt;Z4264,Z4265,"")</f>
        <v/>
      </c>
      <c r="AB4265">
        <f>AB4264+IF(X4265="",0,IF(ISNA(MATCH(X4265,X$256:X4264,0)),1,0))</f>
        <v/>
      </c>
      <c r="AC4265">
        <f>IF(AB4265&gt;AB4264,AB4265,"")</f>
        <v/>
      </c>
    </row>
    <row r="4266">
      <c r="W4266" s="7" t="n"/>
      <c r="X4266" s="7" t="n"/>
      <c r="Z4266">
        <f>Z4265+IF(W4266="",0,IF(ISNA(MATCH(W4266,W$256:W4265,0)),1,0))</f>
        <v/>
      </c>
      <c r="AA4266">
        <f>IF(Z4266&gt;Z4265,Z4266,"")</f>
        <v/>
      </c>
      <c r="AB4266">
        <f>AB4265+IF(X4266="",0,IF(ISNA(MATCH(X4266,X$256:X4265,0)),1,0))</f>
        <v/>
      </c>
      <c r="AC4266">
        <f>IF(AB4266&gt;AB4265,AB4266,"")</f>
        <v/>
      </c>
    </row>
    <row r="4267">
      <c r="W4267" s="7" t="n"/>
      <c r="X4267" s="7" t="n"/>
      <c r="Z4267">
        <f>Z4266+IF(W4267="",0,IF(ISNA(MATCH(W4267,W$256:W4266,0)),1,0))</f>
        <v/>
      </c>
      <c r="AA4267">
        <f>IF(Z4267&gt;Z4266,Z4267,"")</f>
        <v/>
      </c>
      <c r="AB4267">
        <f>AB4266+IF(X4267="",0,IF(ISNA(MATCH(X4267,X$256:X4266,0)),1,0))</f>
        <v/>
      </c>
      <c r="AC4267">
        <f>IF(AB4267&gt;AB4266,AB4267,"")</f>
        <v/>
      </c>
    </row>
    <row r="4268">
      <c r="W4268" s="7" t="n"/>
      <c r="X4268" s="7" t="n"/>
      <c r="Z4268">
        <f>Z4267+IF(W4268="",0,IF(ISNA(MATCH(W4268,W$256:W4267,0)),1,0))</f>
        <v/>
      </c>
      <c r="AA4268">
        <f>IF(Z4268&gt;Z4267,Z4268,"")</f>
        <v/>
      </c>
      <c r="AB4268">
        <f>AB4267+IF(X4268="",0,IF(ISNA(MATCH(X4268,X$256:X4267,0)),1,0))</f>
        <v/>
      </c>
      <c r="AC4268">
        <f>IF(AB4268&gt;AB4267,AB4268,"")</f>
        <v/>
      </c>
    </row>
    <row r="4269">
      <c r="W4269" s="7" t="n"/>
      <c r="X4269" s="7" t="n"/>
      <c r="Z4269">
        <f>Z4268+IF(W4269="",0,IF(ISNA(MATCH(W4269,W$256:W4268,0)),1,0))</f>
        <v/>
      </c>
      <c r="AA4269">
        <f>IF(Z4269&gt;Z4268,Z4269,"")</f>
        <v/>
      </c>
      <c r="AB4269">
        <f>AB4268+IF(X4269="",0,IF(ISNA(MATCH(X4269,X$256:X4268,0)),1,0))</f>
        <v/>
      </c>
      <c r="AC4269">
        <f>IF(AB4269&gt;AB4268,AB4269,"")</f>
        <v/>
      </c>
    </row>
    <row r="4270">
      <c r="W4270" s="7" t="n"/>
      <c r="X4270" s="7" t="n"/>
      <c r="Z4270">
        <f>Z4269+IF(W4270="",0,IF(ISNA(MATCH(W4270,W$256:W4269,0)),1,0))</f>
        <v/>
      </c>
      <c r="AA4270">
        <f>IF(Z4270&gt;Z4269,Z4270,"")</f>
        <v/>
      </c>
      <c r="AB4270">
        <f>AB4269+IF(X4270="",0,IF(ISNA(MATCH(X4270,X$256:X4269,0)),1,0))</f>
        <v/>
      </c>
      <c r="AC4270">
        <f>IF(AB4270&gt;AB4269,AB4270,"")</f>
        <v/>
      </c>
    </row>
    <row r="4271">
      <c r="W4271" s="7" t="n"/>
      <c r="X4271" s="7" t="n"/>
      <c r="Z4271">
        <f>Z4270+IF(W4271="",0,IF(ISNA(MATCH(W4271,W$256:W4270,0)),1,0))</f>
        <v/>
      </c>
      <c r="AA4271">
        <f>IF(Z4271&gt;Z4270,Z4271,"")</f>
        <v/>
      </c>
      <c r="AB4271">
        <f>AB4270+IF(X4271="",0,IF(ISNA(MATCH(X4271,X$256:X4270,0)),1,0))</f>
        <v/>
      </c>
      <c r="AC4271">
        <f>IF(AB4271&gt;AB4270,AB4271,"")</f>
        <v/>
      </c>
    </row>
    <row r="4272">
      <c r="W4272" s="7" t="n"/>
      <c r="X4272" s="7" t="n"/>
      <c r="Z4272">
        <f>Z4271+IF(W4272="",0,IF(ISNA(MATCH(W4272,W$256:W4271,0)),1,0))</f>
        <v/>
      </c>
      <c r="AA4272">
        <f>IF(Z4272&gt;Z4271,Z4272,"")</f>
        <v/>
      </c>
      <c r="AB4272">
        <f>AB4271+IF(X4272="",0,IF(ISNA(MATCH(X4272,X$256:X4271,0)),1,0))</f>
        <v/>
      </c>
      <c r="AC4272">
        <f>IF(AB4272&gt;AB4271,AB4272,"")</f>
        <v/>
      </c>
    </row>
    <row r="4273">
      <c r="W4273" s="7" t="n"/>
      <c r="X4273" s="7" t="n"/>
      <c r="Z4273">
        <f>Z4272+IF(W4273="",0,IF(ISNA(MATCH(W4273,W$256:W4272,0)),1,0))</f>
        <v/>
      </c>
      <c r="AA4273">
        <f>IF(Z4273&gt;Z4272,Z4273,"")</f>
        <v/>
      </c>
      <c r="AB4273">
        <f>AB4272+IF(X4273="",0,IF(ISNA(MATCH(X4273,X$256:X4272,0)),1,0))</f>
        <v/>
      </c>
      <c r="AC4273">
        <f>IF(AB4273&gt;AB4272,AB4273,"")</f>
        <v/>
      </c>
    </row>
    <row r="4274">
      <c r="W4274" s="7" t="n"/>
      <c r="X4274" s="7" t="n"/>
      <c r="Z4274">
        <f>Z4273+IF(W4274="",0,IF(ISNA(MATCH(W4274,W$256:W4273,0)),1,0))</f>
        <v/>
      </c>
      <c r="AA4274">
        <f>IF(Z4274&gt;Z4273,Z4274,"")</f>
        <v/>
      </c>
      <c r="AB4274">
        <f>AB4273+IF(X4274="",0,IF(ISNA(MATCH(X4274,X$256:X4273,0)),1,0))</f>
        <v/>
      </c>
      <c r="AC4274">
        <f>IF(AB4274&gt;AB4273,AB4274,"")</f>
        <v/>
      </c>
    </row>
    <row r="4275">
      <c r="W4275" s="7" t="n"/>
      <c r="X4275" s="7" t="n"/>
      <c r="Z4275">
        <f>Z4274+IF(W4275="",0,IF(ISNA(MATCH(W4275,W$256:W4274,0)),1,0))</f>
        <v/>
      </c>
      <c r="AA4275">
        <f>IF(Z4275&gt;Z4274,Z4275,"")</f>
        <v/>
      </c>
      <c r="AB4275">
        <f>AB4274+IF(X4275="",0,IF(ISNA(MATCH(X4275,X$256:X4274,0)),1,0))</f>
        <v/>
      </c>
      <c r="AC4275">
        <f>IF(AB4275&gt;AB4274,AB4275,"")</f>
        <v/>
      </c>
    </row>
    <row r="4276">
      <c r="W4276" s="7" t="n"/>
      <c r="X4276" s="7" t="n"/>
      <c r="Z4276">
        <f>Z4275+IF(W4276="",0,IF(ISNA(MATCH(W4276,W$256:W4275,0)),1,0))</f>
        <v/>
      </c>
      <c r="AA4276">
        <f>IF(Z4276&gt;Z4275,Z4276,"")</f>
        <v/>
      </c>
      <c r="AB4276">
        <f>AB4275+IF(X4276="",0,IF(ISNA(MATCH(X4276,X$256:X4275,0)),1,0))</f>
        <v/>
      </c>
      <c r="AC4276">
        <f>IF(AB4276&gt;AB4275,AB4276,"")</f>
        <v/>
      </c>
    </row>
    <row r="4277">
      <c r="W4277" s="7" t="n"/>
      <c r="X4277" s="7" t="n"/>
      <c r="Z4277">
        <f>Z4276+IF(W4277="",0,IF(ISNA(MATCH(W4277,W$256:W4276,0)),1,0))</f>
        <v/>
      </c>
      <c r="AA4277">
        <f>IF(Z4277&gt;Z4276,Z4277,"")</f>
        <v/>
      </c>
      <c r="AB4277">
        <f>AB4276+IF(X4277="",0,IF(ISNA(MATCH(X4277,X$256:X4276,0)),1,0))</f>
        <v/>
      </c>
      <c r="AC4277">
        <f>IF(AB4277&gt;AB4276,AB4277,"")</f>
        <v/>
      </c>
    </row>
    <row r="4278">
      <c r="W4278" s="7" t="n"/>
      <c r="X4278" s="7" t="n"/>
      <c r="Z4278">
        <f>Z4277+IF(W4278="",0,IF(ISNA(MATCH(W4278,W$256:W4277,0)),1,0))</f>
        <v/>
      </c>
      <c r="AA4278">
        <f>IF(Z4278&gt;Z4277,Z4278,"")</f>
        <v/>
      </c>
      <c r="AB4278">
        <f>AB4277+IF(X4278="",0,IF(ISNA(MATCH(X4278,X$256:X4277,0)),1,0))</f>
        <v/>
      </c>
      <c r="AC4278">
        <f>IF(AB4278&gt;AB4277,AB4278,"")</f>
        <v/>
      </c>
    </row>
    <row r="4279">
      <c r="W4279" s="7" t="n"/>
      <c r="X4279" s="7" t="n"/>
      <c r="Z4279">
        <f>Z4278+IF(W4279="",0,IF(ISNA(MATCH(W4279,W$256:W4278,0)),1,0))</f>
        <v/>
      </c>
      <c r="AA4279">
        <f>IF(Z4279&gt;Z4278,Z4279,"")</f>
        <v/>
      </c>
      <c r="AB4279">
        <f>AB4278+IF(X4279="",0,IF(ISNA(MATCH(X4279,X$256:X4278,0)),1,0))</f>
        <v/>
      </c>
      <c r="AC4279">
        <f>IF(AB4279&gt;AB4278,AB4279,"")</f>
        <v/>
      </c>
    </row>
    <row r="4280">
      <c r="W4280" s="7" t="n"/>
      <c r="X4280" s="7" t="n"/>
      <c r="Z4280">
        <f>Z4279+IF(W4280="",0,IF(ISNA(MATCH(W4280,W$256:W4279,0)),1,0))</f>
        <v/>
      </c>
      <c r="AA4280">
        <f>IF(Z4280&gt;Z4279,Z4280,"")</f>
        <v/>
      </c>
      <c r="AB4280">
        <f>AB4279+IF(X4280="",0,IF(ISNA(MATCH(X4280,X$256:X4279,0)),1,0))</f>
        <v/>
      </c>
      <c r="AC4280">
        <f>IF(AB4280&gt;AB4279,AB4280,"")</f>
        <v/>
      </c>
    </row>
    <row r="4281">
      <c r="W4281" s="7" t="n"/>
      <c r="X4281" s="7" t="n"/>
      <c r="Z4281">
        <f>Z4280+IF(W4281="",0,IF(ISNA(MATCH(W4281,W$256:W4280,0)),1,0))</f>
        <v/>
      </c>
      <c r="AA4281">
        <f>IF(Z4281&gt;Z4280,Z4281,"")</f>
        <v/>
      </c>
      <c r="AB4281">
        <f>AB4280+IF(X4281="",0,IF(ISNA(MATCH(X4281,X$256:X4280,0)),1,0))</f>
        <v/>
      </c>
      <c r="AC4281">
        <f>IF(AB4281&gt;AB4280,AB4281,"")</f>
        <v/>
      </c>
    </row>
    <row r="4282">
      <c r="W4282" s="7" t="n"/>
      <c r="X4282" s="7" t="n"/>
      <c r="Z4282">
        <f>Z4281+IF(W4282="",0,IF(ISNA(MATCH(W4282,W$256:W4281,0)),1,0))</f>
        <v/>
      </c>
      <c r="AA4282">
        <f>IF(Z4282&gt;Z4281,Z4282,"")</f>
        <v/>
      </c>
      <c r="AB4282">
        <f>AB4281+IF(X4282="",0,IF(ISNA(MATCH(X4282,X$256:X4281,0)),1,0))</f>
        <v/>
      </c>
      <c r="AC4282">
        <f>IF(AB4282&gt;AB4281,AB4282,"")</f>
        <v/>
      </c>
    </row>
    <row r="4283">
      <c r="W4283" s="7" t="n"/>
      <c r="X4283" s="7" t="n"/>
      <c r="Z4283">
        <f>Z4282+IF(W4283="",0,IF(ISNA(MATCH(W4283,W$256:W4282,0)),1,0))</f>
        <v/>
      </c>
      <c r="AA4283">
        <f>IF(Z4283&gt;Z4282,Z4283,"")</f>
        <v/>
      </c>
      <c r="AB4283">
        <f>AB4282+IF(X4283="",0,IF(ISNA(MATCH(X4283,X$256:X4282,0)),1,0))</f>
        <v/>
      </c>
      <c r="AC4283">
        <f>IF(AB4283&gt;AB4282,AB4283,"")</f>
        <v/>
      </c>
    </row>
    <row r="4284">
      <c r="W4284" s="7" t="n"/>
      <c r="X4284" s="7" t="n"/>
      <c r="Z4284">
        <f>Z4283+IF(W4284="",0,IF(ISNA(MATCH(W4284,W$256:W4283,0)),1,0))</f>
        <v/>
      </c>
      <c r="AA4284">
        <f>IF(Z4284&gt;Z4283,Z4284,"")</f>
        <v/>
      </c>
      <c r="AB4284">
        <f>AB4283+IF(X4284="",0,IF(ISNA(MATCH(X4284,X$256:X4283,0)),1,0))</f>
        <v/>
      </c>
      <c r="AC4284">
        <f>IF(AB4284&gt;AB4283,AB4284,"")</f>
        <v/>
      </c>
    </row>
    <row r="4285">
      <c r="W4285" s="7" t="n"/>
      <c r="X4285" s="7" t="n"/>
      <c r="Z4285">
        <f>Z4284+IF(W4285="",0,IF(ISNA(MATCH(W4285,W$256:W4284,0)),1,0))</f>
        <v/>
      </c>
      <c r="AA4285">
        <f>IF(Z4285&gt;Z4284,Z4285,"")</f>
        <v/>
      </c>
      <c r="AB4285">
        <f>AB4284+IF(X4285="",0,IF(ISNA(MATCH(X4285,X$256:X4284,0)),1,0))</f>
        <v/>
      </c>
      <c r="AC4285">
        <f>IF(AB4285&gt;AB4284,AB4285,"")</f>
        <v/>
      </c>
    </row>
    <row r="4286">
      <c r="W4286" s="7" t="n"/>
      <c r="X4286" s="7" t="n"/>
      <c r="Z4286">
        <f>Z4285+IF(W4286="",0,IF(ISNA(MATCH(W4286,W$256:W4285,0)),1,0))</f>
        <v/>
      </c>
      <c r="AA4286">
        <f>IF(Z4286&gt;Z4285,Z4286,"")</f>
        <v/>
      </c>
      <c r="AB4286">
        <f>AB4285+IF(X4286="",0,IF(ISNA(MATCH(X4286,X$256:X4285,0)),1,0))</f>
        <v/>
      </c>
      <c r="AC4286">
        <f>IF(AB4286&gt;AB4285,AB4286,"")</f>
        <v/>
      </c>
    </row>
    <row r="4287">
      <c r="W4287" s="7" t="n"/>
      <c r="X4287" s="7" t="n"/>
      <c r="Z4287">
        <f>Z4286+IF(W4287="",0,IF(ISNA(MATCH(W4287,W$256:W4286,0)),1,0))</f>
        <v/>
      </c>
      <c r="AA4287">
        <f>IF(Z4287&gt;Z4286,Z4287,"")</f>
        <v/>
      </c>
      <c r="AB4287">
        <f>AB4286+IF(X4287="",0,IF(ISNA(MATCH(X4287,X$256:X4286,0)),1,0))</f>
        <v/>
      </c>
      <c r="AC4287">
        <f>IF(AB4287&gt;AB4286,AB4287,"")</f>
        <v/>
      </c>
    </row>
    <row r="4288">
      <c r="W4288" s="7" t="n"/>
      <c r="X4288" s="7" t="n"/>
      <c r="Z4288">
        <f>Z4287+IF(W4288="",0,IF(ISNA(MATCH(W4288,W$256:W4287,0)),1,0))</f>
        <v/>
      </c>
      <c r="AA4288">
        <f>IF(Z4288&gt;Z4287,Z4288,"")</f>
        <v/>
      </c>
      <c r="AB4288">
        <f>AB4287+IF(X4288="",0,IF(ISNA(MATCH(X4288,X$256:X4287,0)),1,0))</f>
        <v/>
      </c>
      <c r="AC4288">
        <f>IF(AB4288&gt;AB4287,AB4288,"")</f>
        <v/>
      </c>
    </row>
    <row r="4289">
      <c r="W4289" s="7" t="n"/>
      <c r="X4289" s="7" t="n"/>
      <c r="Z4289">
        <f>Z4288+IF(W4289="",0,IF(ISNA(MATCH(W4289,W$256:W4288,0)),1,0))</f>
        <v/>
      </c>
      <c r="AA4289">
        <f>IF(Z4289&gt;Z4288,Z4289,"")</f>
        <v/>
      </c>
      <c r="AB4289">
        <f>AB4288+IF(X4289="",0,IF(ISNA(MATCH(X4289,X$256:X4288,0)),1,0))</f>
        <v/>
      </c>
      <c r="AC4289">
        <f>IF(AB4289&gt;AB4288,AB4289,"")</f>
        <v/>
      </c>
    </row>
    <row r="4290">
      <c r="W4290" s="7" t="n"/>
      <c r="X4290" s="7" t="n"/>
      <c r="Z4290">
        <f>Z4289+IF(W4290="",0,IF(ISNA(MATCH(W4290,W$256:W4289,0)),1,0))</f>
        <v/>
      </c>
      <c r="AA4290">
        <f>IF(Z4290&gt;Z4289,Z4290,"")</f>
        <v/>
      </c>
      <c r="AB4290">
        <f>AB4289+IF(X4290="",0,IF(ISNA(MATCH(X4290,X$256:X4289,0)),1,0))</f>
        <v/>
      </c>
      <c r="AC4290">
        <f>IF(AB4290&gt;AB4289,AB4290,"")</f>
        <v/>
      </c>
    </row>
    <row r="4291">
      <c r="W4291" s="7" t="n"/>
      <c r="X4291" s="7" t="n"/>
      <c r="Z4291">
        <f>Z4290+IF(W4291="",0,IF(ISNA(MATCH(W4291,W$256:W4290,0)),1,0))</f>
        <v/>
      </c>
      <c r="AA4291">
        <f>IF(Z4291&gt;Z4290,Z4291,"")</f>
        <v/>
      </c>
      <c r="AB4291">
        <f>AB4290+IF(X4291="",0,IF(ISNA(MATCH(X4291,X$256:X4290,0)),1,0))</f>
        <v/>
      </c>
      <c r="AC4291">
        <f>IF(AB4291&gt;AB4290,AB4291,"")</f>
        <v/>
      </c>
    </row>
    <row r="4292">
      <c r="W4292" s="7" t="n"/>
      <c r="X4292" s="7" t="n"/>
      <c r="Z4292">
        <f>Z4291+IF(W4292="",0,IF(ISNA(MATCH(W4292,W$256:W4291,0)),1,0))</f>
        <v/>
      </c>
      <c r="AA4292">
        <f>IF(Z4292&gt;Z4291,Z4292,"")</f>
        <v/>
      </c>
      <c r="AB4292">
        <f>AB4291+IF(X4292="",0,IF(ISNA(MATCH(X4292,X$256:X4291,0)),1,0))</f>
        <v/>
      </c>
      <c r="AC4292">
        <f>IF(AB4292&gt;AB4291,AB4292,"")</f>
        <v/>
      </c>
    </row>
    <row r="4293">
      <c r="W4293" s="7" t="n"/>
      <c r="X4293" s="7" t="n"/>
      <c r="Z4293">
        <f>Z4292+IF(W4293="",0,IF(ISNA(MATCH(W4293,W$256:W4292,0)),1,0))</f>
        <v/>
      </c>
      <c r="AA4293">
        <f>IF(Z4293&gt;Z4292,Z4293,"")</f>
        <v/>
      </c>
      <c r="AB4293">
        <f>AB4292+IF(X4293="",0,IF(ISNA(MATCH(X4293,X$256:X4292,0)),1,0))</f>
        <v/>
      </c>
      <c r="AC4293">
        <f>IF(AB4293&gt;AB4292,AB4293,"")</f>
        <v/>
      </c>
    </row>
    <row r="4294">
      <c r="W4294" s="7" t="n"/>
      <c r="X4294" s="7" t="n"/>
      <c r="Z4294">
        <f>Z4293+IF(W4294="",0,IF(ISNA(MATCH(W4294,W$256:W4293,0)),1,0))</f>
        <v/>
      </c>
      <c r="AA4294">
        <f>IF(Z4294&gt;Z4293,Z4294,"")</f>
        <v/>
      </c>
      <c r="AB4294">
        <f>AB4293+IF(X4294="",0,IF(ISNA(MATCH(X4294,X$256:X4293,0)),1,0))</f>
        <v/>
      </c>
      <c r="AC4294">
        <f>IF(AB4294&gt;AB4293,AB4294,"")</f>
        <v/>
      </c>
    </row>
    <row r="4295">
      <c r="W4295" s="7" t="n"/>
      <c r="X4295" s="7" t="n"/>
      <c r="Z4295">
        <f>Z4294+IF(W4295="",0,IF(ISNA(MATCH(W4295,W$256:W4294,0)),1,0))</f>
        <v/>
      </c>
      <c r="AA4295">
        <f>IF(Z4295&gt;Z4294,Z4295,"")</f>
        <v/>
      </c>
      <c r="AB4295">
        <f>AB4294+IF(X4295="",0,IF(ISNA(MATCH(X4295,X$256:X4294,0)),1,0))</f>
        <v/>
      </c>
      <c r="AC4295">
        <f>IF(AB4295&gt;AB4294,AB4295,"")</f>
        <v/>
      </c>
    </row>
    <row r="4296">
      <c r="W4296" s="7" t="n"/>
      <c r="X4296" s="7" t="n"/>
      <c r="Z4296">
        <f>Z4295+IF(W4296="",0,IF(ISNA(MATCH(W4296,W$256:W4295,0)),1,0))</f>
        <v/>
      </c>
      <c r="AA4296">
        <f>IF(Z4296&gt;Z4295,Z4296,"")</f>
        <v/>
      </c>
      <c r="AB4296">
        <f>AB4295+IF(X4296="",0,IF(ISNA(MATCH(X4296,X$256:X4295,0)),1,0))</f>
        <v/>
      </c>
      <c r="AC4296">
        <f>IF(AB4296&gt;AB4295,AB4296,"")</f>
        <v/>
      </c>
    </row>
    <row r="4297">
      <c r="W4297" s="7" t="n"/>
      <c r="X4297" s="7" t="n"/>
      <c r="Z4297">
        <f>Z4296+IF(W4297="",0,IF(ISNA(MATCH(W4297,W$256:W4296,0)),1,0))</f>
        <v/>
      </c>
      <c r="AA4297">
        <f>IF(Z4297&gt;Z4296,Z4297,"")</f>
        <v/>
      </c>
      <c r="AB4297">
        <f>AB4296+IF(X4297="",0,IF(ISNA(MATCH(X4297,X$256:X4296,0)),1,0))</f>
        <v/>
      </c>
      <c r="AC4297">
        <f>IF(AB4297&gt;AB4296,AB4297,"")</f>
        <v/>
      </c>
    </row>
    <row r="4298">
      <c r="W4298" s="7" t="n"/>
      <c r="X4298" s="7" t="n"/>
      <c r="Z4298">
        <f>Z4297+IF(W4298="",0,IF(ISNA(MATCH(W4298,W$256:W4297,0)),1,0))</f>
        <v/>
      </c>
      <c r="AA4298">
        <f>IF(Z4298&gt;Z4297,Z4298,"")</f>
        <v/>
      </c>
      <c r="AB4298">
        <f>AB4297+IF(X4298="",0,IF(ISNA(MATCH(X4298,X$256:X4297,0)),1,0))</f>
        <v/>
      </c>
      <c r="AC4298">
        <f>IF(AB4298&gt;AB4297,AB4298,"")</f>
        <v/>
      </c>
    </row>
    <row r="4299">
      <c r="W4299" s="7" t="n"/>
      <c r="X4299" s="7" t="n"/>
      <c r="Z4299">
        <f>Z4298+IF(W4299="",0,IF(ISNA(MATCH(W4299,W$256:W4298,0)),1,0))</f>
        <v/>
      </c>
      <c r="AA4299">
        <f>IF(Z4299&gt;Z4298,Z4299,"")</f>
        <v/>
      </c>
      <c r="AB4299">
        <f>AB4298+IF(X4299="",0,IF(ISNA(MATCH(X4299,X$256:X4298,0)),1,0))</f>
        <v/>
      </c>
      <c r="AC4299">
        <f>IF(AB4299&gt;AB4298,AB4299,"")</f>
        <v/>
      </c>
    </row>
    <row r="4300">
      <c r="W4300" s="7" t="n"/>
      <c r="X4300" s="7" t="n"/>
      <c r="Z4300">
        <f>Z4299+IF(W4300="",0,IF(ISNA(MATCH(W4300,W$256:W4299,0)),1,0))</f>
        <v/>
      </c>
      <c r="AA4300">
        <f>IF(Z4300&gt;Z4299,Z4300,"")</f>
        <v/>
      </c>
      <c r="AB4300">
        <f>AB4299+IF(X4300="",0,IF(ISNA(MATCH(X4300,X$256:X4299,0)),1,0))</f>
        <v/>
      </c>
      <c r="AC4300">
        <f>IF(AB4300&gt;AB4299,AB4300,"")</f>
        <v/>
      </c>
    </row>
    <row r="4301">
      <c r="W4301" s="7" t="n"/>
      <c r="X4301" s="7" t="n"/>
      <c r="Z4301">
        <f>Z4300+IF(W4301="",0,IF(ISNA(MATCH(W4301,W$256:W4300,0)),1,0))</f>
        <v/>
      </c>
      <c r="AA4301">
        <f>IF(Z4301&gt;Z4300,Z4301,"")</f>
        <v/>
      </c>
      <c r="AB4301">
        <f>AB4300+IF(X4301="",0,IF(ISNA(MATCH(X4301,X$256:X4300,0)),1,0))</f>
        <v/>
      </c>
      <c r="AC4301">
        <f>IF(AB4301&gt;AB4300,AB4301,"")</f>
        <v/>
      </c>
    </row>
    <row r="4302">
      <c r="W4302" s="7" t="n"/>
      <c r="X4302" s="7" t="n"/>
      <c r="Z4302">
        <f>Z4301+IF(W4302="",0,IF(ISNA(MATCH(W4302,W$256:W4301,0)),1,0))</f>
        <v/>
      </c>
      <c r="AA4302">
        <f>IF(Z4302&gt;Z4301,Z4302,"")</f>
        <v/>
      </c>
      <c r="AB4302">
        <f>AB4301+IF(X4302="",0,IF(ISNA(MATCH(X4302,X$256:X4301,0)),1,0))</f>
        <v/>
      </c>
      <c r="AC4302">
        <f>IF(AB4302&gt;AB4301,AB4302,"")</f>
        <v/>
      </c>
    </row>
    <row r="4303">
      <c r="W4303" s="7" t="n"/>
      <c r="X4303" s="7" t="n"/>
      <c r="Z4303">
        <f>Z4302+IF(W4303="",0,IF(ISNA(MATCH(W4303,W$256:W4302,0)),1,0))</f>
        <v/>
      </c>
      <c r="AA4303">
        <f>IF(Z4303&gt;Z4302,Z4303,"")</f>
        <v/>
      </c>
      <c r="AB4303">
        <f>AB4302+IF(X4303="",0,IF(ISNA(MATCH(X4303,X$256:X4302,0)),1,0))</f>
        <v/>
      </c>
      <c r="AC4303">
        <f>IF(AB4303&gt;AB4302,AB4303,"")</f>
        <v/>
      </c>
    </row>
    <row r="4304">
      <c r="W4304" s="7" t="n"/>
      <c r="X4304" s="7" t="n"/>
      <c r="Z4304">
        <f>Z4303+IF(W4304="",0,IF(ISNA(MATCH(W4304,W$256:W4303,0)),1,0))</f>
        <v/>
      </c>
      <c r="AA4304">
        <f>IF(Z4304&gt;Z4303,Z4304,"")</f>
        <v/>
      </c>
      <c r="AB4304">
        <f>AB4303+IF(X4304="",0,IF(ISNA(MATCH(X4304,X$256:X4303,0)),1,0))</f>
        <v/>
      </c>
      <c r="AC4304">
        <f>IF(AB4304&gt;AB4303,AB4304,"")</f>
        <v/>
      </c>
    </row>
    <row r="4305">
      <c r="W4305" s="7" t="n"/>
      <c r="X4305" s="7" t="n"/>
      <c r="Z4305">
        <f>Z4304+IF(W4305="",0,IF(ISNA(MATCH(W4305,W$256:W4304,0)),1,0))</f>
        <v/>
      </c>
      <c r="AA4305">
        <f>IF(Z4305&gt;Z4304,Z4305,"")</f>
        <v/>
      </c>
      <c r="AB4305">
        <f>AB4304+IF(X4305="",0,IF(ISNA(MATCH(X4305,X$256:X4304,0)),1,0))</f>
        <v/>
      </c>
      <c r="AC4305">
        <f>IF(AB4305&gt;AB4304,AB4305,"")</f>
        <v/>
      </c>
    </row>
    <row r="4306">
      <c r="W4306" s="7" t="n"/>
      <c r="X4306" s="7" t="n"/>
      <c r="Z4306">
        <f>Z4305+IF(W4306="",0,IF(ISNA(MATCH(W4306,W$256:W4305,0)),1,0))</f>
        <v/>
      </c>
      <c r="AA4306">
        <f>IF(Z4306&gt;Z4305,Z4306,"")</f>
        <v/>
      </c>
      <c r="AB4306">
        <f>AB4305+IF(X4306="",0,IF(ISNA(MATCH(X4306,X$256:X4305,0)),1,0))</f>
        <v/>
      </c>
      <c r="AC4306">
        <f>IF(AB4306&gt;AB4305,AB4306,"")</f>
        <v/>
      </c>
    </row>
    <row r="4307">
      <c r="W4307" s="7" t="n"/>
      <c r="X4307" s="7" t="n"/>
      <c r="Z4307">
        <f>Z4306+IF(W4307="",0,IF(ISNA(MATCH(W4307,W$256:W4306,0)),1,0))</f>
        <v/>
      </c>
      <c r="AA4307">
        <f>IF(Z4307&gt;Z4306,Z4307,"")</f>
        <v/>
      </c>
      <c r="AB4307">
        <f>AB4306+IF(X4307="",0,IF(ISNA(MATCH(X4307,X$256:X4306,0)),1,0))</f>
        <v/>
      </c>
      <c r="AC4307">
        <f>IF(AB4307&gt;AB4306,AB4307,"")</f>
        <v/>
      </c>
    </row>
    <row r="4308">
      <c r="W4308" s="7" t="n"/>
      <c r="X4308" s="7" t="n"/>
      <c r="Z4308">
        <f>Z4307+IF(W4308="",0,IF(ISNA(MATCH(W4308,W$256:W4307,0)),1,0))</f>
        <v/>
      </c>
      <c r="AA4308">
        <f>IF(Z4308&gt;Z4307,Z4308,"")</f>
        <v/>
      </c>
      <c r="AB4308">
        <f>AB4307+IF(X4308="",0,IF(ISNA(MATCH(X4308,X$256:X4307,0)),1,0))</f>
        <v/>
      </c>
      <c r="AC4308">
        <f>IF(AB4308&gt;AB4307,AB4308,"")</f>
        <v/>
      </c>
    </row>
    <row r="4309">
      <c r="W4309" s="7" t="n"/>
      <c r="X4309" s="7" t="n"/>
      <c r="Z4309">
        <f>Z4308+IF(W4309="",0,IF(ISNA(MATCH(W4309,W$256:W4308,0)),1,0))</f>
        <v/>
      </c>
      <c r="AA4309">
        <f>IF(Z4309&gt;Z4308,Z4309,"")</f>
        <v/>
      </c>
      <c r="AB4309">
        <f>AB4308+IF(X4309="",0,IF(ISNA(MATCH(X4309,X$256:X4308,0)),1,0))</f>
        <v/>
      </c>
      <c r="AC4309">
        <f>IF(AB4309&gt;AB4308,AB4309,"")</f>
        <v/>
      </c>
    </row>
    <row r="4310">
      <c r="W4310" s="7" t="n"/>
      <c r="X4310" s="7" t="n"/>
      <c r="Z4310">
        <f>Z4309+IF(W4310="",0,IF(ISNA(MATCH(W4310,W$256:W4309,0)),1,0))</f>
        <v/>
      </c>
      <c r="AA4310">
        <f>IF(Z4310&gt;Z4309,Z4310,"")</f>
        <v/>
      </c>
      <c r="AB4310">
        <f>AB4309+IF(X4310="",0,IF(ISNA(MATCH(X4310,X$256:X4309,0)),1,0))</f>
        <v/>
      </c>
      <c r="AC4310">
        <f>IF(AB4310&gt;AB4309,AB4310,"")</f>
        <v/>
      </c>
    </row>
    <row r="4311">
      <c r="W4311" s="7" t="n"/>
      <c r="X4311" s="7" t="n"/>
      <c r="Z4311">
        <f>Z4310+IF(W4311="",0,IF(ISNA(MATCH(W4311,W$256:W4310,0)),1,0))</f>
        <v/>
      </c>
      <c r="AA4311">
        <f>IF(Z4311&gt;Z4310,Z4311,"")</f>
        <v/>
      </c>
      <c r="AB4311">
        <f>AB4310+IF(X4311="",0,IF(ISNA(MATCH(X4311,X$256:X4310,0)),1,0))</f>
        <v/>
      </c>
      <c r="AC4311">
        <f>IF(AB4311&gt;AB4310,AB4311,"")</f>
        <v/>
      </c>
    </row>
    <row r="4312">
      <c r="W4312" s="7" t="n"/>
      <c r="X4312" s="7" t="n"/>
      <c r="Z4312">
        <f>Z4311+IF(W4312="",0,IF(ISNA(MATCH(W4312,W$256:W4311,0)),1,0))</f>
        <v/>
      </c>
      <c r="AA4312">
        <f>IF(Z4312&gt;Z4311,Z4312,"")</f>
        <v/>
      </c>
      <c r="AB4312">
        <f>AB4311+IF(X4312="",0,IF(ISNA(MATCH(X4312,X$256:X4311,0)),1,0))</f>
        <v/>
      </c>
      <c r="AC4312">
        <f>IF(AB4312&gt;AB4311,AB4312,"")</f>
        <v/>
      </c>
    </row>
    <row r="4313">
      <c r="W4313" s="7" t="n"/>
      <c r="X4313" s="7" t="n"/>
      <c r="Z4313">
        <f>Z4312+IF(W4313="",0,IF(ISNA(MATCH(W4313,W$256:W4312,0)),1,0))</f>
        <v/>
      </c>
      <c r="AA4313">
        <f>IF(Z4313&gt;Z4312,Z4313,"")</f>
        <v/>
      </c>
      <c r="AB4313">
        <f>AB4312+IF(X4313="",0,IF(ISNA(MATCH(X4313,X$256:X4312,0)),1,0))</f>
        <v/>
      </c>
      <c r="AC4313">
        <f>IF(AB4313&gt;AB4312,AB4313,"")</f>
        <v/>
      </c>
    </row>
    <row r="4314">
      <c r="W4314" s="7" t="n"/>
      <c r="X4314" s="7" t="n"/>
      <c r="Z4314">
        <f>Z4313+IF(W4314="",0,IF(ISNA(MATCH(W4314,W$256:W4313,0)),1,0))</f>
        <v/>
      </c>
      <c r="AA4314">
        <f>IF(Z4314&gt;Z4313,Z4314,"")</f>
        <v/>
      </c>
      <c r="AB4314">
        <f>AB4313+IF(X4314="",0,IF(ISNA(MATCH(X4314,X$256:X4313,0)),1,0))</f>
        <v/>
      </c>
      <c r="AC4314">
        <f>IF(AB4314&gt;AB4313,AB4314,"")</f>
        <v/>
      </c>
    </row>
    <row r="4315">
      <c r="W4315" s="7" t="n"/>
      <c r="X4315" s="7" t="n"/>
      <c r="Z4315">
        <f>Z4314+IF(W4315="",0,IF(ISNA(MATCH(W4315,W$256:W4314,0)),1,0))</f>
        <v/>
      </c>
      <c r="AA4315">
        <f>IF(Z4315&gt;Z4314,Z4315,"")</f>
        <v/>
      </c>
      <c r="AB4315">
        <f>AB4314+IF(X4315="",0,IF(ISNA(MATCH(X4315,X$256:X4314,0)),1,0))</f>
        <v/>
      </c>
      <c r="AC4315">
        <f>IF(AB4315&gt;AB4314,AB4315,"")</f>
        <v/>
      </c>
    </row>
    <row r="4316">
      <c r="W4316" s="7" t="n"/>
      <c r="X4316" s="7" t="n"/>
      <c r="Z4316">
        <f>Z4315+IF(W4316="",0,IF(ISNA(MATCH(W4316,W$256:W4315,0)),1,0))</f>
        <v/>
      </c>
      <c r="AA4316">
        <f>IF(Z4316&gt;Z4315,Z4316,"")</f>
        <v/>
      </c>
      <c r="AB4316">
        <f>AB4315+IF(X4316="",0,IF(ISNA(MATCH(X4316,X$256:X4315,0)),1,0))</f>
        <v/>
      </c>
      <c r="AC4316">
        <f>IF(AB4316&gt;AB4315,AB4316,"")</f>
        <v/>
      </c>
    </row>
    <row r="4317">
      <c r="W4317" s="7" t="n"/>
      <c r="X4317" s="7" t="n"/>
      <c r="Z4317">
        <f>Z4316+IF(W4317="",0,IF(ISNA(MATCH(W4317,W$256:W4316,0)),1,0))</f>
        <v/>
      </c>
      <c r="AA4317">
        <f>IF(Z4317&gt;Z4316,Z4317,"")</f>
        <v/>
      </c>
      <c r="AB4317">
        <f>AB4316+IF(X4317="",0,IF(ISNA(MATCH(X4317,X$256:X4316,0)),1,0))</f>
        <v/>
      </c>
      <c r="AC4317">
        <f>IF(AB4317&gt;AB4316,AB4317,"")</f>
        <v/>
      </c>
    </row>
    <row r="4318">
      <c r="W4318" s="7" t="n"/>
      <c r="X4318" s="7" t="n"/>
      <c r="Z4318">
        <f>Z4317+IF(W4318="",0,IF(ISNA(MATCH(W4318,W$256:W4317,0)),1,0))</f>
        <v/>
      </c>
      <c r="AA4318">
        <f>IF(Z4318&gt;Z4317,Z4318,"")</f>
        <v/>
      </c>
      <c r="AB4318">
        <f>AB4317+IF(X4318="",0,IF(ISNA(MATCH(X4318,X$256:X4317,0)),1,0))</f>
        <v/>
      </c>
      <c r="AC4318">
        <f>IF(AB4318&gt;AB4317,AB4318,"")</f>
        <v/>
      </c>
    </row>
    <row r="4319">
      <c r="W4319" s="7" t="n"/>
      <c r="X4319" s="7" t="n"/>
      <c r="Z4319">
        <f>Z4318+IF(W4319="",0,IF(ISNA(MATCH(W4319,W$256:W4318,0)),1,0))</f>
        <v/>
      </c>
      <c r="AA4319">
        <f>IF(Z4319&gt;Z4318,Z4319,"")</f>
        <v/>
      </c>
      <c r="AB4319">
        <f>AB4318+IF(X4319="",0,IF(ISNA(MATCH(X4319,X$256:X4318,0)),1,0))</f>
        <v/>
      </c>
      <c r="AC4319">
        <f>IF(AB4319&gt;AB4318,AB4319,"")</f>
        <v/>
      </c>
    </row>
    <row r="4320">
      <c r="W4320" s="7" t="n"/>
      <c r="X4320" s="7" t="n"/>
      <c r="Z4320">
        <f>Z4319+IF(W4320="",0,IF(ISNA(MATCH(W4320,W$256:W4319,0)),1,0))</f>
        <v/>
      </c>
      <c r="AA4320">
        <f>IF(Z4320&gt;Z4319,Z4320,"")</f>
        <v/>
      </c>
      <c r="AB4320">
        <f>AB4319+IF(X4320="",0,IF(ISNA(MATCH(X4320,X$256:X4319,0)),1,0))</f>
        <v/>
      </c>
      <c r="AC4320">
        <f>IF(AB4320&gt;AB4319,AB4320,"")</f>
        <v/>
      </c>
    </row>
    <row r="4321">
      <c r="W4321" s="7" t="n"/>
      <c r="X4321" s="7" t="n"/>
      <c r="Z4321">
        <f>Z4320+IF(W4321="",0,IF(ISNA(MATCH(W4321,W$256:W4320,0)),1,0))</f>
        <v/>
      </c>
      <c r="AA4321">
        <f>IF(Z4321&gt;Z4320,Z4321,"")</f>
        <v/>
      </c>
      <c r="AB4321">
        <f>AB4320+IF(X4321="",0,IF(ISNA(MATCH(X4321,X$256:X4320,0)),1,0))</f>
        <v/>
      </c>
      <c r="AC4321">
        <f>IF(AB4321&gt;AB4320,AB4321,"")</f>
        <v/>
      </c>
    </row>
    <row r="4322">
      <c r="W4322" s="7" t="n"/>
      <c r="X4322" s="7" t="n"/>
      <c r="Z4322">
        <f>Z4321+IF(W4322="",0,IF(ISNA(MATCH(W4322,W$256:W4321,0)),1,0))</f>
        <v/>
      </c>
      <c r="AA4322">
        <f>IF(Z4322&gt;Z4321,Z4322,"")</f>
        <v/>
      </c>
      <c r="AB4322">
        <f>AB4321+IF(X4322="",0,IF(ISNA(MATCH(X4322,X$256:X4321,0)),1,0))</f>
        <v/>
      </c>
      <c r="AC4322">
        <f>IF(AB4322&gt;AB4321,AB4322,"")</f>
        <v/>
      </c>
    </row>
    <row r="4323">
      <c r="W4323" s="7" t="n"/>
      <c r="X4323" s="7" t="n"/>
      <c r="Z4323">
        <f>Z4322+IF(W4323="",0,IF(ISNA(MATCH(W4323,W$256:W4322,0)),1,0))</f>
        <v/>
      </c>
      <c r="AA4323">
        <f>IF(Z4323&gt;Z4322,Z4323,"")</f>
        <v/>
      </c>
      <c r="AB4323">
        <f>AB4322+IF(X4323="",0,IF(ISNA(MATCH(X4323,X$256:X4322,0)),1,0))</f>
        <v/>
      </c>
      <c r="AC4323">
        <f>IF(AB4323&gt;AB4322,AB4323,"")</f>
        <v/>
      </c>
    </row>
    <row r="4324">
      <c r="W4324" s="7" t="n"/>
      <c r="X4324" s="7" t="n"/>
      <c r="Z4324">
        <f>Z4323+IF(W4324="",0,IF(ISNA(MATCH(W4324,W$256:W4323,0)),1,0))</f>
        <v/>
      </c>
      <c r="AA4324">
        <f>IF(Z4324&gt;Z4323,Z4324,"")</f>
        <v/>
      </c>
      <c r="AB4324">
        <f>AB4323+IF(X4324="",0,IF(ISNA(MATCH(X4324,X$256:X4323,0)),1,0))</f>
        <v/>
      </c>
      <c r="AC4324">
        <f>IF(AB4324&gt;AB4323,AB4324,"")</f>
        <v/>
      </c>
    </row>
    <row r="4325">
      <c r="W4325" s="7" t="n"/>
      <c r="X4325" s="7" t="n"/>
      <c r="Z4325">
        <f>Z4324+IF(W4325="",0,IF(ISNA(MATCH(W4325,W$256:W4324,0)),1,0))</f>
        <v/>
      </c>
      <c r="AA4325">
        <f>IF(Z4325&gt;Z4324,Z4325,"")</f>
        <v/>
      </c>
      <c r="AB4325">
        <f>AB4324+IF(X4325="",0,IF(ISNA(MATCH(X4325,X$256:X4324,0)),1,0))</f>
        <v/>
      </c>
      <c r="AC4325">
        <f>IF(AB4325&gt;AB4324,AB4325,"")</f>
        <v/>
      </c>
    </row>
    <row r="4326">
      <c r="W4326" s="7" t="n"/>
      <c r="X4326" s="7" t="n"/>
      <c r="Z4326">
        <f>Z4325+IF(W4326="",0,IF(ISNA(MATCH(W4326,W$256:W4325,0)),1,0))</f>
        <v/>
      </c>
      <c r="AA4326">
        <f>IF(Z4326&gt;Z4325,Z4326,"")</f>
        <v/>
      </c>
      <c r="AB4326">
        <f>AB4325+IF(X4326="",0,IF(ISNA(MATCH(X4326,X$256:X4325,0)),1,0))</f>
        <v/>
      </c>
      <c r="AC4326">
        <f>IF(AB4326&gt;AB4325,AB4326,"")</f>
        <v/>
      </c>
    </row>
    <row r="4327">
      <c r="W4327" s="7" t="n"/>
      <c r="X4327" s="7" t="n"/>
      <c r="Z4327">
        <f>Z4326+IF(W4327="",0,IF(ISNA(MATCH(W4327,W$256:W4326,0)),1,0))</f>
        <v/>
      </c>
      <c r="AA4327">
        <f>IF(Z4327&gt;Z4326,Z4327,"")</f>
        <v/>
      </c>
      <c r="AB4327">
        <f>AB4326+IF(X4327="",0,IF(ISNA(MATCH(X4327,X$256:X4326,0)),1,0))</f>
        <v/>
      </c>
      <c r="AC4327">
        <f>IF(AB4327&gt;AB4326,AB4327,"")</f>
        <v/>
      </c>
    </row>
    <row r="4328">
      <c r="W4328" s="7" t="n"/>
      <c r="X4328" s="7" t="n"/>
      <c r="Z4328">
        <f>Z4327+IF(W4328="",0,IF(ISNA(MATCH(W4328,W$256:W4327,0)),1,0))</f>
        <v/>
      </c>
      <c r="AA4328">
        <f>IF(Z4328&gt;Z4327,Z4328,"")</f>
        <v/>
      </c>
      <c r="AB4328">
        <f>AB4327+IF(X4328="",0,IF(ISNA(MATCH(X4328,X$256:X4327,0)),1,0))</f>
        <v/>
      </c>
      <c r="AC4328">
        <f>IF(AB4328&gt;AB4327,AB4328,"")</f>
        <v/>
      </c>
    </row>
    <row r="4329">
      <c r="W4329" s="7" t="n"/>
      <c r="X4329" s="7" t="n"/>
      <c r="Z4329">
        <f>Z4328+IF(W4329="",0,IF(ISNA(MATCH(W4329,W$256:W4328,0)),1,0))</f>
        <v/>
      </c>
      <c r="AA4329">
        <f>IF(Z4329&gt;Z4328,Z4329,"")</f>
        <v/>
      </c>
      <c r="AB4329">
        <f>AB4328+IF(X4329="",0,IF(ISNA(MATCH(X4329,X$256:X4328,0)),1,0))</f>
        <v/>
      </c>
      <c r="AC4329">
        <f>IF(AB4329&gt;AB4328,AB4329,"")</f>
        <v/>
      </c>
    </row>
    <row r="4330">
      <c r="W4330" s="7" t="n"/>
      <c r="X4330" s="7" t="n"/>
      <c r="Z4330">
        <f>Z4329+IF(W4330="",0,IF(ISNA(MATCH(W4330,W$256:W4329,0)),1,0))</f>
        <v/>
      </c>
      <c r="AA4330">
        <f>IF(Z4330&gt;Z4329,Z4330,"")</f>
        <v/>
      </c>
      <c r="AB4330">
        <f>AB4329+IF(X4330="",0,IF(ISNA(MATCH(X4330,X$256:X4329,0)),1,0))</f>
        <v/>
      </c>
      <c r="AC4330">
        <f>IF(AB4330&gt;AB4329,AB4330,"")</f>
        <v/>
      </c>
    </row>
    <row r="4331">
      <c r="W4331" s="7" t="n"/>
      <c r="X4331" s="7" t="n"/>
      <c r="Z4331">
        <f>Z4330+IF(W4331="",0,IF(ISNA(MATCH(W4331,W$256:W4330,0)),1,0))</f>
        <v/>
      </c>
      <c r="AA4331">
        <f>IF(Z4331&gt;Z4330,Z4331,"")</f>
        <v/>
      </c>
      <c r="AB4331">
        <f>AB4330+IF(X4331="",0,IF(ISNA(MATCH(X4331,X$256:X4330,0)),1,0))</f>
        <v/>
      </c>
      <c r="AC4331">
        <f>IF(AB4331&gt;AB4330,AB4331,"")</f>
        <v/>
      </c>
    </row>
    <row r="4332">
      <c r="W4332" s="7" t="n"/>
      <c r="X4332" s="7" t="n"/>
      <c r="Z4332">
        <f>Z4331+IF(W4332="",0,IF(ISNA(MATCH(W4332,W$256:W4331,0)),1,0))</f>
        <v/>
      </c>
      <c r="AA4332">
        <f>IF(Z4332&gt;Z4331,Z4332,"")</f>
        <v/>
      </c>
      <c r="AB4332">
        <f>AB4331+IF(X4332="",0,IF(ISNA(MATCH(X4332,X$256:X4331,0)),1,0))</f>
        <v/>
      </c>
      <c r="AC4332">
        <f>IF(AB4332&gt;AB4331,AB4332,"")</f>
        <v/>
      </c>
    </row>
    <row r="4333">
      <c r="W4333" s="7" t="n"/>
      <c r="X4333" s="7" t="n"/>
      <c r="Z4333">
        <f>Z4332+IF(W4333="",0,IF(ISNA(MATCH(W4333,W$256:W4332,0)),1,0))</f>
        <v/>
      </c>
      <c r="AA4333">
        <f>IF(Z4333&gt;Z4332,Z4333,"")</f>
        <v/>
      </c>
      <c r="AB4333">
        <f>AB4332+IF(X4333="",0,IF(ISNA(MATCH(X4333,X$256:X4332,0)),1,0))</f>
        <v/>
      </c>
      <c r="AC4333">
        <f>IF(AB4333&gt;AB4332,AB4333,"")</f>
        <v/>
      </c>
    </row>
    <row r="4334">
      <c r="W4334" s="7" t="n"/>
      <c r="X4334" s="7" t="n"/>
      <c r="Z4334">
        <f>Z4333+IF(W4334="",0,IF(ISNA(MATCH(W4334,W$256:W4333,0)),1,0))</f>
        <v/>
      </c>
      <c r="AA4334">
        <f>IF(Z4334&gt;Z4333,Z4334,"")</f>
        <v/>
      </c>
      <c r="AB4334">
        <f>AB4333+IF(X4334="",0,IF(ISNA(MATCH(X4334,X$256:X4333,0)),1,0))</f>
        <v/>
      </c>
      <c r="AC4334">
        <f>IF(AB4334&gt;AB4333,AB4334,"")</f>
        <v/>
      </c>
    </row>
    <row r="4335">
      <c r="W4335" s="7" t="n"/>
      <c r="X4335" s="7" t="n"/>
      <c r="Z4335">
        <f>Z4334+IF(W4335="",0,IF(ISNA(MATCH(W4335,W$256:W4334,0)),1,0))</f>
        <v/>
      </c>
      <c r="AA4335">
        <f>IF(Z4335&gt;Z4334,Z4335,"")</f>
        <v/>
      </c>
      <c r="AB4335">
        <f>AB4334+IF(X4335="",0,IF(ISNA(MATCH(X4335,X$256:X4334,0)),1,0))</f>
        <v/>
      </c>
      <c r="AC4335">
        <f>IF(AB4335&gt;AB4334,AB4335,"")</f>
        <v/>
      </c>
    </row>
    <row r="4336">
      <c r="W4336" s="7" t="n"/>
      <c r="X4336" s="7" t="n"/>
      <c r="Z4336">
        <f>Z4335+IF(W4336="",0,IF(ISNA(MATCH(W4336,W$256:W4335,0)),1,0))</f>
        <v/>
      </c>
      <c r="AA4336">
        <f>IF(Z4336&gt;Z4335,Z4336,"")</f>
        <v/>
      </c>
      <c r="AB4336">
        <f>AB4335+IF(X4336="",0,IF(ISNA(MATCH(X4336,X$256:X4335,0)),1,0))</f>
        <v/>
      </c>
      <c r="AC4336">
        <f>IF(AB4336&gt;AB4335,AB4336,"")</f>
        <v/>
      </c>
    </row>
    <row r="4337">
      <c r="W4337" s="7" t="n"/>
      <c r="X4337" s="7" t="n"/>
      <c r="Z4337">
        <f>Z4336+IF(W4337="",0,IF(ISNA(MATCH(W4337,W$256:W4336,0)),1,0))</f>
        <v/>
      </c>
      <c r="AA4337">
        <f>IF(Z4337&gt;Z4336,Z4337,"")</f>
        <v/>
      </c>
      <c r="AB4337">
        <f>AB4336+IF(X4337="",0,IF(ISNA(MATCH(X4337,X$256:X4336,0)),1,0))</f>
        <v/>
      </c>
      <c r="AC4337">
        <f>IF(AB4337&gt;AB4336,AB4337,"")</f>
        <v/>
      </c>
    </row>
    <row r="4338">
      <c r="W4338" s="7" t="n"/>
      <c r="X4338" s="7" t="n"/>
      <c r="Z4338">
        <f>Z4337+IF(W4338="",0,IF(ISNA(MATCH(W4338,W$256:W4337,0)),1,0))</f>
        <v/>
      </c>
      <c r="AA4338">
        <f>IF(Z4338&gt;Z4337,Z4338,"")</f>
        <v/>
      </c>
      <c r="AB4338">
        <f>AB4337+IF(X4338="",0,IF(ISNA(MATCH(X4338,X$256:X4337,0)),1,0))</f>
        <v/>
      </c>
      <c r="AC4338">
        <f>IF(AB4338&gt;AB4337,AB4338,"")</f>
        <v/>
      </c>
    </row>
    <row r="4339">
      <c r="W4339" s="7" t="n"/>
      <c r="X4339" s="7" t="n"/>
      <c r="Z4339">
        <f>Z4338+IF(W4339="",0,IF(ISNA(MATCH(W4339,W$256:W4338,0)),1,0))</f>
        <v/>
      </c>
      <c r="AA4339">
        <f>IF(Z4339&gt;Z4338,Z4339,"")</f>
        <v/>
      </c>
      <c r="AB4339">
        <f>AB4338+IF(X4339="",0,IF(ISNA(MATCH(X4339,X$256:X4338,0)),1,0))</f>
        <v/>
      </c>
      <c r="AC4339">
        <f>IF(AB4339&gt;AB4338,AB4339,"")</f>
        <v/>
      </c>
    </row>
    <row r="4340">
      <c r="W4340" s="7" t="n"/>
      <c r="X4340" s="7" t="n"/>
      <c r="Z4340">
        <f>Z4339+IF(W4340="",0,IF(ISNA(MATCH(W4340,W$256:W4339,0)),1,0))</f>
        <v/>
      </c>
      <c r="AA4340">
        <f>IF(Z4340&gt;Z4339,Z4340,"")</f>
        <v/>
      </c>
      <c r="AB4340">
        <f>AB4339+IF(X4340="",0,IF(ISNA(MATCH(X4340,X$256:X4339,0)),1,0))</f>
        <v/>
      </c>
      <c r="AC4340">
        <f>IF(AB4340&gt;AB4339,AB4340,"")</f>
        <v/>
      </c>
    </row>
    <row r="4341">
      <c r="W4341" s="7" t="n"/>
      <c r="X4341" s="7" t="n"/>
      <c r="Z4341">
        <f>Z4340+IF(W4341="",0,IF(ISNA(MATCH(W4341,W$256:W4340,0)),1,0))</f>
        <v/>
      </c>
      <c r="AA4341">
        <f>IF(Z4341&gt;Z4340,Z4341,"")</f>
        <v/>
      </c>
      <c r="AB4341">
        <f>AB4340+IF(X4341="",0,IF(ISNA(MATCH(X4341,X$256:X4340,0)),1,0))</f>
        <v/>
      </c>
      <c r="AC4341">
        <f>IF(AB4341&gt;AB4340,AB4341,"")</f>
        <v/>
      </c>
    </row>
    <row r="4342">
      <c r="W4342" s="7" t="n"/>
      <c r="X4342" s="7" t="n"/>
      <c r="Z4342">
        <f>Z4341+IF(W4342="",0,IF(ISNA(MATCH(W4342,W$256:W4341,0)),1,0))</f>
        <v/>
      </c>
      <c r="AA4342">
        <f>IF(Z4342&gt;Z4341,Z4342,"")</f>
        <v/>
      </c>
      <c r="AB4342">
        <f>AB4341+IF(X4342="",0,IF(ISNA(MATCH(X4342,X$256:X4341,0)),1,0))</f>
        <v/>
      </c>
      <c r="AC4342">
        <f>IF(AB4342&gt;AB4341,AB4342,"")</f>
        <v/>
      </c>
    </row>
    <row r="4343">
      <c r="W4343" s="7" t="n"/>
      <c r="X4343" s="7" t="n"/>
      <c r="Z4343">
        <f>Z4342+IF(W4343="",0,IF(ISNA(MATCH(W4343,W$256:W4342,0)),1,0))</f>
        <v/>
      </c>
      <c r="AA4343">
        <f>IF(Z4343&gt;Z4342,Z4343,"")</f>
        <v/>
      </c>
      <c r="AB4343">
        <f>AB4342+IF(X4343="",0,IF(ISNA(MATCH(X4343,X$256:X4342,0)),1,0))</f>
        <v/>
      </c>
      <c r="AC4343">
        <f>IF(AB4343&gt;AB4342,AB4343,"")</f>
        <v/>
      </c>
    </row>
    <row r="4344">
      <c r="W4344" s="7" t="n"/>
      <c r="X4344" s="7" t="n"/>
      <c r="Z4344">
        <f>Z4343+IF(W4344="",0,IF(ISNA(MATCH(W4344,W$256:W4343,0)),1,0))</f>
        <v/>
      </c>
      <c r="AA4344">
        <f>IF(Z4344&gt;Z4343,Z4344,"")</f>
        <v/>
      </c>
      <c r="AB4344">
        <f>AB4343+IF(X4344="",0,IF(ISNA(MATCH(X4344,X$256:X4343,0)),1,0))</f>
        <v/>
      </c>
      <c r="AC4344">
        <f>IF(AB4344&gt;AB4343,AB4344,"")</f>
        <v/>
      </c>
    </row>
    <row r="4345">
      <c r="W4345" s="7" t="n"/>
      <c r="X4345" s="7" t="n"/>
      <c r="Z4345">
        <f>Z4344+IF(W4345="",0,IF(ISNA(MATCH(W4345,W$256:W4344,0)),1,0))</f>
        <v/>
      </c>
      <c r="AA4345">
        <f>IF(Z4345&gt;Z4344,Z4345,"")</f>
        <v/>
      </c>
      <c r="AB4345">
        <f>AB4344+IF(X4345="",0,IF(ISNA(MATCH(X4345,X$256:X4344,0)),1,0))</f>
        <v/>
      </c>
      <c r="AC4345">
        <f>IF(AB4345&gt;AB4344,AB4345,"")</f>
        <v/>
      </c>
    </row>
    <row r="4346">
      <c r="W4346" s="7" t="n"/>
      <c r="X4346" s="7" t="n"/>
      <c r="Z4346">
        <f>Z4345+IF(W4346="",0,IF(ISNA(MATCH(W4346,W$256:W4345,0)),1,0))</f>
        <v/>
      </c>
      <c r="AA4346">
        <f>IF(Z4346&gt;Z4345,Z4346,"")</f>
        <v/>
      </c>
      <c r="AB4346">
        <f>AB4345+IF(X4346="",0,IF(ISNA(MATCH(X4346,X$256:X4345,0)),1,0))</f>
        <v/>
      </c>
      <c r="AC4346">
        <f>IF(AB4346&gt;AB4345,AB4346,"")</f>
        <v/>
      </c>
    </row>
    <row r="4347">
      <c r="W4347" s="7" t="n"/>
      <c r="X4347" s="7" t="n"/>
      <c r="Z4347">
        <f>Z4346+IF(W4347="",0,IF(ISNA(MATCH(W4347,W$256:W4346,0)),1,0))</f>
        <v/>
      </c>
      <c r="AA4347">
        <f>IF(Z4347&gt;Z4346,Z4347,"")</f>
        <v/>
      </c>
      <c r="AB4347">
        <f>AB4346+IF(X4347="",0,IF(ISNA(MATCH(X4347,X$256:X4346,0)),1,0))</f>
        <v/>
      </c>
      <c r="AC4347">
        <f>IF(AB4347&gt;AB4346,AB4347,"")</f>
        <v/>
      </c>
    </row>
    <row r="4348">
      <c r="W4348" s="7" t="n"/>
      <c r="X4348" s="7" t="n"/>
      <c r="Z4348">
        <f>Z4347+IF(W4348="",0,IF(ISNA(MATCH(W4348,W$256:W4347,0)),1,0))</f>
        <v/>
      </c>
      <c r="AA4348">
        <f>IF(Z4348&gt;Z4347,Z4348,"")</f>
        <v/>
      </c>
      <c r="AB4348">
        <f>AB4347+IF(X4348="",0,IF(ISNA(MATCH(X4348,X$256:X4347,0)),1,0))</f>
        <v/>
      </c>
      <c r="AC4348">
        <f>IF(AB4348&gt;AB4347,AB4348,"")</f>
        <v/>
      </c>
    </row>
    <row r="4349">
      <c r="W4349" s="7" t="n"/>
      <c r="X4349" s="7" t="n"/>
      <c r="Z4349">
        <f>Z4348+IF(W4349="",0,IF(ISNA(MATCH(W4349,W$256:W4348,0)),1,0))</f>
        <v/>
      </c>
      <c r="AA4349">
        <f>IF(Z4349&gt;Z4348,Z4349,"")</f>
        <v/>
      </c>
      <c r="AB4349">
        <f>AB4348+IF(X4349="",0,IF(ISNA(MATCH(X4349,X$256:X4348,0)),1,0))</f>
        <v/>
      </c>
      <c r="AC4349">
        <f>IF(AB4349&gt;AB4348,AB4349,"")</f>
        <v/>
      </c>
    </row>
    <row r="4350">
      <c r="W4350" s="7" t="n"/>
      <c r="X4350" s="7" t="n"/>
      <c r="Z4350">
        <f>Z4349+IF(W4350="",0,IF(ISNA(MATCH(W4350,W$256:W4349,0)),1,0))</f>
        <v/>
      </c>
      <c r="AA4350">
        <f>IF(Z4350&gt;Z4349,Z4350,"")</f>
        <v/>
      </c>
      <c r="AB4350">
        <f>AB4349+IF(X4350="",0,IF(ISNA(MATCH(X4350,X$256:X4349,0)),1,0))</f>
        <v/>
      </c>
      <c r="AC4350">
        <f>IF(AB4350&gt;AB4349,AB4350,"")</f>
        <v/>
      </c>
    </row>
    <row r="4351">
      <c r="W4351" s="7" t="n"/>
      <c r="X4351" s="7" t="n"/>
      <c r="Z4351">
        <f>Z4350+IF(W4351="",0,IF(ISNA(MATCH(W4351,W$256:W4350,0)),1,0))</f>
        <v/>
      </c>
      <c r="AA4351">
        <f>IF(Z4351&gt;Z4350,Z4351,"")</f>
        <v/>
      </c>
      <c r="AB4351">
        <f>AB4350+IF(X4351="",0,IF(ISNA(MATCH(X4351,X$256:X4350,0)),1,0))</f>
        <v/>
      </c>
      <c r="AC4351">
        <f>IF(AB4351&gt;AB4350,AB4351,"")</f>
        <v/>
      </c>
    </row>
    <row r="4352">
      <c r="W4352" s="7" t="n"/>
      <c r="X4352" s="7" t="n"/>
      <c r="Z4352">
        <f>Z4351+IF(W4352="",0,IF(ISNA(MATCH(W4352,W$256:W4351,0)),1,0))</f>
        <v/>
      </c>
      <c r="AA4352">
        <f>IF(Z4352&gt;Z4351,Z4352,"")</f>
        <v/>
      </c>
      <c r="AB4352">
        <f>AB4351+IF(X4352="",0,IF(ISNA(MATCH(X4352,X$256:X4351,0)),1,0))</f>
        <v/>
      </c>
      <c r="AC4352">
        <f>IF(AB4352&gt;AB4351,AB4352,"")</f>
        <v/>
      </c>
    </row>
    <row r="4353">
      <c r="W4353" s="7" t="n"/>
      <c r="X4353" s="7" t="n"/>
      <c r="Z4353">
        <f>Z4352+IF(W4353="",0,IF(ISNA(MATCH(W4353,W$256:W4352,0)),1,0))</f>
        <v/>
      </c>
      <c r="AA4353">
        <f>IF(Z4353&gt;Z4352,Z4353,"")</f>
        <v/>
      </c>
      <c r="AB4353">
        <f>AB4352+IF(X4353="",0,IF(ISNA(MATCH(X4353,X$256:X4352,0)),1,0))</f>
        <v/>
      </c>
      <c r="AC4353">
        <f>IF(AB4353&gt;AB4352,AB4353,"")</f>
        <v/>
      </c>
    </row>
    <row r="4354">
      <c r="W4354" s="7" t="n"/>
      <c r="X4354" s="7" t="n"/>
      <c r="Z4354">
        <f>Z4353+IF(W4354="",0,IF(ISNA(MATCH(W4354,W$256:W4353,0)),1,0))</f>
        <v/>
      </c>
      <c r="AA4354">
        <f>IF(Z4354&gt;Z4353,Z4354,"")</f>
        <v/>
      </c>
      <c r="AB4354">
        <f>AB4353+IF(X4354="",0,IF(ISNA(MATCH(X4354,X$256:X4353,0)),1,0))</f>
        <v/>
      </c>
      <c r="AC4354">
        <f>IF(AB4354&gt;AB4353,AB4354,"")</f>
        <v/>
      </c>
    </row>
    <row r="4355">
      <c r="W4355" s="7" t="n"/>
      <c r="X4355" s="7" t="n"/>
      <c r="Z4355">
        <f>Z4354+IF(W4355="",0,IF(ISNA(MATCH(W4355,W$256:W4354,0)),1,0))</f>
        <v/>
      </c>
      <c r="AA4355">
        <f>IF(Z4355&gt;Z4354,Z4355,"")</f>
        <v/>
      </c>
      <c r="AB4355">
        <f>AB4354+IF(X4355="",0,IF(ISNA(MATCH(X4355,X$256:X4354,0)),1,0))</f>
        <v/>
      </c>
      <c r="AC4355">
        <f>IF(AB4355&gt;AB4354,AB4355,"")</f>
        <v/>
      </c>
    </row>
    <row r="4356">
      <c r="W4356" s="7" t="n"/>
      <c r="X4356" s="7" t="n"/>
      <c r="Z4356">
        <f>Z4355+IF(W4356="",0,IF(ISNA(MATCH(W4356,W$256:W4355,0)),1,0))</f>
        <v/>
      </c>
      <c r="AA4356">
        <f>IF(Z4356&gt;Z4355,Z4356,"")</f>
        <v/>
      </c>
      <c r="AB4356">
        <f>AB4355+IF(X4356="",0,IF(ISNA(MATCH(X4356,X$256:X4355,0)),1,0))</f>
        <v/>
      </c>
      <c r="AC4356">
        <f>IF(AB4356&gt;AB4355,AB4356,"")</f>
        <v/>
      </c>
    </row>
    <row r="4357">
      <c r="W4357" s="7" t="n"/>
      <c r="X4357" s="7" t="n"/>
      <c r="Z4357">
        <f>Z4356+IF(W4357="",0,IF(ISNA(MATCH(W4357,W$256:W4356,0)),1,0))</f>
        <v/>
      </c>
      <c r="AA4357">
        <f>IF(Z4357&gt;Z4356,Z4357,"")</f>
        <v/>
      </c>
      <c r="AB4357">
        <f>AB4356+IF(X4357="",0,IF(ISNA(MATCH(X4357,X$256:X4356,0)),1,0))</f>
        <v/>
      </c>
      <c r="AC4357">
        <f>IF(AB4357&gt;AB4356,AB4357,"")</f>
        <v/>
      </c>
    </row>
    <row r="4358">
      <c r="W4358" s="7" t="n"/>
      <c r="X4358" s="7" t="n"/>
      <c r="Z4358">
        <f>Z4357+IF(W4358="",0,IF(ISNA(MATCH(W4358,W$256:W4357,0)),1,0))</f>
        <v/>
      </c>
      <c r="AA4358">
        <f>IF(Z4358&gt;Z4357,Z4358,"")</f>
        <v/>
      </c>
      <c r="AB4358">
        <f>AB4357+IF(X4358="",0,IF(ISNA(MATCH(X4358,X$256:X4357,0)),1,0))</f>
        <v/>
      </c>
      <c r="AC4358">
        <f>IF(AB4358&gt;AB4357,AB4358,"")</f>
        <v/>
      </c>
    </row>
    <row r="4359">
      <c r="W4359" s="7" t="n"/>
      <c r="X4359" s="7" t="n"/>
      <c r="Z4359">
        <f>Z4358+IF(W4359="",0,IF(ISNA(MATCH(W4359,W$256:W4358,0)),1,0))</f>
        <v/>
      </c>
      <c r="AA4359">
        <f>IF(Z4359&gt;Z4358,Z4359,"")</f>
        <v/>
      </c>
      <c r="AB4359">
        <f>AB4358+IF(X4359="",0,IF(ISNA(MATCH(X4359,X$256:X4358,0)),1,0))</f>
        <v/>
      </c>
      <c r="AC4359">
        <f>IF(AB4359&gt;AB4358,AB4359,"")</f>
        <v/>
      </c>
    </row>
    <row r="4360">
      <c r="W4360" s="7" t="n"/>
      <c r="X4360" s="7" t="n"/>
      <c r="Z4360">
        <f>Z4359+IF(W4360="",0,IF(ISNA(MATCH(W4360,W$256:W4359,0)),1,0))</f>
        <v/>
      </c>
      <c r="AA4360">
        <f>IF(Z4360&gt;Z4359,Z4360,"")</f>
        <v/>
      </c>
      <c r="AB4360">
        <f>AB4359+IF(X4360="",0,IF(ISNA(MATCH(X4360,X$256:X4359,0)),1,0))</f>
        <v/>
      </c>
      <c r="AC4360">
        <f>IF(AB4360&gt;AB4359,AB4360,"")</f>
        <v/>
      </c>
    </row>
    <row r="4361">
      <c r="W4361" s="7" t="n"/>
      <c r="X4361" s="7" t="n"/>
      <c r="Z4361">
        <f>Z4360+IF(W4361="",0,IF(ISNA(MATCH(W4361,W$256:W4360,0)),1,0))</f>
        <v/>
      </c>
      <c r="AA4361">
        <f>IF(Z4361&gt;Z4360,Z4361,"")</f>
        <v/>
      </c>
      <c r="AB4361">
        <f>AB4360+IF(X4361="",0,IF(ISNA(MATCH(X4361,X$256:X4360,0)),1,0))</f>
        <v/>
      </c>
      <c r="AC4361">
        <f>IF(AB4361&gt;AB4360,AB4361,"")</f>
        <v/>
      </c>
    </row>
    <row r="4362">
      <c r="W4362" s="7" t="n"/>
      <c r="X4362" s="7" t="n"/>
      <c r="Z4362">
        <f>Z4361+IF(W4362="",0,IF(ISNA(MATCH(W4362,W$256:W4361,0)),1,0))</f>
        <v/>
      </c>
      <c r="AA4362">
        <f>IF(Z4362&gt;Z4361,Z4362,"")</f>
        <v/>
      </c>
      <c r="AB4362">
        <f>AB4361+IF(X4362="",0,IF(ISNA(MATCH(X4362,X$256:X4361,0)),1,0))</f>
        <v/>
      </c>
      <c r="AC4362">
        <f>IF(AB4362&gt;AB4361,AB4362,"")</f>
        <v/>
      </c>
    </row>
    <row r="4363">
      <c r="W4363" s="7" t="n"/>
      <c r="X4363" s="7" t="n"/>
      <c r="Z4363">
        <f>Z4362+IF(W4363="",0,IF(ISNA(MATCH(W4363,W$256:W4362,0)),1,0))</f>
        <v/>
      </c>
      <c r="AA4363">
        <f>IF(Z4363&gt;Z4362,Z4363,"")</f>
        <v/>
      </c>
      <c r="AB4363">
        <f>AB4362+IF(X4363="",0,IF(ISNA(MATCH(X4363,X$256:X4362,0)),1,0))</f>
        <v/>
      </c>
      <c r="AC4363">
        <f>IF(AB4363&gt;AB4362,AB4363,"")</f>
        <v/>
      </c>
    </row>
    <row r="4364">
      <c r="W4364" s="7" t="n"/>
      <c r="X4364" s="7" t="n"/>
      <c r="Z4364">
        <f>Z4363+IF(W4364="",0,IF(ISNA(MATCH(W4364,W$256:W4363,0)),1,0))</f>
        <v/>
      </c>
      <c r="AA4364">
        <f>IF(Z4364&gt;Z4363,Z4364,"")</f>
        <v/>
      </c>
      <c r="AB4364">
        <f>AB4363+IF(X4364="",0,IF(ISNA(MATCH(X4364,X$256:X4363,0)),1,0))</f>
        <v/>
      </c>
      <c r="AC4364">
        <f>IF(AB4364&gt;AB4363,AB4364,"")</f>
        <v/>
      </c>
    </row>
    <row r="4365">
      <c r="W4365" s="7" t="n"/>
      <c r="X4365" s="7" t="n"/>
      <c r="Z4365">
        <f>Z4364+IF(W4365="",0,IF(ISNA(MATCH(W4365,W$256:W4364,0)),1,0))</f>
        <v/>
      </c>
      <c r="AA4365">
        <f>IF(Z4365&gt;Z4364,Z4365,"")</f>
        <v/>
      </c>
      <c r="AB4365">
        <f>AB4364+IF(X4365="",0,IF(ISNA(MATCH(X4365,X$256:X4364,0)),1,0))</f>
        <v/>
      </c>
      <c r="AC4365">
        <f>IF(AB4365&gt;AB4364,AB4365,"")</f>
        <v/>
      </c>
    </row>
    <row r="4366">
      <c r="W4366" s="7" t="n"/>
      <c r="X4366" s="7" t="n"/>
      <c r="Z4366">
        <f>Z4365+IF(W4366="",0,IF(ISNA(MATCH(W4366,W$256:W4365,0)),1,0))</f>
        <v/>
      </c>
      <c r="AA4366">
        <f>IF(Z4366&gt;Z4365,Z4366,"")</f>
        <v/>
      </c>
      <c r="AB4366">
        <f>AB4365+IF(X4366="",0,IF(ISNA(MATCH(X4366,X$256:X4365,0)),1,0))</f>
        <v/>
      </c>
      <c r="AC4366">
        <f>IF(AB4366&gt;AB4365,AB4366,"")</f>
        <v/>
      </c>
    </row>
    <row r="4367">
      <c r="W4367" s="7" t="n"/>
      <c r="X4367" s="7" t="n"/>
      <c r="Z4367">
        <f>Z4366+IF(W4367="",0,IF(ISNA(MATCH(W4367,W$256:W4366,0)),1,0))</f>
        <v/>
      </c>
      <c r="AA4367">
        <f>IF(Z4367&gt;Z4366,Z4367,"")</f>
        <v/>
      </c>
      <c r="AB4367">
        <f>AB4366+IF(X4367="",0,IF(ISNA(MATCH(X4367,X$256:X4366,0)),1,0))</f>
        <v/>
      </c>
      <c r="AC4367">
        <f>IF(AB4367&gt;AB4366,AB4367,"")</f>
        <v/>
      </c>
    </row>
    <row r="4368">
      <c r="W4368" s="7" t="n"/>
      <c r="X4368" s="7" t="n"/>
      <c r="Z4368">
        <f>Z4367+IF(W4368="",0,IF(ISNA(MATCH(W4368,W$256:W4367,0)),1,0))</f>
        <v/>
      </c>
      <c r="AA4368">
        <f>IF(Z4368&gt;Z4367,Z4368,"")</f>
        <v/>
      </c>
      <c r="AB4368">
        <f>AB4367+IF(X4368="",0,IF(ISNA(MATCH(X4368,X$256:X4367,0)),1,0))</f>
        <v/>
      </c>
      <c r="AC4368">
        <f>IF(AB4368&gt;AB4367,AB4368,"")</f>
        <v/>
      </c>
    </row>
    <row r="4369">
      <c r="W4369" s="7" t="n"/>
      <c r="X4369" s="7" t="n"/>
      <c r="Z4369">
        <f>Z4368+IF(W4369="",0,IF(ISNA(MATCH(W4369,W$256:W4368,0)),1,0))</f>
        <v/>
      </c>
      <c r="AA4369">
        <f>IF(Z4369&gt;Z4368,Z4369,"")</f>
        <v/>
      </c>
      <c r="AB4369">
        <f>AB4368+IF(X4369="",0,IF(ISNA(MATCH(X4369,X$256:X4368,0)),1,0))</f>
        <v/>
      </c>
      <c r="AC4369">
        <f>IF(AB4369&gt;AB4368,AB4369,"")</f>
        <v/>
      </c>
    </row>
    <row r="4370">
      <c r="W4370" s="7" t="n"/>
      <c r="X4370" s="7" t="n"/>
      <c r="Z4370">
        <f>Z4369+IF(W4370="",0,IF(ISNA(MATCH(W4370,W$256:W4369,0)),1,0))</f>
        <v/>
      </c>
      <c r="AA4370">
        <f>IF(Z4370&gt;Z4369,Z4370,"")</f>
        <v/>
      </c>
      <c r="AB4370">
        <f>AB4369+IF(X4370="",0,IF(ISNA(MATCH(X4370,X$256:X4369,0)),1,0))</f>
        <v/>
      </c>
      <c r="AC4370">
        <f>IF(AB4370&gt;AB4369,AB4370,"")</f>
        <v/>
      </c>
    </row>
    <row r="4371">
      <c r="W4371" s="7" t="n"/>
      <c r="X4371" s="7" t="n"/>
      <c r="Z4371">
        <f>Z4370+IF(W4371="",0,IF(ISNA(MATCH(W4371,W$256:W4370,0)),1,0))</f>
        <v/>
      </c>
      <c r="AA4371">
        <f>IF(Z4371&gt;Z4370,Z4371,"")</f>
        <v/>
      </c>
      <c r="AB4371">
        <f>AB4370+IF(X4371="",0,IF(ISNA(MATCH(X4371,X$256:X4370,0)),1,0))</f>
        <v/>
      </c>
      <c r="AC4371">
        <f>IF(AB4371&gt;AB4370,AB4371,"")</f>
        <v/>
      </c>
    </row>
    <row r="4372">
      <c r="W4372" s="7" t="n"/>
      <c r="X4372" s="7" t="n"/>
      <c r="Z4372">
        <f>Z4371+IF(W4372="",0,IF(ISNA(MATCH(W4372,W$256:W4371,0)),1,0))</f>
        <v/>
      </c>
      <c r="AA4372">
        <f>IF(Z4372&gt;Z4371,Z4372,"")</f>
        <v/>
      </c>
      <c r="AB4372">
        <f>AB4371+IF(X4372="",0,IF(ISNA(MATCH(X4372,X$256:X4371,0)),1,0))</f>
        <v/>
      </c>
      <c r="AC4372">
        <f>IF(AB4372&gt;AB4371,AB4372,"")</f>
        <v/>
      </c>
    </row>
    <row r="4373">
      <c r="W4373" s="7" t="n"/>
      <c r="X4373" s="7" t="n"/>
      <c r="Z4373">
        <f>Z4372+IF(W4373="",0,IF(ISNA(MATCH(W4373,W$256:W4372,0)),1,0))</f>
        <v/>
      </c>
      <c r="AA4373">
        <f>IF(Z4373&gt;Z4372,Z4373,"")</f>
        <v/>
      </c>
      <c r="AB4373">
        <f>AB4372+IF(X4373="",0,IF(ISNA(MATCH(X4373,X$256:X4372,0)),1,0))</f>
        <v/>
      </c>
      <c r="AC4373">
        <f>IF(AB4373&gt;AB4372,AB4373,"")</f>
        <v/>
      </c>
    </row>
    <row r="4374">
      <c r="W4374" s="7" t="n"/>
      <c r="X4374" s="7" t="n"/>
      <c r="Z4374">
        <f>Z4373+IF(W4374="",0,IF(ISNA(MATCH(W4374,W$256:W4373,0)),1,0))</f>
        <v/>
      </c>
      <c r="AA4374">
        <f>IF(Z4374&gt;Z4373,Z4374,"")</f>
        <v/>
      </c>
      <c r="AB4374">
        <f>AB4373+IF(X4374="",0,IF(ISNA(MATCH(X4374,X$256:X4373,0)),1,0))</f>
        <v/>
      </c>
      <c r="AC4374">
        <f>IF(AB4374&gt;AB4373,AB4374,"")</f>
        <v/>
      </c>
    </row>
    <row r="4375">
      <c r="W4375" s="7" t="n"/>
      <c r="X4375" s="7" t="n"/>
      <c r="Z4375">
        <f>Z4374+IF(W4375="",0,IF(ISNA(MATCH(W4375,W$256:W4374,0)),1,0))</f>
        <v/>
      </c>
      <c r="AA4375">
        <f>IF(Z4375&gt;Z4374,Z4375,"")</f>
        <v/>
      </c>
      <c r="AB4375">
        <f>AB4374+IF(X4375="",0,IF(ISNA(MATCH(X4375,X$256:X4374,0)),1,0))</f>
        <v/>
      </c>
      <c r="AC4375">
        <f>IF(AB4375&gt;AB4374,AB4375,"")</f>
        <v/>
      </c>
    </row>
    <row r="4376">
      <c r="W4376" s="7" t="n"/>
      <c r="X4376" s="7" t="n"/>
      <c r="Z4376">
        <f>Z4375+IF(W4376="",0,IF(ISNA(MATCH(W4376,W$256:W4375,0)),1,0))</f>
        <v/>
      </c>
      <c r="AA4376">
        <f>IF(Z4376&gt;Z4375,Z4376,"")</f>
        <v/>
      </c>
      <c r="AB4376">
        <f>AB4375+IF(X4376="",0,IF(ISNA(MATCH(X4376,X$256:X4375,0)),1,0))</f>
        <v/>
      </c>
      <c r="AC4376">
        <f>IF(AB4376&gt;AB4375,AB4376,"")</f>
        <v/>
      </c>
    </row>
    <row r="4377">
      <c r="W4377" s="7" t="n"/>
      <c r="X4377" s="7" t="n"/>
      <c r="Z4377">
        <f>Z4376+IF(W4377="",0,IF(ISNA(MATCH(W4377,W$256:W4376,0)),1,0))</f>
        <v/>
      </c>
      <c r="AA4377">
        <f>IF(Z4377&gt;Z4376,Z4377,"")</f>
        <v/>
      </c>
      <c r="AB4377">
        <f>AB4376+IF(X4377="",0,IF(ISNA(MATCH(X4377,X$256:X4376,0)),1,0))</f>
        <v/>
      </c>
      <c r="AC4377">
        <f>IF(AB4377&gt;AB4376,AB4377,"")</f>
        <v/>
      </c>
    </row>
    <row r="4378">
      <c r="W4378" s="7" t="n"/>
      <c r="X4378" s="7" t="n"/>
      <c r="Z4378">
        <f>Z4377+IF(W4378="",0,IF(ISNA(MATCH(W4378,W$256:W4377,0)),1,0))</f>
        <v/>
      </c>
      <c r="AA4378">
        <f>IF(Z4378&gt;Z4377,Z4378,"")</f>
        <v/>
      </c>
      <c r="AB4378">
        <f>AB4377+IF(X4378="",0,IF(ISNA(MATCH(X4378,X$256:X4377,0)),1,0))</f>
        <v/>
      </c>
      <c r="AC4378">
        <f>IF(AB4378&gt;AB4377,AB4378,"")</f>
        <v/>
      </c>
    </row>
    <row r="4379">
      <c r="W4379" s="7" t="n"/>
      <c r="X4379" s="7" t="n"/>
      <c r="Z4379">
        <f>Z4378+IF(W4379="",0,IF(ISNA(MATCH(W4379,W$256:W4378,0)),1,0))</f>
        <v/>
      </c>
      <c r="AA4379">
        <f>IF(Z4379&gt;Z4378,Z4379,"")</f>
        <v/>
      </c>
      <c r="AB4379">
        <f>AB4378+IF(X4379="",0,IF(ISNA(MATCH(X4379,X$256:X4378,0)),1,0))</f>
        <v/>
      </c>
      <c r="AC4379">
        <f>IF(AB4379&gt;AB4378,AB4379,"")</f>
        <v/>
      </c>
    </row>
    <row r="4380">
      <c r="W4380" s="7" t="n"/>
      <c r="X4380" s="7" t="n"/>
      <c r="Z4380">
        <f>Z4379+IF(W4380="",0,IF(ISNA(MATCH(W4380,W$256:W4379,0)),1,0))</f>
        <v/>
      </c>
      <c r="AA4380">
        <f>IF(Z4380&gt;Z4379,Z4380,"")</f>
        <v/>
      </c>
      <c r="AB4380">
        <f>AB4379+IF(X4380="",0,IF(ISNA(MATCH(X4380,X$256:X4379,0)),1,0))</f>
        <v/>
      </c>
      <c r="AC4380">
        <f>IF(AB4380&gt;AB4379,AB4380,"")</f>
        <v/>
      </c>
    </row>
    <row r="4381">
      <c r="W4381" s="7" t="n"/>
      <c r="X4381" s="7" t="n"/>
      <c r="Z4381">
        <f>Z4380+IF(W4381="",0,IF(ISNA(MATCH(W4381,W$256:W4380,0)),1,0))</f>
        <v/>
      </c>
      <c r="AA4381">
        <f>IF(Z4381&gt;Z4380,Z4381,"")</f>
        <v/>
      </c>
      <c r="AB4381">
        <f>AB4380+IF(X4381="",0,IF(ISNA(MATCH(X4381,X$256:X4380,0)),1,0))</f>
        <v/>
      </c>
      <c r="AC4381">
        <f>IF(AB4381&gt;AB4380,AB4381,"")</f>
        <v/>
      </c>
    </row>
    <row r="4382">
      <c r="W4382" s="7" t="n"/>
      <c r="X4382" s="7" t="n"/>
      <c r="Z4382">
        <f>Z4381+IF(W4382="",0,IF(ISNA(MATCH(W4382,W$256:W4381,0)),1,0))</f>
        <v/>
      </c>
      <c r="AA4382">
        <f>IF(Z4382&gt;Z4381,Z4382,"")</f>
        <v/>
      </c>
      <c r="AB4382">
        <f>AB4381+IF(X4382="",0,IF(ISNA(MATCH(X4382,X$256:X4381,0)),1,0))</f>
        <v/>
      </c>
      <c r="AC4382">
        <f>IF(AB4382&gt;AB4381,AB4382,"")</f>
        <v/>
      </c>
    </row>
    <row r="4383">
      <c r="W4383" s="7" t="n"/>
      <c r="X4383" s="7" t="n"/>
      <c r="Z4383">
        <f>Z4382+IF(W4383="",0,IF(ISNA(MATCH(W4383,W$256:W4382,0)),1,0))</f>
        <v/>
      </c>
      <c r="AA4383">
        <f>IF(Z4383&gt;Z4382,Z4383,"")</f>
        <v/>
      </c>
      <c r="AB4383">
        <f>AB4382+IF(X4383="",0,IF(ISNA(MATCH(X4383,X$256:X4382,0)),1,0))</f>
        <v/>
      </c>
      <c r="AC4383">
        <f>IF(AB4383&gt;AB4382,AB4383,"")</f>
        <v/>
      </c>
    </row>
    <row r="4384">
      <c r="W4384" s="7" t="n"/>
      <c r="X4384" s="7" t="n"/>
      <c r="Z4384">
        <f>Z4383+IF(W4384="",0,IF(ISNA(MATCH(W4384,W$256:W4383,0)),1,0))</f>
        <v/>
      </c>
      <c r="AA4384">
        <f>IF(Z4384&gt;Z4383,Z4384,"")</f>
        <v/>
      </c>
      <c r="AB4384">
        <f>AB4383+IF(X4384="",0,IF(ISNA(MATCH(X4384,X$256:X4383,0)),1,0))</f>
        <v/>
      </c>
      <c r="AC4384">
        <f>IF(AB4384&gt;AB4383,AB4384,"")</f>
        <v/>
      </c>
    </row>
    <row r="4385">
      <c r="W4385" s="7" t="n"/>
      <c r="X4385" s="7" t="n"/>
      <c r="Z4385">
        <f>Z4384+IF(W4385="",0,IF(ISNA(MATCH(W4385,W$256:W4384,0)),1,0))</f>
        <v/>
      </c>
      <c r="AA4385">
        <f>IF(Z4385&gt;Z4384,Z4385,"")</f>
        <v/>
      </c>
      <c r="AB4385">
        <f>AB4384+IF(X4385="",0,IF(ISNA(MATCH(X4385,X$256:X4384,0)),1,0))</f>
        <v/>
      </c>
      <c r="AC4385">
        <f>IF(AB4385&gt;AB4384,AB4385,"")</f>
        <v/>
      </c>
    </row>
    <row r="4386">
      <c r="W4386" s="7" t="n"/>
      <c r="X4386" s="7" t="n"/>
      <c r="Z4386">
        <f>Z4385+IF(W4386="",0,IF(ISNA(MATCH(W4386,W$256:W4385,0)),1,0))</f>
        <v/>
      </c>
      <c r="AA4386">
        <f>IF(Z4386&gt;Z4385,Z4386,"")</f>
        <v/>
      </c>
      <c r="AB4386">
        <f>AB4385+IF(X4386="",0,IF(ISNA(MATCH(X4386,X$256:X4385,0)),1,0))</f>
        <v/>
      </c>
      <c r="AC4386">
        <f>IF(AB4386&gt;AB4385,AB4386,"")</f>
        <v/>
      </c>
    </row>
    <row r="4387">
      <c r="W4387" s="7" t="n"/>
      <c r="X4387" s="7" t="n"/>
      <c r="Z4387">
        <f>Z4386+IF(W4387="",0,IF(ISNA(MATCH(W4387,W$256:W4386,0)),1,0))</f>
        <v/>
      </c>
      <c r="AA4387">
        <f>IF(Z4387&gt;Z4386,Z4387,"")</f>
        <v/>
      </c>
      <c r="AB4387">
        <f>AB4386+IF(X4387="",0,IF(ISNA(MATCH(X4387,X$256:X4386,0)),1,0))</f>
        <v/>
      </c>
      <c r="AC4387">
        <f>IF(AB4387&gt;AB4386,AB4387,"")</f>
        <v/>
      </c>
    </row>
    <row r="4388">
      <c r="W4388" s="7" t="n"/>
      <c r="X4388" s="7" t="n"/>
      <c r="Z4388">
        <f>Z4387+IF(W4388="",0,IF(ISNA(MATCH(W4388,W$256:W4387,0)),1,0))</f>
        <v/>
      </c>
      <c r="AA4388">
        <f>IF(Z4388&gt;Z4387,Z4388,"")</f>
        <v/>
      </c>
      <c r="AB4388">
        <f>AB4387+IF(X4388="",0,IF(ISNA(MATCH(X4388,X$256:X4387,0)),1,0))</f>
        <v/>
      </c>
      <c r="AC4388">
        <f>IF(AB4388&gt;AB4387,AB4388,"")</f>
        <v/>
      </c>
    </row>
    <row r="4389">
      <c r="W4389" s="7" t="n"/>
      <c r="X4389" s="7" t="n"/>
      <c r="Z4389">
        <f>Z4388+IF(W4389="",0,IF(ISNA(MATCH(W4389,W$256:W4388,0)),1,0))</f>
        <v/>
      </c>
      <c r="AA4389">
        <f>IF(Z4389&gt;Z4388,Z4389,"")</f>
        <v/>
      </c>
      <c r="AB4389">
        <f>AB4388+IF(X4389="",0,IF(ISNA(MATCH(X4389,X$256:X4388,0)),1,0))</f>
        <v/>
      </c>
      <c r="AC4389">
        <f>IF(AB4389&gt;AB4388,AB4389,"")</f>
        <v/>
      </c>
    </row>
    <row r="4390">
      <c r="W4390" s="7" t="n"/>
      <c r="X4390" s="7" t="n"/>
      <c r="Z4390">
        <f>Z4389+IF(W4390="",0,IF(ISNA(MATCH(W4390,W$256:W4389,0)),1,0))</f>
        <v/>
      </c>
      <c r="AA4390">
        <f>IF(Z4390&gt;Z4389,Z4390,"")</f>
        <v/>
      </c>
      <c r="AB4390">
        <f>AB4389+IF(X4390="",0,IF(ISNA(MATCH(X4390,X$256:X4389,0)),1,0))</f>
        <v/>
      </c>
      <c r="AC4390">
        <f>IF(AB4390&gt;AB4389,AB4390,"")</f>
        <v/>
      </c>
    </row>
    <row r="4391">
      <c r="W4391" s="7" t="n"/>
      <c r="X4391" s="7" t="n"/>
      <c r="Z4391">
        <f>Z4390+IF(W4391="",0,IF(ISNA(MATCH(W4391,W$256:W4390,0)),1,0))</f>
        <v/>
      </c>
      <c r="AA4391">
        <f>IF(Z4391&gt;Z4390,Z4391,"")</f>
        <v/>
      </c>
      <c r="AB4391">
        <f>AB4390+IF(X4391="",0,IF(ISNA(MATCH(X4391,X$256:X4390,0)),1,0))</f>
        <v/>
      </c>
      <c r="AC4391">
        <f>IF(AB4391&gt;AB4390,AB4391,"")</f>
        <v/>
      </c>
    </row>
    <row r="4392">
      <c r="W4392" s="7" t="n"/>
      <c r="X4392" s="7" t="n"/>
      <c r="Z4392">
        <f>Z4391+IF(W4392="",0,IF(ISNA(MATCH(W4392,W$256:W4391,0)),1,0))</f>
        <v/>
      </c>
      <c r="AA4392">
        <f>IF(Z4392&gt;Z4391,Z4392,"")</f>
        <v/>
      </c>
      <c r="AB4392">
        <f>AB4391+IF(X4392="",0,IF(ISNA(MATCH(X4392,X$256:X4391,0)),1,0))</f>
        <v/>
      </c>
      <c r="AC4392">
        <f>IF(AB4392&gt;AB4391,AB4392,"")</f>
        <v/>
      </c>
    </row>
    <row r="4393">
      <c r="W4393" s="7" t="n"/>
      <c r="X4393" s="7" t="n"/>
      <c r="Z4393">
        <f>Z4392+IF(W4393="",0,IF(ISNA(MATCH(W4393,W$256:W4392,0)),1,0))</f>
        <v/>
      </c>
      <c r="AA4393">
        <f>IF(Z4393&gt;Z4392,Z4393,"")</f>
        <v/>
      </c>
      <c r="AB4393">
        <f>AB4392+IF(X4393="",0,IF(ISNA(MATCH(X4393,X$256:X4392,0)),1,0))</f>
        <v/>
      </c>
      <c r="AC4393">
        <f>IF(AB4393&gt;AB4392,AB4393,"")</f>
        <v/>
      </c>
    </row>
    <row r="4394">
      <c r="W4394" s="7" t="n"/>
      <c r="X4394" s="7" t="n"/>
      <c r="Z4394">
        <f>Z4393+IF(W4394="",0,IF(ISNA(MATCH(W4394,W$256:W4393,0)),1,0))</f>
        <v/>
      </c>
      <c r="AA4394">
        <f>IF(Z4394&gt;Z4393,Z4394,"")</f>
        <v/>
      </c>
      <c r="AB4394">
        <f>AB4393+IF(X4394="",0,IF(ISNA(MATCH(X4394,X$256:X4393,0)),1,0))</f>
        <v/>
      </c>
      <c r="AC4394">
        <f>IF(AB4394&gt;AB4393,AB4394,"")</f>
        <v/>
      </c>
    </row>
    <row r="4395">
      <c r="W4395" s="7" t="n"/>
      <c r="X4395" s="7" t="n"/>
      <c r="Z4395">
        <f>Z4394+IF(W4395="",0,IF(ISNA(MATCH(W4395,W$256:W4394,0)),1,0))</f>
        <v/>
      </c>
      <c r="AA4395">
        <f>IF(Z4395&gt;Z4394,Z4395,"")</f>
        <v/>
      </c>
      <c r="AB4395">
        <f>AB4394+IF(X4395="",0,IF(ISNA(MATCH(X4395,X$256:X4394,0)),1,0))</f>
        <v/>
      </c>
      <c r="AC4395">
        <f>IF(AB4395&gt;AB4394,AB4395,"")</f>
        <v/>
      </c>
    </row>
    <row r="4396">
      <c r="W4396" s="7" t="n"/>
      <c r="X4396" s="7" t="n"/>
      <c r="Z4396">
        <f>Z4395+IF(W4396="",0,IF(ISNA(MATCH(W4396,W$256:W4395,0)),1,0))</f>
        <v/>
      </c>
      <c r="AA4396">
        <f>IF(Z4396&gt;Z4395,Z4396,"")</f>
        <v/>
      </c>
      <c r="AB4396">
        <f>AB4395+IF(X4396="",0,IF(ISNA(MATCH(X4396,X$256:X4395,0)),1,0))</f>
        <v/>
      </c>
      <c r="AC4396">
        <f>IF(AB4396&gt;AB4395,AB4396,"")</f>
        <v/>
      </c>
    </row>
    <row r="4397">
      <c r="W4397" s="7" t="n"/>
      <c r="X4397" s="7" t="n"/>
      <c r="Z4397">
        <f>Z4396+IF(W4397="",0,IF(ISNA(MATCH(W4397,W$256:W4396,0)),1,0))</f>
        <v/>
      </c>
      <c r="AA4397">
        <f>IF(Z4397&gt;Z4396,Z4397,"")</f>
        <v/>
      </c>
      <c r="AB4397">
        <f>AB4396+IF(X4397="",0,IF(ISNA(MATCH(X4397,X$256:X4396,0)),1,0))</f>
        <v/>
      </c>
      <c r="AC4397">
        <f>IF(AB4397&gt;AB4396,AB4397,"")</f>
        <v/>
      </c>
    </row>
    <row r="4398">
      <c r="W4398" s="7" t="n"/>
      <c r="X4398" s="7" t="n"/>
      <c r="Z4398">
        <f>Z4397+IF(W4398="",0,IF(ISNA(MATCH(W4398,W$256:W4397,0)),1,0))</f>
        <v/>
      </c>
      <c r="AA4398">
        <f>IF(Z4398&gt;Z4397,Z4398,"")</f>
        <v/>
      </c>
      <c r="AB4398">
        <f>AB4397+IF(X4398="",0,IF(ISNA(MATCH(X4398,X$256:X4397,0)),1,0))</f>
        <v/>
      </c>
      <c r="AC4398">
        <f>IF(AB4398&gt;AB4397,AB4398,"")</f>
        <v/>
      </c>
    </row>
    <row r="4399">
      <c r="W4399" s="7" t="n"/>
      <c r="X4399" s="7" t="n"/>
      <c r="Z4399">
        <f>Z4398+IF(W4399="",0,IF(ISNA(MATCH(W4399,W$256:W4398,0)),1,0))</f>
        <v/>
      </c>
      <c r="AA4399">
        <f>IF(Z4399&gt;Z4398,Z4399,"")</f>
        <v/>
      </c>
      <c r="AB4399">
        <f>AB4398+IF(X4399="",0,IF(ISNA(MATCH(X4399,X$256:X4398,0)),1,0))</f>
        <v/>
      </c>
      <c r="AC4399">
        <f>IF(AB4399&gt;AB4398,AB4399,"")</f>
        <v/>
      </c>
    </row>
    <row r="4400">
      <c r="W4400" s="7" t="n"/>
      <c r="X4400" s="7" t="n"/>
      <c r="Z4400">
        <f>Z4399+IF(W4400="",0,IF(ISNA(MATCH(W4400,W$256:W4399,0)),1,0))</f>
        <v/>
      </c>
      <c r="AA4400">
        <f>IF(Z4400&gt;Z4399,Z4400,"")</f>
        <v/>
      </c>
      <c r="AB4400">
        <f>AB4399+IF(X4400="",0,IF(ISNA(MATCH(X4400,X$256:X4399,0)),1,0))</f>
        <v/>
      </c>
      <c r="AC4400">
        <f>IF(AB4400&gt;AB4399,AB4400,"")</f>
        <v/>
      </c>
    </row>
    <row r="4401">
      <c r="W4401" s="7" t="n"/>
      <c r="X4401" s="7" t="n"/>
      <c r="Z4401">
        <f>Z4400+IF(W4401="",0,IF(ISNA(MATCH(W4401,W$256:W4400,0)),1,0))</f>
        <v/>
      </c>
      <c r="AA4401">
        <f>IF(Z4401&gt;Z4400,Z4401,"")</f>
        <v/>
      </c>
      <c r="AB4401">
        <f>AB4400+IF(X4401="",0,IF(ISNA(MATCH(X4401,X$256:X4400,0)),1,0))</f>
        <v/>
      </c>
      <c r="AC4401">
        <f>IF(AB4401&gt;AB4400,AB4401,"")</f>
        <v/>
      </c>
    </row>
    <row r="4402">
      <c r="W4402" s="7" t="n"/>
      <c r="X4402" s="7" t="n"/>
      <c r="Z4402">
        <f>Z4401+IF(W4402="",0,IF(ISNA(MATCH(W4402,W$256:W4401,0)),1,0))</f>
        <v/>
      </c>
      <c r="AA4402">
        <f>IF(Z4402&gt;Z4401,Z4402,"")</f>
        <v/>
      </c>
      <c r="AB4402">
        <f>AB4401+IF(X4402="",0,IF(ISNA(MATCH(X4402,X$256:X4401,0)),1,0))</f>
        <v/>
      </c>
      <c r="AC4402">
        <f>IF(AB4402&gt;AB4401,AB4402,"")</f>
        <v/>
      </c>
    </row>
    <row r="4403">
      <c r="W4403" s="7" t="n"/>
      <c r="X4403" s="7" t="n"/>
      <c r="Z4403">
        <f>Z4402+IF(W4403="",0,IF(ISNA(MATCH(W4403,W$256:W4402,0)),1,0))</f>
        <v/>
      </c>
      <c r="AA4403">
        <f>IF(Z4403&gt;Z4402,Z4403,"")</f>
        <v/>
      </c>
      <c r="AB4403">
        <f>AB4402+IF(X4403="",0,IF(ISNA(MATCH(X4403,X$256:X4402,0)),1,0))</f>
        <v/>
      </c>
      <c r="AC4403">
        <f>IF(AB4403&gt;AB4402,AB4403,"")</f>
        <v/>
      </c>
    </row>
    <row r="4404">
      <c r="W4404" s="7" t="n"/>
      <c r="X4404" s="7" t="n"/>
      <c r="Z4404">
        <f>Z4403+IF(W4404="",0,IF(ISNA(MATCH(W4404,W$256:W4403,0)),1,0))</f>
        <v/>
      </c>
      <c r="AA4404">
        <f>IF(Z4404&gt;Z4403,Z4404,"")</f>
        <v/>
      </c>
      <c r="AB4404">
        <f>AB4403+IF(X4404="",0,IF(ISNA(MATCH(X4404,X$256:X4403,0)),1,0))</f>
        <v/>
      </c>
      <c r="AC4404">
        <f>IF(AB4404&gt;AB4403,AB4404,"")</f>
        <v/>
      </c>
    </row>
    <row r="4405">
      <c r="W4405" s="7" t="n"/>
      <c r="X4405" s="7" t="n"/>
      <c r="Z4405">
        <f>Z4404+IF(W4405="",0,IF(ISNA(MATCH(W4405,W$256:W4404,0)),1,0))</f>
        <v/>
      </c>
      <c r="AA4405">
        <f>IF(Z4405&gt;Z4404,Z4405,"")</f>
        <v/>
      </c>
      <c r="AB4405">
        <f>AB4404+IF(X4405="",0,IF(ISNA(MATCH(X4405,X$256:X4404,0)),1,0))</f>
        <v/>
      </c>
      <c r="AC4405">
        <f>IF(AB4405&gt;AB4404,AB4405,"")</f>
        <v/>
      </c>
    </row>
    <row r="4406">
      <c r="W4406" s="7" t="n"/>
      <c r="X4406" s="7" t="n"/>
      <c r="Z4406">
        <f>Z4405+IF(W4406="",0,IF(ISNA(MATCH(W4406,W$256:W4405,0)),1,0))</f>
        <v/>
      </c>
      <c r="AA4406">
        <f>IF(Z4406&gt;Z4405,Z4406,"")</f>
        <v/>
      </c>
      <c r="AB4406">
        <f>AB4405+IF(X4406="",0,IF(ISNA(MATCH(X4406,X$256:X4405,0)),1,0))</f>
        <v/>
      </c>
      <c r="AC4406">
        <f>IF(AB4406&gt;AB4405,AB4406,"")</f>
        <v/>
      </c>
    </row>
    <row r="4407">
      <c r="W4407" s="7" t="n"/>
      <c r="X4407" s="7" t="n"/>
      <c r="Z4407">
        <f>Z4406+IF(W4407="",0,IF(ISNA(MATCH(W4407,W$256:W4406,0)),1,0))</f>
        <v/>
      </c>
      <c r="AA4407">
        <f>IF(Z4407&gt;Z4406,Z4407,"")</f>
        <v/>
      </c>
      <c r="AB4407">
        <f>AB4406+IF(X4407="",0,IF(ISNA(MATCH(X4407,X$256:X4406,0)),1,0))</f>
        <v/>
      </c>
      <c r="AC4407">
        <f>IF(AB4407&gt;AB4406,AB4407,"")</f>
        <v/>
      </c>
    </row>
    <row r="4408">
      <c r="W4408" s="7" t="n"/>
      <c r="X4408" s="7" t="n"/>
      <c r="Z4408">
        <f>Z4407+IF(W4408="",0,IF(ISNA(MATCH(W4408,W$256:W4407,0)),1,0))</f>
        <v/>
      </c>
      <c r="AA4408">
        <f>IF(Z4408&gt;Z4407,Z4408,"")</f>
        <v/>
      </c>
      <c r="AB4408">
        <f>AB4407+IF(X4408="",0,IF(ISNA(MATCH(X4408,X$256:X4407,0)),1,0))</f>
        <v/>
      </c>
      <c r="AC4408">
        <f>IF(AB4408&gt;AB4407,AB4408,"")</f>
        <v/>
      </c>
    </row>
    <row r="4409">
      <c r="W4409" s="7" t="n"/>
      <c r="X4409" s="7" t="n"/>
      <c r="Z4409">
        <f>Z4408+IF(W4409="",0,IF(ISNA(MATCH(W4409,W$256:W4408,0)),1,0))</f>
        <v/>
      </c>
      <c r="AA4409">
        <f>IF(Z4409&gt;Z4408,Z4409,"")</f>
        <v/>
      </c>
      <c r="AB4409">
        <f>AB4408+IF(X4409="",0,IF(ISNA(MATCH(X4409,X$256:X4408,0)),1,0))</f>
        <v/>
      </c>
      <c r="AC4409">
        <f>IF(AB4409&gt;AB4408,AB4409,"")</f>
        <v/>
      </c>
    </row>
    <row r="4410">
      <c r="W4410" s="7" t="n"/>
      <c r="X4410" s="7" t="n"/>
      <c r="Z4410">
        <f>Z4409+IF(W4410="",0,IF(ISNA(MATCH(W4410,W$256:W4409,0)),1,0))</f>
        <v/>
      </c>
      <c r="AA4410">
        <f>IF(Z4410&gt;Z4409,Z4410,"")</f>
        <v/>
      </c>
      <c r="AB4410">
        <f>AB4409+IF(X4410="",0,IF(ISNA(MATCH(X4410,X$256:X4409,0)),1,0))</f>
        <v/>
      </c>
      <c r="AC4410">
        <f>IF(AB4410&gt;AB4409,AB4410,"")</f>
        <v/>
      </c>
    </row>
    <row r="4411">
      <c r="W4411" s="7" t="n"/>
      <c r="X4411" s="7" t="n"/>
      <c r="Z4411">
        <f>Z4410+IF(W4411="",0,IF(ISNA(MATCH(W4411,W$256:W4410,0)),1,0))</f>
        <v/>
      </c>
      <c r="AA4411">
        <f>IF(Z4411&gt;Z4410,Z4411,"")</f>
        <v/>
      </c>
      <c r="AB4411">
        <f>AB4410+IF(X4411="",0,IF(ISNA(MATCH(X4411,X$256:X4410,0)),1,0))</f>
        <v/>
      </c>
      <c r="AC4411">
        <f>IF(AB4411&gt;AB4410,AB4411,"")</f>
        <v/>
      </c>
    </row>
    <row r="4412">
      <c r="W4412" s="7" t="n"/>
      <c r="X4412" s="7" t="n"/>
      <c r="Z4412">
        <f>Z4411+IF(W4412="",0,IF(ISNA(MATCH(W4412,W$256:W4411,0)),1,0))</f>
        <v/>
      </c>
      <c r="AA4412">
        <f>IF(Z4412&gt;Z4411,Z4412,"")</f>
        <v/>
      </c>
      <c r="AB4412">
        <f>AB4411+IF(X4412="",0,IF(ISNA(MATCH(X4412,X$256:X4411,0)),1,0))</f>
        <v/>
      </c>
      <c r="AC4412">
        <f>IF(AB4412&gt;AB4411,AB4412,"")</f>
        <v/>
      </c>
    </row>
    <row r="4413">
      <c r="W4413" s="7" t="n"/>
      <c r="X4413" s="7" t="n"/>
      <c r="Z4413">
        <f>Z4412+IF(W4413="",0,IF(ISNA(MATCH(W4413,W$256:W4412,0)),1,0))</f>
        <v/>
      </c>
      <c r="AA4413">
        <f>IF(Z4413&gt;Z4412,Z4413,"")</f>
        <v/>
      </c>
      <c r="AB4413">
        <f>AB4412+IF(X4413="",0,IF(ISNA(MATCH(X4413,X$256:X4412,0)),1,0))</f>
        <v/>
      </c>
      <c r="AC4413">
        <f>IF(AB4413&gt;AB4412,AB4413,"")</f>
        <v/>
      </c>
    </row>
    <row r="4414">
      <c r="W4414" s="7" t="n"/>
      <c r="X4414" s="7" t="n"/>
      <c r="Z4414">
        <f>Z4413+IF(W4414="",0,IF(ISNA(MATCH(W4414,W$256:W4413,0)),1,0))</f>
        <v/>
      </c>
      <c r="AA4414">
        <f>IF(Z4414&gt;Z4413,Z4414,"")</f>
        <v/>
      </c>
      <c r="AB4414">
        <f>AB4413+IF(X4414="",0,IF(ISNA(MATCH(X4414,X$256:X4413,0)),1,0))</f>
        <v/>
      </c>
      <c r="AC4414">
        <f>IF(AB4414&gt;AB4413,AB4414,"")</f>
        <v/>
      </c>
    </row>
    <row r="4415">
      <c r="W4415" s="7" t="n"/>
      <c r="X4415" s="7" t="n"/>
      <c r="Z4415">
        <f>Z4414+IF(W4415="",0,IF(ISNA(MATCH(W4415,W$256:W4414,0)),1,0))</f>
        <v/>
      </c>
      <c r="AA4415">
        <f>IF(Z4415&gt;Z4414,Z4415,"")</f>
        <v/>
      </c>
      <c r="AB4415">
        <f>AB4414+IF(X4415="",0,IF(ISNA(MATCH(X4415,X$256:X4414,0)),1,0))</f>
        <v/>
      </c>
      <c r="AC4415">
        <f>IF(AB4415&gt;AB4414,AB4415,"")</f>
        <v/>
      </c>
    </row>
    <row r="4416">
      <c r="W4416" s="7" t="n"/>
      <c r="X4416" s="7" t="n"/>
      <c r="Z4416">
        <f>Z4415+IF(W4416="",0,IF(ISNA(MATCH(W4416,W$256:W4415,0)),1,0))</f>
        <v/>
      </c>
      <c r="AA4416">
        <f>IF(Z4416&gt;Z4415,Z4416,"")</f>
        <v/>
      </c>
      <c r="AB4416">
        <f>AB4415+IF(X4416="",0,IF(ISNA(MATCH(X4416,X$256:X4415,0)),1,0))</f>
        <v/>
      </c>
      <c r="AC4416">
        <f>IF(AB4416&gt;AB4415,AB4416,"")</f>
        <v/>
      </c>
    </row>
    <row r="4417">
      <c r="W4417" s="7" t="n"/>
      <c r="X4417" s="7" t="n"/>
      <c r="Z4417">
        <f>Z4416+IF(W4417="",0,IF(ISNA(MATCH(W4417,W$256:W4416,0)),1,0))</f>
        <v/>
      </c>
      <c r="AA4417">
        <f>IF(Z4417&gt;Z4416,Z4417,"")</f>
        <v/>
      </c>
      <c r="AB4417">
        <f>AB4416+IF(X4417="",0,IF(ISNA(MATCH(X4417,X$256:X4416,0)),1,0))</f>
        <v/>
      </c>
      <c r="AC4417">
        <f>IF(AB4417&gt;AB4416,AB4417,"")</f>
        <v/>
      </c>
    </row>
    <row r="4418">
      <c r="W4418" s="7" t="n"/>
      <c r="X4418" s="7" t="n"/>
      <c r="Z4418">
        <f>Z4417+IF(W4418="",0,IF(ISNA(MATCH(W4418,W$256:W4417,0)),1,0))</f>
        <v/>
      </c>
      <c r="AA4418">
        <f>IF(Z4418&gt;Z4417,Z4418,"")</f>
        <v/>
      </c>
      <c r="AB4418">
        <f>AB4417+IF(X4418="",0,IF(ISNA(MATCH(X4418,X$256:X4417,0)),1,0))</f>
        <v/>
      </c>
      <c r="AC4418">
        <f>IF(AB4418&gt;AB4417,AB4418,"")</f>
        <v/>
      </c>
    </row>
    <row r="4419">
      <c r="W4419" s="7" t="n"/>
      <c r="X4419" s="7" t="n"/>
      <c r="Z4419">
        <f>Z4418+IF(W4419="",0,IF(ISNA(MATCH(W4419,W$256:W4418,0)),1,0))</f>
        <v/>
      </c>
      <c r="AA4419">
        <f>IF(Z4419&gt;Z4418,Z4419,"")</f>
        <v/>
      </c>
      <c r="AB4419">
        <f>AB4418+IF(X4419="",0,IF(ISNA(MATCH(X4419,X$256:X4418,0)),1,0))</f>
        <v/>
      </c>
      <c r="AC4419">
        <f>IF(AB4419&gt;AB4418,AB4419,"")</f>
        <v/>
      </c>
    </row>
    <row r="4420">
      <c r="W4420" s="7" t="n"/>
      <c r="X4420" s="7" t="n"/>
      <c r="Z4420">
        <f>Z4419+IF(W4420="",0,IF(ISNA(MATCH(W4420,W$256:W4419,0)),1,0))</f>
        <v/>
      </c>
      <c r="AA4420">
        <f>IF(Z4420&gt;Z4419,Z4420,"")</f>
        <v/>
      </c>
      <c r="AB4420">
        <f>AB4419+IF(X4420="",0,IF(ISNA(MATCH(X4420,X$256:X4419,0)),1,0))</f>
        <v/>
      </c>
      <c r="AC4420">
        <f>IF(AB4420&gt;AB4419,AB4420,"")</f>
        <v/>
      </c>
    </row>
    <row r="4421">
      <c r="W4421" s="7" t="n"/>
      <c r="X4421" s="7" t="n"/>
      <c r="Z4421">
        <f>Z4420+IF(W4421="",0,IF(ISNA(MATCH(W4421,W$256:W4420,0)),1,0))</f>
        <v/>
      </c>
      <c r="AA4421">
        <f>IF(Z4421&gt;Z4420,Z4421,"")</f>
        <v/>
      </c>
      <c r="AB4421">
        <f>AB4420+IF(X4421="",0,IF(ISNA(MATCH(X4421,X$256:X4420,0)),1,0))</f>
        <v/>
      </c>
      <c r="AC4421">
        <f>IF(AB4421&gt;AB4420,AB4421,"")</f>
        <v/>
      </c>
    </row>
    <row r="4422">
      <c r="W4422" s="7" t="n"/>
      <c r="X4422" s="7" t="n"/>
      <c r="Z4422">
        <f>Z4421+IF(W4422="",0,IF(ISNA(MATCH(W4422,W$256:W4421,0)),1,0))</f>
        <v/>
      </c>
      <c r="AA4422">
        <f>IF(Z4422&gt;Z4421,Z4422,"")</f>
        <v/>
      </c>
      <c r="AB4422">
        <f>AB4421+IF(X4422="",0,IF(ISNA(MATCH(X4422,X$256:X4421,0)),1,0))</f>
        <v/>
      </c>
      <c r="AC4422">
        <f>IF(AB4422&gt;AB4421,AB4422,"")</f>
        <v/>
      </c>
    </row>
    <row r="4423">
      <c r="W4423" s="7" t="n"/>
      <c r="X4423" s="7" t="n"/>
      <c r="Z4423">
        <f>Z4422+IF(W4423="",0,IF(ISNA(MATCH(W4423,W$256:W4422,0)),1,0))</f>
        <v/>
      </c>
      <c r="AA4423">
        <f>IF(Z4423&gt;Z4422,Z4423,"")</f>
        <v/>
      </c>
      <c r="AB4423">
        <f>AB4422+IF(X4423="",0,IF(ISNA(MATCH(X4423,X$256:X4422,0)),1,0))</f>
        <v/>
      </c>
      <c r="AC4423">
        <f>IF(AB4423&gt;AB4422,AB4423,"")</f>
        <v/>
      </c>
    </row>
    <row r="4424">
      <c r="W4424" s="7" t="n"/>
      <c r="X4424" s="7" t="n"/>
      <c r="Z4424">
        <f>Z4423+IF(W4424="",0,IF(ISNA(MATCH(W4424,W$256:W4423,0)),1,0))</f>
        <v/>
      </c>
      <c r="AA4424">
        <f>IF(Z4424&gt;Z4423,Z4424,"")</f>
        <v/>
      </c>
      <c r="AB4424">
        <f>AB4423+IF(X4424="",0,IF(ISNA(MATCH(X4424,X$256:X4423,0)),1,0))</f>
        <v/>
      </c>
      <c r="AC4424">
        <f>IF(AB4424&gt;AB4423,AB4424,"")</f>
        <v/>
      </c>
    </row>
    <row r="4425">
      <c r="W4425" s="7" t="n"/>
      <c r="X4425" s="7" t="n"/>
      <c r="Z4425">
        <f>Z4424+IF(W4425="",0,IF(ISNA(MATCH(W4425,W$256:W4424,0)),1,0))</f>
        <v/>
      </c>
      <c r="AA4425">
        <f>IF(Z4425&gt;Z4424,Z4425,"")</f>
        <v/>
      </c>
      <c r="AB4425">
        <f>AB4424+IF(X4425="",0,IF(ISNA(MATCH(X4425,X$256:X4424,0)),1,0))</f>
        <v/>
      </c>
      <c r="AC4425">
        <f>IF(AB4425&gt;AB4424,AB4425,"")</f>
        <v/>
      </c>
    </row>
    <row r="4426">
      <c r="W4426" s="7" t="n"/>
      <c r="X4426" s="7" t="n"/>
      <c r="Z4426">
        <f>Z4425+IF(W4426="",0,IF(ISNA(MATCH(W4426,W$256:W4425,0)),1,0))</f>
        <v/>
      </c>
      <c r="AA4426">
        <f>IF(Z4426&gt;Z4425,Z4426,"")</f>
        <v/>
      </c>
      <c r="AB4426">
        <f>AB4425+IF(X4426="",0,IF(ISNA(MATCH(X4426,X$256:X4425,0)),1,0))</f>
        <v/>
      </c>
      <c r="AC4426">
        <f>IF(AB4426&gt;AB4425,AB4426,"")</f>
        <v/>
      </c>
    </row>
    <row r="4427">
      <c r="W4427" s="7" t="n"/>
      <c r="X4427" s="7" t="n"/>
      <c r="Z4427">
        <f>Z4426+IF(W4427="",0,IF(ISNA(MATCH(W4427,W$256:W4426,0)),1,0))</f>
        <v/>
      </c>
      <c r="AA4427">
        <f>IF(Z4427&gt;Z4426,Z4427,"")</f>
        <v/>
      </c>
      <c r="AB4427">
        <f>AB4426+IF(X4427="",0,IF(ISNA(MATCH(X4427,X$256:X4426,0)),1,0))</f>
        <v/>
      </c>
      <c r="AC4427">
        <f>IF(AB4427&gt;AB4426,AB4427,"")</f>
        <v/>
      </c>
    </row>
    <row r="4428">
      <c r="W4428" s="7" t="n"/>
      <c r="X4428" s="7" t="n"/>
      <c r="Z4428">
        <f>Z4427+IF(W4428="",0,IF(ISNA(MATCH(W4428,W$256:W4427,0)),1,0))</f>
        <v/>
      </c>
      <c r="AA4428">
        <f>IF(Z4428&gt;Z4427,Z4428,"")</f>
        <v/>
      </c>
      <c r="AB4428">
        <f>AB4427+IF(X4428="",0,IF(ISNA(MATCH(X4428,X$256:X4427,0)),1,0))</f>
        <v/>
      </c>
      <c r="AC4428">
        <f>IF(AB4428&gt;AB4427,AB4428,"")</f>
        <v/>
      </c>
    </row>
    <row r="4429">
      <c r="W4429" s="7" t="n"/>
      <c r="X4429" s="7" t="n"/>
      <c r="Z4429">
        <f>Z4428+IF(W4429="",0,IF(ISNA(MATCH(W4429,W$256:W4428,0)),1,0))</f>
        <v/>
      </c>
      <c r="AA4429">
        <f>IF(Z4429&gt;Z4428,Z4429,"")</f>
        <v/>
      </c>
      <c r="AB4429">
        <f>AB4428+IF(X4429="",0,IF(ISNA(MATCH(X4429,X$256:X4428,0)),1,0))</f>
        <v/>
      </c>
      <c r="AC4429">
        <f>IF(AB4429&gt;AB4428,AB4429,"")</f>
        <v/>
      </c>
    </row>
    <row r="4430">
      <c r="W4430" s="7" t="n"/>
      <c r="X4430" s="7" t="n"/>
      <c r="Z4430">
        <f>Z4429+IF(W4430="",0,IF(ISNA(MATCH(W4430,W$256:W4429,0)),1,0))</f>
        <v/>
      </c>
      <c r="AA4430">
        <f>IF(Z4430&gt;Z4429,Z4430,"")</f>
        <v/>
      </c>
      <c r="AB4430">
        <f>AB4429+IF(X4430="",0,IF(ISNA(MATCH(X4430,X$256:X4429,0)),1,0))</f>
        <v/>
      </c>
      <c r="AC4430">
        <f>IF(AB4430&gt;AB4429,AB4430,"")</f>
        <v/>
      </c>
    </row>
    <row r="4431">
      <c r="W4431" s="7" t="n"/>
      <c r="X4431" s="7" t="n"/>
      <c r="Z4431">
        <f>Z4430+IF(W4431="",0,IF(ISNA(MATCH(W4431,W$256:W4430,0)),1,0))</f>
        <v/>
      </c>
      <c r="AA4431">
        <f>IF(Z4431&gt;Z4430,Z4431,"")</f>
        <v/>
      </c>
      <c r="AB4431">
        <f>AB4430+IF(X4431="",0,IF(ISNA(MATCH(X4431,X$256:X4430,0)),1,0))</f>
        <v/>
      </c>
      <c r="AC4431">
        <f>IF(AB4431&gt;AB4430,AB4431,"")</f>
        <v/>
      </c>
    </row>
    <row r="4432">
      <c r="W4432" s="7" t="n"/>
      <c r="X4432" s="7" t="n"/>
      <c r="Z4432">
        <f>Z4431+IF(W4432="",0,IF(ISNA(MATCH(W4432,W$256:W4431,0)),1,0))</f>
        <v/>
      </c>
      <c r="AA4432">
        <f>IF(Z4432&gt;Z4431,Z4432,"")</f>
        <v/>
      </c>
      <c r="AB4432">
        <f>AB4431+IF(X4432="",0,IF(ISNA(MATCH(X4432,X$256:X4431,0)),1,0))</f>
        <v/>
      </c>
      <c r="AC4432">
        <f>IF(AB4432&gt;AB4431,AB4432,"")</f>
        <v/>
      </c>
    </row>
    <row r="4433">
      <c r="W4433" s="7" t="n"/>
      <c r="X4433" s="7" t="n"/>
      <c r="Z4433">
        <f>Z4432+IF(W4433="",0,IF(ISNA(MATCH(W4433,W$256:W4432,0)),1,0))</f>
        <v/>
      </c>
      <c r="AA4433">
        <f>IF(Z4433&gt;Z4432,Z4433,"")</f>
        <v/>
      </c>
      <c r="AB4433">
        <f>AB4432+IF(X4433="",0,IF(ISNA(MATCH(X4433,X$256:X4432,0)),1,0))</f>
        <v/>
      </c>
      <c r="AC4433">
        <f>IF(AB4433&gt;AB4432,AB4433,"")</f>
        <v/>
      </c>
    </row>
    <row r="4434">
      <c r="W4434" s="7" t="n"/>
      <c r="X4434" s="7" t="n"/>
      <c r="Z4434">
        <f>Z4433+IF(W4434="",0,IF(ISNA(MATCH(W4434,W$256:W4433,0)),1,0))</f>
        <v/>
      </c>
      <c r="AA4434">
        <f>IF(Z4434&gt;Z4433,Z4434,"")</f>
        <v/>
      </c>
      <c r="AB4434">
        <f>AB4433+IF(X4434="",0,IF(ISNA(MATCH(X4434,X$256:X4433,0)),1,0))</f>
        <v/>
      </c>
      <c r="AC4434">
        <f>IF(AB4434&gt;AB4433,AB4434,"")</f>
        <v/>
      </c>
    </row>
    <row r="4435">
      <c r="W4435" s="7" t="n"/>
      <c r="X4435" s="7" t="n"/>
      <c r="Z4435">
        <f>Z4434+IF(W4435="",0,IF(ISNA(MATCH(W4435,W$256:W4434,0)),1,0))</f>
        <v/>
      </c>
      <c r="AA4435">
        <f>IF(Z4435&gt;Z4434,Z4435,"")</f>
        <v/>
      </c>
      <c r="AB4435">
        <f>AB4434+IF(X4435="",0,IF(ISNA(MATCH(X4435,X$256:X4434,0)),1,0))</f>
        <v/>
      </c>
      <c r="AC4435">
        <f>IF(AB4435&gt;AB4434,AB4435,"")</f>
        <v/>
      </c>
    </row>
    <row r="4436">
      <c r="W4436" s="7" t="n"/>
      <c r="X4436" s="7" t="n"/>
      <c r="Z4436">
        <f>Z4435+IF(W4436="",0,IF(ISNA(MATCH(W4436,W$256:W4435,0)),1,0))</f>
        <v/>
      </c>
      <c r="AA4436">
        <f>IF(Z4436&gt;Z4435,Z4436,"")</f>
        <v/>
      </c>
      <c r="AB4436">
        <f>AB4435+IF(X4436="",0,IF(ISNA(MATCH(X4436,X$256:X4435,0)),1,0))</f>
        <v/>
      </c>
      <c r="AC4436">
        <f>IF(AB4436&gt;AB4435,AB4436,"")</f>
        <v/>
      </c>
    </row>
    <row r="4437">
      <c r="W4437" s="7" t="n"/>
      <c r="X4437" s="7" t="n"/>
      <c r="Z4437">
        <f>Z4436+IF(W4437="",0,IF(ISNA(MATCH(W4437,W$256:W4436,0)),1,0))</f>
        <v/>
      </c>
      <c r="AA4437">
        <f>IF(Z4437&gt;Z4436,Z4437,"")</f>
        <v/>
      </c>
      <c r="AB4437">
        <f>AB4436+IF(X4437="",0,IF(ISNA(MATCH(X4437,X$256:X4436,0)),1,0))</f>
        <v/>
      </c>
      <c r="AC4437">
        <f>IF(AB4437&gt;AB4436,AB4437,"")</f>
        <v/>
      </c>
    </row>
    <row r="4438">
      <c r="W4438" s="7" t="n"/>
      <c r="X4438" s="7" t="n"/>
      <c r="Z4438">
        <f>Z4437+IF(W4438="",0,IF(ISNA(MATCH(W4438,W$256:W4437,0)),1,0))</f>
        <v/>
      </c>
      <c r="AA4438">
        <f>IF(Z4438&gt;Z4437,Z4438,"")</f>
        <v/>
      </c>
      <c r="AB4438">
        <f>AB4437+IF(X4438="",0,IF(ISNA(MATCH(X4438,X$256:X4437,0)),1,0))</f>
        <v/>
      </c>
      <c r="AC4438">
        <f>IF(AB4438&gt;AB4437,AB4438,"")</f>
        <v/>
      </c>
    </row>
    <row r="4439">
      <c r="W4439" s="7" t="n"/>
      <c r="X4439" s="7" t="n"/>
      <c r="Z4439">
        <f>Z4438+IF(W4439="",0,IF(ISNA(MATCH(W4439,W$256:W4438,0)),1,0))</f>
        <v/>
      </c>
      <c r="AA4439">
        <f>IF(Z4439&gt;Z4438,Z4439,"")</f>
        <v/>
      </c>
      <c r="AB4439">
        <f>AB4438+IF(X4439="",0,IF(ISNA(MATCH(X4439,X$256:X4438,0)),1,0))</f>
        <v/>
      </c>
      <c r="AC4439">
        <f>IF(AB4439&gt;AB4438,AB4439,"")</f>
        <v/>
      </c>
    </row>
    <row r="4440">
      <c r="W4440" s="7" t="n"/>
      <c r="X4440" s="7" t="n"/>
      <c r="Z4440">
        <f>Z4439+IF(W4440="",0,IF(ISNA(MATCH(W4440,W$256:W4439,0)),1,0))</f>
        <v/>
      </c>
      <c r="AA4440">
        <f>IF(Z4440&gt;Z4439,Z4440,"")</f>
        <v/>
      </c>
      <c r="AB4440">
        <f>AB4439+IF(X4440="",0,IF(ISNA(MATCH(X4440,X$256:X4439,0)),1,0))</f>
        <v/>
      </c>
      <c r="AC4440">
        <f>IF(AB4440&gt;AB4439,AB4440,"")</f>
        <v/>
      </c>
    </row>
    <row r="4441">
      <c r="W4441" s="7" t="n"/>
      <c r="X4441" s="7" t="n"/>
      <c r="Z4441">
        <f>Z4440+IF(W4441="",0,IF(ISNA(MATCH(W4441,W$256:W4440,0)),1,0))</f>
        <v/>
      </c>
      <c r="AA4441">
        <f>IF(Z4441&gt;Z4440,Z4441,"")</f>
        <v/>
      </c>
      <c r="AB4441">
        <f>AB4440+IF(X4441="",0,IF(ISNA(MATCH(X4441,X$256:X4440,0)),1,0))</f>
        <v/>
      </c>
      <c r="AC4441">
        <f>IF(AB4441&gt;AB4440,AB4441,"")</f>
        <v/>
      </c>
    </row>
    <row r="4442">
      <c r="W4442" s="7" t="n"/>
      <c r="X4442" s="7" t="n"/>
      <c r="Z4442">
        <f>Z4441+IF(W4442="",0,IF(ISNA(MATCH(W4442,W$256:W4441,0)),1,0))</f>
        <v/>
      </c>
      <c r="AA4442">
        <f>IF(Z4442&gt;Z4441,Z4442,"")</f>
        <v/>
      </c>
      <c r="AB4442">
        <f>AB4441+IF(X4442="",0,IF(ISNA(MATCH(X4442,X$256:X4441,0)),1,0))</f>
        <v/>
      </c>
      <c r="AC4442">
        <f>IF(AB4442&gt;AB4441,AB4442,"")</f>
        <v/>
      </c>
    </row>
    <row r="4443">
      <c r="W4443" s="7" t="n"/>
      <c r="X4443" s="7" t="n"/>
      <c r="Z4443">
        <f>Z4442+IF(W4443="",0,IF(ISNA(MATCH(W4443,W$256:W4442,0)),1,0))</f>
        <v/>
      </c>
      <c r="AA4443">
        <f>IF(Z4443&gt;Z4442,Z4443,"")</f>
        <v/>
      </c>
      <c r="AB4443">
        <f>AB4442+IF(X4443="",0,IF(ISNA(MATCH(X4443,X$256:X4442,0)),1,0))</f>
        <v/>
      </c>
      <c r="AC4443">
        <f>IF(AB4443&gt;AB4442,AB4443,"")</f>
        <v/>
      </c>
    </row>
    <row r="4444">
      <c r="W4444" s="7" t="n"/>
      <c r="X4444" s="7" t="n"/>
      <c r="Z4444">
        <f>Z4443+IF(W4444="",0,IF(ISNA(MATCH(W4444,W$256:W4443,0)),1,0))</f>
        <v/>
      </c>
      <c r="AA4444">
        <f>IF(Z4444&gt;Z4443,Z4444,"")</f>
        <v/>
      </c>
      <c r="AB4444">
        <f>AB4443+IF(X4444="",0,IF(ISNA(MATCH(X4444,X$256:X4443,0)),1,0))</f>
        <v/>
      </c>
      <c r="AC4444">
        <f>IF(AB4444&gt;AB4443,AB4444,"")</f>
        <v/>
      </c>
    </row>
    <row r="4445">
      <c r="W4445" s="7" t="n"/>
      <c r="X4445" s="7" t="n"/>
      <c r="Z4445">
        <f>Z4444+IF(W4445="",0,IF(ISNA(MATCH(W4445,W$256:W4444,0)),1,0))</f>
        <v/>
      </c>
      <c r="AA4445">
        <f>IF(Z4445&gt;Z4444,Z4445,"")</f>
        <v/>
      </c>
      <c r="AB4445">
        <f>AB4444+IF(X4445="",0,IF(ISNA(MATCH(X4445,X$256:X4444,0)),1,0))</f>
        <v/>
      </c>
      <c r="AC4445">
        <f>IF(AB4445&gt;AB4444,AB4445,"")</f>
        <v/>
      </c>
    </row>
    <row r="4446">
      <c r="W4446" s="7" t="n"/>
      <c r="X4446" s="7" t="n"/>
      <c r="Z4446">
        <f>Z4445+IF(W4446="",0,IF(ISNA(MATCH(W4446,W$256:W4445,0)),1,0))</f>
        <v/>
      </c>
      <c r="AA4446">
        <f>IF(Z4446&gt;Z4445,Z4446,"")</f>
        <v/>
      </c>
      <c r="AB4446">
        <f>AB4445+IF(X4446="",0,IF(ISNA(MATCH(X4446,X$256:X4445,0)),1,0))</f>
        <v/>
      </c>
      <c r="AC4446">
        <f>IF(AB4446&gt;AB4445,AB4446,"")</f>
        <v/>
      </c>
    </row>
    <row r="4447">
      <c r="W4447" s="7" t="n"/>
      <c r="X4447" s="7" t="n"/>
      <c r="Z4447">
        <f>Z4446+IF(W4447="",0,IF(ISNA(MATCH(W4447,W$256:W4446,0)),1,0))</f>
        <v/>
      </c>
      <c r="AA4447">
        <f>IF(Z4447&gt;Z4446,Z4447,"")</f>
        <v/>
      </c>
      <c r="AB4447">
        <f>AB4446+IF(X4447="",0,IF(ISNA(MATCH(X4447,X$256:X4446,0)),1,0))</f>
        <v/>
      </c>
      <c r="AC4447">
        <f>IF(AB4447&gt;AB4446,AB4447,"")</f>
        <v/>
      </c>
    </row>
    <row r="4448">
      <c r="W4448" s="7" t="n"/>
      <c r="X4448" s="7" t="n"/>
      <c r="Z4448">
        <f>Z4447+IF(W4448="",0,IF(ISNA(MATCH(W4448,W$256:W4447,0)),1,0))</f>
        <v/>
      </c>
      <c r="AA4448">
        <f>IF(Z4448&gt;Z4447,Z4448,"")</f>
        <v/>
      </c>
      <c r="AB4448">
        <f>AB4447+IF(X4448="",0,IF(ISNA(MATCH(X4448,X$256:X4447,0)),1,0))</f>
        <v/>
      </c>
      <c r="AC4448">
        <f>IF(AB4448&gt;AB4447,AB4448,"")</f>
        <v/>
      </c>
    </row>
    <row r="4449">
      <c r="W4449" s="7" t="n"/>
      <c r="X4449" s="7" t="n"/>
      <c r="Z4449">
        <f>Z4448+IF(W4449="",0,IF(ISNA(MATCH(W4449,W$256:W4448,0)),1,0))</f>
        <v/>
      </c>
      <c r="AA4449">
        <f>IF(Z4449&gt;Z4448,Z4449,"")</f>
        <v/>
      </c>
      <c r="AB4449">
        <f>AB4448+IF(X4449="",0,IF(ISNA(MATCH(X4449,X$256:X4448,0)),1,0))</f>
        <v/>
      </c>
      <c r="AC4449">
        <f>IF(AB4449&gt;AB4448,AB4449,"")</f>
        <v/>
      </c>
    </row>
    <row r="4450">
      <c r="W4450" s="7" t="n"/>
      <c r="X4450" s="7" t="n"/>
      <c r="Z4450">
        <f>Z4449+IF(W4450="",0,IF(ISNA(MATCH(W4450,W$256:W4449,0)),1,0))</f>
        <v/>
      </c>
      <c r="AA4450">
        <f>IF(Z4450&gt;Z4449,Z4450,"")</f>
        <v/>
      </c>
      <c r="AB4450">
        <f>AB4449+IF(X4450="",0,IF(ISNA(MATCH(X4450,X$256:X4449,0)),1,0))</f>
        <v/>
      </c>
      <c r="AC4450">
        <f>IF(AB4450&gt;AB4449,AB4450,"")</f>
        <v/>
      </c>
    </row>
    <row r="4451">
      <c r="W4451" s="7" t="n"/>
      <c r="X4451" s="7" t="n"/>
      <c r="Z4451">
        <f>Z4450+IF(W4451="",0,IF(ISNA(MATCH(W4451,W$256:W4450,0)),1,0))</f>
        <v/>
      </c>
      <c r="AA4451">
        <f>IF(Z4451&gt;Z4450,Z4451,"")</f>
        <v/>
      </c>
      <c r="AB4451">
        <f>AB4450+IF(X4451="",0,IF(ISNA(MATCH(X4451,X$256:X4450,0)),1,0))</f>
        <v/>
      </c>
      <c r="AC4451">
        <f>IF(AB4451&gt;AB4450,AB4451,"")</f>
        <v/>
      </c>
    </row>
    <row r="4452">
      <c r="W4452" s="7" t="n"/>
      <c r="X4452" s="7" t="n"/>
      <c r="Z4452">
        <f>Z4451+IF(W4452="",0,IF(ISNA(MATCH(W4452,W$256:W4451,0)),1,0))</f>
        <v/>
      </c>
      <c r="AA4452">
        <f>IF(Z4452&gt;Z4451,Z4452,"")</f>
        <v/>
      </c>
      <c r="AB4452">
        <f>AB4451+IF(X4452="",0,IF(ISNA(MATCH(X4452,X$256:X4451,0)),1,0))</f>
        <v/>
      </c>
      <c r="AC4452">
        <f>IF(AB4452&gt;AB4451,AB4452,"")</f>
        <v/>
      </c>
    </row>
    <row r="4453">
      <c r="W4453" s="7" t="n"/>
      <c r="X4453" s="7" t="n"/>
      <c r="Z4453">
        <f>Z4452+IF(W4453="",0,IF(ISNA(MATCH(W4453,W$256:W4452,0)),1,0))</f>
        <v/>
      </c>
      <c r="AA4453">
        <f>IF(Z4453&gt;Z4452,Z4453,"")</f>
        <v/>
      </c>
      <c r="AB4453">
        <f>AB4452+IF(X4453="",0,IF(ISNA(MATCH(X4453,X$256:X4452,0)),1,0))</f>
        <v/>
      </c>
      <c r="AC4453">
        <f>IF(AB4453&gt;AB4452,AB4453,"")</f>
        <v/>
      </c>
    </row>
    <row r="4454">
      <c r="W4454" s="7" t="n"/>
      <c r="X4454" s="7" t="n"/>
      <c r="Z4454">
        <f>Z4453+IF(W4454="",0,IF(ISNA(MATCH(W4454,W$256:W4453,0)),1,0))</f>
        <v/>
      </c>
      <c r="AA4454">
        <f>IF(Z4454&gt;Z4453,Z4454,"")</f>
        <v/>
      </c>
      <c r="AB4454">
        <f>AB4453+IF(X4454="",0,IF(ISNA(MATCH(X4454,X$256:X4453,0)),1,0))</f>
        <v/>
      </c>
      <c r="AC4454">
        <f>IF(AB4454&gt;AB4453,AB4454,"")</f>
        <v/>
      </c>
    </row>
    <row r="4455">
      <c r="W4455" s="7" t="n"/>
      <c r="X4455" s="7" t="n"/>
      <c r="Z4455">
        <f>Z4454+IF(W4455="",0,IF(ISNA(MATCH(W4455,W$256:W4454,0)),1,0))</f>
        <v/>
      </c>
      <c r="AA4455">
        <f>IF(Z4455&gt;Z4454,Z4455,"")</f>
        <v/>
      </c>
      <c r="AB4455">
        <f>AB4454+IF(X4455="",0,IF(ISNA(MATCH(X4455,X$256:X4454,0)),1,0))</f>
        <v/>
      </c>
      <c r="AC4455">
        <f>IF(AB4455&gt;AB4454,AB4455,"")</f>
        <v/>
      </c>
    </row>
    <row r="4456">
      <c r="W4456" s="7" t="n"/>
      <c r="X4456" s="7" t="n"/>
      <c r="Z4456">
        <f>Z4455+IF(W4456="",0,IF(ISNA(MATCH(W4456,W$256:W4455,0)),1,0))</f>
        <v/>
      </c>
      <c r="AA4456">
        <f>IF(Z4456&gt;Z4455,Z4456,"")</f>
        <v/>
      </c>
      <c r="AB4456">
        <f>AB4455+IF(X4456="",0,IF(ISNA(MATCH(X4456,X$256:X4455,0)),1,0))</f>
        <v/>
      </c>
      <c r="AC4456">
        <f>IF(AB4456&gt;AB4455,AB4456,"")</f>
        <v/>
      </c>
    </row>
    <row r="4457">
      <c r="W4457" s="7" t="n"/>
      <c r="X4457" s="7" t="n"/>
      <c r="Z4457">
        <f>Z4456+IF(W4457="",0,IF(ISNA(MATCH(W4457,W$256:W4456,0)),1,0))</f>
        <v/>
      </c>
      <c r="AA4457">
        <f>IF(Z4457&gt;Z4456,Z4457,"")</f>
        <v/>
      </c>
      <c r="AB4457">
        <f>AB4456+IF(X4457="",0,IF(ISNA(MATCH(X4457,X$256:X4456,0)),1,0))</f>
        <v/>
      </c>
      <c r="AC4457">
        <f>IF(AB4457&gt;AB4456,AB4457,"")</f>
        <v/>
      </c>
    </row>
    <row r="4458">
      <c r="W4458" s="7" t="n"/>
      <c r="X4458" s="7" t="n"/>
      <c r="Z4458">
        <f>Z4457+IF(W4458="",0,IF(ISNA(MATCH(W4458,W$256:W4457,0)),1,0))</f>
        <v/>
      </c>
      <c r="AA4458">
        <f>IF(Z4458&gt;Z4457,Z4458,"")</f>
        <v/>
      </c>
      <c r="AB4458">
        <f>AB4457+IF(X4458="",0,IF(ISNA(MATCH(X4458,X$256:X4457,0)),1,0))</f>
        <v/>
      </c>
      <c r="AC4458">
        <f>IF(AB4458&gt;AB4457,AB4458,"")</f>
        <v/>
      </c>
    </row>
    <row r="4459">
      <c r="W4459" s="7" t="n"/>
      <c r="X4459" s="7" t="n"/>
      <c r="Z4459">
        <f>Z4458+IF(W4459="",0,IF(ISNA(MATCH(W4459,W$256:W4458,0)),1,0))</f>
        <v/>
      </c>
      <c r="AA4459">
        <f>IF(Z4459&gt;Z4458,Z4459,"")</f>
        <v/>
      </c>
      <c r="AB4459">
        <f>AB4458+IF(X4459="",0,IF(ISNA(MATCH(X4459,X$256:X4458,0)),1,0))</f>
        <v/>
      </c>
      <c r="AC4459">
        <f>IF(AB4459&gt;AB4458,AB4459,"")</f>
        <v/>
      </c>
    </row>
    <row r="4460">
      <c r="W4460" s="7" t="n"/>
      <c r="X4460" s="7" t="n"/>
      <c r="Z4460">
        <f>Z4459+IF(W4460="",0,IF(ISNA(MATCH(W4460,W$256:W4459,0)),1,0))</f>
        <v/>
      </c>
      <c r="AA4460">
        <f>IF(Z4460&gt;Z4459,Z4460,"")</f>
        <v/>
      </c>
      <c r="AB4460">
        <f>AB4459+IF(X4460="",0,IF(ISNA(MATCH(X4460,X$256:X4459,0)),1,0))</f>
        <v/>
      </c>
      <c r="AC4460">
        <f>IF(AB4460&gt;AB4459,AB4460,"")</f>
        <v/>
      </c>
    </row>
    <row r="4461">
      <c r="W4461" s="7" t="n"/>
      <c r="X4461" s="7" t="n"/>
      <c r="Z4461">
        <f>Z4460+IF(W4461="",0,IF(ISNA(MATCH(W4461,W$256:W4460,0)),1,0))</f>
        <v/>
      </c>
      <c r="AA4461">
        <f>IF(Z4461&gt;Z4460,Z4461,"")</f>
        <v/>
      </c>
      <c r="AB4461">
        <f>AB4460+IF(X4461="",0,IF(ISNA(MATCH(X4461,X$256:X4460,0)),1,0))</f>
        <v/>
      </c>
      <c r="AC4461">
        <f>IF(AB4461&gt;AB4460,AB4461,"")</f>
        <v/>
      </c>
    </row>
    <row r="4462">
      <c r="W4462" s="7" t="n"/>
      <c r="X4462" s="7" t="n"/>
      <c r="Z4462">
        <f>Z4461+IF(W4462="",0,IF(ISNA(MATCH(W4462,W$256:W4461,0)),1,0))</f>
        <v/>
      </c>
      <c r="AA4462">
        <f>IF(Z4462&gt;Z4461,Z4462,"")</f>
        <v/>
      </c>
      <c r="AB4462">
        <f>AB4461+IF(X4462="",0,IF(ISNA(MATCH(X4462,X$256:X4461,0)),1,0))</f>
        <v/>
      </c>
      <c r="AC4462">
        <f>IF(AB4462&gt;AB4461,AB4462,"")</f>
        <v/>
      </c>
    </row>
    <row r="4463">
      <c r="W4463" s="7" t="n"/>
      <c r="X4463" s="7" t="n"/>
      <c r="Z4463">
        <f>Z4462+IF(W4463="",0,IF(ISNA(MATCH(W4463,W$256:W4462,0)),1,0))</f>
        <v/>
      </c>
      <c r="AA4463">
        <f>IF(Z4463&gt;Z4462,Z4463,"")</f>
        <v/>
      </c>
      <c r="AB4463">
        <f>AB4462+IF(X4463="",0,IF(ISNA(MATCH(X4463,X$256:X4462,0)),1,0))</f>
        <v/>
      </c>
      <c r="AC4463">
        <f>IF(AB4463&gt;AB4462,AB4463,"")</f>
        <v/>
      </c>
    </row>
    <row r="4464">
      <c r="W4464" s="7" t="n"/>
      <c r="X4464" s="7" t="n"/>
      <c r="Z4464">
        <f>Z4463+IF(W4464="",0,IF(ISNA(MATCH(W4464,W$256:W4463,0)),1,0))</f>
        <v/>
      </c>
      <c r="AA4464">
        <f>IF(Z4464&gt;Z4463,Z4464,"")</f>
        <v/>
      </c>
      <c r="AB4464">
        <f>AB4463+IF(X4464="",0,IF(ISNA(MATCH(X4464,X$256:X4463,0)),1,0))</f>
        <v/>
      </c>
      <c r="AC4464">
        <f>IF(AB4464&gt;AB4463,AB4464,"")</f>
        <v/>
      </c>
    </row>
    <row r="4465">
      <c r="W4465" s="7" t="n"/>
      <c r="X4465" s="7" t="n"/>
      <c r="Z4465">
        <f>Z4464+IF(W4465="",0,IF(ISNA(MATCH(W4465,W$256:W4464,0)),1,0))</f>
        <v/>
      </c>
      <c r="AA4465">
        <f>IF(Z4465&gt;Z4464,Z4465,"")</f>
        <v/>
      </c>
      <c r="AB4465">
        <f>AB4464+IF(X4465="",0,IF(ISNA(MATCH(X4465,X$256:X4464,0)),1,0))</f>
        <v/>
      </c>
      <c r="AC4465">
        <f>IF(AB4465&gt;AB4464,AB4465,"")</f>
        <v/>
      </c>
    </row>
    <row r="4466">
      <c r="W4466" s="7" t="n"/>
      <c r="X4466" s="7" t="n"/>
      <c r="Z4466">
        <f>Z4465+IF(W4466="",0,IF(ISNA(MATCH(W4466,W$256:W4465,0)),1,0))</f>
        <v/>
      </c>
      <c r="AA4466">
        <f>IF(Z4466&gt;Z4465,Z4466,"")</f>
        <v/>
      </c>
      <c r="AB4466">
        <f>AB4465+IF(X4466="",0,IF(ISNA(MATCH(X4466,X$256:X4465,0)),1,0))</f>
        <v/>
      </c>
      <c r="AC4466">
        <f>IF(AB4466&gt;AB4465,AB4466,"")</f>
        <v/>
      </c>
    </row>
    <row r="4467">
      <c r="W4467" s="7" t="n"/>
      <c r="X4467" s="7" t="n"/>
      <c r="Z4467">
        <f>Z4466+IF(W4467="",0,IF(ISNA(MATCH(W4467,W$256:W4466,0)),1,0))</f>
        <v/>
      </c>
      <c r="AA4467">
        <f>IF(Z4467&gt;Z4466,Z4467,"")</f>
        <v/>
      </c>
      <c r="AB4467">
        <f>AB4466+IF(X4467="",0,IF(ISNA(MATCH(X4467,X$256:X4466,0)),1,0))</f>
        <v/>
      </c>
      <c r="AC4467">
        <f>IF(AB4467&gt;AB4466,AB4467,"")</f>
        <v/>
      </c>
    </row>
    <row r="4468">
      <c r="W4468" s="7" t="n"/>
      <c r="X4468" s="7" t="n"/>
      <c r="Z4468">
        <f>Z4467+IF(W4468="",0,IF(ISNA(MATCH(W4468,W$256:W4467,0)),1,0))</f>
        <v/>
      </c>
      <c r="AA4468">
        <f>IF(Z4468&gt;Z4467,Z4468,"")</f>
        <v/>
      </c>
      <c r="AB4468">
        <f>AB4467+IF(X4468="",0,IF(ISNA(MATCH(X4468,X$256:X4467,0)),1,0))</f>
        <v/>
      </c>
      <c r="AC4468">
        <f>IF(AB4468&gt;AB4467,AB4468,"")</f>
        <v/>
      </c>
    </row>
    <row r="4469">
      <c r="W4469" s="7" t="n"/>
      <c r="X4469" s="7" t="n"/>
      <c r="Z4469">
        <f>Z4468+IF(W4469="",0,IF(ISNA(MATCH(W4469,W$256:W4468,0)),1,0))</f>
        <v/>
      </c>
      <c r="AA4469">
        <f>IF(Z4469&gt;Z4468,Z4469,"")</f>
        <v/>
      </c>
      <c r="AB4469">
        <f>AB4468+IF(X4469="",0,IF(ISNA(MATCH(X4469,X$256:X4468,0)),1,0))</f>
        <v/>
      </c>
      <c r="AC4469">
        <f>IF(AB4469&gt;AB4468,AB4469,"")</f>
        <v/>
      </c>
    </row>
    <row r="4470">
      <c r="W4470" s="7" t="n"/>
      <c r="X4470" s="7" t="n"/>
      <c r="Z4470">
        <f>Z4469+IF(W4470="",0,IF(ISNA(MATCH(W4470,W$256:W4469,0)),1,0))</f>
        <v/>
      </c>
      <c r="AA4470">
        <f>IF(Z4470&gt;Z4469,Z4470,"")</f>
        <v/>
      </c>
      <c r="AB4470">
        <f>AB4469+IF(X4470="",0,IF(ISNA(MATCH(X4470,X$256:X4469,0)),1,0))</f>
        <v/>
      </c>
      <c r="AC4470">
        <f>IF(AB4470&gt;AB4469,AB4470,"")</f>
        <v/>
      </c>
    </row>
    <row r="4471">
      <c r="W4471" s="7" t="n"/>
      <c r="X4471" s="7" t="n"/>
      <c r="Z4471">
        <f>Z4470+IF(W4471="",0,IF(ISNA(MATCH(W4471,W$256:W4470,0)),1,0))</f>
        <v/>
      </c>
      <c r="AA4471">
        <f>IF(Z4471&gt;Z4470,Z4471,"")</f>
        <v/>
      </c>
      <c r="AB4471">
        <f>AB4470+IF(X4471="",0,IF(ISNA(MATCH(X4471,X$256:X4470,0)),1,0))</f>
        <v/>
      </c>
      <c r="AC4471">
        <f>IF(AB4471&gt;AB4470,AB4471,"")</f>
        <v/>
      </c>
    </row>
    <row r="4472">
      <c r="W4472" s="7" t="n"/>
      <c r="X4472" s="7" t="n"/>
      <c r="Z4472">
        <f>Z4471+IF(W4472="",0,IF(ISNA(MATCH(W4472,W$256:W4471,0)),1,0))</f>
        <v/>
      </c>
      <c r="AA4472">
        <f>IF(Z4472&gt;Z4471,Z4472,"")</f>
        <v/>
      </c>
      <c r="AB4472">
        <f>AB4471+IF(X4472="",0,IF(ISNA(MATCH(X4472,X$256:X4471,0)),1,0))</f>
        <v/>
      </c>
      <c r="AC4472">
        <f>IF(AB4472&gt;AB4471,AB4472,"")</f>
        <v/>
      </c>
    </row>
    <row r="4473">
      <c r="W4473" s="7" t="n"/>
      <c r="X4473" s="7" t="n"/>
      <c r="Z4473">
        <f>Z4472+IF(W4473="",0,IF(ISNA(MATCH(W4473,W$256:W4472,0)),1,0))</f>
        <v/>
      </c>
      <c r="AA4473">
        <f>IF(Z4473&gt;Z4472,Z4473,"")</f>
        <v/>
      </c>
      <c r="AB4473">
        <f>AB4472+IF(X4473="",0,IF(ISNA(MATCH(X4473,X$256:X4472,0)),1,0))</f>
        <v/>
      </c>
      <c r="AC4473">
        <f>IF(AB4473&gt;AB4472,AB4473,"")</f>
        <v/>
      </c>
    </row>
    <row r="4474">
      <c r="W4474" s="7" t="n"/>
      <c r="X4474" s="7" t="n"/>
      <c r="Z4474">
        <f>Z4473+IF(W4474="",0,IF(ISNA(MATCH(W4474,W$256:W4473,0)),1,0))</f>
        <v/>
      </c>
      <c r="AA4474">
        <f>IF(Z4474&gt;Z4473,Z4474,"")</f>
        <v/>
      </c>
      <c r="AB4474">
        <f>AB4473+IF(X4474="",0,IF(ISNA(MATCH(X4474,X$256:X4473,0)),1,0))</f>
        <v/>
      </c>
      <c r="AC4474">
        <f>IF(AB4474&gt;AB4473,AB4474,"")</f>
        <v/>
      </c>
    </row>
    <row r="4475">
      <c r="W4475" s="7" t="n"/>
      <c r="X4475" s="7" t="n"/>
      <c r="Z4475">
        <f>Z4474+IF(W4475="",0,IF(ISNA(MATCH(W4475,W$256:W4474,0)),1,0))</f>
        <v/>
      </c>
      <c r="AA4475">
        <f>IF(Z4475&gt;Z4474,Z4475,"")</f>
        <v/>
      </c>
      <c r="AB4475">
        <f>AB4474+IF(X4475="",0,IF(ISNA(MATCH(X4475,X$256:X4474,0)),1,0))</f>
        <v/>
      </c>
      <c r="AC4475">
        <f>IF(AB4475&gt;AB4474,AB4475,"")</f>
        <v/>
      </c>
    </row>
    <row r="4476">
      <c r="W4476" s="7" t="n"/>
      <c r="X4476" s="7" t="n"/>
      <c r="Z4476">
        <f>Z4475+IF(W4476="",0,IF(ISNA(MATCH(W4476,W$256:W4475,0)),1,0))</f>
        <v/>
      </c>
      <c r="AA4476">
        <f>IF(Z4476&gt;Z4475,Z4476,"")</f>
        <v/>
      </c>
      <c r="AB4476">
        <f>AB4475+IF(X4476="",0,IF(ISNA(MATCH(X4476,X$256:X4475,0)),1,0))</f>
        <v/>
      </c>
      <c r="AC4476">
        <f>IF(AB4476&gt;AB4475,AB4476,"")</f>
        <v/>
      </c>
    </row>
    <row r="4477">
      <c r="W4477" s="7" t="n"/>
      <c r="X4477" s="7" t="n"/>
      <c r="Z4477">
        <f>Z4476+IF(W4477="",0,IF(ISNA(MATCH(W4477,W$256:W4476,0)),1,0))</f>
        <v/>
      </c>
      <c r="AA4477">
        <f>IF(Z4477&gt;Z4476,Z4477,"")</f>
        <v/>
      </c>
      <c r="AB4477">
        <f>AB4476+IF(X4477="",0,IF(ISNA(MATCH(X4477,X$256:X4476,0)),1,0))</f>
        <v/>
      </c>
      <c r="AC4477">
        <f>IF(AB4477&gt;AB4476,AB4477,"")</f>
        <v/>
      </c>
    </row>
    <row r="4478">
      <c r="W4478" s="7" t="n"/>
      <c r="X4478" s="7" t="n"/>
      <c r="Z4478">
        <f>Z4477+IF(W4478="",0,IF(ISNA(MATCH(W4478,W$256:W4477,0)),1,0))</f>
        <v/>
      </c>
      <c r="AA4478">
        <f>IF(Z4478&gt;Z4477,Z4478,"")</f>
        <v/>
      </c>
      <c r="AB4478">
        <f>AB4477+IF(X4478="",0,IF(ISNA(MATCH(X4478,X$256:X4477,0)),1,0))</f>
        <v/>
      </c>
      <c r="AC4478">
        <f>IF(AB4478&gt;AB4477,AB4478,"")</f>
        <v/>
      </c>
    </row>
    <row r="4479">
      <c r="W4479" s="7" t="n"/>
      <c r="X4479" s="7" t="n"/>
      <c r="Z4479">
        <f>Z4478+IF(W4479="",0,IF(ISNA(MATCH(W4479,W$256:W4478,0)),1,0))</f>
        <v/>
      </c>
      <c r="AA4479">
        <f>IF(Z4479&gt;Z4478,Z4479,"")</f>
        <v/>
      </c>
      <c r="AB4479">
        <f>AB4478+IF(X4479="",0,IF(ISNA(MATCH(X4479,X$256:X4478,0)),1,0))</f>
        <v/>
      </c>
      <c r="AC4479">
        <f>IF(AB4479&gt;AB4478,AB4479,"")</f>
        <v/>
      </c>
    </row>
    <row r="4480">
      <c r="W4480" s="7" t="n"/>
      <c r="X4480" s="7" t="n"/>
      <c r="Z4480">
        <f>Z4479+IF(W4480="",0,IF(ISNA(MATCH(W4480,W$256:W4479,0)),1,0))</f>
        <v/>
      </c>
      <c r="AA4480">
        <f>IF(Z4480&gt;Z4479,Z4480,"")</f>
        <v/>
      </c>
      <c r="AB4480">
        <f>AB4479+IF(X4480="",0,IF(ISNA(MATCH(X4480,X$256:X4479,0)),1,0))</f>
        <v/>
      </c>
      <c r="AC4480">
        <f>IF(AB4480&gt;AB4479,AB4480,"")</f>
        <v/>
      </c>
    </row>
    <row r="4481">
      <c r="W4481" s="7" t="n"/>
      <c r="X4481" s="7" t="n"/>
      <c r="Z4481">
        <f>Z4480+IF(W4481="",0,IF(ISNA(MATCH(W4481,W$256:W4480,0)),1,0))</f>
        <v/>
      </c>
      <c r="AA4481">
        <f>IF(Z4481&gt;Z4480,Z4481,"")</f>
        <v/>
      </c>
      <c r="AB4481">
        <f>AB4480+IF(X4481="",0,IF(ISNA(MATCH(X4481,X$256:X4480,0)),1,0))</f>
        <v/>
      </c>
      <c r="AC4481">
        <f>IF(AB4481&gt;AB4480,AB4481,"")</f>
        <v/>
      </c>
    </row>
    <row r="4482">
      <c r="W4482" s="7" t="n"/>
      <c r="X4482" s="7" t="n"/>
      <c r="Z4482">
        <f>Z4481+IF(W4482="",0,IF(ISNA(MATCH(W4482,W$256:W4481,0)),1,0))</f>
        <v/>
      </c>
      <c r="AA4482">
        <f>IF(Z4482&gt;Z4481,Z4482,"")</f>
        <v/>
      </c>
      <c r="AB4482">
        <f>AB4481+IF(X4482="",0,IF(ISNA(MATCH(X4482,X$256:X4481,0)),1,0))</f>
        <v/>
      </c>
      <c r="AC4482">
        <f>IF(AB4482&gt;AB4481,AB4482,"")</f>
        <v/>
      </c>
    </row>
    <row r="4483">
      <c r="W4483" s="7" t="n"/>
      <c r="X4483" s="7" t="n"/>
      <c r="Z4483">
        <f>Z4482+IF(W4483="",0,IF(ISNA(MATCH(W4483,W$256:W4482,0)),1,0))</f>
        <v/>
      </c>
      <c r="AA4483">
        <f>IF(Z4483&gt;Z4482,Z4483,"")</f>
        <v/>
      </c>
      <c r="AB4483">
        <f>AB4482+IF(X4483="",0,IF(ISNA(MATCH(X4483,X$256:X4482,0)),1,0))</f>
        <v/>
      </c>
      <c r="AC4483">
        <f>IF(AB4483&gt;AB4482,AB4483,"")</f>
        <v/>
      </c>
    </row>
    <row r="4484">
      <c r="W4484" s="7" t="n"/>
      <c r="X4484" s="7" t="n"/>
      <c r="Z4484">
        <f>Z4483+IF(W4484="",0,IF(ISNA(MATCH(W4484,W$256:W4483,0)),1,0))</f>
        <v/>
      </c>
      <c r="AA4484">
        <f>IF(Z4484&gt;Z4483,Z4484,"")</f>
        <v/>
      </c>
      <c r="AB4484">
        <f>AB4483+IF(X4484="",0,IF(ISNA(MATCH(X4484,X$256:X4483,0)),1,0))</f>
        <v/>
      </c>
      <c r="AC4484">
        <f>IF(AB4484&gt;AB4483,AB4484,"")</f>
        <v/>
      </c>
    </row>
    <row r="4485">
      <c r="W4485" s="7" t="n"/>
      <c r="X4485" s="7" t="n"/>
      <c r="Z4485">
        <f>Z4484+IF(W4485="",0,IF(ISNA(MATCH(W4485,W$256:W4484,0)),1,0))</f>
        <v/>
      </c>
      <c r="AA4485">
        <f>IF(Z4485&gt;Z4484,Z4485,"")</f>
        <v/>
      </c>
      <c r="AB4485">
        <f>AB4484+IF(X4485="",0,IF(ISNA(MATCH(X4485,X$256:X4484,0)),1,0))</f>
        <v/>
      </c>
      <c r="AC4485">
        <f>IF(AB4485&gt;AB4484,AB4485,"")</f>
        <v/>
      </c>
    </row>
    <row r="4486">
      <c r="W4486" s="7" t="n"/>
      <c r="X4486" s="7" t="n"/>
      <c r="Z4486">
        <f>Z4485+IF(W4486="",0,IF(ISNA(MATCH(W4486,W$256:W4485,0)),1,0))</f>
        <v/>
      </c>
      <c r="AA4486">
        <f>IF(Z4486&gt;Z4485,Z4486,"")</f>
        <v/>
      </c>
      <c r="AB4486">
        <f>AB4485+IF(X4486="",0,IF(ISNA(MATCH(X4486,X$256:X4485,0)),1,0))</f>
        <v/>
      </c>
      <c r="AC4486">
        <f>IF(AB4486&gt;AB4485,AB4486,"")</f>
        <v/>
      </c>
    </row>
    <row r="4487">
      <c r="W4487" s="7" t="n"/>
      <c r="X4487" s="7" t="n"/>
      <c r="Z4487">
        <f>Z4486+IF(W4487="",0,IF(ISNA(MATCH(W4487,W$256:W4486,0)),1,0))</f>
        <v/>
      </c>
      <c r="AA4487">
        <f>IF(Z4487&gt;Z4486,Z4487,"")</f>
        <v/>
      </c>
      <c r="AB4487">
        <f>AB4486+IF(X4487="",0,IF(ISNA(MATCH(X4487,X$256:X4486,0)),1,0))</f>
        <v/>
      </c>
      <c r="AC4487">
        <f>IF(AB4487&gt;AB4486,AB4487,"")</f>
        <v/>
      </c>
    </row>
    <row r="4488">
      <c r="W4488" s="7" t="n"/>
      <c r="X4488" s="7" t="n"/>
      <c r="Z4488">
        <f>Z4487+IF(W4488="",0,IF(ISNA(MATCH(W4488,W$256:W4487,0)),1,0))</f>
        <v/>
      </c>
      <c r="AA4488">
        <f>IF(Z4488&gt;Z4487,Z4488,"")</f>
        <v/>
      </c>
      <c r="AB4488">
        <f>AB4487+IF(X4488="",0,IF(ISNA(MATCH(X4488,X$256:X4487,0)),1,0))</f>
        <v/>
      </c>
      <c r="AC4488">
        <f>IF(AB4488&gt;AB4487,AB4488,"")</f>
        <v/>
      </c>
    </row>
    <row r="4489">
      <c r="W4489" s="7" t="n"/>
      <c r="X4489" s="7" t="n"/>
      <c r="Z4489">
        <f>Z4488+IF(W4489="",0,IF(ISNA(MATCH(W4489,W$256:W4488,0)),1,0))</f>
        <v/>
      </c>
      <c r="AA4489">
        <f>IF(Z4489&gt;Z4488,Z4489,"")</f>
        <v/>
      </c>
      <c r="AB4489">
        <f>AB4488+IF(X4489="",0,IF(ISNA(MATCH(X4489,X$256:X4488,0)),1,0))</f>
        <v/>
      </c>
      <c r="AC4489">
        <f>IF(AB4489&gt;AB4488,AB4489,"")</f>
        <v/>
      </c>
    </row>
    <row r="4490">
      <c r="W4490" s="7" t="n"/>
      <c r="X4490" s="7" t="n"/>
      <c r="Z4490">
        <f>Z4489+IF(W4490="",0,IF(ISNA(MATCH(W4490,W$256:W4489,0)),1,0))</f>
        <v/>
      </c>
      <c r="AA4490">
        <f>IF(Z4490&gt;Z4489,Z4490,"")</f>
        <v/>
      </c>
      <c r="AB4490">
        <f>AB4489+IF(X4490="",0,IF(ISNA(MATCH(X4490,X$256:X4489,0)),1,0))</f>
        <v/>
      </c>
      <c r="AC4490">
        <f>IF(AB4490&gt;AB4489,AB4490,"")</f>
        <v/>
      </c>
    </row>
    <row r="4491">
      <c r="W4491" s="7" t="n"/>
      <c r="X4491" s="7" t="n"/>
      <c r="Z4491">
        <f>Z4490+IF(W4491="",0,IF(ISNA(MATCH(W4491,W$256:W4490,0)),1,0))</f>
        <v/>
      </c>
      <c r="AA4491">
        <f>IF(Z4491&gt;Z4490,Z4491,"")</f>
        <v/>
      </c>
      <c r="AB4491">
        <f>AB4490+IF(X4491="",0,IF(ISNA(MATCH(X4491,X$256:X4490,0)),1,0))</f>
        <v/>
      </c>
      <c r="AC4491">
        <f>IF(AB4491&gt;AB4490,AB4491,"")</f>
        <v/>
      </c>
    </row>
    <row r="4492">
      <c r="W4492" s="7" t="n"/>
      <c r="X4492" s="7" t="n"/>
      <c r="Z4492">
        <f>Z4491+IF(W4492="",0,IF(ISNA(MATCH(W4492,W$256:W4491,0)),1,0))</f>
        <v/>
      </c>
      <c r="AA4492">
        <f>IF(Z4492&gt;Z4491,Z4492,"")</f>
        <v/>
      </c>
      <c r="AB4492">
        <f>AB4491+IF(X4492="",0,IF(ISNA(MATCH(X4492,X$256:X4491,0)),1,0))</f>
        <v/>
      </c>
      <c r="AC4492">
        <f>IF(AB4492&gt;AB4491,AB4492,"")</f>
        <v/>
      </c>
    </row>
    <row r="4493">
      <c r="W4493" s="7" t="n"/>
      <c r="X4493" s="7" t="n"/>
      <c r="Z4493">
        <f>Z4492+IF(W4493="",0,IF(ISNA(MATCH(W4493,W$256:W4492,0)),1,0))</f>
        <v/>
      </c>
      <c r="AA4493">
        <f>IF(Z4493&gt;Z4492,Z4493,"")</f>
        <v/>
      </c>
      <c r="AB4493">
        <f>AB4492+IF(X4493="",0,IF(ISNA(MATCH(X4493,X$256:X4492,0)),1,0))</f>
        <v/>
      </c>
      <c r="AC4493">
        <f>IF(AB4493&gt;AB4492,AB4493,"")</f>
        <v/>
      </c>
    </row>
    <row r="4494">
      <c r="W4494" s="7" t="n"/>
      <c r="X4494" s="7" t="n"/>
      <c r="Z4494">
        <f>Z4493+IF(W4494="",0,IF(ISNA(MATCH(W4494,W$256:W4493,0)),1,0))</f>
        <v/>
      </c>
      <c r="AA4494">
        <f>IF(Z4494&gt;Z4493,Z4494,"")</f>
        <v/>
      </c>
      <c r="AB4494">
        <f>AB4493+IF(X4494="",0,IF(ISNA(MATCH(X4494,X$256:X4493,0)),1,0))</f>
        <v/>
      </c>
      <c r="AC4494">
        <f>IF(AB4494&gt;AB4493,AB4494,"")</f>
        <v/>
      </c>
    </row>
    <row r="4495">
      <c r="W4495" s="7" t="n"/>
      <c r="X4495" s="7" t="n"/>
      <c r="Z4495">
        <f>Z4494+IF(W4495="",0,IF(ISNA(MATCH(W4495,W$256:W4494,0)),1,0))</f>
        <v/>
      </c>
      <c r="AA4495">
        <f>IF(Z4495&gt;Z4494,Z4495,"")</f>
        <v/>
      </c>
      <c r="AB4495">
        <f>AB4494+IF(X4495="",0,IF(ISNA(MATCH(X4495,X$256:X4494,0)),1,0))</f>
        <v/>
      </c>
      <c r="AC4495">
        <f>IF(AB4495&gt;AB4494,AB4495,"")</f>
        <v/>
      </c>
    </row>
    <row r="4496">
      <c r="W4496" s="7" t="n"/>
      <c r="X4496" s="7" t="n"/>
      <c r="Z4496">
        <f>Z4495+IF(W4496="",0,IF(ISNA(MATCH(W4496,W$256:W4495,0)),1,0))</f>
        <v/>
      </c>
      <c r="AA4496">
        <f>IF(Z4496&gt;Z4495,Z4496,"")</f>
        <v/>
      </c>
      <c r="AB4496">
        <f>AB4495+IF(X4496="",0,IF(ISNA(MATCH(X4496,X$256:X4495,0)),1,0))</f>
        <v/>
      </c>
      <c r="AC4496">
        <f>IF(AB4496&gt;AB4495,AB4496,"")</f>
        <v/>
      </c>
    </row>
    <row r="4497">
      <c r="W4497" s="7" t="n"/>
      <c r="X4497" s="7" t="n"/>
      <c r="Z4497">
        <f>Z4496+IF(W4497="",0,IF(ISNA(MATCH(W4497,W$256:W4496,0)),1,0))</f>
        <v/>
      </c>
      <c r="AA4497">
        <f>IF(Z4497&gt;Z4496,Z4497,"")</f>
        <v/>
      </c>
      <c r="AB4497">
        <f>AB4496+IF(X4497="",0,IF(ISNA(MATCH(X4497,X$256:X4496,0)),1,0))</f>
        <v/>
      </c>
      <c r="AC4497">
        <f>IF(AB4497&gt;AB4496,AB4497,"")</f>
        <v/>
      </c>
    </row>
    <row r="4498">
      <c r="W4498" s="7" t="n"/>
      <c r="X4498" s="7" t="n"/>
      <c r="Z4498">
        <f>Z4497+IF(W4498="",0,IF(ISNA(MATCH(W4498,W$256:W4497,0)),1,0))</f>
        <v/>
      </c>
      <c r="AA4498">
        <f>IF(Z4498&gt;Z4497,Z4498,"")</f>
        <v/>
      </c>
      <c r="AB4498">
        <f>AB4497+IF(X4498="",0,IF(ISNA(MATCH(X4498,X$256:X4497,0)),1,0))</f>
        <v/>
      </c>
      <c r="AC4498">
        <f>IF(AB4498&gt;AB4497,AB4498,"")</f>
        <v/>
      </c>
    </row>
    <row r="4499">
      <c r="W4499" s="7" t="n"/>
      <c r="X4499" s="7" t="n"/>
      <c r="Z4499">
        <f>Z4498+IF(W4499="",0,IF(ISNA(MATCH(W4499,W$256:W4498,0)),1,0))</f>
        <v/>
      </c>
      <c r="AA4499">
        <f>IF(Z4499&gt;Z4498,Z4499,"")</f>
        <v/>
      </c>
      <c r="AB4499">
        <f>AB4498+IF(X4499="",0,IF(ISNA(MATCH(X4499,X$256:X4498,0)),1,0))</f>
        <v/>
      </c>
      <c r="AC4499">
        <f>IF(AB4499&gt;AB4498,AB4499,"")</f>
        <v/>
      </c>
    </row>
    <row r="4500">
      <c r="W4500" s="7" t="n"/>
      <c r="X4500" s="7" t="n"/>
      <c r="Z4500">
        <f>Z4499+IF(W4500="",0,IF(ISNA(MATCH(W4500,W$256:W4499,0)),1,0))</f>
        <v/>
      </c>
      <c r="AA4500">
        <f>IF(Z4500&gt;Z4499,Z4500,"")</f>
        <v/>
      </c>
      <c r="AB4500">
        <f>AB4499+IF(X4500="",0,IF(ISNA(MATCH(X4500,X$256:X4499,0)),1,0))</f>
        <v/>
      </c>
      <c r="AC4500">
        <f>IF(AB4500&gt;AB4499,AB4500,"")</f>
        <v/>
      </c>
    </row>
    <row r="4501">
      <c r="W4501" s="7" t="n"/>
      <c r="X4501" s="7" t="n"/>
      <c r="Z4501">
        <f>Z4500+IF(W4501="",0,IF(ISNA(MATCH(W4501,W$256:W4500,0)),1,0))</f>
        <v/>
      </c>
      <c r="AA4501">
        <f>IF(Z4501&gt;Z4500,Z4501,"")</f>
        <v/>
      </c>
      <c r="AB4501">
        <f>AB4500+IF(X4501="",0,IF(ISNA(MATCH(X4501,X$256:X4500,0)),1,0))</f>
        <v/>
      </c>
      <c r="AC4501">
        <f>IF(AB4501&gt;AB4500,AB4501,"")</f>
        <v/>
      </c>
    </row>
    <row r="4502">
      <c r="W4502" s="7" t="n"/>
      <c r="X4502" s="7" t="n"/>
      <c r="Z4502">
        <f>Z4501+IF(W4502="",0,IF(ISNA(MATCH(W4502,W$256:W4501,0)),1,0))</f>
        <v/>
      </c>
      <c r="AA4502">
        <f>IF(Z4502&gt;Z4501,Z4502,"")</f>
        <v/>
      </c>
      <c r="AB4502">
        <f>AB4501+IF(X4502="",0,IF(ISNA(MATCH(X4502,X$256:X4501,0)),1,0))</f>
        <v/>
      </c>
      <c r="AC4502">
        <f>IF(AB4502&gt;AB4501,AB4502,"")</f>
        <v/>
      </c>
    </row>
    <row r="4503">
      <c r="W4503" s="7" t="n"/>
      <c r="X4503" s="7" t="n"/>
      <c r="Z4503">
        <f>Z4502+IF(W4503="",0,IF(ISNA(MATCH(W4503,W$256:W4502,0)),1,0))</f>
        <v/>
      </c>
      <c r="AA4503">
        <f>IF(Z4503&gt;Z4502,Z4503,"")</f>
        <v/>
      </c>
      <c r="AB4503">
        <f>AB4502+IF(X4503="",0,IF(ISNA(MATCH(X4503,X$256:X4502,0)),1,0))</f>
        <v/>
      </c>
      <c r="AC4503">
        <f>IF(AB4503&gt;AB4502,AB4503,"")</f>
        <v/>
      </c>
    </row>
    <row r="4504">
      <c r="W4504" s="7" t="n"/>
      <c r="X4504" s="7" t="n"/>
      <c r="Z4504">
        <f>Z4503+IF(W4504="",0,IF(ISNA(MATCH(W4504,W$256:W4503,0)),1,0))</f>
        <v/>
      </c>
      <c r="AA4504">
        <f>IF(Z4504&gt;Z4503,Z4504,"")</f>
        <v/>
      </c>
      <c r="AB4504">
        <f>AB4503+IF(X4504="",0,IF(ISNA(MATCH(X4504,X$256:X4503,0)),1,0))</f>
        <v/>
      </c>
      <c r="AC4504">
        <f>IF(AB4504&gt;AB4503,AB4504,"")</f>
        <v/>
      </c>
    </row>
    <row r="4505">
      <c r="W4505" s="7" t="n"/>
      <c r="X4505" s="7" t="n"/>
      <c r="Z4505">
        <f>Z4504+IF(W4505="",0,IF(ISNA(MATCH(W4505,W$256:W4504,0)),1,0))</f>
        <v/>
      </c>
      <c r="AA4505">
        <f>IF(Z4505&gt;Z4504,Z4505,"")</f>
        <v/>
      </c>
      <c r="AB4505">
        <f>AB4504+IF(X4505="",0,IF(ISNA(MATCH(X4505,X$256:X4504,0)),1,0))</f>
        <v/>
      </c>
      <c r="AC4505">
        <f>IF(AB4505&gt;AB4504,AB4505,"")</f>
        <v/>
      </c>
    </row>
    <row r="4506">
      <c r="W4506" s="7" t="n"/>
      <c r="X4506" s="7" t="n"/>
      <c r="Z4506">
        <f>Z4505+IF(W4506="",0,IF(ISNA(MATCH(W4506,W$256:W4505,0)),1,0))</f>
        <v/>
      </c>
      <c r="AA4506">
        <f>IF(Z4506&gt;Z4505,Z4506,"")</f>
        <v/>
      </c>
      <c r="AB4506">
        <f>AB4505+IF(X4506="",0,IF(ISNA(MATCH(X4506,X$256:X4505,0)),1,0))</f>
        <v/>
      </c>
      <c r="AC4506">
        <f>IF(AB4506&gt;AB4505,AB4506,"")</f>
        <v/>
      </c>
    </row>
    <row r="4507">
      <c r="W4507" s="7" t="n"/>
      <c r="X4507" s="7" t="n"/>
      <c r="Z4507">
        <f>Z4506+IF(W4507="",0,IF(ISNA(MATCH(W4507,W$256:W4506,0)),1,0))</f>
        <v/>
      </c>
      <c r="AA4507">
        <f>IF(Z4507&gt;Z4506,Z4507,"")</f>
        <v/>
      </c>
      <c r="AB4507">
        <f>AB4506+IF(X4507="",0,IF(ISNA(MATCH(X4507,X$256:X4506,0)),1,0))</f>
        <v/>
      </c>
      <c r="AC4507">
        <f>IF(AB4507&gt;AB4506,AB4507,"")</f>
        <v/>
      </c>
    </row>
    <row r="4508">
      <c r="W4508" s="7" t="n"/>
      <c r="X4508" s="7" t="n"/>
      <c r="Z4508">
        <f>Z4507+IF(W4508="",0,IF(ISNA(MATCH(W4508,W$256:W4507,0)),1,0))</f>
        <v/>
      </c>
      <c r="AA4508">
        <f>IF(Z4508&gt;Z4507,Z4508,"")</f>
        <v/>
      </c>
      <c r="AB4508">
        <f>AB4507+IF(X4508="",0,IF(ISNA(MATCH(X4508,X$256:X4507,0)),1,0))</f>
        <v/>
      </c>
      <c r="AC4508">
        <f>IF(AB4508&gt;AB4507,AB4508,"")</f>
        <v/>
      </c>
    </row>
    <row r="4509">
      <c r="W4509" s="7" t="n"/>
      <c r="X4509" s="7" t="n"/>
      <c r="Z4509">
        <f>Z4508+IF(W4509="",0,IF(ISNA(MATCH(W4509,W$256:W4508,0)),1,0))</f>
        <v/>
      </c>
      <c r="AA4509">
        <f>IF(Z4509&gt;Z4508,Z4509,"")</f>
        <v/>
      </c>
      <c r="AB4509">
        <f>AB4508+IF(X4509="",0,IF(ISNA(MATCH(X4509,X$256:X4508,0)),1,0))</f>
        <v/>
      </c>
      <c r="AC4509">
        <f>IF(AB4509&gt;AB4508,AB4509,"")</f>
        <v/>
      </c>
    </row>
    <row r="4510">
      <c r="W4510" s="7" t="n"/>
      <c r="X4510" s="7" t="n"/>
      <c r="Z4510">
        <f>Z4509+IF(W4510="",0,IF(ISNA(MATCH(W4510,W$256:W4509,0)),1,0))</f>
        <v/>
      </c>
      <c r="AA4510">
        <f>IF(Z4510&gt;Z4509,Z4510,"")</f>
        <v/>
      </c>
      <c r="AB4510">
        <f>AB4509+IF(X4510="",0,IF(ISNA(MATCH(X4510,X$256:X4509,0)),1,0))</f>
        <v/>
      </c>
      <c r="AC4510">
        <f>IF(AB4510&gt;AB4509,AB4510,"")</f>
        <v/>
      </c>
    </row>
    <row r="4511">
      <c r="W4511" s="7" t="n"/>
      <c r="X4511" s="7" t="n"/>
      <c r="Z4511">
        <f>Z4510+IF(W4511="",0,IF(ISNA(MATCH(W4511,W$256:W4510,0)),1,0))</f>
        <v/>
      </c>
      <c r="AA4511">
        <f>IF(Z4511&gt;Z4510,Z4511,"")</f>
        <v/>
      </c>
      <c r="AB4511">
        <f>AB4510+IF(X4511="",0,IF(ISNA(MATCH(X4511,X$256:X4510,0)),1,0))</f>
        <v/>
      </c>
      <c r="AC4511">
        <f>IF(AB4511&gt;AB4510,AB4511,"")</f>
        <v/>
      </c>
    </row>
    <row r="4512">
      <c r="W4512" s="7" t="n"/>
      <c r="X4512" s="7" t="n"/>
      <c r="Z4512">
        <f>Z4511+IF(W4512="",0,IF(ISNA(MATCH(W4512,W$256:W4511,0)),1,0))</f>
        <v/>
      </c>
      <c r="AA4512">
        <f>IF(Z4512&gt;Z4511,Z4512,"")</f>
        <v/>
      </c>
      <c r="AB4512">
        <f>AB4511+IF(X4512="",0,IF(ISNA(MATCH(X4512,X$256:X4511,0)),1,0))</f>
        <v/>
      </c>
      <c r="AC4512">
        <f>IF(AB4512&gt;AB4511,AB4512,"")</f>
        <v/>
      </c>
    </row>
    <row r="4513">
      <c r="W4513" s="7" t="n"/>
      <c r="X4513" s="7" t="n"/>
      <c r="Z4513">
        <f>Z4512+IF(W4513="",0,IF(ISNA(MATCH(W4513,W$256:W4512,0)),1,0))</f>
        <v/>
      </c>
      <c r="AA4513">
        <f>IF(Z4513&gt;Z4512,Z4513,"")</f>
        <v/>
      </c>
      <c r="AB4513">
        <f>AB4512+IF(X4513="",0,IF(ISNA(MATCH(X4513,X$256:X4512,0)),1,0))</f>
        <v/>
      </c>
      <c r="AC4513">
        <f>IF(AB4513&gt;AB4512,AB4513,"")</f>
        <v/>
      </c>
    </row>
    <row r="4514">
      <c r="W4514" s="7" t="n"/>
      <c r="X4514" s="7" t="n"/>
      <c r="Z4514">
        <f>Z4513+IF(W4514="",0,IF(ISNA(MATCH(W4514,W$256:W4513,0)),1,0))</f>
        <v/>
      </c>
      <c r="AA4514">
        <f>IF(Z4514&gt;Z4513,Z4514,"")</f>
        <v/>
      </c>
      <c r="AB4514">
        <f>AB4513+IF(X4514="",0,IF(ISNA(MATCH(X4514,X$256:X4513,0)),1,0))</f>
        <v/>
      </c>
      <c r="AC4514">
        <f>IF(AB4514&gt;AB4513,AB4514,"")</f>
        <v/>
      </c>
    </row>
    <row r="4515">
      <c r="W4515" s="7" t="n"/>
      <c r="X4515" s="7" t="n"/>
      <c r="Z4515">
        <f>Z4514+IF(W4515="",0,IF(ISNA(MATCH(W4515,W$256:W4514,0)),1,0))</f>
        <v/>
      </c>
      <c r="AA4515">
        <f>IF(Z4515&gt;Z4514,Z4515,"")</f>
        <v/>
      </c>
      <c r="AB4515">
        <f>AB4514+IF(X4515="",0,IF(ISNA(MATCH(X4515,X$256:X4514,0)),1,0))</f>
        <v/>
      </c>
      <c r="AC4515">
        <f>IF(AB4515&gt;AB4514,AB4515,"")</f>
        <v/>
      </c>
    </row>
    <row r="4516">
      <c r="W4516" s="7" t="n"/>
      <c r="X4516" s="7" t="n"/>
      <c r="Z4516">
        <f>Z4515+IF(W4516="",0,IF(ISNA(MATCH(W4516,W$256:W4515,0)),1,0))</f>
        <v/>
      </c>
      <c r="AA4516">
        <f>IF(Z4516&gt;Z4515,Z4516,"")</f>
        <v/>
      </c>
      <c r="AB4516">
        <f>AB4515+IF(X4516="",0,IF(ISNA(MATCH(X4516,X$256:X4515,0)),1,0))</f>
        <v/>
      </c>
      <c r="AC4516">
        <f>IF(AB4516&gt;AB4515,AB4516,"")</f>
        <v/>
      </c>
    </row>
    <row r="4517">
      <c r="W4517" s="7" t="n"/>
      <c r="X4517" s="7" t="n"/>
      <c r="Z4517">
        <f>Z4516+IF(W4517="",0,IF(ISNA(MATCH(W4517,W$256:W4516,0)),1,0))</f>
        <v/>
      </c>
      <c r="AA4517">
        <f>IF(Z4517&gt;Z4516,Z4517,"")</f>
        <v/>
      </c>
      <c r="AB4517">
        <f>AB4516+IF(X4517="",0,IF(ISNA(MATCH(X4517,X$256:X4516,0)),1,0))</f>
        <v/>
      </c>
      <c r="AC4517">
        <f>IF(AB4517&gt;AB4516,AB4517,"")</f>
        <v/>
      </c>
    </row>
    <row r="4518">
      <c r="W4518" s="7" t="n"/>
      <c r="X4518" s="7" t="n"/>
      <c r="Z4518">
        <f>Z4517+IF(W4518="",0,IF(ISNA(MATCH(W4518,W$256:W4517,0)),1,0))</f>
        <v/>
      </c>
      <c r="AA4518">
        <f>IF(Z4518&gt;Z4517,Z4518,"")</f>
        <v/>
      </c>
      <c r="AB4518">
        <f>AB4517+IF(X4518="",0,IF(ISNA(MATCH(X4518,X$256:X4517,0)),1,0))</f>
        <v/>
      </c>
      <c r="AC4518">
        <f>IF(AB4518&gt;AB4517,AB4518,"")</f>
        <v/>
      </c>
    </row>
    <row r="4519">
      <c r="W4519" s="7" t="n"/>
      <c r="X4519" s="7" t="n"/>
      <c r="Z4519">
        <f>Z4518+IF(W4519="",0,IF(ISNA(MATCH(W4519,W$256:W4518,0)),1,0))</f>
        <v/>
      </c>
      <c r="AA4519">
        <f>IF(Z4519&gt;Z4518,Z4519,"")</f>
        <v/>
      </c>
      <c r="AB4519">
        <f>AB4518+IF(X4519="",0,IF(ISNA(MATCH(X4519,X$256:X4518,0)),1,0))</f>
        <v/>
      </c>
      <c r="AC4519">
        <f>IF(AB4519&gt;AB4518,AB4519,"")</f>
        <v/>
      </c>
    </row>
    <row r="4520">
      <c r="W4520" s="7" t="n"/>
      <c r="X4520" s="7" t="n"/>
      <c r="Z4520">
        <f>Z4519+IF(W4520="",0,IF(ISNA(MATCH(W4520,W$256:W4519,0)),1,0))</f>
        <v/>
      </c>
      <c r="AA4520">
        <f>IF(Z4520&gt;Z4519,Z4520,"")</f>
        <v/>
      </c>
      <c r="AB4520">
        <f>AB4519+IF(X4520="",0,IF(ISNA(MATCH(X4520,X$256:X4519,0)),1,0))</f>
        <v/>
      </c>
      <c r="AC4520">
        <f>IF(AB4520&gt;AB4519,AB4520,"")</f>
        <v/>
      </c>
    </row>
    <row r="4521">
      <c r="W4521" s="7" t="n"/>
      <c r="X4521" s="7" t="n"/>
      <c r="Z4521">
        <f>Z4520+IF(W4521="",0,IF(ISNA(MATCH(W4521,W$256:W4520,0)),1,0))</f>
        <v/>
      </c>
      <c r="AA4521">
        <f>IF(Z4521&gt;Z4520,Z4521,"")</f>
        <v/>
      </c>
      <c r="AB4521">
        <f>AB4520+IF(X4521="",0,IF(ISNA(MATCH(X4521,X$256:X4520,0)),1,0))</f>
        <v/>
      </c>
      <c r="AC4521">
        <f>IF(AB4521&gt;AB4520,AB4521,"")</f>
        <v/>
      </c>
    </row>
    <row r="4522">
      <c r="W4522" s="7" t="n"/>
      <c r="X4522" s="7" t="n"/>
      <c r="Z4522">
        <f>Z4521+IF(W4522="",0,IF(ISNA(MATCH(W4522,W$256:W4521,0)),1,0))</f>
        <v/>
      </c>
      <c r="AA4522">
        <f>IF(Z4522&gt;Z4521,Z4522,"")</f>
        <v/>
      </c>
      <c r="AB4522">
        <f>AB4521+IF(X4522="",0,IF(ISNA(MATCH(X4522,X$256:X4521,0)),1,0))</f>
        <v/>
      </c>
      <c r="AC4522">
        <f>IF(AB4522&gt;AB4521,AB4522,"")</f>
        <v/>
      </c>
    </row>
    <row r="4523">
      <c r="W4523" s="7" t="n"/>
      <c r="X4523" s="7" t="n"/>
      <c r="Z4523">
        <f>Z4522+IF(W4523="",0,IF(ISNA(MATCH(W4523,W$256:W4522,0)),1,0))</f>
        <v/>
      </c>
      <c r="AA4523">
        <f>IF(Z4523&gt;Z4522,Z4523,"")</f>
        <v/>
      </c>
      <c r="AB4523">
        <f>AB4522+IF(X4523="",0,IF(ISNA(MATCH(X4523,X$256:X4522,0)),1,0))</f>
        <v/>
      </c>
      <c r="AC4523">
        <f>IF(AB4523&gt;AB4522,AB4523,"")</f>
        <v/>
      </c>
    </row>
    <row r="4524">
      <c r="W4524" s="7" t="n"/>
      <c r="X4524" s="7" t="n"/>
      <c r="Z4524">
        <f>Z4523+IF(W4524="",0,IF(ISNA(MATCH(W4524,W$256:W4523,0)),1,0))</f>
        <v/>
      </c>
      <c r="AA4524">
        <f>IF(Z4524&gt;Z4523,Z4524,"")</f>
        <v/>
      </c>
      <c r="AB4524">
        <f>AB4523+IF(X4524="",0,IF(ISNA(MATCH(X4524,X$256:X4523,0)),1,0))</f>
        <v/>
      </c>
      <c r="AC4524">
        <f>IF(AB4524&gt;AB4523,AB4524,"")</f>
        <v/>
      </c>
    </row>
    <row r="4525">
      <c r="W4525" s="7" t="n"/>
      <c r="X4525" s="7" t="n"/>
      <c r="Z4525">
        <f>Z4524+IF(W4525="",0,IF(ISNA(MATCH(W4525,W$256:W4524,0)),1,0))</f>
        <v/>
      </c>
      <c r="AA4525">
        <f>IF(Z4525&gt;Z4524,Z4525,"")</f>
        <v/>
      </c>
      <c r="AB4525">
        <f>AB4524+IF(X4525="",0,IF(ISNA(MATCH(X4525,X$256:X4524,0)),1,0))</f>
        <v/>
      </c>
      <c r="AC4525">
        <f>IF(AB4525&gt;AB4524,AB4525,"")</f>
        <v/>
      </c>
    </row>
    <row r="4526">
      <c r="W4526" s="7" t="n"/>
      <c r="X4526" s="7" t="n"/>
      <c r="Z4526">
        <f>Z4525+IF(W4526="",0,IF(ISNA(MATCH(W4526,W$256:W4525,0)),1,0))</f>
        <v/>
      </c>
      <c r="AA4526">
        <f>IF(Z4526&gt;Z4525,Z4526,"")</f>
        <v/>
      </c>
      <c r="AB4526">
        <f>AB4525+IF(X4526="",0,IF(ISNA(MATCH(X4526,X$256:X4525,0)),1,0))</f>
        <v/>
      </c>
      <c r="AC4526">
        <f>IF(AB4526&gt;AB4525,AB4526,"")</f>
        <v/>
      </c>
    </row>
    <row r="4527">
      <c r="W4527" s="7" t="n"/>
      <c r="X4527" s="7" t="n"/>
      <c r="Z4527">
        <f>Z4526+IF(W4527="",0,IF(ISNA(MATCH(W4527,W$256:W4526,0)),1,0))</f>
        <v/>
      </c>
      <c r="AA4527">
        <f>IF(Z4527&gt;Z4526,Z4527,"")</f>
        <v/>
      </c>
      <c r="AB4527">
        <f>AB4526+IF(X4527="",0,IF(ISNA(MATCH(X4527,X$256:X4526,0)),1,0))</f>
        <v/>
      </c>
      <c r="AC4527">
        <f>IF(AB4527&gt;AB4526,AB4527,"")</f>
        <v/>
      </c>
    </row>
    <row r="4528">
      <c r="W4528" s="7" t="n"/>
      <c r="X4528" s="7" t="n"/>
      <c r="Z4528">
        <f>Z4527+IF(W4528="",0,IF(ISNA(MATCH(W4528,W$256:W4527,0)),1,0))</f>
        <v/>
      </c>
      <c r="AA4528">
        <f>IF(Z4528&gt;Z4527,Z4528,"")</f>
        <v/>
      </c>
      <c r="AB4528">
        <f>AB4527+IF(X4528="",0,IF(ISNA(MATCH(X4528,X$256:X4527,0)),1,0))</f>
        <v/>
      </c>
      <c r="AC4528">
        <f>IF(AB4528&gt;AB4527,AB4528,"")</f>
        <v/>
      </c>
    </row>
    <row r="4529">
      <c r="W4529" s="7" t="n"/>
      <c r="X4529" s="7" t="n"/>
      <c r="Z4529">
        <f>Z4528+IF(W4529="",0,IF(ISNA(MATCH(W4529,W$256:W4528,0)),1,0))</f>
        <v/>
      </c>
      <c r="AA4529">
        <f>IF(Z4529&gt;Z4528,Z4529,"")</f>
        <v/>
      </c>
      <c r="AB4529">
        <f>AB4528+IF(X4529="",0,IF(ISNA(MATCH(X4529,X$256:X4528,0)),1,0))</f>
        <v/>
      </c>
      <c r="AC4529">
        <f>IF(AB4529&gt;AB4528,AB4529,"")</f>
        <v/>
      </c>
    </row>
    <row r="4530">
      <c r="W4530" s="7" t="n"/>
      <c r="X4530" s="7" t="n"/>
      <c r="Z4530">
        <f>Z4529+IF(W4530="",0,IF(ISNA(MATCH(W4530,W$256:W4529,0)),1,0))</f>
        <v/>
      </c>
      <c r="AA4530">
        <f>IF(Z4530&gt;Z4529,Z4530,"")</f>
        <v/>
      </c>
      <c r="AB4530">
        <f>AB4529+IF(X4530="",0,IF(ISNA(MATCH(X4530,X$256:X4529,0)),1,0))</f>
        <v/>
      </c>
      <c r="AC4530">
        <f>IF(AB4530&gt;AB4529,AB4530,"")</f>
        <v/>
      </c>
    </row>
    <row r="4531">
      <c r="W4531" s="7" t="n"/>
      <c r="X4531" s="7" t="n"/>
      <c r="Z4531">
        <f>Z4530+IF(W4531="",0,IF(ISNA(MATCH(W4531,W$256:W4530,0)),1,0))</f>
        <v/>
      </c>
      <c r="AA4531">
        <f>IF(Z4531&gt;Z4530,Z4531,"")</f>
        <v/>
      </c>
      <c r="AB4531">
        <f>AB4530+IF(X4531="",0,IF(ISNA(MATCH(X4531,X$256:X4530,0)),1,0))</f>
        <v/>
      </c>
      <c r="AC4531">
        <f>IF(AB4531&gt;AB4530,AB4531,"")</f>
        <v/>
      </c>
    </row>
    <row r="4532">
      <c r="W4532" s="7" t="n"/>
      <c r="X4532" s="7" t="n"/>
      <c r="Z4532">
        <f>Z4531+IF(W4532="",0,IF(ISNA(MATCH(W4532,W$256:W4531,0)),1,0))</f>
        <v/>
      </c>
      <c r="AA4532">
        <f>IF(Z4532&gt;Z4531,Z4532,"")</f>
        <v/>
      </c>
      <c r="AB4532">
        <f>AB4531+IF(X4532="",0,IF(ISNA(MATCH(X4532,X$256:X4531,0)),1,0))</f>
        <v/>
      </c>
      <c r="AC4532">
        <f>IF(AB4532&gt;AB4531,AB4532,"")</f>
        <v/>
      </c>
    </row>
    <row r="4533">
      <c r="W4533" s="7" t="n"/>
      <c r="X4533" s="7" t="n"/>
      <c r="Z4533">
        <f>Z4532+IF(W4533="",0,IF(ISNA(MATCH(W4533,W$256:W4532,0)),1,0))</f>
        <v/>
      </c>
      <c r="AA4533">
        <f>IF(Z4533&gt;Z4532,Z4533,"")</f>
        <v/>
      </c>
      <c r="AB4533">
        <f>AB4532+IF(X4533="",0,IF(ISNA(MATCH(X4533,X$256:X4532,0)),1,0))</f>
        <v/>
      </c>
      <c r="AC4533">
        <f>IF(AB4533&gt;AB4532,AB4533,"")</f>
        <v/>
      </c>
    </row>
    <row r="4534">
      <c r="W4534" s="7" t="n"/>
      <c r="X4534" s="7" t="n"/>
      <c r="Z4534">
        <f>Z4533+IF(W4534="",0,IF(ISNA(MATCH(W4534,W$256:W4533,0)),1,0))</f>
        <v/>
      </c>
      <c r="AA4534">
        <f>IF(Z4534&gt;Z4533,Z4534,"")</f>
        <v/>
      </c>
      <c r="AB4534">
        <f>AB4533+IF(X4534="",0,IF(ISNA(MATCH(X4534,X$256:X4533,0)),1,0))</f>
        <v/>
      </c>
      <c r="AC4534">
        <f>IF(AB4534&gt;AB4533,AB4534,"")</f>
        <v/>
      </c>
    </row>
    <row r="4535">
      <c r="W4535" s="7" t="n"/>
      <c r="X4535" s="7" t="n"/>
      <c r="Z4535">
        <f>Z4534+IF(W4535="",0,IF(ISNA(MATCH(W4535,W$256:W4534,0)),1,0))</f>
        <v/>
      </c>
      <c r="AA4535">
        <f>IF(Z4535&gt;Z4534,Z4535,"")</f>
        <v/>
      </c>
      <c r="AB4535">
        <f>AB4534+IF(X4535="",0,IF(ISNA(MATCH(X4535,X$256:X4534,0)),1,0))</f>
        <v/>
      </c>
      <c r="AC4535">
        <f>IF(AB4535&gt;AB4534,AB4535,"")</f>
        <v/>
      </c>
    </row>
    <row r="4536">
      <c r="W4536" s="7" t="n"/>
      <c r="X4536" s="7" t="n"/>
      <c r="Z4536">
        <f>Z4535+IF(W4536="",0,IF(ISNA(MATCH(W4536,W$256:W4535,0)),1,0))</f>
        <v/>
      </c>
      <c r="AA4536">
        <f>IF(Z4536&gt;Z4535,Z4536,"")</f>
        <v/>
      </c>
      <c r="AB4536">
        <f>AB4535+IF(X4536="",0,IF(ISNA(MATCH(X4536,X$256:X4535,0)),1,0))</f>
        <v/>
      </c>
      <c r="AC4536">
        <f>IF(AB4536&gt;AB4535,AB4536,"")</f>
        <v/>
      </c>
    </row>
    <row r="4537">
      <c r="W4537" s="7" t="n"/>
      <c r="X4537" s="7" t="n"/>
      <c r="Z4537">
        <f>Z4536+IF(W4537="",0,IF(ISNA(MATCH(W4537,W$256:W4536,0)),1,0))</f>
        <v/>
      </c>
      <c r="AA4537">
        <f>IF(Z4537&gt;Z4536,Z4537,"")</f>
        <v/>
      </c>
      <c r="AB4537">
        <f>AB4536+IF(X4537="",0,IF(ISNA(MATCH(X4537,X$256:X4536,0)),1,0))</f>
        <v/>
      </c>
      <c r="AC4537">
        <f>IF(AB4537&gt;AB4536,AB4537,"")</f>
        <v/>
      </c>
    </row>
    <row r="4538">
      <c r="W4538" s="7" t="n"/>
      <c r="X4538" s="7" t="n"/>
      <c r="Z4538">
        <f>Z4537+IF(W4538="",0,IF(ISNA(MATCH(W4538,W$256:W4537,0)),1,0))</f>
        <v/>
      </c>
      <c r="AA4538">
        <f>IF(Z4538&gt;Z4537,Z4538,"")</f>
        <v/>
      </c>
      <c r="AB4538">
        <f>AB4537+IF(X4538="",0,IF(ISNA(MATCH(X4538,X$256:X4537,0)),1,0))</f>
        <v/>
      </c>
      <c r="AC4538">
        <f>IF(AB4538&gt;AB4537,AB4538,"")</f>
        <v/>
      </c>
    </row>
    <row r="4539">
      <c r="W4539" s="7" t="n"/>
      <c r="X4539" s="7" t="n"/>
      <c r="Z4539">
        <f>Z4538+IF(W4539="",0,IF(ISNA(MATCH(W4539,W$256:W4538,0)),1,0))</f>
        <v/>
      </c>
      <c r="AA4539">
        <f>IF(Z4539&gt;Z4538,Z4539,"")</f>
        <v/>
      </c>
      <c r="AB4539">
        <f>AB4538+IF(X4539="",0,IF(ISNA(MATCH(X4539,X$256:X4538,0)),1,0))</f>
        <v/>
      </c>
      <c r="AC4539">
        <f>IF(AB4539&gt;AB4538,AB4539,"")</f>
        <v/>
      </c>
    </row>
    <row r="4540">
      <c r="W4540" s="7" t="n"/>
      <c r="X4540" s="7" t="n"/>
      <c r="Z4540">
        <f>Z4539+IF(W4540="",0,IF(ISNA(MATCH(W4540,W$256:W4539,0)),1,0))</f>
        <v/>
      </c>
      <c r="AA4540">
        <f>IF(Z4540&gt;Z4539,Z4540,"")</f>
        <v/>
      </c>
      <c r="AB4540">
        <f>AB4539+IF(X4540="",0,IF(ISNA(MATCH(X4540,X$256:X4539,0)),1,0))</f>
        <v/>
      </c>
      <c r="AC4540">
        <f>IF(AB4540&gt;AB4539,AB4540,"")</f>
        <v/>
      </c>
    </row>
    <row r="4541">
      <c r="W4541" s="7" t="n"/>
      <c r="X4541" s="7" t="n"/>
      <c r="Z4541">
        <f>Z4540+IF(W4541="",0,IF(ISNA(MATCH(W4541,W$256:W4540,0)),1,0))</f>
        <v/>
      </c>
      <c r="AA4541">
        <f>IF(Z4541&gt;Z4540,Z4541,"")</f>
        <v/>
      </c>
      <c r="AB4541">
        <f>AB4540+IF(X4541="",0,IF(ISNA(MATCH(X4541,X$256:X4540,0)),1,0))</f>
        <v/>
      </c>
      <c r="AC4541">
        <f>IF(AB4541&gt;AB4540,AB4541,"")</f>
        <v/>
      </c>
    </row>
    <row r="4542">
      <c r="W4542" s="7" t="n"/>
      <c r="X4542" s="7" t="n"/>
      <c r="Z4542">
        <f>Z4541+IF(W4542="",0,IF(ISNA(MATCH(W4542,W$256:W4541,0)),1,0))</f>
        <v/>
      </c>
      <c r="AA4542">
        <f>IF(Z4542&gt;Z4541,Z4542,"")</f>
        <v/>
      </c>
      <c r="AB4542">
        <f>AB4541+IF(X4542="",0,IF(ISNA(MATCH(X4542,X$256:X4541,0)),1,0))</f>
        <v/>
      </c>
      <c r="AC4542">
        <f>IF(AB4542&gt;AB4541,AB4542,"")</f>
        <v/>
      </c>
    </row>
    <row r="4543">
      <c r="W4543" s="7" t="n"/>
      <c r="X4543" s="7" t="n"/>
      <c r="Z4543">
        <f>Z4542+IF(W4543="",0,IF(ISNA(MATCH(W4543,W$256:W4542,0)),1,0))</f>
        <v/>
      </c>
      <c r="AA4543">
        <f>IF(Z4543&gt;Z4542,Z4543,"")</f>
        <v/>
      </c>
      <c r="AB4543">
        <f>AB4542+IF(X4543="",0,IF(ISNA(MATCH(X4543,X$256:X4542,0)),1,0))</f>
        <v/>
      </c>
      <c r="AC4543">
        <f>IF(AB4543&gt;AB4542,AB4543,"")</f>
        <v/>
      </c>
    </row>
    <row r="4544">
      <c r="W4544" s="7" t="n"/>
      <c r="X4544" s="7" t="n"/>
      <c r="Z4544">
        <f>Z4543+IF(W4544="",0,IF(ISNA(MATCH(W4544,W$256:W4543,0)),1,0))</f>
        <v/>
      </c>
      <c r="AA4544">
        <f>IF(Z4544&gt;Z4543,Z4544,"")</f>
        <v/>
      </c>
      <c r="AB4544">
        <f>AB4543+IF(X4544="",0,IF(ISNA(MATCH(X4544,X$256:X4543,0)),1,0))</f>
        <v/>
      </c>
      <c r="AC4544">
        <f>IF(AB4544&gt;AB4543,AB4544,"")</f>
        <v/>
      </c>
    </row>
    <row r="4545">
      <c r="W4545" s="7" t="n"/>
      <c r="X4545" s="7" t="n"/>
      <c r="Z4545">
        <f>Z4544+IF(W4545="",0,IF(ISNA(MATCH(W4545,W$256:W4544,0)),1,0))</f>
        <v/>
      </c>
      <c r="AA4545">
        <f>IF(Z4545&gt;Z4544,Z4545,"")</f>
        <v/>
      </c>
      <c r="AB4545">
        <f>AB4544+IF(X4545="",0,IF(ISNA(MATCH(X4545,X$256:X4544,0)),1,0))</f>
        <v/>
      </c>
      <c r="AC4545">
        <f>IF(AB4545&gt;AB4544,AB4545,"")</f>
        <v/>
      </c>
    </row>
    <row r="4546">
      <c r="W4546" s="7" t="n"/>
      <c r="X4546" s="7" t="n"/>
      <c r="Z4546">
        <f>Z4545+IF(W4546="",0,IF(ISNA(MATCH(W4546,W$256:W4545,0)),1,0))</f>
        <v/>
      </c>
      <c r="AA4546">
        <f>IF(Z4546&gt;Z4545,Z4546,"")</f>
        <v/>
      </c>
      <c r="AB4546">
        <f>AB4545+IF(X4546="",0,IF(ISNA(MATCH(X4546,X$256:X4545,0)),1,0))</f>
        <v/>
      </c>
      <c r="AC4546">
        <f>IF(AB4546&gt;AB4545,AB4546,"")</f>
        <v/>
      </c>
    </row>
    <row r="4547">
      <c r="W4547" s="7" t="n"/>
      <c r="X4547" s="7" t="n"/>
      <c r="Z4547">
        <f>Z4546+IF(W4547="",0,IF(ISNA(MATCH(W4547,W$256:W4546,0)),1,0))</f>
        <v/>
      </c>
      <c r="AA4547">
        <f>IF(Z4547&gt;Z4546,Z4547,"")</f>
        <v/>
      </c>
      <c r="AB4547">
        <f>AB4546+IF(X4547="",0,IF(ISNA(MATCH(X4547,X$256:X4546,0)),1,0))</f>
        <v/>
      </c>
      <c r="AC4547">
        <f>IF(AB4547&gt;AB4546,AB4547,"")</f>
        <v/>
      </c>
    </row>
    <row r="4548">
      <c r="W4548" s="7" t="n"/>
      <c r="X4548" s="7" t="n"/>
      <c r="Z4548">
        <f>Z4547+IF(W4548="",0,IF(ISNA(MATCH(W4548,W$256:W4547,0)),1,0))</f>
        <v/>
      </c>
      <c r="AA4548">
        <f>IF(Z4548&gt;Z4547,Z4548,"")</f>
        <v/>
      </c>
      <c r="AB4548">
        <f>AB4547+IF(X4548="",0,IF(ISNA(MATCH(X4548,X$256:X4547,0)),1,0))</f>
        <v/>
      </c>
      <c r="AC4548">
        <f>IF(AB4548&gt;AB4547,AB4548,"")</f>
        <v/>
      </c>
    </row>
    <row r="4549">
      <c r="W4549" s="7" t="n"/>
      <c r="X4549" s="7" t="n"/>
      <c r="Z4549">
        <f>Z4548+IF(W4549="",0,IF(ISNA(MATCH(W4549,W$256:W4548,0)),1,0))</f>
        <v/>
      </c>
      <c r="AA4549">
        <f>IF(Z4549&gt;Z4548,Z4549,"")</f>
        <v/>
      </c>
      <c r="AB4549">
        <f>AB4548+IF(X4549="",0,IF(ISNA(MATCH(X4549,X$256:X4548,0)),1,0))</f>
        <v/>
      </c>
      <c r="AC4549">
        <f>IF(AB4549&gt;AB4548,AB4549,"")</f>
        <v/>
      </c>
    </row>
    <row r="4550">
      <c r="W4550" s="7" t="n"/>
      <c r="X4550" s="7" t="n"/>
      <c r="Z4550">
        <f>Z4549+IF(W4550="",0,IF(ISNA(MATCH(W4550,W$256:W4549,0)),1,0))</f>
        <v/>
      </c>
      <c r="AA4550">
        <f>IF(Z4550&gt;Z4549,Z4550,"")</f>
        <v/>
      </c>
      <c r="AB4550">
        <f>AB4549+IF(X4550="",0,IF(ISNA(MATCH(X4550,X$256:X4549,0)),1,0))</f>
        <v/>
      </c>
      <c r="AC4550">
        <f>IF(AB4550&gt;AB4549,AB4550,"")</f>
        <v/>
      </c>
    </row>
    <row r="4551">
      <c r="W4551" s="7" t="n"/>
      <c r="X4551" s="7" t="n"/>
      <c r="Z4551">
        <f>Z4550+IF(W4551="",0,IF(ISNA(MATCH(W4551,W$256:W4550,0)),1,0))</f>
        <v/>
      </c>
      <c r="AA4551">
        <f>IF(Z4551&gt;Z4550,Z4551,"")</f>
        <v/>
      </c>
      <c r="AB4551">
        <f>AB4550+IF(X4551="",0,IF(ISNA(MATCH(X4551,X$256:X4550,0)),1,0))</f>
        <v/>
      </c>
      <c r="AC4551">
        <f>IF(AB4551&gt;AB4550,AB4551,"")</f>
        <v/>
      </c>
    </row>
    <row r="4552">
      <c r="W4552" s="7" t="n"/>
      <c r="X4552" s="7" t="n"/>
      <c r="Z4552">
        <f>Z4551+IF(W4552="",0,IF(ISNA(MATCH(W4552,W$256:W4551,0)),1,0))</f>
        <v/>
      </c>
      <c r="AA4552">
        <f>IF(Z4552&gt;Z4551,Z4552,"")</f>
        <v/>
      </c>
      <c r="AB4552">
        <f>AB4551+IF(X4552="",0,IF(ISNA(MATCH(X4552,X$256:X4551,0)),1,0))</f>
        <v/>
      </c>
      <c r="AC4552">
        <f>IF(AB4552&gt;AB4551,AB4552,"")</f>
        <v/>
      </c>
    </row>
    <row r="4553">
      <c r="W4553" s="7" t="n"/>
      <c r="X4553" s="7" t="n"/>
      <c r="Z4553">
        <f>Z4552+IF(W4553="",0,IF(ISNA(MATCH(W4553,W$256:W4552,0)),1,0))</f>
        <v/>
      </c>
      <c r="AA4553">
        <f>IF(Z4553&gt;Z4552,Z4553,"")</f>
        <v/>
      </c>
      <c r="AB4553">
        <f>AB4552+IF(X4553="",0,IF(ISNA(MATCH(X4553,X$256:X4552,0)),1,0))</f>
        <v/>
      </c>
      <c r="AC4553">
        <f>IF(AB4553&gt;AB4552,AB4553,"")</f>
        <v/>
      </c>
    </row>
    <row r="4554">
      <c r="W4554" s="7" t="n"/>
      <c r="X4554" s="7" t="n"/>
      <c r="Z4554">
        <f>Z4553+IF(W4554="",0,IF(ISNA(MATCH(W4554,W$256:W4553,0)),1,0))</f>
        <v/>
      </c>
      <c r="AA4554">
        <f>IF(Z4554&gt;Z4553,Z4554,"")</f>
        <v/>
      </c>
      <c r="AB4554">
        <f>AB4553+IF(X4554="",0,IF(ISNA(MATCH(X4554,X$256:X4553,0)),1,0))</f>
        <v/>
      </c>
      <c r="AC4554">
        <f>IF(AB4554&gt;AB4553,AB4554,"")</f>
        <v/>
      </c>
    </row>
    <row r="4555">
      <c r="W4555" s="7" t="n"/>
      <c r="X4555" s="7" t="n"/>
      <c r="Z4555">
        <f>Z4554+IF(W4555="",0,IF(ISNA(MATCH(W4555,W$256:W4554,0)),1,0))</f>
        <v/>
      </c>
      <c r="AA4555">
        <f>IF(Z4555&gt;Z4554,Z4555,"")</f>
        <v/>
      </c>
      <c r="AB4555">
        <f>AB4554+IF(X4555="",0,IF(ISNA(MATCH(X4555,X$256:X4554,0)),1,0))</f>
        <v/>
      </c>
      <c r="AC4555">
        <f>IF(AB4555&gt;AB4554,AB4555,"")</f>
        <v/>
      </c>
    </row>
    <row r="4556">
      <c r="W4556" s="7" t="n"/>
      <c r="X4556" s="7" t="n"/>
      <c r="Z4556">
        <f>Z4555+IF(W4556="",0,IF(ISNA(MATCH(W4556,W$256:W4555,0)),1,0))</f>
        <v/>
      </c>
      <c r="AA4556">
        <f>IF(Z4556&gt;Z4555,Z4556,"")</f>
        <v/>
      </c>
      <c r="AB4556">
        <f>AB4555+IF(X4556="",0,IF(ISNA(MATCH(X4556,X$256:X4555,0)),1,0))</f>
        <v/>
      </c>
      <c r="AC4556">
        <f>IF(AB4556&gt;AB4555,AB4556,"")</f>
        <v/>
      </c>
    </row>
    <row r="4557">
      <c r="W4557" s="7" t="n"/>
      <c r="X4557" s="7" t="n"/>
      <c r="Z4557">
        <f>Z4556+IF(W4557="",0,IF(ISNA(MATCH(W4557,W$256:W4556,0)),1,0))</f>
        <v/>
      </c>
      <c r="AA4557">
        <f>IF(Z4557&gt;Z4556,Z4557,"")</f>
        <v/>
      </c>
      <c r="AB4557">
        <f>AB4556+IF(X4557="",0,IF(ISNA(MATCH(X4557,X$256:X4556,0)),1,0))</f>
        <v/>
      </c>
      <c r="AC4557">
        <f>IF(AB4557&gt;AB4556,AB4557,"")</f>
        <v/>
      </c>
    </row>
    <row r="4558">
      <c r="W4558" s="7" t="n"/>
      <c r="X4558" s="7" t="n"/>
      <c r="Z4558">
        <f>Z4557+IF(W4558="",0,IF(ISNA(MATCH(W4558,W$256:W4557,0)),1,0))</f>
        <v/>
      </c>
      <c r="AA4558">
        <f>IF(Z4558&gt;Z4557,Z4558,"")</f>
        <v/>
      </c>
      <c r="AB4558">
        <f>AB4557+IF(X4558="",0,IF(ISNA(MATCH(X4558,X$256:X4557,0)),1,0))</f>
        <v/>
      </c>
      <c r="AC4558">
        <f>IF(AB4558&gt;AB4557,AB4558,"")</f>
        <v/>
      </c>
    </row>
    <row r="4559">
      <c r="W4559" s="7" t="n"/>
      <c r="X4559" s="7" t="n"/>
      <c r="Z4559">
        <f>Z4558+IF(W4559="",0,IF(ISNA(MATCH(W4559,W$256:W4558,0)),1,0))</f>
        <v/>
      </c>
      <c r="AA4559">
        <f>IF(Z4559&gt;Z4558,Z4559,"")</f>
        <v/>
      </c>
      <c r="AB4559">
        <f>AB4558+IF(X4559="",0,IF(ISNA(MATCH(X4559,X$256:X4558,0)),1,0))</f>
        <v/>
      </c>
      <c r="AC4559">
        <f>IF(AB4559&gt;AB4558,AB4559,"")</f>
        <v/>
      </c>
    </row>
    <row r="4560">
      <c r="W4560" s="7" t="n"/>
      <c r="X4560" s="7" t="n"/>
      <c r="Z4560">
        <f>Z4559+IF(W4560="",0,IF(ISNA(MATCH(W4560,W$256:W4559,0)),1,0))</f>
        <v/>
      </c>
      <c r="AA4560">
        <f>IF(Z4560&gt;Z4559,Z4560,"")</f>
        <v/>
      </c>
      <c r="AB4560">
        <f>AB4559+IF(X4560="",0,IF(ISNA(MATCH(X4560,X$256:X4559,0)),1,0))</f>
        <v/>
      </c>
      <c r="AC4560">
        <f>IF(AB4560&gt;AB4559,AB4560,"")</f>
        <v/>
      </c>
    </row>
    <row r="4561">
      <c r="W4561" s="7" t="n"/>
      <c r="X4561" s="7" t="n"/>
      <c r="Z4561">
        <f>Z4560+IF(W4561="",0,IF(ISNA(MATCH(W4561,W$256:W4560,0)),1,0))</f>
        <v/>
      </c>
      <c r="AA4561">
        <f>IF(Z4561&gt;Z4560,Z4561,"")</f>
        <v/>
      </c>
      <c r="AB4561">
        <f>AB4560+IF(X4561="",0,IF(ISNA(MATCH(X4561,X$256:X4560,0)),1,0))</f>
        <v/>
      </c>
      <c r="AC4561">
        <f>IF(AB4561&gt;AB4560,AB4561,"")</f>
        <v/>
      </c>
    </row>
    <row r="4562">
      <c r="W4562" s="7" t="n"/>
      <c r="X4562" s="7" t="n"/>
      <c r="Z4562">
        <f>Z4561+IF(W4562="",0,IF(ISNA(MATCH(W4562,W$256:W4561,0)),1,0))</f>
        <v/>
      </c>
      <c r="AA4562">
        <f>IF(Z4562&gt;Z4561,Z4562,"")</f>
        <v/>
      </c>
      <c r="AB4562">
        <f>AB4561+IF(X4562="",0,IF(ISNA(MATCH(X4562,X$256:X4561,0)),1,0))</f>
        <v/>
      </c>
      <c r="AC4562">
        <f>IF(AB4562&gt;AB4561,AB4562,"")</f>
        <v/>
      </c>
    </row>
    <row r="4563">
      <c r="W4563" s="7" t="n"/>
      <c r="X4563" s="7" t="n"/>
      <c r="Z4563">
        <f>Z4562+IF(W4563="",0,IF(ISNA(MATCH(W4563,W$256:W4562,0)),1,0))</f>
        <v/>
      </c>
      <c r="AA4563">
        <f>IF(Z4563&gt;Z4562,Z4563,"")</f>
        <v/>
      </c>
      <c r="AB4563">
        <f>AB4562+IF(X4563="",0,IF(ISNA(MATCH(X4563,X$256:X4562,0)),1,0))</f>
        <v/>
      </c>
      <c r="AC4563">
        <f>IF(AB4563&gt;AB4562,AB4563,"")</f>
        <v/>
      </c>
    </row>
    <row r="4564">
      <c r="W4564" s="7" t="n"/>
      <c r="X4564" s="7" t="n"/>
      <c r="Z4564">
        <f>Z4563+IF(W4564="",0,IF(ISNA(MATCH(W4564,W$256:W4563,0)),1,0))</f>
        <v/>
      </c>
      <c r="AA4564">
        <f>IF(Z4564&gt;Z4563,Z4564,"")</f>
        <v/>
      </c>
      <c r="AB4564">
        <f>AB4563+IF(X4564="",0,IF(ISNA(MATCH(X4564,X$256:X4563,0)),1,0))</f>
        <v/>
      </c>
      <c r="AC4564">
        <f>IF(AB4564&gt;AB4563,AB4564,"")</f>
        <v/>
      </c>
    </row>
    <row r="4565">
      <c r="W4565" s="7" t="n"/>
      <c r="X4565" s="7" t="n"/>
      <c r="Z4565">
        <f>Z4564+IF(W4565="",0,IF(ISNA(MATCH(W4565,W$256:W4564,0)),1,0))</f>
        <v/>
      </c>
      <c r="AA4565">
        <f>IF(Z4565&gt;Z4564,Z4565,"")</f>
        <v/>
      </c>
      <c r="AB4565">
        <f>AB4564+IF(X4565="",0,IF(ISNA(MATCH(X4565,X$256:X4564,0)),1,0))</f>
        <v/>
      </c>
      <c r="AC4565">
        <f>IF(AB4565&gt;AB4564,AB4565,"")</f>
        <v/>
      </c>
    </row>
    <row r="4566">
      <c r="W4566" s="7" t="n"/>
      <c r="X4566" s="7" t="n"/>
      <c r="Z4566">
        <f>Z4565+IF(W4566="",0,IF(ISNA(MATCH(W4566,W$256:W4565,0)),1,0))</f>
        <v/>
      </c>
      <c r="AA4566">
        <f>IF(Z4566&gt;Z4565,Z4566,"")</f>
        <v/>
      </c>
      <c r="AB4566">
        <f>AB4565+IF(X4566="",0,IF(ISNA(MATCH(X4566,X$256:X4565,0)),1,0))</f>
        <v/>
      </c>
      <c r="AC4566">
        <f>IF(AB4566&gt;AB4565,AB4566,"")</f>
        <v/>
      </c>
    </row>
    <row r="4567">
      <c r="W4567" s="7" t="n"/>
      <c r="X4567" s="7" t="n"/>
      <c r="Z4567">
        <f>Z4566+IF(W4567="",0,IF(ISNA(MATCH(W4567,W$256:W4566,0)),1,0))</f>
        <v/>
      </c>
      <c r="AA4567">
        <f>IF(Z4567&gt;Z4566,Z4567,"")</f>
        <v/>
      </c>
      <c r="AB4567">
        <f>AB4566+IF(X4567="",0,IF(ISNA(MATCH(X4567,X$256:X4566,0)),1,0))</f>
        <v/>
      </c>
      <c r="AC4567">
        <f>IF(AB4567&gt;AB4566,AB4567,"")</f>
        <v/>
      </c>
    </row>
    <row r="4568">
      <c r="W4568" s="7" t="n"/>
      <c r="X4568" s="7" t="n"/>
      <c r="Z4568">
        <f>Z4567+IF(W4568="",0,IF(ISNA(MATCH(W4568,W$256:W4567,0)),1,0))</f>
        <v/>
      </c>
      <c r="AA4568">
        <f>IF(Z4568&gt;Z4567,Z4568,"")</f>
        <v/>
      </c>
      <c r="AB4568">
        <f>AB4567+IF(X4568="",0,IF(ISNA(MATCH(X4568,X$256:X4567,0)),1,0))</f>
        <v/>
      </c>
      <c r="AC4568">
        <f>IF(AB4568&gt;AB4567,AB4568,"")</f>
        <v/>
      </c>
    </row>
    <row r="4569">
      <c r="W4569" s="7" t="n"/>
      <c r="X4569" s="7" t="n"/>
      <c r="Z4569">
        <f>Z4568+IF(W4569="",0,IF(ISNA(MATCH(W4569,W$256:W4568,0)),1,0))</f>
        <v/>
      </c>
      <c r="AA4569">
        <f>IF(Z4569&gt;Z4568,Z4569,"")</f>
        <v/>
      </c>
      <c r="AB4569">
        <f>AB4568+IF(X4569="",0,IF(ISNA(MATCH(X4569,X$256:X4568,0)),1,0))</f>
        <v/>
      </c>
      <c r="AC4569">
        <f>IF(AB4569&gt;AB4568,AB4569,"")</f>
        <v/>
      </c>
    </row>
    <row r="4570">
      <c r="W4570" s="7" t="n"/>
      <c r="X4570" s="7" t="n"/>
      <c r="Z4570">
        <f>Z4569+IF(W4570="",0,IF(ISNA(MATCH(W4570,W$256:W4569,0)),1,0))</f>
        <v/>
      </c>
      <c r="AA4570">
        <f>IF(Z4570&gt;Z4569,Z4570,"")</f>
        <v/>
      </c>
      <c r="AB4570">
        <f>AB4569+IF(X4570="",0,IF(ISNA(MATCH(X4570,X$256:X4569,0)),1,0))</f>
        <v/>
      </c>
      <c r="AC4570">
        <f>IF(AB4570&gt;AB4569,AB4570,"")</f>
        <v/>
      </c>
    </row>
    <row r="4571">
      <c r="W4571" s="7" t="n"/>
      <c r="X4571" s="7" t="n"/>
      <c r="Z4571">
        <f>Z4570+IF(W4571="",0,IF(ISNA(MATCH(W4571,W$256:W4570,0)),1,0))</f>
        <v/>
      </c>
      <c r="AA4571">
        <f>IF(Z4571&gt;Z4570,Z4571,"")</f>
        <v/>
      </c>
      <c r="AB4571">
        <f>AB4570+IF(X4571="",0,IF(ISNA(MATCH(X4571,X$256:X4570,0)),1,0))</f>
        <v/>
      </c>
      <c r="AC4571">
        <f>IF(AB4571&gt;AB4570,AB4571,"")</f>
        <v/>
      </c>
    </row>
    <row r="4572">
      <c r="W4572" s="7" t="n"/>
      <c r="X4572" s="7" t="n"/>
      <c r="Z4572">
        <f>Z4571+IF(W4572="",0,IF(ISNA(MATCH(W4572,W$256:W4571,0)),1,0))</f>
        <v/>
      </c>
      <c r="AA4572">
        <f>IF(Z4572&gt;Z4571,Z4572,"")</f>
        <v/>
      </c>
      <c r="AB4572">
        <f>AB4571+IF(X4572="",0,IF(ISNA(MATCH(X4572,X$256:X4571,0)),1,0))</f>
        <v/>
      </c>
      <c r="AC4572">
        <f>IF(AB4572&gt;AB4571,AB4572,"")</f>
        <v/>
      </c>
    </row>
    <row r="4573">
      <c r="W4573" s="7" t="n"/>
      <c r="X4573" s="7" t="n"/>
      <c r="Z4573">
        <f>Z4572+IF(W4573="",0,IF(ISNA(MATCH(W4573,W$256:W4572,0)),1,0))</f>
        <v/>
      </c>
      <c r="AA4573">
        <f>IF(Z4573&gt;Z4572,Z4573,"")</f>
        <v/>
      </c>
      <c r="AB4573">
        <f>AB4572+IF(X4573="",0,IF(ISNA(MATCH(X4573,X$256:X4572,0)),1,0))</f>
        <v/>
      </c>
      <c r="AC4573">
        <f>IF(AB4573&gt;AB4572,AB4573,"")</f>
        <v/>
      </c>
    </row>
    <row r="4574">
      <c r="W4574" s="7" t="n"/>
      <c r="X4574" s="7" t="n"/>
      <c r="Z4574">
        <f>Z4573+IF(W4574="",0,IF(ISNA(MATCH(W4574,W$256:W4573,0)),1,0))</f>
        <v/>
      </c>
      <c r="AA4574">
        <f>IF(Z4574&gt;Z4573,Z4574,"")</f>
        <v/>
      </c>
      <c r="AB4574">
        <f>AB4573+IF(X4574="",0,IF(ISNA(MATCH(X4574,X$256:X4573,0)),1,0))</f>
        <v/>
      </c>
      <c r="AC4574">
        <f>IF(AB4574&gt;AB4573,AB4574,"")</f>
        <v/>
      </c>
    </row>
    <row r="4575">
      <c r="W4575" s="7" t="n"/>
      <c r="X4575" s="7" t="n"/>
      <c r="Z4575">
        <f>Z4574+IF(W4575="",0,IF(ISNA(MATCH(W4575,W$256:W4574,0)),1,0))</f>
        <v/>
      </c>
      <c r="AA4575">
        <f>IF(Z4575&gt;Z4574,Z4575,"")</f>
        <v/>
      </c>
      <c r="AB4575">
        <f>AB4574+IF(X4575="",0,IF(ISNA(MATCH(X4575,X$256:X4574,0)),1,0))</f>
        <v/>
      </c>
      <c r="AC4575">
        <f>IF(AB4575&gt;AB4574,AB4575,"")</f>
        <v/>
      </c>
    </row>
    <row r="4576">
      <c r="W4576" s="7" t="n"/>
      <c r="X4576" s="7" t="n"/>
      <c r="Z4576">
        <f>Z4575+IF(W4576="",0,IF(ISNA(MATCH(W4576,W$256:W4575,0)),1,0))</f>
        <v/>
      </c>
      <c r="AA4576">
        <f>IF(Z4576&gt;Z4575,Z4576,"")</f>
        <v/>
      </c>
      <c r="AB4576">
        <f>AB4575+IF(X4576="",0,IF(ISNA(MATCH(X4576,X$256:X4575,0)),1,0))</f>
        <v/>
      </c>
      <c r="AC4576">
        <f>IF(AB4576&gt;AB4575,AB4576,"")</f>
        <v/>
      </c>
    </row>
    <row r="4577">
      <c r="W4577" s="7" t="n"/>
      <c r="X4577" s="7" t="n"/>
      <c r="Z4577">
        <f>Z4576+IF(W4577="",0,IF(ISNA(MATCH(W4577,W$256:W4576,0)),1,0))</f>
        <v/>
      </c>
      <c r="AA4577">
        <f>IF(Z4577&gt;Z4576,Z4577,"")</f>
        <v/>
      </c>
      <c r="AB4577">
        <f>AB4576+IF(X4577="",0,IF(ISNA(MATCH(X4577,X$256:X4576,0)),1,0))</f>
        <v/>
      </c>
      <c r="AC4577">
        <f>IF(AB4577&gt;AB4576,AB4577,"")</f>
        <v/>
      </c>
    </row>
    <row r="4578">
      <c r="W4578" s="7" t="n"/>
      <c r="X4578" s="7" t="n"/>
      <c r="Z4578">
        <f>Z4577+IF(W4578="",0,IF(ISNA(MATCH(W4578,W$256:W4577,0)),1,0))</f>
        <v/>
      </c>
      <c r="AA4578">
        <f>IF(Z4578&gt;Z4577,Z4578,"")</f>
        <v/>
      </c>
      <c r="AB4578">
        <f>AB4577+IF(X4578="",0,IF(ISNA(MATCH(X4578,X$256:X4577,0)),1,0))</f>
        <v/>
      </c>
      <c r="AC4578">
        <f>IF(AB4578&gt;AB4577,AB4578,"")</f>
        <v/>
      </c>
    </row>
    <row r="4579">
      <c r="W4579" s="7" t="n"/>
      <c r="X4579" s="7" t="n"/>
      <c r="Z4579">
        <f>Z4578+IF(W4579="",0,IF(ISNA(MATCH(W4579,W$256:W4578,0)),1,0))</f>
        <v/>
      </c>
      <c r="AA4579">
        <f>IF(Z4579&gt;Z4578,Z4579,"")</f>
        <v/>
      </c>
      <c r="AB4579">
        <f>AB4578+IF(X4579="",0,IF(ISNA(MATCH(X4579,X$256:X4578,0)),1,0))</f>
        <v/>
      </c>
      <c r="AC4579">
        <f>IF(AB4579&gt;AB4578,AB4579,"")</f>
        <v/>
      </c>
    </row>
    <row r="4580">
      <c r="W4580" s="7" t="n"/>
      <c r="X4580" s="7" t="n"/>
      <c r="Z4580">
        <f>Z4579+IF(W4580="",0,IF(ISNA(MATCH(W4580,W$256:W4579,0)),1,0))</f>
        <v/>
      </c>
      <c r="AA4580">
        <f>IF(Z4580&gt;Z4579,Z4580,"")</f>
        <v/>
      </c>
      <c r="AB4580">
        <f>AB4579+IF(X4580="",0,IF(ISNA(MATCH(X4580,X$256:X4579,0)),1,0))</f>
        <v/>
      </c>
      <c r="AC4580">
        <f>IF(AB4580&gt;AB4579,AB4580,"")</f>
        <v/>
      </c>
    </row>
    <row r="4581">
      <c r="W4581" s="7" t="n"/>
      <c r="X4581" s="7" t="n"/>
      <c r="Z4581">
        <f>Z4580+IF(W4581="",0,IF(ISNA(MATCH(W4581,W$256:W4580,0)),1,0))</f>
        <v/>
      </c>
      <c r="AA4581">
        <f>IF(Z4581&gt;Z4580,Z4581,"")</f>
        <v/>
      </c>
      <c r="AB4581">
        <f>AB4580+IF(X4581="",0,IF(ISNA(MATCH(X4581,X$256:X4580,0)),1,0))</f>
        <v/>
      </c>
      <c r="AC4581">
        <f>IF(AB4581&gt;AB4580,AB4581,"")</f>
        <v/>
      </c>
    </row>
    <row r="4582">
      <c r="W4582" s="7" t="n"/>
      <c r="X4582" s="7" t="n"/>
      <c r="Z4582">
        <f>Z4581+IF(W4582="",0,IF(ISNA(MATCH(W4582,W$256:W4581,0)),1,0))</f>
        <v/>
      </c>
      <c r="AA4582">
        <f>IF(Z4582&gt;Z4581,Z4582,"")</f>
        <v/>
      </c>
      <c r="AB4582">
        <f>AB4581+IF(X4582="",0,IF(ISNA(MATCH(X4582,X$256:X4581,0)),1,0))</f>
        <v/>
      </c>
      <c r="AC4582">
        <f>IF(AB4582&gt;AB4581,AB4582,"")</f>
        <v/>
      </c>
    </row>
    <row r="4583">
      <c r="W4583" s="7" t="n"/>
      <c r="X4583" s="7" t="n"/>
      <c r="Z4583">
        <f>Z4582+IF(W4583="",0,IF(ISNA(MATCH(W4583,W$256:W4582,0)),1,0))</f>
        <v/>
      </c>
      <c r="AA4583">
        <f>IF(Z4583&gt;Z4582,Z4583,"")</f>
        <v/>
      </c>
      <c r="AB4583">
        <f>AB4582+IF(X4583="",0,IF(ISNA(MATCH(X4583,X$256:X4582,0)),1,0))</f>
        <v/>
      </c>
      <c r="AC4583">
        <f>IF(AB4583&gt;AB4582,AB4583,"")</f>
        <v/>
      </c>
    </row>
    <row r="4584">
      <c r="W4584" s="7" t="n"/>
      <c r="X4584" s="7" t="n"/>
      <c r="Z4584">
        <f>Z4583+IF(W4584="",0,IF(ISNA(MATCH(W4584,W$256:W4583,0)),1,0))</f>
        <v/>
      </c>
      <c r="AA4584">
        <f>IF(Z4584&gt;Z4583,Z4584,"")</f>
        <v/>
      </c>
      <c r="AB4584">
        <f>AB4583+IF(X4584="",0,IF(ISNA(MATCH(X4584,X$256:X4583,0)),1,0))</f>
        <v/>
      </c>
      <c r="AC4584">
        <f>IF(AB4584&gt;AB4583,AB4584,"")</f>
        <v/>
      </c>
    </row>
    <row r="4585">
      <c r="W4585" s="7" t="n"/>
      <c r="X4585" s="7" t="n"/>
      <c r="Z4585">
        <f>Z4584+IF(W4585="",0,IF(ISNA(MATCH(W4585,W$256:W4584,0)),1,0))</f>
        <v/>
      </c>
      <c r="AA4585">
        <f>IF(Z4585&gt;Z4584,Z4585,"")</f>
        <v/>
      </c>
      <c r="AB4585">
        <f>AB4584+IF(X4585="",0,IF(ISNA(MATCH(X4585,X$256:X4584,0)),1,0))</f>
        <v/>
      </c>
      <c r="AC4585">
        <f>IF(AB4585&gt;AB4584,AB4585,"")</f>
        <v/>
      </c>
    </row>
    <row r="4586">
      <c r="W4586" s="7" t="n"/>
      <c r="X4586" s="7" t="n"/>
      <c r="Z4586">
        <f>Z4585+IF(W4586="",0,IF(ISNA(MATCH(W4586,W$256:W4585,0)),1,0))</f>
        <v/>
      </c>
      <c r="AA4586">
        <f>IF(Z4586&gt;Z4585,Z4586,"")</f>
        <v/>
      </c>
      <c r="AB4586">
        <f>AB4585+IF(X4586="",0,IF(ISNA(MATCH(X4586,X$256:X4585,0)),1,0))</f>
        <v/>
      </c>
      <c r="AC4586">
        <f>IF(AB4586&gt;AB4585,AB4586,"")</f>
        <v/>
      </c>
    </row>
    <row r="4587">
      <c r="W4587" s="7" t="n"/>
      <c r="X4587" s="7" t="n"/>
      <c r="Z4587">
        <f>Z4586+IF(W4587="",0,IF(ISNA(MATCH(W4587,W$256:W4586,0)),1,0))</f>
        <v/>
      </c>
      <c r="AA4587">
        <f>IF(Z4587&gt;Z4586,Z4587,"")</f>
        <v/>
      </c>
      <c r="AB4587">
        <f>AB4586+IF(X4587="",0,IF(ISNA(MATCH(X4587,X$256:X4586,0)),1,0))</f>
        <v/>
      </c>
      <c r="AC4587">
        <f>IF(AB4587&gt;AB4586,AB4587,"")</f>
        <v/>
      </c>
    </row>
    <row r="4588">
      <c r="W4588" s="7" t="n"/>
      <c r="X4588" s="7" t="n"/>
      <c r="Z4588">
        <f>Z4587+IF(W4588="",0,IF(ISNA(MATCH(W4588,W$256:W4587,0)),1,0))</f>
        <v/>
      </c>
      <c r="AA4588">
        <f>IF(Z4588&gt;Z4587,Z4588,"")</f>
        <v/>
      </c>
      <c r="AB4588">
        <f>AB4587+IF(X4588="",0,IF(ISNA(MATCH(X4588,X$256:X4587,0)),1,0))</f>
        <v/>
      </c>
      <c r="AC4588">
        <f>IF(AB4588&gt;AB4587,AB4588,"")</f>
        <v/>
      </c>
    </row>
    <row r="4589">
      <c r="W4589" s="7" t="n"/>
      <c r="X4589" s="7" t="n"/>
      <c r="Z4589">
        <f>Z4588+IF(W4589="",0,IF(ISNA(MATCH(W4589,W$256:W4588,0)),1,0))</f>
        <v/>
      </c>
      <c r="AA4589">
        <f>IF(Z4589&gt;Z4588,Z4589,"")</f>
        <v/>
      </c>
      <c r="AB4589">
        <f>AB4588+IF(X4589="",0,IF(ISNA(MATCH(X4589,X$256:X4588,0)),1,0))</f>
        <v/>
      </c>
      <c r="AC4589">
        <f>IF(AB4589&gt;AB4588,AB4589,"")</f>
        <v/>
      </c>
    </row>
    <row r="4590">
      <c r="W4590" s="7" t="n"/>
      <c r="X4590" s="7" t="n"/>
      <c r="Z4590">
        <f>Z4589+IF(W4590="",0,IF(ISNA(MATCH(W4590,W$256:W4589,0)),1,0))</f>
        <v/>
      </c>
      <c r="AA4590">
        <f>IF(Z4590&gt;Z4589,Z4590,"")</f>
        <v/>
      </c>
      <c r="AB4590">
        <f>AB4589+IF(X4590="",0,IF(ISNA(MATCH(X4590,X$256:X4589,0)),1,0))</f>
        <v/>
      </c>
      <c r="AC4590">
        <f>IF(AB4590&gt;AB4589,AB4590,"")</f>
        <v/>
      </c>
    </row>
    <row r="4591">
      <c r="W4591" s="7" t="n"/>
      <c r="X4591" s="7" t="n"/>
      <c r="Z4591">
        <f>Z4590+IF(W4591="",0,IF(ISNA(MATCH(W4591,W$256:W4590,0)),1,0))</f>
        <v/>
      </c>
      <c r="AA4591">
        <f>IF(Z4591&gt;Z4590,Z4591,"")</f>
        <v/>
      </c>
      <c r="AB4591">
        <f>AB4590+IF(X4591="",0,IF(ISNA(MATCH(X4591,X$256:X4590,0)),1,0))</f>
        <v/>
      </c>
      <c r="AC4591">
        <f>IF(AB4591&gt;AB4590,AB4591,"")</f>
        <v/>
      </c>
    </row>
    <row r="4592">
      <c r="W4592" s="7" t="n"/>
      <c r="X4592" s="7" t="n"/>
      <c r="Z4592">
        <f>Z4591+IF(W4592="",0,IF(ISNA(MATCH(W4592,W$256:W4591,0)),1,0))</f>
        <v/>
      </c>
      <c r="AA4592">
        <f>IF(Z4592&gt;Z4591,Z4592,"")</f>
        <v/>
      </c>
      <c r="AB4592">
        <f>AB4591+IF(X4592="",0,IF(ISNA(MATCH(X4592,X$256:X4591,0)),1,0))</f>
        <v/>
      </c>
      <c r="AC4592">
        <f>IF(AB4592&gt;AB4591,AB4592,"")</f>
        <v/>
      </c>
    </row>
    <row r="4593">
      <c r="W4593" s="7" t="n"/>
      <c r="X4593" s="7" t="n"/>
      <c r="Z4593">
        <f>Z4592+IF(W4593="",0,IF(ISNA(MATCH(W4593,W$256:W4592,0)),1,0))</f>
        <v/>
      </c>
      <c r="AA4593">
        <f>IF(Z4593&gt;Z4592,Z4593,"")</f>
        <v/>
      </c>
      <c r="AB4593">
        <f>AB4592+IF(X4593="",0,IF(ISNA(MATCH(X4593,X$256:X4592,0)),1,0))</f>
        <v/>
      </c>
      <c r="AC4593">
        <f>IF(AB4593&gt;AB4592,AB4593,"")</f>
        <v/>
      </c>
    </row>
    <row r="4594">
      <c r="W4594" s="7" t="n"/>
      <c r="X4594" s="7" t="n"/>
      <c r="Z4594">
        <f>Z4593+IF(W4594="",0,IF(ISNA(MATCH(W4594,W$256:W4593,0)),1,0))</f>
        <v/>
      </c>
      <c r="AA4594">
        <f>IF(Z4594&gt;Z4593,Z4594,"")</f>
        <v/>
      </c>
      <c r="AB4594">
        <f>AB4593+IF(X4594="",0,IF(ISNA(MATCH(X4594,X$256:X4593,0)),1,0))</f>
        <v/>
      </c>
      <c r="AC4594">
        <f>IF(AB4594&gt;AB4593,AB4594,"")</f>
        <v/>
      </c>
    </row>
    <row r="4595">
      <c r="W4595" s="7" t="n"/>
      <c r="X4595" s="7" t="n"/>
      <c r="Z4595">
        <f>Z4594+IF(W4595="",0,IF(ISNA(MATCH(W4595,W$256:W4594,0)),1,0))</f>
        <v/>
      </c>
      <c r="AA4595">
        <f>IF(Z4595&gt;Z4594,Z4595,"")</f>
        <v/>
      </c>
      <c r="AB4595">
        <f>AB4594+IF(X4595="",0,IF(ISNA(MATCH(X4595,X$256:X4594,0)),1,0))</f>
        <v/>
      </c>
      <c r="AC4595">
        <f>IF(AB4595&gt;AB4594,AB4595,"")</f>
        <v/>
      </c>
    </row>
    <row r="4596">
      <c r="W4596" s="7" t="n"/>
      <c r="X4596" s="7" t="n"/>
      <c r="Z4596">
        <f>Z4595+IF(W4596="",0,IF(ISNA(MATCH(W4596,W$256:W4595,0)),1,0))</f>
        <v/>
      </c>
      <c r="AA4596">
        <f>IF(Z4596&gt;Z4595,Z4596,"")</f>
        <v/>
      </c>
      <c r="AB4596">
        <f>AB4595+IF(X4596="",0,IF(ISNA(MATCH(X4596,X$256:X4595,0)),1,0))</f>
        <v/>
      </c>
      <c r="AC4596">
        <f>IF(AB4596&gt;AB4595,AB4596,"")</f>
        <v/>
      </c>
    </row>
    <row r="4597">
      <c r="W4597" s="7" t="n"/>
      <c r="X4597" s="7" t="n"/>
      <c r="Z4597">
        <f>Z4596+IF(W4597="",0,IF(ISNA(MATCH(W4597,W$256:W4596,0)),1,0))</f>
        <v/>
      </c>
      <c r="AA4597">
        <f>IF(Z4597&gt;Z4596,Z4597,"")</f>
        <v/>
      </c>
      <c r="AB4597">
        <f>AB4596+IF(X4597="",0,IF(ISNA(MATCH(X4597,X$256:X4596,0)),1,0))</f>
        <v/>
      </c>
      <c r="AC4597">
        <f>IF(AB4597&gt;AB4596,AB4597,"")</f>
        <v/>
      </c>
    </row>
    <row r="4598">
      <c r="W4598" s="7" t="n"/>
      <c r="X4598" s="7" t="n"/>
      <c r="Z4598">
        <f>Z4597+IF(W4598="",0,IF(ISNA(MATCH(W4598,W$256:W4597,0)),1,0))</f>
        <v/>
      </c>
      <c r="AA4598">
        <f>IF(Z4598&gt;Z4597,Z4598,"")</f>
        <v/>
      </c>
      <c r="AB4598">
        <f>AB4597+IF(X4598="",0,IF(ISNA(MATCH(X4598,X$256:X4597,0)),1,0))</f>
        <v/>
      </c>
      <c r="AC4598">
        <f>IF(AB4598&gt;AB4597,AB4598,"")</f>
        <v/>
      </c>
    </row>
    <row r="4599">
      <c r="W4599" s="7" t="n"/>
      <c r="X4599" s="7" t="n"/>
      <c r="Z4599">
        <f>Z4598+IF(W4599="",0,IF(ISNA(MATCH(W4599,W$256:W4598,0)),1,0))</f>
        <v/>
      </c>
      <c r="AA4599">
        <f>IF(Z4599&gt;Z4598,Z4599,"")</f>
        <v/>
      </c>
      <c r="AB4599">
        <f>AB4598+IF(X4599="",0,IF(ISNA(MATCH(X4599,X$256:X4598,0)),1,0))</f>
        <v/>
      </c>
      <c r="AC4599">
        <f>IF(AB4599&gt;AB4598,AB4599,"")</f>
        <v/>
      </c>
    </row>
    <row r="4600">
      <c r="W4600" s="7" t="n"/>
      <c r="X4600" s="7" t="n"/>
      <c r="Z4600">
        <f>Z4599+IF(W4600="",0,IF(ISNA(MATCH(W4600,W$256:W4599,0)),1,0))</f>
        <v/>
      </c>
      <c r="AA4600">
        <f>IF(Z4600&gt;Z4599,Z4600,"")</f>
        <v/>
      </c>
      <c r="AB4600">
        <f>AB4599+IF(X4600="",0,IF(ISNA(MATCH(X4600,X$256:X4599,0)),1,0))</f>
        <v/>
      </c>
      <c r="AC4600">
        <f>IF(AB4600&gt;AB4599,AB4600,"")</f>
        <v/>
      </c>
    </row>
    <row r="4601">
      <c r="W4601" s="7" t="n"/>
      <c r="X4601" s="7" t="n"/>
      <c r="Z4601">
        <f>Z4600+IF(W4601="",0,IF(ISNA(MATCH(W4601,W$256:W4600,0)),1,0))</f>
        <v/>
      </c>
      <c r="AA4601">
        <f>IF(Z4601&gt;Z4600,Z4601,"")</f>
        <v/>
      </c>
      <c r="AB4601">
        <f>AB4600+IF(X4601="",0,IF(ISNA(MATCH(X4601,X$256:X4600,0)),1,0))</f>
        <v/>
      </c>
      <c r="AC4601">
        <f>IF(AB4601&gt;AB4600,AB4601,"")</f>
        <v/>
      </c>
    </row>
    <row r="4602">
      <c r="W4602" s="7" t="n"/>
      <c r="X4602" s="7" t="n"/>
      <c r="Z4602">
        <f>Z4601+IF(W4602="",0,IF(ISNA(MATCH(W4602,W$256:W4601,0)),1,0))</f>
        <v/>
      </c>
      <c r="AA4602">
        <f>IF(Z4602&gt;Z4601,Z4602,"")</f>
        <v/>
      </c>
      <c r="AB4602">
        <f>AB4601+IF(X4602="",0,IF(ISNA(MATCH(X4602,X$256:X4601,0)),1,0))</f>
        <v/>
      </c>
      <c r="AC4602">
        <f>IF(AB4602&gt;AB4601,AB4602,"")</f>
        <v/>
      </c>
    </row>
    <row r="4603">
      <c r="W4603" s="7" t="n"/>
      <c r="X4603" s="7" t="n"/>
      <c r="Z4603">
        <f>Z4602+IF(W4603="",0,IF(ISNA(MATCH(W4603,W$256:W4602,0)),1,0))</f>
        <v/>
      </c>
      <c r="AA4603">
        <f>IF(Z4603&gt;Z4602,Z4603,"")</f>
        <v/>
      </c>
      <c r="AB4603">
        <f>AB4602+IF(X4603="",0,IF(ISNA(MATCH(X4603,X$256:X4602,0)),1,0))</f>
        <v/>
      </c>
      <c r="AC4603">
        <f>IF(AB4603&gt;AB4602,AB4603,"")</f>
        <v/>
      </c>
    </row>
    <row r="4604">
      <c r="W4604" s="7" t="n"/>
      <c r="X4604" s="7" t="n"/>
      <c r="Z4604">
        <f>Z4603+IF(W4604="",0,IF(ISNA(MATCH(W4604,W$256:W4603,0)),1,0))</f>
        <v/>
      </c>
      <c r="AA4604">
        <f>IF(Z4604&gt;Z4603,Z4604,"")</f>
        <v/>
      </c>
      <c r="AB4604">
        <f>AB4603+IF(X4604="",0,IF(ISNA(MATCH(X4604,X$256:X4603,0)),1,0))</f>
        <v/>
      </c>
      <c r="AC4604">
        <f>IF(AB4604&gt;AB4603,AB4604,"")</f>
        <v/>
      </c>
    </row>
    <row r="4605">
      <c r="W4605" s="7" t="n"/>
      <c r="X4605" s="7" t="n"/>
      <c r="Z4605">
        <f>Z4604+IF(W4605="",0,IF(ISNA(MATCH(W4605,W$256:W4604,0)),1,0))</f>
        <v/>
      </c>
      <c r="AA4605">
        <f>IF(Z4605&gt;Z4604,Z4605,"")</f>
        <v/>
      </c>
      <c r="AB4605">
        <f>AB4604+IF(X4605="",0,IF(ISNA(MATCH(X4605,X$256:X4604,0)),1,0))</f>
        <v/>
      </c>
      <c r="AC4605">
        <f>IF(AB4605&gt;AB4604,AB4605,"")</f>
        <v/>
      </c>
    </row>
    <row r="4606">
      <c r="W4606" s="7" t="n"/>
      <c r="X4606" s="7" t="n"/>
      <c r="Z4606">
        <f>Z4605+IF(W4606="",0,IF(ISNA(MATCH(W4606,W$256:W4605,0)),1,0))</f>
        <v/>
      </c>
      <c r="AA4606">
        <f>IF(Z4606&gt;Z4605,Z4606,"")</f>
        <v/>
      </c>
      <c r="AB4606">
        <f>AB4605+IF(X4606="",0,IF(ISNA(MATCH(X4606,X$256:X4605,0)),1,0))</f>
        <v/>
      </c>
      <c r="AC4606">
        <f>IF(AB4606&gt;AB4605,AB4606,"")</f>
        <v/>
      </c>
    </row>
    <row r="4607">
      <c r="W4607" s="7" t="n"/>
      <c r="X4607" s="7" t="n"/>
      <c r="Z4607">
        <f>Z4606+IF(W4607="",0,IF(ISNA(MATCH(W4607,W$256:W4606,0)),1,0))</f>
        <v/>
      </c>
      <c r="AA4607">
        <f>IF(Z4607&gt;Z4606,Z4607,"")</f>
        <v/>
      </c>
      <c r="AB4607">
        <f>AB4606+IF(X4607="",0,IF(ISNA(MATCH(X4607,X$256:X4606,0)),1,0))</f>
        <v/>
      </c>
      <c r="AC4607">
        <f>IF(AB4607&gt;AB4606,AB4607,"")</f>
        <v/>
      </c>
    </row>
    <row r="4608">
      <c r="W4608" s="7" t="n"/>
      <c r="X4608" s="7" t="n"/>
      <c r="Z4608">
        <f>Z4607+IF(W4608="",0,IF(ISNA(MATCH(W4608,W$256:W4607,0)),1,0))</f>
        <v/>
      </c>
      <c r="AA4608">
        <f>IF(Z4608&gt;Z4607,Z4608,"")</f>
        <v/>
      </c>
      <c r="AB4608">
        <f>AB4607+IF(X4608="",0,IF(ISNA(MATCH(X4608,X$256:X4607,0)),1,0))</f>
        <v/>
      </c>
      <c r="AC4608">
        <f>IF(AB4608&gt;AB4607,AB4608,"")</f>
        <v/>
      </c>
    </row>
    <row r="4609">
      <c r="W4609" s="7" t="n"/>
      <c r="X4609" s="7" t="n"/>
      <c r="Z4609">
        <f>Z4608+IF(W4609="",0,IF(ISNA(MATCH(W4609,W$256:W4608,0)),1,0))</f>
        <v/>
      </c>
      <c r="AA4609">
        <f>IF(Z4609&gt;Z4608,Z4609,"")</f>
        <v/>
      </c>
      <c r="AB4609">
        <f>AB4608+IF(X4609="",0,IF(ISNA(MATCH(X4609,X$256:X4608,0)),1,0))</f>
        <v/>
      </c>
      <c r="AC4609">
        <f>IF(AB4609&gt;AB4608,AB4609,"")</f>
        <v/>
      </c>
    </row>
    <row r="4610">
      <c r="W4610" s="7" t="n"/>
      <c r="X4610" s="7" t="n"/>
      <c r="Z4610">
        <f>Z4609+IF(W4610="",0,IF(ISNA(MATCH(W4610,W$256:W4609,0)),1,0))</f>
        <v/>
      </c>
      <c r="AA4610">
        <f>IF(Z4610&gt;Z4609,Z4610,"")</f>
        <v/>
      </c>
      <c r="AB4610">
        <f>AB4609+IF(X4610="",0,IF(ISNA(MATCH(X4610,X$256:X4609,0)),1,0))</f>
        <v/>
      </c>
      <c r="AC4610">
        <f>IF(AB4610&gt;AB4609,AB4610,"")</f>
        <v/>
      </c>
    </row>
    <row r="4611">
      <c r="W4611" s="7" t="n"/>
      <c r="X4611" s="7" t="n"/>
      <c r="Z4611">
        <f>Z4610+IF(W4611="",0,IF(ISNA(MATCH(W4611,W$256:W4610,0)),1,0))</f>
        <v/>
      </c>
      <c r="AA4611">
        <f>IF(Z4611&gt;Z4610,Z4611,"")</f>
        <v/>
      </c>
      <c r="AB4611">
        <f>AB4610+IF(X4611="",0,IF(ISNA(MATCH(X4611,X$256:X4610,0)),1,0))</f>
        <v/>
      </c>
      <c r="AC4611">
        <f>IF(AB4611&gt;AB4610,AB4611,"")</f>
        <v/>
      </c>
    </row>
    <row r="4612">
      <c r="W4612" s="7" t="n"/>
      <c r="X4612" s="7" t="n"/>
      <c r="Z4612">
        <f>Z4611+IF(W4612="",0,IF(ISNA(MATCH(W4612,W$256:W4611,0)),1,0))</f>
        <v/>
      </c>
      <c r="AA4612">
        <f>IF(Z4612&gt;Z4611,Z4612,"")</f>
        <v/>
      </c>
      <c r="AB4612">
        <f>AB4611+IF(X4612="",0,IF(ISNA(MATCH(X4612,X$256:X4611,0)),1,0))</f>
        <v/>
      </c>
      <c r="AC4612">
        <f>IF(AB4612&gt;AB4611,AB4612,"")</f>
        <v/>
      </c>
    </row>
    <row r="4613">
      <c r="W4613" s="7" t="n"/>
      <c r="X4613" s="7" t="n"/>
      <c r="Z4613">
        <f>Z4612+IF(W4613="",0,IF(ISNA(MATCH(W4613,W$256:W4612,0)),1,0))</f>
        <v/>
      </c>
      <c r="AA4613">
        <f>IF(Z4613&gt;Z4612,Z4613,"")</f>
        <v/>
      </c>
      <c r="AB4613">
        <f>AB4612+IF(X4613="",0,IF(ISNA(MATCH(X4613,X$256:X4612,0)),1,0))</f>
        <v/>
      </c>
      <c r="AC4613">
        <f>IF(AB4613&gt;AB4612,AB4613,"")</f>
        <v/>
      </c>
    </row>
    <row r="4614">
      <c r="W4614" s="7" t="n"/>
      <c r="X4614" s="7" t="n"/>
      <c r="Z4614">
        <f>Z4613+IF(W4614="",0,IF(ISNA(MATCH(W4614,W$256:W4613,0)),1,0))</f>
        <v/>
      </c>
      <c r="AA4614">
        <f>IF(Z4614&gt;Z4613,Z4614,"")</f>
        <v/>
      </c>
      <c r="AB4614">
        <f>AB4613+IF(X4614="",0,IF(ISNA(MATCH(X4614,X$256:X4613,0)),1,0))</f>
        <v/>
      </c>
      <c r="AC4614">
        <f>IF(AB4614&gt;AB4613,AB4614,"")</f>
        <v/>
      </c>
    </row>
    <row r="4615">
      <c r="W4615" s="7" t="n"/>
      <c r="X4615" s="7" t="n"/>
      <c r="Z4615">
        <f>Z4614+IF(W4615="",0,IF(ISNA(MATCH(W4615,W$256:W4614,0)),1,0))</f>
        <v/>
      </c>
      <c r="AA4615">
        <f>IF(Z4615&gt;Z4614,Z4615,"")</f>
        <v/>
      </c>
      <c r="AB4615">
        <f>AB4614+IF(X4615="",0,IF(ISNA(MATCH(X4615,X$256:X4614,0)),1,0))</f>
        <v/>
      </c>
      <c r="AC4615">
        <f>IF(AB4615&gt;AB4614,AB4615,"")</f>
        <v/>
      </c>
    </row>
    <row r="4616">
      <c r="W4616" s="7" t="n"/>
      <c r="X4616" s="7" t="n"/>
      <c r="Z4616">
        <f>Z4615+IF(W4616="",0,IF(ISNA(MATCH(W4616,W$256:W4615,0)),1,0))</f>
        <v/>
      </c>
      <c r="AA4616">
        <f>IF(Z4616&gt;Z4615,Z4616,"")</f>
        <v/>
      </c>
      <c r="AB4616">
        <f>AB4615+IF(X4616="",0,IF(ISNA(MATCH(X4616,X$256:X4615,0)),1,0))</f>
        <v/>
      </c>
      <c r="AC4616">
        <f>IF(AB4616&gt;AB4615,AB4616,"")</f>
        <v/>
      </c>
    </row>
    <row r="4617">
      <c r="W4617" s="7" t="n"/>
      <c r="X4617" s="7" t="n"/>
      <c r="Z4617">
        <f>Z4616+IF(W4617="",0,IF(ISNA(MATCH(W4617,W$256:W4616,0)),1,0))</f>
        <v/>
      </c>
      <c r="AA4617">
        <f>IF(Z4617&gt;Z4616,Z4617,"")</f>
        <v/>
      </c>
      <c r="AB4617">
        <f>AB4616+IF(X4617="",0,IF(ISNA(MATCH(X4617,X$256:X4616,0)),1,0))</f>
        <v/>
      </c>
      <c r="AC4617">
        <f>IF(AB4617&gt;AB4616,AB4617,"")</f>
        <v/>
      </c>
    </row>
    <row r="4618">
      <c r="W4618" s="7" t="n"/>
      <c r="X4618" s="7" t="n"/>
      <c r="Z4618">
        <f>Z4617+IF(W4618="",0,IF(ISNA(MATCH(W4618,W$256:W4617,0)),1,0))</f>
        <v/>
      </c>
      <c r="AA4618">
        <f>IF(Z4618&gt;Z4617,Z4618,"")</f>
        <v/>
      </c>
      <c r="AB4618">
        <f>AB4617+IF(X4618="",0,IF(ISNA(MATCH(X4618,X$256:X4617,0)),1,0))</f>
        <v/>
      </c>
      <c r="AC4618">
        <f>IF(AB4618&gt;AB4617,AB4618,"")</f>
        <v/>
      </c>
    </row>
    <row r="4619">
      <c r="W4619" s="7" t="n"/>
      <c r="X4619" s="7" t="n"/>
      <c r="Z4619">
        <f>Z4618+IF(W4619="",0,IF(ISNA(MATCH(W4619,W$256:W4618,0)),1,0))</f>
        <v/>
      </c>
      <c r="AA4619">
        <f>IF(Z4619&gt;Z4618,Z4619,"")</f>
        <v/>
      </c>
      <c r="AB4619">
        <f>AB4618+IF(X4619="",0,IF(ISNA(MATCH(X4619,X$256:X4618,0)),1,0))</f>
        <v/>
      </c>
      <c r="AC4619">
        <f>IF(AB4619&gt;AB4618,AB4619,"")</f>
        <v/>
      </c>
    </row>
    <row r="4620">
      <c r="W4620" s="7" t="n"/>
      <c r="X4620" s="7" t="n"/>
      <c r="Z4620">
        <f>Z4619+IF(W4620="",0,IF(ISNA(MATCH(W4620,W$256:W4619,0)),1,0))</f>
        <v/>
      </c>
      <c r="AA4620">
        <f>IF(Z4620&gt;Z4619,Z4620,"")</f>
        <v/>
      </c>
      <c r="AB4620">
        <f>AB4619+IF(X4620="",0,IF(ISNA(MATCH(X4620,X$256:X4619,0)),1,0))</f>
        <v/>
      </c>
      <c r="AC4620">
        <f>IF(AB4620&gt;AB4619,AB4620,"")</f>
        <v/>
      </c>
    </row>
    <row r="4621">
      <c r="W4621" s="7" t="n"/>
      <c r="X4621" s="7" t="n"/>
      <c r="Z4621">
        <f>Z4620+IF(W4621="",0,IF(ISNA(MATCH(W4621,W$256:W4620,0)),1,0))</f>
        <v/>
      </c>
      <c r="AA4621">
        <f>IF(Z4621&gt;Z4620,Z4621,"")</f>
        <v/>
      </c>
      <c r="AB4621">
        <f>AB4620+IF(X4621="",0,IF(ISNA(MATCH(X4621,X$256:X4620,0)),1,0))</f>
        <v/>
      </c>
      <c r="AC4621">
        <f>IF(AB4621&gt;AB4620,AB4621,"")</f>
        <v/>
      </c>
    </row>
    <row r="4622">
      <c r="W4622" s="7" t="n"/>
      <c r="X4622" s="7" t="n"/>
      <c r="Z4622">
        <f>Z4621+IF(W4622="",0,IF(ISNA(MATCH(W4622,W$256:W4621,0)),1,0))</f>
        <v/>
      </c>
      <c r="AA4622">
        <f>IF(Z4622&gt;Z4621,Z4622,"")</f>
        <v/>
      </c>
      <c r="AB4622">
        <f>AB4621+IF(X4622="",0,IF(ISNA(MATCH(X4622,X$256:X4621,0)),1,0))</f>
        <v/>
      </c>
      <c r="AC4622">
        <f>IF(AB4622&gt;AB4621,AB4622,"")</f>
        <v/>
      </c>
    </row>
    <row r="4623">
      <c r="W4623" s="7" t="n"/>
      <c r="X4623" s="7" t="n"/>
      <c r="Z4623">
        <f>Z4622+IF(W4623="",0,IF(ISNA(MATCH(W4623,W$256:W4622,0)),1,0))</f>
        <v/>
      </c>
      <c r="AA4623">
        <f>IF(Z4623&gt;Z4622,Z4623,"")</f>
        <v/>
      </c>
      <c r="AB4623">
        <f>AB4622+IF(X4623="",0,IF(ISNA(MATCH(X4623,X$256:X4622,0)),1,0))</f>
        <v/>
      </c>
      <c r="AC4623">
        <f>IF(AB4623&gt;AB4622,AB4623,"")</f>
        <v/>
      </c>
    </row>
    <row r="4624">
      <c r="W4624" s="7" t="n"/>
      <c r="X4624" s="7" t="n"/>
      <c r="Z4624">
        <f>Z4623+IF(W4624="",0,IF(ISNA(MATCH(W4624,W$256:W4623,0)),1,0))</f>
        <v/>
      </c>
      <c r="AA4624">
        <f>IF(Z4624&gt;Z4623,Z4624,"")</f>
        <v/>
      </c>
      <c r="AB4624">
        <f>AB4623+IF(X4624="",0,IF(ISNA(MATCH(X4624,X$256:X4623,0)),1,0))</f>
        <v/>
      </c>
      <c r="AC4624">
        <f>IF(AB4624&gt;AB4623,AB4624,"")</f>
        <v/>
      </c>
    </row>
    <row r="4625">
      <c r="W4625" s="7" t="n"/>
      <c r="X4625" s="7" t="n"/>
      <c r="Z4625">
        <f>Z4624+IF(W4625="",0,IF(ISNA(MATCH(W4625,W$256:W4624,0)),1,0))</f>
        <v/>
      </c>
      <c r="AA4625">
        <f>IF(Z4625&gt;Z4624,Z4625,"")</f>
        <v/>
      </c>
      <c r="AB4625">
        <f>AB4624+IF(X4625="",0,IF(ISNA(MATCH(X4625,X$256:X4624,0)),1,0))</f>
        <v/>
      </c>
      <c r="AC4625">
        <f>IF(AB4625&gt;AB4624,AB4625,"")</f>
        <v/>
      </c>
    </row>
    <row r="4626">
      <c r="W4626" s="7" t="n"/>
      <c r="X4626" s="7" t="n"/>
      <c r="Z4626">
        <f>Z4625+IF(W4626="",0,IF(ISNA(MATCH(W4626,W$256:W4625,0)),1,0))</f>
        <v/>
      </c>
      <c r="AA4626">
        <f>IF(Z4626&gt;Z4625,Z4626,"")</f>
        <v/>
      </c>
      <c r="AB4626">
        <f>AB4625+IF(X4626="",0,IF(ISNA(MATCH(X4626,X$256:X4625,0)),1,0))</f>
        <v/>
      </c>
      <c r="AC4626">
        <f>IF(AB4626&gt;AB4625,AB4626,"")</f>
        <v/>
      </c>
    </row>
    <row r="4627">
      <c r="W4627" s="7" t="n"/>
      <c r="X4627" s="7" t="n"/>
      <c r="Z4627">
        <f>Z4626+IF(W4627="",0,IF(ISNA(MATCH(W4627,W$256:W4626,0)),1,0))</f>
        <v/>
      </c>
      <c r="AA4627">
        <f>IF(Z4627&gt;Z4626,Z4627,"")</f>
        <v/>
      </c>
      <c r="AB4627">
        <f>AB4626+IF(X4627="",0,IF(ISNA(MATCH(X4627,X$256:X4626,0)),1,0))</f>
        <v/>
      </c>
      <c r="AC4627">
        <f>IF(AB4627&gt;AB4626,AB4627,"")</f>
        <v/>
      </c>
    </row>
    <row r="4628">
      <c r="W4628" s="7" t="n"/>
      <c r="X4628" s="7" t="n"/>
      <c r="Z4628">
        <f>Z4627+IF(W4628="",0,IF(ISNA(MATCH(W4628,W$256:W4627,0)),1,0))</f>
        <v/>
      </c>
      <c r="AA4628">
        <f>IF(Z4628&gt;Z4627,Z4628,"")</f>
        <v/>
      </c>
      <c r="AB4628">
        <f>AB4627+IF(X4628="",0,IF(ISNA(MATCH(X4628,X$256:X4627,0)),1,0))</f>
        <v/>
      </c>
      <c r="AC4628">
        <f>IF(AB4628&gt;AB4627,AB4628,"")</f>
        <v/>
      </c>
    </row>
    <row r="4629">
      <c r="W4629" s="7" t="n"/>
      <c r="X4629" s="7" t="n"/>
      <c r="Z4629">
        <f>Z4628+IF(W4629="",0,IF(ISNA(MATCH(W4629,W$256:W4628,0)),1,0))</f>
        <v/>
      </c>
      <c r="AA4629">
        <f>IF(Z4629&gt;Z4628,Z4629,"")</f>
        <v/>
      </c>
      <c r="AB4629">
        <f>AB4628+IF(X4629="",0,IF(ISNA(MATCH(X4629,X$256:X4628,0)),1,0))</f>
        <v/>
      </c>
      <c r="AC4629">
        <f>IF(AB4629&gt;AB4628,AB4629,"")</f>
        <v/>
      </c>
    </row>
    <row r="4630">
      <c r="W4630" s="7" t="n"/>
      <c r="X4630" s="7" t="n"/>
      <c r="Z4630">
        <f>Z4629+IF(W4630="",0,IF(ISNA(MATCH(W4630,W$256:W4629,0)),1,0))</f>
        <v/>
      </c>
      <c r="AA4630">
        <f>IF(Z4630&gt;Z4629,Z4630,"")</f>
        <v/>
      </c>
      <c r="AB4630">
        <f>AB4629+IF(X4630="",0,IF(ISNA(MATCH(X4630,X$256:X4629,0)),1,0))</f>
        <v/>
      </c>
      <c r="AC4630">
        <f>IF(AB4630&gt;AB4629,AB4630,"")</f>
        <v/>
      </c>
    </row>
    <row r="4631">
      <c r="W4631" s="7" t="n"/>
      <c r="X4631" s="7" t="n"/>
      <c r="Z4631">
        <f>Z4630+IF(W4631="",0,IF(ISNA(MATCH(W4631,W$256:W4630,0)),1,0))</f>
        <v/>
      </c>
      <c r="AA4631">
        <f>IF(Z4631&gt;Z4630,Z4631,"")</f>
        <v/>
      </c>
      <c r="AB4631">
        <f>AB4630+IF(X4631="",0,IF(ISNA(MATCH(X4631,X$256:X4630,0)),1,0))</f>
        <v/>
      </c>
      <c r="AC4631">
        <f>IF(AB4631&gt;AB4630,AB4631,"")</f>
        <v/>
      </c>
    </row>
    <row r="4632">
      <c r="W4632" s="7" t="n"/>
      <c r="X4632" s="7" t="n"/>
      <c r="Z4632">
        <f>Z4631+IF(W4632="",0,IF(ISNA(MATCH(W4632,W$256:W4631,0)),1,0))</f>
        <v/>
      </c>
      <c r="AA4632">
        <f>IF(Z4632&gt;Z4631,Z4632,"")</f>
        <v/>
      </c>
      <c r="AB4632">
        <f>AB4631+IF(X4632="",0,IF(ISNA(MATCH(X4632,X$256:X4631,0)),1,0))</f>
        <v/>
      </c>
      <c r="AC4632">
        <f>IF(AB4632&gt;AB4631,AB4632,"")</f>
        <v/>
      </c>
    </row>
    <row r="4633">
      <c r="W4633" s="7" t="n"/>
      <c r="X4633" s="7" t="n"/>
      <c r="Z4633">
        <f>Z4632+IF(W4633="",0,IF(ISNA(MATCH(W4633,W$256:W4632,0)),1,0))</f>
        <v/>
      </c>
      <c r="AA4633">
        <f>IF(Z4633&gt;Z4632,Z4633,"")</f>
        <v/>
      </c>
      <c r="AB4633">
        <f>AB4632+IF(X4633="",0,IF(ISNA(MATCH(X4633,X$256:X4632,0)),1,0))</f>
        <v/>
      </c>
      <c r="AC4633">
        <f>IF(AB4633&gt;AB4632,AB4633,"")</f>
        <v/>
      </c>
    </row>
    <row r="4634">
      <c r="W4634" s="7" t="n"/>
      <c r="X4634" s="7" t="n"/>
      <c r="Z4634">
        <f>Z4633+IF(W4634="",0,IF(ISNA(MATCH(W4634,W$256:W4633,0)),1,0))</f>
        <v/>
      </c>
      <c r="AA4634">
        <f>IF(Z4634&gt;Z4633,Z4634,"")</f>
        <v/>
      </c>
      <c r="AB4634">
        <f>AB4633+IF(X4634="",0,IF(ISNA(MATCH(X4634,X$256:X4633,0)),1,0))</f>
        <v/>
      </c>
      <c r="AC4634">
        <f>IF(AB4634&gt;AB4633,AB4634,"")</f>
        <v/>
      </c>
    </row>
    <row r="4635">
      <c r="W4635" s="7" t="n"/>
      <c r="X4635" s="7" t="n"/>
      <c r="Z4635">
        <f>Z4634+IF(W4635="",0,IF(ISNA(MATCH(W4635,W$256:W4634,0)),1,0))</f>
        <v/>
      </c>
      <c r="AA4635">
        <f>IF(Z4635&gt;Z4634,Z4635,"")</f>
        <v/>
      </c>
      <c r="AB4635">
        <f>AB4634+IF(X4635="",0,IF(ISNA(MATCH(X4635,X$256:X4634,0)),1,0))</f>
        <v/>
      </c>
      <c r="AC4635">
        <f>IF(AB4635&gt;AB4634,AB4635,"")</f>
        <v/>
      </c>
    </row>
    <row r="4636">
      <c r="W4636" s="7" t="n"/>
      <c r="X4636" s="7" t="n"/>
      <c r="Z4636">
        <f>Z4635+IF(W4636="",0,IF(ISNA(MATCH(W4636,W$256:W4635,0)),1,0))</f>
        <v/>
      </c>
      <c r="AA4636">
        <f>IF(Z4636&gt;Z4635,Z4636,"")</f>
        <v/>
      </c>
      <c r="AB4636">
        <f>AB4635+IF(X4636="",0,IF(ISNA(MATCH(X4636,X$256:X4635,0)),1,0))</f>
        <v/>
      </c>
      <c r="AC4636">
        <f>IF(AB4636&gt;AB4635,AB4636,"")</f>
        <v/>
      </c>
    </row>
    <row r="4637">
      <c r="W4637" s="7" t="n"/>
      <c r="X4637" s="7" t="n"/>
      <c r="Z4637">
        <f>Z4636+IF(W4637="",0,IF(ISNA(MATCH(W4637,W$256:W4636,0)),1,0))</f>
        <v/>
      </c>
      <c r="AA4637">
        <f>IF(Z4637&gt;Z4636,Z4637,"")</f>
        <v/>
      </c>
      <c r="AB4637">
        <f>AB4636+IF(X4637="",0,IF(ISNA(MATCH(X4637,X$256:X4636,0)),1,0))</f>
        <v/>
      </c>
      <c r="AC4637">
        <f>IF(AB4637&gt;AB4636,AB4637,"")</f>
        <v/>
      </c>
    </row>
    <row r="4638">
      <c r="W4638" s="7" t="n"/>
      <c r="X4638" s="7" t="n"/>
      <c r="Z4638">
        <f>Z4637+IF(W4638="",0,IF(ISNA(MATCH(W4638,W$256:W4637,0)),1,0))</f>
        <v/>
      </c>
      <c r="AA4638">
        <f>IF(Z4638&gt;Z4637,Z4638,"")</f>
        <v/>
      </c>
      <c r="AB4638">
        <f>AB4637+IF(X4638="",0,IF(ISNA(MATCH(X4638,X$256:X4637,0)),1,0))</f>
        <v/>
      </c>
      <c r="AC4638">
        <f>IF(AB4638&gt;AB4637,AB4638,"")</f>
        <v/>
      </c>
    </row>
    <row r="4639">
      <c r="W4639" s="7" t="n"/>
      <c r="X4639" s="7" t="n"/>
      <c r="Z4639">
        <f>Z4638+IF(W4639="",0,IF(ISNA(MATCH(W4639,W$256:W4638,0)),1,0))</f>
        <v/>
      </c>
      <c r="AA4639">
        <f>IF(Z4639&gt;Z4638,Z4639,"")</f>
        <v/>
      </c>
      <c r="AB4639">
        <f>AB4638+IF(X4639="",0,IF(ISNA(MATCH(X4639,X$256:X4638,0)),1,0))</f>
        <v/>
      </c>
      <c r="AC4639">
        <f>IF(AB4639&gt;AB4638,AB4639,"")</f>
        <v/>
      </c>
    </row>
    <row r="4640">
      <c r="W4640" s="7" t="n"/>
      <c r="X4640" s="7" t="n"/>
      <c r="Z4640">
        <f>Z4639+IF(W4640="",0,IF(ISNA(MATCH(W4640,W$256:W4639,0)),1,0))</f>
        <v/>
      </c>
      <c r="AA4640">
        <f>IF(Z4640&gt;Z4639,Z4640,"")</f>
        <v/>
      </c>
      <c r="AB4640">
        <f>AB4639+IF(X4640="",0,IF(ISNA(MATCH(X4640,X$256:X4639,0)),1,0))</f>
        <v/>
      </c>
      <c r="AC4640">
        <f>IF(AB4640&gt;AB4639,AB4640,"")</f>
        <v/>
      </c>
    </row>
    <row r="4641">
      <c r="W4641" s="7" t="n"/>
      <c r="X4641" s="7" t="n"/>
      <c r="Z4641">
        <f>Z4640+IF(W4641="",0,IF(ISNA(MATCH(W4641,W$256:W4640,0)),1,0))</f>
        <v/>
      </c>
      <c r="AA4641">
        <f>IF(Z4641&gt;Z4640,Z4641,"")</f>
        <v/>
      </c>
      <c r="AB4641">
        <f>AB4640+IF(X4641="",0,IF(ISNA(MATCH(X4641,X$256:X4640,0)),1,0))</f>
        <v/>
      </c>
      <c r="AC4641">
        <f>IF(AB4641&gt;AB4640,AB4641,"")</f>
        <v/>
      </c>
    </row>
    <row r="4642">
      <c r="W4642" s="7" t="n"/>
      <c r="X4642" s="7" t="n"/>
      <c r="Z4642">
        <f>Z4641+IF(W4642="",0,IF(ISNA(MATCH(W4642,W$256:W4641,0)),1,0))</f>
        <v/>
      </c>
      <c r="AA4642">
        <f>IF(Z4642&gt;Z4641,Z4642,"")</f>
        <v/>
      </c>
      <c r="AB4642">
        <f>AB4641+IF(X4642="",0,IF(ISNA(MATCH(X4642,X$256:X4641,0)),1,0))</f>
        <v/>
      </c>
      <c r="AC4642">
        <f>IF(AB4642&gt;AB4641,AB4642,"")</f>
        <v/>
      </c>
    </row>
    <row r="4643">
      <c r="W4643" s="7" t="n"/>
      <c r="X4643" s="7" t="n"/>
      <c r="Z4643">
        <f>Z4642+IF(W4643="",0,IF(ISNA(MATCH(W4643,W$256:W4642,0)),1,0))</f>
        <v/>
      </c>
      <c r="AA4643">
        <f>IF(Z4643&gt;Z4642,Z4643,"")</f>
        <v/>
      </c>
      <c r="AB4643">
        <f>AB4642+IF(X4643="",0,IF(ISNA(MATCH(X4643,X$256:X4642,0)),1,0))</f>
        <v/>
      </c>
      <c r="AC4643">
        <f>IF(AB4643&gt;AB4642,AB4643,"")</f>
        <v/>
      </c>
    </row>
    <row r="4644">
      <c r="W4644" s="7" t="n"/>
      <c r="X4644" s="7" t="n"/>
      <c r="Z4644">
        <f>Z4643+IF(W4644="",0,IF(ISNA(MATCH(W4644,W$256:W4643,0)),1,0))</f>
        <v/>
      </c>
      <c r="AA4644">
        <f>IF(Z4644&gt;Z4643,Z4644,"")</f>
        <v/>
      </c>
      <c r="AB4644">
        <f>AB4643+IF(X4644="",0,IF(ISNA(MATCH(X4644,X$256:X4643,0)),1,0))</f>
        <v/>
      </c>
      <c r="AC4644">
        <f>IF(AB4644&gt;AB4643,AB4644,"")</f>
        <v/>
      </c>
    </row>
    <row r="4645">
      <c r="W4645" s="7" t="n"/>
      <c r="X4645" s="7" t="n"/>
      <c r="Z4645">
        <f>Z4644+IF(W4645="",0,IF(ISNA(MATCH(W4645,W$256:W4644,0)),1,0))</f>
        <v/>
      </c>
      <c r="AA4645">
        <f>IF(Z4645&gt;Z4644,Z4645,"")</f>
        <v/>
      </c>
      <c r="AB4645">
        <f>AB4644+IF(X4645="",0,IF(ISNA(MATCH(X4645,X$256:X4644,0)),1,0))</f>
        <v/>
      </c>
      <c r="AC4645">
        <f>IF(AB4645&gt;AB4644,AB4645,"")</f>
        <v/>
      </c>
    </row>
    <row r="4646">
      <c r="W4646" s="7" t="n"/>
      <c r="X4646" s="7" t="n"/>
      <c r="Z4646">
        <f>Z4645+IF(W4646="",0,IF(ISNA(MATCH(W4646,W$256:W4645,0)),1,0))</f>
        <v/>
      </c>
      <c r="AA4646">
        <f>IF(Z4646&gt;Z4645,Z4646,"")</f>
        <v/>
      </c>
      <c r="AB4646">
        <f>AB4645+IF(X4646="",0,IF(ISNA(MATCH(X4646,X$256:X4645,0)),1,0))</f>
        <v/>
      </c>
      <c r="AC4646">
        <f>IF(AB4646&gt;AB4645,AB4646,"")</f>
        <v/>
      </c>
    </row>
    <row r="4647">
      <c r="W4647" s="7" t="n"/>
      <c r="X4647" s="7" t="n"/>
      <c r="Z4647">
        <f>Z4646+IF(W4647="",0,IF(ISNA(MATCH(W4647,W$256:W4646,0)),1,0))</f>
        <v/>
      </c>
      <c r="AA4647">
        <f>IF(Z4647&gt;Z4646,Z4647,"")</f>
        <v/>
      </c>
      <c r="AB4647">
        <f>AB4646+IF(X4647="",0,IF(ISNA(MATCH(X4647,X$256:X4646,0)),1,0))</f>
        <v/>
      </c>
      <c r="AC4647">
        <f>IF(AB4647&gt;AB4646,AB4647,"")</f>
        <v/>
      </c>
    </row>
    <row r="4648">
      <c r="W4648" s="7" t="n"/>
      <c r="X4648" s="7" t="n"/>
      <c r="Z4648">
        <f>Z4647+IF(W4648="",0,IF(ISNA(MATCH(W4648,W$256:W4647,0)),1,0))</f>
        <v/>
      </c>
      <c r="AA4648">
        <f>IF(Z4648&gt;Z4647,Z4648,"")</f>
        <v/>
      </c>
      <c r="AB4648">
        <f>AB4647+IF(X4648="",0,IF(ISNA(MATCH(X4648,X$256:X4647,0)),1,0))</f>
        <v/>
      </c>
      <c r="AC4648">
        <f>IF(AB4648&gt;AB4647,AB4648,"")</f>
        <v/>
      </c>
    </row>
    <row r="4649">
      <c r="W4649" s="7" t="n"/>
      <c r="X4649" s="7" t="n"/>
      <c r="Z4649">
        <f>Z4648+IF(W4649="",0,IF(ISNA(MATCH(W4649,W$256:W4648,0)),1,0))</f>
        <v/>
      </c>
      <c r="AA4649">
        <f>IF(Z4649&gt;Z4648,Z4649,"")</f>
        <v/>
      </c>
      <c r="AB4649">
        <f>AB4648+IF(X4649="",0,IF(ISNA(MATCH(X4649,X$256:X4648,0)),1,0))</f>
        <v/>
      </c>
      <c r="AC4649">
        <f>IF(AB4649&gt;AB4648,AB4649,"")</f>
        <v/>
      </c>
    </row>
    <row r="4650">
      <c r="W4650" s="7" t="n"/>
      <c r="X4650" s="7" t="n"/>
      <c r="Z4650">
        <f>Z4649+IF(W4650="",0,IF(ISNA(MATCH(W4650,W$256:W4649,0)),1,0))</f>
        <v/>
      </c>
      <c r="AA4650">
        <f>IF(Z4650&gt;Z4649,Z4650,"")</f>
        <v/>
      </c>
      <c r="AB4650">
        <f>AB4649+IF(X4650="",0,IF(ISNA(MATCH(X4650,X$256:X4649,0)),1,0))</f>
        <v/>
      </c>
      <c r="AC4650">
        <f>IF(AB4650&gt;AB4649,AB4650,"")</f>
        <v/>
      </c>
    </row>
    <row r="4651">
      <c r="W4651" s="7" t="n"/>
      <c r="X4651" s="7" t="n"/>
      <c r="Z4651">
        <f>Z4650+IF(W4651="",0,IF(ISNA(MATCH(W4651,W$256:W4650,0)),1,0))</f>
        <v/>
      </c>
      <c r="AA4651">
        <f>IF(Z4651&gt;Z4650,Z4651,"")</f>
        <v/>
      </c>
      <c r="AB4651">
        <f>AB4650+IF(X4651="",0,IF(ISNA(MATCH(X4651,X$256:X4650,0)),1,0))</f>
        <v/>
      </c>
      <c r="AC4651">
        <f>IF(AB4651&gt;AB4650,AB4651,"")</f>
        <v/>
      </c>
    </row>
    <row r="4652">
      <c r="W4652" s="7" t="n"/>
      <c r="X4652" s="7" t="n"/>
      <c r="Z4652">
        <f>Z4651+IF(W4652="",0,IF(ISNA(MATCH(W4652,W$256:W4651,0)),1,0))</f>
        <v/>
      </c>
      <c r="AA4652">
        <f>IF(Z4652&gt;Z4651,Z4652,"")</f>
        <v/>
      </c>
      <c r="AB4652">
        <f>AB4651+IF(X4652="",0,IF(ISNA(MATCH(X4652,X$256:X4651,0)),1,0))</f>
        <v/>
      </c>
      <c r="AC4652">
        <f>IF(AB4652&gt;AB4651,AB4652,"")</f>
        <v/>
      </c>
    </row>
    <row r="4653">
      <c r="W4653" s="7" t="n"/>
      <c r="X4653" s="7" t="n"/>
      <c r="Z4653">
        <f>Z4652+IF(W4653="",0,IF(ISNA(MATCH(W4653,W$256:W4652,0)),1,0))</f>
        <v/>
      </c>
      <c r="AA4653">
        <f>IF(Z4653&gt;Z4652,Z4653,"")</f>
        <v/>
      </c>
      <c r="AB4653">
        <f>AB4652+IF(X4653="",0,IF(ISNA(MATCH(X4653,X$256:X4652,0)),1,0))</f>
        <v/>
      </c>
      <c r="AC4653">
        <f>IF(AB4653&gt;AB4652,AB4653,"")</f>
        <v/>
      </c>
    </row>
    <row r="4654">
      <c r="W4654" s="7" t="n"/>
      <c r="X4654" s="7" t="n"/>
      <c r="Z4654">
        <f>Z4653+IF(W4654="",0,IF(ISNA(MATCH(W4654,W$256:W4653,0)),1,0))</f>
        <v/>
      </c>
      <c r="AA4654">
        <f>IF(Z4654&gt;Z4653,Z4654,"")</f>
        <v/>
      </c>
      <c r="AB4654">
        <f>AB4653+IF(X4654="",0,IF(ISNA(MATCH(X4654,X$256:X4653,0)),1,0))</f>
        <v/>
      </c>
      <c r="AC4654">
        <f>IF(AB4654&gt;AB4653,AB4654,"")</f>
        <v/>
      </c>
    </row>
    <row r="4655">
      <c r="W4655" s="7" t="n"/>
      <c r="X4655" s="7" t="n"/>
      <c r="Z4655">
        <f>Z4654+IF(W4655="",0,IF(ISNA(MATCH(W4655,W$256:W4654,0)),1,0))</f>
        <v/>
      </c>
      <c r="AA4655">
        <f>IF(Z4655&gt;Z4654,Z4655,"")</f>
        <v/>
      </c>
      <c r="AB4655">
        <f>AB4654+IF(X4655="",0,IF(ISNA(MATCH(X4655,X$256:X4654,0)),1,0))</f>
        <v/>
      </c>
      <c r="AC4655">
        <f>IF(AB4655&gt;AB4654,AB4655,"")</f>
        <v/>
      </c>
    </row>
    <row r="4656">
      <c r="W4656" s="7" t="n"/>
      <c r="X4656" s="7" t="n"/>
      <c r="Z4656">
        <f>Z4655+IF(W4656="",0,IF(ISNA(MATCH(W4656,W$256:W4655,0)),1,0))</f>
        <v/>
      </c>
      <c r="AA4656">
        <f>IF(Z4656&gt;Z4655,Z4656,"")</f>
        <v/>
      </c>
      <c r="AB4656">
        <f>AB4655+IF(X4656="",0,IF(ISNA(MATCH(X4656,X$256:X4655,0)),1,0))</f>
        <v/>
      </c>
      <c r="AC4656">
        <f>IF(AB4656&gt;AB4655,AB4656,"")</f>
        <v/>
      </c>
    </row>
    <row r="4657">
      <c r="W4657" s="7" t="n"/>
      <c r="X4657" s="7" t="n"/>
      <c r="Z4657">
        <f>Z4656+IF(W4657="",0,IF(ISNA(MATCH(W4657,W$256:W4656,0)),1,0))</f>
        <v/>
      </c>
      <c r="AA4657">
        <f>IF(Z4657&gt;Z4656,Z4657,"")</f>
        <v/>
      </c>
      <c r="AB4657">
        <f>AB4656+IF(X4657="",0,IF(ISNA(MATCH(X4657,X$256:X4656,0)),1,0))</f>
        <v/>
      </c>
      <c r="AC4657">
        <f>IF(AB4657&gt;AB4656,AB4657,"")</f>
        <v/>
      </c>
    </row>
    <row r="4658">
      <c r="W4658" s="7" t="n"/>
      <c r="X4658" s="7" t="n"/>
      <c r="Z4658">
        <f>Z4657+IF(W4658="",0,IF(ISNA(MATCH(W4658,W$256:W4657,0)),1,0))</f>
        <v/>
      </c>
      <c r="AA4658">
        <f>IF(Z4658&gt;Z4657,Z4658,"")</f>
        <v/>
      </c>
      <c r="AB4658">
        <f>AB4657+IF(X4658="",0,IF(ISNA(MATCH(X4658,X$256:X4657,0)),1,0))</f>
        <v/>
      </c>
      <c r="AC4658">
        <f>IF(AB4658&gt;AB4657,AB4658,"")</f>
        <v/>
      </c>
    </row>
    <row r="4659">
      <c r="W4659" s="7" t="n"/>
      <c r="X4659" s="7" t="n"/>
      <c r="Z4659">
        <f>Z4658+IF(W4659="",0,IF(ISNA(MATCH(W4659,W$256:W4658,0)),1,0))</f>
        <v/>
      </c>
      <c r="AA4659">
        <f>IF(Z4659&gt;Z4658,Z4659,"")</f>
        <v/>
      </c>
      <c r="AB4659">
        <f>AB4658+IF(X4659="",0,IF(ISNA(MATCH(X4659,X$256:X4658,0)),1,0))</f>
        <v/>
      </c>
      <c r="AC4659">
        <f>IF(AB4659&gt;AB4658,AB4659,"")</f>
        <v/>
      </c>
    </row>
    <row r="4660">
      <c r="W4660" s="7" t="n"/>
      <c r="X4660" s="7" t="n"/>
      <c r="Z4660">
        <f>Z4659+IF(W4660="",0,IF(ISNA(MATCH(W4660,W$256:W4659,0)),1,0))</f>
        <v/>
      </c>
      <c r="AA4660">
        <f>IF(Z4660&gt;Z4659,Z4660,"")</f>
        <v/>
      </c>
      <c r="AB4660">
        <f>AB4659+IF(X4660="",0,IF(ISNA(MATCH(X4660,X$256:X4659,0)),1,0))</f>
        <v/>
      </c>
      <c r="AC4660">
        <f>IF(AB4660&gt;AB4659,AB4660,"")</f>
        <v/>
      </c>
    </row>
    <row r="4661">
      <c r="W4661" s="7" t="n"/>
      <c r="X4661" s="7" t="n"/>
      <c r="Z4661">
        <f>Z4660+IF(W4661="",0,IF(ISNA(MATCH(W4661,W$256:W4660,0)),1,0))</f>
        <v/>
      </c>
      <c r="AA4661">
        <f>IF(Z4661&gt;Z4660,Z4661,"")</f>
        <v/>
      </c>
      <c r="AB4661">
        <f>AB4660+IF(X4661="",0,IF(ISNA(MATCH(X4661,X$256:X4660,0)),1,0))</f>
        <v/>
      </c>
      <c r="AC4661">
        <f>IF(AB4661&gt;AB4660,AB4661,"")</f>
        <v/>
      </c>
    </row>
    <row r="4662">
      <c r="W4662" s="7" t="n"/>
      <c r="X4662" s="7" t="n"/>
      <c r="Z4662">
        <f>Z4661+IF(W4662="",0,IF(ISNA(MATCH(W4662,W$256:W4661,0)),1,0))</f>
        <v/>
      </c>
      <c r="AA4662">
        <f>IF(Z4662&gt;Z4661,Z4662,"")</f>
        <v/>
      </c>
      <c r="AB4662">
        <f>AB4661+IF(X4662="",0,IF(ISNA(MATCH(X4662,X$256:X4661,0)),1,0))</f>
        <v/>
      </c>
      <c r="AC4662">
        <f>IF(AB4662&gt;AB4661,AB4662,"")</f>
        <v/>
      </c>
    </row>
    <row r="4663">
      <c r="W4663" s="7" t="n"/>
      <c r="X4663" s="7" t="n"/>
      <c r="Z4663">
        <f>Z4662+IF(W4663="",0,IF(ISNA(MATCH(W4663,W$256:W4662,0)),1,0))</f>
        <v/>
      </c>
      <c r="AA4663">
        <f>IF(Z4663&gt;Z4662,Z4663,"")</f>
        <v/>
      </c>
      <c r="AB4663">
        <f>AB4662+IF(X4663="",0,IF(ISNA(MATCH(X4663,X$256:X4662,0)),1,0))</f>
        <v/>
      </c>
      <c r="AC4663">
        <f>IF(AB4663&gt;AB4662,AB4663,"")</f>
        <v/>
      </c>
    </row>
    <row r="4664">
      <c r="W4664" s="7" t="n"/>
      <c r="X4664" s="7" t="n"/>
      <c r="Z4664">
        <f>Z4663+IF(W4664="",0,IF(ISNA(MATCH(W4664,W$256:W4663,0)),1,0))</f>
        <v/>
      </c>
      <c r="AA4664">
        <f>IF(Z4664&gt;Z4663,Z4664,"")</f>
        <v/>
      </c>
      <c r="AB4664">
        <f>AB4663+IF(X4664="",0,IF(ISNA(MATCH(X4664,X$256:X4663,0)),1,0))</f>
        <v/>
      </c>
      <c r="AC4664">
        <f>IF(AB4664&gt;AB4663,AB4664,"")</f>
        <v/>
      </c>
    </row>
    <row r="4665">
      <c r="W4665" s="7" t="n"/>
      <c r="X4665" s="7" t="n"/>
      <c r="Z4665">
        <f>Z4664+IF(W4665="",0,IF(ISNA(MATCH(W4665,W$256:W4664,0)),1,0))</f>
        <v/>
      </c>
      <c r="AA4665">
        <f>IF(Z4665&gt;Z4664,Z4665,"")</f>
        <v/>
      </c>
      <c r="AB4665">
        <f>AB4664+IF(X4665="",0,IF(ISNA(MATCH(X4665,X$256:X4664,0)),1,0))</f>
        <v/>
      </c>
      <c r="AC4665">
        <f>IF(AB4665&gt;AB4664,AB4665,"")</f>
        <v/>
      </c>
    </row>
    <row r="4666">
      <c r="W4666" s="7" t="n"/>
      <c r="X4666" s="7" t="n"/>
      <c r="Z4666">
        <f>Z4665+IF(W4666="",0,IF(ISNA(MATCH(W4666,W$256:W4665,0)),1,0))</f>
        <v/>
      </c>
      <c r="AA4666">
        <f>IF(Z4666&gt;Z4665,Z4666,"")</f>
        <v/>
      </c>
      <c r="AB4666">
        <f>AB4665+IF(X4666="",0,IF(ISNA(MATCH(X4666,X$256:X4665,0)),1,0))</f>
        <v/>
      </c>
      <c r="AC4666">
        <f>IF(AB4666&gt;AB4665,AB4666,"")</f>
        <v/>
      </c>
    </row>
    <row r="4667">
      <c r="W4667" s="7" t="n"/>
      <c r="X4667" s="7" t="n"/>
      <c r="Z4667">
        <f>Z4666+IF(W4667="",0,IF(ISNA(MATCH(W4667,W$256:W4666,0)),1,0))</f>
        <v/>
      </c>
      <c r="AA4667">
        <f>IF(Z4667&gt;Z4666,Z4667,"")</f>
        <v/>
      </c>
      <c r="AB4667">
        <f>AB4666+IF(X4667="",0,IF(ISNA(MATCH(X4667,X$256:X4666,0)),1,0))</f>
        <v/>
      </c>
      <c r="AC4667">
        <f>IF(AB4667&gt;AB4666,AB4667,"")</f>
        <v/>
      </c>
    </row>
    <row r="4668">
      <c r="W4668" s="7" t="n"/>
      <c r="X4668" s="7" t="n"/>
      <c r="Z4668">
        <f>Z4667+IF(W4668="",0,IF(ISNA(MATCH(W4668,W$256:W4667,0)),1,0))</f>
        <v/>
      </c>
      <c r="AA4668">
        <f>IF(Z4668&gt;Z4667,Z4668,"")</f>
        <v/>
      </c>
      <c r="AB4668">
        <f>AB4667+IF(X4668="",0,IF(ISNA(MATCH(X4668,X$256:X4667,0)),1,0))</f>
        <v/>
      </c>
      <c r="AC4668">
        <f>IF(AB4668&gt;AB4667,AB4668,"")</f>
        <v/>
      </c>
    </row>
    <row r="4669">
      <c r="W4669" s="7" t="n"/>
      <c r="X4669" s="7" t="n"/>
      <c r="Z4669">
        <f>Z4668+IF(W4669="",0,IF(ISNA(MATCH(W4669,W$256:W4668,0)),1,0))</f>
        <v/>
      </c>
      <c r="AA4669">
        <f>IF(Z4669&gt;Z4668,Z4669,"")</f>
        <v/>
      </c>
      <c r="AB4669">
        <f>AB4668+IF(X4669="",0,IF(ISNA(MATCH(X4669,X$256:X4668,0)),1,0))</f>
        <v/>
      </c>
      <c r="AC4669">
        <f>IF(AB4669&gt;AB4668,AB4669,"")</f>
        <v/>
      </c>
    </row>
    <row r="4670">
      <c r="W4670" s="7" t="n"/>
      <c r="X4670" s="7" t="n"/>
      <c r="Z4670">
        <f>Z4669+IF(W4670="",0,IF(ISNA(MATCH(W4670,W$256:W4669,0)),1,0))</f>
        <v/>
      </c>
      <c r="AA4670">
        <f>IF(Z4670&gt;Z4669,Z4670,"")</f>
        <v/>
      </c>
      <c r="AB4670">
        <f>AB4669+IF(X4670="",0,IF(ISNA(MATCH(X4670,X$256:X4669,0)),1,0))</f>
        <v/>
      </c>
      <c r="AC4670">
        <f>IF(AB4670&gt;AB4669,AB4670,"")</f>
        <v/>
      </c>
    </row>
    <row r="4671">
      <c r="W4671" s="7" t="n"/>
      <c r="X4671" s="7" t="n"/>
      <c r="Z4671">
        <f>Z4670+IF(W4671="",0,IF(ISNA(MATCH(W4671,W$256:W4670,0)),1,0))</f>
        <v/>
      </c>
      <c r="AA4671">
        <f>IF(Z4671&gt;Z4670,Z4671,"")</f>
        <v/>
      </c>
      <c r="AB4671">
        <f>AB4670+IF(X4671="",0,IF(ISNA(MATCH(X4671,X$256:X4670,0)),1,0))</f>
        <v/>
      </c>
      <c r="AC4671">
        <f>IF(AB4671&gt;AB4670,AB4671,"")</f>
        <v/>
      </c>
    </row>
    <row r="4672">
      <c r="W4672" s="7" t="n"/>
      <c r="X4672" s="7" t="n"/>
      <c r="Z4672">
        <f>Z4671+IF(W4672="",0,IF(ISNA(MATCH(W4672,W$256:W4671,0)),1,0))</f>
        <v/>
      </c>
      <c r="AA4672">
        <f>IF(Z4672&gt;Z4671,Z4672,"")</f>
        <v/>
      </c>
      <c r="AB4672">
        <f>AB4671+IF(X4672="",0,IF(ISNA(MATCH(X4672,X$256:X4671,0)),1,0))</f>
        <v/>
      </c>
      <c r="AC4672">
        <f>IF(AB4672&gt;AB4671,AB4672,"")</f>
        <v/>
      </c>
    </row>
    <row r="4673">
      <c r="W4673" s="7" t="n"/>
      <c r="X4673" s="7" t="n"/>
      <c r="Z4673">
        <f>Z4672+IF(W4673="",0,IF(ISNA(MATCH(W4673,W$256:W4672,0)),1,0))</f>
        <v/>
      </c>
      <c r="AA4673">
        <f>IF(Z4673&gt;Z4672,Z4673,"")</f>
        <v/>
      </c>
      <c r="AB4673">
        <f>AB4672+IF(X4673="",0,IF(ISNA(MATCH(X4673,X$256:X4672,0)),1,0))</f>
        <v/>
      </c>
      <c r="AC4673">
        <f>IF(AB4673&gt;AB4672,AB4673,"")</f>
        <v/>
      </c>
    </row>
    <row r="4674">
      <c r="W4674" s="7" t="n"/>
      <c r="X4674" s="7" t="n"/>
      <c r="Z4674">
        <f>Z4673+IF(W4674="",0,IF(ISNA(MATCH(W4674,W$256:W4673,0)),1,0))</f>
        <v/>
      </c>
      <c r="AA4674">
        <f>IF(Z4674&gt;Z4673,Z4674,"")</f>
        <v/>
      </c>
      <c r="AB4674">
        <f>AB4673+IF(X4674="",0,IF(ISNA(MATCH(X4674,X$256:X4673,0)),1,0))</f>
        <v/>
      </c>
      <c r="AC4674">
        <f>IF(AB4674&gt;AB4673,AB4674,"")</f>
        <v/>
      </c>
    </row>
    <row r="4675">
      <c r="W4675" s="7" t="n"/>
      <c r="X4675" s="7" t="n"/>
      <c r="Z4675">
        <f>Z4674+IF(W4675="",0,IF(ISNA(MATCH(W4675,W$256:W4674,0)),1,0))</f>
        <v/>
      </c>
      <c r="AA4675">
        <f>IF(Z4675&gt;Z4674,Z4675,"")</f>
        <v/>
      </c>
      <c r="AB4675">
        <f>AB4674+IF(X4675="",0,IF(ISNA(MATCH(X4675,X$256:X4674,0)),1,0))</f>
        <v/>
      </c>
      <c r="AC4675">
        <f>IF(AB4675&gt;AB4674,AB4675,"")</f>
        <v/>
      </c>
    </row>
    <row r="4676">
      <c r="W4676" s="7" t="n"/>
      <c r="X4676" s="7" t="n"/>
      <c r="Z4676">
        <f>Z4675+IF(W4676="",0,IF(ISNA(MATCH(W4676,W$256:W4675,0)),1,0))</f>
        <v/>
      </c>
      <c r="AA4676">
        <f>IF(Z4676&gt;Z4675,Z4676,"")</f>
        <v/>
      </c>
      <c r="AB4676">
        <f>AB4675+IF(X4676="",0,IF(ISNA(MATCH(X4676,X$256:X4675,0)),1,0))</f>
        <v/>
      </c>
      <c r="AC4676">
        <f>IF(AB4676&gt;AB4675,AB4676,"")</f>
        <v/>
      </c>
    </row>
    <row r="4677">
      <c r="W4677" s="7" t="n"/>
      <c r="X4677" s="7" t="n"/>
      <c r="Z4677">
        <f>Z4676+IF(W4677="",0,IF(ISNA(MATCH(W4677,W$256:W4676,0)),1,0))</f>
        <v/>
      </c>
      <c r="AA4677">
        <f>IF(Z4677&gt;Z4676,Z4677,"")</f>
        <v/>
      </c>
      <c r="AB4677">
        <f>AB4676+IF(X4677="",0,IF(ISNA(MATCH(X4677,X$256:X4676,0)),1,0))</f>
        <v/>
      </c>
      <c r="AC4677">
        <f>IF(AB4677&gt;AB4676,AB4677,"")</f>
        <v/>
      </c>
    </row>
    <row r="4678">
      <c r="W4678" s="7" t="n"/>
      <c r="X4678" s="7" t="n"/>
      <c r="Z4678">
        <f>Z4677+IF(W4678="",0,IF(ISNA(MATCH(W4678,W$256:W4677,0)),1,0))</f>
        <v/>
      </c>
      <c r="AA4678">
        <f>IF(Z4678&gt;Z4677,Z4678,"")</f>
        <v/>
      </c>
      <c r="AB4678">
        <f>AB4677+IF(X4678="",0,IF(ISNA(MATCH(X4678,X$256:X4677,0)),1,0))</f>
        <v/>
      </c>
      <c r="AC4678">
        <f>IF(AB4678&gt;AB4677,AB4678,"")</f>
        <v/>
      </c>
    </row>
    <row r="4679">
      <c r="W4679" s="7" t="n"/>
      <c r="X4679" s="7" t="n"/>
      <c r="Z4679">
        <f>Z4678+IF(W4679="",0,IF(ISNA(MATCH(W4679,W$256:W4678,0)),1,0))</f>
        <v/>
      </c>
      <c r="AA4679">
        <f>IF(Z4679&gt;Z4678,Z4679,"")</f>
        <v/>
      </c>
      <c r="AB4679">
        <f>AB4678+IF(X4679="",0,IF(ISNA(MATCH(X4679,X$256:X4678,0)),1,0))</f>
        <v/>
      </c>
      <c r="AC4679">
        <f>IF(AB4679&gt;AB4678,AB4679,"")</f>
        <v/>
      </c>
    </row>
    <row r="4680">
      <c r="W4680" s="7" t="n"/>
      <c r="X4680" s="7" t="n"/>
      <c r="Z4680">
        <f>Z4679+IF(W4680="",0,IF(ISNA(MATCH(W4680,W$256:W4679,0)),1,0))</f>
        <v/>
      </c>
      <c r="AA4680">
        <f>IF(Z4680&gt;Z4679,Z4680,"")</f>
        <v/>
      </c>
      <c r="AB4680">
        <f>AB4679+IF(X4680="",0,IF(ISNA(MATCH(X4680,X$256:X4679,0)),1,0))</f>
        <v/>
      </c>
      <c r="AC4680">
        <f>IF(AB4680&gt;AB4679,AB4680,"")</f>
        <v/>
      </c>
    </row>
    <row r="4681">
      <c r="W4681" s="7" t="n"/>
      <c r="X4681" s="7" t="n"/>
      <c r="Z4681">
        <f>Z4680+IF(W4681="",0,IF(ISNA(MATCH(W4681,W$256:W4680,0)),1,0))</f>
        <v/>
      </c>
      <c r="AA4681">
        <f>IF(Z4681&gt;Z4680,Z4681,"")</f>
        <v/>
      </c>
      <c r="AB4681">
        <f>AB4680+IF(X4681="",0,IF(ISNA(MATCH(X4681,X$256:X4680,0)),1,0))</f>
        <v/>
      </c>
      <c r="AC4681">
        <f>IF(AB4681&gt;AB4680,AB4681,"")</f>
        <v/>
      </c>
    </row>
    <row r="4682">
      <c r="W4682" s="7" t="n"/>
      <c r="X4682" s="7" t="n"/>
      <c r="Z4682">
        <f>Z4681+IF(W4682="",0,IF(ISNA(MATCH(W4682,W$256:W4681,0)),1,0))</f>
        <v/>
      </c>
      <c r="AA4682">
        <f>IF(Z4682&gt;Z4681,Z4682,"")</f>
        <v/>
      </c>
      <c r="AB4682">
        <f>AB4681+IF(X4682="",0,IF(ISNA(MATCH(X4682,X$256:X4681,0)),1,0))</f>
        <v/>
      </c>
      <c r="AC4682">
        <f>IF(AB4682&gt;AB4681,AB4682,"")</f>
        <v/>
      </c>
    </row>
    <row r="4683">
      <c r="W4683" s="7" t="n"/>
      <c r="X4683" s="7" t="n"/>
      <c r="Z4683">
        <f>Z4682+IF(W4683="",0,IF(ISNA(MATCH(W4683,W$256:W4682,0)),1,0))</f>
        <v/>
      </c>
      <c r="AA4683">
        <f>IF(Z4683&gt;Z4682,Z4683,"")</f>
        <v/>
      </c>
      <c r="AB4683">
        <f>AB4682+IF(X4683="",0,IF(ISNA(MATCH(X4683,X$256:X4682,0)),1,0))</f>
        <v/>
      </c>
      <c r="AC4683">
        <f>IF(AB4683&gt;AB4682,AB4683,"")</f>
        <v/>
      </c>
    </row>
    <row r="4684">
      <c r="W4684" s="7" t="n"/>
      <c r="X4684" s="7" t="n"/>
      <c r="Z4684">
        <f>Z4683+IF(W4684="",0,IF(ISNA(MATCH(W4684,W$256:W4683,0)),1,0))</f>
        <v/>
      </c>
      <c r="AA4684">
        <f>IF(Z4684&gt;Z4683,Z4684,"")</f>
        <v/>
      </c>
      <c r="AB4684">
        <f>AB4683+IF(X4684="",0,IF(ISNA(MATCH(X4684,X$256:X4683,0)),1,0))</f>
        <v/>
      </c>
      <c r="AC4684">
        <f>IF(AB4684&gt;AB4683,AB4684,"")</f>
        <v/>
      </c>
    </row>
    <row r="4685">
      <c r="W4685" s="7" t="n"/>
      <c r="X4685" s="7" t="n"/>
      <c r="Z4685">
        <f>Z4684+IF(W4685="",0,IF(ISNA(MATCH(W4685,W$256:W4684,0)),1,0))</f>
        <v/>
      </c>
      <c r="AA4685">
        <f>IF(Z4685&gt;Z4684,Z4685,"")</f>
        <v/>
      </c>
      <c r="AB4685">
        <f>AB4684+IF(X4685="",0,IF(ISNA(MATCH(X4685,X$256:X4684,0)),1,0))</f>
        <v/>
      </c>
      <c r="AC4685">
        <f>IF(AB4685&gt;AB4684,AB4685,"")</f>
        <v/>
      </c>
    </row>
    <row r="4686">
      <c r="W4686" s="7" t="n"/>
      <c r="X4686" s="7" t="n"/>
      <c r="Z4686">
        <f>Z4685+IF(W4686="",0,IF(ISNA(MATCH(W4686,W$256:W4685,0)),1,0))</f>
        <v/>
      </c>
      <c r="AA4686">
        <f>IF(Z4686&gt;Z4685,Z4686,"")</f>
        <v/>
      </c>
      <c r="AB4686">
        <f>AB4685+IF(X4686="",0,IF(ISNA(MATCH(X4686,X$256:X4685,0)),1,0))</f>
        <v/>
      </c>
      <c r="AC4686">
        <f>IF(AB4686&gt;AB4685,AB4686,"")</f>
        <v/>
      </c>
    </row>
    <row r="4687">
      <c r="W4687" s="7" t="n"/>
      <c r="X4687" s="7" t="n"/>
      <c r="Z4687">
        <f>Z4686+IF(W4687="",0,IF(ISNA(MATCH(W4687,W$256:W4686,0)),1,0))</f>
        <v/>
      </c>
      <c r="AA4687">
        <f>IF(Z4687&gt;Z4686,Z4687,"")</f>
        <v/>
      </c>
      <c r="AB4687">
        <f>AB4686+IF(X4687="",0,IF(ISNA(MATCH(X4687,X$256:X4686,0)),1,0))</f>
        <v/>
      </c>
      <c r="AC4687">
        <f>IF(AB4687&gt;AB4686,AB4687,"")</f>
        <v/>
      </c>
    </row>
    <row r="4688">
      <c r="W4688" s="7" t="n"/>
      <c r="X4688" s="7" t="n"/>
      <c r="Z4688">
        <f>Z4687+IF(W4688="",0,IF(ISNA(MATCH(W4688,W$256:W4687,0)),1,0))</f>
        <v/>
      </c>
      <c r="AA4688">
        <f>IF(Z4688&gt;Z4687,Z4688,"")</f>
        <v/>
      </c>
      <c r="AB4688">
        <f>AB4687+IF(X4688="",0,IF(ISNA(MATCH(X4688,X$256:X4687,0)),1,0))</f>
        <v/>
      </c>
      <c r="AC4688">
        <f>IF(AB4688&gt;AB4687,AB4688,"")</f>
        <v/>
      </c>
    </row>
    <row r="4689">
      <c r="W4689" s="7" t="n"/>
      <c r="X4689" s="7" t="n"/>
      <c r="Z4689">
        <f>Z4688+IF(W4689="",0,IF(ISNA(MATCH(W4689,W$256:W4688,0)),1,0))</f>
        <v/>
      </c>
      <c r="AA4689">
        <f>IF(Z4689&gt;Z4688,Z4689,"")</f>
        <v/>
      </c>
      <c r="AB4689">
        <f>AB4688+IF(X4689="",0,IF(ISNA(MATCH(X4689,X$256:X4688,0)),1,0))</f>
        <v/>
      </c>
      <c r="AC4689">
        <f>IF(AB4689&gt;AB4688,AB4689,"")</f>
        <v/>
      </c>
    </row>
    <row r="4690">
      <c r="W4690" s="7" t="n"/>
      <c r="X4690" s="7" t="n"/>
      <c r="Z4690">
        <f>Z4689+IF(W4690="",0,IF(ISNA(MATCH(W4690,W$256:W4689,0)),1,0))</f>
        <v/>
      </c>
      <c r="AA4690">
        <f>IF(Z4690&gt;Z4689,Z4690,"")</f>
        <v/>
      </c>
      <c r="AB4690">
        <f>AB4689+IF(X4690="",0,IF(ISNA(MATCH(X4690,X$256:X4689,0)),1,0))</f>
        <v/>
      </c>
      <c r="AC4690">
        <f>IF(AB4690&gt;AB4689,AB4690,"")</f>
        <v/>
      </c>
    </row>
    <row r="4691">
      <c r="W4691" s="7" t="n"/>
      <c r="X4691" s="7" t="n"/>
      <c r="Z4691">
        <f>Z4690+IF(W4691="",0,IF(ISNA(MATCH(W4691,W$256:W4690,0)),1,0))</f>
        <v/>
      </c>
      <c r="AA4691">
        <f>IF(Z4691&gt;Z4690,Z4691,"")</f>
        <v/>
      </c>
      <c r="AB4691">
        <f>AB4690+IF(X4691="",0,IF(ISNA(MATCH(X4691,X$256:X4690,0)),1,0))</f>
        <v/>
      </c>
      <c r="AC4691">
        <f>IF(AB4691&gt;AB4690,AB4691,"")</f>
        <v/>
      </c>
    </row>
    <row r="4692">
      <c r="W4692" s="7" t="n"/>
      <c r="X4692" s="7" t="n"/>
      <c r="Z4692">
        <f>Z4691+IF(W4692="",0,IF(ISNA(MATCH(W4692,W$256:W4691,0)),1,0))</f>
        <v/>
      </c>
      <c r="AA4692">
        <f>IF(Z4692&gt;Z4691,Z4692,"")</f>
        <v/>
      </c>
      <c r="AB4692">
        <f>AB4691+IF(X4692="",0,IF(ISNA(MATCH(X4692,X$256:X4691,0)),1,0))</f>
        <v/>
      </c>
      <c r="AC4692">
        <f>IF(AB4692&gt;AB4691,AB4692,"")</f>
        <v/>
      </c>
    </row>
    <row r="4693">
      <c r="W4693" s="7" t="n"/>
      <c r="X4693" s="7" t="n"/>
      <c r="Z4693">
        <f>Z4692+IF(W4693="",0,IF(ISNA(MATCH(W4693,W$256:W4692,0)),1,0))</f>
        <v/>
      </c>
      <c r="AA4693">
        <f>IF(Z4693&gt;Z4692,Z4693,"")</f>
        <v/>
      </c>
      <c r="AB4693">
        <f>AB4692+IF(X4693="",0,IF(ISNA(MATCH(X4693,X$256:X4692,0)),1,0))</f>
        <v/>
      </c>
      <c r="AC4693">
        <f>IF(AB4693&gt;AB4692,AB4693,"")</f>
        <v/>
      </c>
    </row>
    <row r="4694">
      <c r="W4694" s="7" t="n"/>
      <c r="X4694" s="7" t="n"/>
      <c r="Z4694">
        <f>Z4693+IF(W4694="",0,IF(ISNA(MATCH(W4694,W$256:W4693,0)),1,0))</f>
        <v/>
      </c>
      <c r="AA4694">
        <f>IF(Z4694&gt;Z4693,Z4694,"")</f>
        <v/>
      </c>
      <c r="AB4694">
        <f>AB4693+IF(X4694="",0,IF(ISNA(MATCH(X4694,X$256:X4693,0)),1,0))</f>
        <v/>
      </c>
      <c r="AC4694">
        <f>IF(AB4694&gt;AB4693,AB4694,"")</f>
        <v/>
      </c>
    </row>
    <row r="4695">
      <c r="W4695" s="7" t="n"/>
      <c r="X4695" s="7" t="n"/>
      <c r="Z4695">
        <f>Z4694+IF(W4695="",0,IF(ISNA(MATCH(W4695,W$256:W4694,0)),1,0))</f>
        <v/>
      </c>
      <c r="AA4695">
        <f>IF(Z4695&gt;Z4694,Z4695,"")</f>
        <v/>
      </c>
      <c r="AB4695">
        <f>AB4694+IF(X4695="",0,IF(ISNA(MATCH(X4695,X$256:X4694,0)),1,0))</f>
        <v/>
      </c>
      <c r="AC4695">
        <f>IF(AB4695&gt;AB4694,AB4695,"")</f>
        <v/>
      </c>
    </row>
    <row r="4696">
      <c r="W4696" s="7" t="n"/>
      <c r="X4696" s="7" t="n"/>
      <c r="Z4696">
        <f>Z4695+IF(W4696="",0,IF(ISNA(MATCH(W4696,W$256:W4695,0)),1,0))</f>
        <v/>
      </c>
      <c r="AA4696">
        <f>IF(Z4696&gt;Z4695,Z4696,"")</f>
        <v/>
      </c>
      <c r="AB4696">
        <f>AB4695+IF(X4696="",0,IF(ISNA(MATCH(X4696,X$256:X4695,0)),1,0))</f>
        <v/>
      </c>
      <c r="AC4696">
        <f>IF(AB4696&gt;AB4695,AB4696,"")</f>
        <v/>
      </c>
    </row>
    <row r="4697">
      <c r="W4697" s="7" t="n"/>
      <c r="X4697" s="7" t="n"/>
      <c r="Z4697">
        <f>Z4696+IF(W4697="",0,IF(ISNA(MATCH(W4697,W$256:W4696,0)),1,0))</f>
        <v/>
      </c>
      <c r="AA4697">
        <f>IF(Z4697&gt;Z4696,Z4697,"")</f>
        <v/>
      </c>
      <c r="AB4697">
        <f>AB4696+IF(X4697="",0,IF(ISNA(MATCH(X4697,X$256:X4696,0)),1,0))</f>
        <v/>
      </c>
      <c r="AC4697">
        <f>IF(AB4697&gt;AB4696,AB4697,"")</f>
        <v/>
      </c>
    </row>
    <row r="4698">
      <c r="W4698" s="7" t="n"/>
      <c r="X4698" s="7" t="n"/>
      <c r="Z4698">
        <f>Z4697+IF(W4698="",0,IF(ISNA(MATCH(W4698,W$256:W4697,0)),1,0))</f>
        <v/>
      </c>
      <c r="AA4698">
        <f>IF(Z4698&gt;Z4697,Z4698,"")</f>
        <v/>
      </c>
      <c r="AB4698">
        <f>AB4697+IF(X4698="",0,IF(ISNA(MATCH(X4698,X$256:X4697,0)),1,0))</f>
        <v/>
      </c>
      <c r="AC4698">
        <f>IF(AB4698&gt;AB4697,AB4698,"")</f>
        <v/>
      </c>
    </row>
    <row r="4699">
      <c r="W4699" s="7" t="n"/>
      <c r="X4699" s="7" t="n"/>
      <c r="Z4699">
        <f>Z4698+IF(W4699="",0,IF(ISNA(MATCH(W4699,W$256:W4698,0)),1,0))</f>
        <v/>
      </c>
      <c r="AA4699">
        <f>IF(Z4699&gt;Z4698,Z4699,"")</f>
        <v/>
      </c>
      <c r="AB4699">
        <f>AB4698+IF(X4699="",0,IF(ISNA(MATCH(X4699,X$256:X4698,0)),1,0))</f>
        <v/>
      </c>
      <c r="AC4699">
        <f>IF(AB4699&gt;AB4698,AB4699,"")</f>
        <v/>
      </c>
    </row>
    <row r="4700">
      <c r="W4700" s="7" t="n"/>
      <c r="X4700" s="7" t="n"/>
      <c r="Z4700">
        <f>Z4699+IF(W4700="",0,IF(ISNA(MATCH(W4700,W$256:W4699,0)),1,0))</f>
        <v/>
      </c>
      <c r="AA4700">
        <f>IF(Z4700&gt;Z4699,Z4700,"")</f>
        <v/>
      </c>
      <c r="AB4700">
        <f>AB4699+IF(X4700="",0,IF(ISNA(MATCH(X4700,X$256:X4699,0)),1,0))</f>
        <v/>
      </c>
      <c r="AC4700">
        <f>IF(AB4700&gt;AB4699,AB4700,"")</f>
        <v/>
      </c>
    </row>
    <row r="4701">
      <c r="W4701" s="7" t="n"/>
      <c r="X4701" s="7" t="n"/>
      <c r="Z4701">
        <f>Z4700+IF(W4701="",0,IF(ISNA(MATCH(W4701,W$256:W4700,0)),1,0))</f>
        <v/>
      </c>
      <c r="AA4701">
        <f>IF(Z4701&gt;Z4700,Z4701,"")</f>
        <v/>
      </c>
      <c r="AB4701">
        <f>AB4700+IF(X4701="",0,IF(ISNA(MATCH(X4701,X$256:X4700,0)),1,0))</f>
        <v/>
      </c>
      <c r="AC4701">
        <f>IF(AB4701&gt;AB4700,AB4701,"")</f>
        <v/>
      </c>
    </row>
    <row r="4702">
      <c r="W4702" s="7" t="n"/>
      <c r="X4702" s="7" t="n"/>
      <c r="Z4702">
        <f>Z4701+IF(W4702="",0,IF(ISNA(MATCH(W4702,W$256:W4701,0)),1,0))</f>
        <v/>
      </c>
      <c r="AA4702">
        <f>IF(Z4702&gt;Z4701,Z4702,"")</f>
        <v/>
      </c>
      <c r="AB4702">
        <f>AB4701+IF(X4702="",0,IF(ISNA(MATCH(X4702,X$256:X4701,0)),1,0))</f>
        <v/>
      </c>
      <c r="AC4702">
        <f>IF(AB4702&gt;AB4701,AB4702,"")</f>
        <v/>
      </c>
    </row>
    <row r="4703">
      <c r="W4703" s="7" t="n"/>
      <c r="X4703" s="7" t="n"/>
      <c r="Z4703">
        <f>Z4702+IF(W4703="",0,IF(ISNA(MATCH(W4703,W$256:W4702,0)),1,0))</f>
        <v/>
      </c>
      <c r="AA4703">
        <f>IF(Z4703&gt;Z4702,Z4703,"")</f>
        <v/>
      </c>
      <c r="AB4703">
        <f>AB4702+IF(X4703="",0,IF(ISNA(MATCH(X4703,X$256:X4702,0)),1,0))</f>
        <v/>
      </c>
      <c r="AC4703">
        <f>IF(AB4703&gt;AB4702,AB4703,"")</f>
        <v/>
      </c>
    </row>
    <row r="4704">
      <c r="W4704" s="7" t="n"/>
      <c r="X4704" s="7" t="n"/>
      <c r="Z4704">
        <f>Z4703+IF(W4704="",0,IF(ISNA(MATCH(W4704,W$256:W4703,0)),1,0))</f>
        <v/>
      </c>
      <c r="AA4704">
        <f>IF(Z4704&gt;Z4703,Z4704,"")</f>
        <v/>
      </c>
      <c r="AB4704">
        <f>AB4703+IF(X4704="",0,IF(ISNA(MATCH(X4704,X$256:X4703,0)),1,0))</f>
        <v/>
      </c>
      <c r="AC4704">
        <f>IF(AB4704&gt;AB4703,AB4704,"")</f>
        <v/>
      </c>
    </row>
    <row r="4705">
      <c r="W4705" s="7" t="n"/>
      <c r="X4705" s="7" t="n"/>
      <c r="Z4705">
        <f>Z4704+IF(W4705="",0,IF(ISNA(MATCH(W4705,W$256:W4704,0)),1,0))</f>
        <v/>
      </c>
      <c r="AA4705">
        <f>IF(Z4705&gt;Z4704,Z4705,"")</f>
        <v/>
      </c>
      <c r="AB4705">
        <f>AB4704+IF(X4705="",0,IF(ISNA(MATCH(X4705,X$256:X4704,0)),1,0))</f>
        <v/>
      </c>
      <c r="AC4705">
        <f>IF(AB4705&gt;AB4704,AB4705,"")</f>
        <v/>
      </c>
    </row>
    <row r="4706">
      <c r="W4706" s="7" t="n"/>
      <c r="X4706" s="7" t="n"/>
      <c r="Z4706">
        <f>Z4705+IF(W4706="",0,IF(ISNA(MATCH(W4706,W$256:W4705,0)),1,0))</f>
        <v/>
      </c>
      <c r="AA4706">
        <f>IF(Z4706&gt;Z4705,Z4706,"")</f>
        <v/>
      </c>
      <c r="AB4706">
        <f>AB4705+IF(X4706="",0,IF(ISNA(MATCH(X4706,X$256:X4705,0)),1,0))</f>
        <v/>
      </c>
      <c r="AC4706">
        <f>IF(AB4706&gt;AB4705,AB4706,"")</f>
        <v/>
      </c>
    </row>
    <row r="4707">
      <c r="W4707" s="7" t="n"/>
      <c r="X4707" s="7" t="n"/>
      <c r="Z4707">
        <f>Z4706+IF(W4707="",0,IF(ISNA(MATCH(W4707,W$256:W4706,0)),1,0))</f>
        <v/>
      </c>
      <c r="AA4707">
        <f>IF(Z4707&gt;Z4706,Z4707,"")</f>
        <v/>
      </c>
      <c r="AB4707">
        <f>AB4706+IF(X4707="",0,IF(ISNA(MATCH(X4707,X$256:X4706,0)),1,0))</f>
        <v/>
      </c>
      <c r="AC4707">
        <f>IF(AB4707&gt;AB4706,AB4707,"")</f>
        <v/>
      </c>
    </row>
    <row r="4708">
      <c r="W4708" s="7" t="n"/>
      <c r="X4708" s="7" t="n"/>
      <c r="Z4708">
        <f>Z4707+IF(W4708="",0,IF(ISNA(MATCH(W4708,W$256:W4707,0)),1,0))</f>
        <v/>
      </c>
      <c r="AA4708">
        <f>IF(Z4708&gt;Z4707,Z4708,"")</f>
        <v/>
      </c>
      <c r="AB4708">
        <f>AB4707+IF(X4708="",0,IF(ISNA(MATCH(X4708,X$256:X4707,0)),1,0))</f>
        <v/>
      </c>
      <c r="AC4708">
        <f>IF(AB4708&gt;AB4707,AB4708,"")</f>
        <v/>
      </c>
    </row>
    <row r="4709">
      <c r="W4709" s="7" t="n"/>
      <c r="X4709" s="7" t="n"/>
      <c r="Z4709">
        <f>Z4708+IF(W4709="",0,IF(ISNA(MATCH(W4709,W$256:W4708,0)),1,0))</f>
        <v/>
      </c>
      <c r="AA4709">
        <f>IF(Z4709&gt;Z4708,Z4709,"")</f>
        <v/>
      </c>
      <c r="AB4709">
        <f>AB4708+IF(X4709="",0,IF(ISNA(MATCH(X4709,X$256:X4708,0)),1,0))</f>
        <v/>
      </c>
      <c r="AC4709">
        <f>IF(AB4709&gt;AB4708,AB4709,"")</f>
        <v/>
      </c>
    </row>
    <row r="4710">
      <c r="W4710" s="7" t="n"/>
      <c r="X4710" s="7" t="n"/>
      <c r="Z4710">
        <f>Z4709+IF(W4710="",0,IF(ISNA(MATCH(W4710,W$256:W4709,0)),1,0))</f>
        <v/>
      </c>
      <c r="AA4710">
        <f>IF(Z4710&gt;Z4709,Z4710,"")</f>
        <v/>
      </c>
      <c r="AB4710">
        <f>AB4709+IF(X4710="",0,IF(ISNA(MATCH(X4710,X$256:X4709,0)),1,0))</f>
        <v/>
      </c>
      <c r="AC4710">
        <f>IF(AB4710&gt;AB4709,AB4710,"")</f>
        <v/>
      </c>
    </row>
    <row r="4711">
      <c r="W4711" s="7" t="n"/>
      <c r="X4711" s="7" t="n"/>
      <c r="Z4711">
        <f>Z4710+IF(W4711="",0,IF(ISNA(MATCH(W4711,W$256:W4710,0)),1,0))</f>
        <v/>
      </c>
      <c r="AA4711">
        <f>IF(Z4711&gt;Z4710,Z4711,"")</f>
        <v/>
      </c>
      <c r="AB4711">
        <f>AB4710+IF(X4711="",0,IF(ISNA(MATCH(X4711,X$256:X4710,0)),1,0))</f>
        <v/>
      </c>
      <c r="AC4711">
        <f>IF(AB4711&gt;AB4710,AB4711,"")</f>
        <v/>
      </c>
    </row>
    <row r="4712">
      <c r="W4712" s="7" t="n"/>
      <c r="X4712" s="7" t="n"/>
      <c r="Z4712">
        <f>Z4711+IF(W4712="",0,IF(ISNA(MATCH(W4712,W$256:W4711,0)),1,0))</f>
        <v/>
      </c>
      <c r="AA4712">
        <f>IF(Z4712&gt;Z4711,Z4712,"")</f>
        <v/>
      </c>
      <c r="AB4712">
        <f>AB4711+IF(X4712="",0,IF(ISNA(MATCH(X4712,X$256:X4711,0)),1,0))</f>
        <v/>
      </c>
      <c r="AC4712">
        <f>IF(AB4712&gt;AB4711,AB4712,"")</f>
        <v/>
      </c>
    </row>
    <row r="4713">
      <c r="W4713" s="7" t="n"/>
      <c r="X4713" s="7" t="n"/>
      <c r="Z4713">
        <f>Z4712+IF(W4713="",0,IF(ISNA(MATCH(W4713,W$256:W4712,0)),1,0))</f>
        <v/>
      </c>
      <c r="AA4713">
        <f>IF(Z4713&gt;Z4712,Z4713,"")</f>
        <v/>
      </c>
      <c r="AB4713">
        <f>AB4712+IF(X4713="",0,IF(ISNA(MATCH(X4713,X$256:X4712,0)),1,0))</f>
        <v/>
      </c>
      <c r="AC4713">
        <f>IF(AB4713&gt;AB4712,AB4713,"")</f>
        <v/>
      </c>
    </row>
    <row r="4714">
      <c r="W4714" s="7" t="n"/>
      <c r="X4714" s="7" t="n"/>
      <c r="Z4714">
        <f>Z4713+IF(W4714="",0,IF(ISNA(MATCH(W4714,W$256:W4713,0)),1,0))</f>
        <v/>
      </c>
      <c r="AA4714">
        <f>IF(Z4714&gt;Z4713,Z4714,"")</f>
        <v/>
      </c>
      <c r="AB4714">
        <f>AB4713+IF(X4714="",0,IF(ISNA(MATCH(X4714,X$256:X4713,0)),1,0))</f>
        <v/>
      </c>
      <c r="AC4714">
        <f>IF(AB4714&gt;AB4713,AB4714,"")</f>
        <v/>
      </c>
    </row>
    <row r="4715">
      <c r="W4715" s="7" t="n"/>
      <c r="X4715" s="7" t="n"/>
      <c r="Z4715">
        <f>Z4714+IF(W4715="",0,IF(ISNA(MATCH(W4715,W$256:W4714,0)),1,0))</f>
        <v/>
      </c>
      <c r="AA4715">
        <f>IF(Z4715&gt;Z4714,Z4715,"")</f>
        <v/>
      </c>
      <c r="AB4715">
        <f>AB4714+IF(X4715="",0,IF(ISNA(MATCH(X4715,X$256:X4714,0)),1,0))</f>
        <v/>
      </c>
      <c r="AC4715">
        <f>IF(AB4715&gt;AB4714,AB4715,"")</f>
        <v/>
      </c>
    </row>
    <row r="4716">
      <c r="W4716" s="7" t="n"/>
      <c r="X4716" s="7" t="n"/>
      <c r="Z4716">
        <f>Z4715+IF(W4716="",0,IF(ISNA(MATCH(W4716,W$256:W4715,0)),1,0))</f>
        <v/>
      </c>
      <c r="AA4716">
        <f>IF(Z4716&gt;Z4715,Z4716,"")</f>
        <v/>
      </c>
      <c r="AB4716">
        <f>AB4715+IF(X4716="",0,IF(ISNA(MATCH(X4716,X$256:X4715,0)),1,0))</f>
        <v/>
      </c>
      <c r="AC4716">
        <f>IF(AB4716&gt;AB4715,AB4716,"")</f>
        <v/>
      </c>
    </row>
    <row r="4717">
      <c r="W4717" s="7" t="n"/>
      <c r="X4717" s="7" t="n"/>
      <c r="Z4717">
        <f>Z4716+IF(W4717="",0,IF(ISNA(MATCH(W4717,W$256:W4716,0)),1,0))</f>
        <v/>
      </c>
      <c r="AA4717">
        <f>IF(Z4717&gt;Z4716,Z4717,"")</f>
        <v/>
      </c>
      <c r="AB4717">
        <f>AB4716+IF(X4717="",0,IF(ISNA(MATCH(X4717,X$256:X4716,0)),1,0))</f>
        <v/>
      </c>
      <c r="AC4717">
        <f>IF(AB4717&gt;AB4716,AB4717,"")</f>
        <v/>
      </c>
    </row>
    <row r="4718">
      <c r="W4718" s="7" t="n"/>
      <c r="X4718" s="7" t="n"/>
      <c r="Z4718">
        <f>Z4717+IF(W4718="",0,IF(ISNA(MATCH(W4718,W$256:W4717,0)),1,0))</f>
        <v/>
      </c>
      <c r="AA4718">
        <f>IF(Z4718&gt;Z4717,Z4718,"")</f>
        <v/>
      </c>
      <c r="AB4718">
        <f>AB4717+IF(X4718="",0,IF(ISNA(MATCH(X4718,X$256:X4717,0)),1,0))</f>
        <v/>
      </c>
      <c r="AC4718">
        <f>IF(AB4718&gt;AB4717,AB4718,"")</f>
        <v/>
      </c>
    </row>
    <row r="4719">
      <c r="W4719" s="7" t="n"/>
      <c r="X4719" s="7" t="n"/>
      <c r="Z4719">
        <f>Z4718+IF(W4719="",0,IF(ISNA(MATCH(W4719,W$256:W4718,0)),1,0))</f>
        <v/>
      </c>
      <c r="AA4719">
        <f>IF(Z4719&gt;Z4718,Z4719,"")</f>
        <v/>
      </c>
      <c r="AB4719">
        <f>AB4718+IF(X4719="",0,IF(ISNA(MATCH(X4719,X$256:X4718,0)),1,0))</f>
        <v/>
      </c>
      <c r="AC4719">
        <f>IF(AB4719&gt;AB4718,AB4719,"")</f>
        <v/>
      </c>
    </row>
    <row r="4720">
      <c r="W4720" s="7" t="n"/>
      <c r="X4720" s="7" t="n"/>
      <c r="Z4720">
        <f>Z4719+IF(W4720="",0,IF(ISNA(MATCH(W4720,W$256:W4719,0)),1,0))</f>
        <v/>
      </c>
      <c r="AA4720">
        <f>IF(Z4720&gt;Z4719,Z4720,"")</f>
        <v/>
      </c>
      <c r="AB4720">
        <f>AB4719+IF(X4720="",0,IF(ISNA(MATCH(X4720,X$256:X4719,0)),1,0))</f>
        <v/>
      </c>
      <c r="AC4720">
        <f>IF(AB4720&gt;AB4719,AB4720,"")</f>
        <v/>
      </c>
    </row>
    <row r="4721">
      <c r="W4721" s="7" t="n"/>
      <c r="X4721" s="7" t="n"/>
      <c r="Z4721">
        <f>Z4720+IF(W4721="",0,IF(ISNA(MATCH(W4721,W$256:W4720,0)),1,0))</f>
        <v/>
      </c>
      <c r="AA4721">
        <f>IF(Z4721&gt;Z4720,Z4721,"")</f>
        <v/>
      </c>
      <c r="AB4721">
        <f>AB4720+IF(X4721="",0,IF(ISNA(MATCH(X4721,X$256:X4720,0)),1,0))</f>
        <v/>
      </c>
      <c r="AC4721">
        <f>IF(AB4721&gt;AB4720,AB4721,"")</f>
        <v/>
      </c>
    </row>
    <row r="4722">
      <c r="W4722" s="7" t="n"/>
      <c r="X4722" s="7" t="n"/>
      <c r="Z4722">
        <f>Z4721+IF(W4722="",0,IF(ISNA(MATCH(W4722,W$256:W4721,0)),1,0))</f>
        <v/>
      </c>
      <c r="AA4722">
        <f>IF(Z4722&gt;Z4721,Z4722,"")</f>
        <v/>
      </c>
      <c r="AB4722">
        <f>AB4721+IF(X4722="",0,IF(ISNA(MATCH(X4722,X$256:X4721,0)),1,0))</f>
        <v/>
      </c>
      <c r="AC4722">
        <f>IF(AB4722&gt;AB4721,AB4722,"")</f>
        <v/>
      </c>
    </row>
    <row r="4723">
      <c r="W4723" s="7" t="n"/>
      <c r="X4723" s="7" t="n"/>
      <c r="Z4723">
        <f>Z4722+IF(W4723="",0,IF(ISNA(MATCH(W4723,W$256:W4722,0)),1,0))</f>
        <v/>
      </c>
      <c r="AA4723">
        <f>IF(Z4723&gt;Z4722,Z4723,"")</f>
        <v/>
      </c>
      <c r="AB4723">
        <f>AB4722+IF(X4723="",0,IF(ISNA(MATCH(X4723,X$256:X4722,0)),1,0))</f>
        <v/>
      </c>
      <c r="AC4723">
        <f>IF(AB4723&gt;AB4722,AB4723,"")</f>
        <v/>
      </c>
    </row>
    <row r="4724">
      <c r="W4724" s="7" t="n"/>
      <c r="X4724" s="7" t="n"/>
      <c r="Z4724">
        <f>Z4723+IF(W4724="",0,IF(ISNA(MATCH(W4724,W$256:W4723,0)),1,0))</f>
        <v/>
      </c>
      <c r="AA4724">
        <f>IF(Z4724&gt;Z4723,Z4724,"")</f>
        <v/>
      </c>
      <c r="AB4724">
        <f>AB4723+IF(X4724="",0,IF(ISNA(MATCH(X4724,X$256:X4723,0)),1,0))</f>
        <v/>
      </c>
      <c r="AC4724">
        <f>IF(AB4724&gt;AB4723,AB4724,"")</f>
        <v/>
      </c>
    </row>
    <row r="4725">
      <c r="W4725" s="7" t="n"/>
      <c r="X4725" s="7" t="n"/>
      <c r="Z4725">
        <f>Z4724+IF(W4725="",0,IF(ISNA(MATCH(W4725,W$256:W4724,0)),1,0))</f>
        <v/>
      </c>
      <c r="AA4725">
        <f>IF(Z4725&gt;Z4724,Z4725,"")</f>
        <v/>
      </c>
      <c r="AB4725">
        <f>AB4724+IF(X4725="",0,IF(ISNA(MATCH(X4725,X$256:X4724,0)),1,0))</f>
        <v/>
      </c>
      <c r="AC4725">
        <f>IF(AB4725&gt;AB4724,AB4725,"")</f>
        <v/>
      </c>
    </row>
    <row r="4726">
      <c r="W4726" s="7" t="n"/>
      <c r="X4726" s="7" t="n"/>
      <c r="Z4726">
        <f>Z4725+IF(W4726="",0,IF(ISNA(MATCH(W4726,W$256:W4725,0)),1,0))</f>
        <v/>
      </c>
      <c r="AA4726">
        <f>IF(Z4726&gt;Z4725,Z4726,"")</f>
        <v/>
      </c>
      <c r="AB4726">
        <f>AB4725+IF(X4726="",0,IF(ISNA(MATCH(X4726,X$256:X4725,0)),1,0))</f>
        <v/>
      </c>
      <c r="AC4726">
        <f>IF(AB4726&gt;AB4725,AB4726,"")</f>
        <v/>
      </c>
    </row>
    <row r="4727">
      <c r="W4727" s="7" t="n"/>
      <c r="X4727" s="7" t="n"/>
      <c r="Z4727">
        <f>Z4726+IF(W4727="",0,IF(ISNA(MATCH(W4727,W$256:W4726,0)),1,0))</f>
        <v/>
      </c>
      <c r="AA4727">
        <f>IF(Z4727&gt;Z4726,Z4727,"")</f>
        <v/>
      </c>
      <c r="AB4727">
        <f>AB4726+IF(X4727="",0,IF(ISNA(MATCH(X4727,X$256:X4726,0)),1,0))</f>
        <v/>
      </c>
      <c r="AC4727">
        <f>IF(AB4727&gt;AB4726,AB4727,"")</f>
        <v/>
      </c>
    </row>
    <row r="4728">
      <c r="W4728" s="7" t="n"/>
      <c r="X4728" s="7" t="n"/>
      <c r="Z4728">
        <f>Z4727+IF(W4728="",0,IF(ISNA(MATCH(W4728,W$256:W4727,0)),1,0))</f>
        <v/>
      </c>
      <c r="AA4728">
        <f>IF(Z4728&gt;Z4727,Z4728,"")</f>
        <v/>
      </c>
      <c r="AB4728">
        <f>AB4727+IF(X4728="",0,IF(ISNA(MATCH(X4728,X$256:X4727,0)),1,0))</f>
        <v/>
      </c>
      <c r="AC4728">
        <f>IF(AB4728&gt;AB4727,AB4728,"")</f>
        <v/>
      </c>
    </row>
    <row r="4729">
      <c r="W4729" s="7" t="n"/>
      <c r="X4729" s="7" t="n"/>
      <c r="Z4729">
        <f>Z4728+IF(W4729="",0,IF(ISNA(MATCH(W4729,W$256:W4728,0)),1,0))</f>
        <v/>
      </c>
      <c r="AA4729">
        <f>IF(Z4729&gt;Z4728,Z4729,"")</f>
        <v/>
      </c>
      <c r="AB4729">
        <f>AB4728+IF(X4729="",0,IF(ISNA(MATCH(X4729,X$256:X4728,0)),1,0))</f>
        <v/>
      </c>
      <c r="AC4729">
        <f>IF(AB4729&gt;AB4728,AB4729,"")</f>
        <v/>
      </c>
    </row>
    <row r="4730">
      <c r="W4730" s="7" t="n"/>
      <c r="X4730" s="7" t="n"/>
      <c r="Z4730">
        <f>Z4729+IF(W4730="",0,IF(ISNA(MATCH(W4730,W$256:W4729,0)),1,0))</f>
        <v/>
      </c>
      <c r="AA4730">
        <f>IF(Z4730&gt;Z4729,Z4730,"")</f>
        <v/>
      </c>
      <c r="AB4730">
        <f>AB4729+IF(X4730="",0,IF(ISNA(MATCH(X4730,X$256:X4729,0)),1,0))</f>
        <v/>
      </c>
      <c r="AC4730">
        <f>IF(AB4730&gt;AB4729,AB4730,"")</f>
        <v/>
      </c>
    </row>
    <row r="4731">
      <c r="W4731" s="7" t="n"/>
      <c r="X4731" s="7" t="n"/>
      <c r="Z4731">
        <f>Z4730+IF(W4731="",0,IF(ISNA(MATCH(W4731,W$256:W4730,0)),1,0))</f>
        <v/>
      </c>
      <c r="AA4731">
        <f>IF(Z4731&gt;Z4730,Z4731,"")</f>
        <v/>
      </c>
      <c r="AB4731">
        <f>AB4730+IF(X4731="",0,IF(ISNA(MATCH(X4731,X$256:X4730,0)),1,0))</f>
        <v/>
      </c>
      <c r="AC4731">
        <f>IF(AB4731&gt;AB4730,AB4731,"")</f>
        <v/>
      </c>
    </row>
    <row r="4732">
      <c r="W4732" s="7" t="n"/>
      <c r="X4732" s="7" t="n"/>
      <c r="Z4732">
        <f>Z4731+IF(W4732="",0,IF(ISNA(MATCH(W4732,W$256:W4731,0)),1,0))</f>
        <v/>
      </c>
      <c r="AA4732">
        <f>IF(Z4732&gt;Z4731,Z4732,"")</f>
        <v/>
      </c>
      <c r="AB4732">
        <f>AB4731+IF(X4732="",0,IF(ISNA(MATCH(X4732,X$256:X4731,0)),1,0))</f>
        <v/>
      </c>
      <c r="AC4732">
        <f>IF(AB4732&gt;AB4731,AB4732,"")</f>
        <v/>
      </c>
    </row>
    <row r="4733">
      <c r="W4733" s="7" t="n"/>
      <c r="X4733" s="7" t="n"/>
      <c r="Z4733">
        <f>Z4732+IF(W4733="",0,IF(ISNA(MATCH(W4733,W$256:W4732,0)),1,0))</f>
        <v/>
      </c>
      <c r="AA4733">
        <f>IF(Z4733&gt;Z4732,Z4733,"")</f>
        <v/>
      </c>
      <c r="AB4733">
        <f>AB4732+IF(X4733="",0,IF(ISNA(MATCH(X4733,X$256:X4732,0)),1,0))</f>
        <v/>
      </c>
      <c r="AC4733">
        <f>IF(AB4733&gt;AB4732,AB4733,"")</f>
        <v/>
      </c>
    </row>
    <row r="4734">
      <c r="W4734" s="7" t="n"/>
      <c r="X4734" s="7" t="n"/>
      <c r="Z4734">
        <f>Z4733+IF(W4734="",0,IF(ISNA(MATCH(W4734,W$256:W4733,0)),1,0))</f>
        <v/>
      </c>
      <c r="AA4734">
        <f>IF(Z4734&gt;Z4733,Z4734,"")</f>
        <v/>
      </c>
      <c r="AB4734">
        <f>AB4733+IF(X4734="",0,IF(ISNA(MATCH(X4734,X$256:X4733,0)),1,0))</f>
        <v/>
      </c>
      <c r="AC4734">
        <f>IF(AB4734&gt;AB4733,AB4734,"")</f>
        <v/>
      </c>
    </row>
    <row r="4735">
      <c r="W4735" s="7" t="n"/>
      <c r="X4735" s="7" t="n"/>
      <c r="Z4735">
        <f>Z4734+IF(W4735="",0,IF(ISNA(MATCH(W4735,W$256:W4734,0)),1,0))</f>
        <v/>
      </c>
      <c r="AA4735">
        <f>IF(Z4735&gt;Z4734,Z4735,"")</f>
        <v/>
      </c>
      <c r="AB4735">
        <f>AB4734+IF(X4735="",0,IF(ISNA(MATCH(X4735,X$256:X4734,0)),1,0))</f>
        <v/>
      </c>
      <c r="AC4735">
        <f>IF(AB4735&gt;AB4734,AB4735,"")</f>
        <v/>
      </c>
    </row>
    <row r="4736">
      <c r="W4736" s="7" t="n"/>
      <c r="X4736" s="7" t="n"/>
      <c r="Z4736">
        <f>Z4735+IF(W4736="",0,IF(ISNA(MATCH(W4736,W$256:W4735,0)),1,0))</f>
        <v/>
      </c>
      <c r="AA4736">
        <f>IF(Z4736&gt;Z4735,Z4736,"")</f>
        <v/>
      </c>
      <c r="AB4736">
        <f>AB4735+IF(X4736="",0,IF(ISNA(MATCH(X4736,X$256:X4735,0)),1,0))</f>
        <v/>
      </c>
      <c r="AC4736">
        <f>IF(AB4736&gt;AB4735,AB4736,"")</f>
        <v/>
      </c>
    </row>
    <row r="4737">
      <c r="W4737" s="7" t="n"/>
      <c r="X4737" s="7" t="n"/>
      <c r="Z4737">
        <f>Z4736+IF(W4737="",0,IF(ISNA(MATCH(W4737,W$256:W4736,0)),1,0))</f>
        <v/>
      </c>
      <c r="AA4737">
        <f>IF(Z4737&gt;Z4736,Z4737,"")</f>
        <v/>
      </c>
      <c r="AB4737">
        <f>AB4736+IF(X4737="",0,IF(ISNA(MATCH(X4737,X$256:X4736,0)),1,0))</f>
        <v/>
      </c>
      <c r="AC4737">
        <f>IF(AB4737&gt;AB4736,AB4737,"")</f>
        <v/>
      </c>
    </row>
    <row r="4738">
      <c r="W4738" s="7" t="n"/>
      <c r="X4738" s="7" t="n"/>
      <c r="Z4738">
        <f>Z4737+IF(W4738="",0,IF(ISNA(MATCH(W4738,W$256:W4737,0)),1,0))</f>
        <v/>
      </c>
      <c r="AA4738">
        <f>IF(Z4738&gt;Z4737,Z4738,"")</f>
        <v/>
      </c>
      <c r="AB4738">
        <f>AB4737+IF(X4738="",0,IF(ISNA(MATCH(X4738,X$256:X4737,0)),1,0))</f>
        <v/>
      </c>
      <c r="AC4738">
        <f>IF(AB4738&gt;AB4737,AB4738,"")</f>
        <v/>
      </c>
    </row>
    <row r="4739">
      <c r="W4739" s="7" t="n"/>
      <c r="X4739" s="7" t="n"/>
      <c r="Z4739">
        <f>Z4738+IF(W4739="",0,IF(ISNA(MATCH(W4739,W$256:W4738,0)),1,0))</f>
        <v/>
      </c>
      <c r="AA4739">
        <f>IF(Z4739&gt;Z4738,Z4739,"")</f>
        <v/>
      </c>
      <c r="AB4739">
        <f>AB4738+IF(X4739="",0,IF(ISNA(MATCH(X4739,X$256:X4738,0)),1,0))</f>
        <v/>
      </c>
      <c r="AC4739">
        <f>IF(AB4739&gt;AB4738,AB4739,"")</f>
        <v/>
      </c>
    </row>
    <row r="4740">
      <c r="W4740" s="7" t="n"/>
      <c r="X4740" s="7" t="n"/>
      <c r="Z4740">
        <f>Z4739+IF(W4740="",0,IF(ISNA(MATCH(W4740,W$256:W4739,0)),1,0))</f>
        <v/>
      </c>
      <c r="AA4740">
        <f>IF(Z4740&gt;Z4739,Z4740,"")</f>
        <v/>
      </c>
      <c r="AB4740">
        <f>AB4739+IF(X4740="",0,IF(ISNA(MATCH(X4740,X$256:X4739,0)),1,0))</f>
        <v/>
      </c>
      <c r="AC4740">
        <f>IF(AB4740&gt;AB4739,AB4740,"")</f>
        <v/>
      </c>
    </row>
    <row r="4741">
      <c r="W4741" s="7" t="n"/>
      <c r="X4741" s="7" t="n"/>
      <c r="Z4741">
        <f>Z4740+IF(W4741="",0,IF(ISNA(MATCH(W4741,W$256:W4740,0)),1,0))</f>
        <v/>
      </c>
      <c r="AA4741">
        <f>IF(Z4741&gt;Z4740,Z4741,"")</f>
        <v/>
      </c>
      <c r="AB4741">
        <f>AB4740+IF(X4741="",0,IF(ISNA(MATCH(X4741,X$256:X4740,0)),1,0))</f>
        <v/>
      </c>
      <c r="AC4741">
        <f>IF(AB4741&gt;AB4740,AB4741,"")</f>
        <v/>
      </c>
    </row>
    <row r="4742">
      <c r="W4742" s="7" t="n"/>
      <c r="X4742" s="7" t="n"/>
      <c r="Z4742">
        <f>Z4741+IF(W4742="",0,IF(ISNA(MATCH(W4742,W$256:W4741,0)),1,0))</f>
        <v/>
      </c>
      <c r="AA4742">
        <f>IF(Z4742&gt;Z4741,Z4742,"")</f>
        <v/>
      </c>
      <c r="AB4742">
        <f>AB4741+IF(X4742="",0,IF(ISNA(MATCH(X4742,X$256:X4741,0)),1,0))</f>
        <v/>
      </c>
      <c r="AC4742">
        <f>IF(AB4742&gt;AB4741,AB4742,"")</f>
        <v/>
      </c>
    </row>
    <row r="4743">
      <c r="W4743" s="7" t="n"/>
      <c r="X4743" s="7" t="n"/>
      <c r="Z4743">
        <f>Z4742+IF(W4743="",0,IF(ISNA(MATCH(W4743,W$256:W4742,0)),1,0))</f>
        <v/>
      </c>
      <c r="AA4743">
        <f>IF(Z4743&gt;Z4742,Z4743,"")</f>
        <v/>
      </c>
      <c r="AB4743">
        <f>AB4742+IF(X4743="",0,IF(ISNA(MATCH(X4743,X$256:X4742,0)),1,0))</f>
        <v/>
      </c>
      <c r="AC4743">
        <f>IF(AB4743&gt;AB4742,AB4743,"")</f>
        <v/>
      </c>
    </row>
    <row r="4744">
      <c r="W4744" s="7" t="n"/>
      <c r="X4744" s="7" t="n"/>
      <c r="Z4744">
        <f>Z4743+IF(W4744="",0,IF(ISNA(MATCH(W4744,W$256:W4743,0)),1,0))</f>
        <v/>
      </c>
      <c r="AA4744">
        <f>IF(Z4744&gt;Z4743,Z4744,"")</f>
        <v/>
      </c>
      <c r="AB4744">
        <f>AB4743+IF(X4744="",0,IF(ISNA(MATCH(X4744,X$256:X4743,0)),1,0))</f>
        <v/>
      </c>
      <c r="AC4744">
        <f>IF(AB4744&gt;AB4743,AB4744,"")</f>
        <v/>
      </c>
    </row>
    <row r="4745">
      <c r="W4745" s="7" t="n"/>
      <c r="X4745" s="7" t="n"/>
      <c r="Z4745">
        <f>Z4744+IF(W4745="",0,IF(ISNA(MATCH(W4745,W$256:W4744,0)),1,0))</f>
        <v/>
      </c>
      <c r="AA4745">
        <f>IF(Z4745&gt;Z4744,Z4745,"")</f>
        <v/>
      </c>
      <c r="AB4745">
        <f>AB4744+IF(X4745="",0,IF(ISNA(MATCH(X4745,X$256:X4744,0)),1,0))</f>
        <v/>
      </c>
      <c r="AC4745">
        <f>IF(AB4745&gt;AB4744,AB4745,"")</f>
        <v/>
      </c>
    </row>
    <row r="4746">
      <c r="W4746" s="7" t="n"/>
      <c r="X4746" s="7" t="n"/>
      <c r="Z4746">
        <f>Z4745+IF(W4746="",0,IF(ISNA(MATCH(W4746,W$256:W4745,0)),1,0))</f>
        <v/>
      </c>
      <c r="AA4746">
        <f>IF(Z4746&gt;Z4745,Z4746,"")</f>
        <v/>
      </c>
      <c r="AB4746">
        <f>AB4745+IF(X4746="",0,IF(ISNA(MATCH(X4746,X$256:X4745,0)),1,0))</f>
        <v/>
      </c>
      <c r="AC4746">
        <f>IF(AB4746&gt;AB4745,AB4746,"")</f>
        <v/>
      </c>
    </row>
    <row r="4747">
      <c r="W4747" s="7" t="n"/>
      <c r="X4747" s="7" t="n"/>
      <c r="Z4747">
        <f>Z4746+IF(W4747="",0,IF(ISNA(MATCH(W4747,W$256:W4746,0)),1,0))</f>
        <v/>
      </c>
      <c r="AA4747">
        <f>IF(Z4747&gt;Z4746,Z4747,"")</f>
        <v/>
      </c>
      <c r="AB4747">
        <f>AB4746+IF(X4747="",0,IF(ISNA(MATCH(X4747,X$256:X4746,0)),1,0))</f>
        <v/>
      </c>
      <c r="AC4747">
        <f>IF(AB4747&gt;AB4746,AB4747,"")</f>
        <v/>
      </c>
    </row>
    <row r="4748">
      <c r="W4748" s="7" t="n"/>
      <c r="X4748" s="7" t="n"/>
      <c r="Z4748">
        <f>Z4747+IF(W4748="",0,IF(ISNA(MATCH(W4748,W$256:W4747,0)),1,0))</f>
        <v/>
      </c>
      <c r="AA4748">
        <f>IF(Z4748&gt;Z4747,Z4748,"")</f>
        <v/>
      </c>
      <c r="AB4748">
        <f>AB4747+IF(X4748="",0,IF(ISNA(MATCH(X4748,X$256:X4747,0)),1,0))</f>
        <v/>
      </c>
      <c r="AC4748">
        <f>IF(AB4748&gt;AB4747,AB4748,"")</f>
        <v/>
      </c>
    </row>
    <row r="4749">
      <c r="W4749" s="7" t="n"/>
      <c r="X4749" s="7" t="n"/>
      <c r="Z4749">
        <f>Z4748+IF(W4749="",0,IF(ISNA(MATCH(W4749,W$256:W4748,0)),1,0))</f>
        <v/>
      </c>
      <c r="AA4749">
        <f>IF(Z4749&gt;Z4748,Z4749,"")</f>
        <v/>
      </c>
      <c r="AB4749">
        <f>AB4748+IF(X4749="",0,IF(ISNA(MATCH(X4749,X$256:X4748,0)),1,0))</f>
        <v/>
      </c>
      <c r="AC4749">
        <f>IF(AB4749&gt;AB4748,AB4749,"")</f>
        <v/>
      </c>
    </row>
    <row r="4750">
      <c r="W4750" s="7" t="n"/>
      <c r="X4750" s="7" t="n"/>
      <c r="Z4750">
        <f>Z4749+IF(W4750="",0,IF(ISNA(MATCH(W4750,W$256:W4749,0)),1,0))</f>
        <v/>
      </c>
      <c r="AA4750">
        <f>IF(Z4750&gt;Z4749,Z4750,"")</f>
        <v/>
      </c>
      <c r="AB4750">
        <f>AB4749+IF(X4750="",0,IF(ISNA(MATCH(X4750,X$256:X4749,0)),1,0))</f>
        <v/>
      </c>
      <c r="AC4750">
        <f>IF(AB4750&gt;AB4749,AB4750,"")</f>
        <v/>
      </c>
    </row>
    <row r="4751">
      <c r="W4751" s="7" t="n"/>
      <c r="X4751" s="7" t="n"/>
      <c r="Z4751">
        <f>Z4750+IF(W4751="",0,IF(ISNA(MATCH(W4751,W$256:W4750,0)),1,0))</f>
        <v/>
      </c>
      <c r="AA4751">
        <f>IF(Z4751&gt;Z4750,Z4751,"")</f>
        <v/>
      </c>
      <c r="AB4751">
        <f>AB4750+IF(X4751="",0,IF(ISNA(MATCH(X4751,X$256:X4750,0)),1,0))</f>
        <v/>
      </c>
      <c r="AC4751">
        <f>IF(AB4751&gt;AB4750,AB4751,"")</f>
        <v/>
      </c>
    </row>
    <row r="4752">
      <c r="W4752" s="7" t="n"/>
      <c r="X4752" s="7" t="n"/>
      <c r="Z4752">
        <f>Z4751+IF(W4752="",0,IF(ISNA(MATCH(W4752,W$256:W4751,0)),1,0))</f>
        <v/>
      </c>
      <c r="AA4752">
        <f>IF(Z4752&gt;Z4751,Z4752,"")</f>
        <v/>
      </c>
      <c r="AB4752">
        <f>AB4751+IF(X4752="",0,IF(ISNA(MATCH(X4752,X$256:X4751,0)),1,0))</f>
        <v/>
      </c>
      <c r="AC4752">
        <f>IF(AB4752&gt;AB4751,AB4752,"")</f>
        <v/>
      </c>
    </row>
    <row r="4753">
      <c r="W4753" s="7" t="n"/>
      <c r="X4753" s="7" t="n"/>
      <c r="Z4753">
        <f>Z4752+IF(W4753="",0,IF(ISNA(MATCH(W4753,W$256:W4752,0)),1,0))</f>
        <v/>
      </c>
      <c r="AA4753">
        <f>IF(Z4753&gt;Z4752,Z4753,"")</f>
        <v/>
      </c>
      <c r="AB4753">
        <f>AB4752+IF(X4753="",0,IF(ISNA(MATCH(X4753,X$256:X4752,0)),1,0))</f>
        <v/>
      </c>
      <c r="AC4753">
        <f>IF(AB4753&gt;AB4752,AB4753,"")</f>
        <v/>
      </c>
    </row>
    <row r="4754">
      <c r="W4754" s="7" t="n"/>
      <c r="X4754" s="7" t="n"/>
      <c r="Z4754">
        <f>Z4753+IF(W4754="",0,IF(ISNA(MATCH(W4754,W$256:W4753,0)),1,0))</f>
        <v/>
      </c>
      <c r="AA4754">
        <f>IF(Z4754&gt;Z4753,Z4754,"")</f>
        <v/>
      </c>
      <c r="AB4754">
        <f>AB4753+IF(X4754="",0,IF(ISNA(MATCH(X4754,X$256:X4753,0)),1,0))</f>
        <v/>
      </c>
      <c r="AC4754">
        <f>IF(AB4754&gt;AB4753,AB4754,"")</f>
        <v/>
      </c>
    </row>
    <row r="4755">
      <c r="W4755" s="7" t="n"/>
      <c r="X4755" s="7" t="n"/>
      <c r="Z4755">
        <f>Z4754+IF(W4755="",0,IF(ISNA(MATCH(W4755,W$256:W4754,0)),1,0))</f>
        <v/>
      </c>
      <c r="AA4755">
        <f>IF(Z4755&gt;Z4754,Z4755,"")</f>
        <v/>
      </c>
      <c r="AB4755">
        <f>AB4754+IF(X4755="",0,IF(ISNA(MATCH(X4755,X$256:X4754,0)),1,0))</f>
        <v/>
      </c>
      <c r="AC4755">
        <f>IF(AB4755&gt;AB4754,AB4755,"")</f>
        <v/>
      </c>
    </row>
    <row r="4756">
      <c r="W4756" s="7" t="n"/>
      <c r="X4756" s="7" t="n"/>
      <c r="Z4756">
        <f>Z4755+IF(W4756="",0,IF(ISNA(MATCH(W4756,W$256:W4755,0)),1,0))</f>
        <v/>
      </c>
      <c r="AA4756">
        <f>IF(Z4756&gt;Z4755,Z4756,"")</f>
        <v/>
      </c>
      <c r="AB4756">
        <f>AB4755+IF(X4756="",0,IF(ISNA(MATCH(X4756,X$256:X4755,0)),1,0))</f>
        <v/>
      </c>
      <c r="AC4756">
        <f>IF(AB4756&gt;AB4755,AB4756,"")</f>
        <v/>
      </c>
    </row>
    <row r="4757">
      <c r="W4757" s="7" t="n"/>
      <c r="X4757" s="7" t="n"/>
      <c r="Z4757">
        <f>Z4756+IF(W4757="",0,IF(ISNA(MATCH(W4757,W$256:W4756,0)),1,0))</f>
        <v/>
      </c>
      <c r="AA4757">
        <f>IF(Z4757&gt;Z4756,Z4757,"")</f>
        <v/>
      </c>
      <c r="AB4757">
        <f>AB4756+IF(X4757="",0,IF(ISNA(MATCH(X4757,X$256:X4756,0)),1,0))</f>
        <v/>
      </c>
      <c r="AC4757">
        <f>IF(AB4757&gt;AB4756,AB4757,"")</f>
        <v/>
      </c>
    </row>
    <row r="4758">
      <c r="W4758" s="7" t="n"/>
      <c r="X4758" s="7" t="n"/>
      <c r="Z4758">
        <f>Z4757+IF(W4758="",0,IF(ISNA(MATCH(W4758,W$256:W4757,0)),1,0))</f>
        <v/>
      </c>
      <c r="AA4758">
        <f>IF(Z4758&gt;Z4757,Z4758,"")</f>
        <v/>
      </c>
      <c r="AB4758">
        <f>AB4757+IF(X4758="",0,IF(ISNA(MATCH(X4758,X$256:X4757,0)),1,0))</f>
        <v/>
      </c>
      <c r="AC4758">
        <f>IF(AB4758&gt;AB4757,AB4758,"")</f>
        <v/>
      </c>
    </row>
    <row r="4759">
      <c r="W4759" s="7" t="n"/>
      <c r="X4759" s="7" t="n"/>
      <c r="Z4759">
        <f>Z4758+IF(W4759="",0,IF(ISNA(MATCH(W4759,W$256:W4758,0)),1,0))</f>
        <v/>
      </c>
      <c r="AA4759">
        <f>IF(Z4759&gt;Z4758,Z4759,"")</f>
        <v/>
      </c>
      <c r="AB4759">
        <f>AB4758+IF(X4759="",0,IF(ISNA(MATCH(X4759,X$256:X4758,0)),1,0))</f>
        <v/>
      </c>
      <c r="AC4759">
        <f>IF(AB4759&gt;AB4758,AB4759,"")</f>
        <v/>
      </c>
    </row>
    <row r="4760">
      <c r="W4760" s="7" t="n"/>
      <c r="X4760" s="7" t="n"/>
      <c r="Z4760">
        <f>Z4759+IF(W4760="",0,IF(ISNA(MATCH(W4760,W$256:W4759,0)),1,0))</f>
        <v/>
      </c>
      <c r="AA4760">
        <f>IF(Z4760&gt;Z4759,Z4760,"")</f>
        <v/>
      </c>
      <c r="AB4760">
        <f>AB4759+IF(X4760="",0,IF(ISNA(MATCH(X4760,X$256:X4759,0)),1,0))</f>
        <v/>
      </c>
      <c r="AC4760">
        <f>IF(AB4760&gt;AB4759,AB4760,"")</f>
        <v/>
      </c>
    </row>
    <row r="4761">
      <c r="W4761" s="7" t="n"/>
      <c r="X4761" s="7" t="n"/>
      <c r="Z4761">
        <f>Z4760+IF(W4761="",0,IF(ISNA(MATCH(W4761,W$256:W4760,0)),1,0))</f>
        <v/>
      </c>
      <c r="AA4761">
        <f>IF(Z4761&gt;Z4760,Z4761,"")</f>
        <v/>
      </c>
      <c r="AB4761">
        <f>AB4760+IF(X4761="",0,IF(ISNA(MATCH(X4761,X$256:X4760,0)),1,0))</f>
        <v/>
      </c>
      <c r="AC4761">
        <f>IF(AB4761&gt;AB4760,AB4761,"")</f>
        <v/>
      </c>
    </row>
    <row r="4762">
      <c r="W4762" s="7" t="n"/>
      <c r="X4762" s="7" t="n"/>
      <c r="Z4762">
        <f>Z4761+IF(W4762="",0,IF(ISNA(MATCH(W4762,W$256:W4761,0)),1,0))</f>
        <v/>
      </c>
      <c r="AA4762">
        <f>IF(Z4762&gt;Z4761,Z4762,"")</f>
        <v/>
      </c>
      <c r="AB4762">
        <f>AB4761+IF(X4762="",0,IF(ISNA(MATCH(X4762,X$256:X4761,0)),1,0))</f>
        <v/>
      </c>
      <c r="AC4762">
        <f>IF(AB4762&gt;AB4761,AB4762,"")</f>
        <v/>
      </c>
    </row>
    <row r="4763">
      <c r="W4763" s="7" t="n"/>
      <c r="X4763" s="7" t="n"/>
      <c r="Z4763">
        <f>Z4762+IF(W4763="",0,IF(ISNA(MATCH(W4763,W$256:W4762,0)),1,0))</f>
        <v/>
      </c>
      <c r="AA4763">
        <f>IF(Z4763&gt;Z4762,Z4763,"")</f>
        <v/>
      </c>
      <c r="AB4763">
        <f>AB4762+IF(X4763="",0,IF(ISNA(MATCH(X4763,X$256:X4762,0)),1,0))</f>
        <v/>
      </c>
      <c r="AC4763">
        <f>IF(AB4763&gt;AB4762,AB4763,"")</f>
        <v/>
      </c>
    </row>
    <row r="4764">
      <c r="W4764" s="7" t="n"/>
      <c r="X4764" s="7" t="n"/>
      <c r="Z4764">
        <f>Z4763+IF(W4764="",0,IF(ISNA(MATCH(W4764,W$256:W4763,0)),1,0))</f>
        <v/>
      </c>
      <c r="AA4764">
        <f>IF(Z4764&gt;Z4763,Z4764,"")</f>
        <v/>
      </c>
      <c r="AB4764">
        <f>AB4763+IF(X4764="",0,IF(ISNA(MATCH(X4764,X$256:X4763,0)),1,0))</f>
        <v/>
      </c>
      <c r="AC4764">
        <f>IF(AB4764&gt;AB4763,AB4764,"")</f>
        <v/>
      </c>
    </row>
    <row r="4765">
      <c r="W4765" s="7" t="n"/>
      <c r="X4765" s="7" t="n"/>
      <c r="Z4765">
        <f>Z4764+IF(W4765="",0,IF(ISNA(MATCH(W4765,W$256:W4764,0)),1,0))</f>
        <v/>
      </c>
      <c r="AA4765">
        <f>IF(Z4765&gt;Z4764,Z4765,"")</f>
        <v/>
      </c>
      <c r="AB4765">
        <f>AB4764+IF(X4765="",0,IF(ISNA(MATCH(X4765,X$256:X4764,0)),1,0))</f>
        <v/>
      </c>
      <c r="AC4765">
        <f>IF(AB4765&gt;AB4764,AB4765,"")</f>
        <v/>
      </c>
    </row>
    <row r="4766">
      <c r="W4766" s="7" t="n"/>
      <c r="X4766" s="7" t="n"/>
      <c r="Z4766">
        <f>Z4765+IF(W4766="",0,IF(ISNA(MATCH(W4766,W$256:W4765,0)),1,0))</f>
        <v/>
      </c>
      <c r="AA4766">
        <f>IF(Z4766&gt;Z4765,Z4766,"")</f>
        <v/>
      </c>
      <c r="AB4766">
        <f>AB4765+IF(X4766="",0,IF(ISNA(MATCH(X4766,X$256:X4765,0)),1,0))</f>
        <v/>
      </c>
      <c r="AC4766">
        <f>IF(AB4766&gt;AB4765,AB4766,"")</f>
        <v/>
      </c>
    </row>
    <row r="4767">
      <c r="W4767" s="7" t="n"/>
      <c r="X4767" s="7" t="n"/>
      <c r="Z4767">
        <f>Z4766+IF(W4767="",0,IF(ISNA(MATCH(W4767,W$256:W4766,0)),1,0))</f>
        <v/>
      </c>
      <c r="AA4767">
        <f>IF(Z4767&gt;Z4766,Z4767,"")</f>
        <v/>
      </c>
      <c r="AB4767">
        <f>AB4766+IF(X4767="",0,IF(ISNA(MATCH(X4767,X$256:X4766,0)),1,0))</f>
        <v/>
      </c>
      <c r="AC4767">
        <f>IF(AB4767&gt;AB4766,AB4767,"")</f>
        <v/>
      </c>
    </row>
    <row r="4768">
      <c r="W4768" s="7" t="n"/>
      <c r="X4768" s="7" t="n"/>
      <c r="Z4768">
        <f>Z4767+IF(W4768="",0,IF(ISNA(MATCH(W4768,W$256:W4767,0)),1,0))</f>
        <v/>
      </c>
      <c r="AA4768">
        <f>IF(Z4768&gt;Z4767,Z4768,"")</f>
        <v/>
      </c>
      <c r="AB4768">
        <f>AB4767+IF(X4768="",0,IF(ISNA(MATCH(X4768,X$256:X4767,0)),1,0))</f>
        <v/>
      </c>
      <c r="AC4768">
        <f>IF(AB4768&gt;AB4767,AB4768,"")</f>
        <v/>
      </c>
    </row>
    <row r="4769">
      <c r="W4769" s="7" t="n"/>
      <c r="X4769" s="7" t="n"/>
      <c r="Z4769">
        <f>Z4768+IF(W4769="",0,IF(ISNA(MATCH(W4769,W$256:W4768,0)),1,0))</f>
        <v/>
      </c>
      <c r="AA4769">
        <f>IF(Z4769&gt;Z4768,Z4769,"")</f>
        <v/>
      </c>
      <c r="AB4769">
        <f>AB4768+IF(X4769="",0,IF(ISNA(MATCH(X4769,X$256:X4768,0)),1,0))</f>
        <v/>
      </c>
      <c r="AC4769">
        <f>IF(AB4769&gt;AB4768,AB4769,"")</f>
        <v/>
      </c>
    </row>
    <row r="4770">
      <c r="W4770" s="7" t="n"/>
      <c r="X4770" s="7" t="n"/>
      <c r="Z4770">
        <f>Z4769+IF(W4770="",0,IF(ISNA(MATCH(W4770,W$256:W4769,0)),1,0))</f>
        <v/>
      </c>
      <c r="AA4770">
        <f>IF(Z4770&gt;Z4769,Z4770,"")</f>
        <v/>
      </c>
      <c r="AB4770">
        <f>AB4769+IF(X4770="",0,IF(ISNA(MATCH(X4770,X$256:X4769,0)),1,0))</f>
        <v/>
      </c>
      <c r="AC4770">
        <f>IF(AB4770&gt;AB4769,AB4770,"")</f>
        <v/>
      </c>
    </row>
    <row r="4771">
      <c r="W4771" s="7" t="n"/>
      <c r="X4771" s="7" t="n"/>
      <c r="Z4771">
        <f>Z4770+IF(W4771="",0,IF(ISNA(MATCH(W4771,W$256:W4770,0)),1,0))</f>
        <v/>
      </c>
      <c r="AA4771">
        <f>IF(Z4771&gt;Z4770,Z4771,"")</f>
        <v/>
      </c>
      <c r="AB4771">
        <f>AB4770+IF(X4771="",0,IF(ISNA(MATCH(X4771,X$256:X4770,0)),1,0))</f>
        <v/>
      </c>
      <c r="AC4771">
        <f>IF(AB4771&gt;AB4770,AB4771,"")</f>
        <v/>
      </c>
    </row>
    <row r="4772">
      <c r="W4772" s="7" t="n"/>
      <c r="X4772" s="7" t="n"/>
      <c r="Z4772">
        <f>Z4771+IF(W4772="",0,IF(ISNA(MATCH(W4772,W$256:W4771,0)),1,0))</f>
        <v/>
      </c>
      <c r="AA4772">
        <f>IF(Z4772&gt;Z4771,Z4772,"")</f>
        <v/>
      </c>
      <c r="AB4772">
        <f>AB4771+IF(X4772="",0,IF(ISNA(MATCH(X4772,X$256:X4771,0)),1,0))</f>
        <v/>
      </c>
      <c r="AC4772">
        <f>IF(AB4772&gt;AB4771,AB4772,"")</f>
        <v/>
      </c>
    </row>
    <row r="4773">
      <c r="W4773" s="7" t="n"/>
      <c r="X4773" s="7" t="n"/>
      <c r="Z4773">
        <f>Z4772+IF(W4773="",0,IF(ISNA(MATCH(W4773,W$256:W4772,0)),1,0))</f>
        <v/>
      </c>
      <c r="AA4773">
        <f>IF(Z4773&gt;Z4772,Z4773,"")</f>
        <v/>
      </c>
      <c r="AB4773">
        <f>AB4772+IF(X4773="",0,IF(ISNA(MATCH(X4773,X$256:X4772,0)),1,0))</f>
        <v/>
      </c>
      <c r="AC4773">
        <f>IF(AB4773&gt;AB4772,AB4773,"")</f>
        <v/>
      </c>
    </row>
    <row r="4774">
      <c r="W4774" s="7" t="n"/>
      <c r="X4774" s="7" t="n"/>
      <c r="Z4774">
        <f>Z4773+IF(W4774="",0,IF(ISNA(MATCH(W4774,W$256:W4773,0)),1,0))</f>
        <v/>
      </c>
      <c r="AA4774">
        <f>IF(Z4774&gt;Z4773,Z4774,"")</f>
        <v/>
      </c>
      <c r="AB4774">
        <f>AB4773+IF(X4774="",0,IF(ISNA(MATCH(X4774,X$256:X4773,0)),1,0))</f>
        <v/>
      </c>
      <c r="AC4774">
        <f>IF(AB4774&gt;AB4773,AB4774,"")</f>
        <v/>
      </c>
    </row>
    <row r="4775">
      <c r="W4775" s="7" t="n"/>
      <c r="X4775" s="7" t="n"/>
      <c r="Z4775">
        <f>Z4774+IF(W4775="",0,IF(ISNA(MATCH(W4775,W$256:W4774,0)),1,0))</f>
        <v/>
      </c>
      <c r="AA4775">
        <f>IF(Z4775&gt;Z4774,Z4775,"")</f>
        <v/>
      </c>
      <c r="AB4775">
        <f>AB4774+IF(X4775="",0,IF(ISNA(MATCH(X4775,X$256:X4774,0)),1,0))</f>
        <v/>
      </c>
      <c r="AC4775">
        <f>IF(AB4775&gt;AB4774,AB4775,"")</f>
        <v/>
      </c>
    </row>
    <row r="4776">
      <c r="W4776" s="7" t="n"/>
      <c r="X4776" s="7" t="n"/>
      <c r="Z4776">
        <f>Z4775+IF(W4776="",0,IF(ISNA(MATCH(W4776,W$256:W4775,0)),1,0))</f>
        <v/>
      </c>
      <c r="AA4776">
        <f>IF(Z4776&gt;Z4775,Z4776,"")</f>
        <v/>
      </c>
      <c r="AB4776">
        <f>AB4775+IF(X4776="",0,IF(ISNA(MATCH(X4776,X$256:X4775,0)),1,0))</f>
        <v/>
      </c>
      <c r="AC4776">
        <f>IF(AB4776&gt;AB4775,AB4776,"")</f>
        <v/>
      </c>
    </row>
    <row r="4777">
      <c r="W4777" s="7" t="n"/>
      <c r="X4777" s="7" t="n"/>
      <c r="Z4777">
        <f>Z4776+IF(W4777="",0,IF(ISNA(MATCH(W4777,W$256:W4776,0)),1,0))</f>
        <v/>
      </c>
      <c r="AA4777">
        <f>IF(Z4777&gt;Z4776,Z4777,"")</f>
        <v/>
      </c>
      <c r="AB4777">
        <f>AB4776+IF(X4777="",0,IF(ISNA(MATCH(X4777,X$256:X4776,0)),1,0))</f>
        <v/>
      </c>
      <c r="AC4777">
        <f>IF(AB4777&gt;AB4776,AB4777,"")</f>
        <v/>
      </c>
    </row>
    <row r="4778">
      <c r="W4778" s="7" t="n"/>
      <c r="X4778" s="7" t="n"/>
      <c r="Z4778">
        <f>Z4777+IF(W4778="",0,IF(ISNA(MATCH(W4778,W$256:W4777,0)),1,0))</f>
        <v/>
      </c>
      <c r="AA4778">
        <f>IF(Z4778&gt;Z4777,Z4778,"")</f>
        <v/>
      </c>
      <c r="AB4778">
        <f>AB4777+IF(X4778="",0,IF(ISNA(MATCH(X4778,X$256:X4777,0)),1,0))</f>
        <v/>
      </c>
      <c r="AC4778">
        <f>IF(AB4778&gt;AB4777,AB4778,"")</f>
        <v/>
      </c>
    </row>
    <row r="4779">
      <c r="W4779" s="7" t="n"/>
      <c r="X4779" s="7" t="n"/>
      <c r="Z4779">
        <f>Z4778+IF(W4779="",0,IF(ISNA(MATCH(W4779,W$256:W4778,0)),1,0))</f>
        <v/>
      </c>
      <c r="AA4779">
        <f>IF(Z4779&gt;Z4778,Z4779,"")</f>
        <v/>
      </c>
      <c r="AB4779">
        <f>AB4778+IF(X4779="",0,IF(ISNA(MATCH(X4779,X$256:X4778,0)),1,0))</f>
        <v/>
      </c>
      <c r="AC4779">
        <f>IF(AB4779&gt;AB4778,AB4779,"")</f>
        <v/>
      </c>
    </row>
    <row r="4780">
      <c r="W4780" s="7" t="n"/>
      <c r="X4780" s="7" t="n"/>
      <c r="Z4780">
        <f>Z4779+IF(W4780="",0,IF(ISNA(MATCH(W4780,W$256:W4779,0)),1,0))</f>
        <v/>
      </c>
      <c r="AA4780">
        <f>IF(Z4780&gt;Z4779,Z4780,"")</f>
        <v/>
      </c>
      <c r="AB4780">
        <f>AB4779+IF(X4780="",0,IF(ISNA(MATCH(X4780,X$256:X4779,0)),1,0))</f>
        <v/>
      </c>
      <c r="AC4780">
        <f>IF(AB4780&gt;AB4779,AB4780,"")</f>
        <v/>
      </c>
    </row>
    <row r="4781">
      <c r="W4781" s="7" t="n"/>
      <c r="X4781" s="7" t="n"/>
      <c r="Z4781">
        <f>Z4780+IF(W4781="",0,IF(ISNA(MATCH(W4781,W$256:W4780,0)),1,0))</f>
        <v/>
      </c>
      <c r="AA4781">
        <f>IF(Z4781&gt;Z4780,Z4781,"")</f>
        <v/>
      </c>
      <c r="AB4781">
        <f>AB4780+IF(X4781="",0,IF(ISNA(MATCH(X4781,X$256:X4780,0)),1,0))</f>
        <v/>
      </c>
      <c r="AC4781">
        <f>IF(AB4781&gt;AB4780,AB4781,"")</f>
        <v/>
      </c>
    </row>
    <row r="4782">
      <c r="W4782" s="7" t="n"/>
      <c r="X4782" s="7" t="n"/>
      <c r="Z4782">
        <f>Z4781+IF(W4782="",0,IF(ISNA(MATCH(W4782,W$256:W4781,0)),1,0))</f>
        <v/>
      </c>
      <c r="AA4782">
        <f>IF(Z4782&gt;Z4781,Z4782,"")</f>
        <v/>
      </c>
      <c r="AB4782">
        <f>AB4781+IF(X4782="",0,IF(ISNA(MATCH(X4782,X$256:X4781,0)),1,0))</f>
        <v/>
      </c>
      <c r="AC4782">
        <f>IF(AB4782&gt;AB4781,AB4782,"")</f>
        <v/>
      </c>
    </row>
    <row r="4783">
      <c r="W4783" s="7" t="n"/>
      <c r="X4783" s="7" t="n"/>
      <c r="Z4783">
        <f>Z4782+IF(W4783="",0,IF(ISNA(MATCH(W4783,W$256:W4782,0)),1,0))</f>
        <v/>
      </c>
      <c r="AA4783">
        <f>IF(Z4783&gt;Z4782,Z4783,"")</f>
        <v/>
      </c>
      <c r="AB4783">
        <f>AB4782+IF(X4783="",0,IF(ISNA(MATCH(X4783,X$256:X4782,0)),1,0))</f>
        <v/>
      </c>
      <c r="AC4783">
        <f>IF(AB4783&gt;AB4782,AB4783,"")</f>
        <v/>
      </c>
    </row>
    <row r="4784">
      <c r="W4784" s="7" t="n"/>
      <c r="X4784" s="7" t="n"/>
      <c r="Z4784">
        <f>Z4783+IF(W4784="",0,IF(ISNA(MATCH(W4784,W$256:W4783,0)),1,0))</f>
        <v/>
      </c>
      <c r="AA4784">
        <f>IF(Z4784&gt;Z4783,Z4784,"")</f>
        <v/>
      </c>
      <c r="AB4784">
        <f>AB4783+IF(X4784="",0,IF(ISNA(MATCH(X4784,X$256:X4783,0)),1,0))</f>
        <v/>
      </c>
      <c r="AC4784">
        <f>IF(AB4784&gt;AB4783,AB4784,"")</f>
        <v/>
      </c>
    </row>
    <row r="4785">
      <c r="W4785" s="7" t="n"/>
      <c r="X4785" s="7" t="n"/>
      <c r="Z4785">
        <f>Z4784+IF(W4785="",0,IF(ISNA(MATCH(W4785,W$256:W4784,0)),1,0))</f>
        <v/>
      </c>
      <c r="AA4785">
        <f>IF(Z4785&gt;Z4784,Z4785,"")</f>
        <v/>
      </c>
      <c r="AB4785">
        <f>AB4784+IF(X4785="",0,IF(ISNA(MATCH(X4785,X$256:X4784,0)),1,0))</f>
        <v/>
      </c>
      <c r="AC4785">
        <f>IF(AB4785&gt;AB4784,AB4785,"")</f>
        <v/>
      </c>
    </row>
    <row r="4786">
      <c r="W4786" s="7" t="n"/>
      <c r="X4786" s="7" t="n"/>
      <c r="Z4786">
        <f>Z4785+IF(W4786="",0,IF(ISNA(MATCH(W4786,W$256:W4785,0)),1,0))</f>
        <v/>
      </c>
      <c r="AA4786">
        <f>IF(Z4786&gt;Z4785,Z4786,"")</f>
        <v/>
      </c>
      <c r="AB4786">
        <f>AB4785+IF(X4786="",0,IF(ISNA(MATCH(X4786,X$256:X4785,0)),1,0))</f>
        <v/>
      </c>
      <c r="AC4786">
        <f>IF(AB4786&gt;AB4785,AB4786,"")</f>
        <v/>
      </c>
    </row>
    <row r="4787">
      <c r="W4787" s="7" t="n"/>
      <c r="X4787" s="7" t="n"/>
      <c r="Z4787">
        <f>Z4786+IF(W4787="",0,IF(ISNA(MATCH(W4787,W$256:W4786,0)),1,0))</f>
        <v/>
      </c>
      <c r="AA4787">
        <f>IF(Z4787&gt;Z4786,Z4787,"")</f>
        <v/>
      </c>
      <c r="AB4787">
        <f>AB4786+IF(X4787="",0,IF(ISNA(MATCH(X4787,X$256:X4786,0)),1,0))</f>
        <v/>
      </c>
      <c r="AC4787">
        <f>IF(AB4787&gt;AB4786,AB4787,"")</f>
        <v/>
      </c>
    </row>
    <row r="4788">
      <c r="W4788" s="7" t="n"/>
      <c r="X4788" s="7" t="n"/>
      <c r="Z4788">
        <f>Z4787+IF(W4788="",0,IF(ISNA(MATCH(W4788,W$256:W4787,0)),1,0))</f>
        <v/>
      </c>
      <c r="AA4788">
        <f>IF(Z4788&gt;Z4787,Z4788,"")</f>
        <v/>
      </c>
      <c r="AB4788">
        <f>AB4787+IF(X4788="",0,IF(ISNA(MATCH(X4788,X$256:X4787,0)),1,0))</f>
        <v/>
      </c>
      <c r="AC4788">
        <f>IF(AB4788&gt;AB4787,AB4788,"")</f>
        <v/>
      </c>
    </row>
    <row r="4789">
      <c r="W4789" s="7" t="n"/>
      <c r="X4789" s="7" t="n"/>
      <c r="Z4789">
        <f>Z4788+IF(W4789="",0,IF(ISNA(MATCH(W4789,W$256:W4788,0)),1,0))</f>
        <v/>
      </c>
      <c r="AA4789">
        <f>IF(Z4789&gt;Z4788,Z4789,"")</f>
        <v/>
      </c>
      <c r="AB4789">
        <f>AB4788+IF(X4789="",0,IF(ISNA(MATCH(X4789,X$256:X4788,0)),1,0))</f>
        <v/>
      </c>
      <c r="AC4789">
        <f>IF(AB4789&gt;AB4788,AB4789,"")</f>
        <v/>
      </c>
    </row>
    <row r="4790">
      <c r="W4790" s="7" t="n"/>
      <c r="X4790" s="7" t="n"/>
      <c r="Z4790">
        <f>Z4789+IF(W4790="",0,IF(ISNA(MATCH(W4790,W$256:W4789,0)),1,0))</f>
        <v/>
      </c>
      <c r="AA4790">
        <f>IF(Z4790&gt;Z4789,Z4790,"")</f>
        <v/>
      </c>
      <c r="AB4790">
        <f>AB4789+IF(X4790="",0,IF(ISNA(MATCH(X4790,X$256:X4789,0)),1,0))</f>
        <v/>
      </c>
      <c r="AC4790">
        <f>IF(AB4790&gt;AB4789,AB4790,"")</f>
        <v/>
      </c>
    </row>
    <row r="4791">
      <c r="W4791" s="7" t="n"/>
      <c r="X4791" s="7" t="n"/>
      <c r="Z4791">
        <f>Z4790+IF(W4791="",0,IF(ISNA(MATCH(W4791,W$256:W4790,0)),1,0))</f>
        <v/>
      </c>
      <c r="AA4791">
        <f>IF(Z4791&gt;Z4790,Z4791,"")</f>
        <v/>
      </c>
      <c r="AB4791">
        <f>AB4790+IF(X4791="",0,IF(ISNA(MATCH(X4791,X$256:X4790,0)),1,0))</f>
        <v/>
      </c>
      <c r="AC4791">
        <f>IF(AB4791&gt;AB4790,AB4791,"")</f>
        <v/>
      </c>
    </row>
    <row r="4792">
      <c r="W4792" s="7" t="n"/>
      <c r="X4792" s="7" t="n"/>
      <c r="Z4792">
        <f>Z4791+IF(W4792="",0,IF(ISNA(MATCH(W4792,W$256:W4791,0)),1,0))</f>
        <v/>
      </c>
      <c r="AA4792">
        <f>IF(Z4792&gt;Z4791,Z4792,"")</f>
        <v/>
      </c>
      <c r="AB4792">
        <f>AB4791+IF(X4792="",0,IF(ISNA(MATCH(X4792,X$256:X4791,0)),1,0))</f>
        <v/>
      </c>
      <c r="AC4792">
        <f>IF(AB4792&gt;AB4791,AB4792,"")</f>
        <v/>
      </c>
    </row>
    <row r="4793">
      <c r="W4793" s="7" t="n"/>
      <c r="X4793" s="7" t="n"/>
      <c r="Z4793">
        <f>Z4792+IF(W4793="",0,IF(ISNA(MATCH(W4793,W$256:W4792,0)),1,0))</f>
        <v/>
      </c>
      <c r="AA4793">
        <f>IF(Z4793&gt;Z4792,Z4793,"")</f>
        <v/>
      </c>
      <c r="AB4793">
        <f>AB4792+IF(X4793="",0,IF(ISNA(MATCH(X4793,X$256:X4792,0)),1,0))</f>
        <v/>
      </c>
      <c r="AC4793">
        <f>IF(AB4793&gt;AB4792,AB4793,"")</f>
        <v/>
      </c>
    </row>
    <row r="4794">
      <c r="W4794" s="7" t="n"/>
      <c r="X4794" s="7" t="n"/>
      <c r="Z4794">
        <f>Z4793+IF(W4794="",0,IF(ISNA(MATCH(W4794,W$256:W4793,0)),1,0))</f>
        <v/>
      </c>
      <c r="AA4794">
        <f>IF(Z4794&gt;Z4793,Z4794,"")</f>
        <v/>
      </c>
      <c r="AB4794">
        <f>AB4793+IF(X4794="",0,IF(ISNA(MATCH(X4794,X$256:X4793,0)),1,0))</f>
        <v/>
      </c>
      <c r="AC4794">
        <f>IF(AB4794&gt;AB4793,AB4794,"")</f>
        <v/>
      </c>
    </row>
    <row r="4795">
      <c r="W4795" s="7" t="n"/>
      <c r="X4795" s="7" t="n"/>
      <c r="Z4795">
        <f>Z4794+IF(W4795="",0,IF(ISNA(MATCH(W4795,W$256:W4794,0)),1,0))</f>
        <v/>
      </c>
      <c r="AA4795">
        <f>IF(Z4795&gt;Z4794,Z4795,"")</f>
        <v/>
      </c>
      <c r="AB4795">
        <f>AB4794+IF(X4795="",0,IF(ISNA(MATCH(X4795,X$256:X4794,0)),1,0))</f>
        <v/>
      </c>
      <c r="AC4795">
        <f>IF(AB4795&gt;AB4794,AB4795,"")</f>
        <v/>
      </c>
    </row>
    <row r="4796">
      <c r="W4796" s="7" t="n"/>
      <c r="X4796" s="7" t="n"/>
      <c r="Z4796">
        <f>Z4795+IF(W4796="",0,IF(ISNA(MATCH(W4796,W$256:W4795,0)),1,0))</f>
        <v/>
      </c>
      <c r="AA4796">
        <f>IF(Z4796&gt;Z4795,Z4796,"")</f>
        <v/>
      </c>
      <c r="AB4796">
        <f>AB4795+IF(X4796="",0,IF(ISNA(MATCH(X4796,X$256:X4795,0)),1,0))</f>
        <v/>
      </c>
      <c r="AC4796">
        <f>IF(AB4796&gt;AB4795,AB4796,"")</f>
        <v/>
      </c>
    </row>
    <row r="4797">
      <c r="W4797" s="7" t="n"/>
      <c r="X4797" s="7" t="n"/>
      <c r="Z4797">
        <f>Z4796+IF(W4797="",0,IF(ISNA(MATCH(W4797,W$256:W4796,0)),1,0))</f>
        <v/>
      </c>
      <c r="AA4797">
        <f>IF(Z4797&gt;Z4796,Z4797,"")</f>
        <v/>
      </c>
      <c r="AB4797">
        <f>AB4796+IF(X4797="",0,IF(ISNA(MATCH(X4797,X$256:X4796,0)),1,0))</f>
        <v/>
      </c>
      <c r="AC4797">
        <f>IF(AB4797&gt;AB4796,AB4797,"")</f>
        <v/>
      </c>
    </row>
    <row r="4798">
      <c r="W4798" s="7" t="n"/>
      <c r="X4798" s="7" t="n"/>
      <c r="Z4798">
        <f>Z4797+IF(W4798="",0,IF(ISNA(MATCH(W4798,W$256:W4797,0)),1,0))</f>
        <v/>
      </c>
      <c r="AA4798">
        <f>IF(Z4798&gt;Z4797,Z4798,"")</f>
        <v/>
      </c>
      <c r="AB4798">
        <f>AB4797+IF(X4798="",0,IF(ISNA(MATCH(X4798,X$256:X4797,0)),1,0))</f>
        <v/>
      </c>
      <c r="AC4798">
        <f>IF(AB4798&gt;AB4797,AB4798,"")</f>
        <v/>
      </c>
    </row>
    <row r="4799">
      <c r="W4799" s="7" t="n"/>
      <c r="X4799" s="7" t="n"/>
      <c r="Z4799">
        <f>Z4798+IF(W4799="",0,IF(ISNA(MATCH(W4799,W$256:W4798,0)),1,0))</f>
        <v/>
      </c>
      <c r="AA4799">
        <f>IF(Z4799&gt;Z4798,Z4799,"")</f>
        <v/>
      </c>
      <c r="AB4799">
        <f>AB4798+IF(X4799="",0,IF(ISNA(MATCH(X4799,X$256:X4798,0)),1,0))</f>
        <v/>
      </c>
      <c r="AC4799">
        <f>IF(AB4799&gt;AB4798,AB4799,"")</f>
        <v/>
      </c>
    </row>
    <row r="4800">
      <c r="W4800" s="7" t="n"/>
      <c r="X4800" s="7" t="n"/>
      <c r="Z4800">
        <f>Z4799+IF(W4800="",0,IF(ISNA(MATCH(W4800,W$256:W4799,0)),1,0))</f>
        <v/>
      </c>
      <c r="AA4800">
        <f>IF(Z4800&gt;Z4799,Z4800,"")</f>
        <v/>
      </c>
      <c r="AB4800">
        <f>AB4799+IF(X4800="",0,IF(ISNA(MATCH(X4800,X$256:X4799,0)),1,0))</f>
        <v/>
      </c>
      <c r="AC4800">
        <f>IF(AB4800&gt;AB4799,AB4800,"")</f>
        <v/>
      </c>
    </row>
    <row r="4801">
      <c r="W4801" s="7" t="n"/>
      <c r="X4801" s="7" t="n"/>
      <c r="Z4801">
        <f>Z4800+IF(W4801="",0,IF(ISNA(MATCH(W4801,W$256:W4800,0)),1,0))</f>
        <v/>
      </c>
      <c r="AA4801">
        <f>IF(Z4801&gt;Z4800,Z4801,"")</f>
        <v/>
      </c>
      <c r="AB4801">
        <f>AB4800+IF(X4801="",0,IF(ISNA(MATCH(X4801,X$256:X4800,0)),1,0))</f>
        <v/>
      </c>
      <c r="AC4801">
        <f>IF(AB4801&gt;AB4800,AB4801,"")</f>
        <v/>
      </c>
    </row>
    <row r="4802">
      <c r="W4802" s="7" t="n"/>
      <c r="X4802" s="7" t="n"/>
      <c r="Z4802">
        <f>Z4801+IF(W4802="",0,IF(ISNA(MATCH(W4802,W$256:W4801,0)),1,0))</f>
        <v/>
      </c>
      <c r="AA4802">
        <f>IF(Z4802&gt;Z4801,Z4802,"")</f>
        <v/>
      </c>
      <c r="AB4802">
        <f>AB4801+IF(X4802="",0,IF(ISNA(MATCH(X4802,X$256:X4801,0)),1,0))</f>
        <v/>
      </c>
      <c r="AC4802">
        <f>IF(AB4802&gt;AB4801,AB4802,"")</f>
        <v/>
      </c>
    </row>
    <row r="4803">
      <c r="W4803" s="7" t="n"/>
      <c r="X4803" s="7" t="n"/>
      <c r="Z4803">
        <f>Z4802+IF(W4803="",0,IF(ISNA(MATCH(W4803,W$256:W4802,0)),1,0))</f>
        <v/>
      </c>
      <c r="AA4803">
        <f>IF(Z4803&gt;Z4802,Z4803,"")</f>
        <v/>
      </c>
      <c r="AB4803">
        <f>AB4802+IF(X4803="",0,IF(ISNA(MATCH(X4803,X$256:X4802,0)),1,0))</f>
        <v/>
      </c>
      <c r="AC4803">
        <f>IF(AB4803&gt;AB4802,AB4803,"")</f>
        <v/>
      </c>
    </row>
    <row r="4804">
      <c r="W4804" s="7" t="n"/>
      <c r="X4804" s="7" t="n"/>
      <c r="Z4804">
        <f>Z4803+IF(W4804="",0,IF(ISNA(MATCH(W4804,W$256:W4803,0)),1,0))</f>
        <v/>
      </c>
      <c r="AA4804">
        <f>IF(Z4804&gt;Z4803,Z4804,"")</f>
        <v/>
      </c>
      <c r="AB4804">
        <f>AB4803+IF(X4804="",0,IF(ISNA(MATCH(X4804,X$256:X4803,0)),1,0))</f>
        <v/>
      </c>
      <c r="AC4804">
        <f>IF(AB4804&gt;AB4803,AB4804,"")</f>
        <v/>
      </c>
    </row>
    <row r="4805">
      <c r="W4805" s="7" t="n"/>
      <c r="X4805" s="7" t="n"/>
      <c r="Z4805">
        <f>Z4804+IF(W4805="",0,IF(ISNA(MATCH(W4805,W$256:W4804,0)),1,0))</f>
        <v/>
      </c>
      <c r="AA4805">
        <f>IF(Z4805&gt;Z4804,Z4805,"")</f>
        <v/>
      </c>
      <c r="AB4805">
        <f>AB4804+IF(X4805="",0,IF(ISNA(MATCH(X4805,X$256:X4804,0)),1,0))</f>
        <v/>
      </c>
      <c r="AC4805">
        <f>IF(AB4805&gt;AB4804,AB4805,"")</f>
        <v/>
      </c>
    </row>
    <row r="4806">
      <c r="W4806" s="7" t="n"/>
      <c r="X4806" s="7" t="n"/>
      <c r="Z4806">
        <f>Z4805+IF(W4806="",0,IF(ISNA(MATCH(W4806,W$256:W4805,0)),1,0))</f>
        <v/>
      </c>
      <c r="AA4806">
        <f>IF(Z4806&gt;Z4805,Z4806,"")</f>
        <v/>
      </c>
      <c r="AB4806">
        <f>AB4805+IF(X4806="",0,IF(ISNA(MATCH(X4806,X$256:X4805,0)),1,0))</f>
        <v/>
      </c>
      <c r="AC4806">
        <f>IF(AB4806&gt;AB4805,AB4806,"")</f>
        <v/>
      </c>
    </row>
    <row r="4807">
      <c r="W4807" s="7" t="n"/>
      <c r="X4807" s="7" t="n"/>
      <c r="Z4807">
        <f>Z4806+IF(W4807="",0,IF(ISNA(MATCH(W4807,W$256:W4806,0)),1,0))</f>
        <v/>
      </c>
      <c r="AA4807">
        <f>IF(Z4807&gt;Z4806,Z4807,"")</f>
        <v/>
      </c>
      <c r="AB4807">
        <f>AB4806+IF(X4807="",0,IF(ISNA(MATCH(X4807,X$256:X4806,0)),1,0))</f>
        <v/>
      </c>
      <c r="AC4807">
        <f>IF(AB4807&gt;AB4806,AB4807,"")</f>
        <v/>
      </c>
    </row>
    <row r="4808">
      <c r="W4808" s="7" t="n"/>
      <c r="X4808" s="7" t="n"/>
      <c r="Z4808">
        <f>Z4807+IF(W4808="",0,IF(ISNA(MATCH(W4808,W$256:W4807,0)),1,0))</f>
        <v/>
      </c>
      <c r="AA4808">
        <f>IF(Z4808&gt;Z4807,Z4808,"")</f>
        <v/>
      </c>
      <c r="AB4808">
        <f>AB4807+IF(X4808="",0,IF(ISNA(MATCH(X4808,X$256:X4807,0)),1,0))</f>
        <v/>
      </c>
      <c r="AC4808">
        <f>IF(AB4808&gt;AB4807,AB4808,"")</f>
        <v/>
      </c>
    </row>
    <row r="4809">
      <c r="W4809" s="7" t="n"/>
      <c r="X4809" s="7" t="n"/>
      <c r="Z4809">
        <f>Z4808+IF(W4809="",0,IF(ISNA(MATCH(W4809,W$256:W4808,0)),1,0))</f>
        <v/>
      </c>
      <c r="AA4809">
        <f>IF(Z4809&gt;Z4808,Z4809,"")</f>
        <v/>
      </c>
      <c r="AB4809">
        <f>AB4808+IF(X4809="",0,IF(ISNA(MATCH(X4809,X$256:X4808,0)),1,0))</f>
        <v/>
      </c>
      <c r="AC4809">
        <f>IF(AB4809&gt;AB4808,AB4809,"")</f>
        <v/>
      </c>
    </row>
    <row r="4810">
      <c r="W4810" s="7" t="n"/>
      <c r="X4810" s="7" t="n"/>
      <c r="Z4810">
        <f>Z4809+IF(W4810="",0,IF(ISNA(MATCH(W4810,W$256:W4809,0)),1,0))</f>
        <v/>
      </c>
      <c r="AA4810">
        <f>IF(Z4810&gt;Z4809,Z4810,"")</f>
        <v/>
      </c>
      <c r="AB4810">
        <f>AB4809+IF(X4810="",0,IF(ISNA(MATCH(X4810,X$256:X4809,0)),1,0))</f>
        <v/>
      </c>
      <c r="AC4810">
        <f>IF(AB4810&gt;AB4809,AB4810,"")</f>
        <v/>
      </c>
    </row>
    <row r="4811">
      <c r="W4811" s="7" t="n"/>
      <c r="X4811" s="7" t="n"/>
      <c r="Z4811">
        <f>Z4810+IF(W4811="",0,IF(ISNA(MATCH(W4811,W$256:W4810,0)),1,0))</f>
        <v/>
      </c>
      <c r="AA4811">
        <f>IF(Z4811&gt;Z4810,Z4811,"")</f>
        <v/>
      </c>
      <c r="AB4811">
        <f>AB4810+IF(X4811="",0,IF(ISNA(MATCH(X4811,X$256:X4810,0)),1,0))</f>
        <v/>
      </c>
      <c r="AC4811">
        <f>IF(AB4811&gt;AB4810,AB4811,"")</f>
        <v/>
      </c>
    </row>
    <row r="4812">
      <c r="W4812" s="7" t="n"/>
      <c r="X4812" s="7" t="n"/>
      <c r="Z4812">
        <f>Z4811+IF(W4812="",0,IF(ISNA(MATCH(W4812,W$256:W4811,0)),1,0))</f>
        <v/>
      </c>
      <c r="AA4812">
        <f>IF(Z4812&gt;Z4811,Z4812,"")</f>
        <v/>
      </c>
      <c r="AB4812">
        <f>AB4811+IF(X4812="",0,IF(ISNA(MATCH(X4812,X$256:X4811,0)),1,0))</f>
        <v/>
      </c>
      <c r="AC4812">
        <f>IF(AB4812&gt;AB4811,AB4812,"")</f>
        <v/>
      </c>
    </row>
    <row r="4813">
      <c r="W4813" s="7" t="n"/>
      <c r="X4813" s="7" t="n"/>
      <c r="Z4813">
        <f>Z4812+IF(W4813="",0,IF(ISNA(MATCH(W4813,W$256:W4812,0)),1,0))</f>
        <v/>
      </c>
      <c r="AA4813">
        <f>IF(Z4813&gt;Z4812,Z4813,"")</f>
        <v/>
      </c>
      <c r="AB4813">
        <f>AB4812+IF(X4813="",0,IF(ISNA(MATCH(X4813,X$256:X4812,0)),1,0))</f>
        <v/>
      </c>
      <c r="AC4813">
        <f>IF(AB4813&gt;AB4812,AB4813,"")</f>
        <v/>
      </c>
    </row>
    <row r="4814">
      <c r="W4814" s="7" t="n"/>
      <c r="X4814" s="7" t="n"/>
      <c r="Z4814">
        <f>Z4813+IF(W4814="",0,IF(ISNA(MATCH(W4814,W$256:W4813,0)),1,0))</f>
        <v/>
      </c>
      <c r="AA4814">
        <f>IF(Z4814&gt;Z4813,Z4814,"")</f>
        <v/>
      </c>
      <c r="AB4814">
        <f>AB4813+IF(X4814="",0,IF(ISNA(MATCH(X4814,X$256:X4813,0)),1,0))</f>
        <v/>
      </c>
      <c r="AC4814">
        <f>IF(AB4814&gt;AB4813,AB4814,"")</f>
        <v/>
      </c>
    </row>
    <row r="4815">
      <c r="W4815" s="7" t="n"/>
      <c r="X4815" s="7" t="n"/>
      <c r="Z4815">
        <f>Z4814+IF(W4815="",0,IF(ISNA(MATCH(W4815,W$256:W4814,0)),1,0))</f>
        <v/>
      </c>
      <c r="AA4815">
        <f>IF(Z4815&gt;Z4814,Z4815,"")</f>
        <v/>
      </c>
      <c r="AB4815">
        <f>AB4814+IF(X4815="",0,IF(ISNA(MATCH(X4815,X$256:X4814,0)),1,0))</f>
        <v/>
      </c>
      <c r="AC4815">
        <f>IF(AB4815&gt;AB4814,AB4815,"")</f>
        <v/>
      </c>
    </row>
    <row r="4816">
      <c r="W4816" s="7" t="n"/>
      <c r="X4816" s="7" t="n"/>
      <c r="Z4816">
        <f>Z4815+IF(W4816="",0,IF(ISNA(MATCH(W4816,W$256:W4815,0)),1,0))</f>
        <v/>
      </c>
      <c r="AA4816">
        <f>IF(Z4816&gt;Z4815,Z4816,"")</f>
        <v/>
      </c>
      <c r="AB4816">
        <f>AB4815+IF(X4816="",0,IF(ISNA(MATCH(X4816,X$256:X4815,0)),1,0))</f>
        <v/>
      </c>
      <c r="AC4816">
        <f>IF(AB4816&gt;AB4815,AB4816,"")</f>
        <v/>
      </c>
    </row>
    <row r="4817">
      <c r="W4817" s="7" t="n"/>
      <c r="X4817" s="7" t="n"/>
      <c r="Z4817">
        <f>Z4816+IF(W4817="",0,IF(ISNA(MATCH(W4817,W$256:W4816,0)),1,0))</f>
        <v/>
      </c>
      <c r="AA4817">
        <f>IF(Z4817&gt;Z4816,Z4817,"")</f>
        <v/>
      </c>
      <c r="AB4817">
        <f>AB4816+IF(X4817="",0,IF(ISNA(MATCH(X4817,X$256:X4816,0)),1,0))</f>
        <v/>
      </c>
      <c r="AC4817">
        <f>IF(AB4817&gt;AB4816,AB4817,"")</f>
        <v/>
      </c>
    </row>
    <row r="4818">
      <c r="W4818" s="7" t="n"/>
      <c r="X4818" s="7" t="n"/>
      <c r="Z4818">
        <f>Z4817+IF(W4818="",0,IF(ISNA(MATCH(W4818,W$256:W4817,0)),1,0))</f>
        <v/>
      </c>
      <c r="AA4818">
        <f>IF(Z4818&gt;Z4817,Z4818,"")</f>
        <v/>
      </c>
      <c r="AB4818">
        <f>AB4817+IF(X4818="",0,IF(ISNA(MATCH(X4818,X$256:X4817,0)),1,0))</f>
        <v/>
      </c>
      <c r="AC4818">
        <f>IF(AB4818&gt;AB4817,AB4818,"")</f>
        <v/>
      </c>
    </row>
    <row r="4819">
      <c r="W4819" s="7" t="n"/>
      <c r="X4819" s="7" t="n"/>
      <c r="Z4819">
        <f>Z4818+IF(W4819="",0,IF(ISNA(MATCH(W4819,W$256:W4818,0)),1,0))</f>
        <v/>
      </c>
      <c r="AA4819">
        <f>IF(Z4819&gt;Z4818,Z4819,"")</f>
        <v/>
      </c>
      <c r="AB4819">
        <f>AB4818+IF(X4819="",0,IF(ISNA(MATCH(X4819,X$256:X4818,0)),1,0))</f>
        <v/>
      </c>
      <c r="AC4819">
        <f>IF(AB4819&gt;AB4818,AB4819,"")</f>
        <v/>
      </c>
    </row>
    <row r="4820">
      <c r="W4820" s="7" t="n"/>
      <c r="X4820" s="7" t="n"/>
      <c r="Z4820">
        <f>Z4819+IF(W4820="",0,IF(ISNA(MATCH(W4820,W$256:W4819,0)),1,0))</f>
        <v/>
      </c>
      <c r="AA4820">
        <f>IF(Z4820&gt;Z4819,Z4820,"")</f>
        <v/>
      </c>
      <c r="AB4820">
        <f>AB4819+IF(X4820="",0,IF(ISNA(MATCH(X4820,X$256:X4819,0)),1,0))</f>
        <v/>
      </c>
      <c r="AC4820">
        <f>IF(AB4820&gt;AB4819,AB4820,"")</f>
        <v/>
      </c>
    </row>
    <row r="4821">
      <c r="W4821" s="7" t="n"/>
      <c r="X4821" s="7" t="n"/>
      <c r="Z4821">
        <f>Z4820+IF(W4821="",0,IF(ISNA(MATCH(W4821,W$256:W4820,0)),1,0))</f>
        <v/>
      </c>
      <c r="AA4821">
        <f>IF(Z4821&gt;Z4820,Z4821,"")</f>
        <v/>
      </c>
      <c r="AB4821">
        <f>AB4820+IF(X4821="",0,IF(ISNA(MATCH(X4821,X$256:X4820,0)),1,0))</f>
        <v/>
      </c>
      <c r="AC4821">
        <f>IF(AB4821&gt;AB4820,AB4821,"")</f>
        <v/>
      </c>
    </row>
    <row r="4822">
      <c r="W4822" s="7" t="n"/>
      <c r="X4822" s="7" t="n"/>
      <c r="Z4822">
        <f>Z4821+IF(W4822="",0,IF(ISNA(MATCH(W4822,W$256:W4821,0)),1,0))</f>
        <v/>
      </c>
      <c r="AA4822">
        <f>IF(Z4822&gt;Z4821,Z4822,"")</f>
        <v/>
      </c>
      <c r="AB4822">
        <f>AB4821+IF(X4822="",0,IF(ISNA(MATCH(X4822,X$256:X4821,0)),1,0))</f>
        <v/>
      </c>
      <c r="AC4822">
        <f>IF(AB4822&gt;AB4821,AB4822,"")</f>
        <v/>
      </c>
    </row>
    <row r="4823">
      <c r="W4823" s="7" t="n"/>
      <c r="X4823" s="7" t="n"/>
      <c r="Z4823">
        <f>Z4822+IF(W4823="",0,IF(ISNA(MATCH(W4823,W$256:W4822,0)),1,0))</f>
        <v/>
      </c>
      <c r="AA4823">
        <f>IF(Z4823&gt;Z4822,Z4823,"")</f>
        <v/>
      </c>
      <c r="AB4823">
        <f>AB4822+IF(X4823="",0,IF(ISNA(MATCH(X4823,X$256:X4822,0)),1,0))</f>
        <v/>
      </c>
      <c r="AC4823">
        <f>IF(AB4823&gt;AB4822,AB4823,"")</f>
        <v/>
      </c>
    </row>
    <row r="4824">
      <c r="W4824" s="7" t="n"/>
      <c r="X4824" s="7" t="n"/>
      <c r="Z4824">
        <f>Z4823+IF(W4824="",0,IF(ISNA(MATCH(W4824,W$256:W4823,0)),1,0))</f>
        <v/>
      </c>
      <c r="AA4824">
        <f>IF(Z4824&gt;Z4823,Z4824,"")</f>
        <v/>
      </c>
      <c r="AB4824">
        <f>AB4823+IF(X4824="",0,IF(ISNA(MATCH(X4824,X$256:X4823,0)),1,0))</f>
        <v/>
      </c>
      <c r="AC4824">
        <f>IF(AB4824&gt;AB4823,AB4824,"")</f>
        <v/>
      </c>
    </row>
    <row r="4825">
      <c r="W4825" s="7" t="n"/>
      <c r="X4825" s="7" t="n"/>
      <c r="Z4825">
        <f>Z4824+IF(W4825="",0,IF(ISNA(MATCH(W4825,W$256:W4824,0)),1,0))</f>
        <v/>
      </c>
      <c r="AA4825">
        <f>IF(Z4825&gt;Z4824,Z4825,"")</f>
        <v/>
      </c>
      <c r="AB4825">
        <f>AB4824+IF(X4825="",0,IF(ISNA(MATCH(X4825,X$256:X4824,0)),1,0))</f>
        <v/>
      </c>
      <c r="AC4825">
        <f>IF(AB4825&gt;AB4824,AB4825,"")</f>
        <v/>
      </c>
    </row>
    <row r="4826">
      <c r="W4826" s="7" t="n"/>
      <c r="X4826" s="7" t="n"/>
      <c r="Z4826">
        <f>Z4825+IF(W4826="",0,IF(ISNA(MATCH(W4826,W$256:W4825,0)),1,0))</f>
        <v/>
      </c>
      <c r="AA4826">
        <f>IF(Z4826&gt;Z4825,Z4826,"")</f>
        <v/>
      </c>
      <c r="AB4826">
        <f>AB4825+IF(X4826="",0,IF(ISNA(MATCH(X4826,X$256:X4825,0)),1,0))</f>
        <v/>
      </c>
      <c r="AC4826">
        <f>IF(AB4826&gt;AB4825,AB4826,"")</f>
        <v/>
      </c>
    </row>
    <row r="4827">
      <c r="W4827" s="7" t="n"/>
      <c r="X4827" s="7" t="n"/>
      <c r="Z4827">
        <f>Z4826+IF(W4827="",0,IF(ISNA(MATCH(W4827,W$256:W4826,0)),1,0))</f>
        <v/>
      </c>
      <c r="AA4827">
        <f>IF(Z4827&gt;Z4826,Z4827,"")</f>
        <v/>
      </c>
      <c r="AB4827">
        <f>AB4826+IF(X4827="",0,IF(ISNA(MATCH(X4827,X$256:X4826,0)),1,0))</f>
        <v/>
      </c>
      <c r="AC4827">
        <f>IF(AB4827&gt;AB4826,AB4827,"")</f>
        <v/>
      </c>
    </row>
    <row r="4828">
      <c r="W4828" s="7" t="n"/>
      <c r="X4828" s="7" t="n"/>
      <c r="Z4828">
        <f>Z4827+IF(W4828="",0,IF(ISNA(MATCH(W4828,W$256:W4827,0)),1,0))</f>
        <v/>
      </c>
      <c r="AA4828">
        <f>IF(Z4828&gt;Z4827,Z4828,"")</f>
        <v/>
      </c>
      <c r="AB4828">
        <f>AB4827+IF(X4828="",0,IF(ISNA(MATCH(X4828,X$256:X4827,0)),1,0))</f>
        <v/>
      </c>
      <c r="AC4828">
        <f>IF(AB4828&gt;AB4827,AB4828,"")</f>
        <v/>
      </c>
    </row>
    <row r="4829">
      <c r="W4829" s="7" t="n"/>
      <c r="X4829" s="7" t="n"/>
      <c r="Z4829">
        <f>Z4828+IF(W4829="",0,IF(ISNA(MATCH(W4829,W$256:W4828,0)),1,0))</f>
        <v/>
      </c>
      <c r="AA4829">
        <f>IF(Z4829&gt;Z4828,Z4829,"")</f>
        <v/>
      </c>
      <c r="AB4829">
        <f>AB4828+IF(X4829="",0,IF(ISNA(MATCH(X4829,X$256:X4828,0)),1,0))</f>
        <v/>
      </c>
      <c r="AC4829">
        <f>IF(AB4829&gt;AB4828,AB4829,"")</f>
        <v/>
      </c>
    </row>
    <row r="4830">
      <c r="W4830" s="7" t="n"/>
      <c r="X4830" s="7" t="n"/>
      <c r="Z4830">
        <f>Z4829+IF(W4830="",0,IF(ISNA(MATCH(W4830,W$256:W4829,0)),1,0))</f>
        <v/>
      </c>
      <c r="AA4830">
        <f>IF(Z4830&gt;Z4829,Z4830,"")</f>
        <v/>
      </c>
      <c r="AB4830">
        <f>AB4829+IF(X4830="",0,IF(ISNA(MATCH(X4830,X$256:X4829,0)),1,0))</f>
        <v/>
      </c>
      <c r="AC4830">
        <f>IF(AB4830&gt;AB4829,AB4830,"")</f>
        <v/>
      </c>
    </row>
    <row r="4831">
      <c r="W4831" s="7" t="n"/>
      <c r="X4831" s="7" t="n"/>
      <c r="Z4831">
        <f>Z4830+IF(W4831="",0,IF(ISNA(MATCH(W4831,W$256:W4830,0)),1,0))</f>
        <v/>
      </c>
      <c r="AA4831">
        <f>IF(Z4831&gt;Z4830,Z4831,"")</f>
        <v/>
      </c>
      <c r="AB4831">
        <f>AB4830+IF(X4831="",0,IF(ISNA(MATCH(X4831,X$256:X4830,0)),1,0))</f>
        <v/>
      </c>
      <c r="AC4831">
        <f>IF(AB4831&gt;AB4830,AB4831,"")</f>
        <v/>
      </c>
    </row>
    <row r="4832">
      <c r="W4832" s="7" t="n"/>
      <c r="X4832" s="7" t="n"/>
      <c r="Z4832">
        <f>Z4831+IF(W4832="",0,IF(ISNA(MATCH(W4832,W$256:W4831,0)),1,0))</f>
        <v/>
      </c>
      <c r="AA4832">
        <f>IF(Z4832&gt;Z4831,Z4832,"")</f>
        <v/>
      </c>
      <c r="AB4832">
        <f>AB4831+IF(X4832="",0,IF(ISNA(MATCH(X4832,X$256:X4831,0)),1,0))</f>
        <v/>
      </c>
      <c r="AC4832">
        <f>IF(AB4832&gt;AB4831,AB4832,"")</f>
        <v/>
      </c>
    </row>
    <row r="4833">
      <c r="W4833" s="7" t="n"/>
      <c r="X4833" s="7" t="n"/>
      <c r="Z4833">
        <f>Z4832+IF(W4833="",0,IF(ISNA(MATCH(W4833,W$256:W4832,0)),1,0))</f>
        <v/>
      </c>
      <c r="AA4833">
        <f>IF(Z4833&gt;Z4832,Z4833,"")</f>
        <v/>
      </c>
      <c r="AB4833">
        <f>AB4832+IF(X4833="",0,IF(ISNA(MATCH(X4833,X$256:X4832,0)),1,0))</f>
        <v/>
      </c>
      <c r="AC4833">
        <f>IF(AB4833&gt;AB4832,AB4833,"")</f>
        <v/>
      </c>
    </row>
    <row r="4834">
      <c r="W4834" s="7" t="n"/>
      <c r="X4834" s="7" t="n"/>
      <c r="Z4834">
        <f>Z4833+IF(W4834="",0,IF(ISNA(MATCH(W4834,W$256:W4833,0)),1,0))</f>
        <v/>
      </c>
      <c r="AA4834">
        <f>IF(Z4834&gt;Z4833,Z4834,"")</f>
        <v/>
      </c>
      <c r="AB4834">
        <f>AB4833+IF(X4834="",0,IF(ISNA(MATCH(X4834,X$256:X4833,0)),1,0))</f>
        <v/>
      </c>
      <c r="AC4834">
        <f>IF(AB4834&gt;AB4833,AB4834,"")</f>
        <v/>
      </c>
    </row>
    <row r="4835">
      <c r="W4835" s="7" t="n"/>
      <c r="X4835" s="7" t="n"/>
      <c r="Z4835">
        <f>Z4834+IF(W4835="",0,IF(ISNA(MATCH(W4835,W$256:W4834,0)),1,0))</f>
        <v/>
      </c>
      <c r="AA4835">
        <f>IF(Z4835&gt;Z4834,Z4835,"")</f>
        <v/>
      </c>
      <c r="AB4835">
        <f>AB4834+IF(X4835="",0,IF(ISNA(MATCH(X4835,X$256:X4834,0)),1,0))</f>
        <v/>
      </c>
      <c r="AC4835">
        <f>IF(AB4835&gt;AB4834,AB4835,"")</f>
        <v/>
      </c>
    </row>
    <row r="4836">
      <c r="W4836" s="7" t="n"/>
      <c r="X4836" s="7" t="n"/>
      <c r="Z4836">
        <f>Z4835+IF(W4836="",0,IF(ISNA(MATCH(W4836,W$256:W4835,0)),1,0))</f>
        <v/>
      </c>
      <c r="AA4836">
        <f>IF(Z4836&gt;Z4835,Z4836,"")</f>
        <v/>
      </c>
      <c r="AB4836">
        <f>AB4835+IF(X4836="",0,IF(ISNA(MATCH(X4836,X$256:X4835,0)),1,0))</f>
        <v/>
      </c>
      <c r="AC4836">
        <f>IF(AB4836&gt;AB4835,AB4836,"")</f>
        <v/>
      </c>
    </row>
    <row r="4837">
      <c r="W4837" s="7" t="n"/>
      <c r="X4837" s="7" t="n"/>
      <c r="Z4837">
        <f>Z4836+IF(W4837="",0,IF(ISNA(MATCH(W4837,W$256:W4836,0)),1,0))</f>
        <v/>
      </c>
      <c r="AA4837">
        <f>IF(Z4837&gt;Z4836,Z4837,"")</f>
        <v/>
      </c>
      <c r="AB4837">
        <f>AB4836+IF(X4837="",0,IF(ISNA(MATCH(X4837,X$256:X4836,0)),1,0))</f>
        <v/>
      </c>
      <c r="AC4837">
        <f>IF(AB4837&gt;AB4836,AB4837,"")</f>
        <v/>
      </c>
    </row>
    <row r="4838">
      <c r="W4838" s="7" t="n"/>
      <c r="X4838" s="7" t="n"/>
      <c r="Z4838">
        <f>Z4837+IF(W4838="",0,IF(ISNA(MATCH(W4838,W$256:W4837,0)),1,0))</f>
        <v/>
      </c>
      <c r="AA4838">
        <f>IF(Z4838&gt;Z4837,Z4838,"")</f>
        <v/>
      </c>
      <c r="AB4838">
        <f>AB4837+IF(X4838="",0,IF(ISNA(MATCH(X4838,X$256:X4837,0)),1,0))</f>
        <v/>
      </c>
      <c r="AC4838">
        <f>IF(AB4838&gt;AB4837,AB4838,"")</f>
        <v/>
      </c>
    </row>
    <row r="4839">
      <c r="W4839" s="7" t="n"/>
      <c r="X4839" s="7" t="n"/>
      <c r="Z4839">
        <f>Z4838+IF(W4839="",0,IF(ISNA(MATCH(W4839,W$256:W4838,0)),1,0))</f>
        <v/>
      </c>
      <c r="AA4839">
        <f>IF(Z4839&gt;Z4838,Z4839,"")</f>
        <v/>
      </c>
      <c r="AB4839">
        <f>AB4838+IF(X4839="",0,IF(ISNA(MATCH(X4839,X$256:X4838,0)),1,0))</f>
        <v/>
      </c>
      <c r="AC4839">
        <f>IF(AB4839&gt;AB4838,AB4839,"")</f>
        <v/>
      </c>
    </row>
    <row r="4840">
      <c r="W4840" s="7" t="n"/>
      <c r="X4840" s="7" t="n"/>
      <c r="Z4840">
        <f>Z4839+IF(W4840="",0,IF(ISNA(MATCH(W4840,W$256:W4839,0)),1,0))</f>
        <v/>
      </c>
      <c r="AA4840">
        <f>IF(Z4840&gt;Z4839,Z4840,"")</f>
        <v/>
      </c>
      <c r="AB4840">
        <f>AB4839+IF(X4840="",0,IF(ISNA(MATCH(X4840,X$256:X4839,0)),1,0))</f>
        <v/>
      </c>
      <c r="AC4840">
        <f>IF(AB4840&gt;AB4839,AB4840,"")</f>
        <v/>
      </c>
    </row>
    <row r="4841">
      <c r="W4841" s="7" t="n"/>
      <c r="X4841" s="7" t="n"/>
      <c r="Z4841">
        <f>Z4840+IF(W4841="",0,IF(ISNA(MATCH(W4841,W$256:W4840,0)),1,0))</f>
        <v/>
      </c>
      <c r="AA4841">
        <f>IF(Z4841&gt;Z4840,Z4841,"")</f>
        <v/>
      </c>
      <c r="AB4841">
        <f>AB4840+IF(X4841="",0,IF(ISNA(MATCH(X4841,X$256:X4840,0)),1,0))</f>
        <v/>
      </c>
      <c r="AC4841">
        <f>IF(AB4841&gt;AB4840,AB4841,"")</f>
        <v/>
      </c>
    </row>
    <row r="4842">
      <c r="W4842" s="7" t="n"/>
      <c r="X4842" s="7" t="n"/>
      <c r="Z4842">
        <f>Z4841+IF(W4842="",0,IF(ISNA(MATCH(W4842,W$256:W4841,0)),1,0))</f>
        <v/>
      </c>
      <c r="AA4842">
        <f>IF(Z4842&gt;Z4841,Z4842,"")</f>
        <v/>
      </c>
      <c r="AB4842">
        <f>AB4841+IF(X4842="",0,IF(ISNA(MATCH(X4842,X$256:X4841,0)),1,0))</f>
        <v/>
      </c>
      <c r="AC4842">
        <f>IF(AB4842&gt;AB4841,AB4842,"")</f>
        <v/>
      </c>
    </row>
    <row r="4843">
      <c r="W4843" s="7" t="n"/>
      <c r="X4843" s="7" t="n"/>
      <c r="Z4843">
        <f>Z4842+IF(W4843="",0,IF(ISNA(MATCH(W4843,W$256:W4842,0)),1,0))</f>
        <v/>
      </c>
      <c r="AA4843">
        <f>IF(Z4843&gt;Z4842,Z4843,"")</f>
        <v/>
      </c>
      <c r="AB4843">
        <f>AB4842+IF(X4843="",0,IF(ISNA(MATCH(X4843,X$256:X4842,0)),1,0))</f>
        <v/>
      </c>
      <c r="AC4843">
        <f>IF(AB4843&gt;AB4842,AB4843,"")</f>
        <v/>
      </c>
    </row>
    <row r="4844">
      <c r="W4844" s="7" t="n"/>
      <c r="X4844" s="7" t="n"/>
      <c r="Z4844">
        <f>Z4843+IF(W4844="",0,IF(ISNA(MATCH(W4844,W$256:W4843,0)),1,0))</f>
        <v/>
      </c>
      <c r="AA4844">
        <f>IF(Z4844&gt;Z4843,Z4844,"")</f>
        <v/>
      </c>
      <c r="AB4844">
        <f>AB4843+IF(X4844="",0,IF(ISNA(MATCH(X4844,X$256:X4843,0)),1,0))</f>
        <v/>
      </c>
      <c r="AC4844">
        <f>IF(AB4844&gt;AB4843,AB4844,"")</f>
        <v/>
      </c>
    </row>
    <row r="4845">
      <c r="W4845" s="7" t="n"/>
      <c r="X4845" s="7" t="n"/>
      <c r="Z4845">
        <f>Z4844+IF(W4845="",0,IF(ISNA(MATCH(W4845,W$256:W4844,0)),1,0))</f>
        <v/>
      </c>
      <c r="AA4845">
        <f>IF(Z4845&gt;Z4844,Z4845,"")</f>
        <v/>
      </c>
      <c r="AB4845">
        <f>AB4844+IF(X4845="",0,IF(ISNA(MATCH(X4845,X$256:X4844,0)),1,0))</f>
        <v/>
      </c>
      <c r="AC4845">
        <f>IF(AB4845&gt;AB4844,AB4845,"")</f>
        <v/>
      </c>
    </row>
    <row r="4846">
      <c r="W4846" s="7" t="n"/>
      <c r="X4846" s="7" t="n"/>
      <c r="Z4846">
        <f>Z4845+IF(W4846="",0,IF(ISNA(MATCH(W4846,W$256:W4845,0)),1,0))</f>
        <v/>
      </c>
      <c r="AA4846">
        <f>IF(Z4846&gt;Z4845,Z4846,"")</f>
        <v/>
      </c>
      <c r="AB4846">
        <f>AB4845+IF(X4846="",0,IF(ISNA(MATCH(X4846,X$256:X4845,0)),1,0))</f>
        <v/>
      </c>
      <c r="AC4846">
        <f>IF(AB4846&gt;AB4845,AB4846,"")</f>
        <v/>
      </c>
    </row>
    <row r="4847">
      <c r="W4847" s="7" t="n"/>
      <c r="X4847" s="7" t="n"/>
      <c r="Z4847">
        <f>Z4846+IF(W4847="",0,IF(ISNA(MATCH(W4847,W$256:W4846,0)),1,0))</f>
        <v/>
      </c>
      <c r="AA4847">
        <f>IF(Z4847&gt;Z4846,Z4847,"")</f>
        <v/>
      </c>
      <c r="AB4847">
        <f>AB4846+IF(X4847="",0,IF(ISNA(MATCH(X4847,X$256:X4846,0)),1,0))</f>
        <v/>
      </c>
      <c r="AC4847">
        <f>IF(AB4847&gt;AB4846,AB4847,"")</f>
        <v/>
      </c>
    </row>
    <row r="4848">
      <c r="W4848" s="7" t="n"/>
      <c r="X4848" s="7" t="n"/>
      <c r="Z4848">
        <f>Z4847+IF(W4848="",0,IF(ISNA(MATCH(W4848,W$256:W4847,0)),1,0))</f>
        <v/>
      </c>
      <c r="AA4848">
        <f>IF(Z4848&gt;Z4847,Z4848,"")</f>
        <v/>
      </c>
      <c r="AB4848">
        <f>AB4847+IF(X4848="",0,IF(ISNA(MATCH(X4848,X$256:X4847,0)),1,0))</f>
        <v/>
      </c>
      <c r="AC4848">
        <f>IF(AB4848&gt;AB4847,AB4848,"")</f>
        <v/>
      </c>
    </row>
    <row r="4849">
      <c r="W4849" s="7" t="n"/>
      <c r="X4849" s="7" t="n"/>
      <c r="Z4849">
        <f>Z4848+IF(W4849="",0,IF(ISNA(MATCH(W4849,W$256:W4848,0)),1,0))</f>
        <v/>
      </c>
      <c r="AA4849">
        <f>IF(Z4849&gt;Z4848,Z4849,"")</f>
        <v/>
      </c>
      <c r="AB4849">
        <f>AB4848+IF(X4849="",0,IF(ISNA(MATCH(X4849,X$256:X4848,0)),1,0))</f>
        <v/>
      </c>
      <c r="AC4849">
        <f>IF(AB4849&gt;AB4848,AB4849,"")</f>
        <v/>
      </c>
    </row>
    <row r="4850">
      <c r="W4850" s="7" t="n"/>
      <c r="X4850" s="7" t="n"/>
      <c r="Z4850">
        <f>Z4849+IF(W4850="",0,IF(ISNA(MATCH(W4850,W$256:W4849,0)),1,0))</f>
        <v/>
      </c>
      <c r="AA4850">
        <f>IF(Z4850&gt;Z4849,Z4850,"")</f>
        <v/>
      </c>
      <c r="AB4850">
        <f>AB4849+IF(X4850="",0,IF(ISNA(MATCH(X4850,X$256:X4849,0)),1,0))</f>
        <v/>
      </c>
      <c r="AC4850">
        <f>IF(AB4850&gt;AB4849,AB4850,"")</f>
        <v/>
      </c>
    </row>
    <row r="4851">
      <c r="W4851" s="7" t="n"/>
      <c r="X4851" s="7" t="n"/>
      <c r="Z4851">
        <f>Z4850+IF(W4851="",0,IF(ISNA(MATCH(W4851,W$256:W4850,0)),1,0))</f>
        <v/>
      </c>
      <c r="AA4851">
        <f>IF(Z4851&gt;Z4850,Z4851,"")</f>
        <v/>
      </c>
      <c r="AB4851">
        <f>AB4850+IF(X4851="",0,IF(ISNA(MATCH(X4851,X$256:X4850,0)),1,0))</f>
        <v/>
      </c>
      <c r="AC4851">
        <f>IF(AB4851&gt;AB4850,AB4851,"")</f>
        <v/>
      </c>
    </row>
    <row r="4852">
      <c r="W4852" s="7" t="n"/>
      <c r="X4852" s="7" t="n"/>
      <c r="Z4852">
        <f>Z4851+IF(W4852="",0,IF(ISNA(MATCH(W4852,W$256:W4851,0)),1,0))</f>
        <v/>
      </c>
      <c r="AA4852">
        <f>IF(Z4852&gt;Z4851,Z4852,"")</f>
        <v/>
      </c>
      <c r="AB4852">
        <f>AB4851+IF(X4852="",0,IF(ISNA(MATCH(X4852,X$256:X4851,0)),1,0))</f>
        <v/>
      </c>
      <c r="AC4852">
        <f>IF(AB4852&gt;AB4851,AB4852,"")</f>
        <v/>
      </c>
    </row>
    <row r="4853">
      <c r="W4853" s="7" t="n"/>
      <c r="X4853" s="7" t="n"/>
      <c r="Z4853">
        <f>Z4852+IF(W4853="",0,IF(ISNA(MATCH(W4853,W$256:W4852,0)),1,0))</f>
        <v/>
      </c>
      <c r="AA4853">
        <f>IF(Z4853&gt;Z4852,Z4853,"")</f>
        <v/>
      </c>
      <c r="AB4853">
        <f>AB4852+IF(X4853="",0,IF(ISNA(MATCH(X4853,X$256:X4852,0)),1,0))</f>
        <v/>
      </c>
      <c r="AC4853">
        <f>IF(AB4853&gt;AB4852,AB4853,"")</f>
        <v/>
      </c>
    </row>
    <row r="4854">
      <c r="W4854" s="7" t="n"/>
      <c r="X4854" s="7" t="n"/>
      <c r="Z4854">
        <f>Z4853+IF(W4854="",0,IF(ISNA(MATCH(W4854,W$256:W4853,0)),1,0))</f>
        <v/>
      </c>
      <c r="AA4854">
        <f>IF(Z4854&gt;Z4853,Z4854,"")</f>
        <v/>
      </c>
      <c r="AB4854">
        <f>AB4853+IF(X4854="",0,IF(ISNA(MATCH(X4854,X$256:X4853,0)),1,0))</f>
        <v/>
      </c>
      <c r="AC4854">
        <f>IF(AB4854&gt;AB4853,AB4854,"")</f>
        <v/>
      </c>
    </row>
    <row r="4855">
      <c r="W4855" s="7" t="n"/>
      <c r="X4855" s="7" t="n"/>
      <c r="Z4855">
        <f>Z4854+IF(W4855="",0,IF(ISNA(MATCH(W4855,W$256:W4854,0)),1,0))</f>
        <v/>
      </c>
      <c r="AA4855">
        <f>IF(Z4855&gt;Z4854,Z4855,"")</f>
        <v/>
      </c>
      <c r="AB4855">
        <f>AB4854+IF(X4855="",0,IF(ISNA(MATCH(X4855,X$256:X4854,0)),1,0))</f>
        <v/>
      </c>
      <c r="AC4855">
        <f>IF(AB4855&gt;AB4854,AB4855,"")</f>
        <v/>
      </c>
    </row>
    <row r="4856">
      <c r="W4856" s="7" t="n"/>
      <c r="X4856" s="7" t="n"/>
      <c r="Z4856">
        <f>Z4855+IF(W4856="",0,IF(ISNA(MATCH(W4856,W$256:W4855,0)),1,0))</f>
        <v/>
      </c>
      <c r="AA4856">
        <f>IF(Z4856&gt;Z4855,Z4856,"")</f>
        <v/>
      </c>
      <c r="AB4856">
        <f>AB4855+IF(X4856="",0,IF(ISNA(MATCH(X4856,X$256:X4855,0)),1,0))</f>
        <v/>
      </c>
      <c r="AC4856">
        <f>IF(AB4856&gt;AB4855,AB4856,"")</f>
        <v/>
      </c>
    </row>
    <row r="4857">
      <c r="W4857" s="7" t="n"/>
      <c r="X4857" s="7" t="n"/>
      <c r="Z4857">
        <f>Z4856+IF(W4857="",0,IF(ISNA(MATCH(W4857,W$256:W4856,0)),1,0))</f>
        <v/>
      </c>
      <c r="AA4857">
        <f>IF(Z4857&gt;Z4856,Z4857,"")</f>
        <v/>
      </c>
      <c r="AB4857">
        <f>AB4856+IF(X4857="",0,IF(ISNA(MATCH(X4857,X$256:X4856,0)),1,0))</f>
        <v/>
      </c>
      <c r="AC4857">
        <f>IF(AB4857&gt;AB4856,AB4857,"")</f>
        <v/>
      </c>
    </row>
    <row r="4858">
      <c r="W4858" s="7" t="n"/>
      <c r="X4858" s="7" t="n"/>
      <c r="Z4858">
        <f>Z4857+IF(W4858="",0,IF(ISNA(MATCH(W4858,W$256:W4857,0)),1,0))</f>
        <v/>
      </c>
      <c r="AA4858">
        <f>IF(Z4858&gt;Z4857,Z4858,"")</f>
        <v/>
      </c>
      <c r="AB4858">
        <f>AB4857+IF(X4858="",0,IF(ISNA(MATCH(X4858,X$256:X4857,0)),1,0))</f>
        <v/>
      </c>
      <c r="AC4858">
        <f>IF(AB4858&gt;AB4857,AB4858,"")</f>
        <v/>
      </c>
    </row>
    <row r="4859">
      <c r="W4859" s="7" t="n"/>
      <c r="X4859" s="7" t="n"/>
      <c r="Z4859">
        <f>Z4858+IF(W4859="",0,IF(ISNA(MATCH(W4859,W$256:W4858,0)),1,0))</f>
        <v/>
      </c>
      <c r="AA4859">
        <f>IF(Z4859&gt;Z4858,Z4859,"")</f>
        <v/>
      </c>
      <c r="AB4859">
        <f>AB4858+IF(X4859="",0,IF(ISNA(MATCH(X4859,X$256:X4858,0)),1,0))</f>
        <v/>
      </c>
      <c r="AC4859">
        <f>IF(AB4859&gt;AB4858,AB4859,"")</f>
        <v/>
      </c>
    </row>
    <row r="4860">
      <c r="W4860" s="7" t="n"/>
      <c r="X4860" s="7" t="n"/>
      <c r="Z4860">
        <f>Z4859+IF(W4860="",0,IF(ISNA(MATCH(W4860,W$256:W4859,0)),1,0))</f>
        <v/>
      </c>
      <c r="AA4860">
        <f>IF(Z4860&gt;Z4859,Z4860,"")</f>
        <v/>
      </c>
      <c r="AB4860">
        <f>AB4859+IF(X4860="",0,IF(ISNA(MATCH(X4860,X$256:X4859,0)),1,0))</f>
        <v/>
      </c>
      <c r="AC4860">
        <f>IF(AB4860&gt;AB4859,AB4860,"")</f>
        <v/>
      </c>
    </row>
    <row r="4861">
      <c r="W4861" s="7" t="n"/>
      <c r="X4861" s="7" t="n"/>
      <c r="Z4861">
        <f>Z4860+IF(W4861="",0,IF(ISNA(MATCH(W4861,W$256:W4860,0)),1,0))</f>
        <v/>
      </c>
      <c r="AA4861">
        <f>IF(Z4861&gt;Z4860,Z4861,"")</f>
        <v/>
      </c>
      <c r="AB4861">
        <f>AB4860+IF(X4861="",0,IF(ISNA(MATCH(X4861,X$256:X4860,0)),1,0))</f>
        <v/>
      </c>
      <c r="AC4861">
        <f>IF(AB4861&gt;AB4860,AB4861,"")</f>
        <v/>
      </c>
    </row>
    <row r="4862">
      <c r="W4862" s="7" t="n"/>
      <c r="X4862" s="7" t="n"/>
      <c r="Z4862">
        <f>Z4861+IF(W4862="",0,IF(ISNA(MATCH(W4862,W$256:W4861,0)),1,0))</f>
        <v/>
      </c>
      <c r="AA4862">
        <f>IF(Z4862&gt;Z4861,Z4862,"")</f>
        <v/>
      </c>
      <c r="AB4862">
        <f>AB4861+IF(X4862="",0,IF(ISNA(MATCH(X4862,X$256:X4861,0)),1,0))</f>
        <v/>
      </c>
      <c r="AC4862">
        <f>IF(AB4862&gt;AB4861,AB4862,"")</f>
        <v/>
      </c>
    </row>
    <row r="4863">
      <c r="W4863" s="7" t="n"/>
      <c r="X4863" s="7" t="n"/>
      <c r="Z4863">
        <f>Z4862+IF(W4863="",0,IF(ISNA(MATCH(W4863,W$256:W4862,0)),1,0))</f>
        <v/>
      </c>
      <c r="AA4863">
        <f>IF(Z4863&gt;Z4862,Z4863,"")</f>
        <v/>
      </c>
      <c r="AB4863">
        <f>AB4862+IF(X4863="",0,IF(ISNA(MATCH(X4863,X$256:X4862,0)),1,0))</f>
        <v/>
      </c>
      <c r="AC4863">
        <f>IF(AB4863&gt;AB4862,AB4863,"")</f>
        <v/>
      </c>
    </row>
    <row r="4864">
      <c r="W4864" s="7" t="n"/>
      <c r="X4864" s="7" t="n"/>
      <c r="Z4864">
        <f>Z4863+IF(W4864="",0,IF(ISNA(MATCH(W4864,W$256:W4863,0)),1,0))</f>
        <v/>
      </c>
      <c r="AA4864">
        <f>IF(Z4864&gt;Z4863,Z4864,"")</f>
        <v/>
      </c>
      <c r="AB4864">
        <f>AB4863+IF(X4864="",0,IF(ISNA(MATCH(X4864,X$256:X4863,0)),1,0))</f>
        <v/>
      </c>
      <c r="AC4864">
        <f>IF(AB4864&gt;AB4863,AB4864,"")</f>
        <v/>
      </c>
    </row>
    <row r="4865">
      <c r="W4865" s="7" t="n"/>
      <c r="X4865" s="7" t="n"/>
      <c r="Z4865">
        <f>Z4864+IF(W4865="",0,IF(ISNA(MATCH(W4865,W$256:W4864,0)),1,0))</f>
        <v/>
      </c>
      <c r="AA4865">
        <f>IF(Z4865&gt;Z4864,Z4865,"")</f>
        <v/>
      </c>
      <c r="AB4865">
        <f>AB4864+IF(X4865="",0,IF(ISNA(MATCH(X4865,X$256:X4864,0)),1,0))</f>
        <v/>
      </c>
      <c r="AC4865">
        <f>IF(AB4865&gt;AB4864,AB4865,"")</f>
        <v/>
      </c>
    </row>
    <row r="4866">
      <c r="W4866" s="7" t="n"/>
      <c r="X4866" s="7" t="n"/>
      <c r="Z4866">
        <f>Z4865+IF(W4866="",0,IF(ISNA(MATCH(W4866,W$256:W4865,0)),1,0))</f>
        <v/>
      </c>
      <c r="AA4866">
        <f>IF(Z4866&gt;Z4865,Z4866,"")</f>
        <v/>
      </c>
      <c r="AB4866">
        <f>AB4865+IF(X4866="",0,IF(ISNA(MATCH(X4866,X$256:X4865,0)),1,0))</f>
        <v/>
      </c>
      <c r="AC4866">
        <f>IF(AB4866&gt;AB4865,AB4866,"")</f>
        <v/>
      </c>
    </row>
    <row r="4867">
      <c r="W4867" s="7" t="n"/>
      <c r="X4867" s="7" t="n"/>
      <c r="Z4867">
        <f>Z4866+IF(W4867="",0,IF(ISNA(MATCH(W4867,W$256:W4866,0)),1,0))</f>
        <v/>
      </c>
      <c r="AA4867">
        <f>IF(Z4867&gt;Z4866,Z4867,"")</f>
        <v/>
      </c>
      <c r="AB4867">
        <f>AB4866+IF(X4867="",0,IF(ISNA(MATCH(X4867,X$256:X4866,0)),1,0))</f>
        <v/>
      </c>
      <c r="AC4867">
        <f>IF(AB4867&gt;AB4866,AB4867,"")</f>
        <v/>
      </c>
    </row>
    <row r="4868">
      <c r="W4868" s="7" t="n"/>
      <c r="X4868" s="7" t="n"/>
      <c r="Z4868">
        <f>Z4867+IF(W4868="",0,IF(ISNA(MATCH(W4868,W$256:W4867,0)),1,0))</f>
        <v/>
      </c>
      <c r="AA4868">
        <f>IF(Z4868&gt;Z4867,Z4868,"")</f>
        <v/>
      </c>
      <c r="AB4868">
        <f>AB4867+IF(X4868="",0,IF(ISNA(MATCH(X4868,X$256:X4867,0)),1,0))</f>
        <v/>
      </c>
      <c r="AC4868">
        <f>IF(AB4868&gt;AB4867,AB4868,"")</f>
        <v/>
      </c>
    </row>
    <row r="4869">
      <c r="W4869" s="7" t="n"/>
      <c r="X4869" s="7" t="n"/>
      <c r="Z4869">
        <f>Z4868+IF(W4869="",0,IF(ISNA(MATCH(W4869,W$256:W4868,0)),1,0))</f>
        <v/>
      </c>
      <c r="AA4869">
        <f>IF(Z4869&gt;Z4868,Z4869,"")</f>
        <v/>
      </c>
      <c r="AB4869">
        <f>AB4868+IF(X4869="",0,IF(ISNA(MATCH(X4869,X$256:X4868,0)),1,0))</f>
        <v/>
      </c>
      <c r="AC4869">
        <f>IF(AB4869&gt;AB4868,AB4869,"")</f>
        <v/>
      </c>
    </row>
    <row r="4870">
      <c r="W4870" s="7" t="n"/>
      <c r="X4870" s="7" t="n"/>
      <c r="Z4870">
        <f>Z4869+IF(W4870="",0,IF(ISNA(MATCH(W4870,W$256:W4869,0)),1,0))</f>
        <v/>
      </c>
      <c r="AA4870">
        <f>IF(Z4870&gt;Z4869,Z4870,"")</f>
        <v/>
      </c>
      <c r="AB4870">
        <f>AB4869+IF(X4870="",0,IF(ISNA(MATCH(X4870,X$256:X4869,0)),1,0))</f>
        <v/>
      </c>
      <c r="AC4870">
        <f>IF(AB4870&gt;AB4869,AB4870,"")</f>
        <v/>
      </c>
    </row>
    <row r="4871">
      <c r="W4871" s="7" t="n"/>
      <c r="X4871" s="7" t="n"/>
      <c r="Z4871">
        <f>Z4870+IF(W4871="",0,IF(ISNA(MATCH(W4871,W$256:W4870,0)),1,0))</f>
        <v/>
      </c>
      <c r="AA4871">
        <f>IF(Z4871&gt;Z4870,Z4871,"")</f>
        <v/>
      </c>
      <c r="AB4871">
        <f>AB4870+IF(X4871="",0,IF(ISNA(MATCH(X4871,X$256:X4870,0)),1,0))</f>
        <v/>
      </c>
      <c r="AC4871">
        <f>IF(AB4871&gt;AB4870,AB4871,"")</f>
        <v/>
      </c>
    </row>
    <row r="4872">
      <c r="W4872" s="7" t="n"/>
      <c r="X4872" s="7" t="n"/>
      <c r="Z4872">
        <f>Z4871+IF(W4872="",0,IF(ISNA(MATCH(W4872,W$256:W4871,0)),1,0))</f>
        <v/>
      </c>
      <c r="AA4872">
        <f>IF(Z4872&gt;Z4871,Z4872,"")</f>
        <v/>
      </c>
      <c r="AB4872">
        <f>AB4871+IF(X4872="",0,IF(ISNA(MATCH(X4872,X$256:X4871,0)),1,0))</f>
        <v/>
      </c>
      <c r="AC4872">
        <f>IF(AB4872&gt;AB4871,AB4872,"")</f>
        <v/>
      </c>
    </row>
    <row r="4873">
      <c r="W4873" s="7" t="n"/>
      <c r="X4873" s="7" t="n"/>
      <c r="Z4873">
        <f>Z4872+IF(W4873="",0,IF(ISNA(MATCH(W4873,W$256:W4872,0)),1,0))</f>
        <v/>
      </c>
      <c r="AA4873">
        <f>IF(Z4873&gt;Z4872,Z4873,"")</f>
        <v/>
      </c>
      <c r="AB4873">
        <f>AB4872+IF(X4873="",0,IF(ISNA(MATCH(X4873,X$256:X4872,0)),1,0))</f>
        <v/>
      </c>
      <c r="AC4873">
        <f>IF(AB4873&gt;AB4872,AB4873,"")</f>
        <v/>
      </c>
    </row>
    <row r="4874">
      <c r="W4874" s="7" t="n"/>
      <c r="X4874" s="7" t="n"/>
      <c r="Z4874">
        <f>Z4873+IF(W4874="",0,IF(ISNA(MATCH(W4874,W$256:W4873,0)),1,0))</f>
        <v/>
      </c>
      <c r="AA4874">
        <f>IF(Z4874&gt;Z4873,Z4874,"")</f>
        <v/>
      </c>
      <c r="AB4874">
        <f>AB4873+IF(X4874="",0,IF(ISNA(MATCH(X4874,X$256:X4873,0)),1,0))</f>
        <v/>
      </c>
      <c r="AC4874">
        <f>IF(AB4874&gt;AB4873,AB4874,"")</f>
        <v/>
      </c>
    </row>
    <row r="4875">
      <c r="W4875" s="7" t="n"/>
      <c r="X4875" s="7" t="n"/>
      <c r="Z4875">
        <f>Z4874+IF(W4875="",0,IF(ISNA(MATCH(W4875,W$256:W4874,0)),1,0))</f>
        <v/>
      </c>
      <c r="AA4875">
        <f>IF(Z4875&gt;Z4874,Z4875,"")</f>
        <v/>
      </c>
      <c r="AB4875">
        <f>AB4874+IF(X4875="",0,IF(ISNA(MATCH(X4875,X$256:X4874,0)),1,0))</f>
        <v/>
      </c>
      <c r="AC4875">
        <f>IF(AB4875&gt;AB4874,AB4875,"")</f>
        <v/>
      </c>
    </row>
    <row r="4876">
      <c r="W4876" s="7" t="n"/>
      <c r="X4876" s="7" t="n"/>
      <c r="Z4876">
        <f>Z4875+IF(W4876="",0,IF(ISNA(MATCH(W4876,W$256:W4875,0)),1,0))</f>
        <v/>
      </c>
      <c r="AA4876">
        <f>IF(Z4876&gt;Z4875,Z4876,"")</f>
        <v/>
      </c>
      <c r="AB4876">
        <f>AB4875+IF(X4876="",0,IF(ISNA(MATCH(X4876,X$256:X4875,0)),1,0))</f>
        <v/>
      </c>
      <c r="AC4876">
        <f>IF(AB4876&gt;AB4875,AB4876,"")</f>
        <v/>
      </c>
    </row>
    <row r="4877">
      <c r="W4877" s="7" t="n"/>
      <c r="X4877" s="7" t="n"/>
      <c r="Z4877">
        <f>Z4876+IF(W4877="",0,IF(ISNA(MATCH(W4877,W$256:W4876,0)),1,0))</f>
        <v/>
      </c>
      <c r="AA4877">
        <f>IF(Z4877&gt;Z4876,Z4877,"")</f>
        <v/>
      </c>
      <c r="AB4877">
        <f>AB4876+IF(X4877="",0,IF(ISNA(MATCH(X4877,X$256:X4876,0)),1,0))</f>
        <v/>
      </c>
      <c r="AC4877">
        <f>IF(AB4877&gt;AB4876,AB4877,"")</f>
        <v/>
      </c>
    </row>
    <row r="4878">
      <c r="W4878" s="7" t="n"/>
      <c r="X4878" s="7" t="n"/>
      <c r="Z4878">
        <f>Z4877+IF(W4878="",0,IF(ISNA(MATCH(W4878,W$256:W4877,0)),1,0))</f>
        <v/>
      </c>
      <c r="AA4878">
        <f>IF(Z4878&gt;Z4877,Z4878,"")</f>
        <v/>
      </c>
      <c r="AB4878">
        <f>AB4877+IF(X4878="",0,IF(ISNA(MATCH(X4878,X$256:X4877,0)),1,0))</f>
        <v/>
      </c>
      <c r="AC4878">
        <f>IF(AB4878&gt;AB4877,AB4878,"")</f>
        <v/>
      </c>
    </row>
    <row r="4879">
      <c r="W4879" s="7" t="n"/>
      <c r="X4879" s="7" t="n"/>
      <c r="Z4879">
        <f>Z4878+IF(W4879="",0,IF(ISNA(MATCH(W4879,W$256:W4878,0)),1,0))</f>
        <v/>
      </c>
      <c r="AA4879">
        <f>IF(Z4879&gt;Z4878,Z4879,"")</f>
        <v/>
      </c>
      <c r="AB4879">
        <f>AB4878+IF(X4879="",0,IF(ISNA(MATCH(X4879,X$256:X4878,0)),1,0))</f>
        <v/>
      </c>
      <c r="AC4879">
        <f>IF(AB4879&gt;AB4878,AB4879,"")</f>
        <v/>
      </c>
    </row>
    <row r="4880">
      <c r="W4880" s="7" t="n"/>
      <c r="X4880" s="7" t="n"/>
      <c r="Z4880">
        <f>Z4879+IF(W4880="",0,IF(ISNA(MATCH(W4880,W$256:W4879,0)),1,0))</f>
        <v/>
      </c>
      <c r="AA4880">
        <f>IF(Z4880&gt;Z4879,Z4880,"")</f>
        <v/>
      </c>
      <c r="AB4880">
        <f>AB4879+IF(X4880="",0,IF(ISNA(MATCH(X4880,X$256:X4879,0)),1,0))</f>
        <v/>
      </c>
      <c r="AC4880">
        <f>IF(AB4880&gt;AB4879,AB4880,"")</f>
        <v/>
      </c>
    </row>
    <row r="4881">
      <c r="W4881" s="7" t="n"/>
      <c r="X4881" s="7" t="n"/>
      <c r="Z4881">
        <f>Z4880+IF(W4881="",0,IF(ISNA(MATCH(W4881,W$256:W4880,0)),1,0))</f>
        <v/>
      </c>
      <c r="AA4881">
        <f>IF(Z4881&gt;Z4880,Z4881,"")</f>
        <v/>
      </c>
      <c r="AB4881">
        <f>AB4880+IF(X4881="",0,IF(ISNA(MATCH(X4881,X$256:X4880,0)),1,0))</f>
        <v/>
      </c>
      <c r="AC4881">
        <f>IF(AB4881&gt;AB4880,AB4881,"")</f>
        <v/>
      </c>
    </row>
    <row r="4882">
      <c r="W4882" s="7" t="n"/>
      <c r="X4882" s="7" t="n"/>
      <c r="Z4882">
        <f>Z4881+IF(W4882="",0,IF(ISNA(MATCH(W4882,W$256:W4881,0)),1,0))</f>
        <v/>
      </c>
      <c r="AA4882">
        <f>IF(Z4882&gt;Z4881,Z4882,"")</f>
        <v/>
      </c>
      <c r="AB4882">
        <f>AB4881+IF(X4882="",0,IF(ISNA(MATCH(X4882,X$256:X4881,0)),1,0))</f>
        <v/>
      </c>
      <c r="AC4882">
        <f>IF(AB4882&gt;AB4881,AB4882,"")</f>
        <v/>
      </c>
    </row>
    <row r="4883">
      <c r="W4883" s="7" t="n"/>
      <c r="X4883" s="7" t="n"/>
      <c r="Z4883">
        <f>Z4882+IF(W4883="",0,IF(ISNA(MATCH(W4883,W$256:W4882,0)),1,0))</f>
        <v/>
      </c>
      <c r="AA4883">
        <f>IF(Z4883&gt;Z4882,Z4883,"")</f>
        <v/>
      </c>
      <c r="AB4883">
        <f>AB4882+IF(X4883="",0,IF(ISNA(MATCH(X4883,X$256:X4882,0)),1,0))</f>
        <v/>
      </c>
      <c r="AC4883">
        <f>IF(AB4883&gt;AB4882,AB4883,"")</f>
        <v/>
      </c>
    </row>
    <row r="4884">
      <c r="W4884" s="7" t="n"/>
      <c r="X4884" s="7" t="n"/>
      <c r="Z4884">
        <f>Z4883+IF(W4884="",0,IF(ISNA(MATCH(W4884,W$256:W4883,0)),1,0))</f>
        <v/>
      </c>
      <c r="AA4884">
        <f>IF(Z4884&gt;Z4883,Z4884,"")</f>
        <v/>
      </c>
      <c r="AB4884">
        <f>AB4883+IF(X4884="",0,IF(ISNA(MATCH(X4884,X$256:X4883,0)),1,0))</f>
        <v/>
      </c>
      <c r="AC4884">
        <f>IF(AB4884&gt;AB4883,AB4884,"")</f>
        <v/>
      </c>
    </row>
    <row r="4885">
      <c r="W4885" s="7" t="n"/>
      <c r="X4885" s="7" t="n"/>
      <c r="Z4885">
        <f>Z4884+IF(W4885="",0,IF(ISNA(MATCH(W4885,W$256:W4884,0)),1,0))</f>
        <v/>
      </c>
      <c r="AA4885">
        <f>IF(Z4885&gt;Z4884,Z4885,"")</f>
        <v/>
      </c>
      <c r="AB4885">
        <f>AB4884+IF(X4885="",0,IF(ISNA(MATCH(X4885,X$256:X4884,0)),1,0))</f>
        <v/>
      </c>
      <c r="AC4885">
        <f>IF(AB4885&gt;AB4884,AB4885,"")</f>
        <v/>
      </c>
    </row>
    <row r="4886">
      <c r="W4886" s="7" t="n"/>
      <c r="X4886" s="7" t="n"/>
      <c r="Z4886">
        <f>Z4885+IF(W4886="",0,IF(ISNA(MATCH(W4886,W$256:W4885,0)),1,0))</f>
        <v/>
      </c>
      <c r="AA4886">
        <f>IF(Z4886&gt;Z4885,Z4886,"")</f>
        <v/>
      </c>
      <c r="AB4886">
        <f>AB4885+IF(X4886="",0,IF(ISNA(MATCH(X4886,X$256:X4885,0)),1,0))</f>
        <v/>
      </c>
      <c r="AC4886">
        <f>IF(AB4886&gt;AB4885,AB4886,"")</f>
        <v/>
      </c>
    </row>
    <row r="4887">
      <c r="W4887" s="7" t="n"/>
      <c r="X4887" s="7" t="n"/>
      <c r="Z4887">
        <f>Z4886+IF(W4887="",0,IF(ISNA(MATCH(W4887,W$256:W4886,0)),1,0))</f>
        <v/>
      </c>
      <c r="AA4887">
        <f>IF(Z4887&gt;Z4886,Z4887,"")</f>
        <v/>
      </c>
      <c r="AB4887">
        <f>AB4886+IF(X4887="",0,IF(ISNA(MATCH(X4887,X$256:X4886,0)),1,0))</f>
        <v/>
      </c>
      <c r="AC4887">
        <f>IF(AB4887&gt;AB4886,AB4887,"")</f>
        <v/>
      </c>
    </row>
    <row r="4888">
      <c r="W4888" s="7" t="n"/>
      <c r="X4888" s="7" t="n"/>
      <c r="Z4888">
        <f>Z4887+IF(W4888="",0,IF(ISNA(MATCH(W4888,W$256:W4887,0)),1,0))</f>
        <v/>
      </c>
      <c r="AA4888">
        <f>IF(Z4888&gt;Z4887,Z4888,"")</f>
        <v/>
      </c>
      <c r="AB4888">
        <f>AB4887+IF(X4888="",0,IF(ISNA(MATCH(X4888,X$256:X4887,0)),1,0))</f>
        <v/>
      </c>
      <c r="AC4888">
        <f>IF(AB4888&gt;AB4887,AB4888,"")</f>
        <v/>
      </c>
    </row>
    <row r="4889">
      <c r="W4889" s="7" t="n"/>
      <c r="X4889" s="7" t="n"/>
      <c r="Z4889">
        <f>Z4888+IF(W4889="",0,IF(ISNA(MATCH(W4889,W$256:W4888,0)),1,0))</f>
        <v/>
      </c>
      <c r="AA4889">
        <f>IF(Z4889&gt;Z4888,Z4889,"")</f>
        <v/>
      </c>
      <c r="AB4889">
        <f>AB4888+IF(X4889="",0,IF(ISNA(MATCH(X4889,X$256:X4888,0)),1,0))</f>
        <v/>
      </c>
      <c r="AC4889">
        <f>IF(AB4889&gt;AB4888,AB4889,"")</f>
        <v/>
      </c>
    </row>
    <row r="4890">
      <c r="W4890" s="7" t="n"/>
      <c r="X4890" s="7" t="n"/>
      <c r="Z4890">
        <f>Z4889+IF(W4890="",0,IF(ISNA(MATCH(W4890,W$256:W4889,0)),1,0))</f>
        <v/>
      </c>
      <c r="AA4890">
        <f>IF(Z4890&gt;Z4889,Z4890,"")</f>
        <v/>
      </c>
      <c r="AB4890">
        <f>AB4889+IF(X4890="",0,IF(ISNA(MATCH(X4890,X$256:X4889,0)),1,0))</f>
        <v/>
      </c>
      <c r="AC4890">
        <f>IF(AB4890&gt;AB4889,AB4890,"")</f>
        <v/>
      </c>
    </row>
    <row r="4891">
      <c r="W4891" s="7" t="n"/>
      <c r="X4891" s="7" t="n"/>
      <c r="Z4891">
        <f>Z4890+IF(W4891="",0,IF(ISNA(MATCH(W4891,W$256:W4890,0)),1,0))</f>
        <v/>
      </c>
      <c r="AA4891">
        <f>IF(Z4891&gt;Z4890,Z4891,"")</f>
        <v/>
      </c>
      <c r="AB4891">
        <f>AB4890+IF(X4891="",0,IF(ISNA(MATCH(X4891,X$256:X4890,0)),1,0))</f>
        <v/>
      </c>
      <c r="AC4891">
        <f>IF(AB4891&gt;AB4890,AB4891,"")</f>
        <v/>
      </c>
    </row>
    <row r="4892">
      <c r="W4892" s="7" t="n"/>
      <c r="X4892" s="7" t="n"/>
      <c r="Z4892">
        <f>Z4891+IF(W4892="",0,IF(ISNA(MATCH(W4892,W$256:W4891,0)),1,0))</f>
        <v/>
      </c>
      <c r="AA4892">
        <f>IF(Z4892&gt;Z4891,Z4892,"")</f>
        <v/>
      </c>
      <c r="AB4892">
        <f>AB4891+IF(X4892="",0,IF(ISNA(MATCH(X4892,X$256:X4891,0)),1,0))</f>
        <v/>
      </c>
      <c r="AC4892">
        <f>IF(AB4892&gt;AB4891,AB4892,"")</f>
        <v/>
      </c>
    </row>
    <row r="4893">
      <c r="W4893" s="7" t="n"/>
      <c r="X4893" s="7" t="n"/>
      <c r="Z4893">
        <f>Z4892+IF(W4893="",0,IF(ISNA(MATCH(W4893,W$256:W4892,0)),1,0))</f>
        <v/>
      </c>
      <c r="AA4893">
        <f>IF(Z4893&gt;Z4892,Z4893,"")</f>
        <v/>
      </c>
      <c r="AB4893">
        <f>AB4892+IF(X4893="",0,IF(ISNA(MATCH(X4893,X$256:X4892,0)),1,0))</f>
        <v/>
      </c>
      <c r="AC4893">
        <f>IF(AB4893&gt;AB4892,AB4893,"")</f>
        <v/>
      </c>
    </row>
    <row r="4894">
      <c r="W4894" s="7" t="n"/>
      <c r="X4894" s="7" t="n"/>
      <c r="Z4894">
        <f>Z4893+IF(W4894="",0,IF(ISNA(MATCH(W4894,W$256:W4893,0)),1,0))</f>
        <v/>
      </c>
      <c r="AA4894">
        <f>IF(Z4894&gt;Z4893,Z4894,"")</f>
        <v/>
      </c>
      <c r="AB4894">
        <f>AB4893+IF(X4894="",0,IF(ISNA(MATCH(X4894,X$256:X4893,0)),1,0))</f>
        <v/>
      </c>
      <c r="AC4894">
        <f>IF(AB4894&gt;AB4893,AB4894,"")</f>
        <v/>
      </c>
    </row>
    <row r="4895">
      <c r="W4895" s="7" t="n"/>
      <c r="X4895" s="7" t="n"/>
      <c r="Z4895">
        <f>Z4894+IF(W4895="",0,IF(ISNA(MATCH(W4895,W$256:W4894,0)),1,0))</f>
        <v/>
      </c>
      <c r="AA4895">
        <f>IF(Z4895&gt;Z4894,Z4895,"")</f>
        <v/>
      </c>
      <c r="AB4895">
        <f>AB4894+IF(X4895="",0,IF(ISNA(MATCH(X4895,X$256:X4894,0)),1,0))</f>
        <v/>
      </c>
      <c r="AC4895">
        <f>IF(AB4895&gt;AB4894,AB4895,"")</f>
        <v/>
      </c>
    </row>
    <row r="4896">
      <c r="W4896" s="7" t="n"/>
      <c r="X4896" s="7" t="n"/>
      <c r="Z4896">
        <f>Z4895+IF(W4896="",0,IF(ISNA(MATCH(W4896,W$256:W4895,0)),1,0))</f>
        <v/>
      </c>
      <c r="AA4896">
        <f>IF(Z4896&gt;Z4895,Z4896,"")</f>
        <v/>
      </c>
      <c r="AB4896">
        <f>AB4895+IF(X4896="",0,IF(ISNA(MATCH(X4896,X$256:X4895,0)),1,0))</f>
        <v/>
      </c>
      <c r="AC4896">
        <f>IF(AB4896&gt;AB4895,AB4896,"")</f>
        <v/>
      </c>
    </row>
    <row r="4897">
      <c r="W4897" s="7" t="n"/>
      <c r="X4897" s="7" t="n"/>
      <c r="Z4897">
        <f>Z4896+IF(W4897="",0,IF(ISNA(MATCH(W4897,W$256:W4896,0)),1,0))</f>
        <v/>
      </c>
      <c r="AA4897">
        <f>IF(Z4897&gt;Z4896,Z4897,"")</f>
        <v/>
      </c>
      <c r="AB4897">
        <f>AB4896+IF(X4897="",0,IF(ISNA(MATCH(X4897,X$256:X4896,0)),1,0))</f>
        <v/>
      </c>
      <c r="AC4897">
        <f>IF(AB4897&gt;AB4896,AB4897,"")</f>
        <v/>
      </c>
    </row>
    <row r="4898">
      <c r="W4898" s="7" t="n"/>
      <c r="X4898" s="7" t="n"/>
      <c r="Z4898">
        <f>Z4897+IF(W4898="",0,IF(ISNA(MATCH(W4898,W$256:W4897,0)),1,0))</f>
        <v/>
      </c>
      <c r="AA4898">
        <f>IF(Z4898&gt;Z4897,Z4898,"")</f>
        <v/>
      </c>
      <c r="AB4898">
        <f>AB4897+IF(X4898="",0,IF(ISNA(MATCH(X4898,X$256:X4897,0)),1,0))</f>
        <v/>
      </c>
      <c r="AC4898">
        <f>IF(AB4898&gt;AB4897,AB4898,"")</f>
        <v/>
      </c>
    </row>
    <row r="4899">
      <c r="W4899" s="7" t="n"/>
      <c r="X4899" s="7" t="n"/>
      <c r="Z4899">
        <f>Z4898+IF(W4899="",0,IF(ISNA(MATCH(W4899,W$256:W4898,0)),1,0))</f>
        <v/>
      </c>
      <c r="AA4899">
        <f>IF(Z4899&gt;Z4898,Z4899,"")</f>
        <v/>
      </c>
      <c r="AB4899">
        <f>AB4898+IF(X4899="",0,IF(ISNA(MATCH(X4899,X$256:X4898,0)),1,0))</f>
        <v/>
      </c>
      <c r="AC4899">
        <f>IF(AB4899&gt;AB4898,AB4899,"")</f>
        <v/>
      </c>
    </row>
    <row r="4900">
      <c r="W4900" s="7" t="n"/>
      <c r="X4900" s="7" t="n"/>
      <c r="Z4900">
        <f>Z4899+IF(W4900="",0,IF(ISNA(MATCH(W4900,W$256:W4899,0)),1,0))</f>
        <v/>
      </c>
      <c r="AA4900">
        <f>IF(Z4900&gt;Z4899,Z4900,"")</f>
        <v/>
      </c>
      <c r="AB4900">
        <f>AB4899+IF(X4900="",0,IF(ISNA(MATCH(X4900,X$256:X4899,0)),1,0))</f>
        <v/>
      </c>
      <c r="AC4900">
        <f>IF(AB4900&gt;AB4899,AB4900,"")</f>
        <v/>
      </c>
    </row>
    <row r="4901">
      <c r="W4901" s="7" t="n"/>
      <c r="X4901" s="7" t="n"/>
      <c r="Z4901">
        <f>Z4900+IF(W4901="",0,IF(ISNA(MATCH(W4901,W$256:W4900,0)),1,0))</f>
        <v/>
      </c>
      <c r="AA4901">
        <f>IF(Z4901&gt;Z4900,Z4901,"")</f>
        <v/>
      </c>
      <c r="AB4901">
        <f>AB4900+IF(X4901="",0,IF(ISNA(MATCH(X4901,X$256:X4900,0)),1,0))</f>
        <v/>
      </c>
      <c r="AC4901">
        <f>IF(AB4901&gt;AB4900,AB4901,"")</f>
        <v/>
      </c>
    </row>
    <row r="4902">
      <c r="W4902" s="7" t="n"/>
      <c r="X4902" s="7" t="n"/>
      <c r="Z4902">
        <f>Z4901+IF(W4902="",0,IF(ISNA(MATCH(W4902,W$256:W4901,0)),1,0))</f>
        <v/>
      </c>
      <c r="AA4902">
        <f>IF(Z4902&gt;Z4901,Z4902,"")</f>
        <v/>
      </c>
      <c r="AB4902">
        <f>AB4901+IF(X4902="",0,IF(ISNA(MATCH(X4902,X$256:X4901,0)),1,0))</f>
        <v/>
      </c>
      <c r="AC4902">
        <f>IF(AB4902&gt;AB4901,AB4902,"")</f>
        <v/>
      </c>
    </row>
    <row r="4903">
      <c r="W4903" s="7" t="n"/>
      <c r="X4903" s="7" t="n"/>
      <c r="Z4903">
        <f>Z4902+IF(W4903="",0,IF(ISNA(MATCH(W4903,W$256:W4902,0)),1,0))</f>
        <v/>
      </c>
      <c r="AA4903">
        <f>IF(Z4903&gt;Z4902,Z4903,"")</f>
        <v/>
      </c>
      <c r="AB4903">
        <f>AB4902+IF(X4903="",0,IF(ISNA(MATCH(X4903,X$256:X4902,0)),1,0))</f>
        <v/>
      </c>
      <c r="AC4903">
        <f>IF(AB4903&gt;AB4902,AB4903,"")</f>
        <v/>
      </c>
    </row>
    <row r="4904">
      <c r="W4904" s="7" t="n"/>
      <c r="X4904" s="7" t="n"/>
      <c r="Z4904">
        <f>Z4903+IF(W4904="",0,IF(ISNA(MATCH(W4904,W$256:W4903,0)),1,0))</f>
        <v/>
      </c>
      <c r="AA4904">
        <f>IF(Z4904&gt;Z4903,Z4904,"")</f>
        <v/>
      </c>
      <c r="AB4904">
        <f>AB4903+IF(X4904="",0,IF(ISNA(MATCH(X4904,X$256:X4903,0)),1,0))</f>
        <v/>
      </c>
      <c r="AC4904">
        <f>IF(AB4904&gt;AB4903,AB4904,"")</f>
        <v/>
      </c>
    </row>
    <row r="4905">
      <c r="W4905" s="7" t="n"/>
      <c r="X4905" s="7" t="n"/>
      <c r="Z4905">
        <f>Z4904+IF(W4905="",0,IF(ISNA(MATCH(W4905,W$256:W4904,0)),1,0))</f>
        <v/>
      </c>
      <c r="AA4905">
        <f>IF(Z4905&gt;Z4904,Z4905,"")</f>
        <v/>
      </c>
      <c r="AB4905">
        <f>AB4904+IF(X4905="",0,IF(ISNA(MATCH(X4905,X$256:X4904,0)),1,0))</f>
        <v/>
      </c>
      <c r="AC4905">
        <f>IF(AB4905&gt;AB4904,AB4905,"")</f>
        <v/>
      </c>
    </row>
    <row r="4906">
      <c r="W4906" s="7" t="n"/>
      <c r="X4906" s="7" t="n"/>
      <c r="Z4906">
        <f>Z4905+IF(W4906="",0,IF(ISNA(MATCH(W4906,W$256:W4905,0)),1,0))</f>
        <v/>
      </c>
      <c r="AA4906">
        <f>IF(Z4906&gt;Z4905,Z4906,"")</f>
        <v/>
      </c>
      <c r="AB4906">
        <f>AB4905+IF(X4906="",0,IF(ISNA(MATCH(X4906,X$256:X4905,0)),1,0))</f>
        <v/>
      </c>
      <c r="AC4906">
        <f>IF(AB4906&gt;AB4905,AB4906,"")</f>
        <v/>
      </c>
    </row>
    <row r="4907">
      <c r="W4907" s="7" t="n"/>
      <c r="X4907" s="7" t="n"/>
      <c r="Z4907">
        <f>Z4906+IF(W4907="",0,IF(ISNA(MATCH(W4907,W$256:W4906,0)),1,0))</f>
        <v/>
      </c>
      <c r="AA4907">
        <f>IF(Z4907&gt;Z4906,Z4907,"")</f>
        <v/>
      </c>
      <c r="AB4907">
        <f>AB4906+IF(X4907="",0,IF(ISNA(MATCH(X4907,X$256:X4906,0)),1,0))</f>
        <v/>
      </c>
      <c r="AC4907">
        <f>IF(AB4907&gt;AB4906,AB4907,"")</f>
        <v/>
      </c>
    </row>
    <row r="4908">
      <c r="W4908" s="7" t="n"/>
      <c r="X4908" s="7" t="n"/>
      <c r="Z4908">
        <f>Z4907+IF(W4908="",0,IF(ISNA(MATCH(W4908,W$256:W4907,0)),1,0))</f>
        <v/>
      </c>
      <c r="AA4908">
        <f>IF(Z4908&gt;Z4907,Z4908,"")</f>
        <v/>
      </c>
      <c r="AB4908">
        <f>AB4907+IF(X4908="",0,IF(ISNA(MATCH(X4908,X$256:X4907,0)),1,0))</f>
        <v/>
      </c>
      <c r="AC4908">
        <f>IF(AB4908&gt;AB4907,AB4908,"")</f>
        <v/>
      </c>
    </row>
    <row r="4909">
      <c r="W4909" s="7" t="n"/>
      <c r="X4909" s="7" t="n"/>
      <c r="Z4909">
        <f>Z4908+IF(W4909="",0,IF(ISNA(MATCH(W4909,W$256:W4908,0)),1,0))</f>
        <v/>
      </c>
      <c r="AA4909">
        <f>IF(Z4909&gt;Z4908,Z4909,"")</f>
        <v/>
      </c>
      <c r="AB4909">
        <f>AB4908+IF(X4909="",0,IF(ISNA(MATCH(X4909,X$256:X4908,0)),1,0))</f>
        <v/>
      </c>
      <c r="AC4909">
        <f>IF(AB4909&gt;AB4908,AB4909,"")</f>
        <v/>
      </c>
    </row>
    <row r="4910">
      <c r="W4910" s="7" t="n"/>
      <c r="X4910" s="7" t="n"/>
      <c r="Z4910">
        <f>Z4909+IF(W4910="",0,IF(ISNA(MATCH(W4910,W$256:W4909,0)),1,0))</f>
        <v/>
      </c>
      <c r="AA4910">
        <f>IF(Z4910&gt;Z4909,Z4910,"")</f>
        <v/>
      </c>
      <c r="AB4910">
        <f>AB4909+IF(X4910="",0,IF(ISNA(MATCH(X4910,X$256:X4909,0)),1,0))</f>
        <v/>
      </c>
      <c r="AC4910">
        <f>IF(AB4910&gt;AB4909,AB4910,"")</f>
        <v/>
      </c>
    </row>
    <row r="4911">
      <c r="W4911" s="7" t="n"/>
      <c r="X4911" s="7" t="n"/>
      <c r="Z4911">
        <f>Z4910+IF(W4911="",0,IF(ISNA(MATCH(W4911,W$256:W4910,0)),1,0))</f>
        <v/>
      </c>
      <c r="AA4911">
        <f>IF(Z4911&gt;Z4910,Z4911,"")</f>
        <v/>
      </c>
      <c r="AB4911">
        <f>AB4910+IF(X4911="",0,IF(ISNA(MATCH(X4911,X$256:X4910,0)),1,0))</f>
        <v/>
      </c>
      <c r="AC4911">
        <f>IF(AB4911&gt;AB4910,AB4911,"")</f>
        <v/>
      </c>
    </row>
    <row r="4912">
      <c r="W4912" s="7" t="n"/>
      <c r="X4912" s="7" t="n"/>
      <c r="Z4912">
        <f>Z4911+IF(W4912="",0,IF(ISNA(MATCH(W4912,W$256:W4911,0)),1,0))</f>
        <v/>
      </c>
      <c r="AA4912">
        <f>IF(Z4912&gt;Z4911,Z4912,"")</f>
        <v/>
      </c>
      <c r="AB4912">
        <f>AB4911+IF(X4912="",0,IF(ISNA(MATCH(X4912,X$256:X4911,0)),1,0))</f>
        <v/>
      </c>
      <c r="AC4912">
        <f>IF(AB4912&gt;AB4911,AB4912,"")</f>
        <v/>
      </c>
    </row>
    <row r="4913">
      <c r="W4913" s="7" t="n"/>
      <c r="X4913" s="7" t="n"/>
      <c r="Z4913">
        <f>Z4912+IF(W4913="",0,IF(ISNA(MATCH(W4913,W$256:W4912,0)),1,0))</f>
        <v/>
      </c>
      <c r="AA4913">
        <f>IF(Z4913&gt;Z4912,Z4913,"")</f>
        <v/>
      </c>
      <c r="AB4913">
        <f>AB4912+IF(X4913="",0,IF(ISNA(MATCH(X4913,X$256:X4912,0)),1,0))</f>
        <v/>
      </c>
      <c r="AC4913">
        <f>IF(AB4913&gt;AB4912,AB4913,"")</f>
        <v/>
      </c>
    </row>
    <row r="4914">
      <c r="W4914" s="7" t="n"/>
      <c r="X4914" s="7" t="n"/>
      <c r="Z4914">
        <f>Z4913+IF(W4914="",0,IF(ISNA(MATCH(W4914,W$256:W4913,0)),1,0))</f>
        <v/>
      </c>
      <c r="AA4914">
        <f>IF(Z4914&gt;Z4913,Z4914,"")</f>
        <v/>
      </c>
      <c r="AB4914">
        <f>AB4913+IF(X4914="",0,IF(ISNA(MATCH(X4914,X$256:X4913,0)),1,0))</f>
        <v/>
      </c>
      <c r="AC4914">
        <f>IF(AB4914&gt;AB4913,AB4914,"")</f>
        <v/>
      </c>
    </row>
    <row r="4915">
      <c r="W4915" s="7" t="n"/>
      <c r="X4915" s="7" t="n"/>
      <c r="Z4915">
        <f>Z4914+IF(W4915="",0,IF(ISNA(MATCH(W4915,W$256:W4914,0)),1,0))</f>
        <v/>
      </c>
      <c r="AA4915">
        <f>IF(Z4915&gt;Z4914,Z4915,"")</f>
        <v/>
      </c>
      <c r="AB4915">
        <f>AB4914+IF(X4915="",0,IF(ISNA(MATCH(X4915,X$256:X4914,0)),1,0))</f>
        <v/>
      </c>
      <c r="AC4915">
        <f>IF(AB4915&gt;AB4914,AB4915,"")</f>
        <v/>
      </c>
    </row>
    <row r="4916">
      <c r="W4916" s="7" t="n"/>
      <c r="X4916" s="7" t="n"/>
      <c r="Z4916">
        <f>Z4915+IF(W4916="",0,IF(ISNA(MATCH(W4916,W$256:W4915,0)),1,0))</f>
        <v/>
      </c>
      <c r="AA4916">
        <f>IF(Z4916&gt;Z4915,Z4916,"")</f>
        <v/>
      </c>
      <c r="AB4916">
        <f>AB4915+IF(X4916="",0,IF(ISNA(MATCH(X4916,X$256:X4915,0)),1,0))</f>
        <v/>
      </c>
      <c r="AC4916">
        <f>IF(AB4916&gt;AB4915,AB4916,"")</f>
        <v/>
      </c>
    </row>
    <row r="4917">
      <c r="W4917" s="7" t="n"/>
      <c r="X4917" s="7" t="n"/>
      <c r="Z4917">
        <f>Z4916+IF(W4917="",0,IF(ISNA(MATCH(W4917,W$256:W4916,0)),1,0))</f>
        <v/>
      </c>
      <c r="AA4917">
        <f>IF(Z4917&gt;Z4916,Z4917,"")</f>
        <v/>
      </c>
      <c r="AB4917">
        <f>AB4916+IF(X4917="",0,IF(ISNA(MATCH(X4917,X$256:X4916,0)),1,0))</f>
        <v/>
      </c>
      <c r="AC4917">
        <f>IF(AB4917&gt;AB4916,AB4917,"")</f>
        <v/>
      </c>
    </row>
    <row r="4918">
      <c r="W4918" s="7" t="n"/>
      <c r="X4918" s="7" t="n"/>
      <c r="Z4918">
        <f>Z4917+IF(W4918="",0,IF(ISNA(MATCH(W4918,W$256:W4917,0)),1,0))</f>
        <v/>
      </c>
      <c r="AA4918">
        <f>IF(Z4918&gt;Z4917,Z4918,"")</f>
        <v/>
      </c>
      <c r="AB4918">
        <f>AB4917+IF(X4918="",0,IF(ISNA(MATCH(X4918,X$256:X4917,0)),1,0))</f>
        <v/>
      </c>
      <c r="AC4918">
        <f>IF(AB4918&gt;AB4917,AB4918,"")</f>
        <v/>
      </c>
    </row>
    <row r="4919">
      <c r="W4919" s="7" t="n"/>
      <c r="X4919" s="7" t="n"/>
      <c r="Z4919">
        <f>Z4918+IF(W4919="",0,IF(ISNA(MATCH(W4919,W$256:W4918,0)),1,0))</f>
        <v/>
      </c>
      <c r="AA4919">
        <f>IF(Z4919&gt;Z4918,Z4919,"")</f>
        <v/>
      </c>
      <c r="AB4919">
        <f>AB4918+IF(X4919="",0,IF(ISNA(MATCH(X4919,X$256:X4918,0)),1,0))</f>
        <v/>
      </c>
      <c r="AC4919">
        <f>IF(AB4919&gt;AB4918,AB4919,"")</f>
        <v/>
      </c>
    </row>
    <row r="4920">
      <c r="W4920" s="7" t="n"/>
      <c r="X4920" s="7" t="n"/>
      <c r="Z4920">
        <f>Z4919+IF(W4920="",0,IF(ISNA(MATCH(W4920,W$256:W4919,0)),1,0))</f>
        <v/>
      </c>
      <c r="AA4920">
        <f>IF(Z4920&gt;Z4919,Z4920,"")</f>
        <v/>
      </c>
      <c r="AB4920">
        <f>AB4919+IF(X4920="",0,IF(ISNA(MATCH(X4920,X$256:X4919,0)),1,0))</f>
        <v/>
      </c>
      <c r="AC4920">
        <f>IF(AB4920&gt;AB4919,AB4920,"")</f>
        <v/>
      </c>
    </row>
    <row r="4921">
      <c r="W4921" s="7" t="n"/>
      <c r="X4921" s="7" t="n"/>
      <c r="Z4921">
        <f>Z4920+IF(W4921="",0,IF(ISNA(MATCH(W4921,W$256:W4920,0)),1,0))</f>
        <v/>
      </c>
      <c r="AA4921">
        <f>IF(Z4921&gt;Z4920,Z4921,"")</f>
        <v/>
      </c>
      <c r="AB4921">
        <f>AB4920+IF(X4921="",0,IF(ISNA(MATCH(X4921,X$256:X4920,0)),1,0))</f>
        <v/>
      </c>
      <c r="AC4921">
        <f>IF(AB4921&gt;AB4920,AB4921,"")</f>
        <v/>
      </c>
    </row>
    <row r="4922">
      <c r="W4922" s="7" t="n"/>
      <c r="X4922" s="7" t="n"/>
      <c r="Z4922">
        <f>Z4921+IF(W4922="",0,IF(ISNA(MATCH(W4922,W$256:W4921,0)),1,0))</f>
        <v/>
      </c>
      <c r="AA4922">
        <f>IF(Z4922&gt;Z4921,Z4922,"")</f>
        <v/>
      </c>
      <c r="AB4922">
        <f>AB4921+IF(X4922="",0,IF(ISNA(MATCH(X4922,X$256:X4921,0)),1,0))</f>
        <v/>
      </c>
      <c r="AC4922">
        <f>IF(AB4922&gt;AB4921,AB4922,"")</f>
        <v/>
      </c>
    </row>
    <row r="4923">
      <c r="W4923" s="7" t="n"/>
      <c r="X4923" s="7" t="n"/>
      <c r="Z4923">
        <f>Z4922+IF(W4923="",0,IF(ISNA(MATCH(W4923,W$256:W4922,0)),1,0))</f>
        <v/>
      </c>
      <c r="AA4923">
        <f>IF(Z4923&gt;Z4922,Z4923,"")</f>
        <v/>
      </c>
      <c r="AB4923">
        <f>AB4922+IF(X4923="",0,IF(ISNA(MATCH(X4923,X$256:X4922,0)),1,0))</f>
        <v/>
      </c>
      <c r="AC4923">
        <f>IF(AB4923&gt;AB4922,AB4923,"")</f>
        <v/>
      </c>
    </row>
    <row r="4924">
      <c r="W4924" s="7" t="n"/>
      <c r="X4924" s="7" t="n"/>
      <c r="Z4924">
        <f>Z4923+IF(W4924="",0,IF(ISNA(MATCH(W4924,W$256:W4923,0)),1,0))</f>
        <v/>
      </c>
      <c r="AA4924">
        <f>IF(Z4924&gt;Z4923,Z4924,"")</f>
        <v/>
      </c>
      <c r="AB4924">
        <f>AB4923+IF(X4924="",0,IF(ISNA(MATCH(X4924,X$256:X4923,0)),1,0))</f>
        <v/>
      </c>
      <c r="AC4924">
        <f>IF(AB4924&gt;AB4923,AB4924,"")</f>
        <v/>
      </c>
    </row>
    <row r="4925">
      <c r="W4925" s="7" t="n"/>
      <c r="X4925" s="7" t="n"/>
      <c r="Z4925">
        <f>Z4924+IF(W4925="",0,IF(ISNA(MATCH(W4925,W$256:W4924,0)),1,0))</f>
        <v/>
      </c>
      <c r="AA4925">
        <f>IF(Z4925&gt;Z4924,Z4925,"")</f>
        <v/>
      </c>
      <c r="AB4925">
        <f>AB4924+IF(X4925="",0,IF(ISNA(MATCH(X4925,X$256:X4924,0)),1,0))</f>
        <v/>
      </c>
      <c r="AC4925">
        <f>IF(AB4925&gt;AB4924,AB4925,"")</f>
        <v/>
      </c>
    </row>
    <row r="4926">
      <c r="W4926" s="7" t="n"/>
      <c r="X4926" s="7" t="n"/>
      <c r="Z4926">
        <f>Z4925+IF(W4926="",0,IF(ISNA(MATCH(W4926,W$256:W4925,0)),1,0))</f>
        <v/>
      </c>
      <c r="AA4926">
        <f>IF(Z4926&gt;Z4925,Z4926,"")</f>
        <v/>
      </c>
      <c r="AB4926">
        <f>AB4925+IF(X4926="",0,IF(ISNA(MATCH(X4926,X$256:X4925,0)),1,0))</f>
        <v/>
      </c>
      <c r="AC4926">
        <f>IF(AB4926&gt;AB4925,AB4926,"")</f>
        <v/>
      </c>
    </row>
    <row r="4927">
      <c r="W4927" s="7" t="n"/>
      <c r="X4927" s="7" t="n"/>
      <c r="Z4927">
        <f>Z4926+IF(W4927="",0,IF(ISNA(MATCH(W4927,W$256:W4926,0)),1,0))</f>
        <v/>
      </c>
      <c r="AA4927">
        <f>IF(Z4927&gt;Z4926,Z4927,"")</f>
        <v/>
      </c>
      <c r="AB4927">
        <f>AB4926+IF(X4927="",0,IF(ISNA(MATCH(X4927,X$256:X4926,0)),1,0))</f>
        <v/>
      </c>
      <c r="AC4927">
        <f>IF(AB4927&gt;AB4926,AB4927,"")</f>
        <v/>
      </c>
    </row>
    <row r="4928">
      <c r="W4928" s="7" t="n"/>
      <c r="X4928" s="7" t="n"/>
      <c r="Z4928">
        <f>Z4927+IF(W4928="",0,IF(ISNA(MATCH(W4928,W$256:W4927,0)),1,0))</f>
        <v/>
      </c>
      <c r="AA4928">
        <f>IF(Z4928&gt;Z4927,Z4928,"")</f>
        <v/>
      </c>
      <c r="AB4928">
        <f>AB4927+IF(X4928="",0,IF(ISNA(MATCH(X4928,X$256:X4927,0)),1,0))</f>
        <v/>
      </c>
      <c r="AC4928">
        <f>IF(AB4928&gt;AB4927,AB4928,"")</f>
        <v/>
      </c>
    </row>
    <row r="4929">
      <c r="W4929" s="7" t="n"/>
      <c r="X4929" s="7" t="n"/>
      <c r="Z4929">
        <f>Z4928+IF(W4929="",0,IF(ISNA(MATCH(W4929,W$256:W4928,0)),1,0))</f>
        <v/>
      </c>
      <c r="AA4929">
        <f>IF(Z4929&gt;Z4928,Z4929,"")</f>
        <v/>
      </c>
      <c r="AB4929">
        <f>AB4928+IF(X4929="",0,IF(ISNA(MATCH(X4929,X$256:X4928,0)),1,0))</f>
        <v/>
      </c>
      <c r="AC4929">
        <f>IF(AB4929&gt;AB4928,AB4929,"")</f>
        <v/>
      </c>
    </row>
    <row r="4930">
      <c r="W4930" s="7" t="n"/>
      <c r="X4930" s="7" t="n"/>
      <c r="Z4930">
        <f>Z4929+IF(W4930="",0,IF(ISNA(MATCH(W4930,W$256:W4929,0)),1,0))</f>
        <v/>
      </c>
      <c r="AA4930">
        <f>IF(Z4930&gt;Z4929,Z4930,"")</f>
        <v/>
      </c>
      <c r="AB4930">
        <f>AB4929+IF(X4930="",0,IF(ISNA(MATCH(X4930,X$256:X4929,0)),1,0))</f>
        <v/>
      </c>
      <c r="AC4930">
        <f>IF(AB4930&gt;AB4929,AB4930,"")</f>
        <v/>
      </c>
    </row>
    <row r="4931">
      <c r="W4931" s="7" t="n"/>
      <c r="X4931" s="7" t="n"/>
      <c r="Z4931">
        <f>Z4930+IF(W4931="",0,IF(ISNA(MATCH(W4931,W$256:W4930,0)),1,0))</f>
        <v/>
      </c>
      <c r="AA4931">
        <f>IF(Z4931&gt;Z4930,Z4931,"")</f>
        <v/>
      </c>
      <c r="AB4931">
        <f>AB4930+IF(X4931="",0,IF(ISNA(MATCH(X4931,X$256:X4930,0)),1,0))</f>
        <v/>
      </c>
      <c r="AC4931">
        <f>IF(AB4931&gt;AB4930,AB4931,"")</f>
        <v/>
      </c>
    </row>
    <row r="4932">
      <c r="W4932" s="7" t="n"/>
      <c r="X4932" s="7" t="n"/>
      <c r="Z4932">
        <f>Z4931+IF(W4932="",0,IF(ISNA(MATCH(W4932,W$256:W4931,0)),1,0))</f>
        <v/>
      </c>
      <c r="AA4932">
        <f>IF(Z4932&gt;Z4931,Z4932,"")</f>
        <v/>
      </c>
      <c r="AB4932">
        <f>AB4931+IF(X4932="",0,IF(ISNA(MATCH(X4932,X$256:X4931,0)),1,0))</f>
        <v/>
      </c>
      <c r="AC4932">
        <f>IF(AB4932&gt;AB4931,AB4932,"")</f>
        <v/>
      </c>
    </row>
    <row r="4933">
      <c r="W4933" s="7" t="n"/>
      <c r="X4933" s="7" t="n"/>
      <c r="Z4933">
        <f>Z4932+IF(W4933="",0,IF(ISNA(MATCH(W4933,W$256:W4932,0)),1,0))</f>
        <v/>
      </c>
      <c r="AA4933">
        <f>IF(Z4933&gt;Z4932,Z4933,"")</f>
        <v/>
      </c>
      <c r="AB4933">
        <f>AB4932+IF(X4933="",0,IF(ISNA(MATCH(X4933,X$256:X4932,0)),1,0))</f>
        <v/>
      </c>
      <c r="AC4933">
        <f>IF(AB4933&gt;AB4932,AB4933,"")</f>
        <v/>
      </c>
    </row>
    <row r="4934">
      <c r="W4934" s="7" t="n"/>
      <c r="X4934" s="7" t="n"/>
      <c r="Z4934">
        <f>Z4933+IF(W4934="",0,IF(ISNA(MATCH(W4934,W$256:W4933,0)),1,0))</f>
        <v/>
      </c>
      <c r="AA4934">
        <f>IF(Z4934&gt;Z4933,Z4934,"")</f>
        <v/>
      </c>
      <c r="AB4934">
        <f>AB4933+IF(X4934="",0,IF(ISNA(MATCH(X4934,X$256:X4933,0)),1,0))</f>
        <v/>
      </c>
      <c r="AC4934">
        <f>IF(AB4934&gt;AB4933,AB4934,"")</f>
        <v/>
      </c>
    </row>
    <row r="4935">
      <c r="W4935" s="7" t="n"/>
      <c r="X4935" s="7" t="n"/>
      <c r="Z4935">
        <f>Z4934+IF(W4935="",0,IF(ISNA(MATCH(W4935,W$256:W4934,0)),1,0))</f>
        <v/>
      </c>
      <c r="AA4935">
        <f>IF(Z4935&gt;Z4934,Z4935,"")</f>
        <v/>
      </c>
      <c r="AB4935">
        <f>AB4934+IF(X4935="",0,IF(ISNA(MATCH(X4935,X$256:X4934,0)),1,0))</f>
        <v/>
      </c>
      <c r="AC4935">
        <f>IF(AB4935&gt;AB4934,AB4935,"")</f>
        <v/>
      </c>
    </row>
    <row r="4936">
      <c r="W4936" s="7" t="n"/>
      <c r="X4936" s="7" t="n"/>
      <c r="Z4936">
        <f>Z4935+IF(W4936="",0,IF(ISNA(MATCH(W4936,W$256:W4935,0)),1,0))</f>
        <v/>
      </c>
      <c r="AA4936">
        <f>IF(Z4936&gt;Z4935,Z4936,"")</f>
        <v/>
      </c>
      <c r="AB4936">
        <f>AB4935+IF(X4936="",0,IF(ISNA(MATCH(X4936,X$256:X4935,0)),1,0))</f>
        <v/>
      </c>
      <c r="AC4936">
        <f>IF(AB4936&gt;AB4935,AB4936,"")</f>
        <v/>
      </c>
    </row>
    <row r="4937">
      <c r="W4937" s="7" t="n"/>
      <c r="X4937" s="7" t="n"/>
      <c r="Z4937">
        <f>Z4936+IF(W4937="",0,IF(ISNA(MATCH(W4937,W$256:W4936,0)),1,0))</f>
        <v/>
      </c>
      <c r="AA4937">
        <f>IF(Z4937&gt;Z4936,Z4937,"")</f>
        <v/>
      </c>
      <c r="AB4937">
        <f>AB4936+IF(X4937="",0,IF(ISNA(MATCH(X4937,X$256:X4936,0)),1,0))</f>
        <v/>
      </c>
      <c r="AC4937">
        <f>IF(AB4937&gt;AB4936,AB4937,"")</f>
        <v/>
      </c>
    </row>
    <row r="4938">
      <c r="W4938" s="7" t="n"/>
      <c r="X4938" s="7" t="n"/>
      <c r="Z4938">
        <f>Z4937+IF(W4938="",0,IF(ISNA(MATCH(W4938,W$256:W4937,0)),1,0))</f>
        <v/>
      </c>
      <c r="AA4938">
        <f>IF(Z4938&gt;Z4937,Z4938,"")</f>
        <v/>
      </c>
      <c r="AB4938">
        <f>AB4937+IF(X4938="",0,IF(ISNA(MATCH(X4938,X$256:X4937,0)),1,0))</f>
        <v/>
      </c>
      <c r="AC4938">
        <f>IF(AB4938&gt;AB4937,AB4938,"")</f>
        <v/>
      </c>
    </row>
    <row r="4939">
      <c r="W4939" s="7" t="n"/>
      <c r="X4939" s="7" t="n"/>
      <c r="Z4939">
        <f>Z4938+IF(W4939="",0,IF(ISNA(MATCH(W4939,W$256:W4938,0)),1,0))</f>
        <v/>
      </c>
      <c r="AA4939">
        <f>IF(Z4939&gt;Z4938,Z4939,"")</f>
        <v/>
      </c>
      <c r="AB4939">
        <f>AB4938+IF(X4939="",0,IF(ISNA(MATCH(X4939,X$256:X4938,0)),1,0))</f>
        <v/>
      </c>
      <c r="AC4939">
        <f>IF(AB4939&gt;AB4938,AB4939,"")</f>
        <v/>
      </c>
    </row>
    <row r="4940">
      <c r="W4940" s="7" t="n"/>
      <c r="X4940" s="7" t="n"/>
      <c r="Z4940">
        <f>Z4939+IF(W4940="",0,IF(ISNA(MATCH(W4940,W$256:W4939,0)),1,0))</f>
        <v/>
      </c>
      <c r="AA4940">
        <f>IF(Z4940&gt;Z4939,Z4940,"")</f>
        <v/>
      </c>
      <c r="AB4940">
        <f>AB4939+IF(X4940="",0,IF(ISNA(MATCH(X4940,X$256:X4939,0)),1,0))</f>
        <v/>
      </c>
      <c r="AC4940">
        <f>IF(AB4940&gt;AB4939,AB4940,"")</f>
        <v/>
      </c>
    </row>
    <row r="4941">
      <c r="W4941" s="7" t="n"/>
      <c r="X4941" s="7" t="n"/>
      <c r="Z4941">
        <f>Z4940+IF(W4941="",0,IF(ISNA(MATCH(W4941,W$256:W4940,0)),1,0))</f>
        <v/>
      </c>
      <c r="AA4941">
        <f>IF(Z4941&gt;Z4940,Z4941,"")</f>
        <v/>
      </c>
      <c r="AB4941">
        <f>AB4940+IF(X4941="",0,IF(ISNA(MATCH(X4941,X$256:X4940,0)),1,0))</f>
        <v/>
      </c>
      <c r="AC4941">
        <f>IF(AB4941&gt;AB4940,AB4941,"")</f>
        <v/>
      </c>
    </row>
    <row r="4942">
      <c r="W4942" s="7" t="n"/>
      <c r="X4942" s="7" t="n"/>
      <c r="Z4942">
        <f>Z4941+IF(W4942="",0,IF(ISNA(MATCH(W4942,W$256:W4941,0)),1,0))</f>
        <v/>
      </c>
      <c r="AA4942">
        <f>IF(Z4942&gt;Z4941,Z4942,"")</f>
        <v/>
      </c>
      <c r="AB4942">
        <f>AB4941+IF(X4942="",0,IF(ISNA(MATCH(X4942,X$256:X4941,0)),1,0))</f>
        <v/>
      </c>
      <c r="AC4942">
        <f>IF(AB4942&gt;AB4941,AB4942,"")</f>
        <v/>
      </c>
    </row>
    <row r="4943">
      <c r="W4943" s="7" t="n"/>
      <c r="X4943" s="7" t="n"/>
      <c r="Z4943">
        <f>Z4942+IF(W4943="",0,IF(ISNA(MATCH(W4943,W$256:W4942,0)),1,0))</f>
        <v/>
      </c>
      <c r="AA4943">
        <f>IF(Z4943&gt;Z4942,Z4943,"")</f>
        <v/>
      </c>
      <c r="AB4943">
        <f>AB4942+IF(X4943="",0,IF(ISNA(MATCH(X4943,X$256:X4942,0)),1,0))</f>
        <v/>
      </c>
      <c r="AC4943">
        <f>IF(AB4943&gt;AB4942,AB4943,"")</f>
        <v/>
      </c>
    </row>
    <row r="4944">
      <c r="W4944" s="7" t="n"/>
      <c r="X4944" s="7" t="n"/>
      <c r="Z4944">
        <f>Z4943+IF(W4944="",0,IF(ISNA(MATCH(W4944,W$256:W4943,0)),1,0))</f>
        <v/>
      </c>
      <c r="AA4944">
        <f>IF(Z4944&gt;Z4943,Z4944,"")</f>
        <v/>
      </c>
      <c r="AB4944">
        <f>AB4943+IF(X4944="",0,IF(ISNA(MATCH(X4944,X$256:X4943,0)),1,0))</f>
        <v/>
      </c>
      <c r="AC4944">
        <f>IF(AB4944&gt;AB4943,AB4944,"")</f>
        <v/>
      </c>
    </row>
    <row r="4945">
      <c r="W4945" s="7" t="n"/>
      <c r="X4945" s="7" t="n"/>
      <c r="Z4945">
        <f>Z4944+IF(W4945="",0,IF(ISNA(MATCH(W4945,W$256:W4944,0)),1,0))</f>
        <v/>
      </c>
      <c r="AA4945">
        <f>IF(Z4945&gt;Z4944,Z4945,"")</f>
        <v/>
      </c>
      <c r="AB4945">
        <f>AB4944+IF(X4945="",0,IF(ISNA(MATCH(X4945,X$256:X4944,0)),1,0))</f>
        <v/>
      </c>
      <c r="AC4945">
        <f>IF(AB4945&gt;AB4944,AB4945,"")</f>
        <v/>
      </c>
    </row>
    <row r="4946">
      <c r="W4946" s="7" t="n"/>
      <c r="X4946" s="7" t="n"/>
      <c r="Z4946">
        <f>Z4945+IF(W4946="",0,IF(ISNA(MATCH(W4946,W$256:W4945,0)),1,0))</f>
        <v/>
      </c>
      <c r="AA4946">
        <f>IF(Z4946&gt;Z4945,Z4946,"")</f>
        <v/>
      </c>
      <c r="AB4946">
        <f>AB4945+IF(X4946="",0,IF(ISNA(MATCH(X4946,X$256:X4945,0)),1,0))</f>
        <v/>
      </c>
      <c r="AC4946">
        <f>IF(AB4946&gt;AB4945,AB4946,"")</f>
        <v/>
      </c>
    </row>
    <row r="4947">
      <c r="W4947" s="7" t="n"/>
      <c r="X4947" s="7" t="n"/>
      <c r="Z4947">
        <f>Z4946+IF(W4947="",0,IF(ISNA(MATCH(W4947,W$256:W4946,0)),1,0))</f>
        <v/>
      </c>
      <c r="AA4947">
        <f>IF(Z4947&gt;Z4946,Z4947,"")</f>
        <v/>
      </c>
      <c r="AB4947">
        <f>AB4946+IF(X4947="",0,IF(ISNA(MATCH(X4947,X$256:X4946,0)),1,0))</f>
        <v/>
      </c>
      <c r="AC4947">
        <f>IF(AB4947&gt;AB4946,AB4947,"")</f>
        <v/>
      </c>
    </row>
    <row r="4948">
      <c r="W4948" s="7" t="n"/>
      <c r="X4948" s="7" t="n"/>
      <c r="Z4948">
        <f>Z4947+IF(W4948="",0,IF(ISNA(MATCH(W4948,W$256:W4947,0)),1,0))</f>
        <v/>
      </c>
      <c r="AA4948">
        <f>IF(Z4948&gt;Z4947,Z4948,"")</f>
        <v/>
      </c>
      <c r="AB4948">
        <f>AB4947+IF(X4948="",0,IF(ISNA(MATCH(X4948,X$256:X4947,0)),1,0))</f>
        <v/>
      </c>
      <c r="AC4948">
        <f>IF(AB4948&gt;AB4947,AB4948,"")</f>
        <v/>
      </c>
    </row>
    <row r="4949">
      <c r="W4949" s="7" t="n"/>
      <c r="X4949" s="7" t="n"/>
      <c r="Z4949">
        <f>Z4948+IF(W4949="",0,IF(ISNA(MATCH(W4949,W$256:W4948,0)),1,0))</f>
        <v/>
      </c>
      <c r="AA4949">
        <f>IF(Z4949&gt;Z4948,Z4949,"")</f>
        <v/>
      </c>
      <c r="AB4949">
        <f>AB4948+IF(X4949="",0,IF(ISNA(MATCH(X4949,X$256:X4948,0)),1,0))</f>
        <v/>
      </c>
      <c r="AC4949">
        <f>IF(AB4949&gt;AB4948,AB4949,"")</f>
        <v/>
      </c>
    </row>
    <row r="4950">
      <c r="W4950" s="7" t="n"/>
      <c r="X4950" s="7" t="n"/>
      <c r="Z4950">
        <f>Z4949+IF(W4950="",0,IF(ISNA(MATCH(W4950,W$256:W4949,0)),1,0))</f>
        <v/>
      </c>
      <c r="AA4950">
        <f>IF(Z4950&gt;Z4949,Z4950,"")</f>
        <v/>
      </c>
      <c r="AB4950">
        <f>AB4949+IF(X4950="",0,IF(ISNA(MATCH(X4950,X$256:X4949,0)),1,0))</f>
        <v/>
      </c>
      <c r="AC4950">
        <f>IF(AB4950&gt;AB4949,AB4950,"")</f>
        <v/>
      </c>
    </row>
    <row r="4951">
      <c r="W4951" s="7" t="n"/>
      <c r="X4951" s="7" t="n"/>
      <c r="Z4951">
        <f>Z4950+IF(W4951="",0,IF(ISNA(MATCH(W4951,W$256:W4950,0)),1,0))</f>
        <v/>
      </c>
      <c r="AA4951">
        <f>IF(Z4951&gt;Z4950,Z4951,"")</f>
        <v/>
      </c>
      <c r="AB4951">
        <f>AB4950+IF(X4951="",0,IF(ISNA(MATCH(X4951,X$256:X4950,0)),1,0))</f>
        <v/>
      </c>
      <c r="AC4951">
        <f>IF(AB4951&gt;AB4950,AB4951,"")</f>
        <v/>
      </c>
    </row>
    <row r="4952">
      <c r="W4952" s="7" t="n"/>
      <c r="X4952" s="7" t="n"/>
      <c r="Z4952">
        <f>Z4951+IF(W4952="",0,IF(ISNA(MATCH(W4952,W$256:W4951,0)),1,0))</f>
        <v/>
      </c>
      <c r="AA4952">
        <f>IF(Z4952&gt;Z4951,Z4952,"")</f>
        <v/>
      </c>
      <c r="AB4952">
        <f>AB4951+IF(X4952="",0,IF(ISNA(MATCH(X4952,X$256:X4951,0)),1,0))</f>
        <v/>
      </c>
      <c r="AC4952">
        <f>IF(AB4952&gt;AB4951,AB4952,"")</f>
        <v/>
      </c>
    </row>
    <row r="4953">
      <c r="W4953" s="7" t="n"/>
      <c r="X4953" s="7" t="n"/>
      <c r="Z4953">
        <f>Z4952+IF(W4953="",0,IF(ISNA(MATCH(W4953,W$256:W4952,0)),1,0))</f>
        <v/>
      </c>
      <c r="AA4953">
        <f>IF(Z4953&gt;Z4952,Z4953,"")</f>
        <v/>
      </c>
      <c r="AB4953">
        <f>AB4952+IF(X4953="",0,IF(ISNA(MATCH(X4953,X$256:X4952,0)),1,0))</f>
        <v/>
      </c>
      <c r="AC4953">
        <f>IF(AB4953&gt;AB4952,AB4953,"")</f>
        <v/>
      </c>
    </row>
    <row r="4954">
      <c r="W4954" s="7" t="n"/>
      <c r="X4954" s="7" t="n"/>
      <c r="Z4954">
        <f>Z4953+IF(W4954="",0,IF(ISNA(MATCH(W4954,W$256:W4953,0)),1,0))</f>
        <v/>
      </c>
      <c r="AA4954">
        <f>IF(Z4954&gt;Z4953,Z4954,"")</f>
        <v/>
      </c>
      <c r="AB4954">
        <f>AB4953+IF(X4954="",0,IF(ISNA(MATCH(X4954,X$256:X4953,0)),1,0))</f>
        <v/>
      </c>
      <c r="AC4954">
        <f>IF(AB4954&gt;AB4953,AB4954,"")</f>
        <v/>
      </c>
    </row>
    <row r="4955">
      <c r="W4955" s="7" t="n"/>
      <c r="X4955" s="7" t="n"/>
      <c r="Z4955">
        <f>Z4954+IF(W4955="",0,IF(ISNA(MATCH(W4955,W$256:W4954,0)),1,0))</f>
        <v/>
      </c>
      <c r="AA4955">
        <f>IF(Z4955&gt;Z4954,Z4955,"")</f>
        <v/>
      </c>
      <c r="AB4955">
        <f>AB4954+IF(X4955="",0,IF(ISNA(MATCH(X4955,X$256:X4954,0)),1,0))</f>
        <v/>
      </c>
      <c r="AC4955">
        <f>IF(AB4955&gt;AB4954,AB4955,"")</f>
        <v/>
      </c>
    </row>
    <row r="4956">
      <c r="W4956" s="7" t="n"/>
      <c r="X4956" s="7" t="n"/>
      <c r="Z4956">
        <f>Z4955+IF(W4956="",0,IF(ISNA(MATCH(W4956,W$256:W4955,0)),1,0))</f>
        <v/>
      </c>
      <c r="AA4956">
        <f>IF(Z4956&gt;Z4955,Z4956,"")</f>
        <v/>
      </c>
      <c r="AB4956">
        <f>AB4955+IF(X4956="",0,IF(ISNA(MATCH(X4956,X$256:X4955,0)),1,0))</f>
        <v/>
      </c>
      <c r="AC4956">
        <f>IF(AB4956&gt;AB4955,AB4956,"")</f>
        <v/>
      </c>
    </row>
    <row r="4957">
      <c r="W4957" s="7" t="n"/>
      <c r="X4957" s="7" t="n"/>
      <c r="Z4957">
        <f>Z4956+IF(W4957="",0,IF(ISNA(MATCH(W4957,W$256:W4956,0)),1,0))</f>
        <v/>
      </c>
      <c r="AA4957">
        <f>IF(Z4957&gt;Z4956,Z4957,"")</f>
        <v/>
      </c>
      <c r="AB4957">
        <f>AB4956+IF(X4957="",0,IF(ISNA(MATCH(X4957,X$256:X4956,0)),1,0))</f>
        <v/>
      </c>
      <c r="AC4957">
        <f>IF(AB4957&gt;AB4956,AB4957,"")</f>
        <v/>
      </c>
    </row>
    <row r="4958">
      <c r="W4958" s="7" t="n"/>
      <c r="X4958" s="7" t="n"/>
      <c r="Z4958">
        <f>Z4957+IF(W4958="",0,IF(ISNA(MATCH(W4958,W$256:W4957,0)),1,0))</f>
        <v/>
      </c>
      <c r="AA4958">
        <f>IF(Z4958&gt;Z4957,Z4958,"")</f>
        <v/>
      </c>
      <c r="AB4958">
        <f>AB4957+IF(X4958="",0,IF(ISNA(MATCH(X4958,X$256:X4957,0)),1,0))</f>
        <v/>
      </c>
      <c r="AC4958">
        <f>IF(AB4958&gt;AB4957,AB4958,"")</f>
        <v/>
      </c>
    </row>
    <row r="4959">
      <c r="W4959" s="7" t="n"/>
      <c r="X4959" s="7" t="n"/>
      <c r="Z4959">
        <f>Z4958+IF(W4959="",0,IF(ISNA(MATCH(W4959,W$256:W4958,0)),1,0))</f>
        <v/>
      </c>
      <c r="AA4959">
        <f>IF(Z4959&gt;Z4958,Z4959,"")</f>
        <v/>
      </c>
      <c r="AB4959">
        <f>AB4958+IF(X4959="",0,IF(ISNA(MATCH(X4959,X$256:X4958,0)),1,0))</f>
        <v/>
      </c>
      <c r="AC4959">
        <f>IF(AB4959&gt;AB4958,AB4959,"")</f>
        <v/>
      </c>
    </row>
    <row r="4960">
      <c r="W4960" s="7" t="n"/>
      <c r="X4960" s="7" t="n"/>
      <c r="Z4960">
        <f>Z4959+IF(W4960="",0,IF(ISNA(MATCH(W4960,W$256:W4959,0)),1,0))</f>
        <v/>
      </c>
      <c r="AA4960">
        <f>IF(Z4960&gt;Z4959,Z4960,"")</f>
        <v/>
      </c>
      <c r="AB4960">
        <f>AB4959+IF(X4960="",0,IF(ISNA(MATCH(X4960,X$256:X4959,0)),1,0))</f>
        <v/>
      </c>
      <c r="AC4960">
        <f>IF(AB4960&gt;AB4959,AB4960,"")</f>
        <v/>
      </c>
    </row>
    <row r="4961">
      <c r="W4961" s="7" t="n"/>
      <c r="X4961" s="7" t="n"/>
      <c r="Z4961">
        <f>Z4960+IF(W4961="",0,IF(ISNA(MATCH(W4961,W$256:W4960,0)),1,0))</f>
        <v/>
      </c>
      <c r="AA4961">
        <f>IF(Z4961&gt;Z4960,Z4961,"")</f>
        <v/>
      </c>
      <c r="AB4961">
        <f>AB4960+IF(X4961="",0,IF(ISNA(MATCH(X4961,X$256:X4960,0)),1,0))</f>
        <v/>
      </c>
      <c r="AC4961">
        <f>IF(AB4961&gt;AB4960,AB4961,"")</f>
        <v/>
      </c>
    </row>
    <row r="4962">
      <c r="W4962" s="7" t="n"/>
      <c r="X4962" s="7" t="n"/>
      <c r="Z4962">
        <f>Z4961+IF(W4962="",0,IF(ISNA(MATCH(W4962,W$256:W4961,0)),1,0))</f>
        <v/>
      </c>
      <c r="AA4962">
        <f>IF(Z4962&gt;Z4961,Z4962,"")</f>
        <v/>
      </c>
      <c r="AB4962">
        <f>AB4961+IF(X4962="",0,IF(ISNA(MATCH(X4962,X$256:X4961,0)),1,0))</f>
        <v/>
      </c>
      <c r="AC4962">
        <f>IF(AB4962&gt;AB4961,AB4962,"")</f>
        <v/>
      </c>
    </row>
    <row r="4963">
      <c r="W4963" s="7" t="n"/>
      <c r="X4963" s="7" t="n"/>
      <c r="Z4963">
        <f>Z4962+IF(W4963="",0,IF(ISNA(MATCH(W4963,W$256:W4962,0)),1,0))</f>
        <v/>
      </c>
      <c r="AA4963">
        <f>IF(Z4963&gt;Z4962,Z4963,"")</f>
        <v/>
      </c>
      <c r="AB4963">
        <f>AB4962+IF(X4963="",0,IF(ISNA(MATCH(X4963,X$256:X4962,0)),1,0))</f>
        <v/>
      </c>
      <c r="AC4963">
        <f>IF(AB4963&gt;AB4962,AB4963,"")</f>
        <v/>
      </c>
    </row>
    <row r="4964">
      <c r="W4964" s="7" t="n"/>
      <c r="X4964" s="7" t="n"/>
      <c r="Z4964">
        <f>Z4963+IF(W4964="",0,IF(ISNA(MATCH(W4964,W$256:W4963,0)),1,0))</f>
        <v/>
      </c>
      <c r="AA4964">
        <f>IF(Z4964&gt;Z4963,Z4964,"")</f>
        <v/>
      </c>
      <c r="AB4964">
        <f>AB4963+IF(X4964="",0,IF(ISNA(MATCH(X4964,X$256:X4963,0)),1,0))</f>
        <v/>
      </c>
      <c r="AC4964">
        <f>IF(AB4964&gt;AB4963,AB4964,"")</f>
        <v/>
      </c>
    </row>
    <row r="4965">
      <c r="W4965" s="7" t="n"/>
      <c r="X4965" s="7" t="n"/>
      <c r="Z4965">
        <f>Z4964+IF(W4965="",0,IF(ISNA(MATCH(W4965,W$256:W4964,0)),1,0))</f>
        <v/>
      </c>
      <c r="AA4965">
        <f>IF(Z4965&gt;Z4964,Z4965,"")</f>
        <v/>
      </c>
      <c r="AB4965">
        <f>AB4964+IF(X4965="",0,IF(ISNA(MATCH(X4965,X$256:X4964,0)),1,0))</f>
        <v/>
      </c>
      <c r="AC4965">
        <f>IF(AB4965&gt;AB4964,AB4965,"")</f>
        <v/>
      </c>
    </row>
    <row r="4966">
      <c r="W4966" s="7" t="n"/>
      <c r="X4966" s="7" t="n"/>
      <c r="Z4966">
        <f>Z4965+IF(W4966="",0,IF(ISNA(MATCH(W4966,W$256:W4965,0)),1,0))</f>
        <v/>
      </c>
      <c r="AA4966">
        <f>IF(Z4966&gt;Z4965,Z4966,"")</f>
        <v/>
      </c>
      <c r="AB4966">
        <f>AB4965+IF(X4966="",0,IF(ISNA(MATCH(X4966,X$256:X4965,0)),1,0))</f>
        <v/>
      </c>
      <c r="AC4966">
        <f>IF(AB4966&gt;AB4965,AB4966,"")</f>
        <v/>
      </c>
    </row>
    <row r="4967">
      <c r="W4967" s="7" t="n"/>
      <c r="X4967" s="7" t="n"/>
      <c r="Z4967">
        <f>Z4966+IF(W4967="",0,IF(ISNA(MATCH(W4967,W$256:W4966,0)),1,0))</f>
        <v/>
      </c>
      <c r="AA4967">
        <f>IF(Z4967&gt;Z4966,Z4967,"")</f>
        <v/>
      </c>
      <c r="AB4967">
        <f>AB4966+IF(X4967="",0,IF(ISNA(MATCH(X4967,X$256:X4966,0)),1,0))</f>
        <v/>
      </c>
      <c r="AC4967">
        <f>IF(AB4967&gt;AB4966,AB4967,"")</f>
        <v/>
      </c>
    </row>
    <row r="4968">
      <c r="W4968" s="7" t="n"/>
      <c r="X4968" s="7" t="n"/>
      <c r="Z4968">
        <f>Z4967+IF(W4968="",0,IF(ISNA(MATCH(W4968,W$256:W4967,0)),1,0))</f>
        <v/>
      </c>
      <c r="AA4968">
        <f>IF(Z4968&gt;Z4967,Z4968,"")</f>
        <v/>
      </c>
      <c r="AB4968">
        <f>AB4967+IF(X4968="",0,IF(ISNA(MATCH(X4968,X$256:X4967,0)),1,0))</f>
        <v/>
      </c>
      <c r="AC4968">
        <f>IF(AB4968&gt;AB4967,AB4968,"")</f>
        <v/>
      </c>
    </row>
    <row r="4969">
      <c r="W4969" s="7" t="n"/>
      <c r="X4969" s="7" t="n"/>
      <c r="Z4969">
        <f>Z4968+IF(W4969="",0,IF(ISNA(MATCH(W4969,W$256:W4968,0)),1,0))</f>
        <v/>
      </c>
      <c r="AA4969">
        <f>IF(Z4969&gt;Z4968,Z4969,"")</f>
        <v/>
      </c>
      <c r="AB4969">
        <f>AB4968+IF(X4969="",0,IF(ISNA(MATCH(X4969,X$256:X4968,0)),1,0))</f>
        <v/>
      </c>
      <c r="AC4969">
        <f>IF(AB4969&gt;AB4968,AB4969,"")</f>
        <v/>
      </c>
    </row>
    <row r="4970">
      <c r="W4970" s="7" t="n"/>
      <c r="X4970" s="7" t="n"/>
      <c r="Z4970">
        <f>Z4969+IF(W4970="",0,IF(ISNA(MATCH(W4970,W$256:W4969,0)),1,0))</f>
        <v/>
      </c>
      <c r="AA4970">
        <f>IF(Z4970&gt;Z4969,Z4970,"")</f>
        <v/>
      </c>
      <c r="AB4970">
        <f>AB4969+IF(X4970="",0,IF(ISNA(MATCH(X4970,X$256:X4969,0)),1,0))</f>
        <v/>
      </c>
      <c r="AC4970">
        <f>IF(AB4970&gt;AB4969,AB4970,"")</f>
        <v/>
      </c>
    </row>
    <row r="4971">
      <c r="W4971" s="7" t="n"/>
      <c r="X4971" s="7" t="n"/>
      <c r="Z4971">
        <f>Z4970+IF(W4971="",0,IF(ISNA(MATCH(W4971,W$256:W4970,0)),1,0))</f>
        <v/>
      </c>
      <c r="AA4971">
        <f>IF(Z4971&gt;Z4970,Z4971,"")</f>
        <v/>
      </c>
      <c r="AB4971">
        <f>AB4970+IF(X4971="",0,IF(ISNA(MATCH(X4971,X$256:X4970,0)),1,0))</f>
        <v/>
      </c>
      <c r="AC4971">
        <f>IF(AB4971&gt;AB4970,AB4971,"")</f>
        <v/>
      </c>
    </row>
    <row r="4972">
      <c r="W4972" s="7" t="n"/>
      <c r="X4972" s="7" t="n"/>
      <c r="Z4972">
        <f>Z4971+IF(W4972="",0,IF(ISNA(MATCH(W4972,W$256:W4971,0)),1,0))</f>
        <v/>
      </c>
      <c r="AA4972">
        <f>IF(Z4972&gt;Z4971,Z4972,"")</f>
        <v/>
      </c>
      <c r="AB4972">
        <f>AB4971+IF(X4972="",0,IF(ISNA(MATCH(X4972,X$256:X4971,0)),1,0))</f>
        <v/>
      </c>
      <c r="AC4972">
        <f>IF(AB4972&gt;AB4971,AB4972,"")</f>
        <v/>
      </c>
    </row>
    <row r="4973">
      <c r="W4973" s="7" t="n"/>
      <c r="X4973" s="7" t="n"/>
      <c r="Z4973">
        <f>Z4972+IF(W4973="",0,IF(ISNA(MATCH(W4973,W$256:W4972,0)),1,0))</f>
        <v/>
      </c>
      <c r="AA4973">
        <f>IF(Z4973&gt;Z4972,Z4973,"")</f>
        <v/>
      </c>
      <c r="AB4973">
        <f>AB4972+IF(X4973="",0,IF(ISNA(MATCH(X4973,X$256:X4972,0)),1,0))</f>
        <v/>
      </c>
      <c r="AC4973">
        <f>IF(AB4973&gt;AB4972,AB4973,"")</f>
        <v/>
      </c>
    </row>
    <row r="4974">
      <c r="W4974" s="7" t="n"/>
      <c r="X4974" s="7" t="n"/>
      <c r="Z4974">
        <f>Z4973+IF(W4974="",0,IF(ISNA(MATCH(W4974,W$256:W4973,0)),1,0))</f>
        <v/>
      </c>
      <c r="AA4974">
        <f>IF(Z4974&gt;Z4973,Z4974,"")</f>
        <v/>
      </c>
      <c r="AB4974">
        <f>AB4973+IF(X4974="",0,IF(ISNA(MATCH(X4974,X$256:X4973,0)),1,0))</f>
        <v/>
      </c>
      <c r="AC4974">
        <f>IF(AB4974&gt;AB4973,AB4974,"")</f>
        <v/>
      </c>
    </row>
    <row r="4975">
      <c r="W4975" s="7" t="n"/>
      <c r="X4975" s="7" t="n"/>
      <c r="Z4975">
        <f>Z4974+IF(W4975="",0,IF(ISNA(MATCH(W4975,W$256:W4974,0)),1,0))</f>
        <v/>
      </c>
      <c r="AA4975">
        <f>IF(Z4975&gt;Z4974,Z4975,"")</f>
        <v/>
      </c>
      <c r="AB4975">
        <f>AB4974+IF(X4975="",0,IF(ISNA(MATCH(X4975,X$256:X4974,0)),1,0))</f>
        <v/>
      </c>
      <c r="AC4975">
        <f>IF(AB4975&gt;AB4974,AB4975,"")</f>
        <v/>
      </c>
    </row>
    <row r="4976">
      <c r="W4976" s="7" t="n"/>
      <c r="X4976" s="7" t="n"/>
      <c r="Z4976">
        <f>Z4975+IF(W4976="",0,IF(ISNA(MATCH(W4976,W$256:W4975,0)),1,0))</f>
        <v/>
      </c>
      <c r="AA4976">
        <f>IF(Z4976&gt;Z4975,Z4976,"")</f>
        <v/>
      </c>
      <c r="AB4976">
        <f>AB4975+IF(X4976="",0,IF(ISNA(MATCH(X4976,X$256:X4975,0)),1,0))</f>
        <v/>
      </c>
      <c r="AC4976">
        <f>IF(AB4976&gt;AB4975,AB4976,"")</f>
        <v/>
      </c>
    </row>
    <row r="4977">
      <c r="W4977" s="7" t="n"/>
      <c r="X4977" s="7" t="n"/>
      <c r="Z4977">
        <f>Z4976+IF(W4977="",0,IF(ISNA(MATCH(W4977,W$256:W4976,0)),1,0))</f>
        <v/>
      </c>
      <c r="AA4977">
        <f>IF(Z4977&gt;Z4976,Z4977,"")</f>
        <v/>
      </c>
      <c r="AB4977">
        <f>AB4976+IF(X4977="",0,IF(ISNA(MATCH(X4977,X$256:X4976,0)),1,0))</f>
        <v/>
      </c>
      <c r="AC4977">
        <f>IF(AB4977&gt;AB4976,AB4977,"")</f>
        <v/>
      </c>
    </row>
    <row r="4978">
      <c r="W4978" s="7" t="n"/>
      <c r="X4978" s="7" t="n"/>
      <c r="Z4978">
        <f>Z4977+IF(W4978="",0,IF(ISNA(MATCH(W4978,W$256:W4977,0)),1,0))</f>
        <v/>
      </c>
      <c r="AA4978">
        <f>IF(Z4978&gt;Z4977,Z4978,"")</f>
        <v/>
      </c>
      <c r="AB4978">
        <f>AB4977+IF(X4978="",0,IF(ISNA(MATCH(X4978,X$256:X4977,0)),1,0))</f>
        <v/>
      </c>
      <c r="AC4978">
        <f>IF(AB4978&gt;AB4977,AB4978,"")</f>
        <v/>
      </c>
    </row>
    <row r="4979">
      <c r="W4979" s="7" t="n"/>
      <c r="X4979" s="7" t="n"/>
      <c r="Z4979">
        <f>Z4978+IF(W4979="",0,IF(ISNA(MATCH(W4979,W$256:W4978,0)),1,0))</f>
        <v/>
      </c>
      <c r="AA4979">
        <f>IF(Z4979&gt;Z4978,Z4979,"")</f>
        <v/>
      </c>
      <c r="AB4979">
        <f>AB4978+IF(X4979="",0,IF(ISNA(MATCH(X4979,X$256:X4978,0)),1,0))</f>
        <v/>
      </c>
      <c r="AC4979">
        <f>IF(AB4979&gt;AB4978,AB4979,"")</f>
        <v/>
      </c>
    </row>
    <row r="4980">
      <c r="W4980" s="7" t="n"/>
      <c r="X4980" s="7" t="n"/>
      <c r="Z4980">
        <f>Z4979+IF(W4980="",0,IF(ISNA(MATCH(W4980,W$256:W4979,0)),1,0))</f>
        <v/>
      </c>
      <c r="AA4980">
        <f>IF(Z4980&gt;Z4979,Z4980,"")</f>
        <v/>
      </c>
      <c r="AB4980">
        <f>AB4979+IF(X4980="",0,IF(ISNA(MATCH(X4980,X$256:X4979,0)),1,0))</f>
        <v/>
      </c>
      <c r="AC4980">
        <f>IF(AB4980&gt;AB4979,AB4980,"")</f>
        <v/>
      </c>
    </row>
    <row r="4981">
      <c r="W4981" s="7" t="n"/>
      <c r="X4981" s="7" t="n"/>
      <c r="Z4981">
        <f>Z4980+IF(W4981="",0,IF(ISNA(MATCH(W4981,W$256:W4980,0)),1,0))</f>
        <v/>
      </c>
      <c r="AA4981">
        <f>IF(Z4981&gt;Z4980,Z4981,"")</f>
        <v/>
      </c>
      <c r="AB4981">
        <f>AB4980+IF(X4981="",0,IF(ISNA(MATCH(X4981,X$256:X4980,0)),1,0))</f>
        <v/>
      </c>
      <c r="AC4981">
        <f>IF(AB4981&gt;AB4980,AB4981,"")</f>
        <v/>
      </c>
    </row>
    <row r="4982">
      <c r="W4982" s="7" t="n"/>
      <c r="X4982" s="7" t="n"/>
      <c r="Z4982">
        <f>Z4981+IF(W4982="",0,IF(ISNA(MATCH(W4982,W$256:W4981,0)),1,0))</f>
        <v/>
      </c>
      <c r="AA4982">
        <f>IF(Z4982&gt;Z4981,Z4982,"")</f>
        <v/>
      </c>
      <c r="AB4982">
        <f>AB4981+IF(X4982="",0,IF(ISNA(MATCH(X4982,X$256:X4981,0)),1,0))</f>
        <v/>
      </c>
      <c r="AC4982">
        <f>IF(AB4982&gt;AB4981,AB4982,"")</f>
        <v/>
      </c>
    </row>
    <row r="4983">
      <c r="W4983" s="7" t="n"/>
      <c r="X4983" s="7" t="n"/>
      <c r="Z4983">
        <f>Z4982+IF(W4983="",0,IF(ISNA(MATCH(W4983,W$256:W4982,0)),1,0))</f>
        <v/>
      </c>
      <c r="AA4983">
        <f>IF(Z4983&gt;Z4982,Z4983,"")</f>
        <v/>
      </c>
      <c r="AB4983">
        <f>AB4982+IF(X4983="",0,IF(ISNA(MATCH(X4983,X$256:X4982,0)),1,0))</f>
        <v/>
      </c>
      <c r="AC4983">
        <f>IF(AB4983&gt;AB4982,AB4983,"")</f>
        <v/>
      </c>
    </row>
    <row r="4984">
      <c r="W4984" s="7" t="n"/>
      <c r="X4984" s="7" t="n"/>
      <c r="Z4984">
        <f>Z4983+IF(W4984="",0,IF(ISNA(MATCH(W4984,W$256:W4983,0)),1,0))</f>
        <v/>
      </c>
      <c r="AA4984">
        <f>IF(Z4984&gt;Z4983,Z4984,"")</f>
        <v/>
      </c>
      <c r="AB4984">
        <f>AB4983+IF(X4984="",0,IF(ISNA(MATCH(X4984,X$256:X4983,0)),1,0))</f>
        <v/>
      </c>
      <c r="AC4984">
        <f>IF(AB4984&gt;AB4983,AB4984,"")</f>
        <v/>
      </c>
    </row>
    <row r="4985">
      <c r="W4985" s="7" t="n"/>
      <c r="X4985" s="7" t="n"/>
      <c r="Z4985">
        <f>Z4984+IF(W4985="",0,IF(ISNA(MATCH(W4985,W$256:W4984,0)),1,0))</f>
        <v/>
      </c>
      <c r="AA4985">
        <f>IF(Z4985&gt;Z4984,Z4985,"")</f>
        <v/>
      </c>
      <c r="AB4985">
        <f>AB4984+IF(X4985="",0,IF(ISNA(MATCH(X4985,X$256:X4984,0)),1,0))</f>
        <v/>
      </c>
      <c r="AC4985">
        <f>IF(AB4985&gt;AB4984,AB4985,"")</f>
        <v/>
      </c>
    </row>
    <row r="4986">
      <c r="W4986" s="7" t="n"/>
      <c r="X4986" s="7" t="n"/>
      <c r="Z4986">
        <f>Z4985+IF(W4986="",0,IF(ISNA(MATCH(W4986,W$256:W4985,0)),1,0))</f>
        <v/>
      </c>
      <c r="AA4986">
        <f>IF(Z4986&gt;Z4985,Z4986,"")</f>
        <v/>
      </c>
      <c r="AB4986">
        <f>AB4985+IF(X4986="",0,IF(ISNA(MATCH(X4986,X$256:X4985,0)),1,0))</f>
        <v/>
      </c>
      <c r="AC4986">
        <f>IF(AB4986&gt;AB4985,AB4986,"")</f>
        <v/>
      </c>
    </row>
    <row r="4987">
      <c r="W4987" s="7" t="n"/>
      <c r="X4987" s="7" t="n"/>
      <c r="Z4987">
        <f>Z4986+IF(W4987="",0,IF(ISNA(MATCH(W4987,W$256:W4986,0)),1,0))</f>
        <v/>
      </c>
      <c r="AA4987">
        <f>IF(Z4987&gt;Z4986,Z4987,"")</f>
        <v/>
      </c>
      <c r="AB4987">
        <f>AB4986+IF(X4987="",0,IF(ISNA(MATCH(X4987,X$256:X4986,0)),1,0))</f>
        <v/>
      </c>
      <c r="AC4987">
        <f>IF(AB4987&gt;AB4986,AB4987,"")</f>
        <v/>
      </c>
    </row>
    <row r="4988">
      <c r="W4988" s="7" t="n"/>
      <c r="X4988" s="7" t="n"/>
      <c r="Z4988">
        <f>Z4987+IF(W4988="",0,IF(ISNA(MATCH(W4988,W$256:W4987,0)),1,0))</f>
        <v/>
      </c>
      <c r="AA4988">
        <f>IF(Z4988&gt;Z4987,Z4988,"")</f>
        <v/>
      </c>
      <c r="AB4988">
        <f>AB4987+IF(X4988="",0,IF(ISNA(MATCH(X4988,X$256:X4987,0)),1,0))</f>
        <v/>
      </c>
      <c r="AC4988">
        <f>IF(AB4988&gt;AB4987,AB4988,"")</f>
        <v/>
      </c>
    </row>
    <row r="4989">
      <c r="W4989" s="7" t="n"/>
      <c r="X4989" s="7" t="n"/>
      <c r="Z4989">
        <f>Z4988+IF(W4989="",0,IF(ISNA(MATCH(W4989,W$256:W4988,0)),1,0))</f>
        <v/>
      </c>
      <c r="AA4989">
        <f>IF(Z4989&gt;Z4988,Z4989,"")</f>
        <v/>
      </c>
      <c r="AB4989">
        <f>AB4988+IF(X4989="",0,IF(ISNA(MATCH(X4989,X$256:X4988,0)),1,0))</f>
        <v/>
      </c>
      <c r="AC4989">
        <f>IF(AB4989&gt;AB4988,AB4989,"")</f>
        <v/>
      </c>
    </row>
    <row r="4990">
      <c r="W4990" s="7" t="n"/>
      <c r="X4990" s="7" t="n"/>
      <c r="Z4990">
        <f>Z4989+IF(W4990="",0,IF(ISNA(MATCH(W4990,W$256:W4989,0)),1,0))</f>
        <v/>
      </c>
      <c r="AA4990">
        <f>IF(Z4990&gt;Z4989,Z4990,"")</f>
        <v/>
      </c>
      <c r="AB4990">
        <f>AB4989+IF(X4990="",0,IF(ISNA(MATCH(X4990,X$256:X4989,0)),1,0))</f>
        <v/>
      </c>
      <c r="AC4990">
        <f>IF(AB4990&gt;AB4989,AB4990,"")</f>
        <v/>
      </c>
    </row>
    <row r="4991">
      <c r="W4991" s="7" t="n"/>
      <c r="X4991" s="7" t="n"/>
      <c r="Z4991">
        <f>Z4990+IF(W4991="",0,IF(ISNA(MATCH(W4991,W$256:W4990,0)),1,0))</f>
        <v/>
      </c>
      <c r="AA4991">
        <f>IF(Z4991&gt;Z4990,Z4991,"")</f>
        <v/>
      </c>
      <c r="AB4991">
        <f>AB4990+IF(X4991="",0,IF(ISNA(MATCH(X4991,X$256:X4990,0)),1,0))</f>
        <v/>
      </c>
      <c r="AC4991">
        <f>IF(AB4991&gt;AB4990,AB4991,"")</f>
        <v/>
      </c>
    </row>
    <row r="4992">
      <c r="W4992" s="7" t="n"/>
      <c r="X4992" s="7" t="n"/>
      <c r="Z4992">
        <f>Z4991+IF(W4992="",0,IF(ISNA(MATCH(W4992,W$256:W4991,0)),1,0))</f>
        <v/>
      </c>
      <c r="AA4992">
        <f>IF(Z4992&gt;Z4991,Z4992,"")</f>
        <v/>
      </c>
      <c r="AB4992">
        <f>AB4991+IF(X4992="",0,IF(ISNA(MATCH(X4992,X$256:X4991,0)),1,0))</f>
        <v/>
      </c>
      <c r="AC4992">
        <f>IF(AB4992&gt;AB4991,AB4992,"")</f>
        <v/>
      </c>
    </row>
    <row r="4993">
      <c r="W4993" s="7" t="n"/>
      <c r="X4993" s="7" t="n"/>
      <c r="Z4993">
        <f>Z4992+IF(W4993="",0,IF(ISNA(MATCH(W4993,W$256:W4992,0)),1,0))</f>
        <v/>
      </c>
      <c r="AA4993">
        <f>IF(Z4993&gt;Z4992,Z4993,"")</f>
        <v/>
      </c>
      <c r="AB4993">
        <f>AB4992+IF(X4993="",0,IF(ISNA(MATCH(X4993,X$256:X4992,0)),1,0))</f>
        <v/>
      </c>
      <c r="AC4993">
        <f>IF(AB4993&gt;AB4992,AB4993,"")</f>
        <v/>
      </c>
    </row>
    <row r="4994">
      <c r="W4994" s="7" t="n"/>
      <c r="X4994" s="7" t="n"/>
      <c r="Z4994">
        <f>Z4993+IF(W4994="",0,IF(ISNA(MATCH(W4994,W$256:W4993,0)),1,0))</f>
        <v/>
      </c>
      <c r="AA4994">
        <f>IF(Z4994&gt;Z4993,Z4994,"")</f>
        <v/>
      </c>
      <c r="AB4994">
        <f>AB4993+IF(X4994="",0,IF(ISNA(MATCH(X4994,X$256:X4993,0)),1,0))</f>
        <v/>
      </c>
      <c r="AC4994">
        <f>IF(AB4994&gt;AB4993,AB4994,"")</f>
        <v/>
      </c>
    </row>
    <row r="4995">
      <c r="W4995" s="7" t="n"/>
      <c r="X4995" s="7" t="n"/>
      <c r="Z4995">
        <f>Z4994+IF(W4995="",0,IF(ISNA(MATCH(W4995,W$256:W4994,0)),1,0))</f>
        <v/>
      </c>
      <c r="AA4995">
        <f>IF(Z4995&gt;Z4994,Z4995,"")</f>
        <v/>
      </c>
      <c r="AB4995">
        <f>AB4994+IF(X4995="",0,IF(ISNA(MATCH(X4995,X$256:X4994,0)),1,0))</f>
        <v/>
      </c>
      <c r="AC4995">
        <f>IF(AB4995&gt;AB4994,AB4995,"")</f>
        <v/>
      </c>
    </row>
    <row r="4996">
      <c r="W4996" s="7" t="n"/>
      <c r="X4996" s="7" t="n"/>
      <c r="Z4996">
        <f>Z4995+IF(W4996="",0,IF(ISNA(MATCH(W4996,W$256:W4995,0)),1,0))</f>
        <v/>
      </c>
      <c r="AA4996">
        <f>IF(Z4996&gt;Z4995,Z4996,"")</f>
        <v/>
      </c>
      <c r="AB4996">
        <f>AB4995+IF(X4996="",0,IF(ISNA(MATCH(X4996,X$256:X4995,0)),1,0))</f>
        <v/>
      </c>
      <c r="AC4996">
        <f>IF(AB4996&gt;AB4995,AB4996,"")</f>
        <v/>
      </c>
    </row>
    <row r="4997">
      <c r="W4997" s="7" t="n"/>
      <c r="X4997" s="7" t="n"/>
      <c r="Z4997">
        <f>Z4996+IF(W4997="",0,IF(ISNA(MATCH(W4997,W$256:W4996,0)),1,0))</f>
        <v/>
      </c>
      <c r="AA4997">
        <f>IF(Z4997&gt;Z4996,Z4997,"")</f>
        <v/>
      </c>
      <c r="AB4997">
        <f>AB4996+IF(X4997="",0,IF(ISNA(MATCH(X4997,X$256:X4996,0)),1,0))</f>
        <v/>
      </c>
      <c r="AC4997">
        <f>IF(AB4997&gt;AB4996,AB4997,"")</f>
        <v/>
      </c>
    </row>
    <row r="4998">
      <c r="W4998" s="7" t="n"/>
      <c r="X4998" s="7" t="n"/>
      <c r="Z4998">
        <f>Z4997+IF(W4998="",0,IF(ISNA(MATCH(W4998,W$256:W4997,0)),1,0))</f>
        <v/>
      </c>
      <c r="AA4998">
        <f>IF(Z4998&gt;Z4997,Z4998,"")</f>
        <v/>
      </c>
      <c r="AB4998">
        <f>AB4997+IF(X4998="",0,IF(ISNA(MATCH(X4998,X$256:X4997,0)),1,0))</f>
        <v/>
      </c>
      <c r="AC4998">
        <f>IF(AB4998&gt;AB4997,AB4998,"")</f>
        <v/>
      </c>
    </row>
    <row r="4999">
      <c r="W4999" s="7" t="n"/>
      <c r="X4999" s="7" t="n"/>
      <c r="Z4999">
        <f>Z4998+IF(W4999="",0,IF(ISNA(MATCH(W4999,W$256:W4998,0)),1,0))</f>
        <v/>
      </c>
      <c r="AA4999">
        <f>IF(Z4999&gt;Z4998,Z4999,"")</f>
        <v/>
      </c>
      <c r="AB4999">
        <f>AB4998+IF(X4999="",0,IF(ISNA(MATCH(X4999,X$256:X4998,0)),1,0))</f>
        <v/>
      </c>
      <c r="AC4999">
        <f>IF(AB4999&gt;AB4998,AB4999,"")</f>
        <v/>
      </c>
    </row>
    <row r="5000">
      <c r="W5000" s="7" t="n"/>
      <c r="X5000" s="7" t="n"/>
      <c r="Z5000">
        <f>Z4999+IF(W5000="",0,IF(ISNA(MATCH(W5000,W$256:W4999,0)),1,0))</f>
        <v/>
      </c>
      <c r="AA5000">
        <f>IF(Z5000&gt;Z4999,Z5000,"")</f>
        <v/>
      </c>
      <c r="AB5000">
        <f>AB4999+IF(X5000="",0,IF(ISNA(MATCH(X5000,X$256:X4999,0)),1,0))</f>
        <v/>
      </c>
      <c r="AC5000">
        <f>IF(AB5000&gt;AB4999,AB5000,"")</f>
        <v/>
      </c>
    </row>
    <row r="5001">
      <c r="W5001" s="7" t="n"/>
      <c r="X5001" s="7" t="n"/>
      <c r="Z5001">
        <f>Z5000+IF(W5001="",0,IF(ISNA(MATCH(W5001,W$256:W5000,0)),1,0))</f>
        <v/>
      </c>
      <c r="AA5001">
        <f>IF(Z5001&gt;Z5000,Z5001,"")</f>
        <v/>
      </c>
      <c r="AB5001">
        <f>AB5000+IF(X5001="",0,IF(ISNA(MATCH(X5001,X$256:X5000,0)),1,0))</f>
        <v/>
      </c>
      <c r="AC5001">
        <f>IF(AB5001&gt;AB5000,AB5001,"")</f>
        <v/>
      </c>
    </row>
    <row r="5002">
      <c r="W5002" s="7" t="n"/>
      <c r="X5002" s="7" t="n"/>
      <c r="Z5002">
        <f>Z5001+IF(W5002="",0,IF(ISNA(MATCH(W5002,W$256:W5001,0)),1,0))</f>
        <v/>
      </c>
      <c r="AA5002">
        <f>IF(Z5002&gt;Z5001,Z5002,"")</f>
        <v/>
      </c>
      <c r="AB5002">
        <f>AB5001+IF(X5002="",0,IF(ISNA(MATCH(X5002,X$256:X5001,0)),1,0))</f>
        <v/>
      </c>
      <c r="AC5002">
        <f>IF(AB5002&gt;AB5001,AB5002,"")</f>
        <v/>
      </c>
    </row>
    <row r="5003">
      <c r="W5003" s="7" t="n"/>
      <c r="X5003" s="7" t="n"/>
      <c r="Z5003">
        <f>Z5002+IF(W5003="",0,IF(ISNA(MATCH(W5003,W$256:W5002,0)),1,0))</f>
        <v/>
      </c>
      <c r="AA5003">
        <f>IF(Z5003&gt;Z5002,Z5003,"")</f>
        <v/>
      </c>
      <c r="AB5003">
        <f>AB5002+IF(X5003="",0,IF(ISNA(MATCH(X5003,X$256:X5002,0)),1,0))</f>
        <v/>
      </c>
      <c r="AC5003">
        <f>IF(AB5003&gt;AB5002,AB5003,"")</f>
        <v/>
      </c>
    </row>
    <row r="5004">
      <c r="W5004" s="7" t="n"/>
      <c r="X5004" s="7" t="n"/>
      <c r="Z5004">
        <f>Z5003+IF(W5004="",0,IF(ISNA(MATCH(W5004,W$256:W5003,0)),1,0))</f>
        <v/>
      </c>
      <c r="AA5004">
        <f>IF(Z5004&gt;Z5003,Z5004,"")</f>
        <v/>
      </c>
      <c r="AB5004">
        <f>AB5003+IF(X5004="",0,IF(ISNA(MATCH(X5004,X$256:X5003,0)),1,0))</f>
        <v/>
      </c>
      <c r="AC5004">
        <f>IF(AB5004&gt;AB5003,AB5004,"")</f>
        <v/>
      </c>
    </row>
    <row r="5005">
      <c r="W5005" s="7" t="n"/>
      <c r="X5005" s="7" t="n"/>
      <c r="Z5005">
        <f>Z5004+IF(W5005="",0,IF(ISNA(MATCH(W5005,W$256:W5004,0)),1,0))</f>
        <v/>
      </c>
      <c r="AA5005">
        <f>IF(Z5005&gt;Z5004,Z5005,"")</f>
        <v/>
      </c>
      <c r="AB5005">
        <f>AB5004+IF(X5005="",0,IF(ISNA(MATCH(X5005,X$256:X5004,0)),1,0))</f>
        <v/>
      </c>
      <c r="AC5005">
        <f>IF(AB5005&gt;AB5004,AB5005,"")</f>
        <v/>
      </c>
    </row>
    <row r="5006">
      <c r="W5006" s="7" t="n"/>
      <c r="X5006" s="7" t="n"/>
      <c r="Z5006">
        <f>Z5005+IF(W5006="",0,IF(ISNA(MATCH(W5006,W$256:W5005,0)),1,0))</f>
        <v/>
      </c>
      <c r="AA5006">
        <f>IF(Z5006&gt;Z5005,Z5006,"")</f>
        <v/>
      </c>
      <c r="AB5006">
        <f>AB5005+IF(X5006="",0,IF(ISNA(MATCH(X5006,X$256:X5005,0)),1,0))</f>
        <v/>
      </c>
      <c r="AC5006">
        <f>IF(AB5006&gt;AB5005,AB5006,"")</f>
        <v/>
      </c>
    </row>
    <row r="5007">
      <c r="W5007" s="7" t="n"/>
      <c r="X5007" s="7" t="n"/>
      <c r="Z5007">
        <f>Z5006+IF(W5007="",0,IF(ISNA(MATCH(W5007,W$256:W5006,0)),1,0))</f>
        <v/>
      </c>
      <c r="AA5007">
        <f>IF(Z5007&gt;Z5006,Z5007,"")</f>
        <v/>
      </c>
      <c r="AB5007">
        <f>AB5006+IF(X5007="",0,IF(ISNA(MATCH(X5007,X$256:X5006,0)),1,0))</f>
        <v/>
      </c>
      <c r="AC5007">
        <f>IF(AB5007&gt;AB5006,AB5007,"")</f>
        <v/>
      </c>
    </row>
    <row r="5008">
      <c r="W5008" s="7" t="n"/>
      <c r="X5008" s="7" t="n"/>
      <c r="Z5008">
        <f>Z5007+IF(W5008="",0,IF(ISNA(MATCH(W5008,W$256:W5007,0)),1,0))</f>
        <v/>
      </c>
      <c r="AA5008">
        <f>IF(Z5008&gt;Z5007,Z5008,"")</f>
        <v/>
      </c>
      <c r="AB5008">
        <f>AB5007+IF(X5008="",0,IF(ISNA(MATCH(X5008,X$256:X5007,0)),1,0))</f>
        <v/>
      </c>
      <c r="AC5008">
        <f>IF(AB5008&gt;AB5007,AB5008,"")</f>
        <v/>
      </c>
    </row>
    <row r="5009">
      <c r="W5009" s="7" t="n"/>
      <c r="X5009" s="7" t="n"/>
      <c r="Z5009">
        <f>Z5008+IF(W5009="",0,IF(ISNA(MATCH(W5009,W$256:W5008,0)),1,0))</f>
        <v/>
      </c>
      <c r="AA5009">
        <f>IF(Z5009&gt;Z5008,Z5009,"")</f>
        <v/>
      </c>
      <c r="AB5009">
        <f>AB5008+IF(X5009="",0,IF(ISNA(MATCH(X5009,X$256:X5008,0)),1,0))</f>
        <v/>
      </c>
      <c r="AC5009">
        <f>IF(AB5009&gt;AB5008,AB5009,"")</f>
        <v/>
      </c>
    </row>
    <row r="5010">
      <c r="W5010" s="7" t="n"/>
      <c r="X5010" s="7" t="n"/>
      <c r="Z5010">
        <f>Z5009+IF(W5010="",0,IF(ISNA(MATCH(W5010,W$256:W5009,0)),1,0))</f>
        <v/>
      </c>
      <c r="AA5010">
        <f>IF(Z5010&gt;Z5009,Z5010,"")</f>
        <v/>
      </c>
      <c r="AB5010">
        <f>AB5009+IF(X5010="",0,IF(ISNA(MATCH(X5010,X$256:X5009,0)),1,0))</f>
        <v/>
      </c>
      <c r="AC5010">
        <f>IF(AB5010&gt;AB5009,AB5010,"")</f>
        <v/>
      </c>
    </row>
    <row r="5011">
      <c r="W5011" s="7" t="n"/>
      <c r="X5011" s="7" t="n"/>
      <c r="Z5011">
        <f>Z5010+IF(W5011="",0,IF(ISNA(MATCH(W5011,W$256:W5010,0)),1,0))</f>
        <v/>
      </c>
      <c r="AA5011">
        <f>IF(Z5011&gt;Z5010,Z5011,"")</f>
        <v/>
      </c>
      <c r="AB5011">
        <f>AB5010+IF(X5011="",0,IF(ISNA(MATCH(X5011,X$256:X5010,0)),1,0))</f>
        <v/>
      </c>
      <c r="AC5011">
        <f>IF(AB5011&gt;AB5010,AB5011,"")</f>
        <v/>
      </c>
    </row>
    <row r="5012">
      <c r="W5012" s="7" t="n"/>
      <c r="X5012" s="7" t="n"/>
      <c r="Z5012">
        <f>Z5011+IF(W5012="",0,IF(ISNA(MATCH(W5012,W$256:W5011,0)),1,0))</f>
        <v/>
      </c>
      <c r="AA5012">
        <f>IF(Z5012&gt;Z5011,Z5012,"")</f>
        <v/>
      </c>
      <c r="AB5012">
        <f>AB5011+IF(X5012="",0,IF(ISNA(MATCH(X5012,X$256:X5011,0)),1,0))</f>
        <v/>
      </c>
      <c r="AC5012">
        <f>IF(AB5012&gt;AB5011,AB5012,"")</f>
        <v/>
      </c>
    </row>
    <row r="5013">
      <c r="W5013" s="7" t="n"/>
      <c r="X5013" s="7" t="n"/>
      <c r="Z5013">
        <f>Z5012+IF(W5013="",0,IF(ISNA(MATCH(W5013,W$256:W5012,0)),1,0))</f>
        <v/>
      </c>
      <c r="AA5013">
        <f>IF(Z5013&gt;Z5012,Z5013,"")</f>
        <v/>
      </c>
      <c r="AB5013">
        <f>AB5012+IF(X5013="",0,IF(ISNA(MATCH(X5013,X$256:X5012,0)),1,0))</f>
        <v/>
      </c>
      <c r="AC5013">
        <f>IF(AB5013&gt;AB5012,AB5013,"")</f>
        <v/>
      </c>
    </row>
    <row r="5014">
      <c r="W5014" s="7" t="n"/>
      <c r="X5014" s="7" t="n"/>
      <c r="Z5014">
        <f>Z5013+IF(W5014="",0,IF(ISNA(MATCH(W5014,W$256:W5013,0)),1,0))</f>
        <v/>
      </c>
      <c r="AA5014">
        <f>IF(Z5014&gt;Z5013,Z5014,"")</f>
        <v/>
      </c>
      <c r="AB5014">
        <f>AB5013+IF(X5014="",0,IF(ISNA(MATCH(X5014,X$256:X5013,0)),1,0))</f>
        <v/>
      </c>
      <c r="AC5014">
        <f>IF(AB5014&gt;AB5013,AB5014,"")</f>
        <v/>
      </c>
    </row>
    <row r="5015">
      <c r="W5015" s="7" t="n"/>
      <c r="X5015" s="7" t="n"/>
      <c r="Z5015">
        <f>Z5014+IF(W5015="",0,IF(ISNA(MATCH(W5015,W$256:W5014,0)),1,0))</f>
        <v/>
      </c>
      <c r="AA5015">
        <f>IF(Z5015&gt;Z5014,Z5015,"")</f>
        <v/>
      </c>
      <c r="AB5015">
        <f>AB5014+IF(X5015="",0,IF(ISNA(MATCH(X5015,X$256:X5014,0)),1,0))</f>
        <v/>
      </c>
      <c r="AC5015">
        <f>IF(AB5015&gt;AB5014,AB5015,"")</f>
        <v/>
      </c>
    </row>
    <row r="5016">
      <c r="W5016" s="7" t="n"/>
      <c r="X5016" s="7" t="n"/>
      <c r="Z5016">
        <f>Z5015+IF(W5016="",0,IF(ISNA(MATCH(W5016,W$256:W5015,0)),1,0))</f>
        <v/>
      </c>
      <c r="AA5016">
        <f>IF(Z5016&gt;Z5015,Z5016,"")</f>
        <v/>
      </c>
      <c r="AB5016">
        <f>AB5015+IF(X5016="",0,IF(ISNA(MATCH(X5016,X$256:X5015,0)),1,0))</f>
        <v/>
      </c>
      <c r="AC5016">
        <f>IF(AB5016&gt;AB5015,AB5016,"")</f>
        <v/>
      </c>
    </row>
    <row r="5017">
      <c r="W5017" s="7" t="n"/>
      <c r="X5017" s="7" t="n"/>
      <c r="Z5017">
        <f>Z5016+IF(W5017="",0,IF(ISNA(MATCH(W5017,W$256:W5016,0)),1,0))</f>
        <v/>
      </c>
      <c r="AA5017">
        <f>IF(Z5017&gt;Z5016,Z5017,"")</f>
        <v/>
      </c>
      <c r="AB5017">
        <f>AB5016+IF(X5017="",0,IF(ISNA(MATCH(X5017,X$256:X5016,0)),1,0))</f>
        <v/>
      </c>
      <c r="AC5017">
        <f>IF(AB5017&gt;AB5016,AB5017,"")</f>
        <v/>
      </c>
    </row>
    <row r="5018">
      <c r="W5018" s="7" t="n"/>
      <c r="X5018" s="7" t="n"/>
      <c r="Z5018">
        <f>Z5017+IF(W5018="",0,IF(ISNA(MATCH(W5018,W$256:W5017,0)),1,0))</f>
        <v/>
      </c>
      <c r="AA5018">
        <f>IF(Z5018&gt;Z5017,Z5018,"")</f>
        <v/>
      </c>
      <c r="AB5018">
        <f>AB5017+IF(X5018="",0,IF(ISNA(MATCH(X5018,X$256:X5017,0)),1,0))</f>
        <v/>
      </c>
      <c r="AC5018">
        <f>IF(AB5018&gt;AB5017,AB5018,"")</f>
        <v/>
      </c>
    </row>
    <row r="5019">
      <c r="W5019" s="7" t="n"/>
      <c r="X5019" s="7" t="n"/>
      <c r="Z5019">
        <f>Z5018+IF(W5019="",0,IF(ISNA(MATCH(W5019,W$256:W5018,0)),1,0))</f>
        <v/>
      </c>
      <c r="AA5019">
        <f>IF(Z5019&gt;Z5018,Z5019,"")</f>
        <v/>
      </c>
      <c r="AB5019">
        <f>AB5018+IF(X5019="",0,IF(ISNA(MATCH(X5019,X$256:X5018,0)),1,0))</f>
        <v/>
      </c>
      <c r="AC5019">
        <f>IF(AB5019&gt;AB5018,AB5019,"")</f>
        <v/>
      </c>
    </row>
    <row r="5020">
      <c r="W5020" s="7" t="n"/>
      <c r="X5020" s="7" t="n"/>
      <c r="Z5020">
        <f>Z5019+IF(W5020="",0,IF(ISNA(MATCH(W5020,W$256:W5019,0)),1,0))</f>
        <v/>
      </c>
      <c r="AA5020">
        <f>IF(Z5020&gt;Z5019,Z5020,"")</f>
        <v/>
      </c>
      <c r="AB5020">
        <f>AB5019+IF(X5020="",0,IF(ISNA(MATCH(X5020,X$256:X5019,0)),1,0))</f>
        <v/>
      </c>
      <c r="AC5020">
        <f>IF(AB5020&gt;AB5019,AB5020,"")</f>
        <v/>
      </c>
    </row>
    <row r="5021">
      <c r="W5021" s="7" t="n"/>
      <c r="X5021" s="7" t="n"/>
      <c r="Z5021">
        <f>Z5020+IF(W5021="",0,IF(ISNA(MATCH(W5021,W$256:W5020,0)),1,0))</f>
        <v/>
      </c>
      <c r="AA5021">
        <f>IF(Z5021&gt;Z5020,Z5021,"")</f>
        <v/>
      </c>
      <c r="AB5021">
        <f>AB5020+IF(X5021="",0,IF(ISNA(MATCH(X5021,X$256:X5020,0)),1,0))</f>
        <v/>
      </c>
      <c r="AC5021">
        <f>IF(AB5021&gt;AB5020,AB5021,"")</f>
        <v/>
      </c>
    </row>
    <row r="5022">
      <c r="W5022" s="7" t="n"/>
      <c r="X5022" s="7" t="n"/>
      <c r="Z5022">
        <f>Z5021+IF(W5022="",0,IF(ISNA(MATCH(W5022,W$256:W5021,0)),1,0))</f>
        <v/>
      </c>
      <c r="AA5022">
        <f>IF(Z5022&gt;Z5021,Z5022,"")</f>
        <v/>
      </c>
      <c r="AB5022">
        <f>AB5021+IF(X5022="",0,IF(ISNA(MATCH(X5022,X$256:X5021,0)),1,0))</f>
        <v/>
      </c>
      <c r="AC5022">
        <f>IF(AB5022&gt;AB5021,AB5022,"")</f>
        <v/>
      </c>
    </row>
    <row r="5023">
      <c r="W5023" s="7" t="n"/>
      <c r="X5023" s="7" t="n"/>
      <c r="Z5023">
        <f>Z5022+IF(W5023="",0,IF(ISNA(MATCH(W5023,W$256:W5022,0)),1,0))</f>
        <v/>
      </c>
      <c r="AA5023">
        <f>IF(Z5023&gt;Z5022,Z5023,"")</f>
        <v/>
      </c>
      <c r="AB5023">
        <f>AB5022+IF(X5023="",0,IF(ISNA(MATCH(X5023,X$256:X5022,0)),1,0))</f>
        <v/>
      </c>
      <c r="AC5023">
        <f>IF(AB5023&gt;AB5022,AB5023,"")</f>
        <v/>
      </c>
    </row>
    <row r="5024">
      <c r="W5024" s="7" t="n"/>
      <c r="X5024" s="7" t="n"/>
      <c r="Z5024">
        <f>Z5023+IF(W5024="",0,IF(ISNA(MATCH(W5024,W$256:W5023,0)),1,0))</f>
        <v/>
      </c>
      <c r="AA5024">
        <f>IF(Z5024&gt;Z5023,Z5024,"")</f>
        <v/>
      </c>
      <c r="AB5024">
        <f>AB5023+IF(X5024="",0,IF(ISNA(MATCH(X5024,X$256:X5023,0)),1,0))</f>
        <v/>
      </c>
      <c r="AC5024">
        <f>IF(AB5024&gt;AB5023,AB5024,"")</f>
        <v/>
      </c>
    </row>
    <row r="5025">
      <c r="W5025" s="7" t="n"/>
      <c r="X5025" s="7" t="n"/>
      <c r="Z5025">
        <f>Z5024+IF(W5025="",0,IF(ISNA(MATCH(W5025,W$256:W5024,0)),1,0))</f>
        <v/>
      </c>
      <c r="AA5025">
        <f>IF(Z5025&gt;Z5024,Z5025,"")</f>
        <v/>
      </c>
      <c r="AB5025">
        <f>AB5024+IF(X5025="",0,IF(ISNA(MATCH(X5025,X$256:X5024,0)),1,0))</f>
        <v/>
      </c>
      <c r="AC5025">
        <f>IF(AB5025&gt;AB5024,AB5025,"")</f>
        <v/>
      </c>
    </row>
    <row r="5026">
      <c r="W5026" s="7" t="n"/>
      <c r="X5026" s="7" t="n"/>
      <c r="Z5026">
        <f>Z5025+IF(W5026="",0,IF(ISNA(MATCH(W5026,W$256:W5025,0)),1,0))</f>
        <v/>
      </c>
      <c r="AA5026">
        <f>IF(Z5026&gt;Z5025,Z5026,"")</f>
        <v/>
      </c>
      <c r="AB5026">
        <f>AB5025+IF(X5026="",0,IF(ISNA(MATCH(X5026,X$256:X5025,0)),1,0))</f>
        <v/>
      </c>
      <c r="AC5026">
        <f>IF(AB5026&gt;AB5025,AB5026,"")</f>
        <v/>
      </c>
    </row>
    <row r="5027">
      <c r="W5027" s="7" t="n"/>
      <c r="X5027" s="7" t="n"/>
      <c r="Z5027">
        <f>Z5026+IF(W5027="",0,IF(ISNA(MATCH(W5027,W$256:W5026,0)),1,0))</f>
        <v/>
      </c>
      <c r="AA5027">
        <f>IF(Z5027&gt;Z5026,Z5027,"")</f>
        <v/>
      </c>
      <c r="AB5027">
        <f>AB5026+IF(X5027="",0,IF(ISNA(MATCH(X5027,X$256:X5026,0)),1,0))</f>
        <v/>
      </c>
      <c r="AC5027">
        <f>IF(AB5027&gt;AB5026,AB5027,"")</f>
        <v/>
      </c>
    </row>
    <row r="5028">
      <c r="W5028" s="7" t="n"/>
      <c r="X5028" s="7" t="n"/>
      <c r="Z5028">
        <f>Z5027+IF(W5028="",0,IF(ISNA(MATCH(W5028,W$256:W5027,0)),1,0))</f>
        <v/>
      </c>
      <c r="AA5028">
        <f>IF(Z5028&gt;Z5027,Z5028,"")</f>
        <v/>
      </c>
      <c r="AB5028">
        <f>AB5027+IF(X5028="",0,IF(ISNA(MATCH(X5028,X$256:X5027,0)),1,0))</f>
        <v/>
      </c>
      <c r="AC5028">
        <f>IF(AB5028&gt;AB5027,AB5028,"")</f>
        <v/>
      </c>
    </row>
    <row r="5029">
      <c r="W5029" s="7" t="n"/>
      <c r="X5029" s="7" t="n"/>
      <c r="Z5029">
        <f>Z5028+IF(W5029="",0,IF(ISNA(MATCH(W5029,W$256:W5028,0)),1,0))</f>
        <v/>
      </c>
      <c r="AA5029">
        <f>IF(Z5029&gt;Z5028,Z5029,"")</f>
        <v/>
      </c>
      <c r="AB5029">
        <f>AB5028+IF(X5029="",0,IF(ISNA(MATCH(X5029,X$256:X5028,0)),1,0))</f>
        <v/>
      </c>
      <c r="AC5029">
        <f>IF(AB5029&gt;AB5028,AB5029,"")</f>
        <v/>
      </c>
    </row>
    <row r="5030">
      <c r="W5030" s="7" t="n"/>
      <c r="X5030" s="7" t="n"/>
      <c r="Z5030">
        <f>Z5029+IF(W5030="",0,IF(ISNA(MATCH(W5030,W$256:W5029,0)),1,0))</f>
        <v/>
      </c>
      <c r="AA5030">
        <f>IF(Z5030&gt;Z5029,Z5030,"")</f>
        <v/>
      </c>
      <c r="AB5030">
        <f>AB5029+IF(X5030="",0,IF(ISNA(MATCH(X5030,X$256:X5029,0)),1,0))</f>
        <v/>
      </c>
      <c r="AC5030">
        <f>IF(AB5030&gt;AB5029,AB5030,"")</f>
        <v/>
      </c>
    </row>
    <row r="5031">
      <c r="W5031" s="7" t="n"/>
      <c r="X5031" s="7" t="n"/>
      <c r="Z5031">
        <f>Z5030+IF(W5031="",0,IF(ISNA(MATCH(W5031,W$256:W5030,0)),1,0))</f>
        <v/>
      </c>
      <c r="AA5031">
        <f>IF(Z5031&gt;Z5030,Z5031,"")</f>
        <v/>
      </c>
      <c r="AB5031">
        <f>AB5030+IF(X5031="",0,IF(ISNA(MATCH(X5031,X$256:X5030,0)),1,0))</f>
        <v/>
      </c>
      <c r="AC5031">
        <f>IF(AB5031&gt;AB5030,AB5031,"")</f>
        <v/>
      </c>
    </row>
    <row r="5032">
      <c r="W5032" s="7" t="n"/>
      <c r="X5032" s="7" t="n"/>
      <c r="Z5032">
        <f>Z5031+IF(W5032="",0,IF(ISNA(MATCH(W5032,W$256:W5031,0)),1,0))</f>
        <v/>
      </c>
      <c r="AA5032">
        <f>IF(Z5032&gt;Z5031,Z5032,"")</f>
        <v/>
      </c>
      <c r="AB5032">
        <f>AB5031+IF(X5032="",0,IF(ISNA(MATCH(X5032,X$256:X5031,0)),1,0))</f>
        <v/>
      </c>
      <c r="AC5032">
        <f>IF(AB5032&gt;AB5031,AB5032,"")</f>
        <v/>
      </c>
    </row>
    <row r="5033">
      <c r="W5033" s="7" t="n"/>
      <c r="X5033" s="7" t="n"/>
      <c r="Z5033">
        <f>Z5032+IF(W5033="",0,IF(ISNA(MATCH(W5033,W$256:W5032,0)),1,0))</f>
        <v/>
      </c>
      <c r="AA5033">
        <f>IF(Z5033&gt;Z5032,Z5033,"")</f>
        <v/>
      </c>
      <c r="AB5033">
        <f>AB5032+IF(X5033="",0,IF(ISNA(MATCH(X5033,X$256:X5032,0)),1,0))</f>
        <v/>
      </c>
      <c r="AC5033">
        <f>IF(AB5033&gt;AB5032,AB5033,"")</f>
        <v/>
      </c>
    </row>
    <row r="5034">
      <c r="W5034" s="7" t="n"/>
      <c r="X5034" s="7" t="n"/>
      <c r="Z5034">
        <f>Z5033+IF(W5034="",0,IF(ISNA(MATCH(W5034,W$256:W5033,0)),1,0))</f>
        <v/>
      </c>
      <c r="AA5034">
        <f>IF(Z5034&gt;Z5033,Z5034,"")</f>
        <v/>
      </c>
      <c r="AB5034">
        <f>AB5033+IF(X5034="",0,IF(ISNA(MATCH(X5034,X$256:X5033,0)),1,0))</f>
        <v/>
      </c>
      <c r="AC5034">
        <f>IF(AB5034&gt;AB5033,AB5034,"")</f>
        <v/>
      </c>
    </row>
    <row r="5035">
      <c r="W5035" s="7" t="n"/>
      <c r="X5035" s="7" t="n"/>
      <c r="Z5035">
        <f>Z5034+IF(W5035="",0,IF(ISNA(MATCH(W5035,W$256:W5034,0)),1,0))</f>
        <v/>
      </c>
      <c r="AA5035">
        <f>IF(Z5035&gt;Z5034,Z5035,"")</f>
        <v/>
      </c>
      <c r="AB5035">
        <f>AB5034+IF(X5035="",0,IF(ISNA(MATCH(X5035,X$256:X5034,0)),1,0))</f>
        <v/>
      </c>
      <c r="AC5035">
        <f>IF(AB5035&gt;AB5034,AB5035,"")</f>
        <v/>
      </c>
    </row>
    <row r="5036">
      <c r="W5036" s="7" t="n"/>
      <c r="X5036" s="7" t="n"/>
      <c r="Z5036">
        <f>Z5035+IF(W5036="",0,IF(ISNA(MATCH(W5036,W$256:W5035,0)),1,0))</f>
        <v/>
      </c>
      <c r="AA5036">
        <f>IF(Z5036&gt;Z5035,Z5036,"")</f>
        <v/>
      </c>
      <c r="AB5036">
        <f>AB5035+IF(X5036="",0,IF(ISNA(MATCH(X5036,X$256:X5035,0)),1,0))</f>
        <v/>
      </c>
      <c r="AC5036">
        <f>IF(AB5036&gt;AB5035,AB5036,"")</f>
        <v/>
      </c>
    </row>
    <row r="5037">
      <c r="W5037" s="7" t="n"/>
      <c r="X5037" s="7" t="n"/>
      <c r="Z5037">
        <f>Z5036+IF(W5037="",0,IF(ISNA(MATCH(W5037,W$256:W5036,0)),1,0))</f>
        <v/>
      </c>
      <c r="AA5037">
        <f>IF(Z5037&gt;Z5036,Z5037,"")</f>
        <v/>
      </c>
      <c r="AB5037">
        <f>AB5036+IF(X5037="",0,IF(ISNA(MATCH(X5037,X$256:X5036,0)),1,0))</f>
        <v/>
      </c>
      <c r="AC5037">
        <f>IF(AB5037&gt;AB5036,AB5037,"")</f>
        <v/>
      </c>
    </row>
    <row r="5038">
      <c r="W5038" s="7" t="n"/>
      <c r="X5038" s="7" t="n"/>
      <c r="Z5038">
        <f>Z5037+IF(W5038="",0,IF(ISNA(MATCH(W5038,W$256:W5037,0)),1,0))</f>
        <v/>
      </c>
      <c r="AA5038">
        <f>IF(Z5038&gt;Z5037,Z5038,"")</f>
        <v/>
      </c>
      <c r="AB5038">
        <f>AB5037+IF(X5038="",0,IF(ISNA(MATCH(X5038,X$256:X5037,0)),1,0))</f>
        <v/>
      </c>
      <c r="AC5038">
        <f>IF(AB5038&gt;AB5037,AB5038,"")</f>
        <v/>
      </c>
    </row>
    <row r="5039">
      <c r="W5039" s="7" t="n"/>
      <c r="X5039" s="7" t="n"/>
      <c r="Z5039">
        <f>Z5038+IF(W5039="",0,IF(ISNA(MATCH(W5039,W$256:W5038,0)),1,0))</f>
        <v/>
      </c>
      <c r="AA5039">
        <f>IF(Z5039&gt;Z5038,Z5039,"")</f>
        <v/>
      </c>
      <c r="AB5039">
        <f>AB5038+IF(X5039="",0,IF(ISNA(MATCH(X5039,X$256:X5038,0)),1,0))</f>
        <v/>
      </c>
      <c r="AC5039">
        <f>IF(AB5039&gt;AB5038,AB5039,"")</f>
        <v/>
      </c>
    </row>
    <row r="5040">
      <c r="W5040" s="7" t="n"/>
      <c r="X5040" s="7" t="n"/>
      <c r="Z5040">
        <f>Z5039+IF(W5040="",0,IF(ISNA(MATCH(W5040,W$256:W5039,0)),1,0))</f>
        <v/>
      </c>
      <c r="AA5040">
        <f>IF(Z5040&gt;Z5039,Z5040,"")</f>
        <v/>
      </c>
      <c r="AB5040">
        <f>AB5039+IF(X5040="",0,IF(ISNA(MATCH(X5040,X$256:X5039,0)),1,0))</f>
        <v/>
      </c>
      <c r="AC5040">
        <f>IF(AB5040&gt;AB5039,AB5040,"")</f>
        <v/>
      </c>
    </row>
    <row r="5041">
      <c r="W5041" s="7" t="n"/>
      <c r="X5041" s="7" t="n"/>
      <c r="Z5041">
        <f>Z5040+IF(W5041="",0,IF(ISNA(MATCH(W5041,W$256:W5040,0)),1,0))</f>
        <v/>
      </c>
      <c r="AA5041">
        <f>IF(Z5041&gt;Z5040,Z5041,"")</f>
        <v/>
      </c>
      <c r="AB5041">
        <f>AB5040+IF(X5041="",0,IF(ISNA(MATCH(X5041,X$256:X5040,0)),1,0))</f>
        <v/>
      </c>
      <c r="AC5041">
        <f>IF(AB5041&gt;AB5040,AB5041,"")</f>
        <v/>
      </c>
    </row>
    <row r="5042">
      <c r="W5042" s="7" t="n"/>
      <c r="X5042" s="7" t="n"/>
      <c r="Z5042">
        <f>Z5041+IF(W5042="",0,IF(ISNA(MATCH(W5042,W$256:W5041,0)),1,0))</f>
        <v/>
      </c>
      <c r="AA5042">
        <f>IF(Z5042&gt;Z5041,Z5042,"")</f>
        <v/>
      </c>
      <c r="AB5042">
        <f>AB5041+IF(X5042="",0,IF(ISNA(MATCH(X5042,X$256:X5041,0)),1,0))</f>
        <v/>
      </c>
      <c r="AC5042">
        <f>IF(AB5042&gt;AB5041,AB5042,"")</f>
        <v/>
      </c>
    </row>
    <row r="5043">
      <c r="W5043" s="7" t="n"/>
      <c r="X5043" s="7" t="n"/>
      <c r="Z5043">
        <f>Z5042+IF(W5043="",0,IF(ISNA(MATCH(W5043,W$256:W5042,0)),1,0))</f>
        <v/>
      </c>
      <c r="AA5043">
        <f>IF(Z5043&gt;Z5042,Z5043,"")</f>
        <v/>
      </c>
      <c r="AB5043">
        <f>AB5042+IF(X5043="",0,IF(ISNA(MATCH(X5043,X$256:X5042,0)),1,0))</f>
        <v/>
      </c>
      <c r="AC5043">
        <f>IF(AB5043&gt;AB5042,AB5043,"")</f>
        <v/>
      </c>
    </row>
    <row r="5044">
      <c r="W5044" s="7" t="n"/>
      <c r="X5044" s="7" t="n"/>
      <c r="Z5044">
        <f>Z5043+IF(W5044="",0,IF(ISNA(MATCH(W5044,W$256:W5043,0)),1,0))</f>
        <v/>
      </c>
      <c r="AA5044">
        <f>IF(Z5044&gt;Z5043,Z5044,"")</f>
        <v/>
      </c>
      <c r="AB5044">
        <f>AB5043+IF(X5044="",0,IF(ISNA(MATCH(X5044,X$256:X5043,0)),1,0))</f>
        <v/>
      </c>
      <c r="AC5044">
        <f>IF(AB5044&gt;AB5043,AB5044,"")</f>
        <v/>
      </c>
    </row>
    <row r="5045">
      <c r="W5045" s="7" t="n"/>
      <c r="X5045" s="7" t="n"/>
      <c r="Z5045">
        <f>Z5044+IF(W5045="",0,IF(ISNA(MATCH(W5045,W$256:W5044,0)),1,0))</f>
        <v/>
      </c>
      <c r="AA5045">
        <f>IF(Z5045&gt;Z5044,Z5045,"")</f>
        <v/>
      </c>
      <c r="AB5045">
        <f>AB5044+IF(X5045="",0,IF(ISNA(MATCH(X5045,X$256:X5044,0)),1,0))</f>
        <v/>
      </c>
      <c r="AC5045">
        <f>IF(AB5045&gt;AB5044,AB5045,"")</f>
        <v/>
      </c>
    </row>
    <row r="5046">
      <c r="W5046" s="7" t="n"/>
      <c r="X5046" s="7" t="n"/>
      <c r="Z5046">
        <f>Z5045+IF(W5046="",0,IF(ISNA(MATCH(W5046,W$256:W5045,0)),1,0))</f>
        <v/>
      </c>
      <c r="AA5046">
        <f>IF(Z5046&gt;Z5045,Z5046,"")</f>
        <v/>
      </c>
      <c r="AB5046">
        <f>AB5045+IF(X5046="",0,IF(ISNA(MATCH(X5046,X$256:X5045,0)),1,0))</f>
        <v/>
      </c>
      <c r="AC5046">
        <f>IF(AB5046&gt;AB5045,AB5046,"")</f>
        <v/>
      </c>
    </row>
    <row r="5047">
      <c r="W5047" s="7" t="n"/>
      <c r="X5047" s="7" t="n"/>
      <c r="Z5047">
        <f>Z5046+IF(W5047="",0,IF(ISNA(MATCH(W5047,W$256:W5046,0)),1,0))</f>
        <v/>
      </c>
      <c r="AA5047">
        <f>IF(Z5047&gt;Z5046,Z5047,"")</f>
        <v/>
      </c>
      <c r="AB5047">
        <f>AB5046+IF(X5047="",0,IF(ISNA(MATCH(X5047,X$256:X5046,0)),1,0))</f>
        <v/>
      </c>
      <c r="AC5047">
        <f>IF(AB5047&gt;AB5046,AB5047,"")</f>
        <v/>
      </c>
    </row>
    <row r="5048">
      <c r="W5048" s="7" t="n"/>
      <c r="X5048" s="7" t="n"/>
      <c r="Z5048">
        <f>Z5047+IF(W5048="",0,IF(ISNA(MATCH(W5048,W$256:W5047,0)),1,0))</f>
        <v/>
      </c>
      <c r="AA5048">
        <f>IF(Z5048&gt;Z5047,Z5048,"")</f>
        <v/>
      </c>
      <c r="AB5048">
        <f>AB5047+IF(X5048="",0,IF(ISNA(MATCH(X5048,X$256:X5047,0)),1,0))</f>
        <v/>
      </c>
      <c r="AC5048">
        <f>IF(AB5048&gt;AB5047,AB5048,"")</f>
        <v/>
      </c>
    </row>
    <row r="5049">
      <c r="W5049" s="7" t="n"/>
      <c r="X5049" s="7" t="n"/>
      <c r="Z5049">
        <f>Z5048+IF(W5049="",0,IF(ISNA(MATCH(W5049,W$256:W5048,0)),1,0))</f>
        <v/>
      </c>
      <c r="AA5049">
        <f>IF(Z5049&gt;Z5048,Z5049,"")</f>
        <v/>
      </c>
      <c r="AB5049">
        <f>AB5048+IF(X5049="",0,IF(ISNA(MATCH(X5049,X$256:X5048,0)),1,0))</f>
        <v/>
      </c>
      <c r="AC5049">
        <f>IF(AB5049&gt;AB5048,AB5049,"")</f>
        <v/>
      </c>
    </row>
    <row r="5050">
      <c r="W5050" s="7" t="n"/>
      <c r="X5050" s="7" t="n"/>
      <c r="Z5050">
        <f>Z5049+IF(W5050="",0,IF(ISNA(MATCH(W5050,W$256:W5049,0)),1,0))</f>
        <v/>
      </c>
      <c r="AA5050">
        <f>IF(Z5050&gt;Z5049,Z5050,"")</f>
        <v/>
      </c>
      <c r="AB5050">
        <f>AB5049+IF(X5050="",0,IF(ISNA(MATCH(X5050,X$256:X5049,0)),1,0))</f>
        <v/>
      </c>
      <c r="AC5050">
        <f>IF(AB5050&gt;AB5049,AB5050,"")</f>
        <v/>
      </c>
    </row>
    <row r="5051">
      <c r="W5051" s="7" t="n"/>
      <c r="X5051" s="7" t="n"/>
      <c r="Z5051">
        <f>Z5050+IF(W5051="",0,IF(ISNA(MATCH(W5051,W$256:W5050,0)),1,0))</f>
        <v/>
      </c>
      <c r="AA5051">
        <f>IF(Z5051&gt;Z5050,Z5051,"")</f>
        <v/>
      </c>
      <c r="AB5051">
        <f>AB5050+IF(X5051="",0,IF(ISNA(MATCH(X5051,X$256:X5050,0)),1,0))</f>
        <v/>
      </c>
      <c r="AC5051">
        <f>IF(AB5051&gt;AB5050,AB5051,"")</f>
        <v/>
      </c>
    </row>
    <row r="5052">
      <c r="W5052" s="7" t="n"/>
      <c r="X5052" s="7" t="n"/>
      <c r="Z5052">
        <f>Z5051+IF(W5052="",0,IF(ISNA(MATCH(W5052,W$256:W5051,0)),1,0))</f>
        <v/>
      </c>
      <c r="AA5052">
        <f>IF(Z5052&gt;Z5051,Z5052,"")</f>
        <v/>
      </c>
      <c r="AB5052">
        <f>AB5051+IF(X5052="",0,IF(ISNA(MATCH(X5052,X$256:X5051,0)),1,0))</f>
        <v/>
      </c>
      <c r="AC5052">
        <f>IF(AB5052&gt;AB5051,AB5052,"")</f>
        <v/>
      </c>
    </row>
    <row r="5053">
      <c r="W5053" s="7" t="n"/>
      <c r="X5053" s="7" t="n"/>
      <c r="Z5053">
        <f>Z5052+IF(W5053="",0,IF(ISNA(MATCH(W5053,W$256:W5052,0)),1,0))</f>
        <v/>
      </c>
      <c r="AA5053">
        <f>IF(Z5053&gt;Z5052,Z5053,"")</f>
        <v/>
      </c>
      <c r="AB5053">
        <f>AB5052+IF(X5053="",0,IF(ISNA(MATCH(X5053,X$256:X5052,0)),1,0))</f>
        <v/>
      </c>
      <c r="AC5053">
        <f>IF(AB5053&gt;AB5052,AB5053,"")</f>
        <v/>
      </c>
    </row>
    <row r="5054">
      <c r="W5054" s="7" t="n"/>
      <c r="X5054" s="7" t="n"/>
      <c r="Z5054">
        <f>Z5053+IF(W5054="",0,IF(ISNA(MATCH(W5054,W$256:W5053,0)),1,0))</f>
        <v/>
      </c>
      <c r="AA5054">
        <f>IF(Z5054&gt;Z5053,Z5054,"")</f>
        <v/>
      </c>
      <c r="AB5054">
        <f>AB5053+IF(X5054="",0,IF(ISNA(MATCH(X5054,X$256:X5053,0)),1,0))</f>
        <v/>
      </c>
      <c r="AC5054">
        <f>IF(AB5054&gt;AB5053,AB5054,"")</f>
        <v/>
      </c>
    </row>
    <row r="5055">
      <c r="W5055" s="7" t="n"/>
      <c r="X5055" s="7" t="n"/>
      <c r="Z5055">
        <f>Z5054+IF(W5055="",0,IF(ISNA(MATCH(W5055,W$256:W5054,0)),1,0))</f>
        <v/>
      </c>
      <c r="AA5055">
        <f>IF(Z5055&gt;Z5054,Z5055,"")</f>
        <v/>
      </c>
      <c r="AB5055">
        <f>AB5054+IF(X5055="",0,IF(ISNA(MATCH(X5055,X$256:X5054,0)),1,0))</f>
        <v/>
      </c>
      <c r="AC5055">
        <f>IF(AB5055&gt;AB5054,AB5055,"")</f>
        <v/>
      </c>
    </row>
    <row r="5056">
      <c r="W5056" s="7" t="n"/>
      <c r="X5056" s="7" t="n"/>
      <c r="Z5056">
        <f>Z5055+IF(W5056="",0,IF(ISNA(MATCH(W5056,W$256:W5055,0)),1,0))</f>
        <v/>
      </c>
      <c r="AA5056">
        <f>IF(Z5056&gt;Z5055,Z5056,"")</f>
        <v/>
      </c>
      <c r="AB5056">
        <f>AB5055+IF(X5056="",0,IF(ISNA(MATCH(X5056,X$256:X5055,0)),1,0))</f>
        <v/>
      </c>
      <c r="AC5056">
        <f>IF(AB5056&gt;AB5055,AB5056,"")</f>
        <v/>
      </c>
    </row>
    <row r="5057">
      <c r="W5057" s="7" t="n"/>
      <c r="X5057" s="7" t="n"/>
      <c r="Z5057">
        <f>Z5056+IF(W5057="",0,IF(ISNA(MATCH(W5057,W$256:W5056,0)),1,0))</f>
        <v/>
      </c>
      <c r="AA5057">
        <f>IF(Z5057&gt;Z5056,Z5057,"")</f>
        <v/>
      </c>
      <c r="AB5057">
        <f>AB5056+IF(X5057="",0,IF(ISNA(MATCH(X5057,X$256:X5056,0)),1,0))</f>
        <v/>
      </c>
      <c r="AC5057">
        <f>IF(AB5057&gt;AB5056,AB5057,"")</f>
        <v/>
      </c>
    </row>
    <row r="5058">
      <c r="W5058" s="7" t="n"/>
      <c r="X5058" s="7" t="n"/>
      <c r="Z5058">
        <f>Z5057+IF(W5058="",0,IF(ISNA(MATCH(W5058,W$256:W5057,0)),1,0))</f>
        <v/>
      </c>
      <c r="AA5058">
        <f>IF(Z5058&gt;Z5057,Z5058,"")</f>
        <v/>
      </c>
      <c r="AB5058">
        <f>AB5057+IF(X5058="",0,IF(ISNA(MATCH(X5058,X$256:X5057,0)),1,0))</f>
        <v/>
      </c>
      <c r="AC5058">
        <f>IF(AB5058&gt;AB5057,AB5058,"")</f>
        <v/>
      </c>
    </row>
    <row r="5059">
      <c r="W5059" s="7" t="n"/>
      <c r="X5059" s="7" t="n"/>
      <c r="Z5059">
        <f>Z5058+IF(W5059="",0,IF(ISNA(MATCH(W5059,W$256:W5058,0)),1,0))</f>
        <v/>
      </c>
      <c r="AA5059">
        <f>IF(Z5059&gt;Z5058,Z5059,"")</f>
        <v/>
      </c>
      <c r="AB5059">
        <f>AB5058+IF(X5059="",0,IF(ISNA(MATCH(X5059,X$256:X5058,0)),1,0))</f>
        <v/>
      </c>
      <c r="AC5059">
        <f>IF(AB5059&gt;AB5058,AB5059,"")</f>
        <v/>
      </c>
    </row>
    <row r="5060">
      <c r="W5060" s="7" t="n"/>
      <c r="X5060" s="7" t="n"/>
      <c r="Z5060">
        <f>Z5059+IF(W5060="",0,IF(ISNA(MATCH(W5060,W$256:W5059,0)),1,0))</f>
        <v/>
      </c>
      <c r="AA5060">
        <f>IF(Z5060&gt;Z5059,Z5060,"")</f>
        <v/>
      </c>
      <c r="AB5060">
        <f>AB5059+IF(X5060="",0,IF(ISNA(MATCH(X5060,X$256:X5059,0)),1,0))</f>
        <v/>
      </c>
      <c r="AC5060">
        <f>IF(AB5060&gt;AB5059,AB5060,"")</f>
        <v/>
      </c>
    </row>
    <row r="5061">
      <c r="W5061" s="7" t="n"/>
      <c r="X5061" s="7" t="n"/>
      <c r="Z5061">
        <f>Z5060+IF(W5061="",0,IF(ISNA(MATCH(W5061,W$256:W5060,0)),1,0))</f>
        <v/>
      </c>
      <c r="AA5061">
        <f>IF(Z5061&gt;Z5060,Z5061,"")</f>
        <v/>
      </c>
      <c r="AB5061">
        <f>AB5060+IF(X5061="",0,IF(ISNA(MATCH(X5061,X$256:X5060,0)),1,0))</f>
        <v/>
      </c>
      <c r="AC5061">
        <f>IF(AB5061&gt;AB5060,AB5061,"")</f>
        <v/>
      </c>
    </row>
    <row r="5062">
      <c r="W5062" s="7" t="n"/>
      <c r="X5062" s="7" t="n"/>
      <c r="Z5062">
        <f>Z5061+IF(W5062="",0,IF(ISNA(MATCH(W5062,W$256:W5061,0)),1,0))</f>
        <v/>
      </c>
      <c r="AA5062">
        <f>IF(Z5062&gt;Z5061,Z5062,"")</f>
        <v/>
      </c>
      <c r="AB5062">
        <f>AB5061+IF(X5062="",0,IF(ISNA(MATCH(X5062,X$256:X5061,0)),1,0))</f>
        <v/>
      </c>
      <c r="AC5062">
        <f>IF(AB5062&gt;AB5061,AB5062,"")</f>
        <v/>
      </c>
    </row>
    <row r="5063">
      <c r="W5063" s="7" t="n"/>
      <c r="X5063" s="7" t="n"/>
      <c r="Z5063">
        <f>Z5062+IF(W5063="",0,IF(ISNA(MATCH(W5063,W$256:W5062,0)),1,0))</f>
        <v/>
      </c>
      <c r="AA5063">
        <f>IF(Z5063&gt;Z5062,Z5063,"")</f>
        <v/>
      </c>
      <c r="AB5063">
        <f>AB5062+IF(X5063="",0,IF(ISNA(MATCH(X5063,X$256:X5062,0)),1,0))</f>
        <v/>
      </c>
      <c r="AC5063">
        <f>IF(AB5063&gt;AB5062,AB5063,"")</f>
        <v/>
      </c>
    </row>
    <row r="5064">
      <c r="W5064" s="7" t="n"/>
      <c r="X5064" s="7" t="n"/>
      <c r="Z5064">
        <f>Z5063+IF(W5064="",0,IF(ISNA(MATCH(W5064,W$256:W5063,0)),1,0))</f>
        <v/>
      </c>
      <c r="AA5064">
        <f>IF(Z5064&gt;Z5063,Z5064,"")</f>
        <v/>
      </c>
      <c r="AB5064">
        <f>AB5063+IF(X5064="",0,IF(ISNA(MATCH(X5064,X$256:X5063,0)),1,0))</f>
        <v/>
      </c>
      <c r="AC5064">
        <f>IF(AB5064&gt;AB5063,AB5064,"")</f>
        <v/>
      </c>
    </row>
    <row r="5065">
      <c r="W5065" s="7" t="n"/>
      <c r="X5065" s="7" t="n"/>
      <c r="Z5065">
        <f>Z5064+IF(W5065="",0,IF(ISNA(MATCH(W5065,W$256:W5064,0)),1,0))</f>
        <v/>
      </c>
      <c r="AA5065">
        <f>IF(Z5065&gt;Z5064,Z5065,"")</f>
        <v/>
      </c>
      <c r="AB5065">
        <f>AB5064+IF(X5065="",0,IF(ISNA(MATCH(X5065,X$256:X5064,0)),1,0))</f>
        <v/>
      </c>
      <c r="AC5065">
        <f>IF(AB5065&gt;AB5064,AB5065,"")</f>
        <v/>
      </c>
    </row>
    <row r="5066">
      <c r="W5066" s="7" t="n"/>
      <c r="X5066" s="7" t="n"/>
      <c r="Z5066">
        <f>Z5065+IF(W5066="",0,IF(ISNA(MATCH(W5066,W$256:W5065,0)),1,0))</f>
        <v/>
      </c>
      <c r="AA5066">
        <f>IF(Z5066&gt;Z5065,Z5066,"")</f>
        <v/>
      </c>
      <c r="AB5066">
        <f>AB5065+IF(X5066="",0,IF(ISNA(MATCH(X5066,X$256:X5065,0)),1,0))</f>
        <v/>
      </c>
      <c r="AC5066">
        <f>IF(AB5066&gt;AB5065,AB5066,"")</f>
        <v/>
      </c>
    </row>
    <row r="5067">
      <c r="W5067" s="7" t="n"/>
      <c r="X5067" s="7" t="n"/>
      <c r="Z5067">
        <f>Z5066+IF(W5067="",0,IF(ISNA(MATCH(W5067,W$256:W5066,0)),1,0))</f>
        <v/>
      </c>
      <c r="AA5067">
        <f>IF(Z5067&gt;Z5066,Z5067,"")</f>
        <v/>
      </c>
      <c r="AB5067">
        <f>AB5066+IF(X5067="",0,IF(ISNA(MATCH(X5067,X$256:X5066,0)),1,0))</f>
        <v/>
      </c>
      <c r="AC5067">
        <f>IF(AB5067&gt;AB5066,AB5067,"")</f>
        <v/>
      </c>
    </row>
    <row r="5068">
      <c r="W5068" s="7" t="n"/>
      <c r="X5068" s="7" t="n"/>
      <c r="Z5068">
        <f>Z5067+IF(W5068="",0,IF(ISNA(MATCH(W5068,W$256:W5067,0)),1,0))</f>
        <v/>
      </c>
      <c r="AA5068">
        <f>IF(Z5068&gt;Z5067,Z5068,"")</f>
        <v/>
      </c>
      <c r="AB5068">
        <f>AB5067+IF(X5068="",0,IF(ISNA(MATCH(X5068,X$256:X5067,0)),1,0))</f>
        <v/>
      </c>
      <c r="AC5068">
        <f>IF(AB5068&gt;AB5067,AB5068,"")</f>
        <v/>
      </c>
    </row>
    <row r="5069">
      <c r="W5069" s="7" t="n"/>
      <c r="X5069" s="7" t="n"/>
      <c r="Z5069">
        <f>Z5068+IF(W5069="",0,IF(ISNA(MATCH(W5069,W$256:W5068,0)),1,0))</f>
        <v/>
      </c>
      <c r="AA5069">
        <f>IF(Z5069&gt;Z5068,Z5069,"")</f>
        <v/>
      </c>
      <c r="AB5069">
        <f>AB5068+IF(X5069="",0,IF(ISNA(MATCH(X5069,X$256:X5068,0)),1,0))</f>
        <v/>
      </c>
      <c r="AC5069">
        <f>IF(AB5069&gt;AB5068,AB5069,"")</f>
        <v/>
      </c>
    </row>
    <row r="5070">
      <c r="W5070" s="7" t="n"/>
      <c r="X5070" s="7" t="n"/>
      <c r="Z5070">
        <f>Z5069+IF(W5070="",0,IF(ISNA(MATCH(W5070,W$256:W5069,0)),1,0))</f>
        <v/>
      </c>
      <c r="AA5070">
        <f>IF(Z5070&gt;Z5069,Z5070,"")</f>
        <v/>
      </c>
      <c r="AB5070">
        <f>AB5069+IF(X5070="",0,IF(ISNA(MATCH(X5070,X$256:X5069,0)),1,0))</f>
        <v/>
      </c>
      <c r="AC5070">
        <f>IF(AB5070&gt;AB5069,AB5070,"")</f>
        <v/>
      </c>
    </row>
    <row r="5071">
      <c r="W5071" s="7" t="n"/>
      <c r="X5071" s="7" t="n"/>
      <c r="Z5071">
        <f>Z5070+IF(W5071="",0,IF(ISNA(MATCH(W5071,W$256:W5070,0)),1,0))</f>
        <v/>
      </c>
      <c r="AA5071">
        <f>IF(Z5071&gt;Z5070,Z5071,"")</f>
        <v/>
      </c>
      <c r="AB5071">
        <f>AB5070+IF(X5071="",0,IF(ISNA(MATCH(X5071,X$256:X5070,0)),1,0))</f>
        <v/>
      </c>
      <c r="AC5071">
        <f>IF(AB5071&gt;AB5070,AB5071,"")</f>
        <v/>
      </c>
    </row>
    <row r="5072">
      <c r="W5072" s="7" t="n"/>
      <c r="X5072" s="7" t="n"/>
      <c r="Z5072">
        <f>Z5071+IF(W5072="",0,IF(ISNA(MATCH(W5072,W$256:W5071,0)),1,0))</f>
        <v/>
      </c>
      <c r="AA5072">
        <f>IF(Z5072&gt;Z5071,Z5072,"")</f>
        <v/>
      </c>
      <c r="AB5072">
        <f>AB5071+IF(X5072="",0,IF(ISNA(MATCH(X5072,X$256:X5071,0)),1,0))</f>
        <v/>
      </c>
      <c r="AC5072">
        <f>IF(AB5072&gt;AB5071,AB5072,"")</f>
        <v/>
      </c>
    </row>
    <row r="5073">
      <c r="W5073" s="7" t="n"/>
      <c r="X5073" s="7" t="n"/>
      <c r="Z5073">
        <f>Z5072+IF(W5073="",0,IF(ISNA(MATCH(W5073,W$256:W5072,0)),1,0))</f>
        <v/>
      </c>
      <c r="AA5073">
        <f>IF(Z5073&gt;Z5072,Z5073,"")</f>
        <v/>
      </c>
      <c r="AB5073">
        <f>AB5072+IF(X5073="",0,IF(ISNA(MATCH(X5073,X$256:X5072,0)),1,0))</f>
        <v/>
      </c>
      <c r="AC5073">
        <f>IF(AB5073&gt;AB5072,AB5073,"")</f>
        <v/>
      </c>
    </row>
    <row r="5074">
      <c r="W5074" s="7" t="n"/>
      <c r="X5074" s="7" t="n"/>
      <c r="Z5074">
        <f>Z5073+IF(W5074="",0,IF(ISNA(MATCH(W5074,W$256:W5073,0)),1,0))</f>
        <v/>
      </c>
      <c r="AA5074">
        <f>IF(Z5074&gt;Z5073,Z5074,"")</f>
        <v/>
      </c>
      <c r="AB5074">
        <f>AB5073+IF(X5074="",0,IF(ISNA(MATCH(X5074,X$256:X5073,0)),1,0))</f>
        <v/>
      </c>
      <c r="AC5074">
        <f>IF(AB5074&gt;AB5073,AB5074,"")</f>
        <v/>
      </c>
    </row>
    <row r="5075">
      <c r="W5075" s="7" t="n"/>
      <c r="X5075" s="7" t="n"/>
      <c r="Z5075">
        <f>Z5074+IF(W5075="",0,IF(ISNA(MATCH(W5075,W$256:W5074,0)),1,0))</f>
        <v/>
      </c>
      <c r="AA5075">
        <f>IF(Z5075&gt;Z5074,Z5075,"")</f>
        <v/>
      </c>
      <c r="AB5075">
        <f>AB5074+IF(X5075="",0,IF(ISNA(MATCH(X5075,X$256:X5074,0)),1,0))</f>
        <v/>
      </c>
      <c r="AC5075">
        <f>IF(AB5075&gt;AB5074,AB5075,"")</f>
        <v/>
      </c>
    </row>
    <row r="5076">
      <c r="W5076" s="7" t="n"/>
      <c r="X5076" s="7" t="n"/>
      <c r="Z5076">
        <f>Z5075+IF(W5076="",0,IF(ISNA(MATCH(W5076,W$256:W5075,0)),1,0))</f>
        <v/>
      </c>
      <c r="AA5076">
        <f>IF(Z5076&gt;Z5075,Z5076,"")</f>
        <v/>
      </c>
      <c r="AB5076">
        <f>AB5075+IF(X5076="",0,IF(ISNA(MATCH(X5076,X$256:X5075,0)),1,0))</f>
        <v/>
      </c>
      <c r="AC5076">
        <f>IF(AB5076&gt;AB5075,AB5076,"")</f>
        <v/>
      </c>
    </row>
    <row r="5077">
      <c r="W5077" s="7" t="n"/>
      <c r="X5077" s="7" t="n"/>
      <c r="Z5077">
        <f>Z5076+IF(W5077="",0,IF(ISNA(MATCH(W5077,W$256:W5076,0)),1,0))</f>
        <v/>
      </c>
      <c r="AA5077">
        <f>IF(Z5077&gt;Z5076,Z5077,"")</f>
        <v/>
      </c>
      <c r="AB5077">
        <f>AB5076+IF(X5077="",0,IF(ISNA(MATCH(X5077,X$256:X5076,0)),1,0))</f>
        <v/>
      </c>
      <c r="AC5077">
        <f>IF(AB5077&gt;AB5076,AB5077,"")</f>
        <v/>
      </c>
    </row>
    <row r="5078">
      <c r="W5078" s="7" t="n"/>
      <c r="X5078" s="7" t="n"/>
      <c r="Z5078">
        <f>Z5077+IF(W5078="",0,IF(ISNA(MATCH(W5078,W$256:W5077,0)),1,0))</f>
        <v/>
      </c>
      <c r="AA5078">
        <f>IF(Z5078&gt;Z5077,Z5078,"")</f>
        <v/>
      </c>
      <c r="AB5078">
        <f>AB5077+IF(X5078="",0,IF(ISNA(MATCH(X5078,X$256:X5077,0)),1,0))</f>
        <v/>
      </c>
      <c r="AC5078">
        <f>IF(AB5078&gt;AB5077,AB5078,"")</f>
        <v/>
      </c>
    </row>
    <row r="5079">
      <c r="W5079" s="7" t="n"/>
      <c r="X5079" s="7" t="n"/>
      <c r="Z5079">
        <f>Z5078+IF(W5079="",0,IF(ISNA(MATCH(W5079,W$256:W5078,0)),1,0))</f>
        <v/>
      </c>
      <c r="AA5079">
        <f>IF(Z5079&gt;Z5078,Z5079,"")</f>
        <v/>
      </c>
      <c r="AB5079">
        <f>AB5078+IF(X5079="",0,IF(ISNA(MATCH(X5079,X$256:X5078,0)),1,0))</f>
        <v/>
      </c>
      <c r="AC5079">
        <f>IF(AB5079&gt;AB5078,AB5079,"")</f>
        <v/>
      </c>
    </row>
    <row r="5080">
      <c r="W5080" s="7" t="n"/>
      <c r="X5080" s="7" t="n"/>
      <c r="Z5080">
        <f>Z5079+IF(W5080="",0,IF(ISNA(MATCH(W5080,W$256:W5079,0)),1,0))</f>
        <v/>
      </c>
      <c r="AA5080">
        <f>IF(Z5080&gt;Z5079,Z5080,"")</f>
        <v/>
      </c>
      <c r="AB5080">
        <f>AB5079+IF(X5080="",0,IF(ISNA(MATCH(X5080,X$256:X5079,0)),1,0))</f>
        <v/>
      </c>
      <c r="AC5080">
        <f>IF(AB5080&gt;AB5079,AB5080,"")</f>
        <v/>
      </c>
    </row>
    <row r="5081">
      <c r="W5081" s="7" t="n"/>
      <c r="X5081" s="7" t="n"/>
      <c r="Z5081">
        <f>Z5080+IF(W5081="",0,IF(ISNA(MATCH(W5081,W$256:W5080,0)),1,0))</f>
        <v/>
      </c>
      <c r="AA5081">
        <f>IF(Z5081&gt;Z5080,Z5081,"")</f>
        <v/>
      </c>
      <c r="AB5081">
        <f>AB5080+IF(X5081="",0,IF(ISNA(MATCH(X5081,X$256:X5080,0)),1,0))</f>
        <v/>
      </c>
      <c r="AC5081">
        <f>IF(AB5081&gt;AB5080,AB5081,"")</f>
        <v/>
      </c>
    </row>
    <row r="5082">
      <c r="W5082" s="7" t="n"/>
      <c r="X5082" s="7" t="n"/>
      <c r="Z5082">
        <f>Z5081+IF(W5082="",0,IF(ISNA(MATCH(W5082,W$256:W5081,0)),1,0))</f>
        <v/>
      </c>
      <c r="AA5082">
        <f>IF(Z5082&gt;Z5081,Z5082,"")</f>
        <v/>
      </c>
      <c r="AB5082">
        <f>AB5081+IF(X5082="",0,IF(ISNA(MATCH(X5082,X$256:X5081,0)),1,0))</f>
        <v/>
      </c>
      <c r="AC5082">
        <f>IF(AB5082&gt;AB5081,AB5082,"")</f>
        <v/>
      </c>
    </row>
    <row r="5083">
      <c r="W5083" s="7" t="n"/>
      <c r="X5083" s="7" t="n"/>
      <c r="Z5083">
        <f>Z5082+IF(W5083="",0,IF(ISNA(MATCH(W5083,W$256:W5082,0)),1,0))</f>
        <v/>
      </c>
      <c r="AA5083">
        <f>IF(Z5083&gt;Z5082,Z5083,"")</f>
        <v/>
      </c>
      <c r="AB5083">
        <f>AB5082+IF(X5083="",0,IF(ISNA(MATCH(X5083,X$256:X5082,0)),1,0))</f>
        <v/>
      </c>
      <c r="AC5083">
        <f>IF(AB5083&gt;AB5082,AB5083,"")</f>
        <v/>
      </c>
    </row>
    <row r="5084">
      <c r="W5084" s="7" t="n"/>
      <c r="X5084" s="7" t="n"/>
      <c r="Z5084">
        <f>Z5083+IF(W5084="",0,IF(ISNA(MATCH(W5084,W$256:W5083,0)),1,0))</f>
        <v/>
      </c>
      <c r="AA5084">
        <f>IF(Z5084&gt;Z5083,Z5084,"")</f>
        <v/>
      </c>
      <c r="AB5084">
        <f>AB5083+IF(X5084="",0,IF(ISNA(MATCH(X5084,X$256:X5083,0)),1,0))</f>
        <v/>
      </c>
      <c r="AC5084">
        <f>IF(AB5084&gt;AB5083,AB5084,"")</f>
        <v/>
      </c>
    </row>
    <row r="5085">
      <c r="W5085" s="7" t="n"/>
      <c r="X5085" s="7" t="n"/>
      <c r="Z5085">
        <f>Z5084+IF(W5085="",0,IF(ISNA(MATCH(W5085,W$256:W5084,0)),1,0))</f>
        <v/>
      </c>
      <c r="AA5085">
        <f>IF(Z5085&gt;Z5084,Z5085,"")</f>
        <v/>
      </c>
      <c r="AB5085">
        <f>AB5084+IF(X5085="",0,IF(ISNA(MATCH(X5085,X$256:X5084,0)),1,0))</f>
        <v/>
      </c>
      <c r="AC5085">
        <f>IF(AB5085&gt;AB5084,AB5085,"")</f>
        <v/>
      </c>
    </row>
    <row r="5086">
      <c r="W5086" s="7" t="n"/>
      <c r="X5086" s="7" t="n"/>
      <c r="Z5086">
        <f>Z5085+IF(W5086="",0,IF(ISNA(MATCH(W5086,W$256:W5085,0)),1,0))</f>
        <v/>
      </c>
      <c r="AA5086">
        <f>IF(Z5086&gt;Z5085,Z5086,"")</f>
        <v/>
      </c>
      <c r="AB5086">
        <f>AB5085+IF(X5086="",0,IF(ISNA(MATCH(X5086,X$256:X5085,0)),1,0))</f>
        <v/>
      </c>
      <c r="AC5086">
        <f>IF(AB5086&gt;AB5085,AB5086,"")</f>
        <v/>
      </c>
    </row>
    <row r="5087">
      <c r="W5087" s="7" t="n"/>
      <c r="X5087" s="7" t="n"/>
      <c r="Z5087">
        <f>Z5086+IF(W5087="",0,IF(ISNA(MATCH(W5087,W$256:W5086,0)),1,0))</f>
        <v/>
      </c>
      <c r="AA5087">
        <f>IF(Z5087&gt;Z5086,Z5087,"")</f>
        <v/>
      </c>
      <c r="AB5087">
        <f>AB5086+IF(X5087="",0,IF(ISNA(MATCH(X5087,X$256:X5086,0)),1,0))</f>
        <v/>
      </c>
      <c r="AC5087">
        <f>IF(AB5087&gt;AB5086,AB5087,"")</f>
        <v/>
      </c>
    </row>
    <row r="5088">
      <c r="W5088" s="7" t="n"/>
      <c r="X5088" s="7" t="n"/>
      <c r="Z5088">
        <f>Z5087+IF(W5088="",0,IF(ISNA(MATCH(W5088,W$256:W5087,0)),1,0))</f>
        <v/>
      </c>
      <c r="AA5088">
        <f>IF(Z5088&gt;Z5087,Z5088,"")</f>
        <v/>
      </c>
      <c r="AB5088">
        <f>AB5087+IF(X5088="",0,IF(ISNA(MATCH(X5088,X$256:X5087,0)),1,0))</f>
        <v/>
      </c>
      <c r="AC5088">
        <f>IF(AB5088&gt;AB5087,AB5088,"")</f>
        <v/>
      </c>
    </row>
    <row r="5089">
      <c r="W5089" s="7" t="n"/>
      <c r="X5089" s="7" t="n"/>
      <c r="Z5089">
        <f>Z5088+IF(W5089="",0,IF(ISNA(MATCH(W5089,W$256:W5088,0)),1,0))</f>
        <v/>
      </c>
      <c r="AA5089">
        <f>IF(Z5089&gt;Z5088,Z5089,"")</f>
        <v/>
      </c>
      <c r="AB5089">
        <f>AB5088+IF(X5089="",0,IF(ISNA(MATCH(X5089,X$256:X5088,0)),1,0))</f>
        <v/>
      </c>
      <c r="AC5089">
        <f>IF(AB5089&gt;AB5088,AB5089,"")</f>
        <v/>
      </c>
    </row>
    <row r="5090">
      <c r="W5090" s="7" t="n"/>
      <c r="X5090" s="7" t="n"/>
      <c r="Z5090">
        <f>Z5089+IF(W5090="",0,IF(ISNA(MATCH(W5090,W$256:W5089,0)),1,0))</f>
        <v/>
      </c>
      <c r="AA5090">
        <f>IF(Z5090&gt;Z5089,Z5090,"")</f>
        <v/>
      </c>
      <c r="AB5090">
        <f>AB5089+IF(X5090="",0,IF(ISNA(MATCH(X5090,X$256:X5089,0)),1,0))</f>
        <v/>
      </c>
      <c r="AC5090">
        <f>IF(AB5090&gt;AB5089,AB5090,"")</f>
        <v/>
      </c>
    </row>
    <row r="5091">
      <c r="W5091" s="7" t="n"/>
      <c r="X5091" s="7" t="n"/>
      <c r="Z5091">
        <f>Z5090+IF(W5091="",0,IF(ISNA(MATCH(W5091,W$256:W5090,0)),1,0))</f>
        <v/>
      </c>
      <c r="AA5091">
        <f>IF(Z5091&gt;Z5090,Z5091,"")</f>
        <v/>
      </c>
      <c r="AB5091">
        <f>AB5090+IF(X5091="",0,IF(ISNA(MATCH(X5091,X$256:X5090,0)),1,0))</f>
        <v/>
      </c>
      <c r="AC5091">
        <f>IF(AB5091&gt;AB5090,AB5091,"")</f>
        <v/>
      </c>
    </row>
    <row r="5092">
      <c r="W5092" s="7" t="n"/>
      <c r="X5092" s="7" t="n"/>
      <c r="Z5092">
        <f>Z5091+IF(W5092="",0,IF(ISNA(MATCH(W5092,W$256:W5091,0)),1,0))</f>
        <v/>
      </c>
      <c r="AA5092">
        <f>IF(Z5092&gt;Z5091,Z5092,"")</f>
        <v/>
      </c>
      <c r="AB5092">
        <f>AB5091+IF(X5092="",0,IF(ISNA(MATCH(X5092,X$256:X5091,0)),1,0))</f>
        <v/>
      </c>
      <c r="AC5092">
        <f>IF(AB5092&gt;AB5091,AB5092,"")</f>
        <v/>
      </c>
    </row>
    <row r="5093">
      <c r="W5093" s="7" t="n"/>
      <c r="X5093" s="7" t="n"/>
      <c r="Z5093">
        <f>Z5092+IF(W5093="",0,IF(ISNA(MATCH(W5093,W$256:W5092,0)),1,0))</f>
        <v/>
      </c>
      <c r="AA5093">
        <f>IF(Z5093&gt;Z5092,Z5093,"")</f>
        <v/>
      </c>
      <c r="AB5093">
        <f>AB5092+IF(X5093="",0,IF(ISNA(MATCH(X5093,X$256:X5092,0)),1,0))</f>
        <v/>
      </c>
      <c r="AC5093">
        <f>IF(AB5093&gt;AB5092,AB5093,"")</f>
        <v/>
      </c>
    </row>
    <row r="5094">
      <c r="W5094" s="7" t="n"/>
      <c r="X5094" s="7" t="n"/>
      <c r="Z5094">
        <f>Z5093+IF(W5094="",0,IF(ISNA(MATCH(W5094,W$256:W5093,0)),1,0))</f>
        <v/>
      </c>
      <c r="AA5094">
        <f>IF(Z5094&gt;Z5093,Z5094,"")</f>
        <v/>
      </c>
      <c r="AB5094">
        <f>AB5093+IF(X5094="",0,IF(ISNA(MATCH(X5094,X$256:X5093,0)),1,0))</f>
        <v/>
      </c>
      <c r="AC5094">
        <f>IF(AB5094&gt;AB5093,AB5094,"")</f>
        <v/>
      </c>
    </row>
    <row r="5095">
      <c r="W5095" s="7" t="n"/>
      <c r="X5095" s="7" t="n"/>
      <c r="Z5095">
        <f>Z5094+IF(W5095="",0,IF(ISNA(MATCH(W5095,W$256:W5094,0)),1,0))</f>
        <v/>
      </c>
      <c r="AA5095">
        <f>IF(Z5095&gt;Z5094,Z5095,"")</f>
        <v/>
      </c>
      <c r="AB5095">
        <f>AB5094+IF(X5095="",0,IF(ISNA(MATCH(X5095,X$256:X5094,0)),1,0))</f>
        <v/>
      </c>
      <c r="AC5095">
        <f>IF(AB5095&gt;AB5094,AB5095,"")</f>
        <v/>
      </c>
    </row>
    <row r="5096">
      <c r="W5096" s="7" t="n"/>
      <c r="X5096" s="7" t="n"/>
      <c r="Z5096">
        <f>Z5095+IF(W5096="",0,IF(ISNA(MATCH(W5096,W$256:W5095,0)),1,0))</f>
        <v/>
      </c>
      <c r="AA5096">
        <f>IF(Z5096&gt;Z5095,Z5096,"")</f>
        <v/>
      </c>
      <c r="AB5096">
        <f>AB5095+IF(X5096="",0,IF(ISNA(MATCH(X5096,X$256:X5095,0)),1,0))</f>
        <v/>
      </c>
      <c r="AC5096">
        <f>IF(AB5096&gt;AB5095,AB5096,"")</f>
        <v/>
      </c>
    </row>
    <row r="5097">
      <c r="W5097" s="7" t="n"/>
      <c r="X5097" s="7" t="n"/>
      <c r="Z5097">
        <f>Z5096+IF(W5097="",0,IF(ISNA(MATCH(W5097,W$256:W5096,0)),1,0))</f>
        <v/>
      </c>
      <c r="AA5097">
        <f>IF(Z5097&gt;Z5096,Z5097,"")</f>
        <v/>
      </c>
      <c r="AB5097">
        <f>AB5096+IF(X5097="",0,IF(ISNA(MATCH(X5097,X$256:X5096,0)),1,0))</f>
        <v/>
      </c>
      <c r="AC5097">
        <f>IF(AB5097&gt;AB5096,AB5097,"")</f>
        <v/>
      </c>
    </row>
    <row r="5098">
      <c r="W5098" s="7" t="n"/>
      <c r="X5098" s="7" t="n"/>
      <c r="Z5098">
        <f>Z5097+IF(W5098="",0,IF(ISNA(MATCH(W5098,W$256:W5097,0)),1,0))</f>
        <v/>
      </c>
      <c r="AA5098">
        <f>IF(Z5098&gt;Z5097,Z5098,"")</f>
        <v/>
      </c>
      <c r="AB5098">
        <f>AB5097+IF(X5098="",0,IF(ISNA(MATCH(X5098,X$256:X5097,0)),1,0))</f>
        <v/>
      </c>
      <c r="AC5098">
        <f>IF(AB5098&gt;AB5097,AB5098,"")</f>
        <v/>
      </c>
    </row>
    <row r="5099">
      <c r="W5099" s="7" t="n"/>
      <c r="X5099" s="7" t="n"/>
      <c r="Z5099">
        <f>Z5098+IF(W5099="",0,IF(ISNA(MATCH(W5099,W$256:W5098,0)),1,0))</f>
        <v/>
      </c>
      <c r="AA5099">
        <f>IF(Z5099&gt;Z5098,Z5099,"")</f>
        <v/>
      </c>
      <c r="AB5099">
        <f>AB5098+IF(X5099="",0,IF(ISNA(MATCH(X5099,X$256:X5098,0)),1,0))</f>
        <v/>
      </c>
      <c r="AC5099">
        <f>IF(AB5099&gt;AB5098,AB5099,"")</f>
        <v/>
      </c>
    </row>
    <row r="5100">
      <c r="W5100" s="7" t="n"/>
      <c r="X5100" s="7" t="n"/>
      <c r="Z5100">
        <f>Z5099+IF(W5100="",0,IF(ISNA(MATCH(W5100,W$256:W5099,0)),1,0))</f>
        <v/>
      </c>
      <c r="AA5100">
        <f>IF(Z5100&gt;Z5099,Z5100,"")</f>
        <v/>
      </c>
      <c r="AB5100">
        <f>AB5099+IF(X5100="",0,IF(ISNA(MATCH(X5100,X$256:X5099,0)),1,0))</f>
        <v/>
      </c>
      <c r="AC5100">
        <f>IF(AB5100&gt;AB5099,AB5100,"")</f>
        <v/>
      </c>
    </row>
    <row r="5101">
      <c r="W5101" s="7" t="n"/>
      <c r="X5101" s="7" t="n"/>
      <c r="Z5101">
        <f>Z5100+IF(W5101="",0,IF(ISNA(MATCH(W5101,W$256:W5100,0)),1,0))</f>
        <v/>
      </c>
      <c r="AA5101">
        <f>IF(Z5101&gt;Z5100,Z5101,"")</f>
        <v/>
      </c>
      <c r="AB5101">
        <f>AB5100+IF(X5101="",0,IF(ISNA(MATCH(X5101,X$256:X5100,0)),1,0))</f>
        <v/>
      </c>
      <c r="AC5101">
        <f>IF(AB5101&gt;AB5100,AB5101,"")</f>
        <v/>
      </c>
    </row>
    <row r="5102">
      <c r="W5102" s="7" t="n"/>
      <c r="X5102" s="7" t="n"/>
      <c r="Z5102">
        <f>Z5101+IF(W5102="",0,IF(ISNA(MATCH(W5102,W$256:W5101,0)),1,0))</f>
        <v/>
      </c>
      <c r="AA5102">
        <f>IF(Z5102&gt;Z5101,Z5102,"")</f>
        <v/>
      </c>
      <c r="AB5102">
        <f>AB5101+IF(X5102="",0,IF(ISNA(MATCH(X5102,X$256:X5101,0)),1,0))</f>
        <v/>
      </c>
      <c r="AC5102">
        <f>IF(AB5102&gt;AB5101,AB5102,"")</f>
        <v/>
      </c>
    </row>
    <row r="5103">
      <c r="W5103" s="7" t="n"/>
      <c r="X5103" s="7" t="n"/>
      <c r="Z5103">
        <f>Z5102+IF(W5103="",0,IF(ISNA(MATCH(W5103,W$256:W5102,0)),1,0))</f>
        <v/>
      </c>
      <c r="AA5103">
        <f>IF(Z5103&gt;Z5102,Z5103,"")</f>
        <v/>
      </c>
      <c r="AB5103">
        <f>AB5102+IF(X5103="",0,IF(ISNA(MATCH(X5103,X$256:X5102,0)),1,0))</f>
        <v/>
      </c>
      <c r="AC5103">
        <f>IF(AB5103&gt;AB5102,AB5103,"")</f>
        <v/>
      </c>
    </row>
    <row r="5104">
      <c r="W5104" s="7" t="n"/>
      <c r="X5104" s="7" t="n"/>
      <c r="Z5104">
        <f>Z5103+IF(W5104="",0,IF(ISNA(MATCH(W5104,W$256:W5103,0)),1,0))</f>
        <v/>
      </c>
      <c r="AA5104">
        <f>IF(Z5104&gt;Z5103,Z5104,"")</f>
        <v/>
      </c>
      <c r="AB5104">
        <f>AB5103+IF(X5104="",0,IF(ISNA(MATCH(X5104,X$256:X5103,0)),1,0))</f>
        <v/>
      </c>
      <c r="AC5104">
        <f>IF(AB5104&gt;AB5103,AB5104,"")</f>
        <v/>
      </c>
    </row>
    <row r="5105">
      <c r="W5105" s="7" t="n"/>
      <c r="X5105" s="7" t="n"/>
      <c r="Z5105">
        <f>Z5104+IF(W5105="",0,IF(ISNA(MATCH(W5105,W$256:W5104,0)),1,0))</f>
        <v/>
      </c>
      <c r="AA5105">
        <f>IF(Z5105&gt;Z5104,Z5105,"")</f>
        <v/>
      </c>
      <c r="AB5105">
        <f>AB5104+IF(X5105="",0,IF(ISNA(MATCH(X5105,X$256:X5104,0)),1,0))</f>
        <v/>
      </c>
      <c r="AC5105">
        <f>IF(AB5105&gt;AB5104,AB5105,"")</f>
        <v/>
      </c>
    </row>
    <row r="5106">
      <c r="W5106" s="7" t="n"/>
      <c r="X5106" s="7" t="n"/>
      <c r="Z5106">
        <f>Z5105+IF(W5106="",0,IF(ISNA(MATCH(W5106,W$256:W5105,0)),1,0))</f>
        <v/>
      </c>
      <c r="AA5106">
        <f>IF(Z5106&gt;Z5105,Z5106,"")</f>
        <v/>
      </c>
      <c r="AB5106">
        <f>AB5105+IF(X5106="",0,IF(ISNA(MATCH(X5106,X$256:X5105,0)),1,0))</f>
        <v/>
      </c>
      <c r="AC5106">
        <f>IF(AB5106&gt;AB5105,AB5106,"")</f>
        <v/>
      </c>
    </row>
    <row r="5107">
      <c r="W5107" s="7" t="n"/>
      <c r="X5107" s="7" t="n"/>
      <c r="Z5107">
        <f>Z5106+IF(W5107="",0,IF(ISNA(MATCH(W5107,W$256:W5106,0)),1,0))</f>
        <v/>
      </c>
      <c r="AA5107">
        <f>IF(Z5107&gt;Z5106,Z5107,"")</f>
        <v/>
      </c>
      <c r="AB5107">
        <f>AB5106+IF(X5107="",0,IF(ISNA(MATCH(X5107,X$256:X5106,0)),1,0))</f>
        <v/>
      </c>
      <c r="AC5107">
        <f>IF(AB5107&gt;AB5106,AB5107,"")</f>
        <v/>
      </c>
    </row>
    <row r="5108">
      <c r="W5108" s="7" t="n"/>
      <c r="X5108" s="7" t="n"/>
      <c r="Z5108">
        <f>Z5107+IF(W5108="",0,IF(ISNA(MATCH(W5108,W$256:W5107,0)),1,0))</f>
        <v/>
      </c>
      <c r="AA5108">
        <f>IF(Z5108&gt;Z5107,Z5108,"")</f>
        <v/>
      </c>
      <c r="AB5108">
        <f>AB5107+IF(X5108="",0,IF(ISNA(MATCH(X5108,X$256:X5107,0)),1,0))</f>
        <v/>
      </c>
      <c r="AC5108">
        <f>IF(AB5108&gt;AB5107,AB5108,"")</f>
        <v/>
      </c>
    </row>
    <row r="5109">
      <c r="W5109" s="7" t="n"/>
      <c r="X5109" s="7" t="n"/>
      <c r="Z5109">
        <f>Z5108+IF(W5109="",0,IF(ISNA(MATCH(W5109,W$256:W5108,0)),1,0))</f>
        <v/>
      </c>
      <c r="AA5109">
        <f>IF(Z5109&gt;Z5108,Z5109,"")</f>
        <v/>
      </c>
      <c r="AB5109">
        <f>AB5108+IF(X5109="",0,IF(ISNA(MATCH(X5109,X$256:X5108,0)),1,0))</f>
        <v/>
      </c>
      <c r="AC5109">
        <f>IF(AB5109&gt;AB5108,AB5109,"")</f>
        <v/>
      </c>
    </row>
    <row r="5110">
      <c r="W5110" s="7" t="n"/>
      <c r="X5110" s="7" t="n"/>
      <c r="Z5110">
        <f>Z5109+IF(W5110="",0,IF(ISNA(MATCH(W5110,W$256:W5109,0)),1,0))</f>
        <v/>
      </c>
      <c r="AA5110">
        <f>IF(Z5110&gt;Z5109,Z5110,"")</f>
        <v/>
      </c>
      <c r="AB5110">
        <f>AB5109+IF(X5110="",0,IF(ISNA(MATCH(X5110,X$256:X5109,0)),1,0))</f>
        <v/>
      </c>
      <c r="AC5110">
        <f>IF(AB5110&gt;AB5109,AB5110,"")</f>
        <v/>
      </c>
    </row>
    <row r="5111">
      <c r="W5111" s="7" t="n"/>
      <c r="X5111" s="7" t="n"/>
      <c r="Z5111">
        <f>Z5110+IF(W5111="",0,IF(ISNA(MATCH(W5111,W$256:W5110,0)),1,0))</f>
        <v/>
      </c>
      <c r="AA5111">
        <f>IF(Z5111&gt;Z5110,Z5111,"")</f>
        <v/>
      </c>
      <c r="AB5111">
        <f>AB5110+IF(X5111="",0,IF(ISNA(MATCH(X5111,X$256:X5110,0)),1,0))</f>
        <v/>
      </c>
      <c r="AC5111">
        <f>IF(AB5111&gt;AB5110,AB5111,"")</f>
        <v/>
      </c>
    </row>
    <row r="5112">
      <c r="W5112" s="7" t="n"/>
      <c r="X5112" s="7" t="n"/>
      <c r="Z5112">
        <f>Z5111+IF(W5112="",0,IF(ISNA(MATCH(W5112,W$256:W5111,0)),1,0))</f>
        <v/>
      </c>
      <c r="AA5112">
        <f>IF(Z5112&gt;Z5111,Z5112,"")</f>
        <v/>
      </c>
      <c r="AB5112">
        <f>AB5111+IF(X5112="",0,IF(ISNA(MATCH(X5112,X$256:X5111,0)),1,0))</f>
        <v/>
      </c>
      <c r="AC5112">
        <f>IF(AB5112&gt;AB5111,AB5112,"")</f>
        <v/>
      </c>
    </row>
    <row r="5113">
      <c r="W5113" s="7" t="n"/>
      <c r="X5113" s="7" t="n"/>
      <c r="Z5113">
        <f>Z5112+IF(W5113="",0,IF(ISNA(MATCH(W5113,W$256:W5112,0)),1,0))</f>
        <v/>
      </c>
      <c r="AA5113">
        <f>IF(Z5113&gt;Z5112,Z5113,"")</f>
        <v/>
      </c>
      <c r="AB5113">
        <f>AB5112+IF(X5113="",0,IF(ISNA(MATCH(X5113,X$256:X5112,0)),1,0))</f>
        <v/>
      </c>
      <c r="AC5113">
        <f>IF(AB5113&gt;AB5112,AB5113,"")</f>
        <v/>
      </c>
    </row>
    <row r="5114">
      <c r="W5114" s="7" t="n"/>
      <c r="X5114" s="7" t="n"/>
      <c r="Z5114">
        <f>Z5113+IF(W5114="",0,IF(ISNA(MATCH(W5114,W$256:W5113,0)),1,0))</f>
        <v/>
      </c>
      <c r="AA5114">
        <f>IF(Z5114&gt;Z5113,Z5114,"")</f>
        <v/>
      </c>
      <c r="AB5114">
        <f>AB5113+IF(X5114="",0,IF(ISNA(MATCH(X5114,X$256:X5113,0)),1,0))</f>
        <v/>
      </c>
      <c r="AC5114">
        <f>IF(AB5114&gt;AB5113,AB5114,"")</f>
        <v/>
      </c>
    </row>
    <row r="5115">
      <c r="W5115" s="7" t="n"/>
      <c r="X5115" s="7" t="n"/>
      <c r="Z5115">
        <f>Z5114+IF(W5115="",0,IF(ISNA(MATCH(W5115,W$256:W5114,0)),1,0))</f>
        <v/>
      </c>
      <c r="AA5115">
        <f>IF(Z5115&gt;Z5114,Z5115,"")</f>
        <v/>
      </c>
      <c r="AB5115">
        <f>AB5114+IF(X5115="",0,IF(ISNA(MATCH(X5115,X$256:X5114,0)),1,0))</f>
        <v/>
      </c>
      <c r="AC5115">
        <f>IF(AB5115&gt;AB5114,AB5115,"")</f>
        <v/>
      </c>
    </row>
    <row r="5116">
      <c r="W5116" s="7" t="n"/>
      <c r="X5116" s="7" t="n"/>
      <c r="Z5116">
        <f>Z5115+IF(W5116="",0,IF(ISNA(MATCH(W5116,W$256:W5115,0)),1,0))</f>
        <v/>
      </c>
      <c r="AA5116">
        <f>IF(Z5116&gt;Z5115,Z5116,"")</f>
        <v/>
      </c>
      <c r="AB5116">
        <f>AB5115+IF(X5116="",0,IF(ISNA(MATCH(X5116,X$256:X5115,0)),1,0))</f>
        <v/>
      </c>
      <c r="AC5116">
        <f>IF(AB5116&gt;AB5115,AB5116,"")</f>
        <v/>
      </c>
    </row>
    <row r="5117">
      <c r="W5117" s="7" t="n"/>
      <c r="X5117" s="7" t="n"/>
      <c r="Z5117">
        <f>Z5116+IF(W5117="",0,IF(ISNA(MATCH(W5117,W$256:W5116,0)),1,0))</f>
        <v/>
      </c>
      <c r="AA5117">
        <f>IF(Z5117&gt;Z5116,Z5117,"")</f>
        <v/>
      </c>
      <c r="AB5117">
        <f>AB5116+IF(X5117="",0,IF(ISNA(MATCH(X5117,X$256:X5116,0)),1,0))</f>
        <v/>
      </c>
      <c r="AC5117">
        <f>IF(AB5117&gt;AB5116,AB5117,"")</f>
        <v/>
      </c>
    </row>
    <row r="5118">
      <c r="W5118" s="7" t="n"/>
      <c r="X5118" s="7" t="n"/>
      <c r="Z5118">
        <f>Z5117+IF(W5118="",0,IF(ISNA(MATCH(W5118,W$256:W5117,0)),1,0))</f>
        <v/>
      </c>
      <c r="AA5118">
        <f>IF(Z5118&gt;Z5117,Z5118,"")</f>
        <v/>
      </c>
      <c r="AB5118">
        <f>AB5117+IF(X5118="",0,IF(ISNA(MATCH(X5118,X$256:X5117,0)),1,0))</f>
        <v/>
      </c>
      <c r="AC5118">
        <f>IF(AB5118&gt;AB5117,AB5118,"")</f>
        <v/>
      </c>
    </row>
    <row r="5119">
      <c r="W5119" s="7" t="n"/>
      <c r="X5119" s="7" t="n"/>
      <c r="Z5119">
        <f>Z5118+IF(W5119="",0,IF(ISNA(MATCH(W5119,W$256:W5118,0)),1,0))</f>
        <v/>
      </c>
      <c r="AA5119">
        <f>IF(Z5119&gt;Z5118,Z5119,"")</f>
        <v/>
      </c>
      <c r="AB5119">
        <f>AB5118+IF(X5119="",0,IF(ISNA(MATCH(X5119,X$256:X5118,0)),1,0))</f>
        <v/>
      </c>
      <c r="AC5119">
        <f>IF(AB5119&gt;AB5118,AB5119,"")</f>
        <v/>
      </c>
    </row>
    <row r="5120">
      <c r="W5120" s="7" t="n"/>
      <c r="X5120" s="7" t="n"/>
      <c r="Z5120">
        <f>Z5119+IF(W5120="",0,IF(ISNA(MATCH(W5120,W$256:W5119,0)),1,0))</f>
        <v/>
      </c>
      <c r="AA5120">
        <f>IF(Z5120&gt;Z5119,Z5120,"")</f>
        <v/>
      </c>
      <c r="AB5120">
        <f>AB5119+IF(X5120="",0,IF(ISNA(MATCH(X5120,X$256:X5119,0)),1,0))</f>
        <v/>
      </c>
      <c r="AC5120">
        <f>IF(AB5120&gt;AB5119,AB5120,"")</f>
        <v/>
      </c>
    </row>
    <row r="5121">
      <c r="W5121" s="7" t="n"/>
      <c r="X5121" s="7" t="n"/>
      <c r="Z5121">
        <f>Z5120+IF(W5121="",0,IF(ISNA(MATCH(W5121,W$256:W5120,0)),1,0))</f>
        <v/>
      </c>
      <c r="AA5121">
        <f>IF(Z5121&gt;Z5120,Z5121,"")</f>
        <v/>
      </c>
      <c r="AB5121">
        <f>AB5120+IF(X5121="",0,IF(ISNA(MATCH(X5121,X$256:X5120,0)),1,0))</f>
        <v/>
      </c>
      <c r="AC5121">
        <f>IF(AB5121&gt;AB5120,AB5121,"")</f>
        <v/>
      </c>
    </row>
    <row r="5122">
      <c r="W5122" s="7" t="n"/>
      <c r="X5122" s="7" t="n"/>
      <c r="Z5122">
        <f>Z5121+IF(W5122="",0,IF(ISNA(MATCH(W5122,W$256:W5121,0)),1,0))</f>
        <v/>
      </c>
      <c r="AA5122">
        <f>IF(Z5122&gt;Z5121,Z5122,"")</f>
        <v/>
      </c>
      <c r="AB5122">
        <f>AB5121+IF(X5122="",0,IF(ISNA(MATCH(X5122,X$256:X5121,0)),1,0))</f>
        <v/>
      </c>
      <c r="AC5122">
        <f>IF(AB5122&gt;AB5121,AB5122,"")</f>
        <v/>
      </c>
    </row>
    <row r="5123">
      <c r="W5123" s="7" t="n"/>
      <c r="X5123" s="7" t="n"/>
      <c r="Z5123">
        <f>Z5122+IF(W5123="",0,IF(ISNA(MATCH(W5123,W$256:W5122,0)),1,0))</f>
        <v/>
      </c>
      <c r="AA5123">
        <f>IF(Z5123&gt;Z5122,Z5123,"")</f>
        <v/>
      </c>
      <c r="AB5123">
        <f>AB5122+IF(X5123="",0,IF(ISNA(MATCH(X5123,X$256:X5122,0)),1,0))</f>
        <v/>
      </c>
      <c r="AC5123">
        <f>IF(AB5123&gt;AB5122,AB5123,"")</f>
        <v/>
      </c>
    </row>
    <row r="5124">
      <c r="W5124" s="7" t="n"/>
      <c r="X5124" s="7" t="n"/>
      <c r="Z5124">
        <f>Z5123+IF(W5124="",0,IF(ISNA(MATCH(W5124,W$256:W5123,0)),1,0))</f>
        <v/>
      </c>
      <c r="AA5124">
        <f>IF(Z5124&gt;Z5123,Z5124,"")</f>
        <v/>
      </c>
      <c r="AB5124">
        <f>AB5123+IF(X5124="",0,IF(ISNA(MATCH(X5124,X$256:X5123,0)),1,0))</f>
        <v/>
      </c>
      <c r="AC5124">
        <f>IF(AB5124&gt;AB5123,AB5124,"")</f>
        <v/>
      </c>
    </row>
    <row r="5125">
      <c r="W5125" s="7" t="n"/>
      <c r="X5125" s="7" t="n"/>
      <c r="Z5125">
        <f>Z5124+IF(W5125="",0,IF(ISNA(MATCH(W5125,W$256:W5124,0)),1,0))</f>
        <v/>
      </c>
      <c r="AA5125">
        <f>IF(Z5125&gt;Z5124,Z5125,"")</f>
        <v/>
      </c>
      <c r="AB5125">
        <f>AB5124+IF(X5125="",0,IF(ISNA(MATCH(X5125,X$256:X5124,0)),1,0))</f>
        <v/>
      </c>
      <c r="AC5125">
        <f>IF(AB5125&gt;AB5124,AB5125,"")</f>
        <v/>
      </c>
    </row>
    <row r="5126">
      <c r="W5126" s="7" t="n"/>
      <c r="X5126" s="7" t="n"/>
      <c r="Z5126">
        <f>Z5125+IF(W5126="",0,IF(ISNA(MATCH(W5126,W$256:W5125,0)),1,0))</f>
        <v/>
      </c>
      <c r="AA5126">
        <f>IF(Z5126&gt;Z5125,Z5126,"")</f>
        <v/>
      </c>
      <c r="AB5126">
        <f>AB5125+IF(X5126="",0,IF(ISNA(MATCH(X5126,X$256:X5125,0)),1,0))</f>
        <v/>
      </c>
      <c r="AC5126">
        <f>IF(AB5126&gt;AB5125,AB5126,"")</f>
        <v/>
      </c>
    </row>
    <row r="5127">
      <c r="W5127" s="7" t="n"/>
      <c r="X5127" s="7" t="n"/>
      <c r="Z5127">
        <f>Z5126+IF(W5127="",0,IF(ISNA(MATCH(W5127,W$256:W5126,0)),1,0))</f>
        <v/>
      </c>
      <c r="AA5127">
        <f>IF(Z5127&gt;Z5126,Z5127,"")</f>
        <v/>
      </c>
      <c r="AB5127">
        <f>AB5126+IF(X5127="",0,IF(ISNA(MATCH(X5127,X$256:X5126,0)),1,0))</f>
        <v/>
      </c>
      <c r="AC5127">
        <f>IF(AB5127&gt;AB5126,AB5127,"")</f>
        <v/>
      </c>
    </row>
    <row r="5128">
      <c r="W5128" s="7" t="n"/>
      <c r="X5128" s="7" t="n"/>
      <c r="Z5128">
        <f>Z5127+IF(W5128="",0,IF(ISNA(MATCH(W5128,W$256:W5127,0)),1,0))</f>
        <v/>
      </c>
      <c r="AA5128">
        <f>IF(Z5128&gt;Z5127,Z5128,"")</f>
        <v/>
      </c>
      <c r="AB5128">
        <f>AB5127+IF(X5128="",0,IF(ISNA(MATCH(X5128,X$256:X5127,0)),1,0))</f>
        <v/>
      </c>
      <c r="AC5128">
        <f>IF(AB5128&gt;AB5127,AB5128,"")</f>
        <v/>
      </c>
    </row>
    <row r="5129">
      <c r="W5129" s="7" t="n"/>
      <c r="X5129" s="7" t="n"/>
      <c r="Z5129">
        <f>Z5128+IF(W5129="",0,IF(ISNA(MATCH(W5129,W$256:W5128,0)),1,0))</f>
        <v/>
      </c>
      <c r="AA5129">
        <f>IF(Z5129&gt;Z5128,Z5129,"")</f>
        <v/>
      </c>
      <c r="AB5129">
        <f>AB5128+IF(X5129="",0,IF(ISNA(MATCH(X5129,X$256:X5128,0)),1,0))</f>
        <v/>
      </c>
      <c r="AC5129">
        <f>IF(AB5129&gt;AB5128,AB5129,"")</f>
        <v/>
      </c>
    </row>
    <row r="5130">
      <c r="W5130" s="7" t="n"/>
      <c r="X5130" s="7" t="n"/>
      <c r="Z5130">
        <f>Z5129+IF(W5130="",0,IF(ISNA(MATCH(W5130,W$256:W5129,0)),1,0))</f>
        <v/>
      </c>
      <c r="AA5130">
        <f>IF(Z5130&gt;Z5129,Z5130,"")</f>
        <v/>
      </c>
      <c r="AB5130">
        <f>AB5129+IF(X5130="",0,IF(ISNA(MATCH(X5130,X$256:X5129,0)),1,0))</f>
        <v/>
      </c>
      <c r="AC5130">
        <f>IF(AB5130&gt;AB5129,AB5130,"")</f>
        <v/>
      </c>
    </row>
    <row r="5131">
      <c r="W5131" s="7" t="n"/>
      <c r="X5131" s="7" t="n"/>
      <c r="Z5131">
        <f>Z5130+IF(W5131="",0,IF(ISNA(MATCH(W5131,W$256:W5130,0)),1,0))</f>
        <v/>
      </c>
      <c r="AA5131">
        <f>IF(Z5131&gt;Z5130,Z5131,"")</f>
        <v/>
      </c>
      <c r="AB5131">
        <f>AB5130+IF(X5131="",0,IF(ISNA(MATCH(X5131,X$256:X5130,0)),1,0))</f>
        <v/>
      </c>
      <c r="AC5131">
        <f>IF(AB5131&gt;AB5130,AB5131,"")</f>
        <v/>
      </c>
    </row>
    <row r="5132">
      <c r="W5132" s="7" t="n"/>
      <c r="X5132" s="7" t="n"/>
      <c r="Z5132">
        <f>Z5131+IF(W5132="",0,IF(ISNA(MATCH(W5132,W$256:W5131,0)),1,0))</f>
        <v/>
      </c>
      <c r="AA5132">
        <f>IF(Z5132&gt;Z5131,Z5132,"")</f>
        <v/>
      </c>
      <c r="AB5132">
        <f>AB5131+IF(X5132="",0,IF(ISNA(MATCH(X5132,X$256:X5131,0)),1,0))</f>
        <v/>
      </c>
      <c r="AC5132">
        <f>IF(AB5132&gt;AB5131,AB5132,"")</f>
        <v/>
      </c>
    </row>
    <row r="5133">
      <c r="W5133" s="7" t="n"/>
      <c r="X5133" s="7" t="n"/>
      <c r="Z5133">
        <f>Z5132+IF(W5133="",0,IF(ISNA(MATCH(W5133,W$256:W5132,0)),1,0))</f>
        <v/>
      </c>
      <c r="AA5133">
        <f>IF(Z5133&gt;Z5132,Z5133,"")</f>
        <v/>
      </c>
      <c r="AB5133">
        <f>AB5132+IF(X5133="",0,IF(ISNA(MATCH(X5133,X$256:X5132,0)),1,0))</f>
        <v/>
      </c>
      <c r="AC5133">
        <f>IF(AB5133&gt;AB5132,AB5133,"")</f>
        <v/>
      </c>
    </row>
    <row r="5134">
      <c r="W5134" s="7" t="n"/>
      <c r="X5134" s="7" t="n"/>
      <c r="Z5134">
        <f>Z5133+IF(W5134="",0,IF(ISNA(MATCH(W5134,W$256:W5133,0)),1,0))</f>
        <v/>
      </c>
      <c r="AA5134">
        <f>IF(Z5134&gt;Z5133,Z5134,"")</f>
        <v/>
      </c>
      <c r="AB5134">
        <f>AB5133+IF(X5134="",0,IF(ISNA(MATCH(X5134,X$256:X5133,0)),1,0))</f>
        <v/>
      </c>
      <c r="AC5134">
        <f>IF(AB5134&gt;AB5133,AB5134,"")</f>
        <v/>
      </c>
    </row>
    <row r="5135">
      <c r="W5135" s="7" t="n"/>
      <c r="X5135" s="7" t="n"/>
      <c r="Z5135">
        <f>Z5134+IF(W5135="",0,IF(ISNA(MATCH(W5135,W$256:W5134,0)),1,0))</f>
        <v/>
      </c>
      <c r="AA5135">
        <f>IF(Z5135&gt;Z5134,Z5135,"")</f>
        <v/>
      </c>
      <c r="AB5135">
        <f>AB5134+IF(X5135="",0,IF(ISNA(MATCH(X5135,X$256:X5134,0)),1,0))</f>
        <v/>
      </c>
      <c r="AC5135">
        <f>IF(AB5135&gt;AB5134,AB5135,"")</f>
        <v/>
      </c>
    </row>
    <row r="5136">
      <c r="W5136" s="7" t="n"/>
      <c r="X5136" s="7" t="n"/>
      <c r="Z5136">
        <f>Z5135+IF(W5136="",0,IF(ISNA(MATCH(W5136,W$256:W5135,0)),1,0))</f>
        <v/>
      </c>
      <c r="AA5136">
        <f>IF(Z5136&gt;Z5135,Z5136,"")</f>
        <v/>
      </c>
      <c r="AB5136">
        <f>AB5135+IF(X5136="",0,IF(ISNA(MATCH(X5136,X$256:X5135,0)),1,0))</f>
        <v/>
      </c>
      <c r="AC5136">
        <f>IF(AB5136&gt;AB5135,AB5136,"")</f>
        <v/>
      </c>
    </row>
    <row r="5137">
      <c r="W5137" s="7" t="n"/>
      <c r="X5137" s="7" t="n"/>
      <c r="Z5137">
        <f>Z5136+IF(W5137="",0,IF(ISNA(MATCH(W5137,W$256:W5136,0)),1,0))</f>
        <v/>
      </c>
      <c r="AA5137">
        <f>IF(Z5137&gt;Z5136,Z5137,"")</f>
        <v/>
      </c>
      <c r="AB5137">
        <f>AB5136+IF(X5137="",0,IF(ISNA(MATCH(X5137,X$256:X5136,0)),1,0))</f>
        <v/>
      </c>
      <c r="AC5137">
        <f>IF(AB5137&gt;AB5136,AB5137,"")</f>
        <v/>
      </c>
    </row>
    <row r="5138">
      <c r="W5138" s="7" t="n"/>
      <c r="X5138" s="7" t="n"/>
      <c r="Z5138">
        <f>Z5137+IF(W5138="",0,IF(ISNA(MATCH(W5138,W$256:W5137,0)),1,0))</f>
        <v/>
      </c>
      <c r="AA5138">
        <f>IF(Z5138&gt;Z5137,Z5138,"")</f>
        <v/>
      </c>
      <c r="AB5138">
        <f>AB5137+IF(X5138="",0,IF(ISNA(MATCH(X5138,X$256:X5137,0)),1,0))</f>
        <v/>
      </c>
      <c r="AC5138">
        <f>IF(AB5138&gt;AB5137,AB5138,"")</f>
        <v/>
      </c>
    </row>
    <row r="5139">
      <c r="W5139" s="7" t="n"/>
      <c r="X5139" s="7" t="n"/>
      <c r="Z5139">
        <f>Z5138+IF(W5139="",0,IF(ISNA(MATCH(W5139,W$256:W5138,0)),1,0))</f>
        <v/>
      </c>
      <c r="AA5139">
        <f>IF(Z5139&gt;Z5138,Z5139,"")</f>
        <v/>
      </c>
      <c r="AB5139">
        <f>AB5138+IF(X5139="",0,IF(ISNA(MATCH(X5139,X$256:X5138,0)),1,0))</f>
        <v/>
      </c>
      <c r="AC5139">
        <f>IF(AB5139&gt;AB5138,AB5139,"")</f>
        <v/>
      </c>
    </row>
    <row r="5140">
      <c r="W5140" s="7" t="n"/>
      <c r="X5140" s="7" t="n"/>
      <c r="Z5140">
        <f>Z5139+IF(W5140="",0,IF(ISNA(MATCH(W5140,W$256:W5139,0)),1,0))</f>
        <v/>
      </c>
      <c r="AA5140">
        <f>IF(Z5140&gt;Z5139,Z5140,"")</f>
        <v/>
      </c>
      <c r="AB5140">
        <f>AB5139+IF(X5140="",0,IF(ISNA(MATCH(X5140,X$256:X5139,0)),1,0))</f>
        <v/>
      </c>
      <c r="AC5140">
        <f>IF(AB5140&gt;AB5139,AB5140,"")</f>
        <v/>
      </c>
    </row>
    <row r="5141">
      <c r="W5141" s="7" t="n"/>
      <c r="X5141" s="7" t="n"/>
      <c r="Z5141">
        <f>Z5140+IF(W5141="",0,IF(ISNA(MATCH(W5141,W$256:W5140,0)),1,0))</f>
        <v/>
      </c>
      <c r="AA5141">
        <f>IF(Z5141&gt;Z5140,Z5141,"")</f>
        <v/>
      </c>
      <c r="AB5141">
        <f>AB5140+IF(X5141="",0,IF(ISNA(MATCH(X5141,X$256:X5140,0)),1,0))</f>
        <v/>
      </c>
      <c r="AC5141">
        <f>IF(AB5141&gt;AB5140,AB5141,"")</f>
        <v/>
      </c>
    </row>
    <row r="5142">
      <c r="W5142" s="7" t="n"/>
      <c r="X5142" s="7" t="n"/>
      <c r="Z5142">
        <f>Z5141+IF(W5142="",0,IF(ISNA(MATCH(W5142,W$256:W5141,0)),1,0))</f>
        <v/>
      </c>
      <c r="AA5142">
        <f>IF(Z5142&gt;Z5141,Z5142,"")</f>
        <v/>
      </c>
      <c r="AB5142">
        <f>AB5141+IF(X5142="",0,IF(ISNA(MATCH(X5142,X$256:X5141,0)),1,0))</f>
        <v/>
      </c>
      <c r="AC5142">
        <f>IF(AB5142&gt;AB5141,AB5142,"")</f>
        <v/>
      </c>
    </row>
    <row r="5143">
      <c r="W5143" s="7" t="n"/>
      <c r="X5143" s="7" t="n"/>
      <c r="Z5143">
        <f>Z5142+IF(W5143="",0,IF(ISNA(MATCH(W5143,W$256:W5142,0)),1,0))</f>
        <v/>
      </c>
      <c r="AA5143">
        <f>IF(Z5143&gt;Z5142,Z5143,"")</f>
        <v/>
      </c>
      <c r="AB5143">
        <f>AB5142+IF(X5143="",0,IF(ISNA(MATCH(X5143,X$256:X5142,0)),1,0))</f>
        <v/>
      </c>
      <c r="AC5143">
        <f>IF(AB5143&gt;AB5142,AB5143,"")</f>
        <v/>
      </c>
    </row>
    <row r="5144">
      <c r="W5144" s="7" t="n"/>
      <c r="X5144" s="7" t="n"/>
      <c r="Z5144">
        <f>Z5143+IF(W5144="",0,IF(ISNA(MATCH(W5144,W$256:W5143,0)),1,0))</f>
        <v/>
      </c>
      <c r="AA5144">
        <f>IF(Z5144&gt;Z5143,Z5144,"")</f>
        <v/>
      </c>
      <c r="AB5144">
        <f>AB5143+IF(X5144="",0,IF(ISNA(MATCH(X5144,X$256:X5143,0)),1,0))</f>
        <v/>
      </c>
      <c r="AC5144">
        <f>IF(AB5144&gt;AB5143,AB5144,"")</f>
        <v/>
      </c>
    </row>
    <row r="5145">
      <c r="W5145" s="7" t="n"/>
      <c r="X5145" s="7" t="n"/>
      <c r="Z5145">
        <f>Z5144+IF(W5145="",0,IF(ISNA(MATCH(W5145,W$256:W5144,0)),1,0))</f>
        <v/>
      </c>
      <c r="AA5145">
        <f>IF(Z5145&gt;Z5144,Z5145,"")</f>
        <v/>
      </c>
      <c r="AB5145">
        <f>AB5144+IF(X5145="",0,IF(ISNA(MATCH(X5145,X$256:X5144,0)),1,0))</f>
        <v/>
      </c>
      <c r="AC5145">
        <f>IF(AB5145&gt;AB5144,AB5145,"")</f>
        <v/>
      </c>
    </row>
    <row r="5146">
      <c r="W5146" s="7" t="n"/>
      <c r="X5146" s="7" t="n"/>
      <c r="Z5146">
        <f>Z5145+IF(W5146="",0,IF(ISNA(MATCH(W5146,W$256:W5145,0)),1,0))</f>
        <v/>
      </c>
      <c r="AA5146">
        <f>IF(Z5146&gt;Z5145,Z5146,"")</f>
        <v/>
      </c>
      <c r="AB5146">
        <f>AB5145+IF(X5146="",0,IF(ISNA(MATCH(X5146,X$256:X5145,0)),1,0))</f>
        <v/>
      </c>
      <c r="AC5146">
        <f>IF(AB5146&gt;AB5145,AB5146,"")</f>
        <v/>
      </c>
    </row>
    <row r="5147">
      <c r="W5147" s="7" t="n"/>
      <c r="X5147" s="7" t="n"/>
      <c r="Z5147">
        <f>Z5146+IF(W5147="",0,IF(ISNA(MATCH(W5147,W$256:W5146,0)),1,0))</f>
        <v/>
      </c>
      <c r="AA5147">
        <f>IF(Z5147&gt;Z5146,Z5147,"")</f>
        <v/>
      </c>
      <c r="AB5147">
        <f>AB5146+IF(X5147="",0,IF(ISNA(MATCH(X5147,X$256:X5146,0)),1,0))</f>
        <v/>
      </c>
      <c r="AC5147">
        <f>IF(AB5147&gt;AB5146,AB5147,"")</f>
        <v/>
      </c>
    </row>
    <row r="5148">
      <c r="W5148" s="7" t="n"/>
      <c r="X5148" s="7" t="n"/>
      <c r="Z5148">
        <f>Z5147+IF(W5148="",0,IF(ISNA(MATCH(W5148,W$256:W5147,0)),1,0))</f>
        <v/>
      </c>
      <c r="AA5148">
        <f>IF(Z5148&gt;Z5147,Z5148,"")</f>
        <v/>
      </c>
      <c r="AB5148">
        <f>AB5147+IF(X5148="",0,IF(ISNA(MATCH(X5148,X$256:X5147,0)),1,0))</f>
        <v/>
      </c>
      <c r="AC5148">
        <f>IF(AB5148&gt;AB5147,AB5148,"")</f>
        <v/>
      </c>
    </row>
    <row r="5149">
      <c r="W5149" s="7" t="n"/>
      <c r="X5149" s="7" t="n"/>
      <c r="Z5149">
        <f>Z5148+IF(W5149="",0,IF(ISNA(MATCH(W5149,W$256:W5148,0)),1,0))</f>
        <v/>
      </c>
      <c r="AA5149">
        <f>IF(Z5149&gt;Z5148,Z5149,"")</f>
        <v/>
      </c>
      <c r="AB5149">
        <f>AB5148+IF(X5149="",0,IF(ISNA(MATCH(X5149,X$256:X5148,0)),1,0))</f>
        <v/>
      </c>
      <c r="AC5149">
        <f>IF(AB5149&gt;AB5148,AB5149,"")</f>
        <v/>
      </c>
    </row>
    <row r="5150">
      <c r="W5150" s="7" t="n"/>
      <c r="X5150" s="7" t="n"/>
      <c r="Z5150">
        <f>Z5149+IF(W5150="",0,IF(ISNA(MATCH(W5150,W$256:W5149,0)),1,0))</f>
        <v/>
      </c>
      <c r="AA5150">
        <f>IF(Z5150&gt;Z5149,Z5150,"")</f>
        <v/>
      </c>
      <c r="AB5150">
        <f>AB5149+IF(X5150="",0,IF(ISNA(MATCH(X5150,X$256:X5149,0)),1,0))</f>
        <v/>
      </c>
      <c r="AC5150">
        <f>IF(AB5150&gt;AB5149,AB5150,"")</f>
        <v/>
      </c>
    </row>
    <row r="5151">
      <c r="W5151" s="7" t="n"/>
      <c r="X5151" s="7" t="n"/>
      <c r="Z5151">
        <f>Z5150+IF(W5151="",0,IF(ISNA(MATCH(W5151,W$256:W5150,0)),1,0))</f>
        <v/>
      </c>
      <c r="AA5151">
        <f>IF(Z5151&gt;Z5150,Z5151,"")</f>
        <v/>
      </c>
      <c r="AB5151">
        <f>AB5150+IF(X5151="",0,IF(ISNA(MATCH(X5151,X$256:X5150,0)),1,0))</f>
        <v/>
      </c>
      <c r="AC5151">
        <f>IF(AB5151&gt;AB5150,AB5151,"")</f>
        <v/>
      </c>
    </row>
    <row r="5152">
      <c r="W5152" s="7" t="n"/>
      <c r="X5152" s="7" t="n"/>
      <c r="Z5152">
        <f>Z5151+IF(W5152="",0,IF(ISNA(MATCH(W5152,W$256:W5151,0)),1,0))</f>
        <v/>
      </c>
      <c r="AA5152">
        <f>IF(Z5152&gt;Z5151,Z5152,"")</f>
        <v/>
      </c>
      <c r="AB5152">
        <f>AB5151+IF(X5152="",0,IF(ISNA(MATCH(X5152,X$256:X5151,0)),1,0))</f>
        <v/>
      </c>
      <c r="AC5152">
        <f>IF(AB5152&gt;AB5151,AB5152,"")</f>
        <v/>
      </c>
    </row>
    <row r="5153">
      <c r="W5153" s="7" t="n"/>
      <c r="X5153" s="7" t="n"/>
      <c r="Z5153">
        <f>Z5152+IF(W5153="",0,IF(ISNA(MATCH(W5153,W$256:W5152,0)),1,0))</f>
        <v/>
      </c>
      <c r="AA5153">
        <f>IF(Z5153&gt;Z5152,Z5153,"")</f>
        <v/>
      </c>
      <c r="AB5153">
        <f>AB5152+IF(X5153="",0,IF(ISNA(MATCH(X5153,X$256:X5152,0)),1,0))</f>
        <v/>
      </c>
      <c r="AC5153">
        <f>IF(AB5153&gt;AB5152,AB5153,"")</f>
        <v/>
      </c>
    </row>
    <row r="5154">
      <c r="W5154" s="7" t="n"/>
      <c r="X5154" s="7" t="n"/>
      <c r="Z5154">
        <f>Z5153+IF(W5154="",0,IF(ISNA(MATCH(W5154,W$256:W5153,0)),1,0))</f>
        <v/>
      </c>
      <c r="AA5154">
        <f>IF(Z5154&gt;Z5153,Z5154,"")</f>
        <v/>
      </c>
      <c r="AB5154">
        <f>AB5153+IF(X5154="",0,IF(ISNA(MATCH(X5154,X$256:X5153,0)),1,0))</f>
        <v/>
      </c>
      <c r="AC5154">
        <f>IF(AB5154&gt;AB5153,AB5154,"")</f>
        <v/>
      </c>
    </row>
    <row r="5155">
      <c r="W5155" s="7" t="n"/>
      <c r="X5155" s="7" t="n"/>
      <c r="Z5155">
        <f>Z5154+IF(W5155="",0,IF(ISNA(MATCH(W5155,W$256:W5154,0)),1,0))</f>
        <v/>
      </c>
      <c r="AA5155">
        <f>IF(Z5155&gt;Z5154,Z5155,"")</f>
        <v/>
      </c>
      <c r="AB5155">
        <f>AB5154+IF(X5155="",0,IF(ISNA(MATCH(X5155,X$256:X5154,0)),1,0))</f>
        <v/>
      </c>
      <c r="AC5155">
        <f>IF(AB5155&gt;AB5154,AB5155,"")</f>
        <v/>
      </c>
    </row>
    <row r="5156">
      <c r="W5156" s="7" t="n"/>
      <c r="X5156" s="7" t="n"/>
      <c r="Z5156">
        <f>Z5155+IF(W5156="",0,IF(ISNA(MATCH(W5156,W$256:W5155,0)),1,0))</f>
        <v/>
      </c>
      <c r="AA5156">
        <f>IF(Z5156&gt;Z5155,Z5156,"")</f>
        <v/>
      </c>
      <c r="AB5156">
        <f>AB5155+IF(X5156="",0,IF(ISNA(MATCH(X5156,X$256:X5155,0)),1,0))</f>
        <v/>
      </c>
      <c r="AC5156">
        <f>IF(AB5156&gt;AB5155,AB5156,"")</f>
        <v/>
      </c>
    </row>
    <row r="5157">
      <c r="W5157" s="7" t="n"/>
      <c r="X5157" s="7" t="n"/>
      <c r="Z5157">
        <f>Z5156+IF(W5157="",0,IF(ISNA(MATCH(W5157,W$256:W5156,0)),1,0))</f>
        <v/>
      </c>
      <c r="AA5157">
        <f>IF(Z5157&gt;Z5156,Z5157,"")</f>
        <v/>
      </c>
      <c r="AB5157">
        <f>AB5156+IF(X5157="",0,IF(ISNA(MATCH(X5157,X$256:X5156,0)),1,0))</f>
        <v/>
      </c>
      <c r="AC5157">
        <f>IF(AB5157&gt;AB5156,AB5157,"")</f>
        <v/>
      </c>
    </row>
    <row r="5158">
      <c r="W5158" s="7" t="n"/>
      <c r="X5158" s="7" t="n"/>
      <c r="Z5158">
        <f>Z5157+IF(W5158="",0,IF(ISNA(MATCH(W5158,W$256:W5157,0)),1,0))</f>
        <v/>
      </c>
      <c r="AA5158">
        <f>IF(Z5158&gt;Z5157,Z5158,"")</f>
        <v/>
      </c>
      <c r="AB5158">
        <f>AB5157+IF(X5158="",0,IF(ISNA(MATCH(X5158,X$256:X5157,0)),1,0))</f>
        <v/>
      </c>
      <c r="AC5158">
        <f>IF(AB5158&gt;AB5157,AB5158,"")</f>
        <v/>
      </c>
    </row>
    <row r="5159">
      <c r="W5159" s="7" t="n"/>
      <c r="X5159" s="7" t="n"/>
      <c r="Z5159">
        <f>Z5158+IF(W5159="",0,IF(ISNA(MATCH(W5159,W$256:W5158,0)),1,0))</f>
        <v/>
      </c>
      <c r="AA5159">
        <f>IF(Z5159&gt;Z5158,Z5159,"")</f>
        <v/>
      </c>
      <c r="AB5159">
        <f>AB5158+IF(X5159="",0,IF(ISNA(MATCH(X5159,X$256:X5158,0)),1,0))</f>
        <v/>
      </c>
      <c r="AC5159">
        <f>IF(AB5159&gt;AB5158,AB5159,"")</f>
        <v/>
      </c>
    </row>
    <row r="5160">
      <c r="W5160" s="7" t="n"/>
      <c r="X5160" s="7" t="n"/>
      <c r="Z5160">
        <f>Z5159+IF(W5160="",0,IF(ISNA(MATCH(W5160,W$256:W5159,0)),1,0))</f>
        <v/>
      </c>
      <c r="AA5160">
        <f>IF(Z5160&gt;Z5159,Z5160,"")</f>
        <v/>
      </c>
      <c r="AB5160">
        <f>AB5159+IF(X5160="",0,IF(ISNA(MATCH(X5160,X$256:X5159,0)),1,0))</f>
        <v/>
      </c>
      <c r="AC5160">
        <f>IF(AB5160&gt;AB5159,AB5160,"")</f>
        <v/>
      </c>
    </row>
    <row r="5161">
      <c r="W5161" s="7" t="n"/>
      <c r="X5161" s="7" t="n"/>
      <c r="Z5161">
        <f>Z5160+IF(W5161="",0,IF(ISNA(MATCH(W5161,W$256:W5160,0)),1,0))</f>
        <v/>
      </c>
      <c r="AA5161">
        <f>IF(Z5161&gt;Z5160,Z5161,"")</f>
        <v/>
      </c>
      <c r="AB5161">
        <f>AB5160+IF(X5161="",0,IF(ISNA(MATCH(X5161,X$256:X5160,0)),1,0))</f>
        <v/>
      </c>
      <c r="AC5161">
        <f>IF(AB5161&gt;AB5160,AB5161,"")</f>
        <v/>
      </c>
    </row>
    <row r="5162">
      <c r="W5162" s="7" t="n"/>
      <c r="X5162" s="7" t="n"/>
      <c r="Z5162">
        <f>Z5161+IF(W5162="",0,IF(ISNA(MATCH(W5162,W$256:W5161,0)),1,0))</f>
        <v/>
      </c>
      <c r="AA5162">
        <f>IF(Z5162&gt;Z5161,Z5162,"")</f>
        <v/>
      </c>
      <c r="AB5162">
        <f>AB5161+IF(X5162="",0,IF(ISNA(MATCH(X5162,X$256:X5161,0)),1,0))</f>
        <v/>
      </c>
      <c r="AC5162">
        <f>IF(AB5162&gt;AB5161,AB5162,"")</f>
        <v/>
      </c>
    </row>
    <row r="5163">
      <c r="W5163" s="7" t="n"/>
      <c r="X5163" s="7" t="n"/>
      <c r="Z5163">
        <f>Z5162+IF(W5163="",0,IF(ISNA(MATCH(W5163,W$256:W5162,0)),1,0))</f>
        <v/>
      </c>
      <c r="AA5163">
        <f>IF(Z5163&gt;Z5162,Z5163,"")</f>
        <v/>
      </c>
      <c r="AB5163">
        <f>AB5162+IF(X5163="",0,IF(ISNA(MATCH(X5163,X$256:X5162,0)),1,0))</f>
        <v/>
      </c>
      <c r="AC5163">
        <f>IF(AB5163&gt;AB5162,AB5163,"")</f>
        <v/>
      </c>
    </row>
    <row r="5164">
      <c r="W5164" s="7" t="n"/>
      <c r="X5164" s="7" t="n"/>
      <c r="Z5164">
        <f>Z5163+IF(W5164="",0,IF(ISNA(MATCH(W5164,W$256:W5163,0)),1,0))</f>
        <v/>
      </c>
      <c r="AA5164">
        <f>IF(Z5164&gt;Z5163,Z5164,"")</f>
        <v/>
      </c>
      <c r="AB5164">
        <f>AB5163+IF(X5164="",0,IF(ISNA(MATCH(X5164,X$256:X5163,0)),1,0))</f>
        <v/>
      </c>
      <c r="AC5164">
        <f>IF(AB5164&gt;AB5163,AB5164,"")</f>
        <v/>
      </c>
    </row>
    <row r="5165">
      <c r="W5165" s="7" t="n"/>
      <c r="X5165" s="7" t="n"/>
      <c r="Z5165">
        <f>Z5164+IF(W5165="",0,IF(ISNA(MATCH(W5165,W$256:W5164,0)),1,0))</f>
        <v/>
      </c>
      <c r="AA5165">
        <f>IF(Z5165&gt;Z5164,Z5165,"")</f>
        <v/>
      </c>
      <c r="AB5165">
        <f>AB5164+IF(X5165="",0,IF(ISNA(MATCH(X5165,X$256:X5164,0)),1,0))</f>
        <v/>
      </c>
      <c r="AC5165">
        <f>IF(AB5165&gt;AB5164,AB5165,"")</f>
        <v/>
      </c>
    </row>
    <row r="5166">
      <c r="W5166" s="7" t="n"/>
      <c r="X5166" s="7" t="n"/>
      <c r="Z5166">
        <f>Z5165+IF(W5166="",0,IF(ISNA(MATCH(W5166,W$256:W5165,0)),1,0))</f>
        <v/>
      </c>
      <c r="AA5166">
        <f>IF(Z5166&gt;Z5165,Z5166,"")</f>
        <v/>
      </c>
      <c r="AB5166">
        <f>AB5165+IF(X5166="",0,IF(ISNA(MATCH(X5166,X$256:X5165,0)),1,0))</f>
        <v/>
      </c>
      <c r="AC5166">
        <f>IF(AB5166&gt;AB5165,AB5166,"")</f>
        <v/>
      </c>
    </row>
    <row r="5167">
      <c r="W5167" s="7" t="n"/>
      <c r="X5167" s="7" t="n"/>
      <c r="Z5167">
        <f>Z5166+IF(W5167="",0,IF(ISNA(MATCH(W5167,W$256:W5166,0)),1,0))</f>
        <v/>
      </c>
      <c r="AA5167">
        <f>IF(Z5167&gt;Z5166,Z5167,"")</f>
        <v/>
      </c>
      <c r="AB5167">
        <f>AB5166+IF(X5167="",0,IF(ISNA(MATCH(X5167,X$256:X5166,0)),1,0))</f>
        <v/>
      </c>
      <c r="AC5167">
        <f>IF(AB5167&gt;AB5166,AB5167,"")</f>
        <v/>
      </c>
    </row>
    <row r="5168">
      <c r="W5168" s="7" t="n"/>
      <c r="X5168" s="7" t="n"/>
      <c r="Z5168">
        <f>Z5167+IF(W5168="",0,IF(ISNA(MATCH(W5168,W$256:W5167,0)),1,0))</f>
        <v/>
      </c>
      <c r="AA5168">
        <f>IF(Z5168&gt;Z5167,Z5168,"")</f>
        <v/>
      </c>
      <c r="AB5168">
        <f>AB5167+IF(X5168="",0,IF(ISNA(MATCH(X5168,X$256:X5167,0)),1,0))</f>
        <v/>
      </c>
      <c r="AC5168">
        <f>IF(AB5168&gt;AB5167,AB5168,"")</f>
        <v/>
      </c>
    </row>
    <row r="5169">
      <c r="W5169" s="7" t="n"/>
      <c r="X5169" s="7" t="n"/>
      <c r="Z5169">
        <f>Z5168+IF(W5169="",0,IF(ISNA(MATCH(W5169,W$256:W5168,0)),1,0))</f>
        <v/>
      </c>
      <c r="AA5169">
        <f>IF(Z5169&gt;Z5168,Z5169,"")</f>
        <v/>
      </c>
      <c r="AB5169">
        <f>AB5168+IF(X5169="",0,IF(ISNA(MATCH(X5169,X$256:X5168,0)),1,0))</f>
        <v/>
      </c>
      <c r="AC5169">
        <f>IF(AB5169&gt;AB5168,AB5169,"")</f>
        <v/>
      </c>
    </row>
    <row r="5170">
      <c r="W5170" s="7" t="n"/>
      <c r="X5170" s="7" t="n"/>
      <c r="Z5170">
        <f>Z5169+IF(W5170="",0,IF(ISNA(MATCH(W5170,W$256:W5169,0)),1,0))</f>
        <v/>
      </c>
      <c r="AA5170">
        <f>IF(Z5170&gt;Z5169,Z5170,"")</f>
        <v/>
      </c>
      <c r="AB5170">
        <f>AB5169+IF(X5170="",0,IF(ISNA(MATCH(X5170,X$256:X5169,0)),1,0))</f>
        <v/>
      </c>
      <c r="AC5170">
        <f>IF(AB5170&gt;AB5169,AB5170,"")</f>
        <v/>
      </c>
    </row>
    <row r="5171">
      <c r="W5171" s="7" t="n"/>
      <c r="X5171" s="7" t="n"/>
      <c r="Z5171">
        <f>Z5170+IF(W5171="",0,IF(ISNA(MATCH(W5171,W$256:W5170,0)),1,0))</f>
        <v/>
      </c>
      <c r="AA5171">
        <f>IF(Z5171&gt;Z5170,Z5171,"")</f>
        <v/>
      </c>
      <c r="AB5171">
        <f>AB5170+IF(X5171="",0,IF(ISNA(MATCH(X5171,X$256:X5170,0)),1,0))</f>
        <v/>
      </c>
      <c r="AC5171">
        <f>IF(AB5171&gt;AB5170,AB5171,"")</f>
        <v/>
      </c>
    </row>
    <row r="5172">
      <c r="W5172" s="7" t="n"/>
      <c r="X5172" s="7" t="n"/>
      <c r="Z5172">
        <f>Z5171+IF(W5172="",0,IF(ISNA(MATCH(W5172,W$256:W5171,0)),1,0))</f>
        <v/>
      </c>
      <c r="AA5172">
        <f>IF(Z5172&gt;Z5171,Z5172,"")</f>
        <v/>
      </c>
      <c r="AB5172">
        <f>AB5171+IF(X5172="",0,IF(ISNA(MATCH(X5172,X$256:X5171,0)),1,0))</f>
        <v/>
      </c>
      <c r="AC5172">
        <f>IF(AB5172&gt;AB5171,AB5172,"")</f>
        <v/>
      </c>
    </row>
    <row r="5173">
      <c r="W5173" s="7" t="n"/>
      <c r="X5173" s="7" t="n"/>
      <c r="Z5173">
        <f>Z5172+IF(W5173="",0,IF(ISNA(MATCH(W5173,W$256:W5172,0)),1,0))</f>
        <v/>
      </c>
      <c r="AA5173">
        <f>IF(Z5173&gt;Z5172,Z5173,"")</f>
        <v/>
      </c>
      <c r="AB5173">
        <f>AB5172+IF(X5173="",0,IF(ISNA(MATCH(X5173,X$256:X5172,0)),1,0))</f>
        <v/>
      </c>
      <c r="AC5173">
        <f>IF(AB5173&gt;AB5172,AB5173,"")</f>
        <v/>
      </c>
    </row>
    <row r="5174">
      <c r="W5174" s="7" t="n"/>
      <c r="X5174" s="7" t="n"/>
      <c r="Z5174">
        <f>Z5173+IF(W5174="",0,IF(ISNA(MATCH(W5174,W$256:W5173,0)),1,0))</f>
        <v/>
      </c>
      <c r="AA5174">
        <f>IF(Z5174&gt;Z5173,Z5174,"")</f>
        <v/>
      </c>
      <c r="AB5174">
        <f>AB5173+IF(X5174="",0,IF(ISNA(MATCH(X5174,X$256:X5173,0)),1,0))</f>
        <v/>
      </c>
      <c r="AC5174">
        <f>IF(AB5174&gt;AB5173,AB5174,"")</f>
        <v/>
      </c>
    </row>
    <row r="5175">
      <c r="W5175" s="7" t="n"/>
      <c r="X5175" s="7" t="n"/>
      <c r="Z5175">
        <f>Z5174+IF(W5175="",0,IF(ISNA(MATCH(W5175,W$256:W5174,0)),1,0))</f>
        <v/>
      </c>
      <c r="AA5175">
        <f>IF(Z5175&gt;Z5174,Z5175,"")</f>
        <v/>
      </c>
      <c r="AB5175">
        <f>AB5174+IF(X5175="",0,IF(ISNA(MATCH(X5175,X$256:X5174,0)),1,0))</f>
        <v/>
      </c>
      <c r="AC5175">
        <f>IF(AB5175&gt;AB5174,AB5175,"")</f>
        <v/>
      </c>
    </row>
    <row r="5176">
      <c r="W5176" s="7" t="n"/>
      <c r="X5176" s="7" t="n"/>
      <c r="Z5176">
        <f>Z5175+IF(W5176="",0,IF(ISNA(MATCH(W5176,W$256:W5175,0)),1,0))</f>
        <v/>
      </c>
      <c r="AA5176">
        <f>IF(Z5176&gt;Z5175,Z5176,"")</f>
        <v/>
      </c>
      <c r="AB5176">
        <f>AB5175+IF(X5176="",0,IF(ISNA(MATCH(X5176,X$256:X5175,0)),1,0))</f>
        <v/>
      </c>
      <c r="AC5176">
        <f>IF(AB5176&gt;AB5175,AB5176,"")</f>
        <v/>
      </c>
    </row>
    <row r="5177">
      <c r="W5177" s="7" t="n"/>
      <c r="X5177" s="7" t="n"/>
      <c r="Z5177">
        <f>Z5176+IF(W5177="",0,IF(ISNA(MATCH(W5177,W$256:W5176,0)),1,0))</f>
        <v/>
      </c>
      <c r="AA5177">
        <f>IF(Z5177&gt;Z5176,Z5177,"")</f>
        <v/>
      </c>
      <c r="AB5177">
        <f>AB5176+IF(X5177="",0,IF(ISNA(MATCH(X5177,X$256:X5176,0)),1,0))</f>
        <v/>
      </c>
      <c r="AC5177">
        <f>IF(AB5177&gt;AB5176,AB5177,"")</f>
        <v/>
      </c>
    </row>
    <row r="5178">
      <c r="W5178" s="7" t="n"/>
      <c r="X5178" s="7" t="n"/>
      <c r="Z5178">
        <f>Z5177+IF(W5178="",0,IF(ISNA(MATCH(W5178,W$256:W5177,0)),1,0))</f>
        <v/>
      </c>
      <c r="AA5178">
        <f>IF(Z5178&gt;Z5177,Z5178,"")</f>
        <v/>
      </c>
      <c r="AB5178">
        <f>AB5177+IF(X5178="",0,IF(ISNA(MATCH(X5178,X$256:X5177,0)),1,0))</f>
        <v/>
      </c>
      <c r="AC5178">
        <f>IF(AB5178&gt;AB5177,AB5178,"")</f>
        <v/>
      </c>
    </row>
    <row r="5179">
      <c r="W5179" s="7" t="n"/>
      <c r="X5179" s="7" t="n"/>
      <c r="Z5179">
        <f>Z5178+IF(W5179="",0,IF(ISNA(MATCH(W5179,W$256:W5178,0)),1,0))</f>
        <v/>
      </c>
      <c r="AA5179">
        <f>IF(Z5179&gt;Z5178,Z5179,"")</f>
        <v/>
      </c>
      <c r="AB5179">
        <f>AB5178+IF(X5179="",0,IF(ISNA(MATCH(X5179,X$256:X5178,0)),1,0))</f>
        <v/>
      </c>
      <c r="AC5179">
        <f>IF(AB5179&gt;AB5178,AB5179,"")</f>
        <v/>
      </c>
    </row>
    <row r="5180">
      <c r="W5180" s="7" t="n"/>
      <c r="X5180" s="7" t="n"/>
      <c r="Z5180">
        <f>Z5179+IF(W5180="",0,IF(ISNA(MATCH(W5180,W$256:W5179,0)),1,0))</f>
        <v/>
      </c>
      <c r="AA5180">
        <f>IF(Z5180&gt;Z5179,Z5180,"")</f>
        <v/>
      </c>
      <c r="AB5180">
        <f>AB5179+IF(X5180="",0,IF(ISNA(MATCH(X5180,X$256:X5179,0)),1,0))</f>
        <v/>
      </c>
      <c r="AC5180">
        <f>IF(AB5180&gt;AB5179,AB5180,"")</f>
        <v/>
      </c>
    </row>
    <row r="5181">
      <c r="W5181" s="7" t="n"/>
      <c r="X5181" s="7" t="n"/>
      <c r="Z5181">
        <f>Z5180+IF(W5181="",0,IF(ISNA(MATCH(W5181,W$256:W5180,0)),1,0))</f>
        <v/>
      </c>
      <c r="AA5181">
        <f>IF(Z5181&gt;Z5180,Z5181,"")</f>
        <v/>
      </c>
      <c r="AB5181">
        <f>AB5180+IF(X5181="",0,IF(ISNA(MATCH(X5181,X$256:X5180,0)),1,0))</f>
        <v/>
      </c>
      <c r="AC5181">
        <f>IF(AB5181&gt;AB5180,AB5181,"")</f>
        <v/>
      </c>
    </row>
    <row r="5182">
      <c r="W5182" s="7" t="n"/>
      <c r="X5182" s="7" t="n"/>
      <c r="Z5182">
        <f>Z5181+IF(W5182="",0,IF(ISNA(MATCH(W5182,W$256:W5181,0)),1,0))</f>
        <v/>
      </c>
      <c r="AA5182">
        <f>IF(Z5182&gt;Z5181,Z5182,"")</f>
        <v/>
      </c>
      <c r="AB5182">
        <f>AB5181+IF(X5182="",0,IF(ISNA(MATCH(X5182,X$256:X5181,0)),1,0))</f>
        <v/>
      </c>
      <c r="AC5182">
        <f>IF(AB5182&gt;AB5181,AB5182,"")</f>
        <v/>
      </c>
    </row>
    <row r="5183">
      <c r="W5183" s="7" t="n"/>
      <c r="X5183" s="7" t="n"/>
      <c r="Z5183">
        <f>Z5182+IF(W5183="",0,IF(ISNA(MATCH(W5183,W$256:W5182,0)),1,0))</f>
        <v/>
      </c>
      <c r="AA5183">
        <f>IF(Z5183&gt;Z5182,Z5183,"")</f>
        <v/>
      </c>
      <c r="AB5183">
        <f>AB5182+IF(X5183="",0,IF(ISNA(MATCH(X5183,X$256:X5182,0)),1,0))</f>
        <v/>
      </c>
      <c r="AC5183">
        <f>IF(AB5183&gt;AB5182,AB5183,"")</f>
        <v/>
      </c>
    </row>
    <row r="5184">
      <c r="W5184" s="7" t="n"/>
      <c r="X5184" s="7" t="n"/>
      <c r="Z5184">
        <f>Z5183+IF(W5184="",0,IF(ISNA(MATCH(W5184,W$256:W5183,0)),1,0))</f>
        <v/>
      </c>
      <c r="AA5184">
        <f>IF(Z5184&gt;Z5183,Z5184,"")</f>
        <v/>
      </c>
      <c r="AB5184">
        <f>AB5183+IF(X5184="",0,IF(ISNA(MATCH(X5184,X$256:X5183,0)),1,0))</f>
        <v/>
      </c>
      <c r="AC5184">
        <f>IF(AB5184&gt;AB5183,AB5184,"")</f>
        <v/>
      </c>
    </row>
    <row r="5185">
      <c r="W5185" s="7" t="n"/>
      <c r="X5185" s="7" t="n"/>
      <c r="Z5185">
        <f>Z5184+IF(W5185="",0,IF(ISNA(MATCH(W5185,W$256:W5184,0)),1,0))</f>
        <v/>
      </c>
      <c r="AA5185">
        <f>IF(Z5185&gt;Z5184,Z5185,"")</f>
        <v/>
      </c>
      <c r="AB5185">
        <f>AB5184+IF(X5185="",0,IF(ISNA(MATCH(X5185,X$256:X5184,0)),1,0))</f>
        <v/>
      </c>
      <c r="AC5185">
        <f>IF(AB5185&gt;AB5184,AB5185,"")</f>
        <v/>
      </c>
    </row>
    <row r="5186">
      <c r="W5186" s="7" t="n"/>
      <c r="X5186" s="7" t="n"/>
      <c r="Z5186">
        <f>Z5185+IF(W5186="",0,IF(ISNA(MATCH(W5186,W$256:W5185,0)),1,0))</f>
        <v/>
      </c>
      <c r="AA5186">
        <f>IF(Z5186&gt;Z5185,Z5186,"")</f>
        <v/>
      </c>
      <c r="AB5186">
        <f>AB5185+IF(X5186="",0,IF(ISNA(MATCH(X5186,X$256:X5185,0)),1,0))</f>
        <v/>
      </c>
      <c r="AC5186">
        <f>IF(AB5186&gt;AB5185,AB5186,"")</f>
        <v/>
      </c>
    </row>
    <row r="5187">
      <c r="W5187" s="7" t="n"/>
      <c r="X5187" s="7" t="n"/>
      <c r="Z5187">
        <f>Z5186+IF(W5187="",0,IF(ISNA(MATCH(W5187,W$256:W5186,0)),1,0))</f>
        <v/>
      </c>
      <c r="AA5187">
        <f>IF(Z5187&gt;Z5186,Z5187,"")</f>
        <v/>
      </c>
      <c r="AB5187">
        <f>AB5186+IF(X5187="",0,IF(ISNA(MATCH(X5187,X$256:X5186,0)),1,0))</f>
        <v/>
      </c>
      <c r="AC5187">
        <f>IF(AB5187&gt;AB5186,AB5187,"")</f>
        <v/>
      </c>
    </row>
    <row r="5188">
      <c r="W5188" s="7" t="n"/>
      <c r="X5188" s="7" t="n"/>
      <c r="Z5188">
        <f>Z5187+IF(W5188="",0,IF(ISNA(MATCH(W5188,W$256:W5187,0)),1,0))</f>
        <v/>
      </c>
      <c r="AA5188">
        <f>IF(Z5188&gt;Z5187,Z5188,"")</f>
        <v/>
      </c>
      <c r="AB5188">
        <f>AB5187+IF(X5188="",0,IF(ISNA(MATCH(X5188,X$256:X5187,0)),1,0))</f>
        <v/>
      </c>
      <c r="AC5188">
        <f>IF(AB5188&gt;AB5187,AB5188,"")</f>
        <v/>
      </c>
    </row>
    <row r="5189">
      <c r="W5189" s="7" t="n"/>
      <c r="X5189" s="7" t="n"/>
      <c r="Z5189">
        <f>Z5188+IF(W5189="",0,IF(ISNA(MATCH(W5189,W$256:W5188,0)),1,0))</f>
        <v/>
      </c>
      <c r="AA5189">
        <f>IF(Z5189&gt;Z5188,Z5189,"")</f>
        <v/>
      </c>
      <c r="AB5189">
        <f>AB5188+IF(X5189="",0,IF(ISNA(MATCH(X5189,X$256:X5188,0)),1,0))</f>
        <v/>
      </c>
      <c r="AC5189">
        <f>IF(AB5189&gt;AB5188,AB5189,"")</f>
        <v/>
      </c>
    </row>
    <row r="5190">
      <c r="W5190" s="7" t="n"/>
      <c r="X5190" s="7" t="n"/>
      <c r="Z5190">
        <f>Z5189+IF(W5190="",0,IF(ISNA(MATCH(W5190,W$256:W5189,0)),1,0))</f>
        <v/>
      </c>
      <c r="AA5190">
        <f>IF(Z5190&gt;Z5189,Z5190,"")</f>
        <v/>
      </c>
      <c r="AB5190">
        <f>AB5189+IF(X5190="",0,IF(ISNA(MATCH(X5190,X$256:X5189,0)),1,0))</f>
        <v/>
      </c>
      <c r="AC5190">
        <f>IF(AB5190&gt;AB5189,AB5190,"")</f>
        <v/>
      </c>
    </row>
    <row r="5191">
      <c r="W5191" s="7" t="n"/>
      <c r="X5191" s="7" t="n"/>
      <c r="Z5191">
        <f>Z5190+IF(W5191="",0,IF(ISNA(MATCH(W5191,W$256:W5190,0)),1,0))</f>
        <v/>
      </c>
      <c r="AA5191">
        <f>IF(Z5191&gt;Z5190,Z5191,"")</f>
        <v/>
      </c>
      <c r="AB5191">
        <f>AB5190+IF(X5191="",0,IF(ISNA(MATCH(X5191,X$256:X5190,0)),1,0))</f>
        <v/>
      </c>
      <c r="AC5191">
        <f>IF(AB5191&gt;AB5190,AB5191,"")</f>
        <v/>
      </c>
    </row>
    <row r="5192">
      <c r="W5192" s="7" t="n"/>
      <c r="X5192" s="7" t="n"/>
      <c r="Z5192">
        <f>Z5191+IF(W5192="",0,IF(ISNA(MATCH(W5192,W$256:W5191,0)),1,0))</f>
        <v/>
      </c>
      <c r="AA5192">
        <f>IF(Z5192&gt;Z5191,Z5192,"")</f>
        <v/>
      </c>
      <c r="AB5192">
        <f>AB5191+IF(X5192="",0,IF(ISNA(MATCH(X5192,X$256:X5191,0)),1,0))</f>
        <v/>
      </c>
      <c r="AC5192">
        <f>IF(AB5192&gt;AB5191,AB5192,"")</f>
        <v/>
      </c>
    </row>
    <row r="5193">
      <c r="W5193" s="7" t="n"/>
      <c r="X5193" s="7" t="n"/>
      <c r="Z5193">
        <f>Z5192+IF(W5193="",0,IF(ISNA(MATCH(W5193,W$256:W5192,0)),1,0))</f>
        <v/>
      </c>
      <c r="AA5193">
        <f>IF(Z5193&gt;Z5192,Z5193,"")</f>
        <v/>
      </c>
      <c r="AB5193">
        <f>AB5192+IF(X5193="",0,IF(ISNA(MATCH(X5193,X$256:X5192,0)),1,0))</f>
        <v/>
      </c>
      <c r="AC5193">
        <f>IF(AB5193&gt;AB5192,AB5193,"")</f>
        <v/>
      </c>
    </row>
    <row r="5194">
      <c r="W5194" s="7" t="n"/>
      <c r="X5194" s="7" t="n"/>
      <c r="Z5194">
        <f>Z5193+IF(W5194="",0,IF(ISNA(MATCH(W5194,W$256:W5193,0)),1,0))</f>
        <v/>
      </c>
      <c r="AA5194">
        <f>IF(Z5194&gt;Z5193,Z5194,"")</f>
        <v/>
      </c>
      <c r="AB5194">
        <f>AB5193+IF(X5194="",0,IF(ISNA(MATCH(X5194,X$256:X5193,0)),1,0))</f>
        <v/>
      </c>
      <c r="AC5194">
        <f>IF(AB5194&gt;AB5193,AB5194,"")</f>
        <v/>
      </c>
    </row>
    <row r="5195">
      <c r="W5195" s="7" t="n"/>
      <c r="X5195" s="7" t="n"/>
      <c r="Z5195">
        <f>Z5194+IF(W5195="",0,IF(ISNA(MATCH(W5195,W$256:W5194,0)),1,0))</f>
        <v/>
      </c>
      <c r="AA5195">
        <f>IF(Z5195&gt;Z5194,Z5195,"")</f>
        <v/>
      </c>
      <c r="AB5195">
        <f>AB5194+IF(X5195="",0,IF(ISNA(MATCH(X5195,X$256:X5194,0)),1,0))</f>
        <v/>
      </c>
      <c r="AC5195">
        <f>IF(AB5195&gt;AB5194,AB5195,"")</f>
        <v/>
      </c>
    </row>
    <row r="5196">
      <c r="W5196" s="7" t="n"/>
      <c r="X5196" s="7" t="n"/>
      <c r="Z5196">
        <f>Z5195+IF(W5196="",0,IF(ISNA(MATCH(W5196,W$256:W5195,0)),1,0))</f>
        <v/>
      </c>
      <c r="AA5196">
        <f>IF(Z5196&gt;Z5195,Z5196,"")</f>
        <v/>
      </c>
      <c r="AB5196">
        <f>AB5195+IF(X5196="",0,IF(ISNA(MATCH(X5196,X$256:X5195,0)),1,0))</f>
        <v/>
      </c>
      <c r="AC5196">
        <f>IF(AB5196&gt;AB5195,AB5196,"")</f>
        <v/>
      </c>
    </row>
    <row r="5197">
      <c r="W5197" s="7" t="n"/>
      <c r="X5197" s="7" t="n"/>
      <c r="Z5197">
        <f>Z5196+IF(W5197="",0,IF(ISNA(MATCH(W5197,W$256:W5196,0)),1,0))</f>
        <v/>
      </c>
      <c r="AA5197">
        <f>IF(Z5197&gt;Z5196,Z5197,"")</f>
        <v/>
      </c>
      <c r="AB5197">
        <f>AB5196+IF(X5197="",0,IF(ISNA(MATCH(X5197,X$256:X5196,0)),1,0))</f>
        <v/>
      </c>
      <c r="AC5197">
        <f>IF(AB5197&gt;AB5196,AB5197,"")</f>
        <v/>
      </c>
    </row>
    <row r="5198">
      <c r="W5198" s="7" t="n"/>
      <c r="X5198" s="7" t="n"/>
      <c r="Z5198">
        <f>Z5197+IF(W5198="",0,IF(ISNA(MATCH(W5198,W$256:W5197,0)),1,0))</f>
        <v/>
      </c>
      <c r="AA5198">
        <f>IF(Z5198&gt;Z5197,Z5198,"")</f>
        <v/>
      </c>
      <c r="AB5198">
        <f>AB5197+IF(X5198="",0,IF(ISNA(MATCH(X5198,X$256:X5197,0)),1,0))</f>
        <v/>
      </c>
      <c r="AC5198">
        <f>IF(AB5198&gt;AB5197,AB5198,"")</f>
        <v/>
      </c>
    </row>
    <row r="5199">
      <c r="W5199" s="7" t="n"/>
      <c r="X5199" s="7" t="n"/>
      <c r="Z5199">
        <f>Z5198+IF(W5199="",0,IF(ISNA(MATCH(W5199,W$256:W5198,0)),1,0))</f>
        <v/>
      </c>
      <c r="AA5199">
        <f>IF(Z5199&gt;Z5198,Z5199,"")</f>
        <v/>
      </c>
      <c r="AB5199">
        <f>AB5198+IF(X5199="",0,IF(ISNA(MATCH(X5199,X$256:X5198,0)),1,0))</f>
        <v/>
      </c>
      <c r="AC5199">
        <f>IF(AB5199&gt;AB5198,AB5199,"")</f>
        <v/>
      </c>
    </row>
    <row r="5200">
      <c r="W5200" s="7" t="n"/>
      <c r="X5200" s="7" t="n"/>
      <c r="Z5200">
        <f>Z5199+IF(W5200="",0,IF(ISNA(MATCH(W5200,W$256:W5199,0)),1,0))</f>
        <v/>
      </c>
      <c r="AA5200">
        <f>IF(Z5200&gt;Z5199,Z5200,"")</f>
        <v/>
      </c>
      <c r="AB5200">
        <f>AB5199+IF(X5200="",0,IF(ISNA(MATCH(X5200,X$256:X5199,0)),1,0))</f>
        <v/>
      </c>
      <c r="AC5200">
        <f>IF(AB5200&gt;AB5199,AB5200,"")</f>
        <v/>
      </c>
    </row>
    <row r="5201">
      <c r="W5201" s="7" t="n"/>
      <c r="X5201" s="7" t="n"/>
      <c r="Z5201">
        <f>Z5200+IF(W5201="",0,IF(ISNA(MATCH(W5201,W$256:W5200,0)),1,0))</f>
        <v/>
      </c>
      <c r="AA5201">
        <f>IF(Z5201&gt;Z5200,Z5201,"")</f>
        <v/>
      </c>
      <c r="AB5201">
        <f>AB5200+IF(X5201="",0,IF(ISNA(MATCH(X5201,X$256:X5200,0)),1,0))</f>
        <v/>
      </c>
      <c r="AC5201">
        <f>IF(AB5201&gt;AB5200,AB5201,"")</f>
        <v/>
      </c>
    </row>
    <row r="5202">
      <c r="W5202" s="7" t="n"/>
      <c r="X5202" s="7" t="n"/>
      <c r="Z5202">
        <f>Z5201+IF(W5202="",0,IF(ISNA(MATCH(W5202,W$256:W5201,0)),1,0))</f>
        <v/>
      </c>
      <c r="AA5202">
        <f>IF(Z5202&gt;Z5201,Z5202,"")</f>
        <v/>
      </c>
      <c r="AB5202">
        <f>AB5201+IF(X5202="",0,IF(ISNA(MATCH(X5202,X$256:X5201,0)),1,0))</f>
        <v/>
      </c>
      <c r="AC5202">
        <f>IF(AB5202&gt;AB5201,AB5202,"")</f>
        <v/>
      </c>
    </row>
    <row r="5203">
      <c r="W5203" s="7" t="n"/>
      <c r="X5203" s="7" t="n"/>
      <c r="Z5203">
        <f>Z5202+IF(W5203="",0,IF(ISNA(MATCH(W5203,W$256:W5202,0)),1,0))</f>
        <v/>
      </c>
      <c r="AA5203">
        <f>IF(Z5203&gt;Z5202,Z5203,"")</f>
        <v/>
      </c>
      <c r="AB5203">
        <f>AB5202+IF(X5203="",0,IF(ISNA(MATCH(X5203,X$256:X5202,0)),1,0))</f>
        <v/>
      </c>
      <c r="AC5203">
        <f>IF(AB5203&gt;AB5202,AB5203,"")</f>
        <v/>
      </c>
    </row>
    <row r="5204">
      <c r="W5204" s="7" t="n"/>
      <c r="X5204" s="7" t="n"/>
      <c r="Z5204">
        <f>Z5203+IF(W5204="",0,IF(ISNA(MATCH(W5204,W$256:W5203,0)),1,0))</f>
        <v/>
      </c>
      <c r="AA5204">
        <f>IF(Z5204&gt;Z5203,Z5204,"")</f>
        <v/>
      </c>
      <c r="AB5204">
        <f>AB5203+IF(X5204="",0,IF(ISNA(MATCH(X5204,X$256:X5203,0)),1,0))</f>
        <v/>
      </c>
      <c r="AC5204">
        <f>IF(AB5204&gt;AB5203,AB5204,"")</f>
        <v/>
      </c>
    </row>
    <row r="5205">
      <c r="W5205" s="7" t="n"/>
      <c r="X5205" s="7" t="n"/>
      <c r="Z5205">
        <f>Z5204+IF(W5205="",0,IF(ISNA(MATCH(W5205,W$256:W5204,0)),1,0))</f>
        <v/>
      </c>
      <c r="AA5205">
        <f>IF(Z5205&gt;Z5204,Z5205,"")</f>
        <v/>
      </c>
      <c r="AB5205">
        <f>AB5204+IF(X5205="",0,IF(ISNA(MATCH(X5205,X$256:X5204,0)),1,0))</f>
        <v/>
      </c>
      <c r="AC5205">
        <f>IF(AB5205&gt;AB5204,AB5205,"")</f>
        <v/>
      </c>
    </row>
    <row r="5206">
      <c r="W5206" s="7" t="n"/>
      <c r="X5206" s="7" t="n"/>
      <c r="Z5206">
        <f>Z5205+IF(W5206="",0,IF(ISNA(MATCH(W5206,W$256:W5205,0)),1,0))</f>
        <v/>
      </c>
      <c r="AA5206">
        <f>IF(Z5206&gt;Z5205,Z5206,"")</f>
        <v/>
      </c>
      <c r="AB5206">
        <f>AB5205+IF(X5206="",0,IF(ISNA(MATCH(X5206,X$256:X5205,0)),1,0))</f>
        <v/>
      </c>
      <c r="AC5206">
        <f>IF(AB5206&gt;AB5205,AB5206,"")</f>
        <v/>
      </c>
    </row>
    <row r="5207">
      <c r="W5207" s="7" t="n"/>
      <c r="X5207" s="7" t="n"/>
      <c r="Z5207">
        <f>Z5206+IF(W5207="",0,IF(ISNA(MATCH(W5207,W$256:W5206,0)),1,0))</f>
        <v/>
      </c>
      <c r="AA5207">
        <f>IF(Z5207&gt;Z5206,Z5207,"")</f>
        <v/>
      </c>
      <c r="AB5207">
        <f>AB5206+IF(X5207="",0,IF(ISNA(MATCH(X5207,X$256:X5206,0)),1,0))</f>
        <v/>
      </c>
      <c r="AC5207">
        <f>IF(AB5207&gt;AB5206,AB5207,"")</f>
        <v/>
      </c>
    </row>
    <row r="5208">
      <c r="W5208" s="7" t="n"/>
      <c r="X5208" s="7" t="n"/>
      <c r="Z5208">
        <f>Z5207+IF(W5208="",0,IF(ISNA(MATCH(W5208,W$256:W5207,0)),1,0))</f>
        <v/>
      </c>
      <c r="AA5208">
        <f>IF(Z5208&gt;Z5207,Z5208,"")</f>
        <v/>
      </c>
      <c r="AB5208">
        <f>AB5207+IF(X5208="",0,IF(ISNA(MATCH(X5208,X$256:X5207,0)),1,0))</f>
        <v/>
      </c>
      <c r="AC5208">
        <f>IF(AB5208&gt;AB5207,AB5208,"")</f>
        <v/>
      </c>
    </row>
    <row r="5209">
      <c r="W5209" s="7" t="n"/>
      <c r="X5209" s="7" t="n"/>
      <c r="Z5209">
        <f>Z5208+IF(W5209="",0,IF(ISNA(MATCH(W5209,W$256:W5208,0)),1,0))</f>
        <v/>
      </c>
      <c r="AA5209">
        <f>IF(Z5209&gt;Z5208,Z5209,"")</f>
        <v/>
      </c>
      <c r="AB5209">
        <f>AB5208+IF(X5209="",0,IF(ISNA(MATCH(X5209,X$256:X5208,0)),1,0))</f>
        <v/>
      </c>
      <c r="AC5209">
        <f>IF(AB5209&gt;AB5208,AB5209,"")</f>
        <v/>
      </c>
    </row>
    <row r="5210">
      <c r="W5210" s="7" t="n"/>
      <c r="X5210" s="7" t="n"/>
      <c r="Z5210">
        <f>Z5209+IF(W5210="",0,IF(ISNA(MATCH(W5210,W$256:W5209,0)),1,0))</f>
        <v/>
      </c>
      <c r="AA5210">
        <f>IF(Z5210&gt;Z5209,Z5210,"")</f>
        <v/>
      </c>
      <c r="AB5210">
        <f>AB5209+IF(X5210="",0,IF(ISNA(MATCH(X5210,X$256:X5209,0)),1,0))</f>
        <v/>
      </c>
      <c r="AC5210">
        <f>IF(AB5210&gt;AB5209,AB5210,"")</f>
        <v/>
      </c>
    </row>
    <row r="5211">
      <c r="W5211" s="7" t="n"/>
      <c r="X5211" s="7" t="n"/>
      <c r="Z5211">
        <f>Z5210+IF(W5211="",0,IF(ISNA(MATCH(W5211,W$256:W5210,0)),1,0))</f>
        <v/>
      </c>
      <c r="AA5211">
        <f>IF(Z5211&gt;Z5210,Z5211,"")</f>
        <v/>
      </c>
      <c r="AB5211">
        <f>AB5210+IF(X5211="",0,IF(ISNA(MATCH(X5211,X$256:X5210,0)),1,0))</f>
        <v/>
      </c>
      <c r="AC5211">
        <f>IF(AB5211&gt;AB5210,AB5211,"")</f>
        <v/>
      </c>
    </row>
    <row r="5212">
      <c r="W5212" s="7" t="n"/>
      <c r="X5212" s="7" t="n"/>
      <c r="Z5212">
        <f>Z5211+IF(W5212="",0,IF(ISNA(MATCH(W5212,W$256:W5211,0)),1,0))</f>
        <v/>
      </c>
      <c r="AA5212">
        <f>IF(Z5212&gt;Z5211,Z5212,"")</f>
        <v/>
      </c>
      <c r="AB5212">
        <f>AB5211+IF(X5212="",0,IF(ISNA(MATCH(X5212,X$256:X5211,0)),1,0))</f>
        <v/>
      </c>
      <c r="AC5212">
        <f>IF(AB5212&gt;AB5211,AB5212,"")</f>
        <v/>
      </c>
    </row>
    <row r="5213">
      <c r="W5213" s="7" t="n"/>
      <c r="X5213" s="7" t="n"/>
      <c r="Z5213">
        <f>Z5212+IF(W5213="",0,IF(ISNA(MATCH(W5213,W$256:W5212,0)),1,0))</f>
        <v/>
      </c>
      <c r="AA5213">
        <f>IF(Z5213&gt;Z5212,Z5213,"")</f>
        <v/>
      </c>
      <c r="AB5213">
        <f>AB5212+IF(X5213="",0,IF(ISNA(MATCH(X5213,X$256:X5212,0)),1,0))</f>
        <v/>
      </c>
      <c r="AC5213">
        <f>IF(AB5213&gt;AB5212,AB5213,"")</f>
        <v/>
      </c>
    </row>
    <row r="5214">
      <c r="W5214" s="7" t="n"/>
      <c r="X5214" s="7" t="n"/>
      <c r="Z5214">
        <f>Z5213+IF(W5214="",0,IF(ISNA(MATCH(W5214,W$256:W5213,0)),1,0))</f>
        <v/>
      </c>
      <c r="AA5214">
        <f>IF(Z5214&gt;Z5213,Z5214,"")</f>
        <v/>
      </c>
      <c r="AB5214">
        <f>AB5213+IF(X5214="",0,IF(ISNA(MATCH(X5214,X$256:X5213,0)),1,0))</f>
        <v/>
      </c>
      <c r="AC5214">
        <f>IF(AB5214&gt;AB5213,AB5214,"")</f>
        <v/>
      </c>
    </row>
    <row r="5215">
      <c r="W5215" s="7" t="n"/>
      <c r="X5215" s="7" t="n"/>
      <c r="Z5215">
        <f>Z5214+IF(W5215="",0,IF(ISNA(MATCH(W5215,W$256:W5214,0)),1,0))</f>
        <v/>
      </c>
      <c r="AA5215">
        <f>IF(Z5215&gt;Z5214,Z5215,"")</f>
        <v/>
      </c>
      <c r="AB5215">
        <f>AB5214+IF(X5215="",0,IF(ISNA(MATCH(X5215,X$256:X5214,0)),1,0))</f>
        <v/>
      </c>
      <c r="AC5215">
        <f>IF(AB5215&gt;AB5214,AB5215,"")</f>
        <v/>
      </c>
    </row>
    <row r="5216">
      <c r="W5216" s="7" t="n"/>
      <c r="X5216" s="7" t="n"/>
      <c r="Z5216">
        <f>Z5215+IF(W5216="",0,IF(ISNA(MATCH(W5216,W$256:W5215,0)),1,0))</f>
        <v/>
      </c>
      <c r="AA5216">
        <f>IF(Z5216&gt;Z5215,Z5216,"")</f>
        <v/>
      </c>
      <c r="AB5216">
        <f>AB5215+IF(X5216="",0,IF(ISNA(MATCH(X5216,X$256:X5215,0)),1,0))</f>
        <v/>
      </c>
      <c r="AC5216">
        <f>IF(AB5216&gt;AB5215,AB5216,"")</f>
        <v/>
      </c>
    </row>
    <row r="5217">
      <c r="W5217" s="7" t="n"/>
      <c r="X5217" s="7" t="n"/>
      <c r="Z5217">
        <f>Z5216+IF(W5217="",0,IF(ISNA(MATCH(W5217,W$256:W5216,0)),1,0))</f>
        <v/>
      </c>
      <c r="AA5217">
        <f>IF(Z5217&gt;Z5216,Z5217,"")</f>
        <v/>
      </c>
      <c r="AB5217">
        <f>AB5216+IF(X5217="",0,IF(ISNA(MATCH(X5217,X$256:X5216,0)),1,0))</f>
        <v/>
      </c>
      <c r="AC5217">
        <f>IF(AB5217&gt;AB5216,AB5217,"")</f>
        <v/>
      </c>
    </row>
    <row r="5218">
      <c r="W5218" s="7" t="n"/>
      <c r="X5218" s="7" t="n"/>
      <c r="Z5218">
        <f>Z5217+IF(W5218="",0,IF(ISNA(MATCH(W5218,W$256:W5217,0)),1,0))</f>
        <v/>
      </c>
      <c r="AA5218">
        <f>IF(Z5218&gt;Z5217,Z5218,"")</f>
        <v/>
      </c>
      <c r="AB5218">
        <f>AB5217+IF(X5218="",0,IF(ISNA(MATCH(X5218,X$256:X5217,0)),1,0))</f>
        <v/>
      </c>
      <c r="AC5218">
        <f>IF(AB5218&gt;AB5217,AB5218,"")</f>
        <v/>
      </c>
    </row>
    <row r="5219">
      <c r="W5219" s="7" t="n"/>
      <c r="X5219" s="7" t="n"/>
      <c r="Z5219">
        <f>Z5218+IF(W5219="",0,IF(ISNA(MATCH(W5219,W$256:W5218,0)),1,0))</f>
        <v/>
      </c>
      <c r="AA5219">
        <f>IF(Z5219&gt;Z5218,Z5219,"")</f>
        <v/>
      </c>
      <c r="AB5219">
        <f>AB5218+IF(X5219="",0,IF(ISNA(MATCH(X5219,X$256:X5218,0)),1,0))</f>
        <v/>
      </c>
      <c r="AC5219">
        <f>IF(AB5219&gt;AB5218,AB5219,"")</f>
        <v/>
      </c>
    </row>
    <row r="5220">
      <c r="W5220" s="7" t="n"/>
      <c r="X5220" s="7" t="n"/>
      <c r="Z5220">
        <f>Z5219+IF(W5220="",0,IF(ISNA(MATCH(W5220,W$256:W5219,0)),1,0))</f>
        <v/>
      </c>
      <c r="AA5220">
        <f>IF(Z5220&gt;Z5219,Z5220,"")</f>
        <v/>
      </c>
      <c r="AB5220">
        <f>AB5219+IF(X5220="",0,IF(ISNA(MATCH(X5220,X$256:X5219,0)),1,0))</f>
        <v/>
      </c>
      <c r="AC5220">
        <f>IF(AB5220&gt;AB5219,AB5220,"")</f>
        <v/>
      </c>
    </row>
    <row r="5221">
      <c r="W5221" s="7" t="n"/>
      <c r="X5221" s="7" t="n"/>
      <c r="Z5221">
        <f>Z5220+IF(W5221="",0,IF(ISNA(MATCH(W5221,W$256:W5220,0)),1,0))</f>
        <v/>
      </c>
      <c r="AA5221">
        <f>IF(Z5221&gt;Z5220,Z5221,"")</f>
        <v/>
      </c>
      <c r="AB5221">
        <f>AB5220+IF(X5221="",0,IF(ISNA(MATCH(X5221,X$256:X5220,0)),1,0))</f>
        <v/>
      </c>
      <c r="AC5221">
        <f>IF(AB5221&gt;AB5220,AB5221,"")</f>
        <v/>
      </c>
    </row>
    <row r="5222">
      <c r="W5222" s="7" t="n"/>
      <c r="X5222" s="7" t="n"/>
      <c r="Z5222">
        <f>Z5221+IF(W5222="",0,IF(ISNA(MATCH(W5222,W$256:W5221,0)),1,0))</f>
        <v/>
      </c>
      <c r="AA5222">
        <f>IF(Z5222&gt;Z5221,Z5222,"")</f>
        <v/>
      </c>
      <c r="AB5222">
        <f>AB5221+IF(X5222="",0,IF(ISNA(MATCH(X5222,X$256:X5221,0)),1,0))</f>
        <v/>
      </c>
      <c r="AC5222">
        <f>IF(AB5222&gt;AB5221,AB5222,"")</f>
        <v/>
      </c>
    </row>
    <row r="5223">
      <c r="W5223" s="7" t="n"/>
      <c r="X5223" s="7" t="n"/>
      <c r="Z5223">
        <f>Z5222+IF(W5223="",0,IF(ISNA(MATCH(W5223,W$256:W5222,0)),1,0))</f>
        <v/>
      </c>
      <c r="AA5223">
        <f>IF(Z5223&gt;Z5222,Z5223,"")</f>
        <v/>
      </c>
      <c r="AB5223">
        <f>AB5222+IF(X5223="",0,IF(ISNA(MATCH(X5223,X$256:X5222,0)),1,0))</f>
        <v/>
      </c>
      <c r="AC5223">
        <f>IF(AB5223&gt;AB5222,AB5223,"")</f>
        <v/>
      </c>
    </row>
    <row r="5224">
      <c r="W5224" s="7" t="n"/>
      <c r="X5224" s="7" t="n"/>
      <c r="Z5224">
        <f>Z5223+IF(W5224="",0,IF(ISNA(MATCH(W5224,W$256:W5223,0)),1,0))</f>
        <v/>
      </c>
      <c r="AA5224">
        <f>IF(Z5224&gt;Z5223,Z5224,"")</f>
        <v/>
      </c>
      <c r="AB5224">
        <f>AB5223+IF(X5224="",0,IF(ISNA(MATCH(X5224,X$256:X5223,0)),1,0))</f>
        <v/>
      </c>
      <c r="AC5224">
        <f>IF(AB5224&gt;AB5223,AB5224,"")</f>
        <v/>
      </c>
    </row>
    <row r="5225">
      <c r="W5225" s="7" t="n"/>
      <c r="X5225" s="7" t="n"/>
      <c r="Z5225">
        <f>Z5224+IF(W5225="",0,IF(ISNA(MATCH(W5225,W$256:W5224,0)),1,0))</f>
        <v/>
      </c>
      <c r="AA5225">
        <f>IF(Z5225&gt;Z5224,Z5225,"")</f>
        <v/>
      </c>
      <c r="AB5225">
        <f>AB5224+IF(X5225="",0,IF(ISNA(MATCH(X5225,X$256:X5224,0)),1,0))</f>
        <v/>
      </c>
      <c r="AC5225">
        <f>IF(AB5225&gt;AB5224,AB5225,"")</f>
        <v/>
      </c>
    </row>
    <row r="5226">
      <c r="W5226" s="7" t="n"/>
      <c r="X5226" s="7" t="n"/>
      <c r="Z5226">
        <f>Z5225+IF(W5226="",0,IF(ISNA(MATCH(W5226,W$256:W5225,0)),1,0))</f>
        <v/>
      </c>
      <c r="AA5226">
        <f>IF(Z5226&gt;Z5225,Z5226,"")</f>
        <v/>
      </c>
      <c r="AB5226">
        <f>AB5225+IF(X5226="",0,IF(ISNA(MATCH(X5226,X$256:X5225,0)),1,0))</f>
        <v/>
      </c>
      <c r="AC5226">
        <f>IF(AB5226&gt;AB5225,AB5226,"")</f>
        <v/>
      </c>
    </row>
    <row r="5227">
      <c r="W5227" s="7" t="n"/>
      <c r="X5227" s="7" t="n"/>
      <c r="Z5227">
        <f>Z5226+IF(W5227="",0,IF(ISNA(MATCH(W5227,W$256:W5226,0)),1,0))</f>
        <v/>
      </c>
      <c r="AA5227">
        <f>IF(Z5227&gt;Z5226,Z5227,"")</f>
        <v/>
      </c>
      <c r="AB5227">
        <f>AB5226+IF(X5227="",0,IF(ISNA(MATCH(X5227,X$256:X5226,0)),1,0))</f>
        <v/>
      </c>
      <c r="AC5227">
        <f>IF(AB5227&gt;AB5226,AB5227,"")</f>
        <v/>
      </c>
    </row>
    <row r="5228">
      <c r="W5228" s="7" t="n"/>
      <c r="X5228" s="7" t="n"/>
      <c r="Z5228">
        <f>Z5227+IF(W5228="",0,IF(ISNA(MATCH(W5228,W$256:W5227,0)),1,0))</f>
        <v/>
      </c>
      <c r="AA5228">
        <f>IF(Z5228&gt;Z5227,Z5228,"")</f>
        <v/>
      </c>
      <c r="AB5228">
        <f>AB5227+IF(X5228="",0,IF(ISNA(MATCH(X5228,X$256:X5227,0)),1,0))</f>
        <v/>
      </c>
      <c r="AC5228">
        <f>IF(AB5228&gt;AB5227,AB5228,"")</f>
        <v/>
      </c>
    </row>
    <row r="5229">
      <c r="W5229" s="7" t="n"/>
      <c r="X5229" s="7" t="n"/>
      <c r="Z5229">
        <f>Z5228+IF(W5229="",0,IF(ISNA(MATCH(W5229,W$256:W5228,0)),1,0))</f>
        <v/>
      </c>
      <c r="AA5229">
        <f>IF(Z5229&gt;Z5228,Z5229,"")</f>
        <v/>
      </c>
      <c r="AB5229">
        <f>AB5228+IF(X5229="",0,IF(ISNA(MATCH(X5229,X$256:X5228,0)),1,0))</f>
        <v/>
      </c>
      <c r="AC5229">
        <f>IF(AB5229&gt;AB5228,AB5229,"")</f>
        <v/>
      </c>
    </row>
    <row r="5230">
      <c r="W5230" s="7" t="n"/>
      <c r="X5230" s="7" t="n"/>
      <c r="Z5230">
        <f>Z5229+IF(W5230="",0,IF(ISNA(MATCH(W5230,W$256:W5229,0)),1,0))</f>
        <v/>
      </c>
      <c r="AA5230">
        <f>IF(Z5230&gt;Z5229,Z5230,"")</f>
        <v/>
      </c>
      <c r="AB5230">
        <f>AB5229+IF(X5230="",0,IF(ISNA(MATCH(X5230,X$256:X5229,0)),1,0))</f>
        <v/>
      </c>
      <c r="AC5230">
        <f>IF(AB5230&gt;AB5229,AB5230,"")</f>
        <v/>
      </c>
    </row>
    <row r="5231">
      <c r="W5231" s="7" t="n"/>
      <c r="X5231" s="7" t="n"/>
      <c r="Z5231">
        <f>Z5230+IF(W5231="",0,IF(ISNA(MATCH(W5231,W$256:W5230,0)),1,0))</f>
        <v/>
      </c>
      <c r="AA5231">
        <f>IF(Z5231&gt;Z5230,Z5231,"")</f>
        <v/>
      </c>
      <c r="AB5231">
        <f>AB5230+IF(X5231="",0,IF(ISNA(MATCH(X5231,X$256:X5230,0)),1,0))</f>
        <v/>
      </c>
      <c r="AC5231">
        <f>IF(AB5231&gt;AB5230,AB5231,"")</f>
        <v/>
      </c>
    </row>
    <row r="5232">
      <c r="W5232" s="7" t="n"/>
      <c r="X5232" s="7" t="n"/>
      <c r="Z5232">
        <f>Z5231+IF(W5232="",0,IF(ISNA(MATCH(W5232,W$256:W5231,0)),1,0))</f>
        <v/>
      </c>
      <c r="AA5232">
        <f>IF(Z5232&gt;Z5231,Z5232,"")</f>
        <v/>
      </c>
      <c r="AB5232">
        <f>AB5231+IF(X5232="",0,IF(ISNA(MATCH(X5232,X$256:X5231,0)),1,0))</f>
        <v/>
      </c>
      <c r="AC5232">
        <f>IF(AB5232&gt;AB5231,AB5232,"")</f>
        <v/>
      </c>
    </row>
    <row r="5233">
      <c r="W5233" s="7" t="n"/>
      <c r="X5233" s="7" t="n"/>
      <c r="Z5233">
        <f>Z5232+IF(W5233="",0,IF(ISNA(MATCH(W5233,W$256:W5232,0)),1,0))</f>
        <v/>
      </c>
      <c r="AA5233">
        <f>IF(Z5233&gt;Z5232,Z5233,"")</f>
        <v/>
      </c>
      <c r="AB5233">
        <f>AB5232+IF(X5233="",0,IF(ISNA(MATCH(X5233,X$256:X5232,0)),1,0))</f>
        <v/>
      </c>
      <c r="AC5233">
        <f>IF(AB5233&gt;AB5232,AB5233,"")</f>
        <v/>
      </c>
    </row>
    <row r="5234">
      <c r="W5234" s="7" t="n"/>
      <c r="X5234" s="7" t="n"/>
      <c r="Z5234">
        <f>Z5233+IF(W5234="",0,IF(ISNA(MATCH(W5234,W$256:W5233,0)),1,0))</f>
        <v/>
      </c>
      <c r="AA5234">
        <f>IF(Z5234&gt;Z5233,Z5234,"")</f>
        <v/>
      </c>
      <c r="AB5234">
        <f>AB5233+IF(X5234="",0,IF(ISNA(MATCH(X5234,X$256:X5233,0)),1,0))</f>
        <v/>
      </c>
      <c r="AC5234">
        <f>IF(AB5234&gt;AB5233,AB5234,"")</f>
        <v/>
      </c>
    </row>
    <row r="5235">
      <c r="W5235" s="7" t="n"/>
      <c r="X5235" s="7" t="n"/>
      <c r="Z5235">
        <f>Z5234+IF(W5235="",0,IF(ISNA(MATCH(W5235,W$256:W5234,0)),1,0))</f>
        <v/>
      </c>
      <c r="AA5235">
        <f>IF(Z5235&gt;Z5234,Z5235,"")</f>
        <v/>
      </c>
      <c r="AB5235">
        <f>AB5234+IF(X5235="",0,IF(ISNA(MATCH(X5235,X$256:X5234,0)),1,0))</f>
        <v/>
      </c>
      <c r="AC5235">
        <f>IF(AB5235&gt;AB5234,AB5235,"")</f>
        <v/>
      </c>
    </row>
    <row r="5236">
      <c r="W5236" s="7" t="n"/>
      <c r="X5236" s="7" t="n"/>
      <c r="Z5236">
        <f>Z5235+IF(W5236="",0,IF(ISNA(MATCH(W5236,W$256:W5235,0)),1,0))</f>
        <v/>
      </c>
      <c r="AA5236">
        <f>IF(Z5236&gt;Z5235,Z5236,"")</f>
        <v/>
      </c>
      <c r="AB5236">
        <f>AB5235+IF(X5236="",0,IF(ISNA(MATCH(X5236,X$256:X5235,0)),1,0))</f>
        <v/>
      </c>
      <c r="AC5236">
        <f>IF(AB5236&gt;AB5235,AB5236,"")</f>
        <v/>
      </c>
    </row>
    <row r="5237">
      <c r="W5237" s="7" t="n"/>
      <c r="X5237" s="7" t="n"/>
      <c r="Z5237">
        <f>Z5236+IF(W5237="",0,IF(ISNA(MATCH(W5237,W$256:W5236,0)),1,0))</f>
        <v/>
      </c>
      <c r="AA5237">
        <f>IF(Z5237&gt;Z5236,Z5237,"")</f>
        <v/>
      </c>
      <c r="AB5237">
        <f>AB5236+IF(X5237="",0,IF(ISNA(MATCH(X5237,X$256:X5236,0)),1,0))</f>
        <v/>
      </c>
      <c r="AC5237">
        <f>IF(AB5237&gt;AB5236,AB5237,"")</f>
        <v/>
      </c>
    </row>
    <row r="5238">
      <c r="W5238" s="7" t="n"/>
      <c r="X5238" s="7" t="n"/>
      <c r="Z5238">
        <f>Z5237+IF(W5238="",0,IF(ISNA(MATCH(W5238,W$256:W5237,0)),1,0))</f>
        <v/>
      </c>
      <c r="AA5238">
        <f>IF(Z5238&gt;Z5237,Z5238,"")</f>
        <v/>
      </c>
      <c r="AB5238">
        <f>AB5237+IF(X5238="",0,IF(ISNA(MATCH(X5238,X$256:X5237,0)),1,0))</f>
        <v/>
      </c>
      <c r="AC5238">
        <f>IF(AB5238&gt;AB5237,AB5238,"")</f>
        <v/>
      </c>
    </row>
    <row r="5239">
      <c r="W5239" s="7" t="n"/>
      <c r="X5239" s="7" t="n"/>
      <c r="Z5239">
        <f>Z5238+IF(W5239="",0,IF(ISNA(MATCH(W5239,W$256:W5238,0)),1,0))</f>
        <v/>
      </c>
      <c r="AA5239">
        <f>IF(Z5239&gt;Z5238,Z5239,"")</f>
        <v/>
      </c>
      <c r="AB5239">
        <f>AB5238+IF(X5239="",0,IF(ISNA(MATCH(X5239,X$256:X5238,0)),1,0))</f>
        <v/>
      </c>
      <c r="AC5239">
        <f>IF(AB5239&gt;AB5238,AB5239,"")</f>
        <v/>
      </c>
    </row>
    <row r="5240">
      <c r="W5240" s="7" t="n"/>
      <c r="X5240" s="7" t="n"/>
      <c r="Z5240">
        <f>Z5239+IF(W5240="",0,IF(ISNA(MATCH(W5240,W$256:W5239,0)),1,0))</f>
        <v/>
      </c>
      <c r="AA5240">
        <f>IF(Z5240&gt;Z5239,Z5240,"")</f>
        <v/>
      </c>
      <c r="AB5240">
        <f>AB5239+IF(X5240="",0,IF(ISNA(MATCH(X5240,X$256:X5239,0)),1,0))</f>
        <v/>
      </c>
      <c r="AC5240">
        <f>IF(AB5240&gt;AB5239,AB5240,"")</f>
        <v/>
      </c>
    </row>
    <row r="5241">
      <c r="W5241" s="7" t="n"/>
      <c r="X5241" s="7" t="n"/>
      <c r="Z5241">
        <f>Z5240+IF(W5241="",0,IF(ISNA(MATCH(W5241,W$256:W5240,0)),1,0))</f>
        <v/>
      </c>
      <c r="AA5241">
        <f>IF(Z5241&gt;Z5240,Z5241,"")</f>
        <v/>
      </c>
      <c r="AB5241">
        <f>AB5240+IF(X5241="",0,IF(ISNA(MATCH(X5241,X$256:X5240,0)),1,0))</f>
        <v/>
      </c>
      <c r="AC5241">
        <f>IF(AB5241&gt;AB5240,AB5241,"")</f>
        <v/>
      </c>
    </row>
    <row r="5242">
      <c r="W5242" s="7" t="n"/>
      <c r="X5242" s="7" t="n"/>
      <c r="Z5242">
        <f>Z5241+IF(W5242="",0,IF(ISNA(MATCH(W5242,W$256:W5241,0)),1,0))</f>
        <v/>
      </c>
      <c r="AA5242">
        <f>IF(Z5242&gt;Z5241,Z5242,"")</f>
        <v/>
      </c>
      <c r="AB5242">
        <f>AB5241+IF(X5242="",0,IF(ISNA(MATCH(X5242,X$256:X5241,0)),1,0))</f>
        <v/>
      </c>
      <c r="AC5242">
        <f>IF(AB5242&gt;AB5241,AB5242,"")</f>
        <v/>
      </c>
    </row>
    <row r="5243">
      <c r="W5243" s="7" t="n"/>
      <c r="X5243" s="7" t="n"/>
      <c r="Z5243">
        <f>Z5242+IF(W5243="",0,IF(ISNA(MATCH(W5243,W$256:W5242,0)),1,0))</f>
        <v/>
      </c>
      <c r="AA5243">
        <f>IF(Z5243&gt;Z5242,Z5243,"")</f>
        <v/>
      </c>
      <c r="AB5243">
        <f>AB5242+IF(X5243="",0,IF(ISNA(MATCH(X5243,X$256:X5242,0)),1,0))</f>
        <v/>
      </c>
      <c r="AC5243">
        <f>IF(AB5243&gt;AB5242,AB5243,"")</f>
        <v/>
      </c>
    </row>
    <row r="5244">
      <c r="W5244" s="7" t="n"/>
      <c r="X5244" s="7" t="n"/>
      <c r="Z5244">
        <f>Z5243+IF(W5244="",0,IF(ISNA(MATCH(W5244,W$256:W5243,0)),1,0))</f>
        <v/>
      </c>
      <c r="AA5244">
        <f>IF(Z5244&gt;Z5243,Z5244,"")</f>
        <v/>
      </c>
      <c r="AB5244">
        <f>AB5243+IF(X5244="",0,IF(ISNA(MATCH(X5244,X$256:X5243,0)),1,0))</f>
        <v/>
      </c>
      <c r="AC5244">
        <f>IF(AB5244&gt;AB5243,AB5244,"")</f>
        <v/>
      </c>
    </row>
    <row r="5245">
      <c r="W5245" s="7" t="n"/>
      <c r="X5245" s="7" t="n"/>
      <c r="Z5245">
        <f>Z5244+IF(W5245="",0,IF(ISNA(MATCH(W5245,W$256:W5244,0)),1,0))</f>
        <v/>
      </c>
      <c r="AA5245">
        <f>IF(Z5245&gt;Z5244,Z5245,"")</f>
        <v/>
      </c>
      <c r="AB5245">
        <f>AB5244+IF(X5245="",0,IF(ISNA(MATCH(X5245,X$256:X5244,0)),1,0))</f>
        <v/>
      </c>
      <c r="AC5245">
        <f>IF(AB5245&gt;AB5244,AB5245,"")</f>
        <v/>
      </c>
    </row>
    <row r="5246">
      <c r="W5246" s="7" t="n"/>
      <c r="X5246" s="7" t="n"/>
      <c r="Z5246">
        <f>Z5245+IF(W5246="",0,IF(ISNA(MATCH(W5246,W$256:W5245,0)),1,0))</f>
        <v/>
      </c>
      <c r="AA5246">
        <f>IF(Z5246&gt;Z5245,Z5246,"")</f>
        <v/>
      </c>
      <c r="AB5246">
        <f>AB5245+IF(X5246="",0,IF(ISNA(MATCH(X5246,X$256:X5245,0)),1,0))</f>
        <v/>
      </c>
      <c r="AC5246">
        <f>IF(AB5246&gt;AB5245,AB5246,"")</f>
        <v/>
      </c>
    </row>
    <row r="5247">
      <c r="W5247" s="7" t="n"/>
      <c r="X5247" s="7" t="n"/>
      <c r="Z5247">
        <f>Z5246+IF(W5247="",0,IF(ISNA(MATCH(W5247,W$256:W5246,0)),1,0))</f>
        <v/>
      </c>
      <c r="AA5247">
        <f>IF(Z5247&gt;Z5246,Z5247,"")</f>
        <v/>
      </c>
      <c r="AB5247">
        <f>AB5246+IF(X5247="",0,IF(ISNA(MATCH(X5247,X$256:X5246,0)),1,0))</f>
        <v/>
      </c>
      <c r="AC5247">
        <f>IF(AB5247&gt;AB5246,AB5247,"")</f>
        <v/>
      </c>
    </row>
    <row r="5248">
      <c r="W5248" s="7" t="n"/>
      <c r="X5248" s="7" t="n"/>
      <c r="Z5248">
        <f>Z5247+IF(W5248="",0,IF(ISNA(MATCH(W5248,W$256:W5247,0)),1,0))</f>
        <v/>
      </c>
      <c r="AA5248">
        <f>IF(Z5248&gt;Z5247,Z5248,"")</f>
        <v/>
      </c>
      <c r="AB5248">
        <f>AB5247+IF(X5248="",0,IF(ISNA(MATCH(X5248,X$256:X5247,0)),1,0))</f>
        <v/>
      </c>
      <c r="AC5248">
        <f>IF(AB5248&gt;AB5247,AB5248,"")</f>
        <v/>
      </c>
    </row>
    <row r="5249">
      <c r="W5249" s="7" t="n"/>
      <c r="X5249" s="7" t="n"/>
      <c r="Z5249">
        <f>Z5248+IF(W5249="",0,IF(ISNA(MATCH(W5249,W$256:W5248,0)),1,0))</f>
        <v/>
      </c>
      <c r="AA5249">
        <f>IF(Z5249&gt;Z5248,Z5249,"")</f>
        <v/>
      </c>
      <c r="AB5249">
        <f>AB5248+IF(X5249="",0,IF(ISNA(MATCH(X5249,X$256:X5248,0)),1,0))</f>
        <v/>
      </c>
      <c r="AC5249">
        <f>IF(AB5249&gt;AB5248,AB5249,"")</f>
        <v/>
      </c>
    </row>
    <row r="5250">
      <c r="W5250" s="7" t="n"/>
      <c r="X5250" s="7" t="n"/>
      <c r="Z5250">
        <f>Z5249+IF(W5250="",0,IF(ISNA(MATCH(W5250,W$256:W5249,0)),1,0))</f>
        <v/>
      </c>
      <c r="AA5250">
        <f>IF(Z5250&gt;Z5249,Z5250,"")</f>
        <v/>
      </c>
      <c r="AB5250">
        <f>AB5249+IF(X5250="",0,IF(ISNA(MATCH(X5250,X$256:X5249,0)),1,0))</f>
        <v/>
      </c>
      <c r="AC5250">
        <f>IF(AB5250&gt;AB5249,AB5250,"")</f>
        <v/>
      </c>
    </row>
    <row r="5251">
      <c r="W5251" s="7" t="n"/>
      <c r="X5251" s="7" t="n"/>
      <c r="Z5251">
        <f>Z5250+IF(W5251="",0,IF(ISNA(MATCH(W5251,W$256:W5250,0)),1,0))</f>
        <v/>
      </c>
      <c r="AA5251">
        <f>IF(Z5251&gt;Z5250,Z5251,"")</f>
        <v/>
      </c>
      <c r="AB5251">
        <f>AB5250+IF(X5251="",0,IF(ISNA(MATCH(X5251,X$256:X5250,0)),1,0))</f>
        <v/>
      </c>
      <c r="AC5251">
        <f>IF(AB5251&gt;AB5250,AB5251,"")</f>
        <v/>
      </c>
    </row>
    <row r="5252">
      <c r="W5252" s="7" t="n"/>
      <c r="X5252" s="7" t="n"/>
      <c r="Z5252">
        <f>Z5251+IF(W5252="",0,IF(ISNA(MATCH(W5252,W$256:W5251,0)),1,0))</f>
        <v/>
      </c>
      <c r="AA5252">
        <f>IF(Z5252&gt;Z5251,Z5252,"")</f>
        <v/>
      </c>
      <c r="AB5252">
        <f>AB5251+IF(X5252="",0,IF(ISNA(MATCH(X5252,X$256:X5251,0)),1,0))</f>
        <v/>
      </c>
      <c r="AC5252">
        <f>IF(AB5252&gt;AB5251,AB5252,"")</f>
        <v/>
      </c>
    </row>
    <row r="5253">
      <c r="W5253" s="7" t="n"/>
      <c r="X5253" s="7" t="n"/>
      <c r="Z5253">
        <f>Z5252+IF(W5253="",0,IF(ISNA(MATCH(W5253,W$256:W5252,0)),1,0))</f>
        <v/>
      </c>
      <c r="AA5253">
        <f>IF(Z5253&gt;Z5252,Z5253,"")</f>
        <v/>
      </c>
      <c r="AB5253">
        <f>AB5252+IF(X5253="",0,IF(ISNA(MATCH(X5253,X$256:X5252,0)),1,0))</f>
        <v/>
      </c>
      <c r="AC5253">
        <f>IF(AB5253&gt;AB5252,AB5253,"")</f>
        <v/>
      </c>
    </row>
    <row r="5254">
      <c r="W5254" s="7" t="n"/>
      <c r="X5254" s="7" t="n"/>
      <c r="Z5254">
        <f>Z5253+IF(W5254="",0,IF(ISNA(MATCH(W5254,W$256:W5253,0)),1,0))</f>
        <v/>
      </c>
      <c r="AA5254">
        <f>IF(Z5254&gt;Z5253,Z5254,"")</f>
        <v/>
      </c>
      <c r="AB5254">
        <f>AB5253+IF(X5254="",0,IF(ISNA(MATCH(X5254,X$256:X5253,0)),1,0))</f>
        <v/>
      </c>
      <c r="AC5254">
        <f>IF(AB5254&gt;AB5253,AB5254,"")</f>
        <v/>
      </c>
    </row>
    <row r="5255">
      <c r="W5255" s="7" t="n"/>
      <c r="X5255" s="7" t="n"/>
      <c r="Z5255">
        <f>Z5254+IF(W5255="",0,IF(ISNA(MATCH(W5255,W$256:W5254,0)),1,0))</f>
        <v/>
      </c>
      <c r="AA5255">
        <f>IF(Z5255&gt;Z5254,Z5255,"")</f>
        <v/>
      </c>
      <c r="AB5255">
        <f>AB5254+IF(X5255="",0,IF(ISNA(MATCH(X5255,X$256:X5254,0)),1,0))</f>
        <v/>
      </c>
      <c r="AC5255">
        <f>IF(AB5255&gt;AB5254,AB5255,"")</f>
        <v/>
      </c>
    </row>
    <row r="5256">
      <c r="W5256" s="7" t="n"/>
      <c r="X5256" s="7" t="n"/>
      <c r="Z5256">
        <f>Z5255+IF(W5256="",0,IF(ISNA(MATCH(W5256,W$256:W5255,0)),1,0))</f>
        <v/>
      </c>
      <c r="AA5256">
        <f>IF(Z5256&gt;Z5255,Z5256,"")</f>
        <v/>
      </c>
      <c r="AB5256">
        <f>AB5255+IF(X5256="",0,IF(ISNA(MATCH(X5256,X$256:X5255,0)),1,0))</f>
        <v/>
      </c>
      <c r="AC5256">
        <f>IF(AB5256&gt;AB5255,AB5256,"")</f>
        <v/>
      </c>
    </row>
    <row r="5257">
      <c r="W5257" s="7" t="n"/>
      <c r="X5257" s="7" t="n"/>
      <c r="Z5257">
        <f>Z5256+IF(W5257="",0,IF(ISNA(MATCH(W5257,W$256:W5256,0)),1,0))</f>
        <v/>
      </c>
      <c r="AA5257">
        <f>IF(Z5257&gt;Z5256,Z5257,"")</f>
        <v/>
      </c>
      <c r="AB5257">
        <f>AB5256+IF(X5257="",0,IF(ISNA(MATCH(X5257,X$256:X5256,0)),1,0))</f>
        <v/>
      </c>
      <c r="AC5257">
        <f>IF(AB5257&gt;AB5256,AB5257,"")</f>
        <v/>
      </c>
    </row>
    <row r="5258">
      <c r="W5258" s="7" t="n"/>
      <c r="X5258" s="7" t="n"/>
      <c r="Z5258">
        <f>Z5257+IF(W5258="",0,IF(ISNA(MATCH(W5258,W$256:W5257,0)),1,0))</f>
        <v/>
      </c>
      <c r="AA5258">
        <f>IF(Z5258&gt;Z5257,Z5258,"")</f>
        <v/>
      </c>
      <c r="AB5258">
        <f>AB5257+IF(X5258="",0,IF(ISNA(MATCH(X5258,X$256:X5257,0)),1,0))</f>
        <v/>
      </c>
      <c r="AC5258">
        <f>IF(AB5258&gt;AB5257,AB5258,"")</f>
        <v/>
      </c>
    </row>
    <row r="5259">
      <c r="W5259" s="7" t="n"/>
      <c r="X5259" s="7" t="n"/>
      <c r="Z5259">
        <f>Z5258+IF(W5259="",0,IF(ISNA(MATCH(W5259,W$256:W5258,0)),1,0))</f>
        <v/>
      </c>
      <c r="AA5259">
        <f>IF(Z5259&gt;Z5258,Z5259,"")</f>
        <v/>
      </c>
      <c r="AB5259">
        <f>AB5258+IF(X5259="",0,IF(ISNA(MATCH(X5259,X$256:X5258,0)),1,0))</f>
        <v/>
      </c>
      <c r="AC5259">
        <f>IF(AB5259&gt;AB5258,AB5259,"")</f>
        <v/>
      </c>
    </row>
    <row r="5260">
      <c r="W5260" s="7" t="n"/>
      <c r="X5260" s="7" t="n"/>
      <c r="Z5260">
        <f>Z5259+IF(W5260="",0,IF(ISNA(MATCH(W5260,W$256:W5259,0)),1,0))</f>
        <v/>
      </c>
      <c r="AA5260">
        <f>IF(Z5260&gt;Z5259,Z5260,"")</f>
        <v/>
      </c>
      <c r="AB5260">
        <f>AB5259+IF(X5260="",0,IF(ISNA(MATCH(X5260,X$256:X5259,0)),1,0))</f>
        <v/>
      </c>
      <c r="AC5260">
        <f>IF(AB5260&gt;AB5259,AB5260,"")</f>
        <v/>
      </c>
    </row>
    <row r="5261">
      <c r="W5261" s="7" t="n"/>
      <c r="X5261" s="7" t="n"/>
      <c r="Z5261">
        <f>Z5260+IF(W5261="",0,IF(ISNA(MATCH(W5261,W$256:W5260,0)),1,0))</f>
        <v/>
      </c>
      <c r="AA5261">
        <f>IF(Z5261&gt;Z5260,Z5261,"")</f>
        <v/>
      </c>
      <c r="AB5261">
        <f>AB5260+IF(X5261="",0,IF(ISNA(MATCH(X5261,X$256:X5260,0)),1,0))</f>
        <v/>
      </c>
      <c r="AC5261">
        <f>IF(AB5261&gt;AB5260,AB5261,"")</f>
        <v/>
      </c>
    </row>
    <row r="5262">
      <c r="W5262" s="7" t="n"/>
      <c r="X5262" s="7" t="n"/>
      <c r="Z5262">
        <f>Z5261+IF(W5262="",0,IF(ISNA(MATCH(W5262,W$256:W5261,0)),1,0))</f>
        <v/>
      </c>
      <c r="AA5262">
        <f>IF(Z5262&gt;Z5261,Z5262,"")</f>
        <v/>
      </c>
      <c r="AB5262">
        <f>AB5261+IF(X5262="",0,IF(ISNA(MATCH(X5262,X$256:X5261,0)),1,0))</f>
        <v/>
      </c>
      <c r="AC5262">
        <f>IF(AB5262&gt;AB5261,AB5262,"")</f>
        <v/>
      </c>
    </row>
    <row r="5263">
      <c r="W5263" s="7" t="n"/>
      <c r="X5263" s="7" t="n"/>
      <c r="Z5263">
        <f>Z5262+IF(W5263="",0,IF(ISNA(MATCH(W5263,W$256:W5262,0)),1,0))</f>
        <v/>
      </c>
      <c r="AA5263">
        <f>IF(Z5263&gt;Z5262,Z5263,"")</f>
        <v/>
      </c>
      <c r="AB5263">
        <f>AB5262+IF(X5263="",0,IF(ISNA(MATCH(X5263,X$256:X5262,0)),1,0))</f>
        <v/>
      </c>
      <c r="AC5263">
        <f>IF(AB5263&gt;AB5262,AB5263,"")</f>
        <v/>
      </c>
    </row>
    <row r="5264">
      <c r="W5264" s="7" t="n"/>
      <c r="X5264" s="7" t="n"/>
      <c r="Z5264">
        <f>Z5263+IF(W5264="",0,IF(ISNA(MATCH(W5264,W$256:W5263,0)),1,0))</f>
        <v/>
      </c>
      <c r="AA5264">
        <f>IF(Z5264&gt;Z5263,Z5264,"")</f>
        <v/>
      </c>
      <c r="AB5264">
        <f>AB5263+IF(X5264="",0,IF(ISNA(MATCH(X5264,X$256:X5263,0)),1,0))</f>
        <v/>
      </c>
      <c r="AC5264">
        <f>IF(AB5264&gt;AB5263,AB5264,"")</f>
        <v/>
      </c>
    </row>
    <row r="5265">
      <c r="W5265" s="7" t="n"/>
      <c r="X5265" s="7" t="n"/>
      <c r="Z5265">
        <f>Z5264+IF(W5265="",0,IF(ISNA(MATCH(W5265,W$256:W5264,0)),1,0))</f>
        <v/>
      </c>
      <c r="AA5265">
        <f>IF(Z5265&gt;Z5264,Z5265,"")</f>
        <v/>
      </c>
      <c r="AB5265">
        <f>AB5264+IF(X5265="",0,IF(ISNA(MATCH(X5265,X$256:X5264,0)),1,0))</f>
        <v/>
      </c>
      <c r="AC5265">
        <f>IF(AB5265&gt;AB5264,AB5265,"")</f>
        <v/>
      </c>
    </row>
    <row r="5266">
      <c r="W5266" s="7" t="n"/>
      <c r="X5266" s="7" t="n"/>
      <c r="Z5266">
        <f>Z5265+IF(W5266="",0,IF(ISNA(MATCH(W5266,W$256:W5265,0)),1,0))</f>
        <v/>
      </c>
      <c r="AA5266">
        <f>IF(Z5266&gt;Z5265,Z5266,"")</f>
        <v/>
      </c>
      <c r="AB5266">
        <f>AB5265+IF(X5266="",0,IF(ISNA(MATCH(X5266,X$256:X5265,0)),1,0))</f>
        <v/>
      </c>
      <c r="AC5266">
        <f>IF(AB5266&gt;AB5265,AB5266,"")</f>
        <v/>
      </c>
    </row>
    <row r="5267">
      <c r="W5267" s="7" t="n"/>
      <c r="X5267" s="7" t="n"/>
      <c r="Z5267">
        <f>Z5266+IF(W5267="",0,IF(ISNA(MATCH(W5267,W$256:W5266,0)),1,0))</f>
        <v/>
      </c>
      <c r="AA5267">
        <f>IF(Z5267&gt;Z5266,Z5267,"")</f>
        <v/>
      </c>
      <c r="AB5267">
        <f>AB5266+IF(X5267="",0,IF(ISNA(MATCH(X5267,X$256:X5266,0)),1,0))</f>
        <v/>
      </c>
      <c r="AC5267">
        <f>IF(AB5267&gt;AB5266,AB5267,"")</f>
        <v/>
      </c>
    </row>
    <row r="5268">
      <c r="W5268" s="7" t="n"/>
      <c r="X5268" s="7" t="n"/>
      <c r="Z5268">
        <f>Z5267+IF(W5268="",0,IF(ISNA(MATCH(W5268,W$256:W5267,0)),1,0))</f>
        <v/>
      </c>
      <c r="AA5268">
        <f>IF(Z5268&gt;Z5267,Z5268,"")</f>
        <v/>
      </c>
      <c r="AB5268">
        <f>AB5267+IF(X5268="",0,IF(ISNA(MATCH(X5268,X$256:X5267,0)),1,0))</f>
        <v/>
      </c>
      <c r="AC5268">
        <f>IF(AB5268&gt;AB5267,AB5268,"")</f>
        <v/>
      </c>
    </row>
    <row r="5269">
      <c r="W5269" s="7" t="n"/>
      <c r="X5269" s="7" t="n"/>
      <c r="Z5269">
        <f>Z5268+IF(W5269="",0,IF(ISNA(MATCH(W5269,W$256:W5268,0)),1,0))</f>
        <v/>
      </c>
      <c r="AA5269">
        <f>IF(Z5269&gt;Z5268,Z5269,"")</f>
        <v/>
      </c>
      <c r="AB5269">
        <f>AB5268+IF(X5269="",0,IF(ISNA(MATCH(X5269,X$256:X5268,0)),1,0))</f>
        <v/>
      </c>
      <c r="AC5269">
        <f>IF(AB5269&gt;AB5268,AB5269,"")</f>
        <v/>
      </c>
    </row>
    <row r="5270">
      <c r="W5270" s="7" t="n"/>
      <c r="X5270" s="7" t="n"/>
      <c r="Z5270">
        <f>Z5269+IF(W5270="",0,IF(ISNA(MATCH(W5270,W$256:W5269,0)),1,0))</f>
        <v/>
      </c>
      <c r="AA5270">
        <f>IF(Z5270&gt;Z5269,Z5270,"")</f>
        <v/>
      </c>
      <c r="AB5270">
        <f>AB5269+IF(X5270="",0,IF(ISNA(MATCH(X5270,X$256:X5269,0)),1,0))</f>
        <v/>
      </c>
      <c r="AC5270">
        <f>IF(AB5270&gt;AB5269,AB5270,"")</f>
        <v/>
      </c>
    </row>
    <row r="5271">
      <c r="W5271" s="7" t="n"/>
      <c r="X5271" s="7" t="n"/>
      <c r="Z5271">
        <f>Z5270+IF(W5271="",0,IF(ISNA(MATCH(W5271,W$256:W5270,0)),1,0))</f>
        <v/>
      </c>
      <c r="AA5271">
        <f>IF(Z5271&gt;Z5270,Z5271,"")</f>
        <v/>
      </c>
      <c r="AB5271">
        <f>AB5270+IF(X5271="",0,IF(ISNA(MATCH(X5271,X$256:X5270,0)),1,0))</f>
        <v/>
      </c>
      <c r="AC5271">
        <f>IF(AB5271&gt;AB5270,AB5271,"")</f>
        <v/>
      </c>
    </row>
    <row r="5272">
      <c r="W5272" s="7" t="n"/>
      <c r="X5272" s="7" t="n"/>
      <c r="Z5272">
        <f>Z5271+IF(W5272="",0,IF(ISNA(MATCH(W5272,W$256:W5271,0)),1,0))</f>
        <v/>
      </c>
      <c r="AA5272">
        <f>IF(Z5272&gt;Z5271,Z5272,"")</f>
        <v/>
      </c>
      <c r="AB5272">
        <f>AB5271+IF(X5272="",0,IF(ISNA(MATCH(X5272,X$256:X5271,0)),1,0))</f>
        <v/>
      </c>
      <c r="AC5272">
        <f>IF(AB5272&gt;AB5271,AB5272,"")</f>
        <v/>
      </c>
    </row>
    <row r="5273">
      <c r="W5273" s="7" t="n"/>
      <c r="X5273" s="7" t="n"/>
      <c r="Z5273">
        <f>Z5272+IF(W5273="",0,IF(ISNA(MATCH(W5273,W$256:W5272,0)),1,0))</f>
        <v/>
      </c>
      <c r="AA5273">
        <f>IF(Z5273&gt;Z5272,Z5273,"")</f>
        <v/>
      </c>
      <c r="AB5273">
        <f>AB5272+IF(X5273="",0,IF(ISNA(MATCH(X5273,X$256:X5272,0)),1,0))</f>
        <v/>
      </c>
      <c r="AC5273">
        <f>IF(AB5273&gt;AB5272,AB5273,"")</f>
        <v/>
      </c>
    </row>
    <row r="5274">
      <c r="W5274" s="7" t="n"/>
      <c r="X5274" s="7" t="n"/>
      <c r="Z5274">
        <f>Z5273+IF(W5274="",0,IF(ISNA(MATCH(W5274,W$256:W5273,0)),1,0))</f>
        <v/>
      </c>
      <c r="AA5274">
        <f>IF(Z5274&gt;Z5273,Z5274,"")</f>
        <v/>
      </c>
      <c r="AB5274">
        <f>AB5273+IF(X5274="",0,IF(ISNA(MATCH(X5274,X$256:X5273,0)),1,0))</f>
        <v/>
      </c>
      <c r="AC5274">
        <f>IF(AB5274&gt;AB5273,AB5274,"")</f>
        <v/>
      </c>
    </row>
    <row r="5275">
      <c r="W5275" s="7" t="n"/>
      <c r="X5275" s="7" t="n"/>
      <c r="Z5275">
        <f>Z5274+IF(W5275="",0,IF(ISNA(MATCH(W5275,W$256:W5274,0)),1,0))</f>
        <v/>
      </c>
      <c r="AA5275">
        <f>IF(Z5275&gt;Z5274,Z5275,"")</f>
        <v/>
      </c>
      <c r="AB5275">
        <f>AB5274+IF(X5275="",0,IF(ISNA(MATCH(X5275,X$256:X5274,0)),1,0))</f>
        <v/>
      </c>
      <c r="AC5275">
        <f>IF(AB5275&gt;AB5274,AB5275,"")</f>
        <v/>
      </c>
    </row>
    <row r="5276">
      <c r="W5276" s="7" t="n"/>
      <c r="X5276" s="7" t="n"/>
      <c r="Z5276">
        <f>Z5275+IF(W5276="",0,IF(ISNA(MATCH(W5276,W$256:W5275,0)),1,0))</f>
        <v/>
      </c>
      <c r="AA5276">
        <f>IF(Z5276&gt;Z5275,Z5276,"")</f>
        <v/>
      </c>
      <c r="AB5276">
        <f>AB5275+IF(X5276="",0,IF(ISNA(MATCH(X5276,X$256:X5275,0)),1,0))</f>
        <v/>
      </c>
      <c r="AC5276">
        <f>IF(AB5276&gt;AB5275,AB5276,"")</f>
        <v/>
      </c>
    </row>
    <row r="5277">
      <c r="W5277" s="7" t="n"/>
      <c r="X5277" s="7" t="n"/>
      <c r="Z5277">
        <f>Z5276+IF(W5277="",0,IF(ISNA(MATCH(W5277,W$256:W5276,0)),1,0))</f>
        <v/>
      </c>
      <c r="AA5277">
        <f>IF(Z5277&gt;Z5276,Z5277,"")</f>
        <v/>
      </c>
      <c r="AB5277">
        <f>AB5276+IF(X5277="",0,IF(ISNA(MATCH(X5277,X$256:X5276,0)),1,0))</f>
        <v/>
      </c>
      <c r="AC5277">
        <f>IF(AB5277&gt;AB5276,AB5277,"")</f>
        <v/>
      </c>
    </row>
    <row r="5278">
      <c r="W5278" s="7" t="n"/>
      <c r="X5278" s="7" t="n"/>
      <c r="Z5278">
        <f>Z5277+IF(W5278="",0,IF(ISNA(MATCH(W5278,W$256:W5277,0)),1,0))</f>
        <v/>
      </c>
      <c r="AA5278">
        <f>IF(Z5278&gt;Z5277,Z5278,"")</f>
        <v/>
      </c>
      <c r="AB5278">
        <f>AB5277+IF(X5278="",0,IF(ISNA(MATCH(X5278,X$256:X5277,0)),1,0))</f>
        <v/>
      </c>
      <c r="AC5278">
        <f>IF(AB5278&gt;AB5277,AB5278,"")</f>
        <v/>
      </c>
    </row>
    <row r="5279">
      <c r="W5279" s="7" t="n"/>
      <c r="X5279" s="7" t="n"/>
      <c r="Z5279">
        <f>Z5278+IF(W5279="",0,IF(ISNA(MATCH(W5279,W$256:W5278,0)),1,0))</f>
        <v/>
      </c>
      <c r="AA5279">
        <f>IF(Z5279&gt;Z5278,Z5279,"")</f>
        <v/>
      </c>
      <c r="AB5279">
        <f>AB5278+IF(X5279="",0,IF(ISNA(MATCH(X5279,X$256:X5278,0)),1,0))</f>
        <v/>
      </c>
      <c r="AC5279">
        <f>IF(AB5279&gt;AB5278,AB5279,"")</f>
        <v/>
      </c>
    </row>
    <row r="5280">
      <c r="W5280" s="7" t="n"/>
      <c r="X5280" s="7" t="n"/>
      <c r="Z5280">
        <f>Z5279+IF(W5280="",0,IF(ISNA(MATCH(W5280,W$256:W5279,0)),1,0))</f>
        <v/>
      </c>
      <c r="AA5280">
        <f>IF(Z5280&gt;Z5279,Z5280,"")</f>
        <v/>
      </c>
      <c r="AB5280">
        <f>AB5279+IF(X5280="",0,IF(ISNA(MATCH(X5280,X$256:X5279,0)),1,0))</f>
        <v/>
      </c>
      <c r="AC5280">
        <f>IF(AB5280&gt;AB5279,AB5280,"")</f>
        <v/>
      </c>
    </row>
    <row r="5281">
      <c r="W5281" s="7" t="n"/>
      <c r="X5281" s="7" t="n"/>
      <c r="Z5281">
        <f>Z5280+IF(W5281="",0,IF(ISNA(MATCH(W5281,W$256:W5280,0)),1,0))</f>
        <v/>
      </c>
      <c r="AA5281">
        <f>IF(Z5281&gt;Z5280,Z5281,"")</f>
        <v/>
      </c>
      <c r="AB5281">
        <f>AB5280+IF(X5281="",0,IF(ISNA(MATCH(X5281,X$256:X5280,0)),1,0))</f>
        <v/>
      </c>
      <c r="AC5281">
        <f>IF(AB5281&gt;AB5280,AB5281,"")</f>
        <v/>
      </c>
    </row>
    <row r="5282">
      <c r="W5282" s="7" t="n"/>
      <c r="X5282" s="7" t="n"/>
      <c r="Z5282">
        <f>Z5281+IF(W5282="",0,IF(ISNA(MATCH(W5282,W$256:W5281,0)),1,0))</f>
        <v/>
      </c>
      <c r="AA5282">
        <f>IF(Z5282&gt;Z5281,Z5282,"")</f>
        <v/>
      </c>
      <c r="AB5282">
        <f>AB5281+IF(X5282="",0,IF(ISNA(MATCH(X5282,X$256:X5281,0)),1,0))</f>
        <v/>
      </c>
      <c r="AC5282">
        <f>IF(AB5282&gt;AB5281,AB5282,"")</f>
        <v/>
      </c>
    </row>
    <row r="5283">
      <c r="W5283" s="7" t="n"/>
      <c r="X5283" s="7" t="n"/>
      <c r="Z5283">
        <f>Z5282+IF(W5283="",0,IF(ISNA(MATCH(W5283,W$256:W5282,0)),1,0))</f>
        <v/>
      </c>
      <c r="AA5283">
        <f>IF(Z5283&gt;Z5282,Z5283,"")</f>
        <v/>
      </c>
      <c r="AB5283">
        <f>AB5282+IF(X5283="",0,IF(ISNA(MATCH(X5283,X$256:X5282,0)),1,0))</f>
        <v/>
      </c>
      <c r="AC5283">
        <f>IF(AB5283&gt;AB5282,AB5283,"")</f>
        <v/>
      </c>
    </row>
    <row r="5284">
      <c r="W5284" s="7" t="n"/>
      <c r="X5284" s="7" t="n"/>
      <c r="Z5284">
        <f>Z5283+IF(W5284="",0,IF(ISNA(MATCH(W5284,W$256:W5283,0)),1,0))</f>
        <v/>
      </c>
      <c r="AA5284">
        <f>IF(Z5284&gt;Z5283,Z5284,"")</f>
        <v/>
      </c>
      <c r="AB5284">
        <f>AB5283+IF(X5284="",0,IF(ISNA(MATCH(X5284,X$256:X5283,0)),1,0))</f>
        <v/>
      </c>
      <c r="AC5284">
        <f>IF(AB5284&gt;AB5283,AB5284,"")</f>
        <v/>
      </c>
    </row>
    <row r="5285">
      <c r="W5285" s="7" t="n"/>
      <c r="X5285" s="7" t="n"/>
      <c r="Z5285">
        <f>Z5284+IF(W5285="",0,IF(ISNA(MATCH(W5285,W$256:W5284,0)),1,0))</f>
        <v/>
      </c>
      <c r="AA5285">
        <f>IF(Z5285&gt;Z5284,Z5285,"")</f>
        <v/>
      </c>
      <c r="AB5285">
        <f>AB5284+IF(X5285="",0,IF(ISNA(MATCH(X5285,X$256:X5284,0)),1,0))</f>
        <v/>
      </c>
      <c r="AC5285">
        <f>IF(AB5285&gt;AB5284,AB5285,"")</f>
        <v/>
      </c>
    </row>
    <row r="5286">
      <c r="W5286" s="7" t="n"/>
      <c r="X5286" s="7" t="n"/>
      <c r="Z5286">
        <f>Z5285+IF(W5286="",0,IF(ISNA(MATCH(W5286,W$256:W5285,0)),1,0))</f>
        <v/>
      </c>
      <c r="AA5286">
        <f>IF(Z5286&gt;Z5285,Z5286,"")</f>
        <v/>
      </c>
      <c r="AB5286">
        <f>AB5285+IF(X5286="",0,IF(ISNA(MATCH(X5286,X$256:X5285,0)),1,0))</f>
        <v/>
      </c>
      <c r="AC5286">
        <f>IF(AB5286&gt;AB5285,AB5286,"")</f>
        <v/>
      </c>
    </row>
    <row r="5287">
      <c r="W5287" s="7" t="n"/>
      <c r="X5287" s="7" t="n"/>
      <c r="Z5287">
        <f>Z5286+IF(W5287="",0,IF(ISNA(MATCH(W5287,W$256:W5286,0)),1,0))</f>
        <v/>
      </c>
      <c r="AA5287">
        <f>IF(Z5287&gt;Z5286,Z5287,"")</f>
        <v/>
      </c>
      <c r="AB5287">
        <f>AB5286+IF(X5287="",0,IF(ISNA(MATCH(X5287,X$256:X5286,0)),1,0))</f>
        <v/>
      </c>
      <c r="AC5287">
        <f>IF(AB5287&gt;AB5286,AB5287,"")</f>
        <v/>
      </c>
    </row>
    <row r="5288">
      <c r="W5288" s="7" t="n"/>
      <c r="X5288" s="7" t="n"/>
      <c r="Z5288">
        <f>Z5287+IF(W5288="",0,IF(ISNA(MATCH(W5288,W$256:W5287,0)),1,0))</f>
        <v/>
      </c>
      <c r="AA5288">
        <f>IF(Z5288&gt;Z5287,Z5288,"")</f>
        <v/>
      </c>
      <c r="AB5288">
        <f>AB5287+IF(X5288="",0,IF(ISNA(MATCH(X5288,X$256:X5287,0)),1,0))</f>
        <v/>
      </c>
      <c r="AC5288">
        <f>IF(AB5288&gt;AB5287,AB5288,"")</f>
        <v/>
      </c>
    </row>
    <row r="5289">
      <c r="W5289" s="7" t="n"/>
      <c r="X5289" s="7" t="n"/>
      <c r="Z5289">
        <f>Z5288+IF(W5289="",0,IF(ISNA(MATCH(W5289,W$256:W5288,0)),1,0))</f>
        <v/>
      </c>
      <c r="AA5289">
        <f>IF(Z5289&gt;Z5288,Z5289,"")</f>
        <v/>
      </c>
      <c r="AB5289">
        <f>AB5288+IF(X5289="",0,IF(ISNA(MATCH(X5289,X$256:X5288,0)),1,0))</f>
        <v/>
      </c>
      <c r="AC5289">
        <f>IF(AB5289&gt;AB5288,AB5289,"")</f>
        <v/>
      </c>
    </row>
    <row r="5290">
      <c r="W5290" s="7" t="n"/>
      <c r="X5290" s="7" t="n"/>
      <c r="Z5290">
        <f>Z5289+IF(W5290="",0,IF(ISNA(MATCH(W5290,W$256:W5289,0)),1,0))</f>
        <v/>
      </c>
      <c r="AA5290">
        <f>IF(Z5290&gt;Z5289,Z5290,"")</f>
        <v/>
      </c>
      <c r="AB5290">
        <f>AB5289+IF(X5290="",0,IF(ISNA(MATCH(X5290,X$256:X5289,0)),1,0))</f>
        <v/>
      </c>
      <c r="AC5290">
        <f>IF(AB5290&gt;AB5289,AB5290,"")</f>
        <v/>
      </c>
    </row>
    <row r="5291">
      <c r="W5291" s="7" t="n"/>
      <c r="X5291" s="7" t="n"/>
      <c r="Z5291">
        <f>Z5290+IF(W5291="",0,IF(ISNA(MATCH(W5291,W$256:W5290,0)),1,0))</f>
        <v/>
      </c>
      <c r="AA5291">
        <f>IF(Z5291&gt;Z5290,Z5291,"")</f>
        <v/>
      </c>
      <c r="AB5291">
        <f>AB5290+IF(X5291="",0,IF(ISNA(MATCH(X5291,X$256:X5290,0)),1,0))</f>
        <v/>
      </c>
      <c r="AC5291">
        <f>IF(AB5291&gt;AB5290,AB5291,"")</f>
        <v/>
      </c>
    </row>
    <row r="5292">
      <c r="W5292" s="7" t="n"/>
      <c r="X5292" s="7" t="n"/>
      <c r="Z5292">
        <f>Z5291+IF(W5292="",0,IF(ISNA(MATCH(W5292,W$256:W5291,0)),1,0))</f>
        <v/>
      </c>
      <c r="AA5292">
        <f>IF(Z5292&gt;Z5291,Z5292,"")</f>
        <v/>
      </c>
      <c r="AB5292">
        <f>AB5291+IF(X5292="",0,IF(ISNA(MATCH(X5292,X$256:X5291,0)),1,0))</f>
        <v/>
      </c>
      <c r="AC5292">
        <f>IF(AB5292&gt;AB5291,AB5292,"")</f>
        <v/>
      </c>
    </row>
    <row r="5293">
      <c r="W5293" s="7" t="n"/>
      <c r="X5293" s="7" t="n"/>
      <c r="Z5293">
        <f>Z5292+IF(W5293="",0,IF(ISNA(MATCH(W5293,W$256:W5292,0)),1,0))</f>
        <v/>
      </c>
      <c r="AA5293">
        <f>IF(Z5293&gt;Z5292,Z5293,"")</f>
        <v/>
      </c>
      <c r="AB5293">
        <f>AB5292+IF(X5293="",0,IF(ISNA(MATCH(X5293,X$256:X5292,0)),1,0))</f>
        <v/>
      </c>
      <c r="AC5293">
        <f>IF(AB5293&gt;AB5292,AB5293,"")</f>
        <v/>
      </c>
    </row>
    <row r="5294">
      <c r="W5294" s="7" t="n"/>
      <c r="X5294" s="7" t="n"/>
      <c r="Z5294">
        <f>Z5293+IF(W5294="",0,IF(ISNA(MATCH(W5294,W$256:W5293,0)),1,0))</f>
        <v/>
      </c>
      <c r="AA5294">
        <f>IF(Z5294&gt;Z5293,Z5294,"")</f>
        <v/>
      </c>
      <c r="AB5294">
        <f>AB5293+IF(X5294="",0,IF(ISNA(MATCH(X5294,X$256:X5293,0)),1,0))</f>
        <v/>
      </c>
      <c r="AC5294">
        <f>IF(AB5294&gt;AB5293,AB5294,"")</f>
        <v/>
      </c>
    </row>
    <row r="5295">
      <c r="W5295" s="7" t="n"/>
      <c r="X5295" s="7" t="n"/>
      <c r="Z5295">
        <f>Z5294+IF(W5295="",0,IF(ISNA(MATCH(W5295,W$256:W5294,0)),1,0))</f>
        <v/>
      </c>
      <c r="AA5295">
        <f>IF(Z5295&gt;Z5294,Z5295,"")</f>
        <v/>
      </c>
      <c r="AB5295">
        <f>AB5294+IF(X5295="",0,IF(ISNA(MATCH(X5295,X$256:X5294,0)),1,0))</f>
        <v/>
      </c>
      <c r="AC5295">
        <f>IF(AB5295&gt;AB5294,AB5295,"")</f>
        <v/>
      </c>
    </row>
    <row r="5296">
      <c r="W5296" s="7" t="n"/>
      <c r="X5296" s="7" t="n"/>
      <c r="Z5296">
        <f>Z5295+IF(W5296="",0,IF(ISNA(MATCH(W5296,W$256:W5295,0)),1,0))</f>
        <v/>
      </c>
      <c r="AA5296">
        <f>IF(Z5296&gt;Z5295,Z5296,"")</f>
        <v/>
      </c>
      <c r="AB5296">
        <f>AB5295+IF(X5296="",0,IF(ISNA(MATCH(X5296,X$256:X5295,0)),1,0))</f>
        <v/>
      </c>
      <c r="AC5296">
        <f>IF(AB5296&gt;AB5295,AB5296,"")</f>
        <v/>
      </c>
    </row>
    <row r="5297">
      <c r="W5297" s="7" t="n"/>
      <c r="X5297" s="7" t="n"/>
      <c r="Z5297">
        <f>Z5296+IF(W5297="",0,IF(ISNA(MATCH(W5297,W$256:W5296,0)),1,0))</f>
        <v/>
      </c>
      <c r="AA5297">
        <f>IF(Z5297&gt;Z5296,Z5297,"")</f>
        <v/>
      </c>
      <c r="AB5297">
        <f>AB5296+IF(X5297="",0,IF(ISNA(MATCH(X5297,X$256:X5296,0)),1,0))</f>
        <v/>
      </c>
      <c r="AC5297">
        <f>IF(AB5297&gt;AB5296,AB5297,"")</f>
        <v/>
      </c>
    </row>
    <row r="5298">
      <c r="W5298" s="7" t="n"/>
      <c r="X5298" s="7" t="n"/>
      <c r="Z5298">
        <f>Z5297+IF(W5298="",0,IF(ISNA(MATCH(W5298,W$256:W5297,0)),1,0))</f>
        <v/>
      </c>
      <c r="AA5298">
        <f>IF(Z5298&gt;Z5297,Z5298,"")</f>
        <v/>
      </c>
      <c r="AB5298">
        <f>AB5297+IF(X5298="",0,IF(ISNA(MATCH(X5298,X$256:X5297,0)),1,0))</f>
        <v/>
      </c>
      <c r="AC5298">
        <f>IF(AB5298&gt;AB5297,AB5298,"")</f>
        <v/>
      </c>
    </row>
    <row r="5299">
      <c r="W5299" s="7" t="n"/>
      <c r="X5299" s="7" t="n"/>
      <c r="Z5299">
        <f>Z5298+IF(W5299="",0,IF(ISNA(MATCH(W5299,W$256:W5298,0)),1,0))</f>
        <v/>
      </c>
      <c r="AA5299">
        <f>IF(Z5299&gt;Z5298,Z5299,"")</f>
        <v/>
      </c>
      <c r="AB5299">
        <f>AB5298+IF(X5299="",0,IF(ISNA(MATCH(X5299,X$256:X5298,0)),1,0))</f>
        <v/>
      </c>
      <c r="AC5299">
        <f>IF(AB5299&gt;AB5298,AB5299,"")</f>
        <v/>
      </c>
    </row>
    <row r="5300">
      <c r="W5300" s="7" t="n"/>
      <c r="X5300" s="7" t="n"/>
      <c r="Z5300">
        <f>Z5299+IF(W5300="",0,IF(ISNA(MATCH(W5300,W$256:W5299,0)),1,0))</f>
        <v/>
      </c>
      <c r="AA5300">
        <f>IF(Z5300&gt;Z5299,Z5300,"")</f>
        <v/>
      </c>
      <c r="AB5300">
        <f>AB5299+IF(X5300="",0,IF(ISNA(MATCH(X5300,X$256:X5299,0)),1,0))</f>
        <v/>
      </c>
      <c r="AC5300">
        <f>IF(AB5300&gt;AB5299,AB5300,"")</f>
        <v/>
      </c>
    </row>
    <row r="5301">
      <c r="W5301" s="7" t="n"/>
      <c r="X5301" s="7" t="n"/>
      <c r="Z5301">
        <f>Z5300+IF(W5301="",0,IF(ISNA(MATCH(W5301,W$256:W5300,0)),1,0))</f>
        <v/>
      </c>
      <c r="AA5301">
        <f>IF(Z5301&gt;Z5300,Z5301,"")</f>
        <v/>
      </c>
      <c r="AB5301">
        <f>AB5300+IF(X5301="",0,IF(ISNA(MATCH(X5301,X$256:X5300,0)),1,0))</f>
        <v/>
      </c>
      <c r="AC5301">
        <f>IF(AB5301&gt;AB5300,AB5301,"")</f>
        <v/>
      </c>
    </row>
    <row r="5302">
      <c r="W5302" s="7" t="n"/>
      <c r="X5302" s="7" t="n"/>
      <c r="Z5302">
        <f>Z5301+IF(W5302="",0,IF(ISNA(MATCH(W5302,W$256:W5301,0)),1,0))</f>
        <v/>
      </c>
      <c r="AA5302">
        <f>IF(Z5302&gt;Z5301,Z5302,"")</f>
        <v/>
      </c>
      <c r="AB5302">
        <f>AB5301+IF(X5302="",0,IF(ISNA(MATCH(X5302,X$256:X5301,0)),1,0))</f>
        <v/>
      </c>
      <c r="AC5302">
        <f>IF(AB5302&gt;AB5301,AB5302,"")</f>
        <v/>
      </c>
    </row>
    <row r="5303">
      <c r="W5303" s="7" t="n"/>
      <c r="X5303" s="7" t="n"/>
      <c r="Z5303">
        <f>Z5302+IF(W5303="",0,IF(ISNA(MATCH(W5303,W$256:W5302,0)),1,0))</f>
        <v/>
      </c>
      <c r="AA5303">
        <f>IF(Z5303&gt;Z5302,Z5303,"")</f>
        <v/>
      </c>
      <c r="AB5303">
        <f>AB5302+IF(X5303="",0,IF(ISNA(MATCH(X5303,X$256:X5302,0)),1,0))</f>
        <v/>
      </c>
      <c r="AC5303">
        <f>IF(AB5303&gt;AB5302,AB5303,"")</f>
        <v/>
      </c>
    </row>
    <row r="5304">
      <c r="W5304" s="7" t="n"/>
      <c r="X5304" s="7" t="n"/>
      <c r="Z5304">
        <f>Z5303+IF(W5304="",0,IF(ISNA(MATCH(W5304,W$256:W5303,0)),1,0))</f>
        <v/>
      </c>
      <c r="AA5304">
        <f>IF(Z5304&gt;Z5303,Z5304,"")</f>
        <v/>
      </c>
      <c r="AB5304">
        <f>AB5303+IF(X5304="",0,IF(ISNA(MATCH(X5304,X$256:X5303,0)),1,0))</f>
        <v/>
      </c>
      <c r="AC5304">
        <f>IF(AB5304&gt;AB5303,AB5304,"")</f>
        <v/>
      </c>
    </row>
    <row r="5305">
      <c r="W5305" s="7" t="n"/>
      <c r="X5305" s="7" t="n"/>
      <c r="Z5305">
        <f>Z5304+IF(W5305="",0,IF(ISNA(MATCH(W5305,W$256:W5304,0)),1,0))</f>
        <v/>
      </c>
      <c r="AA5305">
        <f>IF(Z5305&gt;Z5304,Z5305,"")</f>
        <v/>
      </c>
      <c r="AB5305">
        <f>AB5304+IF(X5305="",0,IF(ISNA(MATCH(X5305,X$256:X5304,0)),1,0))</f>
        <v/>
      </c>
      <c r="AC5305">
        <f>IF(AB5305&gt;AB5304,AB5305,"")</f>
        <v/>
      </c>
    </row>
    <row r="5306">
      <c r="W5306" s="7" t="n"/>
      <c r="X5306" s="7" t="n"/>
      <c r="Z5306">
        <f>Z5305+IF(W5306="",0,IF(ISNA(MATCH(W5306,W$256:W5305,0)),1,0))</f>
        <v/>
      </c>
      <c r="AA5306">
        <f>IF(Z5306&gt;Z5305,Z5306,"")</f>
        <v/>
      </c>
      <c r="AB5306">
        <f>AB5305+IF(X5306="",0,IF(ISNA(MATCH(X5306,X$256:X5305,0)),1,0))</f>
        <v/>
      </c>
      <c r="AC5306">
        <f>IF(AB5306&gt;AB5305,AB5306,"")</f>
        <v/>
      </c>
    </row>
    <row r="5307">
      <c r="W5307" s="7" t="n"/>
      <c r="X5307" s="7" t="n"/>
      <c r="Z5307">
        <f>Z5306+IF(W5307="",0,IF(ISNA(MATCH(W5307,W$256:W5306,0)),1,0))</f>
        <v/>
      </c>
      <c r="AA5307">
        <f>IF(Z5307&gt;Z5306,Z5307,"")</f>
        <v/>
      </c>
      <c r="AB5307">
        <f>AB5306+IF(X5307="",0,IF(ISNA(MATCH(X5307,X$256:X5306,0)),1,0))</f>
        <v/>
      </c>
      <c r="AC5307">
        <f>IF(AB5307&gt;AB5306,AB5307,"")</f>
        <v/>
      </c>
    </row>
    <row r="5308">
      <c r="W5308" s="7" t="n"/>
      <c r="X5308" s="7" t="n"/>
      <c r="Z5308">
        <f>Z5307+IF(W5308="",0,IF(ISNA(MATCH(W5308,W$256:W5307,0)),1,0))</f>
        <v/>
      </c>
      <c r="AA5308">
        <f>IF(Z5308&gt;Z5307,Z5308,"")</f>
        <v/>
      </c>
      <c r="AB5308">
        <f>AB5307+IF(X5308="",0,IF(ISNA(MATCH(X5308,X$256:X5307,0)),1,0))</f>
        <v/>
      </c>
      <c r="AC5308">
        <f>IF(AB5308&gt;AB5307,AB5308,"")</f>
        <v/>
      </c>
    </row>
    <row r="5309">
      <c r="W5309" s="7" t="n"/>
      <c r="X5309" s="7" t="n"/>
      <c r="Z5309">
        <f>Z5308+IF(W5309="",0,IF(ISNA(MATCH(W5309,W$256:W5308,0)),1,0))</f>
        <v/>
      </c>
      <c r="AA5309">
        <f>IF(Z5309&gt;Z5308,Z5309,"")</f>
        <v/>
      </c>
      <c r="AB5309">
        <f>AB5308+IF(X5309="",0,IF(ISNA(MATCH(X5309,X$256:X5308,0)),1,0))</f>
        <v/>
      </c>
      <c r="AC5309">
        <f>IF(AB5309&gt;AB5308,AB5309,"")</f>
        <v/>
      </c>
    </row>
    <row r="5310">
      <c r="W5310" s="7" t="n"/>
      <c r="X5310" s="7" t="n"/>
      <c r="Z5310">
        <f>Z5309+IF(W5310="",0,IF(ISNA(MATCH(W5310,W$256:W5309,0)),1,0))</f>
        <v/>
      </c>
      <c r="AA5310">
        <f>IF(Z5310&gt;Z5309,Z5310,"")</f>
        <v/>
      </c>
      <c r="AB5310">
        <f>AB5309+IF(X5310="",0,IF(ISNA(MATCH(X5310,X$256:X5309,0)),1,0))</f>
        <v/>
      </c>
      <c r="AC5310">
        <f>IF(AB5310&gt;AB5309,AB5310,"")</f>
        <v/>
      </c>
    </row>
    <row r="5311">
      <c r="W5311" s="7" t="n"/>
      <c r="X5311" s="7" t="n"/>
      <c r="Z5311">
        <f>Z5310+IF(W5311="",0,IF(ISNA(MATCH(W5311,W$256:W5310,0)),1,0))</f>
        <v/>
      </c>
      <c r="AA5311">
        <f>IF(Z5311&gt;Z5310,Z5311,"")</f>
        <v/>
      </c>
      <c r="AB5311">
        <f>AB5310+IF(X5311="",0,IF(ISNA(MATCH(X5311,X$256:X5310,0)),1,0))</f>
        <v/>
      </c>
      <c r="AC5311">
        <f>IF(AB5311&gt;AB5310,AB5311,"")</f>
        <v/>
      </c>
    </row>
    <row r="5312">
      <c r="W5312" s="7" t="n"/>
      <c r="X5312" s="7" t="n"/>
      <c r="Z5312">
        <f>Z5311+IF(W5312="",0,IF(ISNA(MATCH(W5312,W$256:W5311,0)),1,0))</f>
        <v/>
      </c>
      <c r="AA5312">
        <f>IF(Z5312&gt;Z5311,Z5312,"")</f>
        <v/>
      </c>
      <c r="AB5312">
        <f>AB5311+IF(X5312="",0,IF(ISNA(MATCH(X5312,X$256:X5311,0)),1,0))</f>
        <v/>
      </c>
      <c r="AC5312">
        <f>IF(AB5312&gt;AB5311,AB5312,"")</f>
        <v/>
      </c>
    </row>
    <row r="5313">
      <c r="W5313" s="7" t="n"/>
      <c r="X5313" s="7" t="n"/>
      <c r="Z5313">
        <f>Z5312+IF(W5313="",0,IF(ISNA(MATCH(W5313,W$256:W5312,0)),1,0))</f>
        <v/>
      </c>
      <c r="AA5313">
        <f>IF(Z5313&gt;Z5312,Z5313,"")</f>
        <v/>
      </c>
      <c r="AB5313">
        <f>AB5312+IF(X5313="",0,IF(ISNA(MATCH(X5313,X$256:X5312,0)),1,0))</f>
        <v/>
      </c>
      <c r="AC5313">
        <f>IF(AB5313&gt;AB5312,AB5313,"")</f>
        <v/>
      </c>
    </row>
    <row r="5314">
      <c r="W5314" s="7" t="n"/>
      <c r="X5314" s="7" t="n"/>
      <c r="Z5314">
        <f>Z5313+IF(W5314="",0,IF(ISNA(MATCH(W5314,W$256:W5313,0)),1,0))</f>
        <v/>
      </c>
      <c r="AA5314">
        <f>IF(Z5314&gt;Z5313,Z5314,"")</f>
        <v/>
      </c>
      <c r="AB5314">
        <f>AB5313+IF(X5314="",0,IF(ISNA(MATCH(X5314,X$256:X5313,0)),1,0))</f>
        <v/>
      </c>
      <c r="AC5314">
        <f>IF(AB5314&gt;AB5313,AB5314,"")</f>
        <v/>
      </c>
    </row>
    <row r="5315">
      <c r="W5315" s="7" t="n"/>
      <c r="X5315" s="7" t="n"/>
      <c r="Z5315">
        <f>Z5314+IF(W5315="",0,IF(ISNA(MATCH(W5315,W$256:W5314,0)),1,0))</f>
        <v/>
      </c>
      <c r="AA5315">
        <f>IF(Z5315&gt;Z5314,Z5315,"")</f>
        <v/>
      </c>
      <c r="AB5315">
        <f>AB5314+IF(X5315="",0,IF(ISNA(MATCH(X5315,X$256:X5314,0)),1,0))</f>
        <v/>
      </c>
      <c r="AC5315">
        <f>IF(AB5315&gt;AB5314,AB5315,"")</f>
        <v/>
      </c>
    </row>
    <row r="5316">
      <c r="W5316" s="7" t="n"/>
      <c r="X5316" s="7" t="n"/>
      <c r="Z5316">
        <f>Z5315+IF(W5316="",0,IF(ISNA(MATCH(W5316,W$256:W5315,0)),1,0))</f>
        <v/>
      </c>
      <c r="AA5316">
        <f>IF(Z5316&gt;Z5315,Z5316,"")</f>
        <v/>
      </c>
      <c r="AB5316">
        <f>AB5315+IF(X5316="",0,IF(ISNA(MATCH(X5316,X$256:X5315,0)),1,0))</f>
        <v/>
      </c>
      <c r="AC5316">
        <f>IF(AB5316&gt;AB5315,AB5316,"")</f>
        <v/>
      </c>
    </row>
    <row r="5317">
      <c r="W5317" s="7" t="n"/>
      <c r="X5317" s="7" t="n"/>
      <c r="Z5317">
        <f>Z5316+IF(W5317="",0,IF(ISNA(MATCH(W5317,W$256:W5316,0)),1,0))</f>
        <v/>
      </c>
      <c r="AA5317">
        <f>IF(Z5317&gt;Z5316,Z5317,"")</f>
        <v/>
      </c>
      <c r="AB5317">
        <f>AB5316+IF(X5317="",0,IF(ISNA(MATCH(X5317,X$256:X5316,0)),1,0))</f>
        <v/>
      </c>
      <c r="AC5317">
        <f>IF(AB5317&gt;AB5316,AB5317,"")</f>
        <v/>
      </c>
    </row>
    <row r="5318">
      <c r="W5318" s="7" t="n"/>
      <c r="X5318" s="7" t="n"/>
      <c r="Z5318">
        <f>Z5317+IF(W5318="",0,IF(ISNA(MATCH(W5318,W$256:W5317,0)),1,0))</f>
        <v/>
      </c>
      <c r="AA5318">
        <f>IF(Z5318&gt;Z5317,Z5318,"")</f>
        <v/>
      </c>
      <c r="AB5318">
        <f>AB5317+IF(X5318="",0,IF(ISNA(MATCH(X5318,X$256:X5317,0)),1,0))</f>
        <v/>
      </c>
      <c r="AC5318">
        <f>IF(AB5318&gt;AB5317,AB5318,"")</f>
        <v/>
      </c>
    </row>
    <row r="5319">
      <c r="W5319" s="7" t="n"/>
      <c r="X5319" s="7" t="n"/>
      <c r="Z5319">
        <f>Z5318+IF(W5319="",0,IF(ISNA(MATCH(W5319,W$256:W5318,0)),1,0))</f>
        <v/>
      </c>
      <c r="AA5319">
        <f>IF(Z5319&gt;Z5318,Z5319,"")</f>
        <v/>
      </c>
      <c r="AB5319">
        <f>AB5318+IF(X5319="",0,IF(ISNA(MATCH(X5319,X$256:X5318,0)),1,0))</f>
        <v/>
      </c>
      <c r="AC5319">
        <f>IF(AB5319&gt;AB5318,AB5319,"")</f>
        <v/>
      </c>
    </row>
    <row r="5320">
      <c r="W5320" s="7" t="n"/>
      <c r="X5320" s="7" t="n"/>
      <c r="Z5320">
        <f>Z5319+IF(W5320="",0,IF(ISNA(MATCH(W5320,W$256:W5319,0)),1,0))</f>
        <v/>
      </c>
      <c r="AA5320">
        <f>IF(Z5320&gt;Z5319,Z5320,"")</f>
        <v/>
      </c>
      <c r="AB5320">
        <f>AB5319+IF(X5320="",0,IF(ISNA(MATCH(X5320,X$256:X5319,0)),1,0))</f>
        <v/>
      </c>
      <c r="AC5320">
        <f>IF(AB5320&gt;AB5319,AB5320,"")</f>
        <v/>
      </c>
    </row>
    <row r="5321">
      <c r="W5321" s="7" t="n"/>
      <c r="X5321" s="7" t="n"/>
      <c r="Z5321">
        <f>Z5320+IF(W5321="",0,IF(ISNA(MATCH(W5321,W$256:W5320,0)),1,0))</f>
        <v/>
      </c>
      <c r="AA5321">
        <f>IF(Z5321&gt;Z5320,Z5321,"")</f>
        <v/>
      </c>
      <c r="AB5321">
        <f>AB5320+IF(X5321="",0,IF(ISNA(MATCH(X5321,X$256:X5320,0)),1,0))</f>
        <v/>
      </c>
      <c r="AC5321">
        <f>IF(AB5321&gt;AB5320,AB5321,"")</f>
        <v/>
      </c>
    </row>
    <row r="5322">
      <c r="W5322" s="7" t="n"/>
      <c r="X5322" s="7" t="n"/>
      <c r="Z5322">
        <f>Z5321+IF(W5322="",0,IF(ISNA(MATCH(W5322,W$256:W5321,0)),1,0))</f>
        <v/>
      </c>
      <c r="AA5322">
        <f>IF(Z5322&gt;Z5321,Z5322,"")</f>
        <v/>
      </c>
      <c r="AB5322">
        <f>AB5321+IF(X5322="",0,IF(ISNA(MATCH(X5322,X$256:X5321,0)),1,0))</f>
        <v/>
      </c>
      <c r="AC5322">
        <f>IF(AB5322&gt;AB5321,AB5322,"")</f>
        <v/>
      </c>
    </row>
    <row r="5323">
      <c r="W5323" s="7" t="n"/>
      <c r="X5323" s="7" t="n"/>
      <c r="Z5323">
        <f>Z5322+IF(W5323="",0,IF(ISNA(MATCH(W5323,W$256:W5322,0)),1,0))</f>
        <v/>
      </c>
      <c r="AA5323">
        <f>IF(Z5323&gt;Z5322,Z5323,"")</f>
        <v/>
      </c>
      <c r="AB5323">
        <f>AB5322+IF(X5323="",0,IF(ISNA(MATCH(X5323,X$256:X5322,0)),1,0))</f>
        <v/>
      </c>
      <c r="AC5323">
        <f>IF(AB5323&gt;AB5322,AB5323,"")</f>
        <v/>
      </c>
    </row>
    <row r="5324">
      <c r="W5324" s="7" t="n"/>
      <c r="X5324" s="7" t="n"/>
      <c r="Z5324">
        <f>Z5323+IF(W5324="",0,IF(ISNA(MATCH(W5324,W$256:W5323,0)),1,0))</f>
        <v/>
      </c>
      <c r="AA5324">
        <f>IF(Z5324&gt;Z5323,Z5324,"")</f>
        <v/>
      </c>
      <c r="AB5324">
        <f>AB5323+IF(X5324="",0,IF(ISNA(MATCH(X5324,X$256:X5323,0)),1,0))</f>
        <v/>
      </c>
      <c r="AC5324">
        <f>IF(AB5324&gt;AB5323,AB5324,"")</f>
        <v/>
      </c>
    </row>
    <row r="5325">
      <c r="W5325" s="7" t="n"/>
      <c r="X5325" s="7" t="n"/>
      <c r="Z5325">
        <f>Z5324+IF(W5325="",0,IF(ISNA(MATCH(W5325,W$256:W5324,0)),1,0))</f>
        <v/>
      </c>
      <c r="AA5325">
        <f>IF(Z5325&gt;Z5324,Z5325,"")</f>
        <v/>
      </c>
      <c r="AB5325">
        <f>AB5324+IF(X5325="",0,IF(ISNA(MATCH(X5325,X$256:X5324,0)),1,0))</f>
        <v/>
      </c>
      <c r="AC5325">
        <f>IF(AB5325&gt;AB5324,AB5325,"")</f>
        <v/>
      </c>
    </row>
    <row r="5326">
      <c r="W5326" s="7" t="n"/>
      <c r="X5326" s="7" t="n"/>
      <c r="Z5326">
        <f>Z5325+IF(W5326="",0,IF(ISNA(MATCH(W5326,W$256:W5325,0)),1,0))</f>
        <v/>
      </c>
      <c r="AA5326">
        <f>IF(Z5326&gt;Z5325,Z5326,"")</f>
        <v/>
      </c>
      <c r="AB5326">
        <f>AB5325+IF(X5326="",0,IF(ISNA(MATCH(X5326,X$256:X5325,0)),1,0))</f>
        <v/>
      </c>
      <c r="AC5326">
        <f>IF(AB5326&gt;AB5325,AB5326,"")</f>
        <v/>
      </c>
    </row>
    <row r="5327">
      <c r="W5327" s="7" t="n"/>
      <c r="X5327" s="7" t="n"/>
      <c r="Z5327">
        <f>Z5326+IF(W5327="",0,IF(ISNA(MATCH(W5327,W$256:W5326,0)),1,0))</f>
        <v/>
      </c>
      <c r="AA5327">
        <f>IF(Z5327&gt;Z5326,Z5327,"")</f>
        <v/>
      </c>
      <c r="AB5327">
        <f>AB5326+IF(X5327="",0,IF(ISNA(MATCH(X5327,X$256:X5326,0)),1,0))</f>
        <v/>
      </c>
      <c r="AC5327">
        <f>IF(AB5327&gt;AB5326,AB5327,"")</f>
        <v/>
      </c>
    </row>
    <row r="5328">
      <c r="W5328" s="7" t="n"/>
      <c r="X5328" s="7" t="n"/>
      <c r="Z5328">
        <f>Z5327+IF(W5328="",0,IF(ISNA(MATCH(W5328,W$256:W5327,0)),1,0))</f>
        <v/>
      </c>
      <c r="AA5328">
        <f>IF(Z5328&gt;Z5327,Z5328,"")</f>
        <v/>
      </c>
      <c r="AB5328">
        <f>AB5327+IF(X5328="",0,IF(ISNA(MATCH(X5328,X$256:X5327,0)),1,0))</f>
        <v/>
      </c>
      <c r="AC5328">
        <f>IF(AB5328&gt;AB5327,AB5328,"")</f>
        <v/>
      </c>
    </row>
    <row r="5329">
      <c r="W5329" s="7" t="n"/>
      <c r="X5329" s="7" t="n"/>
      <c r="Z5329">
        <f>Z5328+IF(W5329="",0,IF(ISNA(MATCH(W5329,W$256:W5328,0)),1,0))</f>
        <v/>
      </c>
      <c r="AA5329">
        <f>IF(Z5329&gt;Z5328,Z5329,"")</f>
        <v/>
      </c>
      <c r="AB5329">
        <f>AB5328+IF(X5329="",0,IF(ISNA(MATCH(X5329,X$256:X5328,0)),1,0))</f>
        <v/>
      </c>
      <c r="AC5329">
        <f>IF(AB5329&gt;AB5328,AB5329,"")</f>
        <v/>
      </c>
    </row>
    <row r="5330">
      <c r="W5330" s="7" t="n"/>
      <c r="X5330" s="7" t="n"/>
      <c r="Z5330">
        <f>Z5329+IF(W5330="",0,IF(ISNA(MATCH(W5330,W$256:W5329,0)),1,0))</f>
        <v/>
      </c>
      <c r="AA5330">
        <f>IF(Z5330&gt;Z5329,Z5330,"")</f>
        <v/>
      </c>
      <c r="AB5330">
        <f>AB5329+IF(X5330="",0,IF(ISNA(MATCH(X5330,X$256:X5329,0)),1,0))</f>
        <v/>
      </c>
      <c r="AC5330">
        <f>IF(AB5330&gt;AB5329,AB5330,"")</f>
        <v/>
      </c>
    </row>
    <row r="5331">
      <c r="W5331" s="7" t="n"/>
      <c r="X5331" s="7" t="n"/>
      <c r="Z5331">
        <f>Z5330+IF(W5331="",0,IF(ISNA(MATCH(W5331,W$256:W5330,0)),1,0))</f>
        <v/>
      </c>
      <c r="AA5331">
        <f>IF(Z5331&gt;Z5330,Z5331,"")</f>
        <v/>
      </c>
      <c r="AB5331">
        <f>AB5330+IF(X5331="",0,IF(ISNA(MATCH(X5331,X$256:X5330,0)),1,0))</f>
        <v/>
      </c>
      <c r="AC5331">
        <f>IF(AB5331&gt;AB5330,AB5331,"")</f>
        <v/>
      </c>
    </row>
    <row r="5332">
      <c r="W5332" s="7" t="n"/>
      <c r="X5332" s="7" t="n"/>
      <c r="Z5332">
        <f>Z5331+IF(W5332="",0,IF(ISNA(MATCH(W5332,W$256:W5331,0)),1,0))</f>
        <v/>
      </c>
      <c r="AA5332">
        <f>IF(Z5332&gt;Z5331,Z5332,"")</f>
        <v/>
      </c>
      <c r="AB5332">
        <f>AB5331+IF(X5332="",0,IF(ISNA(MATCH(X5332,X$256:X5331,0)),1,0))</f>
        <v/>
      </c>
      <c r="AC5332">
        <f>IF(AB5332&gt;AB5331,AB5332,"")</f>
        <v/>
      </c>
    </row>
    <row r="5333">
      <c r="W5333" s="7" t="n"/>
      <c r="X5333" s="7" t="n"/>
      <c r="Z5333">
        <f>Z5332+IF(W5333="",0,IF(ISNA(MATCH(W5333,W$256:W5332,0)),1,0))</f>
        <v/>
      </c>
      <c r="AA5333">
        <f>IF(Z5333&gt;Z5332,Z5333,"")</f>
        <v/>
      </c>
      <c r="AB5333">
        <f>AB5332+IF(X5333="",0,IF(ISNA(MATCH(X5333,X$256:X5332,0)),1,0))</f>
        <v/>
      </c>
      <c r="AC5333">
        <f>IF(AB5333&gt;AB5332,AB5333,"")</f>
        <v/>
      </c>
    </row>
    <row r="5334">
      <c r="W5334" s="7" t="n"/>
      <c r="X5334" s="7" t="n"/>
      <c r="Z5334">
        <f>Z5333+IF(W5334="",0,IF(ISNA(MATCH(W5334,W$256:W5333,0)),1,0))</f>
        <v/>
      </c>
      <c r="AA5334">
        <f>IF(Z5334&gt;Z5333,Z5334,"")</f>
        <v/>
      </c>
      <c r="AB5334">
        <f>AB5333+IF(X5334="",0,IF(ISNA(MATCH(X5334,X$256:X5333,0)),1,0))</f>
        <v/>
      </c>
      <c r="AC5334">
        <f>IF(AB5334&gt;AB5333,AB5334,"")</f>
        <v/>
      </c>
    </row>
    <row r="5335">
      <c r="W5335" s="7" t="n"/>
      <c r="X5335" s="7" t="n"/>
      <c r="Z5335">
        <f>Z5334+IF(W5335="",0,IF(ISNA(MATCH(W5335,W$256:W5334,0)),1,0))</f>
        <v/>
      </c>
      <c r="AA5335">
        <f>IF(Z5335&gt;Z5334,Z5335,"")</f>
        <v/>
      </c>
      <c r="AB5335">
        <f>AB5334+IF(X5335="",0,IF(ISNA(MATCH(X5335,X$256:X5334,0)),1,0))</f>
        <v/>
      </c>
      <c r="AC5335">
        <f>IF(AB5335&gt;AB5334,AB5335,"")</f>
        <v/>
      </c>
    </row>
    <row r="5336">
      <c r="W5336" s="7" t="n"/>
      <c r="X5336" s="7" t="n"/>
      <c r="Z5336">
        <f>Z5335+IF(W5336="",0,IF(ISNA(MATCH(W5336,W$256:W5335,0)),1,0))</f>
        <v/>
      </c>
      <c r="AA5336">
        <f>IF(Z5336&gt;Z5335,Z5336,"")</f>
        <v/>
      </c>
      <c r="AB5336">
        <f>AB5335+IF(X5336="",0,IF(ISNA(MATCH(X5336,X$256:X5335,0)),1,0))</f>
        <v/>
      </c>
      <c r="AC5336">
        <f>IF(AB5336&gt;AB5335,AB5336,"")</f>
        <v/>
      </c>
    </row>
    <row r="5337">
      <c r="W5337" s="7" t="n"/>
      <c r="X5337" s="7" t="n"/>
      <c r="Z5337">
        <f>Z5336+IF(W5337="",0,IF(ISNA(MATCH(W5337,W$256:W5336,0)),1,0))</f>
        <v/>
      </c>
      <c r="AA5337">
        <f>IF(Z5337&gt;Z5336,Z5337,"")</f>
        <v/>
      </c>
      <c r="AB5337">
        <f>AB5336+IF(X5337="",0,IF(ISNA(MATCH(X5337,X$256:X5336,0)),1,0))</f>
        <v/>
      </c>
      <c r="AC5337">
        <f>IF(AB5337&gt;AB5336,AB5337,"")</f>
        <v/>
      </c>
    </row>
    <row r="5338">
      <c r="W5338" s="7" t="n"/>
      <c r="X5338" s="7" t="n"/>
      <c r="Z5338">
        <f>Z5337+IF(W5338="",0,IF(ISNA(MATCH(W5338,W$256:W5337,0)),1,0))</f>
        <v/>
      </c>
      <c r="AA5338">
        <f>IF(Z5338&gt;Z5337,Z5338,"")</f>
        <v/>
      </c>
      <c r="AB5338">
        <f>AB5337+IF(X5338="",0,IF(ISNA(MATCH(X5338,X$256:X5337,0)),1,0))</f>
        <v/>
      </c>
      <c r="AC5338">
        <f>IF(AB5338&gt;AB5337,AB5338,"")</f>
        <v/>
      </c>
    </row>
    <row r="5339">
      <c r="W5339" s="7" t="n"/>
      <c r="X5339" s="7" t="n"/>
      <c r="Z5339">
        <f>Z5338+IF(W5339="",0,IF(ISNA(MATCH(W5339,W$256:W5338,0)),1,0))</f>
        <v/>
      </c>
      <c r="AA5339">
        <f>IF(Z5339&gt;Z5338,Z5339,"")</f>
        <v/>
      </c>
      <c r="AB5339">
        <f>AB5338+IF(X5339="",0,IF(ISNA(MATCH(X5339,X$256:X5338,0)),1,0))</f>
        <v/>
      </c>
      <c r="AC5339">
        <f>IF(AB5339&gt;AB5338,AB5339,"")</f>
        <v/>
      </c>
    </row>
    <row r="5340">
      <c r="W5340" s="7" t="n"/>
      <c r="X5340" s="7" t="n"/>
      <c r="Z5340">
        <f>Z5339+IF(W5340="",0,IF(ISNA(MATCH(W5340,W$256:W5339,0)),1,0))</f>
        <v/>
      </c>
      <c r="AA5340">
        <f>IF(Z5340&gt;Z5339,Z5340,"")</f>
        <v/>
      </c>
      <c r="AB5340">
        <f>AB5339+IF(X5340="",0,IF(ISNA(MATCH(X5340,X$256:X5339,0)),1,0))</f>
        <v/>
      </c>
      <c r="AC5340">
        <f>IF(AB5340&gt;AB5339,AB5340,"")</f>
        <v/>
      </c>
    </row>
    <row r="5341">
      <c r="W5341" s="7" t="n"/>
      <c r="X5341" s="7" t="n"/>
      <c r="Z5341">
        <f>Z5340+IF(W5341="",0,IF(ISNA(MATCH(W5341,W$256:W5340,0)),1,0))</f>
        <v/>
      </c>
      <c r="AA5341">
        <f>IF(Z5341&gt;Z5340,Z5341,"")</f>
        <v/>
      </c>
      <c r="AB5341">
        <f>AB5340+IF(X5341="",0,IF(ISNA(MATCH(X5341,X$256:X5340,0)),1,0))</f>
        <v/>
      </c>
      <c r="AC5341">
        <f>IF(AB5341&gt;AB5340,AB5341,"")</f>
        <v/>
      </c>
    </row>
    <row r="5342">
      <c r="W5342" s="7" t="n"/>
      <c r="X5342" s="7" t="n"/>
      <c r="Z5342">
        <f>Z5341+IF(W5342="",0,IF(ISNA(MATCH(W5342,W$256:W5341,0)),1,0))</f>
        <v/>
      </c>
      <c r="AA5342">
        <f>IF(Z5342&gt;Z5341,Z5342,"")</f>
        <v/>
      </c>
      <c r="AB5342">
        <f>AB5341+IF(X5342="",0,IF(ISNA(MATCH(X5342,X$256:X5341,0)),1,0))</f>
        <v/>
      </c>
      <c r="AC5342">
        <f>IF(AB5342&gt;AB5341,AB5342,"")</f>
        <v/>
      </c>
    </row>
    <row r="5343">
      <c r="W5343" s="7" t="n"/>
      <c r="X5343" s="7" t="n"/>
      <c r="Z5343">
        <f>Z5342+IF(W5343="",0,IF(ISNA(MATCH(W5343,W$256:W5342,0)),1,0))</f>
        <v/>
      </c>
      <c r="AA5343">
        <f>IF(Z5343&gt;Z5342,Z5343,"")</f>
        <v/>
      </c>
      <c r="AB5343">
        <f>AB5342+IF(X5343="",0,IF(ISNA(MATCH(X5343,X$256:X5342,0)),1,0))</f>
        <v/>
      </c>
      <c r="AC5343">
        <f>IF(AB5343&gt;AB5342,AB5343,"")</f>
        <v/>
      </c>
    </row>
    <row r="5344">
      <c r="W5344" s="7" t="n"/>
      <c r="X5344" s="7" t="n"/>
      <c r="Z5344">
        <f>Z5343+IF(W5344="",0,IF(ISNA(MATCH(W5344,W$256:W5343,0)),1,0))</f>
        <v/>
      </c>
      <c r="AA5344">
        <f>IF(Z5344&gt;Z5343,Z5344,"")</f>
        <v/>
      </c>
      <c r="AB5344">
        <f>AB5343+IF(X5344="",0,IF(ISNA(MATCH(X5344,X$256:X5343,0)),1,0))</f>
        <v/>
      </c>
      <c r="AC5344">
        <f>IF(AB5344&gt;AB5343,AB5344,"")</f>
        <v/>
      </c>
    </row>
    <row r="5345">
      <c r="W5345" s="7" t="n"/>
      <c r="X5345" s="7" t="n"/>
      <c r="Z5345">
        <f>Z5344+IF(W5345="",0,IF(ISNA(MATCH(W5345,W$256:W5344,0)),1,0))</f>
        <v/>
      </c>
      <c r="AA5345">
        <f>IF(Z5345&gt;Z5344,Z5345,"")</f>
        <v/>
      </c>
      <c r="AB5345">
        <f>AB5344+IF(X5345="",0,IF(ISNA(MATCH(X5345,X$256:X5344,0)),1,0))</f>
        <v/>
      </c>
      <c r="AC5345">
        <f>IF(AB5345&gt;AB5344,AB5345,"")</f>
        <v/>
      </c>
    </row>
    <row r="5346">
      <c r="W5346" s="7" t="n"/>
      <c r="X5346" s="7" t="n"/>
      <c r="Z5346">
        <f>Z5345+IF(W5346="",0,IF(ISNA(MATCH(W5346,W$256:W5345,0)),1,0))</f>
        <v/>
      </c>
      <c r="AA5346">
        <f>IF(Z5346&gt;Z5345,Z5346,"")</f>
        <v/>
      </c>
      <c r="AB5346">
        <f>AB5345+IF(X5346="",0,IF(ISNA(MATCH(X5346,X$256:X5345,0)),1,0))</f>
        <v/>
      </c>
      <c r="AC5346">
        <f>IF(AB5346&gt;AB5345,AB5346,"")</f>
        <v/>
      </c>
    </row>
    <row r="5347">
      <c r="W5347" s="7" t="n"/>
      <c r="X5347" s="7" t="n"/>
      <c r="Z5347">
        <f>Z5346+IF(W5347="",0,IF(ISNA(MATCH(W5347,W$256:W5346,0)),1,0))</f>
        <v/>
      </c>
      <c r="AA5347">
        <f>IF(Z5347&gt;Z5346,Z5347,"")</f>
        <v/>
      </c>
      <c r="AB5347">
        <f>AB5346+IF(X5347="",0,IF(ISNA(MATCH(X5347,X$256:X5346,0)),1,0))</f>
        <v/>
      </c>
      <c r="AC5347">
        <f>IF(AB5347&gt;AB5346,AB5347,"")</f>
        <v/>
      </c>
    </row>
    <row r="5348">
      <c r="W5348" s="7" t="n"/>
      <c r="X5348" s="7" t="n"/>
      <c r="Z5348">
        <f>Z5347+IF(W5348="",0,IF(ISNA(MATCH(W5348,W$256:W5347,0)),1,0))</f>
        <v/>
      </c>
      <c r="AA5348">
        <f>IF(Z5348&gt;Z5347,Z5348,"")</f>
        <v/>
      </c>
      <c r="AB5348">
        <f>AB5347+IF(X5348="",0,IF(ISNA(MATCH(X5348,X$256:X5347,0)),1,0))</f>
        <v/>
      </c>
      <c r="AC5348">
        <f>IF(AB5348&gt;AB5347,AB5348,"")</f>
        <v/>
      </c>
    </row>
    <row r="5349">
      <c r="W5349" s="7" t="n"/>
      <c r="X5349" s="7" t="n"/>
      <c r="Z5349">
        <f>Z5348+IF(W5349="",0,IF(ISNA(MATCH(W5349,W$256:W5348,0)),1,0))</f>
        <v/>
      </c>
      <c r="AA5349">
        <f>IF(Z5349&gt;Z5348,Z5349,"")</f>
        <v/>
      </c>
      <c r="AB5349">
        <f>AB5348+IF(X5349="",0,IF(ISNA(MATCH(X5349,X$256:X5348,0)),1,0))</f>
        <v/>
      </c>
      <c r="AC5349">
        <f>IF(AB5349&gt;AB5348,AB5349,"")</f>
        <v/>
      </c>
    </row>
    <row r="5350">
      <c r="W5350" s="7" t="n"/>
      <c r="X5350" s="7" t="n"/>
      <c r="Z5350">
        <f>Z5349+IF(W5350="",0,IF(ISNA(MATCH(W5350,W$256:W5349,0)),1,0))</f>
        <v/>
      </c>
      <c r="AA5350">
        <f>IF(Z5350&gt;Z5349,Z5350,"")</f>
        <v/>
      </c>
      <c r="AB5350">
        <f>AB5349+IF(X5350="",0,IF(ISNA(MATCH(X5350,X$256:X5349,0)),1,0))</f>
        <v/>
      </c>
      <c r="AC5350">
        <f>IF(AB5350&gt;AB5349,AB5350,"")</f>
        <v/>
      </c>
    </row>
    <row r="5351">
      <c r="W5351" s="7" t="n"/>
      <c r="X5351" s="7" t="n"/>
      <c r="Z5351">
        <f>Z5350+IF(W5351="",0,IF(ISNA(MATCH(W5351,W$256:W5350,0)),1,0))</f>
        <v/>
      </c>
      <c r="AA5351">
        <f>IF(Z5351&gt;Z5350,Z5351,"")</f>
        <v/>
      </c>
      <c r="AB5351">
        <f>AB5350+IF(X5351="",0,IF(ISNA(MATCH(X5351,X$256:X5350,0)),1,0))</f>
        <v/>
      </c>
      <c r="AC5351">
        <f>IF(AB5351&gt;AB5350,AB5351,"")</f>
        <v/>
      </c>
    </row>
    <row r="5352">
      <c r="W5352" s="7" t="n"/>
      <c r="X5352" s="7" t="n"/>
      <c r="Z5352">
        <f>Z5351+IF(W5352="",0,IF(ISNA(MATCH(W5352,W$256:W5351,0)),1,0))</f>
        <v/>
      </c>
      <c r="AA5352">
        <f>IF(Z5352&gt;Z5351,Z5352,"")</f>
        <v/>
      </c>
      <c r="AB5352">
        <f>AB5351+IF(X5352="",0,IF(ISNA(MATCH(X5352,X$256:X5351,0)),1,0))</f>
        <v/>
      </c>
      <c r="AC5352">
        <f>IF(AB5352&gt;AB5351,AB5352,"")</f>
        <v/>
      </c>
    </row>
    <row r="5353">
      <c r="W5353" s="7" t="n"/>
      <c r="X5353" s="7" t="n"/>
      <c r="Z5353">
        <f>Z5352+IF(W5353="",0,IF(ISNA(MATCH(W5353,W$256:W5352,0)),1,0))</f>
        <v/>
      </c>
      <c r="AA5353">
        <f>IF(Z5353&gt;Z5352,Z5353,"")</f>
        <v/>
      </c>
      <c r="AB5353">
        <f>AB5352+IF(X5353="",0,IF(ISNA(MATCH(X5353,X$256:X5352,0)),1,0))</f>
        <v/>
      </c>
      <c r="AC5353">
        <f>IF(AB5353&gt;AB5352,AB5353,"")</f>
        <v/>
      </c>
    </row>
    <row r="5354">
      <c r="W5354" s="7" t="n"/>
      <c r="X5354" s="7" t="n"/>
      <c r="Z5354">
        <f>Z5353+IF(W5354="",0,IF(ISNA(MATCH(W5354,W$256:W5353,0)),1,0))</f>
        <v/>
      </c>
      <c r="AA5354">
        <f>IF(Z5354&gt;Z5353,Z5354,"")</f>
        <v/>
      </c>
      <c r="AB5354">
        <f>AB5353+IF(X5354="",0,IF(ISNA(MATCH(X5354,X$256:X5353,0)),1,0))</f>
        <v/>
      </c>
      <c r="AC5354">
        <f>IF(AB5354&gt;AB5353,AB5354,"")</f>
        <v/>
      </c>
    </row>
    <row r="5355">
      <c r="W5355" s="7" t="n"/>
      <c r="X5355" s="7" t="n"/>
      <c r="Z5355">
        <f>Z5354+IF(W5355="",0,IF(ISNA(MATCH(W5355,W$256:W5354,0)),1,0))</f>
        <v/>
      </c>
      <c r="AA5355">
        <f>IF(Z5355&gt;Z5354,Z5355,"")</f>
        <v/>
      </c>
      <c r="AB5355">
        <f>AB5354+IF(X5355="",0,IF(ISNA(MATCH(X5355,X$256:X5354,0)),1,0))</f>
        <v/>
      </c>
      <c r="AC5355">
        <f>IF(AB5355&gt;AB5354,AB5355,"")</f>
        <v/>
      </c>
    </row>
    <row r="5356">
      <c r="W5356" s="7" t="n"/>
      <c r="X5356" s="7" t="n"/>
      <c r="Z5356">
        <f>Z5355+IF(W5356="",0,IF(ISNA(MATCH(W5356,W$256:W5355,0)),1,0))</f>
        <v/>
      </c>
      <c r="AA5356">
        <f>IF(Z5356&gt;Z5355,Z5356,"")</f>
        <v/>
      </c>
      <c r="AB5356">
        <f>AB5355+IF(X5356="",0,IF(ISNA(MATCH(X5356,X$256:X5355,0)),1,0))</f>
        <v/>
      </c>
      <c r="AC5356">
        <f>IF(AB5356&gt;AB5355,AB5356,"")</f>
        <v/>
      </c>
    </row>
    <row r="5357">
      <c r="W5357" s="7" t="n"/>
      <c r="X5357" s="7" t="n"/>
      <c r="Z5357">
        <f>Z5356+IF(W5357="",0,IF(ISNA(MATCH(W5357,W$256:W5356,0)),1,0))</f>
        <v/>
      </c>
      <c r="AA5357">
        <f>IF(Z5357&gt;Z5356,Z5357,"")</f>
        <v/>
      </c>
      <c r="AB5357">
        <f>AB5356+IF(X5357="",0,IF(ISNA(MATCH(X5357,X$256:X5356,0)),1,0))</f>
        <v/>
      </c>
      <c r="AC5357">
        <f>IF(AB5357&gt;AB5356,AB5357,"")</f>
        <v/>
      </c>
    </row>
    <row r="5358">
      <c r="W5358" s="7" t="n"/>
      <c r="X5358" s="7" t="n"/>
      <c r="Z5358">
        <f>Z5357+IF(W5358="",0,IF(ISNA(MATCH(W5358,W$256:W5357,0)),1,0))</f>
        <v/>
      </c>
      <c r="AA5358">
        <f>IF(Z5358&gt;Z5357,Z5358,"")</f>
        <v/>
      </c>
      <c r="AB5358">
        <f>AB5357+IF(X5358="",0,IF(ISNA(MATCH(X5358,X$256:X5357,0)),1,0))</f>
        <v/>
      </c>
      <c r="AC5358">
        <f>IF(AB5358&gt;AB5357,AB5358,"")</f>
        <v/>
      </c>
    </row>
    <row r="5359">
      <c r="W5359" s="7" t="n"/>
      <c r="X5359" s="7" t="n"/>
      <c r="Z5359">
        <f>Z5358+IF(W5359="",0,IF(ISNA(MATCH(W5359,W$256:W5358,0)),1,0))</f>
        <v/>
      </c>
      <c r="AA5359">
        <f>IF(Z5359&gt;Z5358,Z5359,"")</f>
        <v/>
      </c>
      <c r="AB5359">
        <f>AB5358+IF(X5359="",0,IF(ISNA(MATCH(X5359,X$256:X5358,0)),1,0))</f>
        <v/>
      </c>
      <c r="AC5359">
        <f>IF(AB5359&gt;AB5358,AB5359,"")</f>
        <v/>
      </c>
    </row>
    <row r="5360">
      <c r="W5360" s="7" t="n"/>
      <c r="X5360" s="7" t="n"/>
      <c r="Z5360">
        <f>Z5359+IF(W5360="",0,IF(ISNA(MATCH(W5360,W$256:W5359,0)),1,0))</f>
        <v/>
      </c>
      <c r="AA5360">
        <f>IF(Z5360&gt;Z5359,Z5360,"")</f>
        <v/>
      </c>
      <c r="AB5360">
        <f>AB5359+IF(X5360="",0,IF(ISNA(MATCH(X5360,X$256:X5359,0)),1,0))</f>
        <v/>
      </c>
      <c r="AC5360">
        <f>IF(AB5360&gt;AB5359,AB5360,"")</f>
        <v/>
      </c>
    </row>
    <row r="5361">
      <c r="W5361" s="7" t="n"/>
      <c r="X5361" s="7" t="n"/>
      <c r="Z5361">
        <f>Z5360+IF(W5361="",0,IF(ISNA(MATCH(W5361,W$256:W5360,0)),1,0))</f>
        <v/>
      </c>
      <c r="AA5361">
        <f>IF(Z5361&gt;Z5360,Z5361,"")</f>
        <v/>
      </c>
      <c r="AB5361">
        <f>AB5360+IF(X5361="",0,IF(ISNA(MATCH(X5361,X$256:X5360,0)),1,0))</f>
        <v/>
      </c>
      <c r="AC5361">
        <f>IF(AB5361&gt;AB5360,AB5361,"")</f>
        <v/>
      </c>
    </row>
    <row r="5362">
      <c r="W5362" s="7" t="n"/>
      <c r="X5362" s="7" t="n"/>
      <c r="Z5362">
        <f>Z5361+IF(W5362="",0,IF(ISNA(MATCH(W5362,W$256:W5361,0)),1,0))</f>
        <v/>
      </c>
      <c r="AA5362">
        <f>IF(Z5362&gt;Z5361,Z5362,"")</f>
        <v/>
      </c>
      <c r="AB5362">
        <f>AB5361+IF(X5362="",0,IF(ISNA(MATCH(X5362,X$256:X5361,0)),1,0))</f>
        <v/>
      </c>
      <c r="AC5362">
        <f>IF(AB5362&gt;AB5361,AB5362,"")</f>
        <v/>
      </c>
    </row>
    <row r="5363">
      <c r="W5363" s="7" t="n"/>
      <c r="X5363" s="7" t="n"/>
      <c r="Z5363">
        <f>Z5362+IF(W5363="",0,IF(ISNA(MATCH(W5363,W$256:W5362,0)),1,0))</f>
        <v/>
      </c>
      <c r="AA5363">
        <f>IF(Z5363&gt;Z5362,Z5363,"")</f>
        <v/>
      </c>
      <c r="AB5363">
        <f>AB5362+IF(X5363="",0,IF(ISNA(MATCH(X5363,X$256:X5362,0)),1,0))</f>
        <v/>
      </c>
      <c r="AC5363">
        <f>IF(AB5363&gt;AB5362,AB5363,"")</f>
        <v/>
      </c>
    </row>
    <row r="5364">
      <c r="W5364" s="7" t="n"/>
      <c r="X5364" s="7" t="n"/>
      <c r="Z5364">
        <f>Z5363+IF(W5364="",0,IF(ISNA(MATCH(W5364,W$256:W5363,0)),1,0))</f>
        <v/>
      </c>
      <c r="AA5364">
        <f>IF(Z5364&gt;Z5363,Z5364,"")</f>
        <v/>
      </c>
      <c r="AB5364">
        <f>AB5363+IF(X5364="",0,IF(ISNA(MATCH(X5364,X$256:X5363,0)),1,0))</f>
        <v/>
      </c>
      <c r="AC5364">
        <f>IF(AB5364&gt;AB5363,AB5364,"")</f>
        <v/>
      </c>
    </row>
    <row r="5365">
      <c r="W5365" s="7" t="n"/>
      <c r="X5365" s="7" t="n"/>
      <c r="Z5365">
        <f>Z5364+IF(W5365="",0,IF(ISNA(MATCH(W5365,W$256:W5364,0)),1,0))</f>
        <v/>
      </c>
      <c r="AA5365">
        <f>IF(Z5365&gt;Z5364,Z5365,"")</f>
        <v/>
      </c>
      <c r="AB5365">
        <f>AB5364+IF(X5365="",0,IF(ISNA(MATCH(X5365,X$256:X5364,0)),1,0))</f>
        <v/>
      </c>
      <c r="AC5365">
        <f>IF(AB5365&gt;AB5364,AB5365,"")</f>
        <v/>
      </c>
    </row>
    <row r="5366">
      <c r="W5366" s="7" t="n"/>
      <c r="X5366" s="7" t="n"/>
      <c r="Z5366">
        <f>Z5365+IF(W5366="",0,IF(ISNA(MATCH(W5366,W$256:W5365,0)),1,0))</f>
        <v/>
      </c>
      <c r="AA5366">
        <f>IF(Z5366&gt;Z5365,Z5366,"")</f>
        <v/>
      </c>
      <c r="AB5366">
        <f>AB5365+IF(X5366="",0,IF(ISNA(MATCH(X5366,X$256:X5365,0)),1,0))</f>
        <v/>
      </c>
      <c r="AC5366">
        <f>IF(AB5366&gt;AB5365,AB5366,"")</f>
        <v/>
      </c>
    </row>
    <row r="5367">
      <c r="W5367" s="7" t="n"/>
      <c r="X5367" s="7" t="n"/>
      <c r="Z5367">
        <f>Z5366+IF(W5367="",0,IF(ISNA(MATCH(W5367,W$256:W5366,0)),1,0))</f>
        <v/>
      </c>
      <c r="AA5367">
        <f>IF(Z5367&gt;Z5366,Z5367,"")</f>
        <v/>
      </c>
      <c r="AB5367">
        <f>AB5366+IF(X5367="",0,IF(ISNA(MATCH(X5367,X$256:X5366,0)),1,0))</f>
        <v/>
      </c>
      <c r="AC5367">
        <f>IF(AB5367&gt;AB5366,AB5367,"")</f>
        <v/>
      </c>
    </row>
    <row r="5368">
      <c r="W5368" s="7" t="n"/>
      <c r="X5368" s="7" t="n"/>
      <c r="Z5368">
        <f>Z5367+IF(W5368="",0,IF(ISNA(MATCH(W5368,W$256:W5367,0)),1,0))</f>
        <v/>
      </c>
      <c r="AA5368">
        <f>IF(Z5368&gt;Z5367,Z5368,"")</f>
        <v/>
      </c>
      <c r="AB5368">
        <f>AB5367+IF(X5368="",0,IF(ISNA(MATCH(X5368,X$256:X5367,0)),1,0))</f>
        <v/>
      </c>
      <c r="AC5368">
        <f>IF(AB5368&gt;AB5367,AB5368,"")</f>
        <v/>
      </c>
    </row>
    <row r="5369">
      <c r="W5369" s="7" t="n"/>
      <c r="X5369" s="7" t="n"/>
      <c r="Z5369">
        <f>Z5368+IF(W5369="",0,IF(ISNA(MATCH(W5369,W$256:W5368,0)),1,0))</f>
        <v/>
      </c>
      <c r="AA5369">
        <f>IF(Z5369&gt;Z5368,Z5369,"")</f>
        <v/>
      </c>
      <c r="AB5369">
        <f>AB5368+IF(X5369="",0,IF(ISNA(MATCH(X5369,X$256:X5368,0)),1,0))</f>
        <v/>
      </c>
      <c r="AC5369">
        <f>IF(AB5369&gt;AB5368,AB5369,"")</f>
        <v/>
      </c>
    </row>
    <row r="5370">
      <c r="W5370" s="7" t="n"/>
      <c r="X5370" s="7" t="n"/>
      <c r="Z5370">
        <f>Z5369+IF(W5370="",0,IF(ISNA(MATCH(W5370,W$256:W5369,0)),1,0))</f>
        <v/>
      </c>
      <c r="AA5370">
        <f>IF(Z5370&gt;Z5369,Z5370,"")</f>
        <v/>
      </c>
      <c r="AB5370">
        <f>AB5369+IF(X5370="",0,IF(ISNA(MATCH(X5370,X$256:X5369,0)),1,0))</f>
        <v/>
      </c>
      <c r="AC5370">
        <f>IF(AB5370&gt;AB5369,AB5370,"")</f>
        <v/>
      </c>
    </row>
    <row r="5371">
      <c r="W5371" s="7" t="n"/>
      <c r="X5371" s="7" t="n"/>
      <c r="Z5371">
        <f>Z5370+IF(W5371="",0,IF(ISNA(MATCH(W5371,W$256:W5370,0)),1,0))</f>
        <v/>
      </c>
      <c r="AA5371">
        <f>IF(Z5371&gt;Z5370,Z5371,"")</f>
        <v/>
      </c>
      <c r="AB5371">
        <f>AB5370+IF(X5371="",0,IF(ISNA(MATCH(X5371,X$256:X5370,0)),1,0))</f>
        <v/>
      </c>
      <c r="AC5371">
        <f>IF(AB5371&gt;AB5370,AB5371,"")</f>
        <v/>
      </c>
    </row>
    <row r="5372">
      <c r="W5372" s="7" t="n"/>
      <c r="X5372" s="7" t="n"/>
      <c r="Z5372">
        <f>Z5371+IF(W5372="",0,IF(ISNA(MATCH(W5372,W$256:W5371,0)),1,0))</f>
        <v/>
      </c>
      <c r="AA5372">
        <f>IF(Z5372&gt;Z5371,Z5372,"")</f>
        <v/>
      </c>
      <c r="AB5372">
        <f>AB5371+IF(X5372="",0,IF(ISNA(MATCH(X5372,X$256:X5371,0)),1,0))</f>
        <v/>
      </c>
      <c r="AC5372">
        <f>IF(AB5372&gt;AB5371,AB5372,"")</f>
        <v/>
      </c>
    </row>
    <row r="5373">
      <c r="W5373" s="7" t="n"/>
      <c r="X5373" s="7" t="n"/>
      <c r="Z5373">
        <f>Z5372+IF(W5373="",0,IF(ISNA(MATCH(W5373,W$256:W5372,0)),1,0))</f>
        <v/>
      </c>
      <c r="AA5373">
        <f>IF(Z5373&gt;Z5372,Z5373,"")</f>
        <v/>
      </c>
      <c r="AB5373">
        <f>AB5372+IF(X5373="",0,IF(ISNA(MATCH(X5373,X$256:X5372,0)),1,0))</f>
        <v/>
      </c>
      <c r="AC5373">
        <f>IF(AB5373&gt;AB5372,AB5373,"")</f>
        <v/>
      </c>
    </row>
    <row r="5374">
      <c r="W5374" s="7" t="n"/>
      <c r="X5374" s="7" t="n"/>
      <c r="Z5374">
        <f>Z5373+IF(W5374="",0,IF(ISNA(MATCH(W5374,W$256:W5373,0)),1,0))</f>
        <v/>
      </c>
      <c r="AA5374">
        <f>IF(Z5374&gt;Z5373,Z5374,"")</f>
        <v/>
      </c>
      <c r="AB5374">
        <f>AB5373+IF(X5374="",0,IF(ISNA(MATCH(X5374,X$256:X5373,0)),1,0))</f>
        <v/>
      </c>
      <c r="AC5374">
        <f>IF(AB5374&gt;AB5373,AB5374,"")</f>
        <v/>
      </c>
    </row>
    <row r="5375">
      <c r="W5375" s="7" t="n"/>
      <c r="X5375" s="7" t="n"/>
      <c r="Z5375">
        <f>Z5374+IF(W5375="",0,IF(ISNA(MATCH(W5375,W$256:W5374,0)),1,0))</f>
        <v/>
      </c>
      <c r="AA5375">
        <f>IF(Z5375&gt;Z5374,Z5375,"")</f>
        <v/>
      </c>
      <c r="AB5375">
        <f>AB5374+IF(X5375="",0,IF(ISNA(MATCH(X5375,X$256:X5374,0)),1,0))</f>
        <v/>
      </c>
      <c r="AC5375">
        <f>IF(AB5375&gt;AB5374,AB5375,"")</f>
        <v/>
      </c>
    </row>
    <row r="5376">
      <c r="W5376" s="7" t="n"/>
      <c r="X5376" s="7" t="n"/>
      <c r="Z5376">
        <f>Z5375+IF(W5376="",0,IF(ISNA(MATCH(W5376,W$256:W5375,0)),1,0))</f>
        <v/>
      </c>
      <c r="AA5376">
        <f>IF(Z5376&gt;Z5375,Z5376,"")</f>
        <v/>
      </c>
      <c r="AB5376">
        <f>AB5375+IF(X5376="",0,IF(ISNA(MATCH(X5376,X$256:X5375,0)),1,0))</f>
        <v/>
      </c>
      <c r="AC5376">
        <f>IF(AB5376&gt;AB5375,AB5376,"")</f>
        <v/>
      </c>
    </row>
    <row r="5377">
      <c r="W5377" s="7" t="n"/>
      <c r="X5377" s="7" t="n"/>
      <c r="Z5377">
        <f>Z5376+IF(W5377="",0,IF(ISNA(MATCH(W5377,W$256:W5376,0)),1,0))</f>
        <v/>
      </c>
      <c r="AA5377">
        <f>IF(Z5377&gt;Z5376,Z5377,"")</f>
        <v/>
      </c>
      <c r="AB5377">
        <f>AB5376+IF(X5377="",0,IF(ISNA(MATCH(X5377,X$256:X5376,0)),1,0))</f>
        <v/>
      </c>
      <c r="AC5377">
        <f>IF(AB5377&gt;AB5376,AB5377,"")</f>
        <v/>
      </c>
    </row>
    <row r="5378">
      <c r="W5378" s="7" t="n"/>
      <c r="X5378" s="7" t="n"/>
      <c r="Z5378">
        <f>Z5377+IF(W5378="",0,IF(ISNA(MATCH(W5378,W$256:W5377,0)),1,0))</f>
        <v/>
      </c>
      <c r="AA5378">
        <f>IF(Z5378&gt;Z5377,Z5378,"")</f>
        <v/>
      </c>
      <c r="AB5378">
        <f>AB5377+IF(X5378="",0,IF(ISNA(MATCH(X5378,X$256:X5377,0)),1,0))</f>
        <v/>
      </c>
      <c r="AC5378">
        <f>IF(AB5378&gt;AB5377,AB5378,"")</f>
        <v/>
      </c>
    </row>
    <row r="5379">
      <c r="W5379" s="7" t="n"/>
      <c r="X5379" s="7" t="n"/>
      <c r="Z5379">
        <f>Z5378+IF(W5379="",0,IF(ISNA(MATCH(W5379,W$256:W5378,0)),1,0))</f>
        <v/>
      </c>
      <c r="AA5379">
        <f>IF(Z5379&gt;Z5378,Z5379,"")</f>
        <v/>
      </c>
      <c r="AB5379">
        <f>AB5378+IF(X5379="",0,IF(ISNA(MATCH(X5379,X$256:X5378,0)),1,0))</f>
        <v/>
      </c>
      <c r="AC5379">
        <f>IF(AB5379&gt;AB5378,AB5379,"")</f>
        <v/>
      </c>
    </row>
    <row r="5380">
      <c r="W5380" s="7" t="n"/>
      <c r="X5380" s="7" t="n"/>
      <c r="Z5380">
        <f>Z5379+IF(W5380="",0,IF(ISNA(MATCH(W5380,W$256:W5379,0)),1,0))</f>
        <v/>
      </c>
      <c r="AA5380">
        <f>IF(Z5380&gt;Z5379,Z5380,"")</f>
        <v/>
      </c>
      <c r="AB5380">
        <f>AB5379+IF(X5380="",0,IF(ISNA(MATCH(X5380,X$256:X5379,0)),1,0))</f>
        <v/>
      </c>
      <c r="AC5380">
        <f>IF(AB5380&gt;AB5379,AB5380,"")</f>
        <v/>
      </c>
    </row>
    <row r="5381">
      <c r="W5381" s="7" t="n"/>
      <c r="X5381" s="7" t="n"/>
      <c r="Z5381">
        <f>Z5380+IF(W5381="",0,IF(ISNA(MATCH(W5381,W$256:W5380,0)),1,0))</f>
        <v/>
      </c>
      <c r="AA5381">
        <f>IF(Z5381&gt;Z5380,Z5381,"")</f>
        <v/>
      </c>
      <c r="AB5381">
        <f>AB5380+IF(X5381="",0,IF(ISNA(MATCH(X5381,X$256:X5380,0)),1,0))</f>
        <v/>
      </c>
      <c r="AC5381">
        <f>IF(AB5381&gt;AB5380,AB5381,"")</f>
        <v/>
      </c>
    </row>
    <row r="5382">
      <c r="W5382" s="7" t="n"/>
      <c r="X5382" s="7" t="n"/>
      <c r="Z5382">
        <f>Z5381+IF(W5382="",0,IF(ISNA(MATCH(W5382,W$256:W5381,0)),1,0))</f>
        <v/>
      </c>
      <c r="AA5382">
        <f>IF(Z5382&gt;Z5381,Z5382,"")</f>
        <v/>
      </c>
      <c r="AB5382">
        <f>AB5381+IF(X5382="",0,IF(ISNA(MATCH(X5382,X$256:X5381,0)),1,0))</f>
        <v/>
      </c>
      <c r="AC5382">
        <f>IF(AB5382&gt;AB5381,AB5382,"")</f>
        <v/>
      </c>
    </row>
    <row r="5383">
      <c r="W5383" s="7" t="n"/>
      <c r="X5383" s="7" t="n"/>
      <c r="Z5383">
        <f>Z5382+IF(W5383="",0,IF(ISNA(MATCH(W5383,W$256:W5382,0)),1,0))</f>
        <v/>
      </c>
      <c r="AA5383">
        <f>IF(Z5383&gt;Z5382,Z5383,"")</f>
        <v/>
      </c>
      <c r="AB5383">
        <f>AB5382+IF(X5383="",0,IF(ISNA(MATCH(X5383,X$256:X5382,0)),1,0))</f>
        <v/>
      </c>
      <c r="AC5383">
        <f>IF(AB5383&gt;AB5382,AB5383,"")</f>
        <v/>
      </c>
    </row>
    <row r="5384">
      <c r="W5384" s="7" t="n"/>
      <c r="X5384" s="7" t="n"/>
      <c r="Z5384">
        <f>Z5383+IF(W5384="",0,IF(ISNA(MATCH(W5384,W$256:W5383,0)),1,0))</f>
        <v/>
      </c>
      <c r="AA5384">
        <f>IF(Z5384&gt;Z5383,Z5384,"")</f>
        <v/>
      </c>
      <c r="AB5384">
        <f>AB5383+IF(X5384="",0,IF(ISNA(MATCH(X5384,X$256:X5383,0)),1,0))</f>
        <v/>
      </c>
      <c r="AC5384">
        <f>IF(AB5384&gt;AB5383,AB5384,"")</f>
        <v/>
      </c>
    </row>
    <row r="5385">
      <c r="W5385" s="7" t="n"/>
      <c r="X5385" s="7" t="n"/>
      <c r="Z5385">
        <f>Z5384+IF(W5385="",0,IF(ISNA(MATCH(W5385,W$256:W5384,0)),1,0))</f>
        <v/>
      </c>
      <c r="AA5385">
        <f>IF(Z5385&gt;Z5384,Z5385,"")</f>
        <v/>
      </c>
      <c r="AB5385">
        <f>AB5384+IF(X5385="",0,IF(ISNA(MATCH(X5385,X$256:X5384,0)),1,0))</f>
        <v/>
      </c>
      <c r="AC5385">
        <f>IF(AB5385&gt;AB5384,AB5385,"")</f>
        <v/>
      </c>
    </row>
    <row r="5386">
      <c r="W5386" s="7" t="n"/>
      <c r="X5386" s="7" t="n"/>
      <c r="Z5386">
        <f>Z5385+IF(W5386="",0,IF(ISNA(MATCH(W5386,W$256:W5385,0)),1,0))</f>
        <v/>
      </c>
      <c r="AA5386">
        <f>IF(Z5386&gt;Z5385,Z5386,"")</f>
        <v/>
      </c>
      <c r="AB5386">
        <f>AB5385+IF(X5386="",0,IF(ISNA(MATCH(X5386,X$256:X5385,0)),1,0))</f>
        <v/>
      </c>
      <c r="AC5386">
        <f>IF(AB5386&gt;AB5385,AB5386,"")</f>
        <v/>
      </c>
    </row>
    <row r="5387">
      <c r="W5387" s="7" t="n"/>
      <c r="X5387" s="7" t="n"/>
      <c r="Z5387">
        <f>Z5386+IF(W5387="",0,IF(ISNA(MATCH(W5387,W$256:W5386,0)),1,0))</f>
        <v/>
      </c>
      <c r="AA5387">
        <f>IF(Z5387&gt;Z5386,Z5387,"")</f>
        <v/>
      </c>
      <c r="AB5387">
        <f>AB5386+IF(X5387="",0,IF(ISNA(MATCH(X5387,X$256:X5386,0)),1,0))</f>
        <v/>
      </c>
      <c r="AC5387">
        <f>IF(AB5387&gt;AB5386,AB5387,"")</f>
        <v/>
      </c>
    </row>
    <row r="5388">
      <c r="W5388" s="7" t="n"/>
      <c r="X5388" s="7" t="n"/>
      <c r="Z5388">
        <f>Z5387+IF(W5388="",0,IF(ISNA(MATCH(W5388,W$256:W5387,0)),1,0))</f>
        <v/>
      </c>
      <c r="AA5388">
        <f>IF(Z5388&gt;Z5387,Z5388,"")</f>
        <v/>
      </c>
      <c r="AB5388">
        <f>AB5387+IF(X5388="",0,IF(ISNA(MATCH(X5388,X$256:X5387,0)),1,0))</f>
        <v/>
      </c>
      <c r="AC5388">
        <f>IF(AB5388&gt;AB5387,AB5388,"")</f>
        <v/>
      </c>
    </row>
    <row r="5389">
      <c r="W5389" s="7" t="n"/>
      <c r="X5389" s="7" t="n"/>
      <c r="Z5389">
        <f>Z5388+IF(W5389="",0,IF(ISNA(MATCH(W5389,W$256:W5388,0)),1,0))</f>
        <v/>
      </c>
      <c r="AA5389">
        <f>IF(Z5389&gt;Z5388,Z5389,"")</f>
        <v/>
      </c>
      <c r="AB5389">
        <f>AB5388+IF(X5389="",0,IF(ISNA(MATCH(X5389,X$256:X5388,0)),1,0))</f>
        <v/>
      </c>
      <c r="AC5389">
        <f>IF(AB5389&gt;AB5388,AB5389,"")</f>
        <v/>
      </c>
    </row>
    <row r="5390">
      <c r="W5390" s="7" t="n"/>
      <c r="X5390" s="7" t="n"/>
      <c r="Z5390">
        <f>Z5389+IF(W5390="",0,IF(ISNA(MATCH(W5390,W$256:W5389,0)),1,0))</f>
        <v/>
      </c>
      <c r="AA5390">
        <f>IF(Z5390&gt;Z5389,Z5390,"")</f>
        <v/>
      </c>
      <c r="AB5390">
        <f>AB5389+IF(X5390="",0,IF(ISNA(MATCH(X5390,X$256:X5389,0)),1,0))</f>
        <v/>
      </c>
      <c r="AC5390">
        <f>IF(AB5390&gt;AB5389,AB5390,"")</f>
        <v/>
      </c>
    </row>
    <row r="5391">
      <c r="W5391" s="7" t="n"/>
      <c r="X5391" s="7" t="n"/>
      <c r="Z5391">
        <f>Z5390+IF(W5391="",0,IF(ISNA(MATCH(W5391,W$256:W5390,0)),1,0))</f>
        <v/>
      </c>
      <c r="AA5391">
        <f>IF(Z5391&gt;Z5390,Z5391,"")</f>
        <v/>
      </c>
      <c r="AB5391">
        <f>AB5390+IF(X5391="",0,IF(ISNA(MATCH(X5391,X$256:X5390,0)),1,0))</f>
        <v/>
      </c>
      <c r="AC5391">
        <f>IF(AB5391&gt;AB5390,AB5391,"")</f>
        <v/>
      </c>
    </row>
    <row r="5392">
      <c r="W5392" s="7" t="n"/>
      <c r="X5392" s="7" t="n"/>
      <c r="Z5392">
        <f>Z5391+IF(W5392="",0,IF(ISNA(MATCH(W5392,W$256:W5391,0)),1,0))</f>
        <v/>
      </c>
      <c r="AA5392">
        <f>IF(Z5392&gt;Z5391,Z5392,"")</f>
        <v/>
      </c>
      <c r="AB5392">
        <f>AB5391+IF(X5392="",0,IF(ISNA(MATCH(X5392,X$256:X5391,0)),1,0))</f>
        <v/>
      </c>
      <c r="AC5392">
        <f>IF(AB5392&gt;AB5391,AB5392,"")</f>
        <v/>
      </c>
    </row>
    <row r="5393">
      <c r="W5393" s="7" t="n"/>
      <c r="X5393" s="7" t="n"/>
      <c r="Z5393">
        <f>Z5392+IF(W5393="",0,IF(ISNA(MATCH(W5393,W$256:W5392,0)),1,0))</f>
        <v/>
      </c>
      <c r="AA5393">
        <f>IF(Z5393&gt;Z5392,Z5393,"")</f>
        <v/>
      </c>
      <c r="AB5393">
        <f>AB5392+IF(X5393="",0,IF(ISNA(MATCH(X5393,X$256:X5392,0)),1,0))</f>
        <v/>
      </c>
      <c r="AC5393">
        <f>IF(AB5393&gt;AB5392,AB5393,"")</f>
        <v/>
      </c>
    </row>
    <row r="5394">
      <c r="W5394" s="7" t="n"/>
      <c r="X5394" s="7" t="n"/>
      <c r="Z5394">
        <f>Z5393+IF(W5394="",0,IF(ISNA(MATCH(W5394,W$256:W5393,0)),1,0))</f>
        <v/>
      </c>
      <c r="AA5394">
        <f>IF(Z5394&gt;Z5393,Z5394,"")</f>
        <v/>
      </c>
      <c r="AB5394">
        <f>AB5393+IF(X5394="",0,IF(ISNA(MATCH(X5394,X$256:X5393,0)),1,0))</f>
        <v/>
      </c>
      <c r="AC5394">
        <f>IF(AB5394&gt;AB5393,AB5394,"")</f>
        <v/>
      </c>
    </row>
    <row r="5395">
      <c r="W5395" s="7" t="n"/>
      <c r="X5395" s="7" t="n"/>
      <c r="Z5395">
        <f>Z5394+IF(W5395="",0,IF(ISNA(MATCH(W5395,W$256:W5394,0)),1,0))</f>
        <v/>
      </c>
      <c r="AA5395">
        <f>IF(Z5395&gt;Z5394,Z5395,"")</f>
        <v/>
      </c>
      <c r="AB5395">
        <f>AB5394+IF(X5395="",0,IF(ISNA(MATCH(X5395,X$256:X5394,0)),1,0))</f>
        <v/>
      </c>
      <c r="AC5395">
        <f>IF(AB5395&gt;AB5394,AB5395,"")</f>
        <v/>
      </c>
    </row>
    <row r="5396">
      <c r="W5396" s="7" t="n"/>
      <c r="X5396" s="7" t="n"/>
      <c r="Z5396">
        <f>Z5395+IF(W5396="",0,IF(ISNA(MATCH(W5396,W$256:W5395,0)),1,0))</f>
        <v/>
      </c>
      <c r="AA5396">
        <f>IF(Z5396&gt;Z5395,Z5396,"")</f>
        <v/>
      </c>
      <c r="AB5396">
        <f>AB5395+IF(X5396="",0,IF(ISNA(MATCH(X5396,X$256:X5395,0)),1,0))</f>
        <v/>
      </c>
      <c r="AC5396">
        <f>IF(AB5396&gt;AB5395,AB5396,"")</f>
        <v/>
      </c>
    </row>
    <row r="5397">
      <c r="W5397" s="7" t="n"/>
      <c r="X5397" s="7" t="n"/>
      <c r="Z5397">
        <f>Z5396+IF(W5397="",0,IF(ISNA(MATCH(W5397,W$256:W5396,0)),1,0))</f>
        <v/>
      </c>
      <c r="AA5397">
        <f>IF(Z5397&gt;Z5396,Z5397,"")</f>
        <v/>
      </c>
      <c r="AB5397">
        <f>AB5396+IF(X5397="",0,IF(ISNA(MATCH(X5397,X$256:X5396,0)),1,0))</f>
        <v/>
      </c>
      <c r="AC5397">
        <f>IF(AB5397&gt;AB5396,AB5397,"")</f>
        <v/>
      </c>
    </row>
    <row r="5398">
      <c r="W5398" s="7" t="n"/>
      <c r="X5398" s="7" t="n"/>
      <c r="Z5398">
        <f>Z5397+IF(W5398="",0,IF(ISNA(MATCH(W5398,W$256:W5397,0)),1,0))</f>
        <v/>
      </c>
      <c r="AA5398">
        <f>IF(Z5398&gt;Z5397,Z5398,"")</f>
        <v/>
      </c>
      <c r="AB5398">
        <f>AB5397+IF(X5398="",0,IF(ISNA(MATCH(X5398,X$256:X5397,0)),1,0))</f>
        <v/>
      </c>
      <c r="AC5398">
        <f>IF(AB5398&gt;AB5397,AB5398,"")</f>
        <v/>
      </c>
    </row>
    <row r="5399">
      <c r="W5399" s="7" t="n"/>
      <c r="X5399" s="7" t="n"/>
      <c r="Z5399">
        <f>Z5398+IF(W5399="",0,IF(ISNA(MATCH(W5399,W$256:W5398,0)),1,0))</f>
        <v/>
      </c>
      <c r="AA5399">
        <f>IF(Z5399&gt;Z5398,Z5399,"")</f>
        <v/>
      </c>
      <c r="AB5399">
        <f>AB5398+IF(X5399="",0,IF(ISNA(MATCH(X5399,X$256:X5398,0)),1,0))</f>
        <v/>
      </c>
      <c r="AC5399">
        <f>IF(AB5399&gt;AB5398,AB5399,"")</f>
        <v/>
      </c>
    </row>
    <row r="5400">
      <c r="W5400" s="7" t="n"/>
      <c r="X5400" s="7" t="n"/>
      <c r="Z5400">
        <f>Z5399+IF(W5400="",0,IF(ISNA(MATCH(W5400,W$256:W5399,0)),1,0))</f>
        <v/>
      </c>
      <c r="AA5400">
        <f>IF(Z5400&gt;Z5399,Z5400,"")</f>
        <v/>
      </c>
      <c r="AB5400">
        <f>AB5399+IF(X5400="",0,IF(ISNA(MATCH(X5400,X$256:X5399,0)),1,0))</f>
        <v/>
      </c>
      <c r="AC5400">
        <f>IF(AB5400&gt;AB5399,AB5400,"")</f>
        <v/>
      </c>
    </row>
    <row r="5401">
      <c r="W5401" s="7" t="n"/>
      <c r="X5401" s="7" t="n"/>
      <c r="Z5401">
        <f>Z5400+IF(W5401="",0,IF(ISNA(MATCH(W5401,W$256:W5400,0)),1,0))</f>
        <v/>
      </c>
      <c r="AA5401">
        <f>IF(Z5401&gt;Z5400,Z5401,"")</f>
        <v/>
      </c>
      <c r="AB5401">
        <f>AB5400+IF(X5401="",0,IF(ISNA(MATCH(X5401,X$256:X5400,0)),1,0))</f>
        <v/>
      </c>
      <c r="AC5401">
        <f>IF(AB5401&gt;AB5400,AB5401,"")</f>
        <v/>
      </c>
    </row>
    <row r="5402">
      <c r="W5402" s="7" t="n"/>
      <c r="X5402" s="7" t="n"/>
      <c r="Z5402">
        <f>Z5401+IF(W5402="",0,IF(ISNA(MATCH(W5402,W$256:W5401,0)),1,0))</f>
        <v/>
      </c>
      <c r="AA5402">
        <f>IF(Z5402&gt;Z5401,Z5402,"")</f>
        <v/>
      </c>
      <c r="AB5402">
        <f>AB5401+IF(X5402="",0,IF(ISNA(MATCH(X5402,X$256:X5401,0)),1,0))</f>
        <v/>
      </c>
      <c r="AC5402">
        <f>IF(AB5402&gt;AB5401,AB5402,"")</f>
        <v/>
      </c>
    </row>
    <row r="5403">
      <c r="W5403" s="7" t="n"/>
      <c r="X5403" s="7" t="n"/>
      <c r="Z5403">
        <f>Z5402+IF(W5403="",0,IF(ISNA(MATCH(W5403,W$256:W5402,0)),1,0))</f>
        <v/>
      </c>
      <c r="AA5403">
        <f>IF(Z5403&gt;Z5402,Z5403,"")</f>
        <v/>
      </c>
      <c r="AB5403">
        <f>AB5402+IF(X5403="",0,IF(ISNA(MATCH(X5403,X$256:X5402,0)),1,0))</f>
        <v/>
      </c>
      <c r="AC5403">
        <f>IF(AB5403&gt;AB5402,AB5403,"")</f>
        <v/>
      </c>
    </row>
    <row r="5404">
      <c r="W5404" s="7" t="n"/>
      <c r="X5404" s="7" t="n"/>
      <c r="Z5404">
        <f>Z5403+IF(W5404="",0,IF(ISNA(MATCH(W5404,W$256:W5403,0)),1,0))</f>
        <v/>
      </c>
      <c r="AA5404">
        <f>IF(Z5404&gt;Z5403,Z5404,"")</f>
        <v/>
      </c>
      <c r="AB5404">
        <f>AB5403+IF(X5404="",0,IF(ISNA(MATCH(X5404,X$256:X5403,0)),1,0))</f>
        <v/>
      </c>
      <c r="AC5404">
        <f>IF(AB5404&gt;AB5403,AB5404,"")</f>
        <v/>
      </c>
    </row>
    <row r="5405">
      <c r="W5405" s="7" t="n"/>
      <c r="X5405" s="7" t="n"/>
      <c r="Z5405">
        <f>Z5404+IF(W5405="",0,IF(ISNA(MATCH(W5405,W$256:W5404,0)),1,0))</f>
        <v/>
      </c>
      <c r="AA5405">
        <f>IF(Z5405&gt;Z5404,Z5405,"")</f>
        <v/>
      </c>
      <c r="AB5405">
        <f>AB5404+IF(X5405="",0,IF(ISNA(MATCH(X5405,X$256:X5404,0)),1,0))</f>
        <v/>
      </c>
      <c r="AC5405">
        <f>IF(AB5405&gt;AB5404,AB5405,"")</f>
        <v/>
      </c>
    </row>
    <row r="5406">
      <c r="W5406" s="7" t="n"/>
      <c r="X5406" s="7" t="n"/>
      <c r="Z5406">
        <f>Z5405+IF(W5406="",0,IF(ISNA(MATCH(W5406,W$256:W5405,0)),1,0))</f>
        <v/>
      </c>
      <c r="AA5406">
        <f>IF(Z5406&gt;Z5405,Z5406,"")</f>
        <v/>
      </c>
      <c r="AB5406">
        <f>AB5405+IF(X5406="",0,IF(ISNA(MATCH(X5406,X$256:X5405,0)),1,0))</f>
        <v/>
      </c>
      <c r="AC5406">
        <f>IF(AB5406&gt;AB5405,AB5406,"")</f>
        <v/>
      </c>
    </row>
    <row r="5407">
      <c r="W5407" s="7" t="n"/>
      <c r="X5407" s="7" t="n"/>
      <c r="Z5407">
        <f>Z5406+IF(W5407="",0,IF(ISNA(MATCH(W5407,W$256:W5406,0)),1,0))</f>
        <v/>
      </c>
      <c r="AA5407">
        <f>IF(Z5407&gt;Z5406,Z5407,"")</f>
        <v/>
      </c>
      <c r="AB5407">
        <f>AB5406+IF(X5407="",0,IF(ISNA(MATCH(X5407,X$256:X5406,0)),1,0))</f>
        <v/>
      </c>
      <c r="AC5407">
        <f>IF(AB5407&gt;AB5406,AB5407,"")</f>
        <v/>
      </c>
    </row>
    <row r="5408">
      <c r="W5408" s="7" t="n"/>
      <c r="X5408" s="7" t="n"/>
      <c r="Z5408">
        <f>Z5407+IF(W5408="",0,IF(ISNA(MATCH(W5408,W$256:W5407,0)),1,0))</f>
        <v/>
      </c>
      <c r="AA5408">
        <f>IF(Z5408&gt;Z5407,Z5408,"")</f>
        <v/>
      </c>
      <c r="AB5408">
        <f>AB5407+IF(X5408="",0,IF(ISNA(MATCH(X5408,X$256:X5407,0)),1,0))</f>
        <v/>
      </c>
      <c r="AC5408">
        <f>IF(AB5408&gt;AB5407,AB5408,"")</f>
        <v/>
      </c>
    </row>
    <row r="5409">
      <c r="W5409" s="7" t="n"/>
      <c r="X5409" s="7" t="n"/>
      <c r="Z5409">
        <f>Z5408+IF(W5409="",0,IF(ISNA(MATCH(W5409,W$256:W5408,0)),1,0))</f>
        <v/>
      </c>
      <c r="AA5409">
        <f>IF(Z5409&gt;Z5408,Z5409,"")</f>
        <v/>
      </c>
      <c r="AB5409">
        <f>AB5408+IF(X5409="",0,IF(ISNA(MATCH(X5409,X$256:X5408,0)),1,0))</f>
        <v/>
      </c>
      <c r="AC5409">
        <f>IF(AB5409&gt;AB5408,AB5409,"")</f>
        <v/>
      </c>
    </row>
    <row r="5410">
      <c r="W5410" s="7" t="n"/>
      <c r="X5410" s="7" t="n"/>
      <c r="Z5410">
        <f>Z5409+IF(W5410="",0,IF(ISNA(MATCH(W5410,W$256:W5409,0)),1,0))</f>
        <v/>
      </c>
      <c r="AA5410">
        <f>IF(Z5410&gt;Z5409,Z5410,"")</f>
        <v/>
      </c>
      <c r="AB5410">
        <f>AB5409+IF(X5410="",0,IF(ISNA(MATCH(X5410,X$256:X5409,0)),1,0))</f>
        <v/>
      </c>
      <c r="AC5410">
        <f>IF(AB5410&gt;AB5409,AB5410,"")</f>
        <v/>
      </c>
    </row>
    <row r="5411">
      <c r="W5411" s="7" t="n"/>
      <c r="X5411" s="7" t="n"/>
      <c r="Z5411">
        <f>Z5410+IF(W5411="",0,IF(ISNA(MATCH(W5411,W$256:W5410,0)),1,0))</f>
        <v/>
      </c>
      <c r="AA5411">
        <f>IF(Z5411&gt;Z5410,Z5411,"")</f>
        <v/>
      </c>
      <c r="AB5411">
        <f>AB5410+IF(X5411="",0,IF(ISNA(MATCH(X5411,X$256:X5410,0)),1,0))</f>
        <v/>
      </c>
      <c r="AC5411">
        <f>IF(AB5411&gt;AB5410,AB5411,"")</f>
        <v/>
      </c>
    </row>
    <row r="5412">
      <c r="W5412" s="7" t="n"/>
      <c r="X5412" s="7" t="n"/>
      <c r="Z5412">
        <f>Z5411+IF(W5412="",0,IF(ISNA(MATCH(W5412,W$256:W5411,0)),1,0))</f>
        <v/>
      </c>
      <c r="AA5412">
        <f>IF(Z5412&gt;Z5411,Z5412,"")</f>
        <v/>
      </c>
      <c r="AB5412">
        <f>AB5411+IF(X5412="",0,IF(ISNA(MATCH(X5412,X$256:X5411,0)),1,0))</f>
        <v/>
      </c>
      <c r="AC5412">
        <f>IF(AB5412&gt;AB5411,AB5412,"")</f>
        <v/>
      </c>
    </row>
    <row r="5413">
      <c r="W5413" s="7" t="n"/>
      <c r="X5413" s="7" t="n"/>
      <c r="Z5413">
        <f>Z5412+IF(W5413="",0,IF(ISNA(MATCH(W5413,W$256:W5412,0)),1,0))</f>
        <v/>
      </c>
      <c r="AA5413">
        <f>IF(Z5413&gt;Z5412,Z5413,"")</f>
        <v/>
      </c>
      <c r="AB5413">
        <f>AB5412+IF(X5413="",0,IF(ISNA(MATCH(X5413,X$256:X5412,0)),1,0))</f>
        <v/>
      </c>
      <c r="AC5413">
        <f>IF(AB5413&gt;AB5412,AB5413,"")</f>
        <v/>
      </c>
    </row>
    <row r="5414">
      <c r="W5414" s="7" t="n"/>
      <c r="X5414" s="7" t="n"/>
      <c r="Z5414">
        <f>Z5413+IF(W5414="",0,IF(ISNA(MATCH(W5414,W$256:W5413,0)),1,0))</f>
        <v/>
      </c>
      <c r="AA5414">
        <f>IF(Z5414&gt;Z5413,Z5414,"")</f>
        <v/>
      </c>
      <c r="AB5414">
        <f>AB5413+IF(X5414="",0,IF(ISNA(MATCH(X5414,X$256:X5413,0)),1,0))</f>
        <v/>
      </c>
      <c r="AC5414">
        <f>IF(AB5414&gt;AB5413,AB5414,"")</f>
        <v/>
      </c>
    </row>
    <row r="5415">
      <c r="W5415" s="7" t="n"/>
      <c r="X5415" s="7" t="n"/>
      <c r="Z5415">
        <f>Z5414+IF(W5415="",0,IF(ISNA(MATCH(W5415,W$256:W5414,0)),1,0))</f>
        <v/>
      </c>
      <c r="AA5415">
        <f>IF(Z5415&gt;Z5414,Z5415,"")</f>
        <v/>
      </c>
      <c r="AB5415">
        <f>AB5414+IF(X5415="",0,IF(ISNA(MATCH(X5415,X$256:X5414,0)),1,0))</f>
        <v/>
      </c>
      <c r="AC5415">
        <f>IF(AB5415&gt;AB5414,AB5415,"")</f>
        <v/>
      </c>
    </row>
    <row r="5416">
      <c r="W5416" s="7" t="n"/>
      <c r="X5416" s="7" t="n"/>
      <c r="Z5416">
        <f>Z5415+IF(W5416="",0,IF(ISNA(MATCH(W5416,W$256:W5415,0)),1,0))</f>
        <v/>
      </c>
      <c r="AA5416">
        <f>IF(Z5416&gt;Z5415,Z5416,"")</f>
        <v/>
      </c>
      <c r="AB5416">
        <f>AB5415+IF(X5416="",0,IF(ISNA(MATCH(X5416,X$256:X5415,0)),1,0))</f>
        <v/>
      </c>
      <c r="AC5416">
        <f>IF(AB5416&gt;AB5415,AB5416,"")</f>
        <v/>
      </c>
    </row>
    <row r="5417">
      <c r="W5417" s="7" t="n"/>
      <c r="X5417" s="7" t="n"/>
      <c r="Z5417">
        <f>Z5416+IF(W5417="",0,IF(ISNA(MATCH(W5417,W$256:W5416,0)),1,0))</f>
        <v/>
      </c>
      <c r="AA5417">
        <f>IF(Z5417&gt;Z5416,Z5417,"")</f>
        <v/>
      </c>
      <c r="AB5417">
        <f>AB5416+IF(X5417="",0,IF(ISNA(MATCH(X5417,X$256:X5416,0)),1,0))</f>
        <v/>
      </c>
      <c r="AC5417">
        <f>IF(AB5417&gt;AB5416,AB5417,"")</f>
        <v/>
      </c>
    </row>
    <row r="5418">
      <c r="W5418" s="7" t="n"/>
      <c r="X5418" s="7" t="n"/>
      <c r="Z5418">
        <f>Z5417+IF(W5418="",0,IF(ISNA(MATCH(W5418,W$256:W5417,0)),1,0))</f>
        <v/>
      </c>
      <c r="AA5418">
        <f>IF(Z5418&gt;Z5417,Z5418,"")</f>
        <v/>
      </c>
      <c r="AB5418">
        <f>AB5417+IF(X5418="",0,IF(ISNA(MATCH(X5418,X$256:X5417,0)),1,0))</f>
        <v/>
      </c>
      <c r="AC5418">
        <f>IF(AB5418&gt;AB5417,AB5418,"")</f>
        <v/>
      </c>
    </row>
    <row r="5419">
      <c r="W5419" s="7" t="n"/>
      <c r="X5419" s="7" t="n"/>
      <c r="Z5419">
        <f>Z5418+IF(W5419="",0,IF(ISNA(MATCH(W5419,W$256:W5418,0)),1,0))</f>
        <v/>
      </c>
      <c r="AA5419">
        <f>IF(Z5419&gt;Z5418,Z5419,"")</f>
        <v/>
      </c>
      <c r="AB5419">
        <f>AB5418+IF(X5419="",0,IF(ISNA(MATCH(X5419,X$256:X5418,0)),1,0))</f>
        <v/>
      </c>
      <c r="AC5419">
        <f>IF(AB5419&gt;AB5418,AB5419,"")</f>
        <v/>
      </c>
    </row>
    <row r="5420">
      <c r="W5420" s="7" t="n"/>
      <c r="X5420" s="7" t="n"/>
      <c r="Z5420">
        <f>Z5419+IF(W5420="",0,IF(ISNA(MATCH(W5420,W$256:W5419,0)),1,0))</f>
        <v/>
      </c>
      <c r="AA5420">
        <f>IF(Z5420&gt;Z5419,Z5420,"")</f>
        <v/>
      </c>
      <c r="AB5420">
        <f>AB5419+IF(X5420="",0,IF(ISNA(MATCH(X5420,X$256:X5419,0)),1,0))</f>
        <v/>
      </c>
      <c r="AC5420">
        <f>IF(AB5420&gt;AB5419,AB5420,"")</f>
        <v/>
      </c>
    </row>
    <row r="5421">
      <c r="W5421" s="7" t="n"/>
      <c r="X5421" s="7" t="n"/>
      <c r="Z5421">
        <f>Z5420+IF(W5421="",0,IF(ISNA(MATCH(W5421,W$256:W5420,0)),1,0))</f>
        <v/>
      </c>
      <c r="AA5421">
        <f>IF(Z5421&gt;Z5420,Z5421,"")</f>
        <v/>
      </c>
      <c r="AB5421">
        <f>AB5420+IF(X5421="",0,IF(ISNA(MATCH(X5421,X$256:X5420,0)),1,0))</f>
        <v/>
      </c>
      <c r="AC5421">
        <f>IF(AB5421&gt;AB5420,AB5421,"")</f>
        <v/>
      </c>
    </row>
    <row r="5422">
      <c r="W5422" s="7" t="n"/>
      <c r="X5422" s="7" t="n"/>
      <c r="Z5422">
        <f>Z5421+IF(W5422="",0,IF(ISNA(MATCH(W5422,W$256:W5421,0)),1,0))</f>
        <v/>
      </c>
      <c r="AA5422">
        <f>IF(Z5422&gt;Z5421,Z5422,"")</f>
        <v/>
      </c>
      <c r="AB5422">
        <f>AB5421+IF(X5422="",0,IF(ISNA(MATCH(X5422,X$256:X5421,0)),1,0))</f>
        <v/>
      </c>
      <c r="AC5422">
        <f>IF(AB5422&gt;AB5421,AB5422,"")</f>
        <v/>
      </c>
    </row>
    <row r="5423">
      <c r="W5423" s="7" t="n"/>
      <c r="X5423" s="7" t="n"/>
      <c r="Z5423">
        <f>Z5422+IF(W5423="",0,IF(ISNA(MATCH(W5423,W$256:W5422,0)),1,0))</f>
        <v/>
      </c>
      <c r="AA5423">
        <f>IF(Z5423&gt;Z5422,Z5423,"")</f>
        <v/>
      </c>
      <c r="AB5423">
        <f>AB5422+IF(X5423="",0,IF(ISNA(MATCH(X5423,X$256:X5422,0)),1,0))</f>
        <v/>
      </c>
      <c r="AC5423">
        <f>IF(AB5423&gt;AB5422,AB5423,"")</f>
        <v/>
      </c>
    </row>
    <row r="5424">
      <c r="W5424" s="7" t="n"/>
      <c r="X5424" s="7" t="n"/>
      <c r="Z5424">
        <f>Z5423+IF(W5424="",0,IF(ISNA(MATCH(W5424,W$256:W5423,0)),1,0))</f>
        <v/>
      </c>
      <c r="AA5424">
        <f>IF(Z5424&gt;Z5423,Z5424,"")</f>
        <v/>
      </c>
      <c r="AB5424">
        <f>AB5423+IF(X5424="",0,IF(ISNA(MATCH(X5424,X$256:X5423,0)),1,0))</f>
        <v/>
      </c>
      <c r="AC5424">
        <f>IF(AB5424&gt;AB5423,AB5424,"")</f>
        <v/>
      </c>
    </row>
    <row r="5425">
      <c r="W5425" s="7" t="n"/>
      <c r="X5425" s="7" t="n"/>
      <c r="Z5425">
        <f>Z5424+IF(W5425="",0,IF(ISNA(MATCH(W5425,W$256:W5424,0)),1,0))</f>
        <v/>
      </c>
      <c r="AA5425">
        <f>IF(Z5425&gt;Z5424,Z5425,"")</f>
        <v/>
      </c>
      <c r="AB5425">
        <f>AB5424+IF(X5425="",0,IF(ISNA(MATCH(X5425,X$256:X5424,0)),1,0))</f>
        <v/>
      </c>
      <c r="AC5425">
        <f>IF(AB5425&gt;AB5424,AB5425,"")</f>
        <v/>
      </c>
    </row>
    <row r="5426">
      <c r="W5426" s="7" t="n"/>
      <c r="X5426" s="7" t="n"/>
      <c r="Z5426">
        <f>Z5425+IF(W5426="",0,IF(ISNA(MATCH(W5426,W$256:W5425,0)),1,0))</f>
        <v/>
      </c>
      <c r="AA5426">
        <f>IF(Z5426&gt;Z5425,Z5426,"")</f>
        <v/>
      </c>
      <c r="AB5426">
        <f>AB5425+IF(X5426="",0,IF(ISNA(MATCH(X5426,X$256:X5425,0)),1,0))</f>
        <v/>
      </c>
      <c r="AC5426">
        <f>IF(AB5426&gt;AB5425,AB5426,"")</f>
        <v/>
      </c>
    </row>
    <row r="5427">
      <c r="W5427" s="7" t="n"/>
      <c r="X5427" s="7" t="n"/>
      <c r="Z5427">
        <f>Z5426+IF(W5427="",0,IF(ISNA(MATCH(W5427,W$256:W5426,0)),1,0))</f>
        <v/>
      </c>
      <c r="AA5427">
        <f>IF(Z5427&gt;Z5426,Z5427,"")</f>
        <v/>
      </c>
      <c r="AB5427">
        <f>AB5426+IF(X5427="",0,IF(ISNA(MATCH(X5427,X$256:X5426,0)),1,0))</f>
        <v/>
      </c>
      <c r="AC5427">
        <f>IF(AB5427&gt;AB5426,AB5427,"")</f>
        <v/>
      </c>
    </row>
    <row r="5428">
      <c r="W5428" s="7" t="n"/>
      <c r="X5428" s="7" t="n"/>
      <c r="Z5428">
        <f>Z5427+IF(W5428="",0,IF(ISNA(MATCH(W5428,W$256:W5427,0)),1,0))</f>
        <v/>
      </c>
      <c r="AA5428">
        <f>IF(Z5428&gt;Z5427,Z5428,"")</f>
        <v/>
      </c>
      <c r="AB5428">
        <f>AB5427+IF(X5428="",0,IF(ISNA(MATCH(X5428,X$256:X5427,0)),1,0))</f>
        <v/>
      </c>
      <c r="AC5428">
        <f>IF(AB5428&gt;AB5427,AB5428,"")</f>
        <v/>
      </c>
    </row>
    <row r="5429">
      <c r="W5429" s="7" t="n"/>
      <c r="X5429" s="7" t="n"/>
      <c r="Z5429">
        <f>Z5428+IF(W5429="",0,IF(ISNA(MATCH(W5429,W$256:W5428,0)),1,0))</f>
        <v/>
      </c>
      <c r="AA5429">
        <f>IF(Z5429&gt;Z5428,Z5429,"")</f>
        <v/>
      </c>
      <c r="AB5429">
        <f>AB5428+IF(X5429="",0,IF(ISNA(MATCH(X5429,X$256:X5428,0)),1,0))</f>
        <v/>
      </c>
      <c r="AC5429">
        <f>IF(AB5429&gt;AB5428,AB5429,"")</f>
        <v/>
      </c>
    </row>
    <row r="5430">
      <c r="W5430" s="7" t="n"/>
      <c r="X5430" s="7" t="n"/>
      <c r="Z5430">
        <f>Z5429+IF(W5430="",0,IF(ISNA(MATCH(W5430,W$256:W5429,0)),1,0))</f>
        <v/>
      </c>
      <c r="AA5430">
        <f>IF(Z5430&gt;Z5429,Z5430,"")</f>
        <v/>
      </c>
      <c r="AB5430">
        <f>AB5429+IF(X5430="",0,IF(ISNA(MATCH(X5430,X$256:X5429,0)),1,0))</f>
        <v/>
      </c>
      <c r="AC5430">
        <f>IF(AB5430&gt;AB5429,AB5430,"")</f>
        <v/>
      </c>
    </row>
    <row r="5431">
      <c r="W5431" s="7" t="n"/>
      <c r="X5431" s="7" t="n"/>
      <c r="Z5431">
        <f>Z5430+IF(W5431="",0,IF(ISNA(MATCH(W5431,W$256:W5430,0)),1,0))</f>
        <v/>
      </c>
      <c r="AA5431">
        <f>IF(Z5431&gt;Z5430,Z5431,"")</f>
        <v/>
      </c>
      <c r="AB5431">
        <f>AB5430+IF(X5431="",0,IF(ISNA(MATCH(X5431,X$256:X5430,0)),1,0))</f>
        <v/>
      </c>
      <c r="AC5431">
        <f>IF(AB5431&gt;AB5430,AB5431,"")</f>
        <v/>
      </c>
    </row>
    <row r="5432">
      <c r="W5432" s="7" t="n"/>
      <c r="X5432" s="7" t="n"/>
      <c r="Z5432">
        <f>Z5431+IF(W5432="",0,IF(ISNA(MATCH(W5432,W$256:W5431,0)),1,0))</f>
        <v/>
      </c>
      <c r="AA5432">
        <f>IF(Z5432&gt;Z5431,Z5432,"")</f>
        <v/>
      </c>
      <c r="AB5432">
        <f>AB5431+IF(X5432="",0,IF(ISNA(MATCH(X5432,X$256:X5431,0)),1,0))</f>
        <v/>
      </c>
      <c r="AC5432">
        <f>IF(AB5432&gt;AB5431,AB5432,"")</f>
        <v/>
      </c>
    </row>
    <row r="5433">
      <c r="W5433" s="7" t="n"/>
      <c r="X5433" s="7" t="n"/>
      <c r="Z5433">
        <f>Z5432+IF(W5433="",0,IF(ISNA(MATCH(W5433,W$256:W5432,0)),1,0))</f>
        <v/>
      </c>
      <c r="AA5433">
        <f>IF(Z5433&gt;Z5432,Z5433,"")</f>
        <v/>
      </c>
      <c r="AB5433">
        <f>AB5432+IF(X5433="",0,IF(ISNA(MATCH(X5433,X$256:X5432,0)),1,0))</f>
        <v/>
      </c>
      <c r="AC5433">
        <f>IF(AB5433&gt;AB5432,AB5433,"")</f>
        <v/>
      </c>
    </row>
    <row r="5434">
      <c r="W5434" s="7" t="n"/>
      <c r="X5434" s="7" t="n"/>
      <c r="Z5434">
        <f>Z5433+IF(W5434="",0,IF(ISNA(MATCH(W5434,W$256:W5433,0)),1,0))</f>
        <v/>
      </c>
      <c r="AA5434">
        <f>IF(Z5434&gt;Z5433,Z5434,"")</f>
        <v/>
      </c>
      <c r="AB5434">
        <f>AB5433+IF(X5434="",0,IF(ISNA(MATCH(X5434,X$256:X5433,0)),1,0))</f>
        <v/>
      </c>
      <c r="AC5434">
        <f>IF(AB5434&gt;AB5433,AB5434,"")</f>
        <v/>
      </c>
    </row>
    <row r="5435">
      <c r="W5435" s="7" t="n"/>
      <c r="X5435" s="7" t="n"/>
      <c r="Z5435">
        <f>Z5434+IF(W5435="",0,IF(ISNA(MATCH(W5435,W$256:W5434,0)),1,0))</f>
        <v/>
      </c>
      <c r="AA5435">
        <f>IF(Z5435&gt;Z5434,Z5435,"")</f>
        <v/>
      </c>
      <c r="AB5435">
        <f>AB5434+IF(X5435="",0,IF(ISNA(MATCH(X5435,X$256:X5434,0)),1,0))</f>
        <v/>
      </c>
      <c r="AC5435">
        <f>IF(AB5435&gt;AB5434,AB5435,"")</f>
        <v/>
      </c>
    </row>
    <row r="5436">
      <c r="W5436" s="7" t="n"/>
      <c r="X5436" s="7" t="n"/>
      <c r="Z5436">
        <f>Z5435+IF(W5436="",0,IF(ISNA(MATCH(W5436,W$256:W5435,0)),1,0))</f>
        <v/>
      </c>
      <c r="AA5436">
        <f>IF(Z5436&gt;Z5435,Z5436,"")</f>
        <v/>
      </c>
      <c r="AB5436">
        <f>AB5435+IF(X5436="",0,IF(ISNA(MATCH(X5436,X$256:X5435,0)),1,0))</f>
        <v/>
      </c>
      <c r="AC5436">
        <f>IF(AB5436&gt;AB5435,AB5436,"")</f>
        <v/>
      </c>
    </row>
    <row r="5437">
      <c r="W5437" s="7" t="n"/>
      <c r="X5437" s="7" t="n"/>
      <c r="Z5437">
        <f>Z5436+IF(W5437="",0,IF(ISNA(MATCH(W5437,W$256:W5436,0)),1,0))</f>
        <v/>
      </c>
      <c r="AA5437">
        <f>IF(Z5437&gt;Z5436,Z5437,"")</f>
        <v/>
      </c>
      <c r="AB5437">
        <f>AB5436+IF(X5437="",0,IF(ISNA(MATCH(X5437,X$256:X5436,0)),1,0))</f>
        <v/>
      </c>
      <c r="AC5437">
        <f>IF(AB5437&gt;AB5436,AB5437,"")</f>
        <v/>
      </c>
    </row>
    <row r="5438">
      <c r="W5438" s="7" t="n"/>
      <c r="X5438" s="7" t="n"/>
      <c r="Z5438">
        <f>Z5437+IF(W5438="",0,IF(ISNA(MATCH(W5438,W$256:W5437,0)),1,0))</f>
        <v/>
      </c>
      <c r="AA5438">
        <f>IF(Z5438&gt;Z5437,Z5438,"")</f>
        <v/>
      </c>
      <c r="AB5438">
        <f>AB5437+IF(X5438="",0,IF(ISNA(MATCH(X5438,X$256:X5437,0)),1,0))</f>
        <v/>
      </c>
      <c r="AC5438">
        <f>IF(AB5438&gt;AB5437,AB5438,"")</f>
        <v/>
      </c>
    </row>
    <row r="5439">
      <c r="W5439" s="7" t="n"/>
      <c r="X5439" s="7" t="n"/>
      <c r="Z5439">
        <f>Z5438+IF(W5439="",0,IF(ISNA(MATCH(W5439,W$256:W5438,0)),1,0))</f>
        <v/>
      </c>
      <c r="AA5439">
        <f>IF(Z5439&gt;Z5438,Z5439,"")</f>
        <v/>
      </c>
      <c r="AB5439">
        <f>AB5438+IF(X5439="",0,IF(ISNA(MATCH(X5439,X$256:X5438,0)),1,0))</f>
        <v/>
      </c>
      <c r="AC5439">
        <f>IF(AB5439&gt;AB5438,AB5439,"")</f>
        <v/>
      </c>
    </row>
    <row r="5440">
      <c r="W5440" s="7" t="n"/>
      <c r="X5440" s="7" t="n"/>
      <c r="Z5440">
        <f>Z5439+IF(W5440="",0,IF(ISNA(MATCH(W5440,W$256:W5439,0)),1,0))</f>
        <v/>
      </c>
      <c r="AA5440">
        <f>IF(Z5440&gt;Z5439,Z5440,"")</f>
        <v/>
      </c>
      <c r="AB5440">
        <f>AB5439+IF(X5440="",0,IF(ISNA(MATCH(X5440,X$256:X5439,0)),1,0))</f>
        <v/>
      </c>
      <c r="AC5440">
        <f>IF(AB5440&gt;AB5439,AB5440,"")</f>
        <v/>
      </c>
    </row>
    <row r="5441">
      <c r="W5441" s="7" t="n"/>
      <c r="X5441" s="7" t="n"/>
      <c r="Z5441">
        <f>Z5440+IF(W5441="",0,IF(ISNA(MATCH(W5441,W$256:W5440,0)),1,0))</f>
        <v/>
      </c>
      <c r="AA5441">
        <f>IF(Z5441&gt;Z5440,Z5441,"")</f>
        <v/>
      </c>
      <c r="AB5441">
        <f>AB5440+IF(X5441="",0,IF(ISNA(MATCH(X5441,X$256:X5440,0)),1,0))</f>
        <v/>
      </c>
      <c r="AC5441">
        <f>IF(AB5441&gt;AB5440,AB5441,"")</f>
        <v/>
      </c>
    </row>
    <row r="5442">
      <c r="W5442" s="7" t="n"/>
      <c r="X5442" s="7" t="n"/>
      <c r="Z5442">
        <f>Z5441+IF(W5442="",0,IF(ISNA(MATCH(W5442,W$256:W5441,0)),1,0))</f>
        <v/>
      </c>
      <c r="AA5442">
        <f>IF(Z5442&gt;Z5441,Z5442,"")</f>
        <v/>
      </c>
      <c r="AB5442">
        <f>AB5441+IF(X5442="",0,IF(ISNA(MATCH(X5442,X$256:X5441,0)),1,0))</f>
        <v/>
      </c>
      <c r="AC5442">
        <f>IF(AB5442&gt;AB5441,AB5442,"")</f>
        <v/>
      </c>
    </row>
    <row r="5443">
      <c r="W5443" s="7" t="n"/>
      <c r="X5443" s="7" t="n"/>
      <c r="Z5443">
        <f>Z5442+IF(W5443="",0,IF(ISNA(MATCH(W5443,W$256:W5442,0)),1,0))</f>
        <v/>
      </c>
      <c r="AA5443">
        <f>IF(Z5443&gt;Z5442,Z5443,"")</f>
        <v/>
      </c>
      <c r="AB5443">
        <f>AB5442+IF(X5443="",0,IF(ISNA(MATCH(X5443,X$256:X5442,0)),1,0))</f>
        <v/>
      </c>
      <c r="AC5443">
        <f>IF(AB5443&gt;AB5442,AB5443,"")</f>
        <v/>
      </c>
    </row>
    <row r="5444">
      <c r="W5444" s="7" t="n"/>
      <c r="X5444" s="7" t="n"/>
      <c r="Z5444">
        <f>Z5443+IF(W5444="",0,IF(ISNA(MATCH(W5444,W$256:W5443,0)),1,0))</f>
        <v/>
      </c>
      <c r="AA5444">
        <f>IF(Z5444&gt;Z5443,Z5444,"")</f>
        <v/>
      </c>
      <c r="AB5444">
        <f>AB5443+IF(X5444="",0,IF(ISNA(MATCH(X5444,X$256:X5443,0)),1,0))</f>
        <v/>
      </c>
      <c r="AC5444">
        <f>IF(AB5444&gt;AB5443,AB5444,"")</f>
        <v/>
      </c>
    </row>
    <row r="5445">
      <c r="W5445" s="7" t="n"/>
      <c r="X5445" s="7" t="n"/>
      <c r="Z5445">
        <f>Z5444+IF(W5445="",0,IF(ISNA(MATCH(W5445,W$256:W5444,0)),1,0))</f>
        <v/>
      </c>
      <c r="AA5445">
        <f>IF(Z5445&gt;Z5444,Z5445,"")</f>
        <v/>
      </c>
      <c r="AB5445">
        <f>AB5444+IF(X5445="",0,IF(ISNA(MATCH(X5445,X$256:X5444,0)),1,0))</f>
        <v/>
      </c>
      <c r="AC5445">
        <f>IF(AB5445&gt;AB5444,AB5445,"")</f>
        <v/>
      </c>
    </row>
    <row r="5446">
      <c r="W5446" s="7" t="n"/>
      <c r="X5446" s="7" t="n"/>
      <c r="Z5446">
        <f>Z5445+IF(W5446="",0,IF(ISNA(MATCH(W5446,W$256:W5445,0)),1,0))</f>
        <v/>
      </c>
      <c r="AA5446">
        <f>IF(Z5446&gt;Z5445,Z5446,"")</f>
        <v/>
      </c>
      <c r="AB5446">
        <f>AB5445+IF(X5446="",0,IF(ISNA(MATCH(X5446,X$256:X5445,0)),1,0))</f>
        <v/>
      </c>
      <c r="AC5446">
        <f>IF(AB5446&gt;AB5445,AB5446,"")</f>
        <v/>
      </c>
    </row>
    <row r="5447">
      <c r="W5447" s="7" t="n"/>
      <c r="X5447" s="7" t="n"/>
      <c r="Z5447">
        <f>Z5446+IF(W5447="",0,IF(ISNA(MATCH(W5447,W$256:W5446,0)),1,0))</f>
        <v/>
      </c>
      <c r="AA5447">
        <f>IF(Z5447&gt;Z5446,Z5447,"")</f>
        <v/>
      </c>
      <c r="AB5447">
        <f>AB5446+IF(X5447="",0,IF(ISNA(MATCH(X5447,X$256:X5446,0)),1,0))</f>
        <v/>
      </c>
      <c r="AC5447">
        <f>IF(AB5447&gt;AB5446,AB5447,"")</f>
        <v/>
      </c>
    </row>
    <row r="5448">
      <c r="W5448" s="7" t="n"/>
      <c r="X5448" s="7" t="n"/>
      <c r="Z5448">
        <f>Z5447+IF(W5448="",0,IF(ISNA(MATCH(W5448,W$256:W5447,0)),1,0))</f>
        <v/>
      </c>
      <c r="AA5448">
        <f>IF(Z5448&gt;Z5447,Z5448,"")</f>
        <v/>
      </c>
      <c r="AB5448">
        <f>AB5447+IF(X5448="",0,IF(ISNA(MATCH(X5448,X$256:X5447,0)),1,0))</f>
        <v/>
      </c>
      <c r="AC5448">
        <f>IF(AB5448&gt;AB5447,AB5448,"")</f>
        <v/>
      </c>
    </row>
    <row r="5449">
      <c r="W5449" s="7" t="n"/>
      <c r="X5449" s="7" t="n"/>
      <c r="Z5449">
        <f>Z5448+IF(W5449="",0,IF(ISNA(MATCH(W5449,W$256:W5448,0)),1,0))</f>
        <v/>
      </c>
      <c r="AA5449">
        <f>IF(Z5449&gt;Z5448,Z5449,"")</f>
        <v/>
      </c>
      <c r="AB5449">
        <f>AB5448+IF(X5449="",0,IF(ISNA(MATCH(X5449,X$256:X5448,0)),1,0))</f>
        <v/>
      </c>
      <c r="AC5449">
        <f>IF(AB5449&gt;AB5448,AB5449,"")</f>
        <v/>
      </c>
    </row>
    <row r="5450">
      <c r="W5450" s="7" t="n"/>
      <c r="X5450" s="7" t="n"/>
      <c r="Z5450">
        <f>Z5449+IF(W5450="",0,IF(ISNA(MATCH(W5450,W$256:W5449,0)),1,0))</f>
        <v/>
      </c>
      <c r="AA5450">
        <f>IF(Z5450&gt;Z5449,Z5450,"")</f>
        <v/>
      </c>
      <c r="AB5450">
        <f>AB5449+IF(X5450="",0,IF(ISNA(MATCH(X5450,X$256:X5449,0)),1,0))</f>
        <v/>
      </c>
      <c r="AC5450">
        <f>IF(AB5450&gt;AB5449,AB5450,"")</f>
        <v/>
      </c>
    </row>
    <row r="5451">
      <c r="W5451" s="7" t="n"/>
      <c r="X5451" s="7" t="n"/>
      <c r="Z5451">
        <f>Z5450+IF(W5451="",0,IF(ISNA(MATCH(W5451,W$256:W5450,0)),1,0))</f>
        <v/>
      </c>
      <c r="AA5451">
        <f>IF(Z5451&gt;Z5450,Z5451,"")</f>
        <v/>
      </c>
      <c r="AB5451">
        <f>AB5450+IF(X5451="",0,IF(ISNA(MATCH(X5451,X$256:X5450,0)),1,0))</f>
        <v/>
      </c>
      <c r="AC5451">
        <f>IF(AB5451&gt;AB5450,AB5451,"")</f>
        <v/>
      </c>
    </row>
    <row r="5452">
      <c r="W5452" s="7" t="n"/>
      <c r="X5452" s="7" t="n"/>
      <c r="Z5452">
        <f>Z5451+IF(W5452="",0,IF(ISNA(MATCH(W5452,W$256:W5451,0)),1,0))</f>
        <v/>
      </c>
      <c r="AA5452">
        <f>IF(Z5452&gt;Z5451,Z5452,"")</f>
        <v/>
      </c>
      <c r="AB5452">
        <f>AB5451+IF(X5452="",0,IF(ISNA(MATCH(X5452,X$256:X5451,0)),1,0))</f>
        <v/>
      </c>
      <c r="AC5452">
        <f>IF(AB5452&gt;AB5451,AB5452,"")</f>
        <v/>
      </c>
    </row>
    <row r="5453">
      <c r="W5453" s="7" t="n"/>
      <c r="X5453" s="7" t="n"/>
      <c r="Z5453">
        <f>Z5452+IF(W5453="",0,IF(ISNA(MATCH(W5453,W$256:W5452,0)),1,0))</f>
        <v/>
      </c>
      <c r="AA5453">
        <f>IF(Z5453&gt;Z5452,Z5453,"")</f>
        <v/>
      </c>
      <c r="AB5453">
        <f>AB5452+IF(X5453="",0,IF(ISNA(MATCH(X5453,X$256:X5452,0)),1,0))</f>
        <v/>
      </c>
      <c r="AC5453">
        <f>IF(AB5453&gt;AB5452,AB5453,"")</f>
        <v/>
      </c>
    </row>
    <row r="5454">
      <c r="W5454" s="7" t="n"/>
      <c r="X5454" s="7" t="n"/>
      <c r="Z5454">
        <f>Z5453+IF(W5454="",0,IF(ISNA(MATCH(W5454,W$256:W5453,0)),1,0))</f>
        <v/>
      </c>
      <c r="AA5454">
        <f>IF(Z5454&gt;Z5453,Z5454,"")</f>
        <v/>
      </c>
      <c r="AB5454">
        <f>AB5453+IF(X5454="",0,IF(ISNA(MATCH(X5454,X$256:X5453,0)),1,0))</f>
        <v/>
      </c>
      <c r="AC5454">
        <f>IF(AB5454&gt;AB5453,AB5454,"")</f>
        <v/>
      </c>
    </row>
    <row r="5455">
      <c r="W5455" s="7" t="n"/>
      <c r="X5455" s="7" t="n"/>
      <c r="Z5455">
        <f>Z5454+IF(W5455="",0,IF(ISNA(MATCH(W5455,W$256:W5454,0)),1,0))</f>
        <v/>
      </c>
      <c r="AA5455">
        <f>IF(Z5455&gt;Z5454,Z5455,"")</f>
        <v/>
      </c>
      <c r="AB5455">
        <f>AB5454+IF(X5455="",0,IF(ISNA(MATCH(X5455,X$256:X5454,0)),1,0))</f>
        <v/>
      </c>
      <c r="AC5455">
        <f>IF(AB5455&gt;AB5454,AB5455,"")</f>
        <v/>
      </c>
    </row>
    <row r="5456">
      <c r="W5456" s="7" t="n"/>
      <c r="X5456" s="7" t="n"/>
      <c r="Z5456">
        <f>Z5455+IF(W5456="",0,IF(ISNA(MATCH(W5456,W$256:W5455,0)),1,0))</f>
        <v/>
      </c>
      <c r="AA5456">
        <f>IF(Z5456&gt;Z5455,Z5456,"")</f>
        <v/>
      </c>
      <c r="AB5456">
        <f>AB5455+IF(X5456="",0,IF(ISNA(MATCH(X5456,X$256:X5455,0)),1,0))</f>
        <v/>
      </c>
      <c r="AC5456">
        <f>IF(AB5456&gt;AB5455,AB5456,"")</f>
        <v/>
      </c>
    </row>
    <row r="5457">
      <c r="W5457" s="7" t="n"/>
      <c r="X5457" s="7" t="n"/>
      <c r="Z5457">
        <f>Z5456+IF(W5457="",0,IF(ISNA(MATCH(W5457,W$256:W5456,0)),1,0))</f>
        <v/>
      </c>
      <c r="AA5457">
        <f>IF(Z5457&gt;Z5456,Z5457,"")</f>
        <v/>
      </c>
      <c r="AB5457">
        <f>AB5456+IF(X5457="",0,IF(ISNA(MATCH(X5457,X$256:X5456,0)),1,0))</f>
        <v/>
      </c>
      <c r="AC5457">
        <f>IF(AB5457&gt;AB5456,AB5457,"")</f>
        <v/>
      </c>
    </row>
    <row r="5458">
      <c r="W5458" s="7" t="n"/>
      <c r="X5458" s="7" t="n"/>
      <c r="Z5458">
        <f>Z5457+IF(W5458="",0,IF(ISNA(MATCH(W5458,W$256:W5457,0)),1,0))</f>
        <v/>
      </c>
      <c r="AA5458">
        <f>IF(Z5458&gt;Z5457,Z5458,"")</f>
        <v/>
      </c>
      <c r="AB5458">
        <f>AB5457+IF(X5458="",0,IF(ISNA(MATCH(X5458,X$256:X5457,0)),1,0))</f>
        <v/>
      </c>
      <c r="AC5458">
        <f>IF(AB5458&gt;AB5457,AB5458,"")</f>
        <v/>
      </c>
    </row>
    <row r="5459">
      <c r="W5459" s="7" t="n"/>
      <c r="X5459" s="7" t="n"/>
      <c r="Z5459">
        <f>Z5458+IF(W5459="",0,IF(ISNA(MATCH(W5459,W$256:W5458,0)),1,0))</f>
        <v/>
      </c>
      <c r="AA5459">
        <f>IF(Z5459&gt;Z5458,Z5459,"")</f>
        <v/>
      </c>
      <c r="AB5459">
        <f>AB5458+IF(X5459="",0,IF(ISNA(MATCH(X5459,X$256:X5458,0)),1,0))</f>
        <v/>
      </c>
      <c r="AC5459">
        <f>IF(AB5459&gt;AB5458,AB5459,"")</f>
        <v/>
      </c>
    </row>
    <row r="5460">
      <c r="W5460" s="7" t="n"/>
      <c r="X5460" s="7" t="n"/>
      <c r="Z5460">
        <f>Z5459+IF(W5460="",0,IF(ISNA(MATCH(W5460,W$256:W5459,0)),1,0))</f>
        <v/>
      </c>
      <c r="AA5460">
        <f>IF(Z5460&gt;Z5459,Z5460,"")</f>
        <v/>
      </c>
      <c r="AB5460">
        <f>AB5459+IF(X5460="",0,IF(ISNA(MATCH(X5460,X$256:X5459,0)),1,0))</f>
        <v/>
      </c>
      <c r="AC5460">
        <f>IF(AB5460&gt;AB5459,AB5460,"")</f>
        <v/>
      </c>
    </row>
    <row r="5461">
      <c r="W5461" s="7" t="n"/>
      <c r="X5461" s="7" t="n"/>
      <c r="Z5461">
        <f>Z5460+IF(W5461="",0,IF(ISNA(MATCH(W5461,W$256:W5460,0)),1,0))</f>
        <v/>
      </c>
      <c r="AA5461">
        <f>IF(Z5461&gt;Z5460,Z5461,"")</f>
        <v/>
      </c>
      <c r="AB5461">
        <f>AB5460+IF(X5461="",0,IF(ISNA(MATCH(X5461,X$256:X5460,0)),1,0))</f>
        <v/>
      </c>
      <c r="AC5461">
        <f>IF(AB5461&gt;AB5460,AB5461,"")</f>
        <v/>
      </c>
    </row>
    <row r="5462">
      <c r="W5462" s="7" t="n"/>
      <c r="X5462" s="7" t="n"/>
      <c r="Z5462">
        <f>Z5461+IF(W5462="",0,IF(ISNA(MATCH(W5462,W$256:W5461,0)),1,0))</f>
        <v/>
      </c>
      <c r="AA5462">
        <f>IF(Z5462&gt;Z5461,Z5462,"")</f>
        <v/>
      </c>
      <c r="AB5462">
        <f>AB5461+IF(X5462="",0,IF(ISNA(MATCH(X5462,X$256:X5461,0)),1,0))</f>
        <v/>
      </c>
      <c r="AC5462">
        <f>IF(AB5462&gt;AB5461,AB5462,"")</f>
        <v/>
      </c>
    </row>
    <row r="5463">
      <c r="W5463" s="7" t="n"/>
      <c r="X5463" s="7" t="n"/>
      <c r="Z5463">
        <f>Z5462+IF(W5463="",0,IF(ISNA(MATCH(W5463,W$256:W5462,0)),1,0))</f>
        <v/>
      </c>
      <c r="AA5463">
        <f>IF(Z5463&gt;Z5462,Z5463,"")</f>
        <v/>
      </c>
      <c r="AB5463">
        <f>AB5462+IF(X5463="",0,IF(ISNA(MATCH(X5463,X$256:X5462,0)),1,0))</f>
        <v/>
      </c>
      <c r="AC5463">
        <f>IF(AB5463&gt;AB5462,AB5463,"")</f>
        <v/>
      </c>
    </row>
    <row r="5464">
      <c r="W5464" s="7" t="n"/>
      <c r="X5464" s="7" t="n"/>
      <c r="Z5464">
        <f>Z5463+IF(W5464="",0,IF(ISNA(MATCH(W5464,W$256:W5463,0)),1,0))</f>
        <v/>
      </c>
      <c r="AA5464">
        <f>IF(Z5464&gt;Z5463,Z5464,"")</f>
        <v/>
      </c>
      <c r="AB5464">
        <f>AB5463+IF(X5464="",0,IF(ISNA(MATCH(X5464,X$256:X5463,0)),1,0))</f>
        <v/>
      </c>
      <c r="AC5464">
        <f>IF(AB5464&gt;AB5463,AB5464,"")</f>
        <v/>
      </c>
    </row>
    <row r="5465">
      <c r="W5465" s="7" t="n"/>
      <c r="X5465" s="7" t="n"/>
      <c r="Z5465">
        <f>Z5464+IF(W5465="",0,IF(ISNA(MATCH(W5465,W$256:W5464,0)),1,0))</f>
        <v/>
      </c>
      <c r="AA5465">
        <f>IF(Z5465&gt;Z5464,Z5465,"")</f>
        <v/>
      </c>
      <c r="AB5465">
        <f>AB5464+IF(X5465="",0,IF(ISNA(MATCH(X5465,X$256:X5464,0)),1,0))</f>
        <v/>
      </c>
      <c r="AC5465">
        <f>IF(AB5465&gt;AB5464,AB5465,"")</f>
        <v/>
      </c>
    </row>
    <row r="5466">
      <c r="W5466" s="7" t="n"/>
      <c r="X5466" s="7" t="n"/>
      <c r="Z5466">
        <f>Z5465+IF(W5466="",0,IF(ISNA(MATCH(W5466,W$256:W5465,0)),1,0))</f>
        <v/>
      </c>
      <c r="AA5466">
        <f>IF(Z5466&gt;Z5465,Z5466,"")</f>
        <v/>
      </c>
      <c r="AB5466">
        <f>AB5465+IF(X5466="",0,IF(ISNA(MATCH(X5466,X$256:X5465,0)),1,0))</f>
        <v/>
      </c>
      <c r="AC5466">
        <f>IF(AB5466&gt;AB5465,AB5466,"")</f>
        <v/>
      </c>
    </row>
    <row r="5467">
      <c r="W5467" s="7" t="n"/>
      <c r="X5467" s="7" t="n"/>
      <c r="Z5467">
        <f>Z5466+IF(W5467="",0,IF(ISNA(MATCH(W5467,W$256:W5466,0)),1,0))</f>
        <v/>
      </c>
      <c r="AA5467">
        <f>IF(Z5467&gt;Z5466,Z5467,"")</f>
        <v/>
      </c>
      <c r="AB5467">
        <f>AB5466+IF(X5467="",0,IF(ISNA(MATCH(X5467,X$256:X5466,0)),1,0))</f>
        <v/>
      </c>
      <c r="AC5467">
        <f>IF(AB5467&gt;AB5466,AB5467,"")</f>
        <v/>
      </c>
    </row>
    <row r="5468">
      <c r="W5468" s="7" t="n"/>
      <c r="X5468" s="7" t="n"/>
      <c r="Z5468">
        <f>Z5467+IF(W5468="",0,IF(ISNA(MATCH(W5468,W$256:W5467,0)),1,0))</f>
        <v/>
      </c>
      <c r="AA5468">
        <f>IF(Z5468&gt;Z5467,Z5468,"")</f>
        <v/>
      </c>
      <c r="AB5468">
        <f>AB5467+IF(X5468="",0,IF(ISNA(MATCH(X5468,X$256:X5467,0)),1,0))</f>
        <v/>
      </c>
      <c r="AC5468">
        <f>IF(AB5468&gt;AB5467,AB5468,"")</f>
        <v/>
      </c>
    </row>
    <row r="5469">
      <c r="W5469" s="7" t="n"/>
      <c r="X5469" s="7" t="n"/>
      <c r="Z5469">
        <f>Z5468+IF(W5469="",0,IF(ISNA(MATCH(W5469,W$256:W5468,0)),1,0))</f>
        <v/>
      </c>
      <c r="AA5469">
        <f>IF(Z5469&gt;Z5468,Z5469,"")</f>
        <v/>
      </c>
      <c r="AB5469">
        <f>AB5468+IF(X5469="",0,IF(ISNA(MATCH(X5469,X$256:X5468,0)),1,0))</f>
        <v/>
      </c>
      <c r="AC5469">
        <f>IF(AB5469&gt;AB5468,AB5469,"")</f>
        <v/>
      </c>
    </row>
    <row r="5470">
      <c r="W5470" s="7" t="n"/>
      <c r="X5470" s="7" t="n"/>
      <c r="Z5470">
        <f>Z5469+IF(W5470="",0,IF(ISNA(MATCH(W5470,W$256:W5469,0)),1,0))</f>
        <v/>
      </c>
      <c r="AA5470">
        <f>IF(Z5470&gt;Z5469,Z5470,"")</f>
        <v/>
      </c>
      <c r="AB5470">
        <f>AB5469+IF(X5470="",0,IF(ISNA(MATCH(X5470,X$256:X5469,0)),1,0))</f>
        <v/>
      </c>
      <c r="AC5470">
        <f>IF(AB5470&gt;AB5469,AB5470,"")</f>
        <v/>
      </c>
    </row>
    <row r="5471">
      <c r="W5471" s="7" t="n"/>
      <c r="X5471" s="7" t="n"/>
      <c r="Z5471">
        <f>Z5470+IF(W5471="",0,IF(ISNA(MATCH(W5471,W$256:W5470,0)),1,0))</f>
        <v/>
      </c>
      <c r="AA5471">
        <f>IF(Z5471&gt;Z5470,Z5471,"")</f>
        <v/>
      </c>
      <c r="AB5471">
        <f>AB5470+IF(X5471="",0,IF(ISNA(MATCH(X5471,X$256:X5470,0)),1,0))</f>
        <v/>
      </c>
      <c r="AC5471">
        <f>IF(AB5471&gt;AB5470,AB5471,"")</f>
        <v/>
      </c>
    </row>
    <row r="5472">
      <c r="W5472" s="7" t="n"/>
      <c r="X5472" s="7" t="n"/>
      <c r="Z5472">
        <f>Z5471+IF(W5472="",0,IF(ISNA(MATCH(W5472,W$256:W5471,0)),1,0))</f>
        <v/>
      </c>
      <c r="AA5472">
        <f>IF(Z5472&gt;Z5471,Z5472,"")</f>
        <v/>
      </c>
      <c r="AB5472">
        <f>AB5471+IF(X5472="",0,IF(ISNA(MATCH(X5472,X$256:X5471,0)),1,0))</f>
        <v/>
      </c>
      <c r="AC5472">
        <f>IF(AB5472&gt;AB5471,AB5472,"")</f>
        <v/>
      </c>
    </row>
    <row r="5473">
      <c r="W5473" s="7" t="n"/>
      <c r="X5473" s="7" t="n"/>
      <c r="Z5473">
        <f>Z5472+IF(W5473="",0,IF(ISNA(MATCH(W5473,W$256:W5472,0)),1,0))</f>
        <v/>
      </c>
      <c r="AA5473">
        <f>IF(Z5473&gt;Z5472,Z5473,"")</f>
        <v/>
      </c>
      <c r="AB5473">
        <f>AB5472+IF(X5473="",0,IF(ISNA(MATCH(X5473,X$256:X5472,0)),1,0))</f>
        <v/>
      </c>
      <c r="AC5473">
        <f>IF(AB5473&gt;AB5472,AB5473,"")</f>
        <v/>
      </c>
    </row>
    <row r="5474">
      <c r="W5474" s="7" t="n"/>
      <c r="X5474" s="7" t="n"/>
      <c r="Z5474">
        <f>Z5473+IF(W5474="",0,IF(ISNA(MATCH(W5474,W$256:W5473,0)),1,0))</f>
        <v/>
      </c>
      <c r="AA5474">
        <f>IF(Z5474&gt;Z5473,Z5474,"")</f>
        <v/>
      </c>
      <c r="AB5474">
        <f>AB5473+IF(X5474="",0,IF(ISNA(MATCH(X5474,X$256:X5473,0)),1,0))</f>
        <v/>
      </c>
      <c r="AC5474">
        <f>IF(AB5474&gt;AB5473,AB5474,"")</f>
        <v/>
      </c>
    </row>
    <row r="5475">
      <c r="W5475" s="7" t="n"/>
      <c r="X5475" s="7" t="n"/>
      <c r="Z5475">
        <f>Z5474+IF(W5475="",0,IF(ISNA(MATCH(W5475,W$256:W5474,0)),1,0))</f>
        <v/>
      </c>
      <c r="AA5475">
        <f>IF(Z5475&gt;Z5474,Z5475,"")</f>
        <v/>
      </c>
      <c r="AB5475">
        <f>AB5474+IF(X5475="",0,IF(ISNA(MATCH(X5475,X$256:X5474,0)),1,0))</f>
        <v/>
      </c>
      <c r="AC5475">
        <f>IF(AB5475&gt;AB5474,AB5475,"")</f>
        <v/>
      </c>
    </row>
    <row r="5476">
      <c r="W5476" s="7" t="n"/>
      <c r="X5476" s="7" t="n"/>
      <c r="Z5476">
        <f>Z5475+IF(W5476="",0,IF(ISNA(MATCH(W5476,W$256:W5475,0)),1,0))</f>
        <v/>
      </c>
      <c r="AA5476">
        <f>IF(Z5476&gt;Z5475,Z5476,"")</f>
        <v/>
      </c>
      <c r="AB5476">
        <f>AB5475+IF(X5476="",0,IF(ISNA(MATCH(X5476,X$256:X5475,0)),1,0))</f>
        <v/>
      </c>
      <c r="AC5476">
        <f>IF(AB5476&gt;AB5475,AB5476,"")</f>
        <v/>
      </c>
    </row>
    <row r="5477">
      <c r="W5477" s="7" t="n"/>
      <c r="X5477" s="7" t="n"/>
      <c r="Z5477">
        <f>Z5476+IF(W5477="",0,IF(ISNA(MATCH(W5477,W$256:W5476,0)),1,0))</f>
        <v/>
      </c>
      <c r="AA5477">
        <f>IF(Z5477&gt;Z5476,Z5477,"")</f>
        <v/>
      </c>
      <c r="AB5477">
        <f>AB5476+IF(X5477="",0,IF(ISNA(MATCH(X5477,X$256:X5476,0)),1,0))</f>
        <v/>
      </c>
      <c r="AC5477">
        <f>IF(AB5477&gt;AB5476,AB5477,"")</f>
        <v/>
      </c>
    </row>
    <row r="5478">
      <c r="W5478" s="7" t="n"/>
      <c r="X5478" s="7" t="n"/>
      <c r="Z5478">
        <f>Z5477+IF(W5478="",0,IF(ISNA(MATCH(W5478,W$256:W5477,0)),1,0))</f>
        <v/>
      </c>
      <c r="AA5478">
        <f>IF(Z5478&gt;Z5477,Z5478,"")</f>
        <v/>
      </c>
      <c r="AB5478">
        <f>AB5477+IF(X5478="",0,IF(ISNA(MATCH(X5478,X$256:X5477,0)),1,0))</f>
        <v/>
      </c>
      <c r="AC5478">
        <f>IF(AB5478&gt;AB5477,AB5478,"")</f>
        <v/>
      </c>
    </row>
    <row r="5479">
      <c r="W5479" s="7" t="n"/>
      <c r="X5479" s="7" t="n"/>
      <c r="Z5479">
        <f>Z5478+IF(W5479="",0,IF(ISNA(MATCH(W5479,W$256:W5478,0)),1,0))</f>
        <v/>
      </c>
      <c r="AA5479">
        <f>IF(Z5479&gt;Z5478,Z5479,"")</f>
        <v/>
      </c>
      <c r="AB5479">
        <f>AB5478+IF(X5479="",0,IF(ISNA(MATCH(X5479,X$256:X5478,0)),1,0))</f>
        <v/>
      </c>
      <c r="AC5479">
        <f>IF(AB5479&gt;AB5478,AB5479,"")</f>
        <v/>
      </c>
    </row>
    <row r="5480">
      <c r="W5480" s="7" t="n"/>
      <c r="X5480" s="7" t="n"/>
      <c r="Z5480">
        <f>Z5479+IF(W5480="",0,IF(ISNA(MATCH(W5480,W$256:W5479,0)),1,0))</f>
        <v/>
      </c>
      <c r="AA5480">
        <f>IF(Z5480&gt;Z5479,Z5480,"")</f>
        <v/>
      </c>
      <c r="AB5480">
        <f>AB5479+IF(X5480="",0,IF(ISNA(MATCH(X5480,X$256:X5479,0)),1,0))</f>
        <v/>
      </c>
      <c r="AC5480">
        <f>IF(AB5480&gt;AB5479,AB5480,"")</f>
        <v/>
      </c>
    </row>
    <row r="5481">
      <c r="W5481" s="7" t="n"/>
      <c r="X5481" s="7" t="n"/>
      <c r="Z5481">
        <f>Z5480+IF(W5481="",0,IF(ISNA(MATCH(W5481,W$256:W5480,0)),1,0))</f>
        <v/>
      </c>
      <c r="AA5481">
        <f>IF(Z5481&gt;Z5480,Z5481,"")</f>
        <v/>
      </c>
      <c r="AB5481">
        <f>AB5480+IF(X5481="",0,IF(ISNA(MATCH(X5481,X$256:X5480,0)),1,0))</f>
        <v/>
      </c>
      <c r="AC5481">
        <f>IF(AB5481&gt;AB5480,AB5481,"")</f>
        <v/>
      </c>
    </row>
    <row r="5482">
      <c r="W5482" s="7" t="n"/>
      <c r="X5482" s="7" t="n"/>
      <c r="Z5482">
        <f>Z5481+IF(W5482="",0,IF(ISNA(MATCH(W5482,W$256:W5481,0)),1,0))</f>
        <v/>
      </c>
      <c r="AA5482">
        <f>IF(Z5482&gt;Z5481,Z5482,"")</f>
        <v/>
      </c>
      <c r="AB5482">
        <f>AB5481+IF(X5482="",0,IF(ISNA(MATCH(X5482,X$256:X5481,0)),1,0))</f>
        <v/>
      </c>
      <c r="AC5482">
        <f>IF(AB5482&gt;AB5481,AB5482,"")</f>
        <v/>
      </c>
    </row>
    <row r="5483">
      <c r="W5483" s="7" t="n"/>
      <c r="X5483" s="7" t="n"/>
      <c r="Z5483">
        <f>Z5482+IF(W5483="",0,IF(ISNA(MATCH(W5483,W$256:W5482,0)),1,0))</f>
        <v/>
      </c>
      <c r="AA5483">
        <f>IF(Z5483&gt;Z5482,Z5483,"")</f>
        <v/>
      </c>
      <c r="AB5483">
        <f>AB5482+IF(X5483="",0,IF(ISNA(MATCH(X5483,X$256:X5482,0)),1,0))</f>
        <v/>
      </c>
      <c r="AC5483">
        <f>IF(AB5483&gt;AB5482,AB5483,"")</f>
        <v/>
      </c>
    </row>
    <row r="5484">
      <c r="W5484" s="7" t="n"/>
      <c r="X5484" s="7" t="n"/>
      <c r="Z5484">
        <f>Z5483+IF(W5484="",0,IF(ISNA(MATCH(W5484,W$256:W5483,0)),1,0))</f>
        <v/>
      </c>
      <c r="AA5484">
        <f>IF(Z5484&gt;Z5483,Z5484,"")</f>
        <v/>
      </c>
      <c r="AB5484">
        <f>AB5483+IF(X5484="",0,IF(ISNA(MATCH(X5484,X$256:X5483,0)),1,0))</f>
        <v/>
      </c>
      <c r="AC5484">
        <f>IF(AB5484&gt;AB5483,AB5484,"")</f>
        <v/>
      </c>
    </row>
    <row r="5485">
      <c r="W5485" s="7" t="n"/>
      <c r="X5485" s="7" t="n"/>
      <c r="Z5485">
        <f>Z5484+IF(W5485="",0,IF(ISNA(MATCH(W5485,W$256:W5484,0)),1,0))</f>
        <v/>
      </c>
      <c r="AA5485">
        <f>IF(Z5485&gt;Z5484,Z5485,"")</f>
        <v/>
      </c>
      <c r="AB5485">
        <f>AB5484+IF(X5485="",0,IF(ISNA(MATCH(X5485,X$256:X5484,0)),1,0))</f>
        <v/>
      </c>
      <c r="AC5485">
        <f>IF(AB5485&gt;AB5484,AB5485,"")</f>
        <v/>
      </c>
    </row>
    <row r="5486">
      <c r="W5486" s="7" t="n"/>
      <c r="X5486" s="7" t="n"/>
      <c r="Z5486">
        <f>Z5485+IF(W5486="",0,IF(ISNA(MATCH(W5486,W$256:W5485,0)),1,0))</f>
        <v/>
      </c>
      <c r="AA5486">
        <f>IF(Z5486&gt;Z5485,Z5486,"")</f>
        <v/>
      </c>
      <c r="AB5486">
        <f>AB5485+IF(X5486="",0,IF(ISNA(MATCH(X5486,X$256:X5485,0)),1,0))</f>
        <v/>
      </c>
      <c r="AC5486">
        <f>IF(AB5486&gt;AB5485,AB5486,"")</f>
        <v/>
      </c>
    </row>
    <row r="5487">
      <c r="W5487" s="7" t="n"/>
      <c r="X5487" s="7" t="n"/>
      <c r="Z5487">
        <f>Z5486+IF(W5487="",0,IF(ISNA(MATCH(W5487,W$256:W5486,0)),1,0))</f>
        <v/>
      </c>
      <c r="AA5487">
        <f>IF(Z5487&gt;Z5486,Z5487,"")</f>
        <v/>
      </c>
      <c r="AB5487">
        <f>AB5486+IF(X5487="",0,IF(ISNA(MATCH(X5487,X$256:X5486,0)),1,0))</f>
        <v/>
      </c>
      <c r="AC5487">
        <f>IF(AB5487&gt;AB5486,AB5487,"")</f>
        <v/>
      </c>
    </row>
    <row r="5488">
      <c r="W5488" s="7" t="n"/>
      <c r="X5488" s="7" t="n"/>
      <c r="Z5488">
        <f>Z5487+IF(W5488="",0,IF(ISNA(MATCH(W5488,W$256:W5487,0)),1,0))</f>
        <v/>
      </c>
      <c r="AA5488">
        <f>IF(Z5488&gt;Z5487,Z5488,"")</f>
        <v/>
      </c>
      <c r="AB5488">
        <f>AB5487+IF(X5488="",0,IF(ISNA(MATCH(X5488,X$256:X5487,0)),1,0))</f>
        <v/>
      </c>
      <c r="AC5488">
        <f>IF(AB5488&gt;AB5487,AB5488,"")</f>
        <v/>
      </c>
    </row>
    <row r="5489">
      <c r="W5489" s="7" t="n"/>
      <c r="X5489" s="7" t="n"/>
      <c r="Z5489">
        <f>Z5488+IF(W5489="",0,IF(ISNA(MATCH(W5489,W$256:W5488,0)),1,0))</f>
        <v/>
      </c>
      <c r="AA5489">
        <f>IF(Z5489&gt;Z5488,Z5489,"")</f>
        <v/>
      </c>
      <c r="AB5489">
        <f>AB5488+IF(X5489="",0,IF(ISNA(MATCH(X5489,X$256:X5488,0)),1,0))</f>
        <v/>
      </c>
      <c r="AC5489">
        <f>IF(AB5489&gt;AB5488,AB5489,"")</f>
        <v/>
      </c>
    </row>
    <row r="5490">
      <c r="W5490" s="7" t="n"/>
      <c r="X5490" s="7" t="n"/>
      <c r="Z5490">
        <f>Z5489+IF(W5490="",0,IF(ISNA(MATCH(W5490,W$256:W5489,0)),1,0))</f>
        <v/>
      </c>
      <c r="AA5490">
        <f>IF(Z5490&gt;Z5489,Z5490,"")</f>
        <v/>
      </c>
      <c r="AB5490">
        <f>AB5489+IF(X5490="",0,IF(ISNA(MATCH(X5490,X$256:X5489,0)),1,0))</f>
        <v/>
      </c>
      <c r="AC5490">
        <f>IF(AB5490&gt;AB5489,AB5490,"")</f>
        <v/>
      </c>
    </row>
    <row r="5491">
      <c r="W5491" s="7" t="n"/>
      <c r="X5491" s="7" t="n"/>
      <c r="Z5491">
        <f>Z5490+IF(W5491="",0,IF(ISNA(MATCH(W5491,W$256:W5490,0)),1,0))</f>
        <v/>
      </c>
      <c r="AA5491">
        <f>IF(Z5491&gt;Z5490,Z5491,"")</f>
        <v/>
      </c>
      <c r="AB5491">
        <f>AB5490+IF(X5491="",0,IF(ISNA(MATCH(X5491,X$256:X5490,0)),1,0))</f>
        <v/>
      </c>
      <c r="AC5491">
        <f>IF(AB5491&gt;AB5490,AB5491,"")</f>
        <v/>
      </c>
    </row>
    <row r="5492">
      <c r="W5492" s="7" t="n"/>
      <c r="X5492" s="7" t="n"/>
      <c r="Z5492">
        <f>Z5491+IF(W5492="",0,IF(ISNA(MATCH(W5492,W$256:W5491,0)),1,0))</f>
        <v/>
      </c>
      <c r="AA5492">
        <f>IF(Z5492&gt;Z5491,Z5492,"")</f>
        <v/>
      </c>
      <c r="AB5492">
        <f>AB5491+IF(X5492="",0,IF(ISNA(MATCH(X5492,X$256:X5491,0)),1,0))</f>
        <v/>
      </c>
      <c r="AC5492">
        <f>IF(AB5492&gt;AB5491,AB5492,"")</f>
        <v/>
      </c>
    </row>
    <row r="5493">
      <c r="W5493" s="7" t="n"/>
      <c r="X5493" s="7" t="n"/>
      <c r="Z5493">
        <f>Z5492+IF(W5493="",0,IF(ISNA(MATCH(W5493,W$256:W5492,0)),1,0))</f>
        <v/>
      </c>
      <c r="AA5493">
        <f>IF(Z5493&gt;Z5492,Z5493,"")</f>
        <v/>
      </c>
      <c r="AB5493">
        <f>AB5492+IF(X5493="",0,IF(ISNA(MATCH(X5493,X$256:X5492,0)),1,0))</f>
        <v/>
      </c>
      <c r="AC5493">
        <f>IF(AB5493&gt;AB5492,AB5493,"")</f>
        <v/>
      </c>
    </row>
    <row r="5494">
      <c r="W5494" s="7" t="n"/>
      <c r="X5494" s="7" t="n"/>
      <c r="Z5494">
        <f>Z5493+IF(W5494="",0,IF(ISNA(MATCH(W5494,W$256:W5493,0)),1,0))</f>
        <v/>
      </c>
      <c r="AA5494">
        <f>IF(Z5494&gt;Z5493,Z5494,"")</f>
        <v/>
      </c>
      <c r="AB5494">
        <f>AB5493+IF(X5494="",0,IF(ISNA(MATCH(X5494,X$256:X5493,0)),1,0))</f>
        <v/>
      </c>
      <c r="AC5494">
        <f>IF(AB5494&gt;AB5493,AB5494,"")</f>
        <v/>
      </c>
    </row>
    <row r="5495">
      <c r="W5495" s="7" t="n"/>
      <c r="X5495" s="7" t="n"/>
      <c r="Z5495">
        <f>Z5494+IF(W5495="",0,IF(ISNA(MATCH(W5495,W$256:W5494,0)),1,0))</f>
        <v/>
      </c>
      <c r="AA5495">
        <f>IF(Z5495&gt;Z5494,Z5495,"")</f>
        <v/>
      </c>
      <c r="AB5495">
        <f>AB5494+IF(X5495="",0,IF(ISNA(MATCH(X5495,X$256:X5494,0)),1,0))</f>
        <v/>
      </c>
      <c r="AC5495">
        <f>IF(AB5495&gt;AB5494,AB5495,"")</f>
        <v/>
      </c>
    </row>
    <row r="5496">
      <c r="W5496" s="7" t="n"/>
      <c r="X5496" s="7" t="n"/>
      <c r="Z5496">
        <f>Z5495+IF(W5496="",0,IF(ISNA(MATCH(W5496,W$256:W5495,0)),1,0))</f>
        <v/>
      </c>
      <c r="AA5496">
        <f>IF(Z5496&gt;Z5495,Z5496,"")</f>
        <v/>
      </c>
      <c r="AB5496">
        <f>AB5495+IF(X5496="",0,IF(ISNA(MATCH(X5496,X$256:X5495,0)),1,0))</f>
        <v/>
      </c>
      <c r="AC5496">
        <f>IF(AB5496&gt;AB5495,AB5496,"")</f>
        <v/>
      </c>
    </row>
    <row r="5497">
      <c r="W5497" s="7" t="n"/>
      <c r="X5497" s="7" t="n"/>
      <c r="Z5497">
        <f>Z5496+IF(W5497="",0,IF(ISNA(MATCH(W5497,W$256:W5496,0)),1,0))</f>
        <v/>
      </c>
      <c r="AA5497">
        <f>IF(Z5497&gt;Z5496,Z5497,"")</f>
        <v/>
      </c>
      <c r="AB5497">
        <f>AB5496+IF(X5497="",0,IF(ISNA(MATCH(X5497,X$256:X5496,0)),1,0))</f>
        <v/>
      </c>
      <c r="AC5497">
        <f>IF(AB5497&gt;AB5496,AB5497,"")</f>
        <v/>
      </c>
    </row>
    <row r="5498">
      <c r="W5498" s="7" t="n"/>
      <c r="X5498" s="7" t="n"/>
      <c r="Z5498">
        <f>Z5497+IF(W5498="",0,IF(ISNA(MATCH(W5498,W$256:W5497,0)),1,0))</f>
        <v/>
      </c>
      <c r="AA5498">
        <f>IF(Z5498&gt;Z5497,Z5498,"")</f>
        <v/>
      </c>
      <c r="AB5498">
        <f>AB5497+IF(X5498="",0,IF(ISNA(MATCH(X5498,X$256:X5497,0)),1,0))</f>
        <v/>
      </c>
      <c r="AC5498">
        <f>IF(AB5498&gt;AB5497,AB5498,"")</f>
        <v/>
      </c>
    </row>
    <row r="5499">
      <c r="W5499" s="7" t="n"/>
      <c r="X5499" s="7" t="n"/>
      <c r="Z5499">
        <f>Z5498+IF(W5499="",0,IF(ISNA(MATCH(W5499,W$256:W5498,0)),1,0))</f>
        <v/>
      </c>
      <c r="AA5499">
        <f>IF(Z5499&gt;Z5498,Z5499,"")</f>
        <v/>
      </c>
      <c r="AB5499">
        <f>AB5498+IF(X5499="",0,IF(ISNA(MATCH(X5499,X$256:X5498,0)),1,0))</f>
        <v/>
      </c>
      <c r="AC5499">
        <f>IF(AB5499&gt;AB5498,AB5499,"")</f>
        <v/>
      </c>
    </row>
    <row r="5500">
      <c r="W5500" s="7" t="n"/>
      <c r="X5500" s="7" t="n"/>
      <c r="Z5500">
        <f>Z5499+IF(W5500="",0,IF(ISNA(MATCH(W5500,W$256:W5499,0)),1,0))</f>
        <v/>
      </c>
      <c r="AA5500">
        <f>IF(Z5500&gt;Z5499,Z5500,"")</f>
        <v/>
      </c>
      <c r="AB5500">
        <f>AB5499+IF(X5500="",0,IF(ISNA(MATCH(X5500,X$256:X5499,0)),1,0))</f>
        <v/>
      </c>
      <c r="AC5500">
        <f>IF(AB5500&gt;AB5499,AB5500,"")</f>
        <v/>
      </c>
    </row>
    <row r="5501">
      <c r="W5501" s="7" t="n"/>
      <c r="X5501" s="7" t="n"/>
      <c r="Z5501">
        <f>Z5500+IF(W5501="",0,IF(ISNA(MATCH(W5501,W$256:W5500,0)),1,0))</f>
        <v/>
      </c>
      <c r="AA5501">
        <f>IF(Z5501&gt;Z5500,Z5501,"")</f>
        <v/>
      </c>
      <c r="AB5501">
        <f>AB5500+IF(X5501="",0,IF(ISNA(MATCH(X5501,X$256:X5500,0)),1,0))</f>
        <v/>
      </c>
      <c r="AC5501">
        <f>IF(AB5501&gt;AB5500,AB5501,"")</f>
        <v/>
      </c>
    </row>
    <row r="5502">
      <c r="W5502" s="7" t="n"/>
      <c r="X5502" s="7" t="n"/>
      <c r="Z5502">
        <f>Z5501+IF(W5502="",0,IF(ISNA(MATCH(W5502,W$256:W5501,0)),1,0))</f>
        <v/>
      </c>
      <c r="AA5502">
        <f>IF(Z5502&gt;Z5501,Z5502,"")</f>
        <v/>
      </c>
      <c r="AB5502">
        <f>AB5501+IF(X5502="",0,IF(ISNA(MATCH(X5502,X$256:X5501,0)),1,0))</f>
        <v/>
      </c>
      <c r="AC5502">
        <f>IF(AB5502&gt;AB5501,AB5502,"")</f>
        <v/>
      </c>
    </row>
    <row r="5503">
      <c r="W5503" s="7" t="n"/>
      <c r="X5503" s="7" t="n"/>
      <c r="Z5503">
        <f>Z5502+IF(W5503="",0,IF(ISNA(MATCH(W5503,W$256:W5502,0)),1,0))</f>
        <v/>
      </c>
      <c r="AA5503">
        <f>IF(Z5503&gt;Z5502,Z5503,"")</f>
        <v/>
      </c>
      <c r="AB5503">
        <f>AB5502+IF(X5503="",0,IF(ISNA(MATCH(X5503,X$256:X5502,0)),1,0))</f>
        <v/>
      </c>
      <c r="AC5503">
        <f>IF(AB5503&gt;AB5502,AB5503,"")</f>
        <v/>
      </c>
    </row>
    <row r="5504">
      <c r="W5504" s="7" t="n"/>
      <c r="X5504" s="7" t="n"/>
      <c r="Z5504">
        <f>Z5503+IF(W5504="",0,IF(ISNA(MATCH(W5504,W$256:W5503,0)),1,0))</f>
        <v/>
      </c>
      <c r="AA5504">
        <f>IF(Z5504&gt;Z5503,Z5504,"")</f>
        <v/>
      </c>
      <c r="AB5504">
        <f>AB5503+IF(X5504="",0,IF(ISNA(MATCH(X5504,X$256:X5503,0)),1,0))</f>
        <v/>
      </c>
      <c r="AC5504">
        <f>IF(AB5504&gt;AB5503,AB5504,"")</f>
        <v/>
      </c>
    </row>
    <row r="5505">
      <c r="W5505" s="7" t="n"/>
      <c r="X5505" s="7" t="n"/>
      <c r="Z5505">
        <f>Z5504+IF(W5505="",0,IF(ISNA(MATCH(W5505,W$256:W5504,0)),1,0))</f>
        <v/>
      </c>
      <c r="AA5505">
        <f>IF(Z5505&gt;Z5504,Z5505,"")</f>
        <v/>
      </c>
      <c r="AB5505">
        <f>AB5504+IF(X5505="",0,IF(ISNA(MATCH(X5505,X$256:X5504,0)),1,0))</f>
        <v/>
      </c>
      <c r="AC5505">
        <f>IF(AB5505&gt;AB5504,AB5505,"")</f>
        <v/>
      </c>
    </row>
    <row r="5506">
      <c r="W5506" s="7" t="n"/>
      <c r="X5506" s="7" t="n"/>
      <c r="Z5506">
        <f>Z5505+IF(W5506="",0,IF(ISNA(MATCH(W5506,W$256:W5505,0)),1,0))</f>
        <v/>
      </c>
      <c r="AA5506">
        <f>IF(Z5506&gt;Z5505,Z5506,"")</f>
        <v/>
      </c>
      <c r="AB5506">
        <f>AB5505+IF(X5506="",0,IF(ISNA(MATCH(X5506,X$256:X5505,0)),1,0))</f>
        <v/>
      </c>
      <c r="AC5506">
        <f>IF(AB5506&gt;AB5505,AB5506,"")</f>
        <v/>
      </c>
    </row>
    <row r="5507">
      <c r="W5507" s="7" t="n"/>
      <c r="X5507" s="7" t="n"/>
      <c r="Z5507">
        <f>Z5506+IF(W5507="",0,IF(ISNA(MATCH(W5507,W$256:W5506,0)),1,0))</f>
        <v/>
      </c>
      <c r="AA5507">
        <f>IF(Z5507&gt;Z5506,Z5507,"")</f>
        <v/>
      </c>
      <c r="AB5507">
        <f>AB5506+IF(X5507="",0,IF(ISNA(MATCH(X5507,X$256:X5506,0)),1,0))</f>
        <v/>
      </c>
      <c r="AC5507">
        <f>IF(AB5507&gt;AB5506,AB5507,"")</f>
        <v/>
      </c>
    </row>
    <row r="5508">
      <c r="W5508" s="7" t="n"/>
      <c r="X5508" s="7" t="n"/>
      <c r="Z5508">
        <f>Z5507+IF(W5508="",0,IF(ISNA(MATCH(W5508,W$256:W5507,0)),1,0))</f>
        <v/>
      </c>
      <c r="AA5508">
        <f>IF(Z5508&gt;Z5507,Z5508,"")</f>
        <v/>
      </c>
      <c r="AB5508">
        <f>AB5507+IF(X5508="",0,IF(ISNA(MATCH(X5508,X$256:X5507,0)),1,0))</f>
        <v/>
      </c>
      <c r="AC5508">
        <f>IF(AB5508&gt;AB5507,AB5508,"")</f>
        <v/>
      </c>
    </row>
    <row r="5509">
      <c r="W5509" s="7" t="n"/>
      <c r="X5509" s="7" t="n"/>
      <c r="Z5509">
        <f>Z5508+IF(W5509="",0,IF(ISNA(MATCH(W5509,W$256:W5508,0)),1,0))</f>
        <v/>
      </c>
      <c r="AA5509">
        <f>IF(Z5509&gt;Z5508,Z5509,"")</f>
        <v/>
      </c>
      <c r="AB5509">
        <f>AB5508+IF(X5509="",0,IF(ISNA(MATCH(X5509,X$256:X5508,0)),1,0))</f>
        <v/>
      </c>
      <c r="AC5509">
        <f>IF(AB5509&gt;AB5508,AB5509,"")</f>
        <v/>
      </c>
    </row>
    <row r="5510">
      <c r="W5510" s="7" t="n"/>
      <c r="X5510" s="7" t="n"/>
      <c r="Z5510">
        <f>Z5509+IF(W5510="",0,IF(ISNA(MATCH(W5510,W$256:W5509,0)),1,0))</f>
        <v/>
      </c>
      <c r="AA5510">
        <f>IF(Z5510&gt;Z5509,Z5510,"")</f>
        <v/>
      </c>
      <c r="AB5510">
        <f>AB5509+IF(X5510="",0,IF(ISNA(MATCH(X5510,X$256:X5509,0)),1,0))</f>
        <v/>
      </c>
      <c r="AC5510">
        <f>IF(AB5510&gt;AB5509,AB5510,"")</f>
        <v/>
      </c>
    </row>
    <row r="5511">
      <c r="W5511" s="7" t="n"/>
      <c r="X5511" s="7" t="n"/>
      <c r="Z5511">
        <f>Z5510+IF(W5511="",0,IF(ISNA(MATCH(W5511,W$256:W5510,0)),1,0))</f>
        <v/>
      </c>
      <c r="AA5511">
        <f>IF(Z5511&gt;Z5510,Z5511,"")</f>
        <v/>
      </c>
      <c r="AB5511">
        <f>AB5510+IF(X5511="",0,IF(ISNA(MATCH(X5511,X$256:X5510,0)),1,0))</f>
        <v/>
      </c>
      <c r="AC5511">
        <f>IF(AB5511&gt;AB5510,AB5511,"")</f>
        <v/>
      </c>
    </row>
    <row r="5512">
      <c r="W5512" s="7" t="n"/>
      <c r="X5512" s="7" t="n"/>
      <c r="Z5512">
        <f>Z5511+IF(W5512="",0,IF(ISNA(MATCH(W5512,W$256:W5511,0)),1,0))</f>
        <v/>
      </c>
      <c r="AA5512">
        <f>IF(Z5512&gt;Z5511,Z5512,"")</f>
        <v/>
      </c>
      <c r="AB5512">
        <f>AB5511+IF(X5512="",0,IF(ISNA(MATCH(X5512,X$256:X5511,0)),1,0))</f>
        <v/>
      </c>
      <c r="AC5512">
        <f>IF(AB5512&gt;AB5511,AB5512,"")</f>
        <v/>
      </c>
    </row>
    <row r="5513">
      <c r="W5513" s="7" t="n"/>
      <c r="X5513" s="7" t="n"/>
      <c r="Z5513">
        <f>Z5512+IF(W5513="",0,IF(ISNA(MATCH(W5513,W$256:W5512,0)),1,0))</f>
        <v/>
      </c>
      <c r="AA5513">
        <f>IF(Z5513&gt;Z5512,Z5513,"")</f>
        <v/>
      </c>
      <c r="AB5513">
        <f>AB5512+IF(X5513="",0,IF(ISNA(MATCH(X5513,X$256:X5512,0)),1,0))</f>
        <v/>
      </c>
      <c r="AC5513">
        <f>IF(AB5513&gt;AB5512,AB5513,"")</f>
        <v/>
      </c>
    </row>
    <row r="5514">
      <c r="W5514" s="7" t="n"/>
      <c r="X5514" s="7" t="n"/>
      <c r="Z5514">
        <f>Z5513+IF(W5514="",0,IF(ISNA(MATCH(W5514,W$256:W5513,0)),1,0))</f>
        <v/>
      </c>
      <c r="AA5514">
        <f>IF(Z5514&gt;Z5513,Z5514,"")</f>
        <v/>
      </c>
      <c r="AB5514">
        <f>AB5513+IF(X5514="",0,IF(ISNA(MATCH(X5514,X$256:X5513,0)),1,0))</f>
        <v/>
      </c>
      <c r="AC5514">
        <f>IF(AB5514&gt;AB5513,AB5514,"")</f>
        <v/>
      </c>
    </row>
    <row r="5515">
      <c r="W5515" s="7" t="n"/>
      <c r="X5515" s="7" t="n"/>
      <c r="Z5515">
        <f>Z5514+IF(W5515="",0,IF(ISNA(MATCH(W5515,W$256:W5514,0)),1,0))</f>
        <v/>
      </c>
      <c r="AA5515">
        <f>IF(Z5515&gt;Z5514,Z5515,"")</f>
        <v/>
      </c>
      <c r="AB5515">
        <f>AB5514+IF(X5515="",0,IF(ISNA(MATCH(X5515,X$256:X5514,0)),1,0))</f>
        <v/>
      </c>
      <c r="AC5515">
        <f>IF(AB5515&gt;AB5514,AB5515,"")</f>
        <v/>
      </c>
    </row>
    <row r="5516">
      <c r="W5516" s="7" t="n"/>
      <c r="X5516" s="7" t="n"/>
      <c r="Z5516">
        <f>Z5515+IF(W5516="",0,IF(ISNA(MATCH(W5516,W$256:W5515,0)),1,0))</f>
        <v/>
      </c>
      <c r="AA5516">
        <f>IF(Z5516&gt;Z5515,Z5516,"")</f>
        <v/>
      </c>
      <c r="AB5516">
        <f>AB5515+IF(X5516="",0,IF(ISNA(MATCH(X5516,X$256:X5515,0)),1,0))</f>
        <v/>
      </c>
      <c r="AC5516">
        <f>IF(AB5516&gt;AB5515,AB5516,"")</f>
        <v/>
      </c>
    </row>
    <row r="5517">
      <c r="W5517" s="7" t="n"/>
      <c r="X5517" s="7" t="n"/>
      <c r="Z5517">
        <f>Z5516+IF(W5517="",0,IF(ISNA(MATCH(W5517,W$256:W5516,0)),1,0))</f>
        <v/>
      </c>
      <c r="AA5517">
        <f>IF(Z5517&gt;Z5516,Z5517,"")</f>
        <v/>
      </c>
      <c r="AB5517">
        <f>AB5516+IF(X5517="",0,IF(ISNA(MATCH(X5517,X$256:X5516,0)),1,0))</f>
        <v/>
      </c>
      <c r="AC5517">
        <f>IF(AB5517&gt;AB5516,AB5517,"")</f>
        <v/>
      </c>
    </row>
    <row r="5518">
      <c r="W5518" s="7" t="n"/>
      <c r="X5518" s="7" t="n"/>
      <c r="Z5518">
        <f>Z5517+IF(W5518="",0,IF(ISNA(MATCH(W5518,W$256:W5517,0)),1,0))</f>
        <v/>
      </c>
      <c r="AA5518">
        <f>IF(Z5518&gt;Z5517,Z5518,"")</f>
        <v/>
      </c>
      <c r="AB5518">
        <f>AB5517+IF(X5518="",0,IF(ISNA(MATCH(X5518,X$256:X5517,0)),1,0))</f>
        <v/>
      </c>
      <c r="AC5518">
        <f>IF(AB5518&gt;AB5517,AB5518,"")</f>
        <v/>
      </c>
    </row>
    <row r="5519">
      <c r="W5519" s="7" t="n"/>
      <c r="X5519" s="7" t="n"/>
      <c r="Z5519">
        <f>Z5518+IF(W5519="",0,IF(ISNA(MATCH(W5519,W$256:W5518,0)),1,0))</f>
        <v/>
      </c>
      <c r="AA5519">
        <f>IF(Z5519&gt;Z5518,Z5519,"")</f>
        <v/>
      </c>
      <c r="AB5519">
        <f>AB5518+IF(X5519="",0,IF(ISNA(MATCH(X5519,X$256:X5518,0)),1,0))</f>
        <v/>
      </c>
      <c r="AC5519">
        <f>IF(AB5519&gt;AB5518,AB5519,"")</f>
        <v/>
      </c>
    </row>
    <row r="5520">
      <c r="W5520" s="7" t="n"/>
      <c r="X5520" s="7" t="n"/>
      <c r="Z5520">
        <f>Z5519+IF(W5520="",0,IF(ISNA(MATCH(W5520,W$256:W5519,0)),1,0))</f>
        <v/>
      </c>
      <c r="AA5520">
        <f>IF(Z5520&gt;Z5519,Z5520,"")</f>
        <v/>
      </c>
      <c r="AB5520">
        <f>AB5519+IF(X5520="",0,IF(ISNA(MATCH(X5520,X$256:X5519,0)),1,0))</f>
        <v/>
      </c>
      <c r="AC5520">
        <f>IF(AB5520&gt;AB5519,AB5520,"")</f>
        <v/>
      </c>
    </row>
    <row r="5521">
      <c r="W5521" s="7" t="n"/>
      <c r="X5521" s="7" t="n"/>
      <c r="Z5521">
        <f>Z5520+IF(W5521="",0,IF(ISNA(MATCH(W5521,W$256:W5520,0)),1,0))</f>
        <v/>
      </c>
      <c r="AA5521">
        <f>IF(Z5521&gt;Z5520,Z5521,"")</f>
        <v/>
      </c>
      <c r="AB5521">
        <f>AB5520+IF(X5521="",0,IF(ISNA(MATCH(X5521,X$256:X5520,0)),1,0))</f>
        <v/>
      </c>
      <c r="AC5521">
        <f>IF(AB5521&gt;AB5520,AB5521,"")</f>
        <v/>
      </c>
    </row>
    <row r="5522">
      <c r="W5522" s="7" t="n"/>
      <c r="X5522" s="7" t="n"/>
      <c r="Z5522">
        <f>Z5521+IF(W5522="",0,IF(ISNA(MATCH(W5522,W$256:W5521,0)),1,0))</f>
        <v/>
      </c>
      <c r="AA5522">
        <f>IF(Z5522&gt;Z5521,Z5522,"")</f>
        <v/>
      </c>
      <c r="AB5522">
        <f>AB5521+IF(X5522="",0,IF(ISNA(MATCH(X5522,X$256:X5521,0)),1,0))</f>
        <v/>
      </c>
      <c r="AC5522">
        <f>IF(AB5522&gt;AB5521,AB5522,"")</f>
        <v/>
      </c>
    </row>
    <row r="5523">
      <c r="W5523" s="7" t="n"/>
      <c r="X5523" s="7" t="n"/>
      <c r="Z5523">
        <f>Z5522+IF(W5523="",0,IF(ISNA(MATCH(W5523,W$256:W5522,0)),1,0))</f>
        <v/>
      </c>
      <c r="AA5523">
        <f>IF(Z5523&gt;Z5522,Z5523,"")</f>
        <v/>
      </c>
      <c r="AB5523">
        <f>AB5522+IF(X5523="",0,IF(ISNA(MATCH(X5523,X$256:X5522,0)),1,0))</f>
        <v/>
      </c>
      <c r="AC5523">
        <f>IF(AB5523&gt;AB5522,AB5523,"")</f>
        <v/>
      </c>
    </row>
    <row r="5524">
      <c r="W5524" s="7" t="n"/>
      <c r="X5524" s="7" t="n"/>
      <c r="Z5524">
        <f>Z5523+IF(W5524="",0,IF(ISNA(MATCH(W5524,W$256:W5523,0)),1,0))</f>
        <v/>
      </c>
      <c r="AA5524">
        <f>IF(Z5524&gt;Z5523,Z5524,"")</f>
        <v/>
      </c>
      <c r="AB5524">
        <f>AB5523+IF(X5524="",0,IF(ISNA(MATCH(X5524,X$256:X5523,0)),1,0))</f>
        <v/>
      </c>
      <c r="AC5524">
        <f>IF(AB5524&gt;AB5523,AB5524,"")</f>
        <v/>
      </c>
    </row>
    <row r="5525">
      <c r="W5525" s="7" t="n"/>
      <c r="X5525" s="7" t="n"/>
      <c r="Z5525">
        <f>Z5524+IF(W5525="",0,IF(ISNA(MATCH(W5525,W$256:W5524,0)),1,0))</f>
        <v/>
      </c>
      <c r="AA5525">
        <f>IF(Z5525&gt;Z5524,Z5525,"")</f>
        <v/>
      </c>
      <c r="AB5525">
        <f>AB5524+IF(X5525="",0,IF(ISNA(MATCH(X5525,X$256:X5524,0)),1,0))</f>
        <v/>
      </c>
      <c r="AC5525">
        <f>IF(AB5525&gt;AB5524,AB5525,"")</f>
        <v/>
      </c>
    </row>
    <row r="5526">
      <c r="W5526" s="7" t="n"/>
      <c r="X5526" s="7" t="n"/>
      <c r="Z5526">
        <f>Z5525+IF(W5526="",0,IF(ISNA(MATCH(W5526,W$256:W5525,0)),1,0))</f>
        <v/>
      </c>
      <c r="AA5526">
        <f>IF(Z5526&gt;Z5525,Z5526,"")</f>
        <v/>
      </c>
      <c r="AB5526">
        <f>AB5525+IF(X5526="",0,IF(ISNA(MATCH(X5526,X$256:X5525,0)),1,0))</f>
        <v/>
      </c>
      <c r="AC5526">
        <f>IF(AB5526&gt;AB5525,AB5526,"")</f>
        <v/>
      </c>
    </row>
    <row r="5527">
      <c r="W5527" s="7" t="n"/>
      <c r="X5527" s="7" t="n"/>
      <c r="Z5527">
        <f>Z5526+IF(W5527="",0,IF(ISNA(MATCH(W5527,W$256:W5526,0)),1,0))</f>
        <v/>
      </c>
      <c r="AA5527">
        <f>IF(Z5527&gt;Z5526,Z5527,"")</f>
        <v/>
      </c>
      <c r="AB5527">
        <f>AB5526+IF(X5527="",0,IF(ISNA(MATCH(X5527,X$256:X5526,0)),1,0))</f>
        <v/>
      </c>
      <c r="AC5527">
        <f>IF(AB5527&gt;AB5526,AB5527,"")</f>
        <v/>
      </c>
    </row>
    <row r="5528">
      <c r="W5528" s="7" t="n"/>
      <c r="X5528" s="7" t="n"/>
      <c r="Z5528">
        <f>Z5527+IF(W5528="",0,IF(ISNA(MATCH(W5528,W$256:W5527,0)),1,0))</f>
        <v/>
      </c>
      <c r="AA5528">
        <f>IF(Z5528&gt;Z5527,Z5528,"")</f>
        <v/>
      </c>
      <c r="AB5528">
        <f>AB5527+IF(X5528="",0,IF(ISNA(MATCH(X5528,X$256:X5527,0)),1,0))</f>
        <v/>
      </c>
      <c r="AC5528">
        <f>IF(AB5528&gt;AB5527,AB5528,"")</f>
        <v/>
      </c>
    </row>
    <row r="5529">
      <c r="W5529" s="7" t="n"/>
      <c r="X5529" s="7" t="n"/>
      <c r="Z5529">
        <f>Z5528+IF(W5529="",0,IF(ISNA(MATCH(W5529,W$256:W5528,0)),1,0))</f>
        <v/>
      </c>
      <c r="AA5529">
        <f>IF(Z5529&gt;Z5528,Z5529,"")</f>
        <v/>
      </c>
      <c r="AB5529">
        <f>AB5528+IF(X5529="",0,IF(ISNA(MATCH(X5529,X$256:X5528,0)),1,0))</f>
        <v/>
      </c>
      <c r="AC5529">
        <f>IF(AB5529&gt;AB5528,AB5529,"")</f>
        <v/>
      </c>
    </row>
    <row r="5530">
      <c r="W5530" s="7" t="n"/>
      <c r="X5530" s="7" t="n"/>
      <c r="Z5530">
        <f>Z5529+IF(W5530="",0,IF(ISNA(MATCH(W5530,W$256:W5529,0)),1,0))</f>
        <v/>
      </c>
      <c r="AA5530">
        <f>IF(Z5530&gt;Z5529,Z5530,"")</f>
        <v/>
      </c>
      <c r="AB5530">
        <f>AB5529+IF(X5530="",0,IF(ISNA(MATCH(X5530,X$256:X5529,0)),1,0))</f>
        <v/>
      </c>
      <c r="AC5530">
        <f>IF(AB5530&gt;AB5529,AB5530,"")</f>
        <v/>
      </c>
    </row>
    <row r="5531">
      <c r="W5531" s="7" t="n"/>
      <c r="X5531" s="7" t="n"/>
      <c r="Z5531">
        <f>Z5530+IF(W5531="",0,IF(ISNA(MATCH(W5531,W$256:W5530,0)),1,0))</f>
        <v/>
      </c>
      <c r="AA5531">
        <f>IF(Z5531&gt;Z5530,Z5531,"")</f>
        <v/>
      </c>
      <c r="AB5531">
        <f>AB5530+IF(X5531="",0,IF(ISNA(MATCH(X5531,X$256:X5530,0)),1,0))</f>
        <v/>
      </c>
      <c r="AC5531">
        <f>IF(AB5531&gt;AB5530,AB5531,"")</f>
        <v/>
      </c>
    </row>
    <row r="5532">
      <c r="W5532" s="7" t="n"/>
      <c r="X5532" s="7" t="n"/>
      <c r="Z5532">
        <f>Z5531+IF(W5532="",0,IF(ISNA(MATCH(W5532,W$256:W5531,0)),1,0))</f>
        <v/>
      </c>
      <c r="AA5532">
        <f>IF(Z5532&gt;Z5531,Z5532,"")</f>
        <v/>
      </c>
      <c r="AB5532">
        <f>AB5531+IF(X5532="",0,IF(ISNA(MATCH(X5532,X$256:X5531,0)),1,0))</f>
        <v/>
      </c>
      <c r="AC5532">
        <f>IF(AB5532&gt;AB5531,AB5532,"")</f>
        <v/>
      </c>
    </row>
    <row r="5533">
      <c r="W5533" s="7" t="n"/>
      <c r="X5533" s="7" t="n"/>
      <c r="Z5533">
        <f>Z5532+IF(W5533="",0,IF(ISNA(MATCH(W5533,W$256:W5532,0)),1,0))</f>
        <v/>
      </c>
      <c r="AA5533">
        <f>IF(Z5533&gt;Z5532,Z5533,"")</f>
        <v/>
      </c>
      <c r="AB5533">
        <f>AB5532+IF(X5533="",0,IF(ISNA(MATCH(X5533,X$256:X5532,0)),1,0))</f>
        <v/>
      </c>
      <c r="AC5533">
        <f>IF(AB5533&gt;AB5532,AB5533,"")</f>
        <v/>
      </c>
    </row>
    <row r="5534">
      <c r="W5534" s="7" t="n"/>
      <c r="X5534" s="7" t="n"/>
      <c r="Z5534">
        <f>Z5533+IF(W5534="",0,IF(ISNA(MATCH(W5534,W$256:W5533,0)),1,0))</f>
        <v/>
      </c>
      <c r="AA5534">
        <f>IF(Z5534&gt;Z5533,Z5534,"")</f>
        <v/>
      </c>
      <c r="AB5534">
        <f>AB5533+IF(X5534="",0,IF(ISNA(MATCH(X5534,X$256:X5533,0)),1,0))</f>
        <v/>
      </c>
      <c r="AC5534">
        <f>IF(AB5534&gt;AB5533,AB5534,"")</f>
        <v/>
      </c>
    </row>
    <row r="5535">
      <c r="W5535" s="7" t="n"/>
      <c r="X5535" s="7" t="n"/>
      <c r="Z5535">
        <f>Z5534+IF(W5535="",0,IF(ISNA(MATCH(W5535,W$256:W5534,0)),1,0))</f>
        <v/>
      </c>
      <c r="AA5535">
        <f>IF(Z5535&gt;Z5534,Z5535,"")</f>
        <v/>
      </c>
      <c r="AB5535">
        <f>AB5534+IF(X5535="",0,IF(ISNA(MATCH(X5535,X$256:X5534,0)),1,0))</f>
        <v/>
      </c>
      <c r="AC5535">
        <f>IF(AB5535&gt;AB5534,AB5535,"")</f>
        <v/>
      </c>
    </row>
    <row r="5536">
      <c r="W5536" s="7" t="n"/>
      <c r="X5536" s="7" t="n"/>
      <c r="Z5536">
        <f>Z5535+IF(W5536="",0,IF(ISNA(MATCH(W5536,W$256:W5535,0)),1,0))</f>
        <v/>
      </c>
      <c r="AA5536">
        <f>IF(Z5536&gt;Z5535,Z5536,"")</f>
        <v/>
      </c>
      <c r="AB5536">
        <f>AB5535+IF(X5536="",0,IF(ISNA(MATCH(X5536,X$256:X5535,0)),1,0))</f>
        <v/>
      </c>
      <c r="AC5536">
        <f>IF(AB5536&gt;AB5535,AB5536,"")</f>
        <v/>
      </c>
    </row>
    <row r="5537">
      <c r="W5537" s="7" t="n"/>
      <c r="X5537" s="7" t="n"/>
      <c r="Z5537">
        <f>Z5536+IF(W5537="",0,IF(ISNA(MATCH(W5537,W$256:W5536,0)),1,0))</f>
        <v/>
      </c>
      <c r="AA5537">
        <f>IF(Z5537&gt;Z5536,Z5537,"")</f>
        <v/>
      </c>
      <c r="AB5537">
        <f>AB5536+IF(X5537="",0,IF(ISNA(MATCH(X5537,X$256:X5536,0)),1,0))</f>
        <v/>
      </c>
      <c r="AC5537">
        <f>IF(AB5537&gt;AB5536,AB5537,"")</f>
        <v/>
      </c>
    </row>
    <row r="5538">
      <c r="W5538" s="7" t="n"/>
      <c r="X5538" s="7" t="n"/>
      <c r="Z5538">
        <f>Z5537+IF(W5538="",0,IF(ISNA(MATCH(W5538,W$256:W5537,0)),1,0))</f>
        <v/>
      </c>
      <c r="AA5538">
        <f>IF(Z5538&gt;Z5537,Z5538,"")</f>
        <v/>
      </c>
      <c r="AB5538">
        <f>AB5537+IF(X5538="",0,IF(ISNA(MATCH(X5538,X$256:X5537,0)),1,0))</f>
        <v/>
      </c>
      <c r="AC5538">
        <f>IF(AB5538&gt;AB5537,AB5538,"")</f>
        <v/>
      </c>
    </row>
    <row r="5539">
      <c r="W5539" s="7" t="n"/>
      <c r="X5539" s="7" t="n"/>
      <c r="Z5539">
        <f>Z5538+IF(W5539="",0,IF(ISNA(MATCH(W5539,W$256:W5538,0)),1,0))</f>
        <v/>
      </c>
      <c r="AA5539">
        <f>IF(Z5539&gt;Z5538,Z5539,"")</f>
        <v/>
      </c>
      <c r="AB5539">
        <f>AB5538+IF(X5539="",0,IF(ISNA(MATCH(X5539,X$256:X5538,0)),1,0))</f>
        <v/>
      </c>
      <c r="AC5539">
        <f>IF(AB5539&gt;AB5538,AB5539,"")</f>
        <v/>
      </c>
    </row>
    <row r="5540">
      <c r="W5540" s="7" t="n"/>
      <c r="X5540" s="7" t="n"/>
      <c r="Z5540">
        <f>Z5539+IF(W5540="",0,IF(ISNA(MATCH(W5540,W$256:W5539,0)),1,0))</f>
        <v/>
      </c>
      <c r="AA5540">
        <f>IF(Z5540&gt;Z5539,Z5540,"")</f>
        <v/>
      </c>
      <c r="AB5540">
        <f>AB5539+IF(X5540="",0,IF(ISNA(MATCH(X5540,X$256:X5539,0)),1,0))</f>
        <v/>
      </c>
      <c r="AC5540">
        <f>IF(AB5540&gt;AB5539,AB5540,"")</f>
        <v/>
      </c>
    </row>
    <row r="5541">
      <c r="W5541" s="7" t="n"/>
      <c r="X5541" s="7" t="n"/>
      <c r="Z5541">
        <f>Z5540+IF(W5541="",0,IF(ISNA(MATCH(W5541,W$256:W5540,0)),1,0))</f>
        <v/>
      </c>
      <c r="AA5541">
        <f>IF(Z5541&gt;Z5540,Z5541,"")</f>
        <v/>
      </c>
      <c r="AB5541">
        <f>AB5540+IF(X5541="",0,IF(ISNA(MATCH(X5541,X$256:X5540,0)),1,0))</f>
        <v/>
      </c>
      <c r="AC5541">
        <f>IF(AB5541&gt;AB5540,AB5541,"")</f>
        <v/>
      </c>
    </row>
    <row r="5542">
      <c r="W5542" s="7" t="n"/>
      <c r="X5542" s="7" t="n"/>
      <c r="Z5542">
        <f>Z5541+IF(W5542="",0,IF(ISNA(MATCH(W5542,W$256:W5541,0)),1,0))</f>
        <v/>
      </c>
      <c r="AA5542">
        <f>IF(Z5542&gt;Z5541,Z5542,"")</f>
        <v/>
      </c>
      <c r="AB5542">
        <f>AB5541+IF(X5542="",0,IF(ISNA(MATCH(X5542,X$256:X5541,0)),1,0))</f>
        <v/>
      </c>
      <c r="AC5542">
        <f>IF(AB5542&gt;AB5541,AB5542,"")</f>
        <v/>
      </c>
    </row>
    <row r="5543">
      <c r="W5543" s="7" t="n"/>
      <c r="X5543" s="7" t="n"/>
      <c r="Z5543">
        <f>Z5542+IF(W5543="",0,IF(ISNA(MATCH(W5543,W$256:W5542,0)),1,0))</f>
        <v/>
      </c>
      <c r="AA5543">
        <f>IF(Z5543&gt;Z5542,Z5543,"")</f>
        <v/>
      </c>
      <c r="AB5543">
        <f>AB5542+IF(X5543="",0,IF(ISNA(MATCH(X5543,X$256:X5542,0)),1,0))</f>
        <v/>
      </c>
      <c r="AC5543">
        <f>IF(AB5543&gt;AB5542,AB5543,"")</f>
        <v/>
      </c>
    </row>
    <row r="5544">
      <c r="W5544" s="7" t="n"/>
      <c r="X5544" s="7" t="n"/>
      <c r="Z5544">
        <f>Z5543+IF(W5544="",0,IF(ISNA(MATCH(W5544,W$256:W5543,0)),1,0))</f>
        <v/>
      </c>
      <c r="AA5544">
        <f>IF(Z5544&gt;Z5543,Z5544,"")</f>
        <v/>
      </c>
      <c r="AB5544">
        <f>AB5543+IF(X5544="",0,IF(ISNA(MATCH(X5544,X$256:X5543,0)),1,0))</f>
        <v/>
      </c>
      <c r="AC5544">
        <f>IF(AB5544&gt;AB5543,AB5544,"")</f>
        <v/>
      </c>
    </row>
    <row r="5545">
      <c r="W5545" s="7" t="n"/>
      <c r="X5545" s="7" t="n"/>
      <c r="Z5545">
        <f>Z5544+IF(W5545="",0,IF(ISNA(MATCH(W5545,W$256:W5544,0)),1,0))</f>
        <v/>
      </c>
      <c r="AA5545">
        <f>IF(Z5545&gt;Z5544,Z5545,"")</f>
        <v/>
      </c>
      <c r="AB5545">
        <f>AB5544+IF(X5545="",0,IF(ISNA(MATCH(X5545,X$256:X5544,0)),1,0))</f>
        <v/>
      </c>
      <c r="AC5545">
        <f>IF(AB5545&gt;AB5544,AB5545,"")</f>
        <v/>
      </c>
    </row>
    <row r="5546">
      <c r="W5546" s="7" t="n"/>
      <c r="X5546" s="7" t="n"/>
      <c r="Z5546">
        <f>Z5545+IF(W5546="",0,IF(ISNA(MATCH(W5546,W$256:W5545,0)),1,0))</f>
        <v/>
      </c>
      <c r="AA5546">
        <f>IF(Z5546&gt;Z5545,Z5546,"")</f>
        <v/>
      </c>
      <c r="AB5546">
        <f>AB5545+IF(X5546="",0,IF(ISNA(MATCH(X5546,X$256:X5545,0)),1,0))</f>
        <v/>
      </c>
      <c r="AC5546">
        <f>IF(AB5546&gt;AB5545,AB5546,"")</f>
        <v/>
      </c>
    </row>
    <row r="5547">
      <c r="W5547" s="7" t="n"/>
      <c r="X5547" s="7" t="n"/>
      <c r="Z5547">
        <f>Z5546+IF(W5547="",0,IF(ISNA(MATCH(W5547,W$256:W5546,0)),1,0))</f>
        <v/>
      </c>
      <c r="AA5547">
        <f>IF(Z5547&gt;Z5546,Z5547,"")</f>
        <v/>
      </c>
      <c r="AB5547">
        <f>AB5546+IF(X5547="",0,IF(ISNA(MATCH(X5547,X$256:X5546,0)),1,0))</f>
        <v/>
      </c>
      <c r="AC5547">
        <f>IF(AB5547&gt;AB5546,AB5547,"")</f>
        <v/>
      </c>
    </row>
    <row r="5548">
      <c r="W5548" s="7" t="n"/>
      <c r="X5548" s="7" t="n"/>
      <c r="Z5548">
        <f>Z5547+IF(W5548="",0,IF(ISNA(MATCH(W5548,W$256:W5547,0)),1,0))</f>
        <v/>
      </c>
      <c r="AA5548">
        <f>IF(Z5548&gt;Z5547,Z5548,"")</f>
        <v/>
      </c>
      <c r="AB5548">
        <f>AB5547+IF(X5548="",0,IF(ISNA(MATCH(X5548,X$256:X5547,0)),1,0))</f>
        <v/>
      </c>
      <c r="AC5548">
        <f>IF(AB5548&gt;AB5547,AB5548,"")</f>
        <v/>
      </c>
    </row>
    <row r="5549">
      <c r="W5549" s="7" t="n"/>
      <c r="X5549" s="7" t="n"/>
      <c r="Z5549">
        <f>Z5548+IF(W5549="",0,IF(ISNA(MATCH(W5549,W$256:W5548,0)),1,0))</f>
        <v/>
      </c>
      <c r="AA5549">
        <f>IF(Z5549&gt;Z5548,Z5549,"")</f>
        <v/>
      </c>
      <c r="AB5549">
        <f>AB5548+IF(X5549="",0,IF(ISNA(MATCH(X5549,X$256:X5548,0)),1,0))</f>
        <v/>
      </c>
      <c r="AC5549">
        <f>IF(AB5549&gt;AB5548,AB5549,"")</f>
        <v/>
      </c>
    </row>
    <row r="5550">
      <c r="W5550" s="7" t="n"/>
      <c r="X5550" s="7" t="n"/>
      <c r="Z5550">
        <f>Z5549+IF(W5550="",0,IF(ISNA(MATCH(W5550,W$256:W5549,0)),1,0))</f>
        <v/>
      </c>
      <c r="AA5550">
        <f>IF(Z5550&gt;Z5549,Z5550,"")</f>
        <v/>
      </c>
      <c r="AB5550">
        <f>AB5549+IF(X5550="",0,IF(ISNA(MATCH(X5550,X$256:X5549,0)),1,0))</f>
        <v/>
      </c>
      <c r="AC5550">
        <f>IF(AB5550&gt;AB5549,AB5550,"")</f>
        <v/>
      </c>
    </row>
    <row r="5551">
      <c r="W5551" s="7" t="n"/>
      <c r="X5551" s="7" t="n"/>
      <c r="Z5551">
        <f>Z5550+IF(W5551="",0,IF(ISNA(MATCH(W5551,W$256:W5550,0)),1,0))</f>
        <v/>
      </c>
      <c r="AA5551">
        <f>IF(Z5551&gt;Z5550,Z5551,"")</f>
        <v/>
      </c>
      <c r="AB5551">
        <f>AB5550+IF(X5551="",0,IF(ISNA(MATCH(X5551,X$256:X5550,0)),1,0))</f>
        <v/>
      </c>
      <c r="AC5551">
        <f>IF(AB5551&gt;AB5550,AB5551,"")</f>
        <v/>
      </c>
    </row>
    <row r="5552">
      <c r="W5552" s="7" t="n"/>
      <c r="X5552" s="7" t="n"/>
      <c r="Z5552">
        <f>Z5551+IF(W5552="",0,IF(ISNA(MATCH(W5552,W$256:W5551,0)),1,0))</f>
        <v/>
      </c>
      <c r="AA5552">
        <f>IF(Z5552&gt;Z5551,Z5552,"")</f>
        <v/>
      </c>
      <c r="AB5552">
        <f>AB5551+IF(X5552="",0,IF(ISNA(MATCH(X5552,X$256:X5551,0)),1,0))</f>
        <v/>
      </c>
      <c r="AC5552">
        <f>IF(AB5552&gt;AB5551,AB5552,"")</f>
        <v/>
      </c>
    </row>
    <row r="5553">
      <c r="W5553" s="7" t="n"/>
      <c r="X5553" s="7" t="n"/>
      <c r="Z5553">
        <f>Z5552+IF(W5553="",0,IF(ISNA(MATCH(W5553,W$256:W5552,0)),1,0))</f>
        <v/>
      </c>
      <c r="AA5553">
        <f>IF(Z5553&gt;Z5552,Z5553,"")</f>
        <v/>
      </c>
      <c r="AB5553">
        <f>AB5552+IF(X5553="",0,IF(ISNA(MATCH(X5553,X$256:X5552,0)),1,0))</f>
        <v/>
      </c>
      <c r="AC5553">
        <f>IF(AB5553&gt;AB5552,AB5553,"")</f>
        <v/>
      </c>
    </row>
    <row r="5554">
      <c r="W5554" s="7" t="n"/>
      <c r="X5554" s="7" t="n"/>
      <c r="Z5554">
        <f>Z5553+IF(W5554="",0,IF(ISNA(MATCH(W5554,W$256:W5553,0)),1,0))</f>
        <v/>
      </c>
      <c r="AA5554">
        <f>IF(Z5554&gt;Z5553,Z5554,"")</f>
        <v/>
      </c>
      <c r="AB5554">
        <f>AB5553+IF(X5554="",0,IF(ISNA(MATCH(X5554,X$256:X5553,0)),1,0))</f>
        <v/>
      </c>
      <c r="AC5554">
        <f>IF(AB5554&gt;AB5553,AB5554,"")</f>
        <v/>
      </c>
    </row>
    <row r="5555">
      <c r="W5555" s="7" t="n"/>
      <c r="X5555" s="7" t="n"/>
      <c r="Z5555">
        <f>Z5554+IF(W5555="",0,IF(ISNA(MATCH(W5555,W$256:W5554,0)),1,0))</f>
        <v/>
      </c>
      <c r="AA5555">
        <f>IF(Z5555&gt;Z5554,Z5555,"")</f>
        <v/>
      </c>
      <c r="AB5555">
        <f>AB5554+IF(X5555="",0,IF(ISNA(MATCH(X5555,X$256:X5554,0)),1,0))</f>
        <v/>
      </c>
      <c r="AC5555">
        <f>IF(AB5555&gt;AB5554,AB5555,"")</f>
        <v/>
      </c>
    </row>
    <row r="5556">
      <c r="W5556" s="7" t="n"/>
      <c r="X5556" s="7" t="n"/>
      <c r="Z5556">
        <f>Z5555+IF(W5556="",0,IF(ISNA(MATCH(W5556,W$256:W5555,0)),1,0))</f>
        <v/>
      </c>
      <c r="AA5556">
        <f>IF(Z5556&gt;Z5555,Z5556,"")</f>
        <v/>
      </c>
      <c r="AB5556">
        <f>AB5555+IF(X5556="",0,IF(ISNA(MATCH(X5556,X$256:X5555,0)),1,0))</f>
        <v/>
      </c>
      <c r="AC5556">
        <f>IF(AB5556&gt;AB5555,AB5556,"")</f>
        <v/>
      </c>
    </row>
    <row r="5557">
      <c r="W5557" s="7" t="n"/>
      <c r="X5557" s="7" t="n"/>
      <c r="Z5557">
        <f>Z5556+IF(W5557="",0,IF(ISNA(MATCH(W5557,W$256:W5556,0)),1,0))</f>
        <v/>
      </c>
      <c r="AA5557">
        <f>IF(Z5557&gt;Z5556,Z5557,"")</f>
        <v/>
      </c>
      <c r="AB5557">
        <f>AB5556+IF(X5557="",0,IF(ISNA(MATCH(X5557,X$256:X5556,0)),1,0))</f>
        <v/>
      </c>
      <c r="AC5557">
        <f>IF(AB5557&gt;AB5556,AB5557,"")</f>
        <v/>
      </c>
    </row>
    <row r="5558">
      <c r="W5558" s="7" t="n"/>
      <c r="X5558" s="7" t="n"/>
      <c r="Z5558">
        <f>Z5557+IF(W5558="",0,IF(ISNA(MATCH(W5558,W$256:W5557,0)),1,0))</f>
        <v/>
      </c>
      <c r="AA5558">
        <f>IF(Z5558&gt;Z5557,Z5558,"")</f>
        <v/>
      </c>
      <c r="AB5558">
        <f>AB5557+IF(X5558="",0,IF(ISNA(MATCH(X5558,X$256:X5557,0)),1,0))</f>
        <v/>
      </c>
      <c r="AC5558">
        <f>IF(AB5558&gt;AB5557,AB5558,"")</f>
        <v/>
      </c>
    </row>
    <row r="5559">
      <c r="W5559" s="7" t="n"/>
      <c r="X5559" s="7" t="n"/>
      <c r="Z5559">
        <f>Z5558+IF(W5559="",0,IF(ISNA(MATCH(W5559,W$256:W5558,0)),1,0))</f>
        <v/>
      </c>
      <c r="AA5559">
        <f>IF(Z5559&gt;Z5558,Z5559,"")</f>
        <v/>
      </c>
      <c r="AB5559">
        <f>AB5558+IF(X5559="",0,IF(ISNA(MATCH(X5559,X$256:X5558,0)),1,0))</f>
        <v/>
      </c>
      <c r="AC5559">
        <f>IF(AB5559&gt;AB5558,AB5559,"")</f>
        <v/>
      </c>
    </row>
    <row r="5560">
      <c r="W5560" s="7" t="n"/>
      <c r="X5560" s="7" t="n"/>
      <c r="Z5560">
        <f>Z5559+IF(W5560="",0,IF(ISNA(MATCH(W5560,W$256:W5559,0)),1,0))</f>
        <v/>
      </c>
      <c r="AA5560">
        <f>IF(Z5560&gt;Z5559,Z5560,"")</f>
        <v/>
      </c>
      <c r="AB5560">
        <f>AB5559+IF(X5560="",0,IF(ISNA(MATCH(X5560,X$256:X5559,0)),1,0))</f>
        <v/>
      </c>
      <c r="AC5560">
        <f>IF(AB5560&gt;AB5559,AB5560,"")</f>
        <v/>
      </c>
    </row>
    <row r="5561">
      <c r="W5561" s="7" t="n"/>
      <c r="X5561" s="7" t="n"/>
      <c r="Z5561">
        <f>Z5560+IF(W5561="",0,IF(ISNA(MATCH(W5561,W$256:W5560,0)),1,0))</f>
        <v/>
      </c>
      <c r="AA5561">
        <f>IF(Z5561&gt;Z5560,Z5561,"")</f>
        <v/>
      </c>
      <c r="AB5561">
        <f>AB5560+IF(X5561="",0,IF(ISNA(MATCH(X5561,X$256:X5560,0)),1,0))</f>
        <v/>
      </c>
      <c r="AC5561">
        <f>IF(AB5561&gt;AB5560,AB5561,"")</f>
        <v/>
      </c>
    </row>
    <row r="5562">
      <c r="W5562" s="7" t="n"/>
      <c r="X5562" s="7" t="n"/>
      <c r="Z5562">
        <f>Z5561+IF(W5562="",0,IF(ISNA(MATCH(W5562,W$256:W5561,0)),1,0))</f>
        <v/>
      </c>
      <c r="AA5562">
        <f>IF(Z5562&gt;Z5561,Z5562,"")</f>
        <v/>
      </c>
      <c r="AB5562">
        <f>AB5561+IF(X5562="",0,IF(ISNA(MATCH(X5562,X$256:X5561,0)),1,0))</f>
        <v/>
      </c>
      <c r="AC5562">
        <f>IF(AB5562&gt;AB5561,AB5562,"")</f>
        <v/>
      </c>
    </row>
    <row r="5563">
      <c r="W5563" s="7" t="n"/>
      <c r="X5563" s="7" t="n"/>
      <c r="Z5563">
        <f>Z5562+IF(W5563="",0,IF(ISNA(MATCH(W5563,W$256:W5562,0)),1,0))</f>
        <v/>
      </c>
      <c r="AA5563">
        <f>IF(Z5563&gt;Z5562,Z5563,"")</f>
        <v/>
      </c>
      <c r="AB5563">
        <f>AB5562+IF(X5563="",0,IF(ISNA(MATCH(X5563,X$256:X5562,0)),1,0))</f>
        <v/>
      </c>
      <c r="AC5563">
        <f>IF(AB5563&gt;AB5562,AB5563,"")</f>
        <v/>
      </c>
    </row>
    <row r="5564">
      <c r="W5564" s="7" t="n"/>
      <c r="X5564" s="7" t="n"/>
      <c r="Z5564">
        <f>Z5563+IF(W5564="",0,IF(ISNA(MATCH(W5564,W$256:W5563,0)),1,0))</f>
        <v/>
      </c>
      <c r="AA5564">
        <f>IF(Z5564&gt;Z5563,Z5564,"")</f>
        <v/>
      </c>
      <c r="AB5564">
        <f>AB5563+IF(X5564="",0,IF(ISNA(MATCH(X5564,X$256:X5563,0)),1,0))</f>
        <v/>
      </c>
      <c r="AC5564">
        <f>IF(AB5564&gt;AB5563,AB5564,"")</f>
        <v/>
      </c>
    </row>
    <row r="5565">
      <c r="W5565" s="7" t="n"/>
      <c r="X5565" s="7" t="n"/>
      <c r="Z5565">
        <f>Z5564+IF(W5565="",0,IF(ISNA(MATCH(W5565,W$256:W5564,0)),1,0))</f>
        <v/>
      </c>
      <c r="AA5565">
        <f>IF(Z5565&gt;Z5564,Z5565,"")</f>
        <v/>
      </c>
      <c r="AB5565">
        <f>AB5564+IF(X5565="",0,IF(ISNA(MATCH(X5565,X$256:X5564,0)),1,0))</f>
        <v/>
      </c>
      <c r="AC5565">
        <f>IF(AB5565&gt;AB5564,AB5565,"")</f>
        <v/>
      </c>
    </row>
    <row r="5566">
      <c r="W5566" s="7" t="n"/>
      <c r="X5566" s="7" t="n"/>
      <c r="Z5566">
        <f>Z5565+IF(W5566="",0,IF(ISNA(MATCH(W5566,W$256:W5565,0)),1,0))</f>
        <v/>
      </c>
      <c r="AA5566">
        <f>IF(Z5566&gt;Z5565,Z5566,"")</f>
        <v/>
      </c>
      <c r="AB5566">
        <f>AB5565+IF(X5566="",0,IF(ISNA(MATCH(X5566,X$256:X5565,0)),1,0))</f>
        <v/>
      </c>
      <c r="AC5566">
        <f>IF(AB5566&gt;AB5565,AB5566,"")</f>
        <v/>
      </c>
    </row>
    <row r="5567">
      <c r="W5567" s="7" t="n"/>
      <c r="X5567" s="7" t="n"/>
      <c r="Z5567">
        <f>Z5566+IF(W5567="",0,IF(ISNA(MATCH(W5567,W$256:W5566,0)),1,0))</f>
        <v/>
      </c>
      <c r="AA5567">
        <f>IF(Z5567&gt;Z5566,Z5567,"")</f>
        <v/>
      </c>
      <c r="AB5567">
        <f>AB5566+IF(X5567="",0,IF(ISNA(MATCH(X5567,X$256:X5566,0)),1,0))</f>
        <v/>
      </c>
      <c r="AC5567">
        <f>IF(AB5567&gt;AB5566,AB5567,"")</f>
        <v/>
      </c>
    </row>
    <row r="5568">
      <c r="W5568" s="7" t="n"/>
      <c r="X5568" s="7" t="n"/>
      <c r="Z5568">
        <f>Z5567+IF(W5568="",0,IF(ISNA(MATCH(W5568,W$256:W5567,0)),1,0))</f>
        <v/>
      </c>
      <c r="AA5568">
        <f>IF(Z5568&gt;Z5567,Z5568,"")</f>
        <v/>
      </c>
      <c r="AB5568">
        <f>AB5567+IF(X5568="",0,IF(ISNA(MATCH(X5568,X$256:X5567,0)),1,0))</f>
        <v/>
      </c>
      <c r="AC5568">
        <f>IF(AB5568&gt;AB5567,AB5568,"")</f>
        <v/>
      </c>
    </row>
    <row r="5569">
      <c r="W5569" s="7" t="n"/>
      <c r="X5569" s="7" t="n"/>
      <c r="Z5569">
        <f>Z5568+IF(W5569="",0,IF(ISNA(MATCH(W5569,W$256:W5568,0)),1,0))</f>
        <v/>
      </c>
      <c r="AA5569">
        <f>IF(Z5569&gt;Z5568,Z5569,"")</f>
        <v/>
      </c>
      <c r="AB5569">
        <f>AB5568+IF(X5569="",0,IF(ISNA(MATCH(X5569,X$256:X5568,0)),1,0))</f>
        <v/>
      </c>
      <c r="AC5569">
        <f>IF(AB5569&gt;AB5568,AB5569,"")</f>
        <v/>
      </c>
    </row>
    <row r="5570">
      <c r="W5570" s="7" t="n"/>
      <c r="X5570" s="7" t="n"/>
      <c r="Z5570">
        <f>Z5569+IF(W5570="",0,IF(ISNA(MATCH(W5570,W$256:W5569,0)),1,0))</f>
        <v/>
      </c>
      <c r="AA5570">
        <f>IF(Z5570&gt;Z5569,Z5570,"")</f>
        <v/>
      </c>
      <c r="AB5570">
        <f>AB5569+IF(X5570="",0,IF(ISNA(MATCH(X5570,X$256:X5569,0)),1,0))</f>
        <v/>
      </c>
      <c r="AC5570">
        <f>IF(AB5570&gt;AB5569,AB5570,"")</f>
        <v/>
      </c>
    </row>
    <row r="5571">
      <c r="W5571" s="7" t="n"/>
      <c r="X5571" s="7" t="n"/>
      <c r="Z5571">
        <f>Z5570+IF(W5571="",0,IF(ISNA(MATCH(W5571,W$256:W5570,0)),1,0))</f>
        <v/>
      </c>
      <c r="AA5571">
        <f>IF(Z5571&gt;Z5570,Z5571,"")</f>
        <v/>
      </c>
      <c r="AB5571">
        <f>AB5570+IF(X5571="",0,IF(ISNA(MATCH(X5571,X$256:X5570,0)),1,0))</f>
        <v/>
      </c>
      <c r="AC5571">
        <f>IF(AB5571&gt;AB5570,AB5571,"")</f>
        <v/>
      </c>
    </row>
    <row r="5572">
      <c r="W5572" s="7" t="n"/>
      <c r="X5572" s="7" t="n"/>
      <c r="Z5572">
        <f>Z5571+IF(W5572="",0,IF(ISNA(MATCH(W5572,W$256:W5571,0)),1,0))</f>
        <v/>
      </c>
      <c r="AA5572">
        <f>IF(Z5572&gt;Z5571,Z5572,"")</f>
        <v/>
      </c>
      <c r="AB5572">
        <f>AB5571+IF(X5572="",0,IF(ISNA(MATCH(X5572,X$256:X5571,0)),1,0))</f>
        <v/>
      </c>
      <c r="AC5572">
        <f>IF(AB5572&gt;AB5571,AB5572,"")</f>
        <v/>
      </c>
    </row>
    <row r="5573">
      <c r="W5573" s="7" t="n"/>
      <c r="X5573" s="7" t="n"/>
      <c r="Z5573">
        <f>Z5572+IF(W5573="",0,IF(ISNA(MATCH(W5573,W$256:W5572,0)),1,0))</f>
        <v/>
      </c>
      <c r="AA5573">
        <f>IF(Z5573&gt;Z5572,Z5573,"")</f>
        <v/>
      </c>
      <c r="AB5573">
        <f>AB5572+IF(X5573="",0,IF(ISNA(MATCH(X5573,X$256:X5572,0)),1,0))</f>
        <v/>
      </c>
      <c r="AC5573">
        <f>IF(AB5573&gt;AB5572,AB5573,"")</f>
        <v/>
      </c>
    </row>
    <row r="5574">
      <c r="W5574" s="7" t="n"/>
      <c r="X5574" s="7" t="n"/>
      <c r="Z5574">
        <f>Z5573+IF(W5574="",0,IF(ISNA(MATCH(W5574,W$256:W5573,0)),1,0))</f>
        <v/>
      </c>
      <c r="AA5574">
        <f>IF(Z5574&gt;Z5573,Z5574,"")</f>
        <v/>
      </c>
      <c r="AB5574">
        <f>AB5573+IF(X5574="",0,IF(ISNA(MATCH(X5574,X$256:X5573,0)),1,0))</f>
        <v/>
      </c>
      <c r="AC5574">
        <f>IF(AB5574&gt;AB5573,AB5574,"")</f>
        <v/>
      </c>
    </row>
    <row r="5575">
      <c r="W5575" s="7" t="n"/>
      <c r="X5575" s="7" t="n"/>
      <c r="Z5575">
        <f>Z5574+IF(W5575="",0,IF(ISNA(MATCH(W5575,W$256:W5574,0)),1,0))</f>
        <v/>
      </c>
      <c r="AA5575">
        <f>IF(Z5575&gt;Z5574,Z5575,"")</f>
        <v/>
      </c>
      <c r="AB5575">
        <f>AB5574+IF(X5575="",0,IF(ISNA(MATCH(X5575,X$256:X5574,0)),1,0))</f>
        <v/>
      </c>
      <c r="AC5575">
        <f>IF(AB5575&gt;AB5574,AB5575,"")</f>
        <v/>
      </c>
    </row>
    <row r="5576">
      <c r="W5576" s="7" t="n"/>
      <c r="X5576" s="7" t="n"/>
      <c r="Z5576">
        <f>Z5575+IF(W5576="",0,IF(ISNA(MATCH(W5576,W$256:W5575,0)),1,0))</f>
        <v/>
      </c>
      <c r="AA5576">
        <f>IF(Z5576&gt;Z5575,Z5576,"")</f>
        <v/>
      </c>
      <c r="AB5576">
        <f>AB5575+IF(X5576="",0,IF(ISNA(MATCH(X5576,X$256:X5575,0)),1,0))</f>
        <v/>
      </c>
      <c r="AC5576">
        <f>IF(AB5576&gt;AB5575,AB5576,"")</f>
        <v/>
      </c>
    </row>
    <row r="5577">
      <c r="W5577" s="7" t="n"/>
      <c r="X5577" s="7" t="n"/>
      <c r="Z5577">
        <f>Z5576+IF(W5577="",0,IF(ISNA(MATCH(W5577,W$256:W5576,0)),1,0))</f>
        <v/>
      </c>
      <c r="AA5577">
        <f>IF(Z5577&gt;Z5576,Z5577,"")</f>
        <v/>
      </c>
      <c r="AB5577">
        <f>AB5576+IF(X5577="",0,IF(ISNA(MATCH(X5577,X$256:X5576,0)),1,0))</f>
        <v/>
      </c>
      <c r="AC5577">
        <f>IF(AB5577&gt;AB5576,AB5577,"")</f>
        <v/>
      </c>
    </row>
    <row r="5578">
      <c r="W5578" s="7" t="n"/>
      <c r="X5578" s="7" t="n"/>
      <c r="Z5578">
        <f>Z5577+IF(W5578="",0,IF(ISNA(MATCH(W5578,W$256:W5577,0)),1,0))</f>
        <v/>
      </c>
      <c r="AA5578">
        <f>IF(Z5578&gt;Z5577,Z5578,"")</f>
        <v/>
      </c>
      <c r="AB5578">
        <f>AB5577+IF(X5578="",0,IF(ISNA(MATCH(X5578,X$256:X5577,0)),1,0))</f>
        <v/>
      </c>
      <c r="AC5578">
        <f>IF(AB5578&gt;AB5577,AB5578,"")</f>
        <v/>
      </c>
    </row>
    <row r="5579">
      <c r="W5579" s="7" t="n"/>
      <c r="X5579" s="7" t="n"/>
      <c r="Z5579">
        <f>Z5578+IF(W5579="",0,IF(ISNA(MATCH(W5579,W$256:W5578,0)),1,0))</f>
        <v/>
      </c>
      <c r="AA5579">
        <f>IF(Z5579&gt;Z5578,Z5579,"")</f>
        <v/>
      </c>
      <c r="AB5579">
        <f>AB5578+IF(X5579="",0,IF(ISNA(MATCH(X5579,X$256:X5578,0)),1,0))</f>
        <v/>
      </c>
      <c r="AC5579">
        <f>IF(AB5579&gt;AB5578,AB5579,"")</f>
        <v/>
      </c>
    </row>
    <row r="5580">
      <c r="W5580" s="7" t="n"/>
      <c r="X5580" s="7" t="n"/>
      <c r="Z5580">
        <f>Z5579+IF(W5580="",0,IF(ISNA(MATCH(W5580,W$256:W5579,0)),1,0))</f>
        <v/>
      </c>
      <c r="AA5580">
        <f>IF(Z5580&gt;Z5579,Z5580,"")</f>
        <v/>
      </c>
      <c r="AB5580">
        <f>AB5579+IF(X5580="",0,IF(ISNA(MATCH(X5580,X$256:X5579,0)),1,0))</f>
        <v/>
      </c>
      <c r="AC5580">
        <f>IF(AB5580&gt;AB5579,AB5580,"")</f>
        <v/>
      </c>
    </row>
    <row r="5581">
      <c r="W5581" s="7" t="n"/>
      <c r="X5581" s="7" t="n"/>
      <c r="Z5581">
        <f>Z5580+IF(W5581="",0,IF(ISNA(MATCH(W5581,W$256:W5580,0)),1,0))</f>
        <v/>
      </c>
      <c r="AA5581">
        <f>IF(Z5581&gt;Z5580,Z5581,"")</f>
        <v/>
      </c>
      <c r="AB5581">
        <f>AB5580+IF(X5581="",0,IF(ISNA(MATCH(X5581,X$256:X5580,0)),1,0))</f>
        <v/>
      </c>
      <c r="AC5581">
        <f>IF(AB5581&gt;AB5580,AB5581,"")</f>
        <v/>
      </c>
    </row>
    <row r="5582">
      <c r="W5582" s="7" t="n"/>
      <c r="X5582" s="7" t="n"/>
      <c r="Z5582">
        <f>Z5581+IF(W5582="",0,IF(ISNA(MATCH(W5582,W$256:W5581,0)),1,0))</f>
        <v/>
      </c>
      <c r="AA5582">
        <f>IF(Z5582&gt;Z5581,Z5582,"")</f>
        <v/>
      </c>
      <c r="AB5582">
        <f>AB5581+IF(X5582="",0,IF(ISNA(MATCH(X5582,X$256:X5581,0)),1,0))</f>
        <v/>
      </c>
      <c r="AC5582">
        <f>IF(AB5582&gt;AB5581,AB5582,"")</f>
        <v/>
      </c>
    </row>
    <row r="5583">
      <c r="W5583" s="7" t="n"/>
      <c r="X5583" s="7" t="n"/>
      <c r="Z5583">
        <f>Z5582+IF(W5583="",0,IF(ISNA(MATCH(W5583,W$256:W5582,0)),1,0))</f>
        <v/>
      </c>
      <c r="AA5583">
        <f>IF(Z5583&gt;Z5582,Z5583,"")</f>
        <v/>
      </c>
      <c r="AB5583">
        <f>AB5582+IF(X5583="",0,IF(ISNA(MATCH(X5583,X$256:X5582,0)),1,0))</f>
        <v/>
      </c>
      <c r="AC5583">
        <f>IF(AB5583&gt;AB5582,AB5583,"")</f>
        <v/>
      </c>
    </row>
    <row r="5584">
      <c r="W5584" s="7" t="n"/>
      <c r="X5584" s="7" t="n"/>
      <c r="Z5584">
        <f>Z5583+IF(W5584="",0,IF(ISNA(MATCH(W5584,W$256:W5583,0)),1,0))</f>
        <v/>
      </c>
      <c r="AA5584">
        <f>IF(Z5584&gt;Z5583,Z5584,"")</f>
        <v/>
      </c>
      <c r="AB5584">
        <f>AB5583+IF(X5584="",0,IF(ISNA(MATCH(X5584,X$256:X5583,0)),1,0))</f>
        <v/>
      </c>
      <c r="AC5584">
        <f>IF(AB5584&gt;AB5583,AB5584,"")</f>
        <v/>
      </c>
    </row>
    <row r="5585">
      <c r="W5585" s="7" t="n"/>
      <c r="X5585" s="7" t="n"/>
      <c r="Z5585">
        <f>Z5584+IF(W5585="",0,IF(ISNA(MATCH(W5585,W$256:W5584,0)),1,0))</f>
        <v/>
      </c>
      <c r="AA5585">
        <f>IF(Z5585&gt;Z5584,Z5585,"")</f>
        <v/>
      </c>
      <c r="AB5585">
        <f>AB5584+IF(X5585="",0,IF(ISNA(MATCH(X5585,X$256:X5584,0)),1,0))</f>
        <v/>
      </c>
      <c r="AC5585">
        <f>IF(AB5585&gt;AB5584,AB5585,"")</f>
        <v/>
      </c>
    </row>
    <row r="5586">
      <c r="W5586" s="7" t="n"/>
      <c r="X5586" s="7" t="n"/>
      <c r="Z5586">
        <f>Z5585+IF(W5586="",0,IF(ISNA(MATCH(W5586,W$256:W5585,0)),1,0))</f>
        <v/>
      </c>
      <c r="AA5586">
        <f>IF(Z5586&gt;Z5585,Z5586,"")</f>
        <v/>
      </c>
      <c r="AB5586">
        <f>AB5585+IF(X5586="",0,IF(ISNA(MATCH(X5586,X$256:X5585,0)),1,0))</f>
        <v/>
      </c>
      <c r="AC5586">
        <f>IF(AB5586&gt;AB5585,AB5586,"")</f>
        <v/>
      </c>
    </row>
    <row r="5587">
      <c r="W5587" s="7" t="n"/>
      <c r="X5587" s="7" t="n"/>
      <c r="Z5587">
        <f>Z5586+IF(W5587="",0,IF(ISNA(MATCH(W5587,W$256:W5586,0)),1,0))</f>
        <v/>
      </c>
      <c r="AA5587">
        <f>IF(Z5587&gt;Z5586,Z5587,"")</f>
        <v/>
      </c>
      <c r="AB5587">
        <f>AB5586+IF(X5587="",0,IF(ISNA(MATCH(X5587,X$256:X5586,0)),1,0))</f>
        <v/>
      </c>
      <c r="AC5587">
        <f>IF(AB5587&gt;AB5586,AB5587,"")</f>
        <v/>
      </c>
    </row>
    <row r="5588">
      <c r="W5588" s="7" t="n"/>
      <c r="X5588" s="7" t="n"/>
      <c r="Z5588">
        <f>Z5587+IF(W5588="",0,IF(ISNA(MATCH(W5588,W$256:W5587,0)),1,0))</f>
        <v/>
      </c>
      <c r="AA5588">
        <f>IF(Z5588&gt;Z5587,Z5588,"")</f>
        <v/>
      </c>
      <c r="AB5588">
        <f>AB5587+IF(X5588="",0,IF(ISNA(MATCH(X5588,X$256:X5587,0)),1,0))</f>
        <v/>
      </c>
      <c r="AC5588">
        <f>IF(AB5588&gt;AB5587,AB5588,"")</f>
        <v/>
      </c>
    </row>
    <row r="5589">
      <c r="W5589" s="7" t="n"/>
      <c r="X5589" s="7" t="n"/>
      <c r="Z5589">
        <f>Z5588+IF(W5589="",0,IF(ISNA(MATCH(W5589,W$256:W5588,0)),1,0))</f>
        <v/>
      </c>
      <c r="AA5589">
        <f>IF(Z5589&gt;Z5588,Z5589,"")</f>
        <v/>
      </c>
      <c r="AB5589">
        <f>AB5588+IF(X5589="",0,IF(ISNA(MATCH(X5589,X$256:X5588,0)),1,0))</f>
        <v/>
      </c>
      <c r="AC5589">
        <f>IF(AB5589&gt;AB5588,AB5589,"")</f>
        <v/>
      </c>
    </row>
    <row r="5590">
      <c r="W5590" s="7" t="n"/>
      <c r="X5590" s="7" t="n"/>
      <c r="Z5590">
        <f>Z5589+IF(W5590="",0,IF(ISNA(MATCH(W5590,W$256:W5589,0)),1,0))</f>
        <v/>
      </c>
      <c r="AA5590">
        <f>IF(Z5590&gt;Z5589,Z5590,"")</f>
        <v/>
      </c>
      <c r="AB5590">
        <f>AB5589+IF(X5590="",0,IF(ISNA(MATCH(X5590,X$256:X5589,0)),1,0))</f>
        <v/>
      </c>
      <c r="AC5590">
        <f>IF(AB5590&gt;AB5589,AB5590,"")</f>
        <v/>
      </c>
    </row>
    <row r="5591">
      <c r="W5591" s="7" t="n"/>
      <c r="X5591" s="7" t="n"/>
      <c r="Z5591">
        <f>Z5590+IF(W5591="",0,IF(ISNA(MATCH(W5591,W$256:W5590,0)),1,0))</f>
        <v/>
      </c>
      <c r="AA5591">
        <f>IF(Z5591&gt;Z5590,Z5591,"")</f>
        <v/>
      </c>
      <c r="AB5591">
        <f>AB5590+IF(X5591="",0,IF(ISNA(MATCH(X5591,X$256:X5590,0)),1,0))</f>
        <v/>
      </c>
      <c r="AC5591">
        <f>IF(AB5591&gt;AB5590,AB5591,"")</f>
        <v/>
      </c>
    </row>
    <row r="5592">
      <c r="W5592" s="7" t="n"/>
      <c r="X5592" s="7" t="n"/>
      <c r="Z5592">
        <f>Z5591+IF(W5592="",0,IF(ISNA(MATCH(W5592,W$256:W5591,0)),1,0))</f>
        <v/>
      </c>
      <c r="AA5592">
        <f>IF(Z5592&gt;Z5591,Z5592,"")</f>
        <v/>
      </c>
      <c r="AB5592">
        <f>AB5591+IF(X5592="",0,IF(ISNA(MATCH(X5592,X$256:X5591,0)),1,0))</f>
        <v/>
      </c>
      <c r="AC5592">
        <f>IF(AB5592&gt;AB5591,AB5592,"")</f>
        <v/>
      </c>
    </row>
    <row r="5593">
      <c r="W5593" s="7" t="n"/>
      <c r="X5593" s="7" t="n"/>
      <c r="Z5593">
        <f>Z5592+IF(W5593="",0,IF(ISNA(MATCH(W5593,W$256:W5592,0)),1,0))</f>
        <v/>
      </c>
      <c r="AA5593">
        <f>IF(Z5593&gt;Z5592,Z5593,"")</f>
        <v/>
      </c>
      <c r="AB5593">
        <f>AB5592+IF(X5593="",0,IF(ISNA(MATCH(X5593,X$256:X5592,0)),1,0))</f>
        <v/>
      </c>
      <c r="AC5593">
        <f>IF(AB5593&gt;AB5592,AB5593,"")</f>
        <v/>
      </c>
    </row>
    <row r="5594">
      <c r="W5594" s="7" t="n"/>
      <c r="X5594" s="7" t="n"/>
      <c r="Z5594">
        <f>Z5593+IF(W5594="",0,IF(ISNA(MATCH(W5594,W$256:W5593,0)),1,0))</f>
        <v/>
      </c>
      <c r="AA5594">
        <f>IF(Z5594&gt;Z5593,Z5594,"")</f>
        <v/>
      </c>
      <c r="AB5594">
        <f>AB5593+IF(X5594="",0,IF(ISNA(MATCH(X5594,X$256:X5593,0)),1,0))</f>
        <v/>
      </c>
      <c r="AC5594">
        <f>IF(AB5594&gt;AB5593,AB5594,"")</f>
        <v/>
      </c>
    </row>
    <row r="5595">
      <c r="W5595" s="7" t="n"/>
      <c r="X5595" s="7" t="n"/>
      <c r="Z5595">
        <f>Z5594+IF(W5595="",0,IF(ISNA(MATCH(W5595,W$256:W5594,0)),1,0))</f>
        <v/>
      </c>
      <c r="AA5595">
        <f>IF(Z5595&gt;Z5594,Z5595,"")</f>
        <v/>
      </c>
      <c r="AB5595">
        <f>AB5594+IF(X5595="",0,IF(ISNA(MATCH(X5595,X$256:X5594,0)),1,0))</f>
        <v/>
      </c>
      <c r="AC5595">
        <f>IF(AB5595&gt;AB5594,AB5595,"")</f>
        <v/>
      </c>
    </row>
    <row r="5596">
      <c r="W5596" s="7" t="n"/>
      <c r="X5596" s="7" t="n"/>
      <c r="Z5596">
        <f>Z5595+IF(W5596="",0,IF(ISNA(MATCH(W5596,W$256:W5595,0)),1,0))</f>
        <v/>
      </c>
      <c r="AA5596">
        <f>IF(Z5596&gt;Z5595,Z5596,"")</f>
        <v/>
      </c>
      <c r="AB5596">
        <f>AB5595+IF(X5596="",0,IF(ISNA(MATCH(X5596,X$256:X5595,0)),1,0))</f>
        <v/>
      </c>
      <c r="AC5596">
        <f>IF(AB5596&gt;AB5595,AB5596,"")</f>
        <v/>
      </c>
    </row>
    <row r="5597">
      <c r="W5597" s="7" t="n"/>
      <c r="X5597" s="7" t="n"/>
      <c r="Z5597">
        <f>Z5596+IF(W5597="",0,IF(ISNA(MATCH(W5597,W$256:W5596,0)),1,0))</f>
        <v/>
      </c>
      <c r="AA5597">
        <f>IF(Z5597&gt;Z5596,Z5597,"")</f>
        <v/>
      </c>
      <c r="AB5597">
        <f>AB5596+IF(X5597="",0,IF(ISNA(MATCH(X5597,X$256:X5596,0)),1,0))</f>
        <v/>
      </c>
      <c r="AC5597">
        <f>IF(AB5597&gt;AB5596,AB5597,"")</f>
        <v/>
      </c>
    </row>
    <row r="5598">
      <c r="W5598" s="7" t="n"/>
      <c r="X5598" s="7" t="n"/>
      <c r="Z5598">
        <f>Z5597+IF(W5598="",0,IF(ISNA(MATCH(W5598,W$256:W5597,0)),1,0))</f>
        <v/>
      </c>
      <c r="AA5598">
        <f>IF(Z5598&gt;Z5597,Z5598,"")</f>
        <v/>
      </c>
      <c r="AB5598">
        <f>AB5597+IF(X5598="",0,IF(ISNA(MATCH(X5598,X$256:X5597,0)),1,0))</f>
        <v/>
      </c>
      <c r="AC5598">
        <f>IF(AB5598&gt;AB5597,AB5598,"")</f>
        <v/>
      </c>
    </row>
    <row r="5599">
      <c r="W5599" s="7" t="n"/>
      <c r="X5599" s="7" t="n"/>
      <c r="Z5599">
        <f>Z5598+IF(W5599="",0,IF(ISNA(MATCH(W5599,W$256:W5598,0)),1,0))</f>
        <v/>
      </c>
      <c r="AA5599">
        <f>IF(Z5599&gt;Z5598,Z5599,"")</f>
        <v/>
      </c>
      <c r="AB5599">
        <f>AB5598+IF(X5599="",0,IF(ISNA(MATCH(X5599,X$256:X5598,0)),1,0))</f>
        <v/>
      </c>
      <c r="AC5599">
        <f>IF(AB5599&gt;AB5598,AB5599,"")</f>
        <v/>
      </c>
    </row>
    <row r="5600">
      <c r="W5600" s="7" t="n"/>
      <c r="X5600" s="7" t="n"/>
      <c r="Z5600">
        <f>Z5599+IF(W5600="",0,IF(ISNA(MATCH(W5600,W$256:W5599,0)),1,0))</f>
        <v/>
      </c>
      <c r="AA5600">
        <f>IF(Z5600&gt;Z5599,Z5600,"")</f>
        <v/>
      </c>
      <c r="AB5600">
        <f>AB5599+IF(X5600="",0,IF(ISNA(MATCH(X5600,X$256:X5599,0)),1,0))</f>
        <v/>
      </c>
      <c r="AC5600">
        <f>IF(AB5600&gt;AB5599,AB5600,"")</f>
        <v/>
      </c>
    </row>
    <row r="5601">
      <c r="W5601" s="7" t="n"/>
      <c r="X5601" s="7" t="n"/>
      <c r="Z5601">
        <f>Z5600+IF(W5601="",0,IF(ISNA(MATCH(W5601,W$256:W5600,0)),1,0))</f>
        <v/>
      </c>
      <c r="AA5601">
        <f>IF(Z5601&gt;Z5600,Z5601,"")</f>
        <v/>
      </c>
      <c r="AB5601">
        <f>AB5600+IF(X5601="",0,IF(ISNA(MATCH(X5601,X$256:X5600,0)),1,0))</f>
        <v/>
      </c>
      <c r="AC5601">
        <f>IF(AB5601&gt;AB5600,AB5601,"")</f>
        <v/>
      </c>
    </row>
    <row r="5602">
      <c r="W5602" s="7" t="n"/>
      <c r="X5602" s="7" t="n"/>
      <c r="Z5602">
        <f>Z5601+IF(W5602="",0,IF(ISNA(MATCH(W5602,W$256:W5601,0)),1,0))</f>
        <v/>
      </c>
      <c r="AA5602">
        <f>IF(Z5602&gt;Z5601,Z5602,"")</f>
        <v/>
      </c>
      <c r="AB5602">
        <f>AB5601+IF(X5602="",0,IF(ISNA(MATCH(X5602,X$256:X5601,0)),1,0))</f>
        <v/>
      </c>
      <c r="AC5602">
        <f>IF(AB5602&gt;AB5601,AB5602,"")</f>
        <v/>
      </c>
    </row>
    <row r="5603">
      <c r="W5603" s="7" t="n"/>
      <c r="X5603" s="7" t="n"/>
      <c r="Z5603">
        <f>Z5602+IF(W5603="",0,IF(ISNA(MATCH(W5603,W$256:W5602,0)),1,0))</f>
        <v/>
      </c>
      <c r="AA5603">
        <f>IF(Z5603&gt;Z5602,Z5603,"")</f>
        <v/>
      </c>
      <c r="AB5603">
        <f>AB5602+IF(X5603="",0,IF(ISNA(MATCH(X5603,X$256:X5602,0)),1,0))</f>
        <v/>
      </c>
      <c r="AC5603">
        <f>IF(AB5603&gt;AB5602,AB5603,"")</f>
        <v/>
      </c>
    </row>
    <row r="5604">
      <c r="W5604" s="7" t="n"/>
      <c r="X5604" s="7" t="n"/>
      <c r="Z5604">
        <f>Z5603+IF(W5604="",0,IF(ISNA(MATCH(W5604,W$256:W5603,0)),1,0))</f>
        <v/>
      </c>
      <c r="AA5604">
        <f>IF(Z5604&gt;Z5603,Z5604,"")</f>
        <v/>
      </c>
      <c r="AB5604">
        <f>AB5603+IF(X5604="",0,IF(ISNA(MATCH(X5604,X$256:X5603,0)),1,0))</f>
        <v/>
      </c>
      <c r="AC5604">
        <f>IF(AB5604&gt;AB5603,AB5604,"")</f>
        <v/>
      </c>
    </row>
    <row r="5605">
      <c r="W5605" s="7" t="n"/>
      <c r="X5605" s="7" t="n"/>
      <c r="Z5605">
        <f>Z5604+IF(W5605="",0,IF(ISNA(MATCH(W5605,W$256:W5604,0)),1,0))</f>
        <v/>
      </c>
      <c r="AA5605">
        <f>IF(Z5605&gt;Z5604,Z5605,"")</f>
        <v/>
      </c>
      <c r="AB5605">
        <f>AB5604+IF(X5605="",0,IF(ISNA(MATCH(X5605,X$256:X5604,0)),1,0))</f>
        <v/>
      </c>
      <c r="AC5605">
        <f>IF(AB5605&gt;AB5604,AB5605,"")</f>
        <v/>
      </c>
    </row>
    <row r="5606">
      <c r="W5606" s="7" t="n"/>
      <c r="X5606" s="7" t="n"/>
      <c r="Z5606">
        <f>Z5605+IF(W5606="",0,IF(ISNA(MATCH(W5606,W$256:W5605,0)),1,0))</f>
        <v/>
      </c>
      <c r="AA5606">
        <f>IF(Z5606&gt;Z5605,Z5606,"")</f>
        <v/>
      </c>
      <c r="AB5606">
        <f>AB5605+IF(X5606="",0,IF(ISNA(MATCH(X5606,X$256:X5605,0)),1,0))</f>
        <v/>
      </c>
      <c r="AC5606">
        <f>IF(AB5606&gt;AB5605,AB5606,"")</f>
        <v/>
      </c>
    </row>
    <row r="5607">
      <c r="W5607" s="7" t="n"/>
      <c r="X5607" s="7" t="n"/>
      <c r="Z5607">
        <f>Z5606+IF(W5607="",0,IF(ISNA(MATCH(W5607,W$256:W5606,0)),1,0))</f>
        <v/>
      </c>
      <c r="AA5607">
        <f>IF(Z5607&gt;Z5606,Z5607,"")</f>
        <v/>
      </c>
      <c r="AB5607">
        <f>AB5606+IF(X5607="",0,IF(ISNA(MATCH(X5607,X$256:X5606,0)),1,0))</f>
        <v/>
      </c>
      <c r="AC5607">
        <f>IF(AB5607&gt;AB5606,AB5607,"")</f>
        <v/>
      </c>
    </row>
    <row r="5608">
      <c r="W5608" s="7" t="n"/>
      <c r="X5608" s="7" t="n"/>
      <c r="Z5608">
        <f>Z5607+IF(W5608="",0,IF(ISNA(MATCH(W5608,W$256:W5607,0)),1,0))</f>
        <v/>
      </c>
      <c r="AA5608">
        <f>IF(Z5608&gt;Z5607,Z5608,"")</f>
        <v/>
      </c>
      <c r="AB5608">
        <f>AB5607+IF(X5608="",0,IF(ISNA(MATCH(X5608,X$256:X5607,0)),1,0))</f>
        <v/>
      </c>
      <c r="AC5608">
        <f>IF(AB5608&gt;AB5607,AB5608,"")</f>
        <v/>
      </c>
    </row>
    <row r="5609">
      <c r="W5609" s="7" t="n"/>
      <c r="X5609" s="7" t="n"/>
      <c r="Z5609">
        <f>Z5608+IF(W5609="",0,IF(ISNA(MATCH(W5609,W$256:W5608,0)),1,0))</f>
        <v/>
      </c>
      <c r="AA5609">
        <f>IF(Z5609&gt;Z5608,Z5609,"")</f>
        <v/>
      </c>
      <c r="AB5609">
        <f>AB5608+IF(X5609="",0,IF(ISNA(MATCH(X5609,X$256:X5608,0)),1,0))</f>
        <v/>
      </c>
      <c r="AC5609">
        <f>IF(AB5609&gt;AB5608,AB5609,"")</f>
        <v/>
      </c>
    </row>
    <row r="5610">
      <c r="W5610" s="7" t="n"/>
      <c r="X5610" s="7" t="n"/>
      <c r="Z5610">
        <f>Z5609+IF(W5610="",0,IF(ISNA(MATCH(W5610,W$256:W5609,0)),1,0))</f>
        <v/>
      </c>
      <c r="AA5610">
        <f>IF(Z5610&gt;Z5609,Z5610,"")</f>
        <v/>
      </c>
      <c r="AB5610">
        <f>AB5609+IF(X5610="",0,IF(ISNA(MATCH(X5610,X$256:X5609,0)),1,0))</f>
        <v/>
      </c>
      <c r="AC5610">
        <f>IF(AB5610&gt;AB5609,AB5610,"")</f>
        <v/>
      </c>
    </row>
    <row r="5611">
      <c r="W5611" s="7" t="n"/>
      <c r="X5611" s="7" t="n"/>
      <c r="Z5611">
        <f>Z5610+IF(W5611="",0,IF(ISNA(MATCH(W5611,W$256:W5610,0)),1,0))</f>
        <v/>
      </c>
      <c r="AA5611">
        <f>IF(Z5611&gt;Z5610,Z5611,"")</f>
        <v/>
      </c>
      <c r="AB5611">
        <f>AB5610+IF(X5611="",0,IF(ISNA(MATCH(X5611,X$256:X5610,0)),1,0))</f>
        <v/>
      </c>
      <c r="AC5611">
        <f>IF(AB5611&gt;AB5610,AB5611,"")</f>
        <v/>
      </c>
    </row>
    <row r="5612">
      <c r="W5612" s="7" t="n"/>
      <c r="X5612" s="7" t="n"/>
      <c r="Z5612">
        <f>Z5611+IF(W5612="",0,IF(ISNA(MATCH(W5612,W$256:W5611,0)),1,0))</f>
        <v/>
      </c>
      <c r="AA5612">
        <f>IF(Z5612&gt;Z5611,Z5612,"")</f>
        <v/>
      </c>
      <c r="AB5612">
        <f>AB5611+IF(X5612="",0,IF(ISNA(MATCH(X5612,X$256:X5611,0)),1,0))</f>
        <v/>
      </c>
      <c r="AC5612">
        <f>IF(AB5612&gt;AB5611,AB5612,"")</f>
        <v/>
      </c>
    </row>
    <row r="5613">
      <c r="W5613" s="7" t="n"/>
      <c r="X5613" s="7" t="n"/>
      <c r="Z5613">
        <f>Z5612+IF(W5613="",0,IF(ISNA(MATCH(W5613,W$256:W5612,0)),1,0))</f>
        <v/>
      </c>
      <c r="AA5613">
        <f>IF(Z5613&gt;Z5612,Z5613,"")</f>
        <v/>
      </c>
      <c r="AB5613">
        <f>AB5612+IF(X5613="",0,IF(ISNA(MATCH(X5613,X$256:X5612,0)),1,0))</f>
        <v/>
      </c>
      <c r="AC5613">
        <f>IF(AB5613&gt;AB5612,AB5613,"")</f>
        <v/>
      </c>
    </row>
    <row r="5614">
      <c r="W5614" s="7" t="n"/>
      <c r="X5614" s="7" t="n"/>
      <c r="Z5614">
        <f>Z5613+IF(W5614="",0,IF(ISNA(MATCH(W5614,W$256:W5613,0)),1,0))</f>
        <v/>
      </c>
      <c r="AA5614">
        <f>IF(Z5614&gt;Z5613,Z5614,"")</f>
        <v/>
      </c>
      <c r="AB5614">
        <f>AB5613+IF(X5614="",0,IF(ISNA(MATCH(X5614,X$256:X5613,0)),1,0))</f>
        <v/>
      </c>
      <c r="AC5614">
        <f>IF(AB5614&gt;AB5613,AB5614,"")</f>
        <v/>
      </c>
    </row>
    <row r="5615">
      <c r="W5615" s="7" t="n"/>
      <c r="X5615" s="7" t="n"/>
      <c r="Z5615">
        <f>Z5614+IF(W5615="",0,IF(ISNA(MATCH(W5615,W$256:W5614,0)),1,0))</f>
        <v/>
      </c>
      <c r="AA5615">
        <f>IF(Z5615&gt;Z5614,Z5615,"")</f>
        <v/>
      </c>
      <c r="AB5615">
        <f>AB5614+IF(X5615="",0,IF(ISNA(MATCH(X5615,X$256:X5614,0)),1,0))</f>
        <v/>
      </c>
      <c r="AC5615">
        <f>IF(AB5615&gt;AB5614,AB5615,"")</f>
        <v/>
      </c>
    </row>
    <row r="5616">
      <c r="W5616" s="7" t="n"/>
      <c r="X5616" s="7" t="n"/>
      <c r="Z5616">
        <f>Z5615+IF(W5616="",0,IF(ISNA(MATCH(W5616,W$256:W5615,0)),1,0))</f>
        <v/>
      </c>
      <c r="AA5616">
        <f>IF(Z5616&gt;Z5615,Z5616,"")</f>
        <v/>
      </c>
      <c r="AB5616">
        <f>AB5615+IF(X5616="",0,IF(ISNA(MATCH(X5616,X$256:X5615,0)),1,0))</f>
        <v/>
      </c>
      <c r="AC5616">
        <f>IF(AB5616&gt;AB5615,AB5616,"")</f>
        <v/>
      </c>
    </row>
    <row r="5617">
      <c r="W5617" s="7" t="n"/>
      <c r="X5617" s="7" t="n"/>
      <c r="Z5617">
        <f>Z5616+IF(W5617="",0,IF(ISNA(MATCH(W5617,W$256:W5616,0)),1,0))</f>
        <v/>
      </c>
      <c r="AA5617">
        <f>IF(Z5617&gt;Z5616,Z5617,"")</f>
        <v/>
      </c>
      <c r="AB5617">
        <f>AB5616+IF(X5617="",0,IF(ISNA(MATCH(X5617,X$256:X5616,0)),1,0))</f>
        <v/>
      </c>
      <c r="AC5617">
        <f>IF(AB5617&gt;AB5616,AB5617,"")</f>
        <v/>
      </c>
    </row>
    <row r="5618">
      <c r="W5618" s="7" t="n"/>
      <c r="X5618" s="7" t="n"/>
      <c r="Z5618">
        <f>Z5617+IF(W5618="",0,IF(ISNA(MATCH(W5618,W$256:W5617,0)),1,0))</f>
        <v/>
      </c>
      <c r="AA5618">
        <f>IF(Z5618&gt;Z5617,Z5618,"")</f>
        <v/>
      </c>
      <c r="AB5618">
        <f>AB5617+IF(X5618="",0,IF(ISNA(MATCH(X5618,X$256:X5617,0)),1,0))</f>
        <v/>
      </c>
      <c r="AC5618">
        <f>IF(AB5618&gt;AB5617,AB5618,"")</f>
        <v/>
      </c>
    </row>
    <row r="5619">
      <c r="W5619" s="7" t="n"/>
      <c r="X5619" s="7" t="n"/>
      <c r="Z5619">
        <f>Z5618+IF(W5619="",0,IF(ISNA(MATCH(W5619,W$256:W5618,0)),1,0))</f>
        <v/>
      </c>
      <c r="AA5619">
        <f>IF(Z5619&gt;Z5618,Z5619,"")</f>
        <v/>
      </c>
      <c r="AB5619">
        <f>AB5618+IF(X5619="",0,IF(ISNA(MATCH(X5619,X$256:X5618,0)),1,0))</f>
        <v/>
      </c>
      <c r="AC5619">
        <f>IF(AB5619&gt;AB5618,AB5619,"")</f>
        <v/>
      </c>
    </row>
    <row r="5620">
      <c r="W5620" s="7" t="n"/>
      <c r="X5620" s="7" t="n"/>
      <c r="Z5620">
        <f>Z5619+IF(W5620="",0,IF(ISNA(MATCH(W5620,W$256:W5619,0)),1,0))</f>
        <v/>
      </c>
      <c r="AA5620">
        <f>IF(Z5620&gt;Z5619,Z5620,"")</f>
        <v/>
      </c>
      <c r="AB5620">
        <f>AB5619+IF(X5620="",0,IF(ISNA(MATCH(X5620,X$256:X5619,0)),1,0))</f>
        <v/>
      </c>
      <c r="AC5620">
        <f>IF(AB5620&gt;AB5619,AB5620,"")</f>
        <v/>
      </c>
    </row>
    <row r="5621">
      <c r="W5621" s="7" t="n"/>
      <c r="X5621" s="7" t="n"/>
      <c r="Z5621">
        <f>Z5620+IF(W5621="",0,IF(ISNA(MATCH(W5621,W$256:W5620,0)),1,0))</f>
        <v/>
      </c>
      <c r="AA5621">
        <f>IF(Z5621&gt;Z5620,Z5621,"")</f>
        <v/>
      </c>
      <c r="AB5621">
        <f>AB5620+IF(X5621="",0,IF(ISNA(MATCH(X5621,X$256:X5620,0)),1,0))</f>
        <v/>
      </c>
      <c r="AC5621">
        <f>IF(AB5621&gt;AB5620,AB5621,"")</f>
        <v/>
      </c>
    </row>
    <row r="5622">
      <c r="W5622" s="7" t="n"/>
      <c r="X5622" s="7" t="n"/>
      <c r="Z5622">
        <f>Z5621+IF(W5622="",0,IF(ISNA(MATCH(W5622,W$256:W5621,0)),1,0))</f>
        <v/>
      </c>
      <c r="AA5622">
        <f>IF(Z5622&gt;Z5621,Z5622,"")</f>
        <v/>
      </c>
      <c r="AB5622">
        <f>AB5621+IF(X5622="",0,IF(ISNA(MATCH(X5622,X$256:X5621,0)),1,0))</f>
        <v/>
      </c>
      <c r="AC5622">
        <f>IF(AB5622&gt;AB5621,AB5622,"")</f>
        <v/>
      </c>
    </row>
    <row r="5623">
      <c r="W5623" s="7" t="n"/>
      <c r="X5623" s="7" t="n"/>
      <c r="Z5623">
        <f>Z5622+IF(W5623="",0,IF(ISNA(MATCH(W5623,W$256:W5622,0)),1,0))</f>
        <v/>
      </c>
      <c r="AA5623">
        <f>IF(Z5623&gt;Z5622,Z5623,"")</f>
        <v/>
      </c>
      <c r="AB5623">
        <f>AB5622+IF(X5623="",0,IF(ISNA(MATCH(X5623,X$256:X5622,0)),1,0))</f>
        <v/>
      </c>
      <c r="AC5623">
        <f>IF(AB5623&gt;AB5622,AB5623,"")</f>
        <v/>
      </c>
    </row>
    <row r="5624">
      <c r="W5624" s="7" t="n"/>
      <c r="X5624" s="7" t="n"/>
      <c r="Z5624">
        <f>Z5623+IF(W5624="",0,IF(ISNA(MATCH(W5624,W$256:W5623,0)),1,0))</f>
        <v/>
      </c>
      <c r="AA5624">
        <f>IF(Z5624&gt;Z5623,Z5624,"")</f>
        <v/>
      </c>
      <c r="AB5624">
        <f>AB5623+IF(X5624="",0,IF(ISNA(MATCH(X5624,X$256:X5623,0)),1,0))</f>
        <v/>
      </c>
      <c r="AC5624">
        <f>IF(AB5624&gt;AB5623,AB5624,"")</f>
        <v/>
      </c>
    </row>
    <row r="5625">
      <c r="W5625" s="7" t="n"/>
      <c r="X5625" s="7" t="n"/>
      <c r="Z5625">
        <f>Z5624+IF(W5625="",0,IF(ISNA(MATCH(W5625,W$256:W5624,0)),1,0))</f>
        <v/>
      </c>
      <c r="AA5625">
        <f>IF(Z5625&gt;Z5624,Z5625,"")</f>
        <v/>
      </c>
      <c r="AB5625">
        <f>AB5624+IF(X5625="",0,IF(ISNA(MATCH(X5625,X$256:X5624,0)),1,0))</f>
        <v/>
      </c>
      <c r="AC5625">
        <f>IF(AB5625&gt;AB5624,AB5625,"")</f>
        <v/>
      </c>
    </row>
    <row r="5626">
      <c r="W5626" s="7" t="n"/>
      <c r="X5626" s="7" t="n"/>
      <c r="Z5626">
        <f>Z5625+IF(W5626="",0,IF(ISNA(MATCH(W5626,W$256:W5625,0)),1,0))</f>
        <v/>
      </c>
      <c r="AA5626">
        <f>IF(Z5626&gt;Z5625,Z5626,"")</f>
        <v/>
      </c>
      <c r="AB5626">
        <f>AB5625+IF(X5626="",0,IF(ISNA(MATCH(X5626,X$256:X5625,0)),1,0))</f>
        <v/>
      </c>
      <c r="AC5626">
        <f>IF(AB5626&gt;AB5625,AB5626,"")</f>
        <v/>
      </c>
    </row>
    <row r="5627">
      <c r="W5627" s="7" t="n"/>
      <c r="X5627" s="7" t="n"/>
      <c r="Z5627">
        <f>Z5626+IF(W5627="",0,IF(ISNA(MATCH(W5627,W$256:W5626,0)),1,0))</f>
        <v/>
      </c>
      <c r="AA5627">
        <f>IF(Z5627&gt;Z5626,Z5627,"")</f>
        <v/>
      </c>
      <c r="AB5627">
        <f>AB5626+IF(X5627="",0,IF(ISNA(MATCH(X5627,X$256:X5626,0)),1,0))</f>
        <v/>
      </c>
      <c r="AC5627">
        <f>IF(AB5627&gt;AB5626,AB5627,"")</f>
        <v/>
      </c>
    </row>
    <row r="5628">
      <c r="W5628" s="7" t="n"/>
      <c r="X5628" s="7" t="n"/>
      <c r="Z5628">
        <f>Z5627+IF(W5628="",0,IF(ISNA(MATCH(W5628,W$256:W5627,0)),1,0))</f>
        <v/>
      </c>
      <c r="AA5628">
        <f>IF(Z5628&gt;Z5627,Z5628,"")</f>
        <v/>
      </c>
      <c r="AB5628">
        <f>AB5627+IF(X5628="",0,IF(ISNA(MATCH(X5628,X$256:X5627,0)),1,0))</f>
        <v/>
      </c>
      <c r="AC5628">
        <f>IF(AB5628&gt;AB5627,AB5628,"")</f>
        <v/>
      </c>
    </row>
    <row r="5629">
      <c r="W5629" s="7" t="n"/>
      <c r="X5629" s="7" t="n"/>
      <c r="Z5629">
        <f>Z5628+IF(W5629="",0,IF(ISNA(MATCH(W5629,W$256:W5628,0)),1,0))</f>
        <v/>
      </c>
      <c r="AA5629">
        <f>IF(Z5629&gt;Z5628,Z5629,"")</f>
        <v/>
      </c>
      <c r="AB5629">
        <f>AB5628+IF(X5629="",0,IF(ISNA(MATCH(X5629,X$256:X5628,0)),1,0))</f>
        <v/>
      </c>
      <c r="AC5629">
        <f>IF(AB5629&gt;AB5628,AB5629,"")</f>
        <v/>
      </c>
    </row>
    <row r="5630">
      <c r="W5630" s="7" t="n"/>
      <c r="X5630" s="7" t="n"/>
      <c r="Z5630">
        <f>Z5629+IF(W5630="",0,IF(ISNA(MATCH(W5630,W$256:W5629,0)),1,0))</f>
        <v/>
      </c>
      <c r="AA5630">
        <f>IF(Z5630&gt;Z5629,Z5630,"")</f>
        <v/>
      </c>
      <c r="AB5630">
        <f>AB5629+IF(X5630="",0,IF(ISNA(MATCH(X5630,X$256:X5629,0)),1,0))</f>
        <v/>
      </c>
      <c r="AC5630">
        <f>IF(AB5630&gt;AB5629,AB5630,"")</f>
        <v/>
      </c>
    </row>
    <row r="5631">
      <c r="W5631" s="7" t="n"/>
      <c r="X5631" s="7" t="n"/>
      <c r="Z5631">
        <f>Z5630+IF(W5631="",0,IF(ISNA(MATCH(W5631,W$256:W5630,0)),1,0))</f>
        <v/>
      </c>
      <c r="AA5631">
        <f>IF(Z5631&gt;Z5630,Z5631,"")</f>
        <v/>
      </c>
      <c r="AB5631">
        <f>AB5630+IF(X5631="",0,IF(ISNA(MATCH(X5631,X$256:X5630,0)),1,0))</f>
        <v/>
      </c>
      <c r="AC5631">
        <f>IF(AB5631&gt;AB5630,AB5631,"")</f>
        <v/>
      </c>
    </row>
    <row r="5632">
      <c r="W5632" s="7" t="n"/>
      <c r="X5632" s="7" t="n"/>
      <c r="Z5632">
        <f>Z5631+IF(W5632="",0,IF(ISNA(MATCH(W5632,W$256:W5631,0)),1,0))</f>
        <v/>
      </c>
      <c r="AA5632">
        <f>IF(Z5632&gt;Z5631,Z5632,"")</f>
        <v/>
      </c>
      <c r="AB5632">
        <f>AB5631+IF(X5632="",0,IF(ISNA(MATCH(X5632,X$256:X5631,0)),1,0))</f>
        <v/>
      </c>
      <c r="AC5632">
        <f>IF(AB5632&gt;AB5631,AB5632,"")</f>
        <v/>
      </c>
    </row>
    <row r="5633">
      <c r="W5633" s="7" t="n"/>
      <c r="X5633" s="7" t="n"/>
      <c r="Z5633">
        <f>Z5632+IF(W5633="",0,IF(ISNA(MATCH(W5633,W$256:W5632,0)),1,0))</f>
        <v/>
      </c>
      <c r="AA5633">
        <f>IF(Z5633&gt;Z5632,Z5633,"")</f>
        <v/>
      </c>
      <c r="AB5633">
        <f>AB5632+IF(X5633="",0,IF(ISNA(MATCH(X5633,X$256:X5632,0)),1,0))</f>
        <v/>
      </c>
      <c r="AC5633">
        <f>IF(AB5633&gt;AB5632,AB5633,"")</f>
        <v/>
      </c>
    </row>
    <row r="5634">
      <c r="W5634" s="7" t="n"/>
      <c r="X5634" s="7" t="n"/>
      <c r="Z5634">
        <f>Z5633+IF(W5634="",0,IF(ISNA(MATCH(W5634,W$256:W5633,0)),1,0))</f>
        <v/>
      </c>
      <c r="AA5634">
        <f>IF(Z5634&gt;Z5633,Z5634,"")</f>
        <v/>
      </c>
      <c r="AB5634">
        <f>AB5633+IF(X5634="",0,IF(ISNA(MATCH(X5634,X$256:X5633,0)),1,0))</f>
        <v/>
      </c>
      <c r="AC5634">
        <f>IF(AB5634&gt;AB5633,AB5634,"")</f>
        <v/>
      </c>
    </row>
    <row r="5635">
      <c r="W5635" s="7" t="n"/>
      <c r="X5635" s="7" t="n"/>
      <c r="Z5635">
        <f>Z5634+IF(W5635="",0,IF(ISNA(MATCH(W5635,W$256:W5634,0)),1,0))</f>
        <v/>
      </c>
      <c r="AA5635">
        <f>IF(Z5635&gt;Z5634,Z5635,"")</f>
        <v/>
      </c>
      <c r="AB5635">
        <f>AB5634+IF(X5635="",0,IF(ISNA(MATCH(X5635,X$256:X5634,0)),1,0))</f>
        <v/>
      </c>
      <c r="AC5635">
        <f>IF(AB5635&gt;AB5634,AB5635,"")</f>
        <v/>
      </c>
    </row>
    <row r="5636">
      <c r="W5636" s="7" t="n"/>
      <c r="X5636" s="7" t="n"/>
      <c r="Z5636">
        <f>Z5635+IF(W5636="",0,IF(ISNA(MATCH(W5636,W$256:W5635,0)),1,0))</f>
        <v/>
      </c>
      <c r="AA5636">
        <f>IF(Z5636&gt;Z5635,Z5636,"")</f>
        <v/>
      </c>
      <c r="AB5636">
        <f>AB5635+IF(X5636="",0,IF(ISNA(MATCH(X5636,X$256:X5635,0)),1,0))</f>
        <v/>
      </c>
      <c r="AC5636">
        <f>IF(AB5636&gt;AB5635,AB5636,"")</f>
        <v/>
      </c>
    </row>
    <row r="5637">
      <c r="W5637" s="7" t="n"/>
      <c r="X5637" s="7" t="n"/>
      <c r="Z5637">
        <f>Z5636+IF(W5637="",0,IF(ISNA(MATCH(W5637,W$256:W5636,0)),1,0))</f>
        <v/>
      </c>
      <c r="AA5637">
        <f>IF(Z5637&gt;Z5636,Z5637,"")</f>
        <v/>
      </c>
      <c r="AB5637">
        <f>AB5636+IF(X5637="",0,IF(ISNA(MATCH(X5637,X$256:X5636,0)),1,0))</f>
        <v/>
      </c>
      <c r="AC5637">
        <f>IF(AB5637&gt;AB5636,AB5637,"")</f>
        <v/>
      </c>
    </row>
    <row r="5638">
      <c r="W5638" s="7" t="n"/>
      <c r="X5638" s="7" t="n"/>
      <c r="Z5638">
        <f>Z5637+IF(W5638="",0,IF(ISNA(MATCH(W5638,W$256:W5637,0)),1,0))</f>
        <v/>
      </c>
      <c r="AA5638">
        <f>IF(Z5638&gt;Z5637,Z5638,"")</f>
        <v/>
      </c>
      <c r="AB5638">
        <f>AB5637+IF(X5638="",0,IF(ISNA(MATCH(X5638,X$256:X5637,0)),1,0))</f>
        <v/>
      </c>
      <c r="AC5638">
        <f>IF(AB5638&gt;AB5637,AB5638,"")</f>
        <v/>
      </c>
    </row>
    <row r="5639">
      <c r="W5639" s="7" t="n"/>
      <c r="X5639" s="7" t="n"/>
      <c r="Z5639">
        <f>Z5638+IF(W5639="",0,IF(ISNA(MATCH(W5639,W$256:W5638,0)),1,0))</f>
        <v/>
      </c>
      <c r="AA5639">
        <f>IF(Z5639&gt;Z5638,Z5639,"")</f>
        <v/>
      </c>
      <c r="AB5639">
        <f>AB5638+IF(X5639="",0,IF(ISNA(MATCH(X5639,X$256:X5638,0)),1,0))</f>
        <v/>
      </c>
      <c r="AC5639">
        <f>IF(AB5639&gt;AB5638,AB5639,"")</f>
        <v/>
      </c>
    </row>
    <row r="5640">
      <c r="W5640" s="7" t="n"/>
      <c r="X5640" s="7" t="n"/>
      <c r="Z5640">
        <f>Z5639+IF(W5640="",0,IF(ISNA(MATCH(W5640,W$256:W5639,0)),1,0))</f>
        <v/>
      </c>
      <c r="AA5640">
        <f>IF(Z5640&gt;Z5639,Z5640,"")</f>
        <v/>
      </c>
      <c r="AB5640">
        <f>AB5639+IF(X5640="",0,IF(ISNA(MATCH(X5640,X$256:X5639,0)),1,0))</f>
        <v/>
      </c>
      <c r="AC5640">
        <f>IF(AB5640&gt;AB5639,AB5640,"")</f>
        <v/>
      </c>
    </row>
    <row r="5641">
      <c r="W5641" s="7" t="n"/>
      <c r="X5641" s="7" t="n"/>
      <c r="Z5641">
        <f>Z5640+IF(W5641="",0,IF(ISNA(MATCH(W5641,W$256:W5640,0)),1,0))</f>
        <v/>
      </c>
      <c r="AA5641">
        <f>IF(Z5641&gt;Z5640,Z5641,"")</f>
        <v/>
      </c>
      <c r="AB5641">
        <f>AB5640+IF(X5641="",0,IF(ISNA(MATCH(X5641,X$256:X5640,0)),1,0))</f>
        <v/>
      </c>
      <c r="AC5641">
        <f>IF(AB5641&gt;AB5640,AB5641,"")</f>
        <v/>
      </c>
    </row>
    <row r="5642">
      <c r="W5642" s="7" t="n"/>
      <c r="X5642" s="7" t="n"/>
      <c r="Z5642">
        <f>Z5641+IF(W5642="",0,IF(ISNA(MATCH(W5642,W$256:W5641,0)),1,0))</f>
        <v/>
      </c>
      <c r="AA5642">
        <f>IF(Z5642&gt;Z5641,Z5642,"")</f>
        <v/>
      </c>
      <c r="AB5642">
        <f>AB5641+IF(X5642="",0,IF(ISNA(MATCH(X5642,X$256:X5641,0)),1,0))</f>
        <v/>
      </c>
      <c r="AC5642">
        <f>IF(AB5642&gt;AB5641,AB5642,"")</f>
        <v/>
      </c>
    </row>
    <row r="5643">
      <c r="W5643" s="7" t="n"/>
      <c r="X5643" s="7" t="n"/>
      <c r="Z5643">
        <f>Z5642+IF(W5643="",0,IF(ISNA(MATCH(W5643,W$256:W5642,0)),1,0))</f>
        <v/>
      </c>
      <c r="AA5643">
        <f>IF(Z5643&gt;Z5642,Z5643,"")</f>
        <v/>
      </c>
      <c r="AB5643">
        <f>AB5642+IF(X5643="",0,IF(ISNA(MATCH(X5643,X$256:X5642,0)),1,0))</f>
        <v/>
      </c>
      <c r="AC5643">
        <f>IF(AB5643&gt;AB5642,AB5643,"")</f>
        <v/>
      </c>
    </row>
    <row r="5644">
      <c r="W5644" s="7" t="n"/>
      <c r="X5644" s="7" t="n"/>
      <c r="Z5644">
        <f>Z5643+IF(W5644="",0,IF(ISNA(MATCH(W5644,W$256:W5643,0)),1,0))</f>
        <v/>
      </c>
      <c r="AA5644">
        <f>IF(Z5644&gt;Z5643,Z5644,"")</f>
        <v/>
      </c>
      <c r="AB5644">
        <f>AB5643+IF(X5644="",0,IF(ISNA(MATCH(X5644,X$256:X5643,0)),1,0))</f>
        <v/>
      </c>
      <c r="AC5644">
        <f>IF(AB5644&gt;AB5643,AB5644,"")</f>
        <v/>
      </c>
    </row>
    <row r="5645">
      <c r="W5645" s="7" t="n"/>
      <c r="X5645" s="7" t="n"/>
      <c r="Z5645">
        <f>Z5644+IF(W5645="",0,IF(ISNA(MATCH(W5645,W$256:W5644,0)),1,0))</f>
        <v/>
      </c>
      <c r="AA5645">
        <f>IF(Z5645&gt;Z5644,Z5645,"")</f>
        <v/>
      </c>
      <c r="AB5645">
        <f>AB5644+IF(X5645="",0,IF(ISNA(MATCH(X5645,X$256:X5644,0)),1,0))</f>
        <v/>
      </c>
      <c r="AC5645">
        <f>IF(AB5645&gt;AB5644,AB5645,"")</f>
        <v/>
      </c>
    </row>
    <row r="5646">
      <c r="W5646" s="7" t="n"/>
      <c r="X5646" s="7" t="n"/>
      <c r="Z5646">
        <f>Z5645+IF(W5646="",0,IF(ISNA(MATCH(W5646,W$256:W5645,0)),1,0))</f>
        <v/>
      </c>
      <c r="AA5646">
        <f>IF(Z5646&gt;Z5645,Z5646,"")</f>
        <v/>
      </c>
      <c r="AB5646">
        <f>AB5645+IF(X5646="",0,IF(ISNA(MATCH(X5646,X$256:X5645,0)),1,0))</f>
        <v/>
      </c>
      <c r="AC5646">
        <f>IF(AB5646&gt;AB5645,AB5646,"")</f>
        <v/>
      </c>
    </row>
    <row r="5647">
      <c r="W5647" s="7" t="n"/>
      <c r="X5647" s="7" t="n"/>
      <c r="Z5647">
        <f>Z5646+IF(W5647="",0,IF(ISNA(MATCH(W5647,W$256:W5646,0)),1,0))</f>
        <v/>
      </c>
      <c r="AA5647">
        <f>IF(Z5647&gt;Z5646,Z5647,"")</f>
        <v/>
      </c>
      <c r="AB5647">
        <f>AB5646+IF(X5647="",0,IF(ISNA(MATCH(X5647,X$256:X5646,0)),1,0))</f>
        <v/>
      </c>
      <c r="AC5647">
        <f>IF(AB5647&gt;AB5646,AB5647,"")</f>
        <v/>
      </c>
    </row>
    <row r="5648">
      <c r="W5648" s="7" t="n"/>
      <c r="X5648" s="7" t="n"/>
      <c r="Z5648">
        <f>Z5647+IF(W5648="",0,IF(ISNA(MATCH(W5648,W$256:W5647,0)),1,0))</f>
        <v/>
      </c>
      <c r="AA5648">
        <f>IF(Z5648&gt;Z5647,Z5648,"")</f>
        <v/>
      </c>
      <c r="AB5648">
        <f>AB5647+IF(X5648="",0,IF(ISNA(MATCH(X5648,X$256:X5647,0)),1,0))</f>
        <v/>
      </c>
      <c r="AC5648">
        <f>IF(AB5648&gt;AB5647,AB5648,"")</f>
        <v/>
      </c>
    </row>
    <row r="5649">
      <c r="W5649" s="7" t="n"/>
      <c r="X5649" s="7" t="n"/>
      <c r="Z5649">
        <f>Z5648+IF(W5649="",0,IF(ISNA(MATCH(W5649,W$256:W5648,0)),1,0))</f>
        <v/>
      </c>
      <c r="AA5649">
        <f>IF(Z5649&gt;Z5648,Z5649,"")</f>
        <v/>
      </c>
      <c r="AB5649">
        <f>AB5648+IF(X5649="",0,IF(ISNA(MATCH(X5649,X$256:X5648,0)),1,0))</f>
        <v/>
      </c>
      <c r="AC5649">
        <f>IF(AB5649&gt;AB5648,AB5649,"")</f>
        <v/>
      </c>
    </row>
    <row r="5650">
      <c r="W5650" s="7" t="n"/>
      <c r="X5650" s="7" t="n"/>
      <c r="Z5650">
        <f>Z5649+IF(W5650="",0,IF(ISNA(MATCH(W5650,W$256:W5649,0)),1,0))</f>
        <v/>
      </c>
      <c r="AA5650">
        <f>IF(Z5650&gt;Z5649,Z5650,"")</f>
        <v/>
      </c>
      <c r="AB5650">
        <f>AB5649+IF(X5650="",0,IF(ISNA(MATCH(X5650,X$256:X5649,0)),1,0))</f>
        <v/>
      </c>
      <c r="AC5650">
        <f>IF(AB5650&gt;AB5649,AB5650,"")</f>
        <v/>
      </c>
    </row>
    <row r="5651">
      <c r="W5651" s="7" t="n"/>
      <c r="X5651" s="7" t="n"/>
      <c r="Z5651">
        <f>Z5650+IF(W5651="",0,IF(ISNA(MATCH(W5651,W$256:W5650,0)),1,0))</f>
        <v/>
      </c>
      <c r="AA5651">
        <f>IF(Z5651&gt;Z5650,Z5651,"")</f>
        <v/>
      </c>
      <c r="AB5651">
        <f>AB5650+IF(X5651="",0,IF(ISNA(MATCH(X5651,X$256:X5650,0)),1,0))</f>
        <v/>
      </c>
      <c r="AC5651">
        <f>IF(AB5651&gt;AB5650,AB5651,"")</f>
        <v/>
      </c>
    </row>
    <row r="5652">
      <c r="W5652" s="7" t="n"/>
      <c r="X5652" s="7" t="n"/>
      <c r="Z5652">
        <f>Z5651+IF(W5652="",0,IF(ISNA(MATCH(W5652,W$256:W5651,0)),1,0))</f>
        <v/>
      </c>
      <c r="AA5652">
        <f>IF(Z5652&gt;Z5651,Z5652,"")</f>
        <v/>
      </c>
      <c r="AB5652">
        <f>AB5651+IF(X5652="",0,IF(ISNA(MATCH(X5652,X$256:X5651,0)),1,0))</f>
        <v/>
      </c>
      <c r="AC5652">
        <f>IF(AB5652&gt;AB5651,AB5652,"")</f>
        <v/>
      </c>
    </row>
    <row r="5653">
      <c r="W5653" s="7" t="n"/>
      <c r="X5653" s="7" t="n"/>
      <c r="Z5653">
        <f>Z5652+IF(W5653="",0,IF(ISNA(MATCH(W5653,W$256:W5652,0)),1,0))</f>
        <v/>
      </c>
      <c r="AA5653">
        <f>IF(Z5653&gt;Z5652,Z5653,"")</f>
        <v/>
      </c>
      <c r="AB5653">
        <f>AB5652+IF(X5653="",0,IF(ISNA(MATCH(X5653,X$256:X5652,0)),1,0))</f>
        <v/>
      </c>
      <c r="AC5653">
        <f>IF(AB5653&gt;AB5652,AB5653,"")</f>
        <v/>
      </c>
    </row>
    <row r="5654">
      <c r="W5654" s="7" t="n"/>
      <c r="X5654" s="7" t="n"/>
      <c r="Z5654">
        <f>Z5653+IF(W5654="",0,IF(ISNA(MATCH(W5654,W$256:W5653,0)),1,0))</f>
        <v/>
      </c>
      <c r="AA5654">
        <f>IF(Z5654&gt;Z5653,Z5654,"")</f>
        <v/>
      </c>
      <c r="AB5654">
        <f>AB5653+IF(X5654="",0,IF(ISNA(MATCH(X5654,X$256:X5653,0)),1,0))</f>
        <v/>
      </c>
      <c r="AC5654">
        <f>IF(AB5654&gt;AB5653,AB5654,"")</f>
        <v/>
      </c>
    </row>
    <row r="5655">
      <c r="W5655" s="7" t="n"/>
      <c r="X5655" s="7" t="n"/>
      <c r="Z5655">
        <f>Z5654+IF(W5655="",0,IF(ISNA(MATCH(W5655,W$256:W5654,0)),1,0))</f>
        <v/>
      </c>
      <c r="AA5655">
        <f>IF(Z5655&gt;Z5654,Z5655,"")</f>
        <v/>
      </c>
      <c r="AB5655">
        <f>AB5654+IF(X5655="",0,IF(ISNA(MATCH(X5655,X$256:X5654,0)),1,0))</f>
        <v/>
      </c>
      <c r="AC5655">
        <f>IF(AB5655&gt;AB5654,AB5655,"")</f>
        <v/>
      </c>
    </row>
    <row r="5656">
      <c r="W5656" s="7" t="n"/>
      <c r="X5656" s="7" t="n"/>
      <c r="Z5656">
        <f>Z5655+IF(W5656="",0,IF(ISNA(MATCH(W5656,W$256:W5655,0)),1,0))</f>
        <v/>
      </c>
      <c r="AA5656">
        <f>IF(Z5656&gt;Z5655,Z5656,"")</f>
        <v/>
      </c>
      <c r="AB5656">
        <f>AB5655+IF(X5656="",0,IF(ISNA(MATCH(X5656,X$256:X5655,0)),1,0))</f>
        <v/>
      </c>
      <c r="AC5656">
        <f>IF(AB5656&gt;AB5655,AB5656,"")</f>
        <v/>
      </c>
    </row>
    <row r="5657">
      <c r="W5657" s="7" t="n"/>
      <c r="X5657" s="7" t="n"/>
      <c r="Z5657">
        <f>Z5656+IF(W5657="",0,IF(ISNA(MATCH(W5657,W$256:W5656,0)),1,0))</f>
        <v/>
      </c>
      <c r="AA5657">
        <f>IF(Z5657&gt;Z5656,Z5657,"")</f>
        <v/>
      </c>
      <c r="AB5657">
        <f>AB5656+IF(X5657="",0,IF(ISNA(MATCH(X5657,X$256:X5656,0)),1,0))</f>
        <v/>
      </c>
      <c r="AC5657">
        <f>IF(AB5657&gt;AB5656,AB5657,"")</f>
        <v/>
      </c>
    </row>
    <row r="5658">
      <c r="W5658" s="7" t="n"/>
      <c r="X5658" s="7" t="n"/>
      <c r="Z5658">
        <f>Z5657+IF(W5658="",0,IF(ISNA(MATCH(W5658,W$256:W5657,0)),1,0))</f>
        <v/>
      </c>
      <c r="AA5658">
        <f>IF(Z5658&gt;Z5657,Z5658,"")</f>
        <v/>
      </c>
      <c r="AB5658">
        <f>AB5657+IF(X5658="",0,IF(ISNA(MATCH(X5658,X$256:X5657,0)),1,0))</f>
        <v/>
      </c>
      <c r="AC5658">
        <f>IF(AB5658&gt;AB5657,AB5658,"")</f>
        <v/>
      </c>
    </row>
    <row r="5659">
      <c r="W5659" s="7" t="n"/>
      <c r="X5659" s="7" t="n"/>
      <c r="Z5659">
        <f>Z5658+IF(W5659="",0,IF(ISNA(MATCH(W5659,W$256:W5658,0)),1,0))</f>
        <v/>
      </c>
      <c r="AA5659">
        <f>IF(Z5659&gt;Z5658,Z5659,"")</f>
        <v/>
      </c>
      <c r="AB5659">
        <f>AB5658+IF(X5659="",0,IF(ISNA(MATCH(X5659,X$256:X5658,0)),1,0))</f>
        <v/>
      </c>
      <c r="AC5659">
        <f>IF(AB5659&gt;AB5658,AB5659,"")</f>
        <v/>
      </c>
    </row>
    <row r="5660">
      <c r="W5660" s="7" t="n"/>
      <c r="X5660" s="7" t="n"/>
      <c r="Z5660">
        <f>Z5659+IF(W5660="",0,IF(ISNA(MATCH(W5660,W$256:W5659,0)),1,0))</f>
        <v/>
      </c>
      <c r="AA5660">
        <f>IF(Z5660&gt;Z5659,Z5660,"")</f>
        <v/>
      </c>
      <c r="AB5660">
        <f>AB5659+IF(X5660="",0,IF(ISNA(MATCH(X5660,X$256:X5659,0)),1,0))</f>
        <v/>
      </c>
      <c r="AC5660">
        <f>IF(AB5660&gt;AB5659,AB5660,"")</f>
        <v/>
      </c>
    </row>
    <row r="5661">
      <c r="W5661" s="7" t="n"/>
      <c r="X5661" s="7" t="n"/>
      <c r="Z5661">
        <f>Z5660+IF(W5661="",0,IF(ISNA(MATCH(W5661,W$256:W5660,0)),1,0))</f>
        <v/>
      </c>
      <c r="AA5661">
        <f>IF(Z5661&gt;Z5660,Z5661,"")</f>
        <v/>
      </c>
      <c r="AB5661">
        <f>AB5660+IF(X5661="",0,IF(ISNA(MATCH(X5661,X$256:X5660,0)),1,0))</f>
        <v/>
      </c>
      <c r="AC5661">
        <f>IF(AB5661&gt;AB5660,AB5661,"")</f>
        <v/>
      </c>
    </row>
    <row r="5662">
      <c r="W5662" s="7" t="n"/>
      <c r="X5662" s="7" t="n"/>
      <c r="Z5662">
        <f>Z5661+IF(W5662="",0,IF(ISNA(MATCH(W5662,W$256:W5661,0)),1,0))</f>
        <v/>
      </c>
      <c r="AA5662">
        <f>IF(Z5662&gt;Z5661,Z5662,"")</f>
        <v/>
      </c>
      <c r="AB5662">
        <f>AB5661+IF(X5662="",0,IF(ISNA(MATCH(X5662,X$256:X5661,0)),1,0))</f>
        <v/>
      </c>
      <c r="AC5662">
        <f>IF(AB5662&gt;AB5661,AB5662,"")</f>
        <v/>
      </c>
    </row>
    <row r="5663">
      <c r="W5663" s="7" t="n"/>
      <c r="X5663" s="7" t="n"/>
      <c r="Z5663">
        <f>Z5662+IF(W5663="",0,IF(ISNA(MATCH(W5663,W$256:W5662,0)),1,0))</f>
        <v/>
      </c>
      <c r="AA5663">
        <f>IF(Z5663&gt;Z5662,Z5663,"")</f>
        <v/>
      </c>
      <c r="AB5663">
        <f>AB5662+IF(X5663="",0,IF(ISNA(MATCH(X5663,X$256:X5662,0)),1,0))</f>
        <v/>
      </c>
      <c r="AC5663">
        <f>IF(AB5663&gt;AB5662,AB5663,"")</f>
        <v/>
      </c>
    </row>
    <row r="5664">
      <c r="W5664" s="7" t="n"/>
      <c r="X5664" s="7" t="n"/>
      <c r="Z5664">
        <f>Z5663+IF(W5664="",0,IF(ISNA(MATCH(W5664,W$256:W5663,0)),1,0))</f>
        <v/>
      </c>
      <c r="AA5664">
        <f>IF(Z5664&gt;Z5663,Z5664,"")</f>
        <v/>
      </c>
      <c r="AB5664">
        <f>AB5663+IF(X5664="",0,IF(ISNA(MATCH(X5664,X$256:X5663,0)),1,0))</f>
        <v/>
      </c>
      <c r="AC5664">
        <f>IF(AB5664&gt;AB5663,AB5664,"")</f>
        <v/>
      </c>
    </row>
    <row r="5665">
      <c r="W5665" s="7" t="n"/>
      <c r="X5665" s="7" t="n"/>
      <c r="Z5665">
        <f>Z5664+IF(W5665="",0,IF(ISNA(MATCH(W5665,W$256:W5664,0)),1,0))</f>
        <v/>
      </c>
      <c r="AA5665">
        <f>IF(Z5665&gt;Z5664,Z5665,"")</f>
        <v/>
      </c>
      <c r="AB5665">
        <f>AB5664+IF(X5665="",0,IF(ISNA(MATCH(X5665,X$256:X5664,0)),1,0))</f>
        <v/>
      </c>
      <c r="AC5665">
        <f>IF(AB5665&gt;AB5664,AB5665,"")</f>
        <v/>
      </c>
    </row>
    <row r="5666">
      <c r="W5666" s="7" t="n"/>
      <c r="X5666" s="7" t="n"/>
      <c r="Z5666">
        <f>Z5665+IF(W5666="",0,IF(ISNA(MATCH(W5666,W$256:W5665,0)),1,0))</f>
        <v/>
      </c>
      <c r="AA5666">
        <f>IF(Z5666&gt;Z5665,Z5666,"")</f>
        <v/>
      </c>
      <c r="AB5666">
        <f>AB5665+IF(X5666="",0,IF(ISNA(MATCH(X5666,X$256:X5665,0)),1,0))</f>
        <v/>
      </c>
      <c r="AC5666">
        <f>IF(AB5666&gt;AB5665,AB5666,"")</f>
        <v/>
      </c>
    </row>
    <row r="5667">
      <c r="W5667" s="7" t="n"/>
      <c r="X5667" s="7" t="n"/>
      <c r="Z5667">
        <f>Z5666+IF(W5667="",0,IF(ISNA(MATCH(W5667,W$256:W5666,0)),1,0))</f>
        <v/>
      </c>
      <c r="AA5667">
        <f>IF(Z5667&gt;Z5666,Z5667,"")</f>
        <v/>
      </c>
      <c r="AB5667">
        <f>AB5666+IF(X5667="",0,IF(ISNA(MATCH(X5667,X$256:X5666,0)),1,0))</f>
        <v/>
      </c>
      <c r="AC5667">
        <f>IF(AB5667&gt;AB5666,AB5667,"")</f>
        <v/>
      </c>
    </row>
    <row r="5668">
      <c r="W5668" s="7" t="n"/>
      <c r="X5668" s="7" t="n"/>
      <c r="Z5668">
        <f>Z5667+IF(W5668="",0,IF(ISNA(MATCH(W5668,W$256:W5667,0)),1,0))</f>
        <v/>
      </c>
      <c r="AA5668">
        <f>IF(Z5668&gt;Z5667,Z5668,"")</f>
        <v/>
      </c>
      <c r="AB5668">
        <f>AB5667+IF(X5668="",0,IF(ISNA(MATCH(X5668,X$256:X5667,0)),1,0))</f>
        <v/>
      </c>
      <c r="AC5668">
        <f>IF(AB5668&gt;AB5667,AB5668,"")</f>
        <v/>
      </c>
    </row>
    <row r="5669">
      <c r="W5669" s="7" t="n"/>
      <c r="X5669" s="7" t="n"/>
      <c r="Z5669">
        <f>Z5668+IF(W5669="",0,IF(ISNA(MATCH(W5669,W$256:W5668,0)),1,0))</f>
        <v/>
      </c>
      <c r="AA5669">
        <f>IF(Z5669&gt;Z5668,Z5669,"")</f>
        <v/>
      </c>
      <c r="AB5669">
        <f>AB5668+IF(X5669="",0,IF(ISNA(MATCH(X5669,X$256:X5668,0)),1,0))</f>
        <v/>
      </c>
      <c r="AC5669">
        <f>IF(AB5669&gt;AB5668,AB5669,"")</f>
        <v/>
      </c>
    </row>
    <row r="5670">
      <c r="W5670" s="7" t="n"/>
      <c r="X5670" s="7" t="n"/>
      <c r="Z5670">
        <f>Z5669+IF(W5670="",0,IF(ISNA(MATCH(W5670,W$256:W5669,0)),1,0))</f>
        <v/>
      </c>
      <c r="AA5670">
        <f>IF(Z5670&gt;Z5669,Z5670,"")</f>
        <v/>
      </c>
      <c r="AB5670">
        <f>AB5669+IF(X5670="",0,IF(ISNA(MATCH(X5670,X$256:X5669,0)),1,0))</f>
        <v/>
      </c>
      <c r="AC5670">
        <f>IF(AB5670&gt;AB5669,AB5670,"")</f>
        <v/>
      </c>
    </row>
    <row r="5671">
      <c r="W5671" s="7" t="n"/>
      <c r="X5671" s="7" t="n"/>
      <c r="Z5671">
        <f>Z5670+IF(W5671="",0,IF(ISNA(MATCH(W5671,W$256:W5670,0)),1,0))</f>
        <v/>
      </c>
      <c r="AA5671">
        <f>IF(Z5671&gt;Z5670,Z5671,"")</f>
        <v/>
      </c>
      <c r="AB5671">
        <f>AB5670+IF(X5671="",0,IF(ISNA(MATCH(X5671,X$256:X5670,0)),1,0))</f>
        <v/>
      </c>
      <c r="AC5671">
        <f>IF(AB5671&gt;AB5670,AB5671,"")</f>
        <v/>
      </c>
    </row>
    <row r="5672">
      <c r="W5672" s="7" t="n"/>
      <c r="X5672" s="7" t="n"/>
      <c r="Z5672">
        <f>Z5671+IF(W5672="",0,IF(ISNA(MATCH(W5672,W$256:W5671,0)),1,0))</f>
        <v/>
      </c>
      <c r="AA5672">
        <f>IF(Z5672&gt;Z5671,Z5672,"")</f>
        <v/>
      </c>
      <c r="AB5672">
        <f>AB5671+IF(X5672="",0,IF(ISNA(MATCH(X5672,X$256:X5671,0)),1,0))</f>
        <v/>
      </c>
      <c r="AC5672">
        <f>IF(AB5672&gt;AB5671,AB5672,"")</f>
        <v/>
      </c>
    </row>
    <row r="5673">
      <c r="W5673" s="7" t="n"/>
      <c r="X5673" s="7" t="n"/>
      <c r="Z5673">
        <f>Z5672+IF(W5673="",0,IF(ISNA(MATCH(W5673,W$256:W5672,0)),1,0))</f>
        <v/>
      </c>
      <c r="AA5673">
        <f>IF(Z5673&gt;Z5672,Z5673,"")</f>
        <v/>
      </c>
      <c r="AB5673">
        <f>AB5672+IF(X5673="",0,IF(ISNA(MATCH(X5673,X$256:X5672,0)),1,0))</f>
        <v/>
      </c>
      <c r="AC5673">
        <f>IF(AB5673&gt;AB5672,AB5673,"")</f>
        <v/>
      </c>
    </row>
    <row r="5674">
      <c r="W5674" s="7" t="n"/>
      <c r="X5674" s="7" t="n"/>
      <c r="Z5674">
        <f>Z5673+IF(W5674="",0,IF(ISNA(MATCH(W5674,W$256:W5673,0)),1,0))</f>
        <v/>
      </c>
      <c r="AA5674">
        <f>IF(Z5674&gt;Z5673,Z5674,"")</f>
        <v/>
      </c>
      <c r="AB5674">
        <f>AB5673+IF(X5674="",0,IF(ISNA(MATCH(X5674,X$256:X5673,0)),1,0))</f>
        <v/>
      </c>
      <c r="AC5674">
        <f>IF(AB5674&gt;AB5673,AB5674,"")</f>
        <v/>
      </c>
    </row>
    <row r="5675">
      <c r="W5675" s="7" t="n"/>
      <c r="X5675" s="7" t="n"/>
      <c r="Z5675">
        <f>Z5674+IF(W5675="",0,IF(ISNA(MATCH(W5675,W$256:W5674,0)),1,0))</f>
        <v/>
      </c>
      <c r="AA5675">
        <f>IF(Z5675&gt;Z5674,Z5675,"")</f>
        <v/>
      </c>
      <c r="AB5675">
        <f>AB5674+IF(X5675="",0,IF(ISNA(MATCH(X5675,X$256:X5674,0)),1,0))</f>
        <v/>
      </c>
      <c r="AC5675">
        <f>IF(AB5675&gt;AB5674,AB5675,"")</f>
        <v/>
      </c>
    </row>
    <row r="5676">
      <c r="W5676" s="7" t="n"/>
      <c r="X5676" s="7" t="n"/>
      <c r="Z5676">
        <f>Z5675+IF(W5676="",0,IF(ISNA(MATCH(W5676,W$256:W5675,0)),1,0))</f>
        <v/>
      </c>
      <c r="AA5676">
        <f>IF(Z5676&gt;Z5675,Z5676,"")</f>
        <v/>
      </c>
      <c r="AB5676">
        <f>AB5675+IF(X5676="",0,IF(ISNA(MATCH(X5676,X$256:X5675,0)),1,0))</f>
        <v/>
      </c>
      <c r="AC5676">
        <f>IF(AB5676&gt;AB5675,AB5676,"")</f>
        <v/>
      </c>
    </row>
    <row r="5677">
      <c r="W5677" s="7" t="n"/>
      <c r="X5677" s="7" t="n"/>
      <c r="Z5677">
        <f>Z5676+IF(W5677="",0,IF(ISNA(MATCH(W5677,W$256:W5676,0)),1,0))</f>
        <v/>
      </c>
      <c r="AA5677">
        <f>IF(Z5677&gt;Z5676,Z5677,"")</f>
        <v/>
      </c>
      <c r="AB5677">
        <f>AB5676+IF(X5677="",0,IF(ISNA(MATCH(X5677,X$256:X5676,0)),1,0))</f>
        <v/>
      </c>
      <c r="AC5677">
        <f>IF(AB5677&gt;AB5676,AB5677,"")</f>
        <v/>
      </c>
    </row>
    <row r="5678">
      <c r="W5678" s="7" t="n"/>
      <c r="X5678" s="7" t="n"/>
      <c r="Z5678">
        <f>Z5677+IF(W5678="",0,IF(ISNA(MATCH(W5678,W$256:W5677,0)),1,0))</f>
        <v/>
      </c>
      <c r="AA5678">
        <f>IF(Z5678&gt;Z5677,Z5678,"")</f>
        <v/>
      </c>
      <c r="AB5678">
        <f>AB5677+IF(X5678="",0,IF(ISNA(MATCH(X5678,X$256:X5677,0)),1,0))</f>
        <v/>
      </c>
      <c r="AC5678">
        <f>IF(AB5678&gt;AB5677,AB5678,"")</f>
        <v/>
      </c>
    </row>
    <row r="5679">
      <c r="W5679" s="7" t="n"/>
      <c r="X5679" s="7" t="n"/>
      <c r="Z5679">
        <f>Z5678+IF(W5679="",0,IF(ISNA(MATCH(W5679,W$256:W5678,0)),1,0))</f>
        <v/>
      </c>
      <c r="AA5679">
        <f>IF(Z5679&gt;Z5678,Z5679,"")</f>
        <v/>
      </c>
      <c r="AB5679">
        <f>AB5678+IF(X5679="",0,IF(ISNA(MATCH(X5679,X$256:X5678,0)),1,0))</f>
        <v/>
      </c>
      <c r="AC5679">
        <f>IF(AB5679&gt;AB5678,AB5679,"")</f>
        <v/>
      </c>
    </row>
    <row r="5680">
      <c r="W5680" s="7" t="n"/>
      <c r="X5680" s="7" t="n"/>
      <c r="Z5680">
        <f>Z5679+IF(W5680="",0,IF(ISNA(MATCH(W5680,W$256:W5679,0)),1,0))</f>
        <v/>
      </c>
      <c r="AA5680">
        <f>IF(Z5680&gt;Z5679,Z5680,"")</f>
        <v/>
      </c>
      <c r="AB5680">
        <f>AB5679+IF(X5680="",0,IF(ISNA(MATCH(X5680,X$256:X5679,0)),1,0))</f>
        <v/>
      </c>
      <c r="AC5680">
        <f>IF(AB5680&gt;AB5679,AB5680,"")</f>
        <v/>
      </c>
    </row>
    <row r="5681">
      <c r="W5681" s="7" t="n"/>
      <c r="X5681" s="7" t="n"/>
      <c r="Z5681">
        <f>Z5680+IF(W5681="",0,IF(ISNA(MATCH(W5681,W$256:W5680,0)),1,0))</f>
        <v/>
      </c>
      <c r="AA5681">
        <f>IF(Z5681&gt;Z5680,Z5681,"")</f>
        <v/>
      </c>
      <c r="AB5681">
        <f>AB5680+IF(X5681="",0,IF(ISNA(MATCH(X5681,X$256:X5680,0)),1,0))</f>
        <v/>
      </c>
      <c r="AC5681">
        <f>IF(AB5681&gt;AB5680,AB5681,"")</f>
        <v/>
      </c>
    </row>
    <row r="5682">
      <c r="W5682" s="7" t="n"/>
      <c r="X5682" s="7" t="n"/>
      <c r="Z5682">
        <f>Z5681+IF(W5682="",0,IF(ISNA(MATCH(W5682,W$256:W5681,0)),1,0))</f>
        <v/>
      </c>
      <c r="AA5682">
        <f>IF(Z5682&gt;Z5681,Z5682,"")</f>
        <v/>
      </c>
      <c r="AB5682">
        <f>AB5681+IF(X5682="",0,IF(ISNA(MATCH(X5682,X$256:X5681,0)),1,0))</f>
        <v/>
      </c>
      <c r="AC5682">
        <f>IF(AB5682&gt;AB5681,AB5682,"")</f>
        <v/>
      </c>
    </row>
    <row r="5683">
      <c r="W5683" s="7" t="n"/>
      <c r="X5683" s="7" t="n"/>
      <c r="Z5683">
        <f>Z5682+IF(W5683="",0,IF(ISNA(MATCH(W5683,W$256:W5682,0)),1,0))</f>
        <v/>
      </c>
      <c r="AA5683">
        <f>IF(Z5683&gt;Z5682,Z5683,"")</f>
        <v/>
      </c>
      <c r="AB5683">
        <f>AB5682+IF(X5683="",0,IF(ISNA(MATCH(X5683,X$256:X5682,0)),1,0))</f>
        <v/>
      </c>
      <c r="AC5683">
        <f>IF(AB5683&gt;AB5682,AB5683,"")</f>
        <v/>
      </c>
    </row>
    <row r="5684">
      <c r="W5684" s="7" t="n"/>
      <c r="X5684" s="7" t="n"/>
      <c r="Z5684">
        <f>Z5683+IF(W5684="",0,IF(ISNA(MATCH(W5684,W$256:W5683,0)),1,0))</f>
        <v/>
      </c>
      <c r="AA5684">
        <f>IF(Z5684&gt;Z5683,Z5684,"")</f>
        <v/>
      </c>
      <c r="AB5684">
        <f>AB5683+IF(X5684="",0,IF(ISNA(MATCH(X5684,X$256:X5683,0)),1,0))</f>
        <v/>
      </c>
      <c r="AC5684">
        <f>IF(AB5684&gt;AB5683,AB5684,"")</f>
        <v/>
      </c>
    </row>
    <row r="5685">
      <c r="W5685" s="7" t="n"/>
      <c r="X5685" s="7" t="n"/>
      <c r="Z5685">
        <f>Z5684+IF(W5685="",0,IF(ISNA(MATCH(W5685,W$256:W5684,0)),1,0))</f>
        <v/>
      </c>
      <c r="AA5685">
        <f>IF(Z5685&gt;Z5684,Z5685,"")</f>
        <v/>
      </c>
      <c r="AB5685">
        <f>AB5684+IF(X5685="",0,IF(ISNA(MATCH(X5685,X$256:X5684,0)),1,0))</f>
        <v/>
      </c>
      <c r="AC5685">
        <f>IF(AB5685&gt;AB5684,AB5685,"")</f>
        <v/>
      </c>
    </row>
    <row r="5686">
      <c r="W5686" s="7" t="n"/>
      <c r="X5686" s="7" t="n"/>
      <c r="Z5686">
        <f>Z5685+IF(W5686="",0,IF(ISNA(MATCH(W5686,W$256:W5685,0)),1,0))</f>
        <v/>
      </c>
      <c r="AA5686">
        <f>IF(Z5686&gt;Z5685,Z5686,"")</f>
        <v/>
      </c>
      <c r="AB5686">
        <f>AB5685+IF(X5686="",0,IF(ISNA(MATCH(X5686,X$256:X5685,0)),1,0))</f>
        <v/>
      </c>
      <c r="AC5686">
        <f>IF(AB5686&gt;AB5685,AB5686,"")</f>
        <v/>
      </c>
    </row>
    <row r="5687">
      <c r="W5687" s="7" t="n"/>
      <c r="X5687" s="7" t="n"/>
      <c r="Z5687">
        <f>Z5686+IF(W5687="",0,IF(ISNA(MATCH(W5687,W$256:W5686,0)),1,0))</f>
        <v/>
      </c>
      <c r="AA5687">
        <f>IF(Z5687&gt;Z5686,Z5687,"")</f>
        <v/>
      </c>
      <c r="AB5687">
        <f>AB5686+IF(X5687="",0,IF(ISNA(MATCH(X5687,X$256:X5686,0)),1,0))</f>
        <v/>
      </c>
      <c r="AC5687">
        <f>IF(AB5687&gt;AB5686,AB5687,"")</f>
        <v/>
      </c>
    </row>
    <row r="5688">
      <c r="W5688" s="7" t="n"/>
      <c r="X5688" s="7" t="n"/>
      <c r="Z5688">
        <f>Z5687+IF(W5688="",0,IF(ISNA(MATCH(W5688,W$256:W5687,0)),1,0))</f>
        <v/>
      </c>
      <c r="AA5688">
        <f>IF(Z5688&gt;Z5687,Z5688,"")</f>
        <v/>
      </c>
      <c r="AB5688">
        <f>AB5687+IF(X5688="",0,IF(ISNA(MATCH(X5688,X$256:X5687,0)),1,0))</f>
        <v/>
      </c>
      <c r="AC5688">
        <f>IF(AB5688&gt;AB5687,AB5688,"")</f>
        <v/>
      </c>
    </row>
    <row r="5689">
      <c r="W5689" s="7" t="n"/>
      <c r="X5689" s="7" t="n"/>
      <c r="Z5689">
        <f>Z5688+IF(W5689="",0,IF(ISNA(MATCH(W5689,W$256:W5688,0)),1,0))</f>
        <v/>
      </c>
      <c r="AA5689">
        <f>IF(Z5689&gt;Z5688,Z5689,"")</f>
        <v/>
      </c>
      <c r="AB5689">
        <f>AB5688+IF(X5689="",0,IF(ISNA(MATCH(X5689,X$256:X5688,0)),1,0))</f>
        <v/>
      </c>
      <c r="AC5689">
        <f>IF(AB5689&gt;AB5688,AB5689,"")</f>
        <v/>
      </c>
    </row>
    <row r="5690">
      <c r="W5690" s="7" t="n"/>
      <c r="X5690" s="7" t="n"/>
      <c r="Z5690">
        <f>Z5689+IF(W5690="",0,IF(ISNA(MATCH(W5690,W$256:W5689,0)),1,0))</f>
        <v/>
      </c>
      <c r="AA5690">
        <f>IF(Z5690&gt;Z5689,Z5690,"")</f>
        <v/>
      </c>
      <c r="AB5690">
        <f>AB5689+IF(X5690="",0,IF(ISNA(MATCH(X5690,X$256:X5689,0)),1,0))</f>
        <v/>
      </c>
      <c r="AC5690">
        <f>IF(AB5690&gt;AB5689,AB5690,"")</f>
        <v/>
      </c>
    </row>
    <row r="5691">
      <c r="W5691" s="7" t="n"/>
      <c r="X5691" s="7" t="n"/>
      <c r="Z5691">
        <f>Z5690+IF(W5691="",0,IF(ISNA(MATCH(W5691,W$256:W5690,0)),1,0))</f>
        <v/>
      </c>
      <c r="AA5691">
        <f>IF(Z5691&gt;Z5690,Z5691,"")</f>
        <v/>
      </c>
      <c r="AB5691">
        <f>AB5690+IF(X5691="",0,IF(ISNA(MATCH(X5691,X$256:X5690,0)),1,0))</f>
        <v/>
      </c>
      <c r="AC5691">
        <f>IF(AB5691&gt;AB5690,AB5691,"")</f>
        <v/>
      </c>
    </row>
    <row r="5692">
      <c r="W5692" s="7" t="n"/>
      <c r="X5692" s="7" t="n"/>
      <c r="Z5692">
        <f>Z5691+IF(W5692="",0,IF(ISNA(MATCH(W5692,W$256:W5691,0)),1,0))</f>
        <v/>
      </c>
      <c r="AA5692">
        <f>IF(Z5692&gt;Z5691,Z5692,"")</f>
        <v/>
      </c>
      <c r="AB5692">
        <f>AB5691+IF(X5692="",0,IF(ISNA(MATCH(X5692,X$256:X5691,0)),1,0))</f>
        <v/>
      </c>
      <c r="AC5692">
        <f>IF(AB5692&gt;AB5691,AB5692,"")</f>
        <v/>
      </c>
    </row>
    <row r="5693">
      <c r="W5693" s="7" t="n"/>
      <c r="X5693" s="7" t="n"/>
      <c r="Z5693">
        <f>Z5692+IF(W5693="",0,IF(ISNA(MATCH(W5693,W$256:W5692,0)),1,0))</f>
        <v/>
      </c>
      <c r="AA5693">
        <f>IF(Z5693&gt;Z5692,Z5693,"")</f>
        <v/>
      </c>
      <c r="AB5693">
        <f>AB5692+IF(X5693="",0,IF(ISNA(MATCH(X5693,X$256:X5692,0)),1,0))</f>
        <v/>
      </c>
      <c r="AC5693">
        <f>IF(AB5693&gt;AB5692,AB5693,"")</f>
        <v/>
      </c>
    </row>
    <row r="5694">
      <c r="W5694" s="7" t="n"/>
      <c r="X5694" s="7" t="n"/>
      <c r="Z5694">
        <f>Z5693+IF(W5694="",0,IF(ISNA(MATCH(W5694,W$256:W5693,0)),1,0))</f>
        <v/>
      </c>
      <c r="AA5694">
        <f>IF(Z5694&gt;Z5693,Z5694,"")</f>
        <v/>
      </c>
      <c r="AB5694">
        <f>AB5693+IF(X5694="",0,IF(ISNA(MATCH(X5694,X$256:X5693,0)),1,0))</f>
        <v/>
      </c>
      <c r="AC5694">
        <f>IF(AB5694&gt;AB5693,AB5694,"")</f>
        <v/>
      </c>
    </row>
    <row r="5695">
      <c r="W5695" s="7" t="n"/>
      <c r="X5695" s="7" t="n"/>
      <c r="Z5695">
        <f>Z5694+IF(W5695="",0,IF(ISNA(MATCH(W5695,W$256:W5694,0)),1,0))</f>
        <v/>
      </c>
      <c r="AA5695">
        <f>IF(Z5695&gt;Z5694,Z5695,"")</f>
        <v/>
      </c>
      <c r="AB5695">
        <f>AB5694+IF(X5695="",0,IF(ISNA(MATCH(X5695,X$256:X5694,0)),1,0))</f>
        <v/>
      </c>
      <c r="AC5695">
        <f>IF(AB5695&gt;AB5694,AB5695,"")</f>
        <v/>
      </c>
    </row>
    <row r="5696">
      <c r="W5696" s="7" t="n"/>
      <c r="X5696" s="7" t="n"/>
      <c r="Z5696">
        <f>Z5695+IF(W5696="",0,IF(ISNA(MATCH(W5696,W$256:W5695,0)),1,0))</f>
        <v/>
      </c>
      <c r="AA5696">
        <f>IF(Z5696&gt;Z5695,Z5696,"")</f>
        <v/>
      </c>
      <c r="AB5696">
        <f>AB5695+IF(X5696="",0,IF(ISNA(MATCH(X5696,X$256:X5695,0)),1,0))</f>
        <v/>
      </c>
      <c r="AC5696">
        <f>IF(AB5696&gt;AB5695,AB5696,"")</f>
        <v/>
      </c>
    </row>
    <row r="5697">
      <c r="W5697" s="7" t="n"/>
      <c r="X5697" s="7" t="n"/>
      <c r="Z5697">
        <f>Z5696+IF(W5697="",0,IF(ISNA(MATCH(W5697,W$256:W5696,0)),1,0))</f>
        <v/>
      </c>
      <c r="AA5697">
        <f>IF(Z5697&gt;Z5696,Z5697,"")</f>
        <v/>
      </c>
      <c r="AB5697">
        <f>AB5696+IF(X5697="",0,IF(ISNA(MATCH(X5697,X$256:X5696,0)),1,0))</f>
        <v/>
      </c>
      <c r="AC5697">
        <f>IF(AB5697&gt;AB5696,AB5697,"")</f>
        <v/>
      </c>
    </row>
    <row r="5698">
      <c r="W5698" s="7" t="n"/>
      <c r="X5698" s="7" t="n"/>
      <c r="Z5698">
        <f>Z5697+IF(W5698="",0,IF(ISNA(MATCH(W5698,W$256:W5697,0)),1,0))</f>
        <v/>
      </c>
      <c r="AA5698">
        <f>IF(Z5698&gt;Z5697,Z5698,"")</f>
        <v/>
      </c>
      <c r="AB5698">
        <f>AB5697+IF(X5698="",0,IF(ISNA(MATCH(X5698,X$256:X5697,0)),1,0))</f>
        <v/>
      </c>
      <c r="AC5698">
        <f>IF(AB5698&gt;AB5697,AB5698,"")</f>
        <v/>
      </c>
    </row>
    <row r="5699">
      <c r="W5699" s="7" t="n"/>
      <c r="X5699" s="7" t="n"/>
      <c r="Z5699">
        <f>Z5698+IF(W5699="",0,IF(ISNA(MATCH(W5699,W$256:W5698,0)),1,0))</f>
        <v/>
      </c>
      <c r="AA5699">
        <f>IF(Z5699&gt;Z5698,Z5699,"")</f>
        <v/>
      </c>
      <c r="AB5699">
        <f>AB5698+IF(X5699="",0,IF(ISNA(MATCH(X5699,X$256:X5698,0)),1,0))</f>
        <v/>
      </c>
      <c r="AC5699">
        <f>IF(AB5699&gt;AB5698,AB5699,"")</f>
        <v/>
      </c>
    </row>
    <row r="5700">
      <c r="W5700" s="7" t="n"/>
      <c r="X5700" s="7" t="n"/>
      <c r="Z5700">
        <f>Z5699+IF(W5700="",0,IF(ISNA(MATCH(W5700,W$256:W5699,0)),1,0))</f>
        <v/>
      </c>
      <c r="AA5700">
        <f>IF(Z5700&gt;Z5699,Z5700,"")</f>
        <v/>
      </c>
      <c r="AB5700">
        <f>AB5699+IF(X5700="",0,IF(ISNA(MATCH(X5700,X$256:X5699,0)),1,0))</f>
        <v/>
      </c>
      <c r="AC5700">
        <f>IF(AB5700&gt;AB5699,AB5700,"")</f>
        <v/>
      </c>
    </row>
    <row r="5701">
      <c r="W5701" s="7" t="n"/>
      <c r="X5701" s="7" t="n"/>
      <c r="Z5701">
        <f>Z5700+IF(W5701="",0,IF(ISNA(MATCH(W5701,W$256:W5700,0)),1,0))</f>
        <v/>
      </c>
      <c r="AA5701">
        <f>IF(Z5701&gt;Z5700,Z5701,"")</f>
        <v/>
      </c>
      <c r="AB5701">
        <f>AB5700+IF(X5701="",0,IF(ISNA(MATCH(X5701,X$256:X5700,0)),1,0))</f>
        <v/>
      </c>
      <c r="AC5701">
        <f>IF(AB5701&gt;AB5700,AB5701,"")</f>
        <v/>
      </c>
    </row>
    <row r="5702">
      <c r="W5702" s="7" t="n"/>
      <c r="X5702" s="7" t="n"/>
      <c r="Z5702">
        <f>Z5701+IF(W5702="",0,IF(ISNA(MATCH(W5702,W$256:W5701,0)),1,0))</f>
        <v/>
      </c>
      <c r="AA5702">
        <f>IF(Z5702&gt;Z5701,Z5702,"")</f>
        <v/>
      </c>
      <c r="AB5702">
        <f>AB5701+IF(X5702="",0,IF(ISNA(MATCH(X5702,X$256:X5701,0)),1,0))</f>
        <v/>
      </c>
      <c r="AC5702">
        <f>IF(AB5702&gt;AB5701,AB5702,"")</f>
        <v/>
      </c>
    </row>
    <row r="5703">
      <c r="W5703" s="7" t="n"/>
      <c r="X5703" s="7" t="n"/>
      <c r="Z5703">
        <f>Z5702+IF(W5703="",0,IF(ISNA(MATCH(W5703,W$256:W5702,0)),1,0))</f>
        <v/>
      </c>
      <c r="AA5703">
        <f>IF(Z5703&gt;Z5702,Z5703,"")</f>
        <v/>
      </c>
      <c r="AB5703">
        <f>AB5702+IF(X5703="",0,IF(ISNA(MATCH(X5703,X$256:X5702,0)),1,0))</f>
        <v/>
      </c>
      <c r="AC5703">
        <f>IF(AB5703&gt;AB5702,AB5703,"")</f>
        <v/>
      </c>
    </row>
    <row r="5704">
      <c r="W5704" s="7" t="n"/>
      <c r="X5704" s="7" t="n"/>
      <c r="Z5704">
        <f>Z5703+IF(W5704="",0,IF(ISNA(MATCH(W5704,W$256:W5703,0)),1,0))</f>
        <v/>
      </c>
      <c r="AA5704">
        <f>IF(Z5704&gt;Z5703,Z5704,"")</f>
        <v/>
      </c>
      <c r="AB5704">
        <f>AB5703+IF(X5704="",0,IF(ISNA(MATCH(X5704,X$256:X5703,0)),1,0))</f>
        <v/>
      </c>
      <c r="AC5704">
        <f>IF(AB5704&gt;AB5703,AB5704,"")</f>
        <v/>
      </c>
    </row>
    <row r="5705">
      <c r="W5705" s="7" t="n"/>
      <c r="X5705" s="7" t="n"/>
      <c r="Z5705">
        <f>Z5704+IF(W5705="",0,IF(ISNA(MATCH(W5705,W$256:W5704,0)),1,0))</f>
        <v/>
      </c>
      <c r="AA5705">
        <f>IF(Z5705&gt;Z5704,Z5705,"")</f>
        <v/>
      </c>
      <c r="AB5705">
        <f>AB5704+IF(X5705="",0,IF(ISNA(MATCH(X5705,X$256:X5704,0)),1,0))</f>
        <v/>
      </c>
      <c r="AC5705">
        <f>IF(AB5705&gt;AB5704,AB5705,"")</f>
        <v/>
      </c>
    </row>
    <row r="5706">
      <c r="W5706" s="7" t="n"/>
      <c r="X5706" s="7" t="n"/>
      <c r="Z5706">
        <f>Z5705+IF(W5706="",0,IF(ISNA(MATCH(W5706,W$256:W5705,0)),1,0))</f>
        <v/>
      </c>
      <c r="AA5706">
        <f>IF(Z5706&gt;Z5705,Z5706,"")</f>
        <v/>
      </c>
      <c r="AB5706">
        <f>AB5705+IF(X5706="",0,IF(ISNA(MATCH(X5706,X$256:X5705,0)),1,0))</f>
        <v/>
      </c>
      <c r="AC5706">
        <f>IF(AB5706&gt;AB5705,AB5706,"")</f>
        <v/>
      </c>
    </row>
    <row r="5707">
      <c r="W5707" s="7" t="n"/>
      <c r="X5707" s="7" t="n"/>
      <c r="Z5707">
        <f>Z5706+IF(W5707="",0,IF(ISNA(MATCH(W5707,W$256:W5706,0)),1,0))</f>
        <v/>
      </c>
      <c r="AA5707">
        <f>IF(Z5707&gt;Z5706,Z5707,"")</f>
        <v/>
      </c>
      <c r="AB5707">
        <f>AB5706+IF(X5707="",0,IF(ISNA(MATCH(X5707,X$256:X5706,0)),1,0))</f>
        <v/>
      </c>
      <c r="AC5707">
        <f>IF(AB5707&gt;AB5706,AB5707,"")</f>
        <v/>
      </c>
    </row>
    <row r="5708">
      <c r="W5708" s="7" t="n"/>
      <c r="X5708" s="7" t="n"/>
      <c r="Z5708">
        <f>Z5707+IF(W5708="",0,IF(ISNA(MATCH(W5708,W$256:W5707,0)),1,0))</f>
        <v/>
      </c>
      <c r="AA5708">
        <f>IF(Z5708&gt;Z5707,Z5708,"")</f>
        <v/>
      </c>
      <c r="AB5708">
        <f>AB5707+IF(X5708="",0,IF(ISNA(MATCH(X5708,X$256:X5707,0)),1,0))</f>
        <v/>
      </c>
      <c r="AC5708">
        <f>IF(AB5708&gt;AB5707,AB5708,"")</f>
        <v/>
      </c>
    </row>
    <row r="5709">
      <c r="W5709" s="7" t="n"/>
      <c r="X5709" s="7" t="n"/>
      <c r="Z5709">
        <f>Z5708+IF(W5709="",0,IF(ISNA(MATCH(W5709,W$256:W5708,0)),1,0))</f>
        <v/>
      </c>
      <c r="AA5709">
        <f>IF(Z5709&gt;Z5708,Z5709,"")</f>
        <v/>
      </c>
      <c r="AB5709">
        <f>AB5708+IF(X5709="",0,IF(ISNA(MATCH(X5709,X$256:X5708,0)),1,0))</f>
        <v/>
      </c>
      <c r="AC5709">
        <f>IF(AB5709&gt;AB5708,AB5709,"")</f>
        <v/>
      </c>
    </row>
    <row r="5710">
      <c r="W5710" s="7" t="n"/>
      <c r="X5710" s="7" t="n"/>
      <c r="Z5710">
        <f>Z5709+IF(W5710="",0,IF(ISNA(MATCH(W5710,W$256:W5709,0)),1,0))</f>
        <v/>
      </c>
      <c r="AA5710">
        <f>IF(Z5710&gt;Z5709,Z5710,"")</f>
        <v/>
      </c>
      <c r="AB5710">
        <f>AB5709+IF(X5710="",0,IF(ISNA(MATCH(X5710,X$256:X5709,0)),1,0))</f>
        <v/>
      </c>
      <c r="AC5710">
        <f>IF(AB5710&gt;AB5709,AB5710,"")</f>
        <v/>
      </c>
    </row>
    <row r="5711">
      <c r="W5711" s="7" t="n"/>
      <c r="X5711" s="7" t="n"/>
      <c r="Z5711">
        <f>Z5710+IF(W5711="",0,IF(ISNA(MATCH(W5711,W$256:W5710,0)),1,0))</f>
        <v/>
      </c>
      <c r="AA5711">
        <f>IF(Z5711&gt;Z5710,Z5711,"")</f>
        <v/>
      </c>
      <c r="AB5711">
        <f>AB5710+IF(X5711="",0,IF(ISNA(MATCH(X5711,X$256:X5710,0)),1,0))</f>
        <v/>
      </c>
      <c r="AC5711">
        <f>IF(AB5711&gt;AB5710,AB5711,"")</f>
        <v/>
      </c>
    </row>
    <row r="5712">
      <c r="W5712" s="7" t="n"/>
      <c r="X5712" s="7" t="n"/>
      <c r="Z5712">
        <f>Z5711+IF(W5712="",0,IF(ISNA(MATCH(W5712,W$256:W5711,0)),1,0))</f>
        <v/>
      </c>
      <c r="AA5712">
        <f>IF(Z5712&gt;Z5711,Z5712,"")</f>
        <v/>
      </c>
      <c r="AB5712">
        <f>AB5711+IF(X5712="",0,IF(ISNA(MATCH(X5712,X$256:X5711,0)),1,0))</f>
        <v/>
      </c>
      <c r="AC5712">
        <f>IF(AB5712&gt;AB5711,AB5712,"")</f>
        <v/>
      </c>
    </row>
    <row r="5713">
      <c r="W5713" s="7" t="n"/>
      <c r="X5713" s="7" t="n"/>
      <c r="Z5713">
        <f>Z5712+IF(W5713="",0,IF(ISNA(MATCH(W5713,W$256:W5712,0)),1,0))</f>
        <v/>
      </c>
      <c r="AA5713">
        <f>IF(Z5713&gt;Z5712,Z5713,"")</f>
        <v/>
      </c>
      <c r="AB5713">
        <f>AB5712+IF(X5713="",0,IF(ISNA(MATCH(X5713,X$256:X5712,0)),1,0))</f>
        <v/>
      </c>
      <c r="AC5713">
        <f>IF(AB5713&gt;AB5712,AB5713,"")</f>
        <v/>
      </c>
    </row>
    <row r="5714">
      <c r="W5714" s="7" t="n"/>
      <c r="X5714" s="7" t="n"/>
      <c r="Z5714">
        <f>Z5713+IF(W5714="",0,IF(ISNA(MATCH(W5714,W$256:W5713,0)),1,0))</f>
        <v/>
      </c>
      <c r="AA5714">
        <f>IF(Z5714&gt;Z5713,Z5714,"")</f>
        <v/>
      </c>
      <c r="AB5714">
        <f>AB5713+IF(X5714="",0,IF(ISNA(MATCH(X5714,X$256:X5713,0)),1,0))</f>
        <v/>
      </c>
      <c r="AC5714">
        <f>IF(AB5714&gt;AB5713,AB5714,"")</f>
        <v/>
      </c>
    </row>
    <row r="5715">
      <c r="W5715" s="7" t="n"/>
      <c r="X5715" s="7" t="n"/>
      <c r="Z5715">
        <f>Z5714+IF(W5715="",0,IF(ISNA(MATCH(W5715,W$256:W5714,0)),1,0))</f>
        <v/>
      </c>
      <c r="AA5715">
        <f>IF(Z5715&gt;Z5714,Z5715,"")</f>
        <v/>
      </c>
      <c r="AB5715">
        <f>AB5714+IF(X5715="",0,IF(ISNA(MATCH(X5715,X$256:X5714,0)),1,0))</f>
        <v/>
      </c>
      <c r="AC5715">
        <f>IF(AB5715&gt;AB5714,AB5715,"")</f>
        <v/>
      </c>
    </row>
    <row r="5716">
      <c r="W5716" s="7" t="n"/>
      <c r="X5716" s="7" t="n"/>
      <c r="Z5716">
        <f>Z5715+IF(W5716="",0,IF(ISNA(MATCH(W5716,W$256:W5715,0)),1,0))</f>
        <v/>
      </c>
      <c r="AA5716">
        <f>IF(Z5716&gt;Z5715,Z5716,"")</f>
        <v/>
      </c>
      <c r="AB5716">
        <f>AB5715+IF(X5716="",0,IF(ISNA(MATCH(X5716,X$256:X5715,0)),1,0))</f>
        <v/>
      </c>
      <c r="AC5716">
        <f>IF(AB5716&gt;AB5715,AB5716,"")</f>
        <v/>
      </c>
    </row>
    <row r="5717">
      <c r="W5717" s="7" t="n"/>
      <c r="X5717" s="7" t="n"/>
      <c r="Z5717">
        <f>Z5716+IF(W5717="",0,IF(ISNA(MATCH(W5717,W$256:W5716,0)),1,0))</f>
        <v/>
      </c>
      <c r="AA5717">
        <f>IF(Z5717&gt;Z5716,Z5717,"")</f>
        <v/>
      </c>
      <c r="AB5717">
        <f>AB5716+IF(X5717="",0,IF(ISNA(MATCH(X5717,X$256:X5716,0)),1,0))</f>
        <v/>
      </c>
      <c r="AC5717">
        <f>IF(AB5717&gt;AB5716,AB5717,"")</f>
        <v/>
      </c>
    </row>
    <row r="5718">
      <c r="W5718" s="7" t="n"/>
      <c r="X5718" s="7" t="n"/>
      <c r="Z5718">
        <f>Z5717+IF(W5718="",0,IF(ISNA(MATCH(W5718,W$256:W5717,0)),1,0))</f>
        <v/>
      </c>
      <c r="AA5718">
        <f>IF(Z5718&gt;Z5717,Z5718,"")</f>
        <v/>
      </c>
      <c r="AB5718">
        <f>AB5717+IF(X5718="",0,IF(ISNA(MATCH(X5718,X$256:X5717,0)),1,0))</f>
        <v/>
      </c>
      <c r="AC5718">
        <f>IF(AB5718&gt;AB5717,AB5718,"")</f>
        <v/>
      </c>
    </row>
    <row r="5719">
      <c r="W5719" s="7" t="n"/>
      <c r="X5719" s="7" t="n"/>
      <c r="Z5719">
        <f>Z5718+IF(W5719="",0,IF(ISNA(MATCH(W5719,W$256:W5718,0)),1,0))</f>
        <v/>
      </c>
      <c r="AA5719">
        <f>IF(Z5719&gt;Z5718,Z5719,"")</f>
        <v/>
      </c>
      <c r="AB5719">
        <f>AB5718+IF(X5719="",0,IF(ISNA(MATCH(X5719,X$256:X5718,0)),1,0))</f>
        <v/>
      </c>
      <c r="AC5719">
        <f>IF(AB5719&gt;AB5718,AB5719,"")</f>
        <v/>
      </c>
    </row>
    <row r="5720">
      <c r="W5720" s="7" t="n"/>
      <c r="X5720" s="7" t="n"/>
      <c r="Z5720">
        <f>Z5719+IF(W5720="",0,IF(ISNA(MATCH(W5720,W$256:W5719,0)),1,0))</f>
        <v/>
      </c>
      <c r="AA5720">
        <f>IF(Z5720&gt;Z5719,Z5720,"")</f>
        <v/>
      </c>
      <c r="AB5720">
        <f>AB5719+IF(X5720="",0,IF(ISNA(MATCH(X5720,X$256:X5719,0)),1,0))</f>
        <v/>
      </c>
      <c r="AC5720">
        <f>IF(AB5720&gt;AB5719,AB5720,"")</f>
        <v/>
      </c>
    </row>
    <row r="5721">
      <c r="W5721" s="7" t="n"/>
      <c r="X5721" s="7" t="n"/>
      <c r="Z5721">
        <f>Z5720+IF(W5721="",0,IF(ISNA(MATCH(W5721,W$256:W5720,0)),1,0))</f>
        <v/>
      </c>
      <c r="AA5721">
        <f>IF(Z5721&gt;Z5720,Z5721,"")</f>
        <v/>
      </c>
      <c r="AB5721">
        <f>AB5720+IF(X5721="",0,IF(ISNA(MATCH(X5721,X$256:X5720,0)),1,0))</f>
        <v/>
      </c>
      <c r="AC5721">
        <f>IF(AB5721&gt;AB5720,AB5721,"")</f>
        <v/>
      </c>
    </row>
    <row r="5722">
      <c r="W5722" s="7" t="n"/>
      <c r="X5722" s="7" t="n"/>
      <c r="Z5722">
        <f>Z5721+IF(W5722="",0,IF(ISNA(MATCH(W5722,W$256:W5721,0)),1,0))</f>
        <v/>
      </c>
      <c r="AA5722">
        <f>IF(Z5722&gt;Z5721,Z5722,"")</f>
        <v/>
      </c>
      <c r="AB5722">
        <f>AB5721+IF(X5722="",0,IF(ISNA(MATCH(X5722,X$256:X5721,0)),1,0))</f>
        <v/>
      </c>
      <c r="AC5722">
        <f>IF(AB5722&gt;AB5721,AB5722,"")</f>
        <v/>
      </c>
    </row>
    <row r="5723">
      <c r="W5723" s="7" t="n"/>
      <c r="X5723" s="7" t="n"/>
      <c r="Z5723">
        <f>Z5722+IF(W5723="",0,IF(ISNA(MATCH(W5723,W$256:W5722,0)),1,0))</f>
        <v/>
      </c>
      <c r="AA5723">
        <f>IF(Z5723&gt;Z5722,Z5723,"")</f>
        <v/>
      </c>
      <c r="AB5723">
        <f>AB5722+IF(X5723="",0,IF(ISNA(MATCH(X5723,X$256:X5722,0)),1,0))</f>
        <v/>
      </c>
      <c r="AC5723">
        <f>IF(AB5723&gt;AB5722,AB5723,"")</f>
        <v/>
      </c>
    </row>
    <row r="5724">
      <c r="W5724" s="7" t="n"/>
      <c r="X5724" s="7" t="n"/>
      <c r="Z5724">
        <f>Z5723+IF(W5724="",0,IF(ISNA(MATCH(W5724,W$256:W5723,0)),1,0))</f>
        <v/>
      </c>
      <c r="AA5724">
        <f>IF(Z5724&gt;Z5723,Z5724,"")</f>
        <v/>
      </c>
      <c r="AB5724">
        <f>AB5723+IF(X5724="",0,IF(ISNA(MATCH(X5724,X$256:X5723,0)),1,0))</f>
        <v/>
      </c>
      <c r="AC5724">
        <f>IF(AB5724&gt;AB5723,AB5724,"")</f>
        <v/>
      </c>
    </row>
    <row r="5725">
      <c r="W5725" s="7" t="n"/>
      <c r="X5725" s="7" t="n"/>
      <c r="Z5725">
        <f>Z5724+IF(W5725="",0,IF(ISNA(MATCH(W5725,W$256:W5724,0)),1,0))</f>
        <v/>
      </c>
      <c r="AA5725">
        <f>IF(Z5725&gt;Z5724,Z5725,"")</f>
        <v/>
      </c>
      <c r="AB5725">
        <f>AB5724+IF(X5725="",0,IF(ISNA(MATCH(X5725,X$256:X5724,0)),1,0))</f>
        <v/>
      </c>
      <c r="AC5725">
        <f>IF(AB5725&gt;AB5724,AB5725,"")</f>
        <v/>
      </c>
    </row>
    <row r="5726">
      <c r="W5726" s="7" t="n"/>
      <c r="X5726" s="7" t="n"/>
      <c r="Z5726">
        <f>Z5725+IF(W5726="",0,IF(ISNA(MATCH(W5726,W$256:W5725,0)),1,0))</f>
        <v/>
      </c>
      <c r="AA5726">
        <f>IF(Z5726&gt;Z5725,Z5726,"")</f>
        <v/>
      </c>
      <c r="AB5726">
        <f>AB5725+IF(X5726="",0,IF(ISNA(MATCH(X5726,X$256:X5725,0)),1,0))</f>
        <v/>
      </c>
      <c r="AC5726">
        <f>IF(AB5726&gt;AB5725,AB5726,"")</f>
        <v/>
      </c>
    </row>
    <row r="5727">
      <c r="W5727" s="7" t="n"/>
      <c r="X5727" s="7" t="n"/>
      <c r="Z5727">
        <f>Z5726+IF(W5727="",0,IF(ISNA(MATCH(W5727,W$256:W5726,0)),1,0))</f>
        <v/>
      </c>
      <c r="AA5727">
        <f>IF(Z5727&gt;Z5726,Z5727,"")</f>
        <v/>
      </c>
      <c r="AB5727">
        <f>AB5726+IF(X5727="",0,IF(ISNA(MATCH(X5727,X$256:X5726,0)),1,0))</f>
        <v/>
      </c>
      <c r="AC5727">
        <f>IF(AB5727&gt;AB5726,AB5727,"")</f>
        <v/>
      </c>
    </row>
    <row r="5728">
      <c r="W5728" s="7" t="n"/>
      <c r="X5728" s="7" t="n"/>
      <c r="Z5728">
        <f>Z5727+IF(W5728="",0,IF(ISNA(MATCH(W5728,W$256:W5727,0)),1,0))</f>
        <v/>
      </c>
      <c r="AA5728">
        <f>IF(Z5728&gt;Z5727,Z5728,"")</f>
        <v/>
      </c>
      <c r="AB5728">
        <f>AB5727+IF(X5728="",0,IF(ISNA(MATCH(X5728,X$256:X5727,0)),1,0))</f>
        <v/>
      </c>
      <c r="AC5728">
        <f>IF(AB5728&gt;AB5727,AB5728,"")</f>
        <v/>
      </c>
    </row>
    <row r="5729">
      <c r="W5729" s="7" t="n"/>
      <c r="X5729" s="7" t="n"/>
      <c r="Z5729">
        <f>Z5728+IF(W5729="",0,IF(ISNA(MATCH(W5729,W$256:W5728,0)),1,0))</f>
        <v/>
      </c>
      <c r="AA5729">
        <f>IF(Z5729&gt;Z5728,Z5729,"")</f>
        <v/>
      </c>
      <c r="AB5729">
        <f>AB5728+IF(X5729="",0,IF(ISNA(MATCH(X5729,X$256:X5728,0)),1,0))</f>
        <v/>
      </c>
      <c r="AC5729">
        <f>IF(AB5729&gt;AB5728,AB5729,"")</f>
        <v/>
      </c>
    </row>
    <row r="5730">
      <c r="W5730" s="7" t="n"/>
      <c r="X5730" s="7" t="n"/>
      <c r="Z5730">
        <f>Z5729+IF(W5730="",0,IF(ISNA(MATCH(W5730,W$256:W5729,0)),1,0))</f>
        <v/>
      </c>
      <c r="AA5730">
        <f>IF(Z5730&gt;Z5729,Z5730,"")</f>
        <v/>
      </c>
      <c r="AB5730">
        <f>AB5729+IF(X5730="",0,IF(ISNA(MATCH(X5730,X$256:X5729,0)),1,0))</f>
        <v/>
      </c>
      <c r="AC5730">
        <f>IF(AB5730&gt;AB5729,AB5730,"")</f>
        <v/>
      </c>
    </row>
    <row r="5731">
      <c r="W5731" s="7" t="n"/>
      <c r="X5731" s="7" t="n"/>
      <c r="Z5731">
        <f>Z5730+IF(W5731="",0,IF(ISNA(MATCH(W5731,W$256:W5730,0)),1,0))</f>
        <v/>
      </c>
      <c r="AA5731">
        <f>IF(Z5731&gt;Z5730,Z5731,"")</f>
        <v/>
      </c>
      <c r="AB5731">
        <f>AB5730+IF(X5731="",0,IF(ISNA(MATCH(X5731,X$256:X5730,0)),1,0))</f>
        <v/>
      </c>
      <c r="AC5731">
        <f>IF(AB5731&gt;AB5730,AB5731,"")</f>
        <v/>
      </c>
    </row>
    <row r="5732">
      <c r="W5732" s="7" t="n"/>
      <c r="X5732" s="7" t="n"/>
      <c r="Z5732">
        <f>Z5731+IF(W5732="",0,IF(ISNA(MATCH(W5732,W$256:W5731,0)),1,0))</f>
        <v/>
      </c>
      <c r="AA5732">
        <f>IF(Z5732&gt;Z5731,Z5732,"")</f>
        <v/>
      </c>
      <c r="AB5732">
        <f>AB5731+IF(X5732="",0,IF(ISNA(MATCH(X5732,X$256:X5731,0)),1,0))</f>
        <v/>
      </c>
      <c r="AC5732">
        <f>IF(AB5732&gt;AB5731,AB5732,"")</f>
        <v/>
      </c>
    </row>
    <row r="5733">
      <c r="W5733" s="7" t="n"/>
      <c r="X5733" s="7" t="n"/>
      <c r="Z5733">
        <f>Z5732+IF(W5733="",0,IF(ISNA(MATCH(W5733,W$256:W5732,0)),1,0))</f>
        <v/>
      </c>
      <c r="AA5733">
        <f>IF(Z5733&gt;Z5732,Z5733,"")</f>
        <v/>
      </c>
      <c r="AB5733">
        <f>AB5732+IF(X5733="",0,IF(ISNA(MATCH(X5733,X$256:X5732,0)),1,0))</f>
        <v/>
      </c>
      <c r="AC5733">
        <f>IF(AB5733&gt;AB5732,AB5733,"")</f>
        <v/>
      </c>
    </row>
    <row r="5734">
      <c r="W5734" s="7" t="n"/>
      <c r="X5734" s="7" t="n"/>
      <c r="Z5734">
        <f>Z5733+IF(W5734="",0,IF(ISNA(MATCH(W5734,W$256:W5733,0)),1,0))</f>
        <v/>
      </c>
      <c r="AA5734">
        <f>IF(Z5734&gt;Z5733,Z5734,"")</f>
        <v/>
      </c>
      <c r="AB5734">
        <f>AB5733+IF(X5734="",0,IF(ISNA(MATCH(X5734,X$256:X5733,0)),1,0))</f>
        <v/>
      </c>
      <c r="AC5734">
        <f>IF(AB5734&gt;AB5733,AB5734,"")</f>
        <v/>
      </c>
    </row>
    <row r="5735">
      <c r="W5735" s="7" t="n"/>
      <c r="X5735" s="7" t="n"/>
      <c r="Z5735">
        <f>Z5734+IF(W5735="",0,IF(ISNA(MATCH(W5735,W$256:W5734,0)),1,0))</f>
        <v/>
      </c>
      <c r="AA5735">
        <f>IF(Z5735&gt;Z5734,Z5735,"")</f>
        <v/>
      </c>
      <c r="AB5735">
        <f>AB5734+IF(X5735="",0,IF(ISNA(MATCH(X5735,X$256:X5734,0)),1,0))</f>
        <v/>
      </c>
      <c r="AC5735">
        <f>IF(AB5735&gt;AB5734,AB5735,"")</f>
        <v/>
      </c>
    </row>
    <row r="5736">
      <c r="W5736" s="7" t="n"/>
      <c r="X5736" s="7" t="n"/>
      <c r="Z5736">
        <f>Z5735+IF(W5736="",0,IF(ISNA(MATCH(W5736,W$256:W5735,0)),1,0))</f>
        <v/>
      </c>
      <c r="AA5736">
        <f>IF(Z5736&gt;Z5735,Z5736,"")</f>
        <v/>
      </c>
      <c r="AB5736">
        <f>AB5735+IF(X5736="",0,IF(ISNA(MATCH(X5736,X$256:X5735,0)),1,0))</f>
        <v/>
      </c>
      <c r="AC5736">
        <f>IF(AB5736&gt;AB5735,AB5736,"")</f>
        <v/>
      </c>
    </row>
    <row r="5737">
      <c r="W5737" s="7" t="n"/>
      <c r="X5737" s="7" t="n"/>
      <c r="Z5737">
        <f>Z5736+IF(W5737="",0,IF(ISNA(MATCH(W5737,W$256:W5736,0)),1,0))</f>
        <v/>
      </c>
      <c r="AA5737">
        <f>IF(Z5737&gt;Z5736,Z5737,"")</f>
        <v/>
      </c>
      <c r="AB5737">
        <f>AB5736+IF(X5737="",0,IF(ISNA(MATCH(X5737,X$256:X5736,0)),1,0))</f>
        <v/>
      </c>
      <c r="AC5737">
        <f>IF(AB5737&gt;AB5736,AB5737,"")</f>
        <v/>
      </c>
    </row>
    <row r="5738">
      <c r="W5738" s="7" t="n"/>
      <c r="X5738" s="7" t="n"/>
      <c r="Z5738">
        <f>Z5737+IF(W5738="",0,IF(ISNA(MATCH(W5738,W$256:W5737,0)),1,0))</f>
        <v/>
      </c>
      <c r="AA5738">
        <f>IF(Z5738&gt;Z5737,Z5738,"")</f>
        <v/>
      </c>
      <c r="AB5738">
        <f>AB5737+IF(X5738="",0,IF(ISNA(MATCH(X5738,X$256:X5737,0)),1,0))</f>
        <v/>
      </c>
      <c r="AC5738">
        <f>IF(AB5738&gt;AB5737,AB5738,"")</f>
        <v/>
      </c>
    </row>
    <row r="5739">
      <c r="W5739" s="7" t="n"/>
      <c r="X5739" s="7" t="n"/>
      <c r="Z5739">
        <f>Z5738+IF(W5739="",0,IF(ISNA(MATCH(W5739,W$256:W5738,0)),1,0))</f>
        <v/>
      </c>
      <c r="AA5739">
        <f>IF(Z5739&gt;Z5738,Z5739,"")</f>
        <v/>
      </c>
      <c r="AB5739">
        <f>AB5738+IF(X5739="",0,IF(ISNA(MATCH(X5739,X$256:X5738,0)),1,0))</f>
        <v/>
      </c>
      <c r="AC5739">
        <f>IF(AB5739&gt;AB5738,AB5739,"")</f>
        <v/>
      </c>
    </row>
    <row r="5740">
      <c r="W5740" s="7" t="n"/>
      <c r="X5740" s="7" t="n"/>
      <c r="Z5740">
        <f>Z5739+IF(W5740="",0,IF(ISNA(MATCH(W5740,W$256:W5739,0)),1,0))</f>
        <v/>
      </c>
      <c r="AA5740">
        <f>IF(Z5740&gt;Z5739,Z5740,"")</f>
        <v/>
      </c>
      <c r="AB5740">
        <f>AB5739+IF(X5740="",0,IF(ISNA(MATCH(X5740,X$256:X5739,0)),1,0))</f>
        <v/>
      </c>
      <c r="AC5740">
        <f>IF(AB5740&gt;AB5739,AB5740,"")</f>
        <v/>
      </c>
    </row>
    <row r="5741">
      <c r="W5741" s="7" t="n"/>
      <c r="X5741" s="7" t="n"/>
      <c r="Z5741">
        <f>Z5740+IF(W5741="",0,IF(ISNA(MATCH(W5741,W$256:W5740,0)),1,0))</f>
        <v/>
      </c>
      <c r="AA5741">
        <f>IF(Z5741&gt;Z5740,Z5741,"")</f>
        <v/>
      </c>
      <c r="AB5741">
        <f>AB5740+IF(X5741="",0,IF(ISNA(MATCH(X5741,X$256:X5740,0)),1,0))</f>
        <v/>
      </c>
      <c r="AC5741">
        <f>IF(AB5741&gt;AB5740,AB5741,"")</f>
        <v/>
      </c>
    </row>
    <row r="5742">
      <c r="W5742" s="7" t="n"/>
      <c r="X5742" s="7" t="n"/>
      <c r="Z5742">
        <f>Z5741+IF(W5742="",0,IF(ISNA(MATCH(W5742,W$256:W5741,0)),1,0))</f>
        <v/>
      </c>
      <c r="AA5742">
        <f>IF(Z5742&gt;Z5741,Z5742,"")</f>
        <v/>
      </c>
      <c r="AB5742">
        <f>AB5741+IF(X5742="",0,IF(ISNA(MATCH(X5742,X$256:X5741,0)),1,0))</f>
        <v/>
      </c>
      <c r="AC5742">
        <f>IF(AB5742&gt;AB5741,AB5742,"")</f>
        <v/>
      </c>
    </row>
    <row r="5743">
      <c r="W5743" s="7" t="n"/>
      <c r="X5743" s="7" t="n"/>
      <c r="Z5743">
        <f>Z5742+IF(W5743="",0,IF(ISNA(MATCH(W5743,W$256:W5742,0)),1,0))</f>
        <v/>
      </c>
      <c r="AA5743">
        <f>IF(Z5743&gt;Z5742,Z5743,"")</f>
        <v/>
      </c>
      <c r="AB5743">
        <f>AB5742+IF(X5743="",0,IF(ISNA(MATCH(X5743,X$256:X5742,0)),1,0))</f>
        <v/>
      </c>
      <c r="AC5743">
        <f>IF(AB5743&gt;AB5742,AB5743,"")</f>
        <v/>
      </c>
    </row>
    <row r="5744">
      <c r="W5744" s="7" t="n"/>
      <c r="X5744" s="7" t="n"/>
      <c r="Z5744">
        <f>Z5743+IF(W5744="",0,IF(ISNA(MATCH(W5744,W$256:W5743,0)),1,0))</f>
        <v/>
      </c>
      <c r="AA5744">
        <f>IF(Z5744&gt;Z5743,Z5744,"")</f>
        <v/>
      </c>
      <c r="AB5744">
        <f>AB5743+IF(X5744="",0,IF(ISNA(MATCH(X5744,X$256:X5743,0)),1,0))</f>
        <v/>
      </c>
      <c r="AC5744">
        <f>IF(AB5744&gt;AB5743,AB5744,"")</f>
        <v/>
      </c>
    </row>
    <row r="5745">
      <c r="W5745" s="7" t="n"/>
      <c r="X5745" s="7" t="n"/>
      <c r="Z5745">
        <f>Z5744+IF(W5745="",0,IF(ISNA(MATCH(W5745,W$256:W5744,0)),1,0))</f>
        <v/>
      </c>
      <c r="AA5745">
        <f>IF(Z5745&gt;Z5744,Z5745,"")</f>
        <v/>
      </c>
      <c r="AB5745">
        <f>AB5744+IF(X5745="",0,IF(ISNA(MATCH(X5745,X$256:X5744,0)),1,0))</f>
        <v/>
      </c>
      <c r="AC5745">
        <f>IF(AB5745&gt;AB5744,AB5745,"")</f>
        <v/>
      </c>
    </row>
    <row r="5746">
      <c r="W5746" s="7" t="n"/>
      <c r="X5746" s="7" t="n"/>
      <c r="Z5746">
        <f>Z5745+IF(W5746="",0,IF(ISNA(MATCH(W5746,W$256:W5745,0)),1,0))</f>
        <v/>
      </c>
      <c r="AA5746">
        <f>IF(Z5746&gt;Z5745,Z5746,"")</f>
        <v/>
      </c>
      <c r="AB5746">
        <f>AB5745+IF(X5746="",0,IF(ISNA(MATCH(X5746,X$256:X5745,0)),1,0))</f>
        <v/>
      </c>
      <c r="AC5746">
        <f>IF(AB5746&gt;AB5745,AB5746,"")</f>
        <v/>
      </c>
    </row>
    <row r="5747">
      <c r="W5747" s="7" t="n"/>
      <c r="X5747" s="7" t="n"/>
      <c r="Z5747">
        <f>Z5746+IF(W5747="",0,IF(ISNA(MATCH(W5747,W$256:W5746,0)),1,0))</f>
        <v/>
      </c>
      <c r="AA5747">
        <f>IF(Z5747&gt;Z5746,Z5747,"")</f>
        <v/>
      </c>
      <c r="AB5747">
        <f>AB5746+IF(X5747="",0,IF(ISNA(MATCH(X5747,X$256:X5746,0)),1,0))</f>
        <v/>
      </c>
      <c r="AC5747">
        <f>IF(AB5747&gt;AB5746,AB5747,"")</f>
        <v/>
      </c>
    </row>
    <row r="5748">
      <c r="W5748" s="7" t="n"/>
      <c r="X5748" s="7" t="n"/>
      <c r="Z5748">
        <f>Z5747+IF(W5748="",0,IF(ISNA(MATCH(W5748,W$256:W5747,0)),1,0))</f>
        <v/>
      </c>
      <c r="AA5748">
        <f>IF(Z5748&gt;Z5747,Z5748,"")</f>
        <v/>
      </c>
      <c r="AB5748">
        <f>AB5747+IF(X5748="",0,IF(ISNA(MATCH(X5748,X$256:X5747,0)),1,0))</f>
        <v/>
      </c>
      <c r="AC5748">
        <f>IF(AB5748&gt;AB5747,AB5748,"")</f>
        <v/>
      </c>
    </row>
    <row r="5749">
      <c r="W5749" s="7" t="n"/>
      <c r="X5749" s="7" t="n"/>
      <c r="Z5749">
        <f>Z5748+IF(W5749="",0,IF(ISNA(MATCH(W5749,W$256:W5748,0)),1,0))</f>
        <v/>
      </c>
      <c r="AA5749">
        <f>IF(Z5749&gt;Z5748,Z5749,"")</f>
        <v/>
      </c>
      <c r="AB5749">
        <f>AB5748+IF(X5749="",0,IF(ISNA(MATCH(X5749,X$256:X5748,0)),1,0))</f>
        <v/>
      </c>
      <c r="AC5749">
        <f>IF(AB5749&gt;AB5748,AB5749,"")</f>
        <v/>
      </c>
    </row>
    <row r="5750">
      <c r="W5750" s="7" t="n"/>
      <c r="X5750" s="7" t="n"/>
      <c r="Z5750">
        <f>Z5749+IF(W5750="",0,IF(ISNA(MATCH(W5750,W$256:W5749,0)),1,0))</f>
        <v/>
      </c>
      <c r="AA5750">
        <f>IF(Z5750&gt;Z5749,Z5750,"")</f>
        <v/>
      </c>
      <c r="AB5750">
        <f>AB5749+IF(X5750="",0,IF(ISNA(MATCH(X5750,X$256:X5749,0)),1,0))</f>
        <v/>
      </c>
      <c r="AC5750">
        <f>IF(AB5750&gt;AB5749,AB5750,"")</f>
        <v/>
      </c>
    </row>
    <row r="5751">
      <c r="W5751" s="7" t="n"/>
      <c r="X5751" s="7" t="n"/>
      <c r="Z5751">
        <f>Z5750+IF(W5751="",0,IF(ISNA(MATCH(W5751,W$256:W5750,0)),1,0))</f>
        <v/>
      </c>
      <c r="AA5751">
        <f>IF(Z5751&gt;Z5750,Z5751,"")</f>
        <v/>
      </c>
      <c r="AB5751">
        <f>AB5750+IF(X5751="",0,IF(ISNA(MATCH(X5751,X$256:X5750,0)),1,0))</f>
        <v/>
      </c>
      <c r="AC5751">
        <f>IF(AB5751&gt;AB5750,AB5751,"")</f>
        <v/>
      </c>
    </row>
    <row r="5752">
      <c r="W5752" s="7" t="n"/>
      <c r="X5752" s="7" t="n"/>
      <c r="Z5752">
        <f>Z5751+IF(W5752="",0,IF(ISNA(MATCH(W5752,W$256:W5751,0)),1,0))</f>
        <v/>
      </c>
      <c r="AA5752">
        <f>IF(Z5752&gt;Z5751,Z5752,"")</f>
        <v/>
      </c>
      <c r="AB5752">
        <f>AB5751+IF(X5752="",0,IF(ISNA(MATCH(X5752,X$256:X5751,0)),1,0))</f>
        <v/>
      </c>
      <c r="AC5752">
        <f>IF(AB5752&gt;AB5751,AB5752,"")</f>
        <v/>
      </c>
    </row>
    <row r="5753">
      <c r="W5753" s="7" t="n"/>
      <c r="X5753" s="7" t="n"/>
      <c r="Z5753">
        <f>Z5752+IF(W5753="",0,IF(ISNA(MATCH(W5753,W$256:W5752,0)),1,0))</f>
        <v/>
      </c>
      <c r="AA5753">
        <f>IF(Z5753&gt;Z5752,Z5753,"")</f>
        <v/>
      </c>
      <c r="AB5753">
        <f>AB5752+IF(X5753="",0,IF(ISNA(MATCH(X5753,X$256:X5752,0)),1,0))</f>
        <v/>
      </c>
      <c r="AC5753">
        <f>IF(AB5753&gt;AB5752,AB5753,"")</f>
        <v/>
      </c>
    </row>
    <row r="5754">
      <c r="W5754" s="7" t="n"/>
      <c r="X5754" s="7" t="n"/>
      <c r="Z5754">
        <f>Z5753+IF(W5754="",0,IF(ISNA(MATCH(W5754,W$256:W5753,0)),1,0))</f>
        <v/>
      </c>
      <c r="AA5754">
        <f>IF(Z5754&gt;Z5753,Z5754,"")</f>
        <v/>
      </c>
      <c r="AB5754">
        <f>AB5753+IF(X5754="",0,IF(ISNA(MATCH(X5754,X$256:X5753,0)),1,0))</f>
        <v/>
      </c>
      <c r="AC5754">
        <f>IF(AB5754&gt;AB5753,AB5754,"")</f>
        <v/>
      </c>
    </row>
    <row r="5755">
      <c r="W5755" s="7" t="n"/>
      <c r="X5755" s="7" t="n"/>
      <c r="Z5755">
        <f>Z5754+IF(W5755="",0,IF(ISNA(MATCH(W5755,W$256:W5754,0)),1,0))</f>
        <v/>
      </c>
      <c r="AA5755">
        <f>IF(Z5755&gt;Z5754,Z5755,"")</f>
        <v/>
      </c>
      <c r="AB5755">
        <f>AB5754+IF(X5755="",0,IF(ISNA(MATCH(X5755,X$256:X5754,0)),1,0))</f>
        <v/>
      </c>
      <c r="AC5755">
        <f>IF(AB5755&gt;AB5754,AB5755,"")</f>
        <v/>
      </c>
    </row>
    <row r="5756">
      <c r="W5756" s="7" t="n"/>
      <c r="X5756" s="7" t="n"/>
      <c r="Z5756">
        <f>Z5755+IF(W5756="",0,IF(ISNA(MATCH(W5756,W$256:W5755,0)),1,0))</f>
        <v/>
      </c>
      <c r="AA5756">
        <f>IF(Z5756&gt;Z5755,Z5756,"")</f>
        <v/>
      </c>
      <c r="AB5756">
        <f>AB5755+IF(X5756="",0,IF(ISNA(MATCH(X5756,X$256:X5755,0)),1,0))</f>
        <v/>
      </c>
      <c r="AC5756">
        <f>IF(AB5756&gt;AB5755,AB5756,"")</f>
        <v/>
      </c>
    </row>
    <row r="5757">
      <c r="W5757" s="7" t="n"/>
      <c r="X5757" s="7" t="n"/>
      <c r="Z5757">
        <f>Z5756+IF(W5757="",0,IF(ISNA(MATCH(W5757,W$256:W5756,0)),1,0))</f>
        <v/>
      </c>
      <c r="AA5757">
        <f>IF(Z5757&gt;Z5756,Z5757,"")</f>
        <v/>
      </c>
      <c r="AB5757">
        <f>AB5756+IF(X5757="",0,IF(ISNA(MATCH(X5757,X$256:X5756,0)),1,0))</f>
        <v/>
      </c>
      <c r="AC5757">
        <f>IF(AB5757&gt;AB5756,AB5757,"")</f>
        <v/>
      </c>
    </row>
    <row r="5758">
      <c r="W5758" s="7" t="n"/>
      <c r="X5758" s="7" t="n"/>
      <c r="Z5758">
        <f>Z5757+IF(W5758="",0,IF(ISNA(MATCH(W5758,W$256:W5757,0)),1,0))</f>
        <v/>
      </c>
      <c r="AA5758">
        <f>IF(Z5758&gt;Z5757,Z5758,"")</f>
        <v/>
      </c>
      <c r="AB5758">
        <f>AB5757+IF(X5758="",0,IF(ISNA(MATCH(X5758,X$256:X5757,0)),1,0))</f>
        <v/>
      </c>
      <c r="AC5758">
        <f>IF(AB5758&gt;AB5757,AB5758,"")</f>
        <v/>
      </c>
    </row>
    <row r="5759">
      <c r="W5759" s="7" t="n"/>
      <c r="X5759" s="7" t="n"/>
      <c r="Z5759">
        <f>Z5758+IF(W5759="",0,IF(ISNA(MATCH(W5759,W$256:W5758,0)),1,0))</f>
        <v/>
      </c>
      <c r="AA5759">
        <f>IF(Z5759&gt;Z5758,Z5759,"")</f>
        <v/>
      </c>
      <c r="AB5759">
        <f>AB5758+IF(X5759="",0,IF(ISNA(MATCH(X5759,X$256:X5758,0)),1,0))</f>
        <v/>
      </c>
      <c r="AC5759">
        <f>IF(AB5759&gt;AB5758,AB5759,"")</f>
        <v/>
      </c>
    </row>
    <row r="5760">
      <c r="W5760" s="7" t="n"/>
      <c r="X5760" s="7" t="n"/>
      <c r="Z5760">
        <f>Z5759+IF(W5760="",0,IF(ISNA(MATCH(W5760,W$256:W5759,0)),1,0))</f>
        <v/>
      </c>
      <c r="AA5760">
        <f>IF(Z5760&gt;Z5759,Z5760,"")</f>
        <v/>
      </c>
      <c r="AB5760">
        <f>AB5759+IF(X5760="",0,IF(ISNA(MATCH(X5760,X$256:X5759,0)),1,0))</f>
        <v/>
      </c>
      <c r="AC5760">
        <f>IF(AB5760&gt;AB5759,AB5760,"")</f>
        <v/>
      </c>
    </row>
    <row r="5761">
      <c r="W5761" s="7" t="n"/>
      <c r="X5761" s="7" t="n"/>
      <c r="Z5761">
        <f>Z5760+IF(W5761="",0,IF(ISNA(MATCH(W5761,W$256:W5760,0)),1,0))</f>
        <v/>
      </c>
      <c r="AA5761">
        <f>IF(Z5761&gt;Z5760,Z5761,"")</f>
        <v/>
      </c>
      <c r="AB5761">
        <f>AB5760+IF(X5761="",0,IF(ISNA(MATCH(X5761,X$256:X5760,0)),1,0))</f>
        <v/>
      </c>
      <c r="AC5761">
        <f>IF(AB5761&gt;AB5760,AB5761,"")</f>
        <v/>
      </c>
    </row>
    <row r="5762">
      <c r="W5762" s="7" t="n"/>
      <c r="X5762" s="7" t="n"/>
      <c r="Z5762">
        <f>Z5761+IF(W5762="",0,IF(ISNA(MATCH(W5762,W$256:W5761,0)),1,0))</f>
        <v/>
      </c>
      <c r="AA5762">
        <f>IF(Z5762&gt;Z5761,Z5762,"")</f>
        <v/>
      </c>
      <c r="AB5762">
        <f>AB5761+IF(X5762="",0,IF(ISNA(MATCH(X5762,X$256:X5761,0)),1,0))</f>
        <v/>
      </c>
      <c r="AC5762">
        <f>IF(AB5762&gt;AB5761,AB5762,"")</f>
        <v/>
      </c>
    </row>
    <row r="5763">
      <c r="W5763" s="7" t="n"/>
      <c r="X5763" s="7" t="n"/>
      <c r="Z5763">
        <f>Z5762+IF(W5763="",0,IF(ISNA(MATCH(W5763,W$256:W5762,0)),1,0))</f>
        <v/>
      </c>
      <c r="AA5763">
        <f>IF(Z5763&gt;Z5762,Z5763,"")</f>
        <v/>
      </c>
      <c r="AB5763">
        <f>AB5762+IF(X5763="",0,IF(ISNA(MATCH(X5763,X$256:X5762,0)),1,0))</f>
        <v/>
      </c>
      <c r="AC5763">
        <f>IF(AB5763&gt;AB5762,AB5763,"")</f>
        <v/>
      </c>
    </row>
    <row r="5764">
      <c r="W5764" s="7" t="n"/>
      <c r="X5764" s="7" t="n"/>
      <c r="Z5764">
        <f>Z5763+IF(W5764="",0,IF(ISNA(MATCH(W5764,W$256:W5763,0)),1,0))</f>
        <v/>
      </c>
      <c r="AA5764">
        <f>IF(Z5764&gt;Z5763,Z5764,"")</f>
        <v/>
      </c>
      <c r="AB5764">
        <f>AB5763+IF(X5764="",0,IF(ISNA(MATCH(X5764,X$256:X5763,0)),1,0))</f>
        <v/>
      </c>
      <c r="AC5764">
        <f>IF(AB5764&gt;AB5763,AB5764,"")</f>
        <v/>
      </c>
    </row>
    <row r="5765">
      <c r="W5765" s="7" t="n"/>
      <c r="X5765" s="7" t="n"/>
      <c r="Z5765">
        <f>Z5764+IF(W5765="",0,IF(ISNA(MATCH(W5765,W$256:W5764,0)),1,0))</f>
        <v/>
      </c>
      <c r="AA5765">
        <f>IF(Z5765&gt;Z5764,Z5765,"")</f>
        <v/>
      </c>
      <c r="AB5765">
        <f>AB5764+IF(X5765="",0,IF(ISNA(MATCH(X5765,X$256:X5764,0)),1,0))</f>
        <v/>
      </c>
      <c r="AC5765">
        <f>IF(AB5765&gt;AB5764,AB5765,"")</f>
        <v/>
      </c>
    </row>
    <row r="5766">
      <c r="W5766" s="7" t="n"/>
      <c r="X5766" s="7" t="n"/>
      <c r="Z5766">
        <f>Z5765+IF(W5766="",0,IF(ISNA(MATCH(W5766,W$256:W5765,0)),1,0))</f>
        <v/>
      </c>
      <c r="AA5766">
        <f>IF(Z5766&gt;Z5765,Z5766,"")</f>
        <v/>
      </c>
      <c r="AB5766">
        <f>AB5765+IF(X5766="",0,IF(ISNA(MATCH(X5766,X$256:X5765,0)),1,0))</f>
        <v/>
      </c>
      <c r="AC5766">
        <f>IF(AB5766&gt;AB5765,AB5766,"")</f>
        <v/>
      </c>
    </row>
    <row r="5767">
      <c r="W5767" s="7" t="n"/>
      <c r="X5767" s="7" t="n"/>
      <c r="Z5767">
        <f>Z5766+IF(W5767="",0,IF(ISNA(MATCH(W5767,W$256:W5766,0)),1,0))</f>
        <v/>
      </c>
      <c r="AA5767">
        <f>IF(Z5767&gt;Z5766,Z5767,"")</f>
        <v/>
      </c>
      <c r="AB5767">
        <f>AB5766+IF(X5767="",0,IF(ISNA(MATCH(X5767,X$256:X5766,0)),1,0))</f>
        <v/>
      </c>
      <c r="AC5767">
        <f>IF(AB5767&gt;AB5766,AB5767,"")</f>
        <v/>
      </c>
    </row>
    <row r="5768">
      <c r="W5768" s="7" t="n"/>
      <c r="X5768" s="7" t="n"/>
      <c r="Z5768">
        <f>Z5767+IF(W5768="",0,IF(ISNA(MATCH(W5768,W$256:W5767,0)),1,0))</f>
        <v/>
      </c>
      <c r="AA5768">
        <f>IF(Z5768&gt;Z5767,Z5768,"")</f>
        <v/>
      </c>
      <c r="AB5768">
        <f>AB5767+IF(X5768="",0,IF(ISNA(MATCH(X5768,X$256:X5767,0)),1,0))</f>
        <v/>
      </c>
      <c r="AC5768">
        <f>IF(AB5768&gt;AB5767,AB5768,"")</f>
        <v/>
      </c>
    </row>
    <row r="5769">
      <c r="W5769" s="7" t="n"/>
      <c r="X5769" s="7" t="n"/>
      <c r="Z5769">
        <f>Z5768+IF(W5769="",0,IF(ISNA(MATCH(W5769,W$256:W5768,0)),1,0))</f>
        <v/>
      </c>
      <c r="AA5769">
        <f>IF(Z5769&gt;Z5768,Z5769,"")</f>
        <v/>
      </c>
      <c r="AB5769">
        <f>AB5768+IF(X5769="",0,IF(ISNA(MATCH(X5769,X$256:X5768,0)),1,0))</f>
        <v/>
      </c>
      <c r="AC5769">
        <f>IF(AB5769&gt;AB5768,AB5769,"")</f>
        <v/>
      </c>
    </row>
    <row r="5770">
      <c r="W5770" s="7" t="n"/>
      <c r="X5770" s="7" t="n"/>
      <c r="Z5770">
        <f>Z5769+IF(W5770="",0,IF(ISNA(MATCH(W5770,W$256:W5769,0)),1,0))</f>
        <v/>
      </c>
      <c r="AA5770">
        <f>IF(Z5770&gt;Z5769,Z5770,"")</f>
        <v/>
      </c>
      <c r="AB5770">
        <f>AB5769+IF(X5770="",0,IF(ISNA(MATCH(X5770,X$256:X5769,0)),1,0))</f>
        <v/>
      </c>
      <c r="AC5770">
        <f>IF(AB5770&gt;AB5769,AB5770,"")</f>
        <v/>
      </c>
    </row>
    <row r="5771">
      <c r="W5771" s="7" t="n"/>
      <c r="X5771" s="7" t="n"/>
      <c r="Z5771">
        <f>Z5770+IF(W5771="",0,IF(ISNA(MATCH(W5771,W$256:W5770,0)),1,0))</f>
        <v/>
      </c>
      <c r="AA5771">
        <f>IF(Z5771&gt;Z5770,Z5771,"")</f>
        <v/>
      </c>
      <c r="AB5771">
        <f>AB5770+IF(X5771="",0,IF(ISNA(MATCH(X5771,X$256:X5770,0)),1,0))</f>
        <v/>
      </c>
      <c r="AC5771">
        <f>IF(AB5771&gt;AB5770,AB5771,"")</f>
        <v/>
      </c>
    </row>
    <row r="5772">
      <c r="W5772" s="7" t="n"/>
      <c r="X5772" s="7" t="n"/>
      <c r="Z5772">
        <f>Z5771+IF(W5772="",0,IF(ISNA(MATCH(W5772,W$256:W5771,0)),1,0))</f>
        <v/>
      </c>
      <c r="AA5772">
        <f>IF(Z5772&gt;Z5771,Z5772,"")</f>
        <v/>
      </c>
      <c r="AB5772">
        <f>AB5771+IF(X5772="",0,IF(ISNA(MATCH(X5772,X$256:X5771,0)),1,0))</f>
        <v/>
      </c>
      <c r="AC5772">
        <f>IF(AB5772&gt;AB5771,AB5772,"")</f>
        <v/>
      </c>
    </row>
    <row r="5773">
      <c r="W5773" s="7" t="n"/>
      <c r="X5773" s="7" t="n"/>
      <c r="Z5773">
        <f>Z5772+IF(W5773="",0,IF(ISNA(MATCH(W5773,W$256:W5772,0)),1,0))</f>
        <v/>
      </c>
      <c r="AA5773">
        <f>IF(Z5773&gt;Z5772,Z5773,"")</f>
        <v/>
      </c>
      <c r="AB5773">
        <f>AB5772+IF(X5773="",0,IF(ISNA(MATCH(X5773,X$256:X5772,0)),1,0))</f>
        <v/>
      </c>
      <c r="AC5773">
        <f>IF(AB5773&gt;AB5772,AB5773,"")</f>
        <v/>
      </c>
    </row>
    <row r="5774">
      <c r="W5774" s="7" t="n"/>
      <c r="X5774" s="7" t="n"/>
      <c r="Z5774">
        <f>Z5773+IF(W5774="",0,IF(ISNA(MATCH(W5774,W$256:W5773,0)),1,0))</f>
        <v/>
      </c>
      <c r="AA5774">
        <f>IF(Z5774&gt;Z5773,Z5774,"")</f>
        <v/>
      </c>
      <c r="AB5774">
        <f>AB5773+IF(X5774="",0,IF(ISNA(MATCH(X5774,X$256:X5773,0)),1,0))</f>
        <v/>
      </c>
      <c r="AC5774">
        <f>IF(AB5774&gt;AB5773,AB5774,"")</f>
        <v/>
      </c>
    </row>
    <row r="5775">
      <c r="W5775" s="7" t="n"/>
      <c r="X5775" s="7" t="n"/>
      <c r="Z5775">
        <f>Z5774+IF(W5775="",0,IF(ISNA(MATCH(W5775,W$256:W5774,0)),1,0))</f>
        <v/>
      </c>
      <c r="AA5775">
        <f>IF(Z5775&gt;Z5774,Z5775,"")</f>
        <v/>
      </c>
      <c r="AB5775">
        <f>AB5774+IF(X5775="",0,IF(ISNA(MATCH(X5775,X$256:X5774,0)),1,0))</f>
        <v/>
      </c>
      <c r="AC5775">
        <f>IF(AB5775&gt;AB5774,AB5775,"")</f>
        <v/>
      </c>
    </row>
    <row r="5776">
      <c r="W5776" s="7" t="n"/>
      <c r="X5776" s="7" t="n"/>
      <c r="Z5776">
        <f>Z5775+IF(W5776="",0,IF(ISNA(MATCH(W5776,W$256:W5775,0)),1,0))</f>
        <v/>
      </c>
      <c r="AA5776">
        <f>IF(Z5776&gt;Z5775,Z5776,"")</f>
        <v/>
      </c>
      <c r="AB5776">
        <f>AB5775+IF(X5776="",0,IF(ISNA(MATCH(X5776,X$256:X5775,0)),1,0))</f>
        <v/>
      </c>
      <c r="AC5776">
        <f>IF(AB5776&gt;AB5775,AB5776,"")</f>
        <v/>
      </c>
    </row>
    <row r="5777">
      <c r="W5777" s="7" t="n"/>
      <c r="X5777" s="7" t="n"/>
      <c r="Z5777">
        <f>Z5776+IF(W5777="",0,IF(ISNA(MATCH(W5777,W$256:W5776,0)),1,0))</f>
        <v/>
      </c>
      <c r="AA5777">
        <f>IF(Z5777&gt;Z5776,Z5777,"")</f>
        <v/>
      </c>
      <c r="AB5777">
        <f>AB5776+IF(X5777="",0,IF(ISNA(MATCH(X5777,X$256:X5776,0)),1,0))</f>
        <v/>
      </c>
      <c r="AC5777">
        <f>IF(AB5777&gt;AB5776,AB5777,"")</f>
        <v/>
      </c>
    </row>
    <row r="5778">
      <c r="W5778" s="7" t="n"/>
      <c r="X5778" s="7" t="n"/>
      <c r="Z5778">
        <f>Z5777+IF(W5778="",0,IF(ISNA(MATCH(W5778,W$256:W5777,0)),1,0))</f>
        <v/>
      </c>
      <c r="AA5778">
        <f>IF(Z5778&gt;Z5777,Z5778,"")</f>
        <v/>
      </c>
      <c r="AB5778">
        <f>AB5777+IF(X5778="",0,IF(ISNA(MATCH(X5778,X$256:X5777,0)),1,0))</f>
        <v/>
      </c>
      <c r="AC5778">
        <f>IF(AB5778&gt;AB5777,AB5778,"")</f>
        <v/>
      </c>
    </row>
    <row r="5779">
      <c r="W5779" s="7" t="n"/>
      <c r="X5779" s="7" t="n"/>
      <c r="Z5779">
        <f>Z5778+IF(W5779="",0,IF(ISNA(MATCH(W5779,W$256:W5778,0)),1,0))</f>
        <v/>
      </c>
      <c r="AA5779">
        <f>IF(Z5779&gt;Z5778,Z5779,"")</f>
        <v/>
      </c>
      <c r="AB5779">
        <f>AB5778+IF(X5779="",0,IF(ISNA(MATCH(X5779,X$256:X5778,0)),1,0))</f>
        <v/>
      </c>
      <c r="AC5779">
        <f>IF(AB5779&gt;AB5778,AB5779,"")</f>
        <v/>
      </c>
    </row>
    <row r="5780">
      <c r="W5780" s="7" t="n"/>
      <c r="X5780" s="7" t="n"/>
      <c r="Z5780">
        <f>Z5779+IF(W5780="",0,IF(ISNA(MATCH(W5780,W$256:W5779,0)),1,0))</f>
        <v/>
      </c>
      <c r="AA5780">
        <f>IF(Z5780&gt;Z5779,Z5780,"")</f>
        <v/>
      </c>
      <c r="AB5780">
        <f>AB5779+IF(X5780="",0,IF(ISNA(MATCH(X5780,X$256:X5779,0)),1,0))</f>
        <v/>
      </c>
      <c r="AC5780">
        <f>IF(AB5780&gt;AB5779,AB5780,"")</f>
        <v/>
      </c>
    </row>
    <row r="5781">
      <c r="W5781" s="7" t="n"/>
      <c r="X5781" s="7" t="n"/>
      <c r="Z5781">
        <f>Z5780+IF(W5781="",0,IF(ISNA(MATCH(W5781,W$256:W5780,0)),1,0))</f>
        <v/>
      </c>
      <c r="AA5781">
        <f>IF(Z5781&gt;Z5780,Z5781,"")</f>
        <v/>
      </c>
      <c r="AB5781">
        <f>AB5780+IF(X5781="",0,IF(ISNA(MATCH(X5781,X$256:X5780,0)),1,0))</f>
        <v/>
      </c>
      <c r="AC5781">
        <f>IF(AB5781&gt;AB5780,AB5781,"")</f>
        <v/>
      </c>
    </row>
    <row r="5782">
      <c r="W5782" s="7" t="n"/>
      <c r="X5782" s="7" t="n"/>
      <c r="Z5782">
        <f>Z5781+IF(W5782="",0,IF(ISNA(MATCH(W5782,W$256:W5781,0)),1,0))</f>
        <v/>
      </c>
      <c r="AA5782">
        <f>IF(Z5782&gt;Z5781,Z5782,"")</f>
        <v/>
      </c>
      <c r="AB5782">
        <f>AB5781+IF(X5782="",0,IF(ISNA(MATCH(X5782,X$256:X5781,0)),1,0))</f>
        <v/>
      </c>
      <c r="AC5782">
        <f>IF(AB5782&gt;AB5781,AB5782,"")</f>
        <v/>
      </c>
    </row>
    <row r="5783">
      <c r="W5783" s="7" t="n"/>
      <c r="X5783" s="7" t="n"/>
      <c r="Z5783">
        <f>Z5782+IF(W5783="",0,IF(ISNA(MATCH(W5783,W$256:W5782,0)),1,0))</f>
        <v/>
      </c>
      <c r="AA5783">
        <f>IF(Z5783&gt;Z5782,Z5783,"")</f>
        <v/>
      </c>
      <c r="AB5783">
        <f>AB5782+IF(X5783="",0,IF(ISNA(MATCH(X5783,X$256:X5782,0)),1,0))</f>
        <v/>
      </c>
      <c r="AC5783">
        <f>IF(AB5783&gt;AB5782,AB5783,"")</f>
        <v/>
      </c>
    </row>
    <row r="5784">
      <c r="W5784" s="7" t="n"/>
      <c r="X5784" s="7" t="n"/>
      <c r="Z5784">
        <f>Z5783+IF(W5784="",0,IF(ISNA(MATCH(W5784,W$256:W5783,0)),1,0))</f>
        <v/>
      </c>
      <c r="AA5784">
        <f>IF(Z5784&gt;Z5783,Z5784,"")</f>
        <v/>
      </c>
      <c r="AB5784">
        <f>AB5783+IF(X5784="",0,IF(ISNA(MATCH(X5784,X$256:X5783,0)),1,0))</f>
        <v/>
      </c>
      <c r="AC5784">
        <f>IF(AB5784&gt;AB5783,AB5784,"")</f>
        <v/>
      </c>
    </row>
    <row r="5785">
      <c r="W5785" s="7" t="n"/>
      <c r="X5785" s="7" t="n"/>
      <c r="Z5785">
        <f>Z5784+IF(W5785="",0,IF(ISNA(MATCH(W5785,W$256:W5784,0)),1,0))</f>
        <v/>
      </c>
      <c r="AA5785">
        <f>IF(Z5785&gt;Z5784,Z5785,"")</f>
        <v/>
      </c>
      <c r="AB5785">
        <f>AB5784+IF(X5785="",0,IF(ISNA(MATCH(X5785,X$256:X5784,0)),1,0))</f>
        <v/>
      </c>
      <c r="AC5785">
        <f>IF(AB5785&gt;AB5784,AB5785,"")</f>
        <v/>
      </c>
    </row>
    <row r="5786">
      <c r="W5786" s="7" t="n"/>
      <c r="X5786" s="7" t="n"/>
      <c r="Z5786">
        <f>Z5785+IF(W5786="",0,IF(ISNA(MATCH(W5786,W$256:W5785,0)),1,0))</f>
        <v/>
      </c>
      <c r="AA5786">
        <f>IF(Z5786&gt;Z5785,Z5786,"")</f>
        <v/>
      </c>
      <c r="AB5786">
        <f>AB5785+IF(X5786="",0,IF(ISNA(MATCH(X5786,X$256:X5785,0)),1,0))</f>
        <v/>
      </c>
      <c r="AC5786">
        <f>IF(AB5786&gt;AB5785,AB5786,"")</f>
        <v/>
      </c>
    </row>
    <row r="5787">
      <c r="W5787" s="7" t="n"/>
      <c r="X5787" s="7" t="n"/>
      <c r="Z5787">
        <f>Z5786+IF(W5787="",0,IF(ISNA(MATCH(W5787,W$256:W5786,0)),1,0))</f>
        <v/>
      </c>
      <c r="AA5787">
        <f>IF(Z5787&gt;Z5786,Z5787,"")</f>
        <v/>
      </c>
      <c r="AB5787">
        <f>AB5786+IF(X5787="",0,IF(ISNA(MATCH(X5787,X$256:X5786,0)),1,0))</f>
        <v/>
      </c>
      <c r="AC5787">
        <f>IF(AB5787&gt;AB5786,AB5787,"")</f>
        <v/>
      </c>
    </row>
    <row r="5788">
      <c r="W5788" s="7" t="n"/>
      <c r="X5788" s="7" t="n"/>
      <c r="Z5788">
        <f>Z5787+IF(W5788="",0,IF(ISNA(MATCH(W5788,W$256:W5787,0)),1,0))</f>
        <v/>
      </c>
      <c r="AA5788">
        <f>IF(Z5788&gt;Z5787,Z5788,"")</f>
        <v/>
      </c>
      <c r="AB5788">
        <f>AB5787+IF(X5788="",0,IF(ISNA(MATCH(X5788,X$256:X5787,0)),1,0))</f>
        <v/>
      </c>
      <c r="AC5788">
        <f>IF(AB5788&gt;AB5787,AB5788,"")</f>
        <v/>
      </c>
    </row>
    <row r="5789">
      <c r="W5789" s="7" t="n"/>
      <c r="X5789" s="7" t="n"/>
      <c r="Z5789">
        <f>Z5788+IF(W5789="",0,IF(ISNA(MATCH(W5789,W$256:W5788,0)),1,0))</f>
        <v/>
      </c>
      <c r="AA5789">
        <f>IF(Z5789&gt;Z5788,Z5789,"")</f>
        <v/>
      </c>
      <c r="AB5789">
        <f>AB5788+IF(X5789="",0,IF(ISNA(MATCH(X5789,X$256:X5788,0)),1,0))</f>
        <v/>
      </c>
      <c r="AC5789">
        <f>IF(AB5789&gt;AB5788,AB5789,"")</f>
        <v/>
      </c>
    </row>
    <row r="5790">
      <c r="W5790" s="7" t="n"/>
      <c r="X5790" s="7" t="n"/>
      <c r="Z5790">
        <f>Z5789+IF(W5790="",0,IF(ISNA(MATCH(W5790,W$256:W5789,0)),1,0))</f>
        <v/>
      </c>
      <c r="AA5790">
        <f>IF(Z5790&gt;Z5789,Z5790,"")</f>
        <v/>
      </c>
      <c r="AB5790">
        <f>AB5789+IF(X5790="",0,IF(ISNA(MATCH(X5790,X$256:X5789,0)),1,0))</f>
        <v/>
      </c>
      <c r="AC5790">
        <f>IF(AB5790&gt;AB5789,AB5790,"")</f>
        <v/>
      </c>
    </row>
    <row r="5791">
      <c r="W5791" s="7" t="n"/>
      <c r="X5791" s="7" t="n"/>
      <c r="Z5791">
        <f>Z5790+IF(W5791="",0,IF(ISNA(MATCH(W5791,W$256:W5790,0)),1,0))</f>
        <v/>
      </c>
      <c r="AA5791">
        <f>IF(Z5791&gt;Z5790,Z5791,"")</f>
        <v/>
      </c>
      <c r="AB5791">
        <f>AB5790+IF(X5791="",0,IF(ISNA(MATCH(X5791,X$256:X5790,0)),1,0))</f>
        <v/>
      </c>
      <c r="AC5791">
        <f>IF(AB5791&gt;AB5790,AB5791,"")</f>
        <v/>
      </c>
    </row>
    <row r="5792">
      <c r="W5792" s="7" t="n"/>
      <c r="X5792" s="7" t="n"/>
      <c r="Z5792">
        <f>Z5791+IF(W5792="",0,IF(ISNA(MATCH(W5792,W$256:W5791,0)),1,0))</f>
        <v/>
      </c>
      <c r="AA5792">
        <f>IF(Z5792&gt;Z5791,Z5792,"")</f>
        <v/>
      </c>
      <c r="AB5792">
        <f>AB5791+IF(X5792="",0,IF(ISNA(MATCH(X5792,X$256:X5791,0)),1,0))</f>
        <v/>
      </c>
      <c r="AC5792">
        <f>IF(AB5792&gt;AB5791,AB5792,"")</f>
        <v/>
      </c>
    </row>
    <row r="5793">
      <c r="W5793" s="7" t="n"/>
      <c r="X5793" s="7" t="n"/>
      <c r="Z5793">
        <f>Z5792+IF(W5793="",0,IF(ISNA(MATCH(W5793,W$256:W5792,0)),1,0))</f>
        <v/>
      </c>
      <c r="AA5793">
        <f>IF(Z5793&gt;Z5792,Z5793,"")</f>
        <v/>
      </c>
      <c r="AB5793">
        <f>AB5792+IF(X5793="",0,IF(ISNA(MATCH(X5793,X$256:X5792,0)),1,0))</f>
        <v/>
      </c>
      <c r="AC5793">
        <f>IF(AB5793&gt;AB5792,AB5793,"")</f>
        <v/>
      </c>
    </row>
    <row r="5794">
      <c r="W5794" s="7" t="n"/>
      <c r="X5794" s="7" t="n"/>
      <c r="Z5794">
        <f>Z5793+IF(W5794="",0,IF(ISNA(MATCH(W5794,W$256:W5793,0)),1,0))</f>
        <v/>
      </c>
      <c r="AA5794">
        <f>IF(Z5794&gt;Z5793,Z5794,"")</f>
        <v/>
      </c>
      <c r="AB5794">
        <f>AB5793+IF(X5794="",0,IF(ISNA(MATCH(X5794,X$256:X5793,0)),1,0))</f>
        <v/>
      </c>
      <c r="AC5794">
        <f>IF(AB5794&gt;AB5793,AB5794,"")</f>
        <v/>
      </c>
    </row>
    <row r="5795">
      <c r="W5795" s="7" t="n"/>
      <c r="X5795" s="7" t="n"/>
      <c r="Z5795">
        <f>Z5794+IF(W5795="",0,IF(ISNA(MATCH(W5795,W$256:W5794,0)),1,0))</f>
        <v/>
      </c>
      <c r="AA5795">
        <f>IF(Z5795&gt;Z5794,Z5795,"")</f>
        <v/>
      </c>
      <c r="AB5795">
        <f>AB5794+IF(X5795="",0,IF(ISNA(MATCH(X5795,X$256:X5794,0)),1,0))</f>
        <v/>
      </c>
      <c r="AC5795">
        <f>IF(AB5795&gt;AB5794,AB5795,"")</f>
        <v/>
      </c>
    </row>
    <row r="5796">
      <c r="W5796" s="7" t="n"/>
      <c r="X5796" s="7" t="n"/>
      <c r="Z5796">
        <f>Z5795+IF(W5796="",0,IF(ISNA(MATCH(W5796,W$256:W5795,0)),1,0))</f>
        <v/>
      </c>
      <c r="AA5796">
        <f>IF(Z5796&gt;Z5795,Z5796,"")</f>
        <v/>
      </c>
      <c r="AB5796">
        <f>AB5795+IF(X5796="",0,IF(ISNA(MATCH(X5796,X$256:X5795,0)),1,0))</f>
        <v/>
      </c>
      <c r="AC5796">
        <f>IF(AB5796&gt;AB5795,AB5796,"")</f>
        <v/>
      </c>
    </row>
    <row r="5797">
      <c r="W5797" s="7" t="n"/>
      <c r="X5797" s="7" t="n"/>
      <c r="Z5797">
        <f>Z5796+IF(W5797="",0,IF(ISNA(MATCH(W5797,W$256:W5796,0)),1,0))</f>
        <v/>
      </c>
      <c r="AA5797">
        <f>IF(Z5797&gt;Z5796,Z5797,"")</f>
        <v/>
      </c>
      <c r="AB5797">
        <f>AB5796+IF(X5797="",0,IF(ISNA(MATCH(X5797,X$256:X5796,0)),1,0))</f>
        <v/>
      </c>
      <c r="AC5797">
        <f>IF(AB5797&gt;AB5796,AB5797,"")</f>
        <v/>
      </c>
    </row>
    <row r="5798">
      <c r="W5798" s="7" t="n"/>
      <c r="X5798" s="7" t="n"/>
      <c r="Z5798">
        <f>Z5797+IF(W5798="",0,IF(ISNA(MATCH(W5798,W$256:W5797,0)),1,0))</f>
        <v/>
      </c>
      <c r="AA5798">
        <f>IF(Z5798&gt;Z5797,Z5798,"")</f>
        <v/>
      </c>
      <c r="AB5798">
        <f>AB5797+IF(X5798="",0,IF(ISNA(MATCH(X5798,X$256:X5797,0)),1,0))</f>
        <v/>
      </c>
      <c r="AC5798">
        <f>IF(AB5798&gt;AB5797,AB5798,"")</f>
        <v/>
      </c>
    </row>
    <row r="5799">
      <c r="W5799" s="7" t="n"/>
      <c r="X5799" s="7" t="n"/>
      <c r="Z5799">
        <f>Z5798+IF(W5799="",0,IF(ISNA(MATCH(W5799,W$256:W5798,0)),1,0))</f>
        <v/>
      </c>
      <c r="AA5799">
        <f>IF(Z5799&gt;Z5798,Z5799,"")</f>
        <v/>
      </c>
      <c r="AB5799">
        <f>AB5798+IF(X5799="",0,IF(ISNA(MATCH(X5799,X$256:X5798,0)),1,0))</f>
        <v/>
      </c>
      <c r="AC5799">
        <f>IF(AB5799&gt;AB5798,AB5799,"")</f>
        <v/>
      </c>
    </row>
    <row r="5800">
      <c r="W5800" s="7" t="n"/>
      <c r="X5800" s="7" t="n"/>
      <c r="Z5800">
        <f>Z5799+IF(W5800="",0,IF(ISNA(MATCH(W5800,W$256:W5799,0)),1,0))</f>
        <v/>
      </c>
      <c r="AA5800">
        <f>IF(Z5800&gt;Z5799,Z5800,"")</f>
        <v/>
      </c>
      <c r="AB5800">
        <f>AB5799+IF(X5800="",0,IF(ISNA(MATCH(X5800,X$256:X5799,0)),1,0))</f>
        <v/>
      </c>
      <c r="AC5800">
        <f>IF(AB5800&gt;AB5799,AB5800,"")</f>
        <v/>
      </c>
    </row>
    <row r="5801">
      <c r="W5801" s="7" t="n"/>
      <c r="X5801" s="7" t="n"/>
      <c r="Z5801">
        <f>Z5800+IF(W5801="",0,IF(ISNA(MATCH(W5801,W$256:W5800,0)),1,0))</f>
        <v/>
      </c>
      <c r="AA5801">
        <f>IF(Z5801&gt;Z5800,Z5801,"")</f>
        <v/>
      </c>
      <c r="AB5801">
        <f>AB5800+IF(X5801="",0,IF(ISNA(MATCH(X5801,X$256:X5800,0)),1,0))</f>
        <v/>
      </c>
      <c r="AC5801">
        <f>IF(AB5801&gt;AB5800,AB5801,"")</f>
        <v/>
      </c>
    </row>
    <row r="5802">
      <c r="W5802" s="7" t="n"/>
      <c r="X5802" s="7" t="n"/>
      <c r="Z5802">
        <f>Z5801+IF(W5802="",0,IF(ISNA(MATCH(W5802,W$256:W5801,0)),1,0))</f>
        <v/>
      </c>
      <c r="AA5802">
        <f>IF(Z5802&gt;Z5801,Z5802,"")</f>
        <v/>
      </c>
      <c r="AB5802">
        <f>AB5801+IF(X5802="",0,IF(ISNA(MATCH(X5802,X$256:X5801,0)),1,0))</f>
        <v/>
      </c>
      <c r="AC5802">
        <f>IF(AB5802&gt;AB5801,AB5802,"")</f>
        <v/>
      </c>
    </row>
    <row r="5803">
      <c r="W5803" s="7" t="n"/>
      <c r="X5803" s="7" t="n"/>
      <c r="Z5803">
        <f>Z5802+IF(W5803="",0,IF(ISNA(MATCH(W5803,W$256:W5802,0)),1,0))</f>
        <v/>
      </c>
      <c r="AA5803">
        <f>IF(Z5803&gt;Z5802,Z5803,"")</f>
        <v/>
      </c>
      <c r="AB5803">
        <f>AB5802+IF(X5803="",0,IF(ISNA(MATCH(X5803,X$256:X5802,0)),1,0))</f>
        <v/>
      </c>
      <c r="AC5803">
        <f>IF(AB5803&gt;AB5802,AB5803,"")</f>
        <v/>
      </c>
    </row>
    <row r="5804">
      <c r="W5804" s="7" t="n"/>
      <c r="X5804" s="7" t="n"/>
      <c r="Z5804">
        <f>Z5803+IF(W5804="",0,IF(ISNA(MATCH(W5804,W$256:W5803,0)),1,0))</f>
        <v/>
      </c>
      <c r="AA5804">
        <f>IF(Z5804&gt;Z5803,Z5804,"")</f>
        <v/>
      </c>
      <c r="AB5804">
        <f>AB5803+IF(X5804="",0,IF(ISNA(MATCH(X5804,X$256:X5803,0)),1,0))</f>
        <v/>
      </c>
      <c r="AC5804">
        <f>IF(AB5804&gt;AB5803,AB5804,"")</f>
        <v/>
      </c>
    </row>
    <row r="5805">
      <c r="W5805" s="7" t="n"/>
      <c r="X5805" s="7" t="n"/>
      <c r="Z5805">
        <f>Z5804+IF(W5805="",0,IF(ISNA(MATCH(W5805,W$256:W5804,0)),1,0))</f>
        <v/>
      </c>
      <c r="AA5805">
        <f>IF(Z5805&gt;Z5804,Z5805,"")</f>
        <v/>
      </c>
      <c r="AB5805">
        <f>AB5804+IF(X5805="",0,IF(ISNA(MATCH(X5805,X$256:X5804,0)),1,0))</f>
        <v/>
      </c>
      <c r="AC5805">
        <f>IF(AB5805&gt;AB5804,AB5805,"")</f>
        <v/>
      </c>
    </row>
    <row r="5806">
      <c r="W5806" s="7" t="n"/>
      <c r="X5806" s="7" t="n"/>
      <c r="Z5806">
        <f>Z5805+IF(W5806="",0,IF(ISNA(MATCH(W5806,W$256:W5805,0)),1,0))</f>
        <v/>
      </c>
      <c r="AA5806">
        <f>IF(Z5806&gt;Z5805,Z5806,"")</f>
        <v/>
      </c>
      <c r="AB5806">
        <f>AB5805+IF(X5806="",0,IF(ISNA(MATCH(X5806,X$256:X5805,0)),1,0))</f>
        <v/>
      </c>
      <c r="AC5806">
        <f>IF(AB5806&gt;AB5805,AB5806,"")</f>
        <v/>
      </c>
    </row>
    <row r="5807">
      <c r="W5807" s="7" t="n"/>
      <c r="X5807" s="7" t="n"/>
      <c r="Z5807">
        <f>Z5806+IF(W5807="",0,IF(ISNA(MATCH(W5807,W$256:W5806,0)),1,0))</f>
        <v/>
      </c>
      <c r="AA5807">
        <f>IF(Z5807&gt;Z5806,Z5807,"")</f>
        <v/>
      </c>
      <c r="AB5807">
        <f>AB5806+IF(X5807="",0,IF(ISNA(MATCH(X5807,X$256:X5806,0)),1,0))</f>
        <v/>
      </c>
      <c r="AC5807">
        <f>IF(AB5807&gt;AB5806,AB5807,"")</f>
        <v/>
      </c>
    </row>
    <row r="5808">
      <c r="W5808" s="7" t="n"/>
      <c r="X5808" s="7" t="n"/>
      <c r="Z5808">
        <f>Z5807+IF(W5808="",0,IF(ISNA(MATCH(W5808,W$256:W5807,0)),1,0))</f>
        <v/>
      </c>
      <c r="AA5808">
        <f>IF(Z5808&gt;Z5807,Z5808,"")</f>
        <v/>
      </c>
      <c r="AB5808">
        <f>AB5807+IF(X5808="",0,IF(ISNA(MATCH(X5808,X$256:X5807,0)),1,0))</f>
        <v/>
      </c>
      <c r="AC5808">
        <f>IF(AB5808&gt;AB5807,AB5808,"")</f>
        <v/>
      </c>
    </row>
    <row r="5809">
      <c r="W5809" s="7" t="n"/>
      <c r="X5809" s="7" t="n"/>
      <c r="Z5809">
        <f>Z5808+IF(W5809="",0,IF(ISNA(MATCH(W5809,W$256:W5808,0)),1,0))</f>
        <v/>
      </c>
      <c r="AA5809">
        <f>IF(Z5809&gt;Z5808,Z5809,"")</f>
        <v/>
      </c>
      <c r="AB5809">
        <f>AB5808+IF(X5809="",0,IF(ISNA(MATCH(X5809,X$256:X5808,0)),1,0))</f>
        <v/>
      </c>
      <c r="AC5809">
        <f>IF(AB5809&gt;AB5808,AB5809,"")</f>
        <v/>
      </c>
    </row>
    <row r="5810">
      <c r="W5810" s="7" t="n"/>
      <c r="X5810" s="7" t="n"/>
      <c r="Z5810">
        <f>Z5809+IF(W5810="",0,IF(ISNA(MATCH(W5810,W$256:W5809,0)),1,0))</f>
        <v/>
      </c>
      <c r="AA5810">
        <f>IF(Z5810&gt;Z5809,Z5810,"")</f>
        <v/>
      </c>
      <c r="AB5810">
        <f>AB5809+IF(X5810="",0,IF(ISNA(MATCH(X5810,X$256:X5809,0)),1,0))</f>
        <v/>
      </c>
      <c r="AC5810">
        <f>IF(AB5810&gt;AB5809,AB5810,"")</f>
        <v/>
      </c>
    </row>
    <row r="5811">
      <c r="W5811" s="7" t="n"/>
      <c r="X5811" s="7" t="n"/>
      <c r="Z5811">
        <f>Z5810+IF(W5811="",0,IF(ISNA(MATCH(W5811,W$256:W5810,0)),1,0))</f>
        <v/>
      </c>
      <c r="AA5811">
        <f>IF(Z5811&gt;Z5810,Z5811,"")</f>
        <v/>
      </c>
      <c r="AB5811">
        <f>AB5810+IF(X5811="",0,IF(ISNA(MATCH(X5811,X$256:X5810,0)),1,0))</f>
        <v/>
      </c>
      <c r="AC5811">
        <f>IF(AB5811&gt;AB5810,AB5811,"")</f>
        <v/>
      </c>
    </row>
    <row r="5812">
      <c r="W5812" s="7" t="n"/>
      <c r="X5812" s="7" t="n"/>
      <c r="Z5812">
        <f>Z5811+IF(W5812="",0,IF(ISNA(MATCH(W5812,W$256:W5811,0)),1,0))</f>
        <v/>
      </c>
      <c r="AA5812">
        <f>IF(Z5812&gt;Z5811,Z5812,"")</f>
        <v/>
      </c>
      <c r="AB5812">
        <f>AB5811+IF(X5812="",0,IF(ISNA(MATCH(X5812,X$256:X5811,0)),1,0))</f>
        <v/>
      </c>
      <c r="AC5812">
        <f>IF(AB5812&gt;AB5811,AB5812,"")</f>
        <v/>
      </c>
    </row>
    <row r="5813">
      <c r="W5813" s="7" t="n"/>
      <c r="X5813" s="7" t="n"/>
      <c r="Z5813">
        <f>Z5812+IF(W5813="",0,IF(ISNA(MATCH(W5813,W$256:W5812,0)),1,0))</f>
        <v/>
      </c>
      <c r="AA5813">
        <f>IF(Z5813&gt;Z5812,Z5813,"")</f>
        <v/>
      </c>
      <c r="AB5813">
        <f>AB5812+IF(X5813="",0,IF(ISNA(MATCH(X5813,X$256:X5812,0)),1,0))</f>
        <v/>
      </c>
      <c r="AC5813">
        <f>IF(AB5813&gt;AB5812,AB5813,"")</f>
        <v/>
      </c>
    </row>
    <row r="5814">
      <c r="W5814" s="7" t="n"/>
      <c r="X5814" s="7" t="n"/>
      <c r="Z5814">
        <f>Z5813+IF(W5814="",0,IF(ISNA(MATCH(W5814,W$256:W5813,0)),1,0))</f>
        <v/>
      </c>
      <c r="AA5814">
        <f>IF(Z5814&gt;Z5813,Z5814,"")</f>
        <v/>
      </c>
      <c r="AB5814">
        <f>AB5813+IF(X5814="",0,IF(ISNA(MATCH(X5814,X$256:X5813,0)),1,0))</f>
        <v/>
      </c>
      <c r="AC5814">
        <f>IF(AB5814&gt;AB5813,AB5814,"")</f>
        <v/>
      </c>
    </row>
    <row r="5815">
      <c r="W5815" s="7" t="n"/>
      <c r="X5815" s="7" t="n"/>
      <c r="Z5815">
        <f>Z5814+IF(W5815="",0,IF(ISNA(MATCH(W5815,W$256:W5814,0)),1,0))</f>
        <v/>
      </c>
      <c r="AA5815">
        <f>IF(Z5815&gt;Z5814,Z5815,"")</f>
        <v/>
      </c>
      <c r="AB5815">
        <f>AB5814+IF(X5815="",0,IF(ISNA(MATCH(X5815,X$256:X5814,0)),1,0))</f>
        <v/>
      </c>
      <c r="AC5815">
        <f>IF(AB5815&gt;AB5814,AB5815,"")</f>
        <v/>
      </c>
    </row>
    <row r="5816">
      <c r="W5816" s="7" t="n"/>
      <c r="X5816" s="7" t="n"/>
      <c r="Z5816">
        <f>Z5815+IF(W5816="",0,IF(ISNA(MATCH(W5816,W$256:W5815,0)),1,0))</f>
        <v/>
      </c>
      <c r="AA5816">
        <f>IF(Z5816&gt;Z5815,Z5816,"")</f>
        <v/>
      </c>
      <c r="AB5816">
        <f>AB5815+IF(X5816="",0,IF(ISNA(MATCH(X5816,X$256:X5815,0)),1,0))</f>
        <v/>
      </c>
      <c r="AC5816">
        <f>IF(AB5816&gt;AB5815,AB5816,"")</f>
        <v/>
      </c>
    </row>
    <row r="5817">
      <c r="W5817" s="7" t="n"/>
      <c r="X5817" s="7" t="n"/>
      <c r="Z5817">
        <f>Z5816+IF(W5817="",0,IF(ISNA(MATCH(W5817,W$256:W5816,0)),1,0))</f>
        <v/>
      </c>
      <c r="AA5817">
        <f>IF(Z5817&gt;Z5816,Z5817,"")</f>
        <v/>
      </c>
      <c r="AB5817">
        <f>AB5816+IF(X5817="",0,IF(ISNA(MATCH(X5817,X$256:X5816,0)),1,0))</f>
        <v/>
      </c>
      <c r="AC5817">
        <f>IF(AB5817&gt;AB5816,AB5817,"")</f>
        <v/>
      </c>
    </row>
    <row r="5818">
      <c r="W5818" s="7" t="n"/>
      <c r="X5818" s="7" t="n"/>
      <c r="Z5818">
        <f>Z5817+IF(W5818="",0,IF(ISNA(MATCH(W5818,W$256:W5817,0)),1,0))</f>
        <v/>
      </c>
      <c r="AA5818">
        <f>IF(Z5818&gt;Z5817,Z5818,"")</f>
        <v/>
      </c>
      <c r="AB5818">
        <f>AB5817+IF(X5818="",0,IF(ISNA(MATCH(X5818,X$256:X5817,0)),1,0))</f>
        <v/>
      </c>
      <c r="AC5818">
        <f>IF(AB5818&gt;AB5817,AB5818,"")</f>
        <v/>
      </c>
    </row>
    <row r="5819">
      <c r="W5819" s="7" t="n"/>
      <c r="X5819" s="7" t="n"/>
      <c r="Z5819">
        <f>Z5818+IF(W5819="",0,IF(ISNA(MATCH(W5819,W$256:W5818,0)),1,0))</f>
        <v/>
      </c>
      <c r="AA5819">
        <f>IF(Z5819&gt;Z5818,Z5819,"")</f>
        <v/>
      </c>
      <c r="AB5819">
        <f>AB5818+IF(X5819="",0,IF(ISNA(MATCH(X5819,X$256:X5818,0)),1,0))</f>
        <v/>
      </c>
      <c r="AC5819">
        <f>IF(AB5819&gt;AB5818,AB5819,"")</f>
        <v/>
      </c>
    </row>
    <row r="5820">
      <c r="W5820" s="7" t="n"/>
      <c r="X5820" s="7" t="n"/>
      <c r="Z5820">
        <f>Z5819+IF(W5820="",0,IF(ISNA(MATCH(W5820,W$256:W5819,0)),1,0))</f>
        <v/>
      </c>
      <c r="AA5820">
        <f>IF(Z5820&gt;Z5819,Z5820,"")</f>
        <v/>
      </c>
      <c r="AB5820">
        <f>AB5819+IF(X5820="",0,IF(ISNA(MATCH(X5820,X$256:X5819,0)),1,0))</f>
        <v/>
      </c>
      <c r="AC5820">
        <f>IF(AB5820&gt;AB5819,AB5820,"")</f>
        <v/>
      </c>
    </row>
    <row r="5821">
      <c r="W5821" s="7" t="n"/>
      <c r="X5821" s="7" t="n"/>
      <c r="Z5821">
        <f>Z5820+IF(W5821="",0,IF(ISNA(MATCH(W5821,W$256:W5820,0)),1,0))</f>
        <v/>
      </c>
      <c r="AA5821">
        <f>IF(Z5821&gt;Z5820,Z5821,"")</f>
        <v/>
      </c>
      <c r="AB5821">
        <f>AB5820+IF(X5821="",0,IF(ISNA(MATCH(X5821,X$256:X5820,0)),1,0))</f>
        <v/>
      </c>
      <c r="AC5821">
        <f>IF(AB5821&gt;AB5820,AB5821,"")</f>
        <v/>
      </c>
    </row>
    <row r="5822">
      <c r="W5822" s="7" t="n"/>
      <c r="X5822" s="7" t="n"/>
      <c r="Z5822">
        <f>Z5821+IF(W5822="",0,IF(ISNA(MATCH(W5822,W$256:W5821,0)),1,0))</f>
        <v/>
      </c>
      <c r="AA5822">
        <f>IF(Z5822&gt;Z5821,Z5822,"")</f>
        <v/>
      </c>
      <c r="AB5822">
        <f>AB5821+IF(X5822="",0,IF(ISNA(MATCH(X5822,X$256:X5821,0)),1,0))</f>
        <v/>
      </c>
      <c r="AC5822">
        <f>IF(AB5822&gt;AB5821,AB5822,"")</f>
        <v/>
      </c>
    </row>
    <row r="5823">
      <c r="W5823" s="7" t="n"/>
      <c r="X5823" s="7" t="n"/>
      <c r="Z5823">
        <f>Z5822+IF(W5823="",0,IF(ISNA(MATCH(W5823,W$256:W5822,0)),1,0))</f>
        <v/>
      </c>
      <c r="AA5823">
        <f>IF(Z5823&gt;Z5822,Z5823,"")</f>
        <v/>
      </c>
      <c r="AB5823">
        <f>AB5822+IF(X5823="",0,IF(ISNA(MATCH(X5823,X$256:X5822,0)),1,0))</f>
        <v/>
      </c>
      <c r="AC5823">
        <f>IF(AB5823&gt;AB5822,AB5823,"")</f>
        <v/>
      </c>
    </row>
    <row r="5824">
      <c r="W5824" s="7" t="n"/>
      <c r="X5824" s="7" t="n"/>
      <c r="Z5824">
        <f>Z5823+IF(W5824="",0,IF(ISNA(MATCH(W5824,W$256:W5823,0)),1,0))</f>
        <v/>
      </c>
      <c r="AA5824">
        <f>IF(Z5824&gt;Z5823,Z5824,"")</f>
        <v/>
      </c>
      <c r="AB5824">
        <f>AB5823+IF(X5824="",0,IF(ISNA(MATCH(X5824,X$256:X5823,0)),1,0))</f>
        <v/>
      </c>
      <c r="AC5824">
        <f>IF(AB5824&gt;AB5823,AB5824,"")</f>
        <v/>
      </c>
    </row>
    <row r="5825">
      <c r="W5825" s="7" t="n"/>
      <c r="X5825" s="7" t="n"/>
      <c r="Z5825">
        <f>Z5824+IF(W5825="",0,IF(ISNA(MATCH(W5825,W$256:W5824,0)),1,0))</f>
        <v/>
      </c>
      <c r="AA5825">
        <f>IF(Z5825&gt;Z5824,Z5825,"")</f>
        <v/>
      </c>
      <c r="AB5825">
        <f>AB5824+IF(X5825="",0,IF(ISNA(MATCH(X5825,X$256:X5824,0)),1,0))</f>
        <v/>
      </c>
      <c r="AC5825">
        <f>IF(AB5825&gt;AB5824,AB5825,"")</f>
        <v/>
      </c>
    </row>
    <row r="5826">
      <c r="W5826" s="7" t="n"/>
      <c r="X5826" s="7" t="n"/>
      <c r="Z5826">
        <f>Z5825+IF(W5826="",0,IF(ISNA(MATCH(W5826,W$256:W5825,0)),1,0))</f>
        <v/>
      </c>
      <c r="AA5826">
        <f>IF(Z5826&gt;Z5825,Z5826,"")</f>
        <v/>
      </c>
      <c r="AB5826">
        <f>AB5825+IF(X5826="",0,IF(ISNA(MATCH(X5826,X$256:X5825,0)),1,0))</f>
        <v/>
      </c>
      <c r="AC5826">
        <f>IF(AB5826&gt;AB5825,AB5826,"")</f>
        <v/>
      </c>
    </row>
    <row r="5827">
      <c r="W5827" s="7" t="n"/>
      <c r="X5827" s="7" t="n"/>
      <c r="Z5827">
        <f>Z5826+IF(W5827="",0,IF(ISNA(MATCH(W5827,W$256:W5826,0)),1,0))</f>
        <v/>
      </c>
      <c r="AA5827">
        <f>IF(Z5827&gt;Z5826,Z5827,"")</f>
        <v/>
      </c>
      <c r="AB5827">
        <f>AB5826+IF(X5827="",0,IF(ISNA(MATCH(X5827,X$256:X5826,0)),1,0))</f>
        <v/>
      </c>
      <c r="AC5827">
        <f>IF(AB5827&gt;AB5826,AB5827,"")</f>
        <v/>
      </c>
    </row>
    <row r="5828">
      <c r="W5828" s="7" t="n"/>
      <c r="X5828" s="7" t="n"/>
      <c r="Z5828">
        <f>Z5827+IF(W5828="",0,IF(ISNA(MATCH(W5828,W$256:W5827,0)),1,0))</f>
        <v/>
      </c>
      <c r="AA5828">
        <f>IF(Z5828&gt;Z5827,Z5828,"")</f>
        <v/>
      </c>
      <c r="AB5828">
        <f>AB5827+IF(X5828="",0,IF(ISNA(MATCH(X5828,X$256:X5827,0)),1,0))</f>
        <v/>
      </c>
      <c r="AC5828">
        <f>IF(AB5828&gt;AB5827,AB5828,"")</f>
        <v/>
      </c>
    </row>
    <row r="5829">
      <c r="W5829" s="7" t="n"/>
      <c r="X5829" s="7" t="n"/>
      <c r="Z5829">
        <f>Z5828+IF(W5829="",0,IF(ISNA(MATCH(W5829,W$256:W5828,0)),1,0))</f>
        <v/>
      </c>
      <c r="AA5829">
        <f>IF(Z5829&gt;Z5828,Z5829,"")</f>
        <v/>
      </c>
      <c r="AB5829">
        <f>AB5828+IF(X5829="",0,IF(ISNA(MATCH(X5829,X$256:X5828,0)),1,0))</f>
        <v/>
      </c>
      <c r="AC5829">
        <f>IF(AB5829&gt;AB5828,AB5829,"")</f>
        <v/>
      </c>
    </row>
    <row r="5830">
      <c r="W5830" s="7" t="n"/>
      <c r="X5830" s="7" t="n"/>
      <c r="Z5830">
        <f>Z5829+IF(W5830="",0,IF(ISNA(MATCH(W5830,W$256:W5829,0)),1,0))</f>
        <v/>
      </c>
      <c r="AA5830">
        <f>IF(Z5830&gt;Z5829,Z5830,"")</f>
        <v/>
      </c>
      <c r="AB5830">
        <f>AB5829+IF(X5830="",0,IF(ISNA(MATCH(X5830,X$256:X5829,0)),1,0))</f>
        <v/>
      </c>
      <c r="AC5830">
        <f>IF(AB5830&gt;AB5829,AB5830,"")</f>
        <v/>
      </c>
    </row>
    <row r="5831">
      <c r="W5831" s="7" t="n"/>
      <c r="X5831" s="7" t="n"/>
      <c r="Z5831">
        <f>Z5830+IF(W5831="",0,IF(ISNA(MATCH(W5831,W$256:W5830,0)),1,0))</f>
        <v/>
      </c>
      <c r="AA5831">
        <f>IF(Z5831&gt;Z5830,Z5831,"")</f>
        <v/>
      </c>
      <c r="AB5831">
        <f>AB5830+IF(X5831="",0,IF(ISNA(MATCH(X5831,X$256:X5830,0)),1,0))</f>
        <v/>
      </c>
      <c r="AC5831">
        <f>IF(AB5831&gt;AB5830,AB5831,"")</f>
        <v/>
      </c>
    </row>
    <row r="5832">
      <c r="W5832" s="7" t="n"/>
      <c r="X5832" s="7" t="n"/>
      <c r="Z5832">
        <f>Z5831+IF(W5832="",0,IF(ISNA(MATCH(W5832,W$256:W5831,0)),1,0))</f>
        <v/>
      </c>
      <c r="AA5832">
        <f>IF(Z5832&gt;Z5831,Z5832,"")</f>
        <v/>
      </c>
      <c r="AB5832">
        <f>AB5831+IF(X5832="",0,IF(ISNA(MATCH(X5832,X$256:X5831,0)),1,0))</f>
        <v/>
      </c>
      <c r="AC5832">
        <f>IF(AB5832&gt;AB5831,AB5832,"")</f>
        <v/>
      </c>
    </row>
    <row r="5833">
      <c r="W5833" s="7" t="n"/>
      <c r="X5833" s="7" t="n"/>
      <c r="Z5833">
        <f>Z5832+IF(W5833="",0,IF(ISNA(MATCH(W5833,W$256:W5832,0)),1,0))</f>
        <v/>
      </c>
      <c r="AA5833">
        <f>IF(Z5833&gt;Z5832,Z5833,"")</f>
        <v/>
      </c>
      <c r="AB5833">
        <f>AB5832+IF(X5833="",0,IF(ISNA(MATCH(X5833,X$256:X5832,0)),1,0))</f>
        <v/>
      </c>
      <c r="AC5833">
        <f>IF(AB5833&gt;AB5832,AB5833,"")</f>
        <v/>
      </c>
    </row>
    <row r="5834">
      <c r="W5834" s="7" t="n"/>
      <c r="X5834" s="7" t="n"/>
      <c r="Z5834">
        <f>Z5833+IF(W5834="",0,IF(ISNA(MATCH(W5834,W$256:W5833,0)),1,0))</f>
        <v/>
      </c>
      <c r="AA5834">
        <f>IF(Z5834&gt;Z5833,Z5834,"")</f>
        <v/>
      </c>
      <c r="AB5834">
        <f>AB5833+IF(X5834="",0,IF(ISNA(MATCH(X5834,X$256:X5833,0)),1,0))</f>
        <v/>
      </c>
      <c r="AC5834">
        <f>IF(AB5834&gt;AB5833,AB5834,"")</f>
        <v/>
      </c>
    </row>
    <row r="5835">
      <c r="W5835" s="7" t="n"/>
      <c r="X5835" s="7" t="n"/>
      <c r="Z5835">
        <f>Z5834+IF(W5835="",0,IF(ISNA(MATCH(W5835,W$256:W5834,0)),1,0))</f>
        <v/>
      </c>
      <c r="AA5835">
        <f>IF(Z5835&gt;Z5834,Z5835,"")</f>
        <v/>
      </c>
      <c r="AB5835">
        <f>AB5834+IF(X5835="",0,IF(ISNA(MATCH(X5835,X$256:X5834,0)),1,0))</f>
        <v/>
      </c>
      <c r="AC5835">
        <f>IF(AB5835&gt;AB5834,AB5835,"")</f>
        <v/>
      </c>
    </row>
    <row r="5836">
      <c r="W5836" s="7" t="n"/>
      <c r="X5836" s="7" t="n"/>
      <c r="Z5836">
        <f>Z5835+IF(W5836="",0,IF(ISNA(MATCH(W5836,W$256:W5835,0)),1,0))</f>
        <v/>
      </c>
      <c r="AA5836">
        <f>IF(Z5836&gt;Z5835,Z5836,"")</f>
        <v/>
      </c>
      <c r="AB5836">
        <f>AB5835+IF(X5836="",0,IF(ISNA(MATCH(X5836,X$256:X5835,0)),1,0))</f>
        <v/>
      </c>
      <c r="AC5836">
        <f>IF(AB5836&gt;AB5835,AB5836,"")</f>
        <v/>
      </c>
    </row>
    <row r="5837">
      <c r="W5837" s="7" t="n"/>
      <c r="X5837" s="7" t="n"/>
      <c r="Z5837">
        <f>Z5836+IF(W5837="",0,IF(ISNA(MATCH(W5837,W$256:W5836,0)),1,0))</f>
        <v/>
      </c>
      <c r="AA5837">
        <f>IF(Z5837&gt;Z5836,Z5837,"")</f>
        <v/>
      </c>
      <c r="AB5837">
        <f>AB5836+IF(X5837="",0,IF(ISNA(MATCH(X5837,X$256:X5836,0)),1,0))</f>
        <v/>
      </c>
      <c r="AC5837">
        <f>IF(AB5837&gt;AB5836,AB5837,"")</f>
        <v/>
      </c>
    </row>
    <row r="5838">
      <c r="W5838" s="7" t="n"/>
      <c r="X5838" s="7" t="n"/>
      <c r="Z5838">
        <f>Z5837+IF(W5838="",0,IF(ISNA(MATCH(W5838,W$256:W5837,0)),1,0))</f>
        <v/>
      </c>
      <c r="AA5838">
        <f>IF(Z5838&gt;Z5837,Z5838,"")</f>
        <v/>
      </c>
      <c r="AB5838">
        <f>AB5837+IF(X5838="",0,IF(ISNA(MATCH(X5838,X$256:X5837,0)),1,0))</f>
        <v/>
      </c>
      <c r="AC5838">
        <f>IF(AB5838&gt;AB5837,AB5838,"")</f>
        <v/>
      </c>
    </row>
    <row r="5839">
      <c r="W5839" s="7" t="n"/>
      <c r="X5839" s="7" t="n"/>
      <c r="Z5839">
        <f>Z5838+IF(W5839="",0,IF(ISNA(MATCH(W5839,W$256:W5838,0)),1,0))</f>
        <v/>
      </c>
      <c r="AA5839">
        <f>IF(Z5839&gt;Z5838,Z5839,"")</f>
        <v/>
      </c>
      <c r="AB5839">
        <f>AB5838+IF(X5839="",0,IF(ISNA(MATCH(X5839,X$256:X5838,0)),1,0))</f>
        <v/>
      </c>
      <c r="AC5839">
        <f>IF(AB5839&gt;AB5838,AB5839,"")</f>
        <v/>
      </c>
    </row>
    <row r="5840">
      <c r="W5840" s="7" t="n"/>
      <c r="X5840" s="7" t="n"/>
      <c r="Z5840">
        <f>Z5839+IF(W5840="",0,IF(ISNA(MATCH(W5840,W$256:W5839,0)),1,0))</f>
        <v/>
      </c>
      <c r="AA5840">
        <f>IF(Z5840&gt;Z5839,Z5840,"")</f>
        <v/>
      </c>
      <c r="AB5840">
        <f>AB5839+IF(X5840="",0,IF(ISNA(MATCH(X5840,X$256:X5839,0)),1,0))</f>
        <v/>
      </c>
      <c r="AC5840">
        <f>IF(AB5840&gt;AB5839,AB5840,"")</f>
        <v/>
      </c>
    </row>
    <row r="5841">
      <c r="W5841" s="7" t="n"/>
      <c r="X5841" s="7" t="n"/>
      <c r="Z5841">
        <f>Z5840+IF(W5841="",0,IF(ISNA(MATCH(W5841,W$256:W5840,0)),1,0))</f>
        <v/>
      </c>
      <c r="AA5841">
        <f>IF(Z5841&gt;Z5840,Z5841,"")</f>
        <v/>
      </c>
      <c r="AB5841">
        <f>AB5840+IF(X5841="",0,IF(ISNA(MATCH(X5841,X$256:X5840,0)),1,0))</f>
        <v/>
      </c>
      <c r="AC5841">
        <f>IF(AB5841&gt;AB5840,AB5841,"")</f>
        <v/>
      </c>
    </row>
    <row r="5842">
      <c r="W5842" s="7" t="n"/>
      <c r="X5842" s="7" t="n"/>
      <c r="Z5842">
        <f>Z5841+IF(W5842="",0,IF(ISNA(MATCH(W5842,W$256:W5841,0)),1,0))</f>
        <v/>
      </c>
      <c r="AA5842">
        <f>IF(Z5842&gt;Z5841,Z5842,"")</f>
        <v/>
      </c>
      <c r="AB5842">
        <f>AB5841+IF(X5842="",0,IF(ISNA(MATCH(X5842,X$256:X5841,0)),1,0))</f>
        <v/>
      </c>
      <c r="AC5842">
        <f>IF(AB5842&gt;AB5841,AB5842,"")</f>
        <v/>
      </c>
    </row>
    <row r="5843">
      <c r="W5843" s="7" t="n"/>
      <c r="X5843" s="7" t="n"/>
      <c r="Z5843">
        <f>Z5842+IF(W5843="",0,IF(ISNA(MATCH(W5843,W$256:W5842,0)),1,0))</f>
        <v/>
      </c>
      <c r="AA5843">
        <f>IF(Z5843&gt;Z5842,Z5843,"")</f>
        <v/>
      </c>
      <c r="AB5843">
        <f>AB5842+IF(X5843="",0,IF(ISNA(MATCH(X5843,X$256:X5842,0)),1,0))</f>
        <v/>
      </c>
      <c r="AC5843">
        <f>IF(AB5843&gt;AB5842,AB5843,"")</f>
        <v/>
      </c>
    </row>
    <row r="5844">
      <c r="W5844" s="7" t="n"/>
      <c r="X5844" s="7" t="n"/>
      <c r="Z5844">
        <f>Z5843+IF(W5844="",0,IF(ISNA(MATCH(W5844,W$256:W5843,0)),1,0))</f>
        <v/>
      </c>
      <c r="AA5844">
        <f>IF(Z5844&gt;Z5843,Z5844,"")</f>
        <v/>
      </c>
      <c r="AB5844">
        <f>AB5843+IF(X5844="",0,IF(ISNA(MATCH(X5844,X$256:X5843,0)),1,0))</f>
        <v/>
      </c>
      <c r="AC5844">
        <f>IF(AB5844&gt;AB5843,AB5844,"")</f>
        <v/>
      </c>
    </row>
    <row r="5845">
      <c r="W5845" s="7" t="n"/>
      <c r="X5845" s="7" t="n"/>
      <c r="Z5845">
        <f>Z5844+IF(W5845="",0,IF(ISNA(MATCH(W5845,W$256:W5844,0)),1,0))</f>
        <v/>
      </c>
      <c r="AA5845">
        <f>IF(Z5845&gt;Z5844,Z5845,"")</f>
        <v/>
      </c>
      <c r="AB5845">
        <f>AB5844+IF(X5845="",0,IF(ISNA(MATCH(X5845,X$256:X5844,0)),1,0))</f>
        <v/>
      </c>
      <c r="AC5845">
        <f>IF(AB5845&gt;AB5844,AB5845,"")</f>
        <v/>
      </c>
    </row>
    <row r="5846">
      <c r="W5846" s="7" t="n"/>
      <c r="X5846" s="7" t="n"/>
      <c r="Z5846">
        <f>Z5845+IF(W5846="",0,IF(ISNA(MATCH(W5846,W$256:W5845,0)),1,0))</f>
        <v/>
      </c>
      <c r="AA5846">
        <f>IF(Z5846&gt;Z5845,Z5846,"")</f>
        <v/>
      </c>
      <c r="AB5846">
        <f>AB5845+IF(X5846="",0,IF(ISNA(MATCH(X5846,X$256:X5845,0)),1,0))</f>
        <v/>
      </c>
      <c r="AC5846">
        <f>IF(AB5846&gt;AB5845,AB5846,"")</f>
        <v/>
      </c>
    </row>
    <row r="5847">
      <c r="W5847" s="7" t="n"/>
      <c r="X5847" s="7" t="n"/>
      <c r="Z5847">
        <f>Z5846+IF(W5847="",0,IF(ISNA(MATCH(W5847,W$256:W5846,0)),1,0))</f>
        <v/>
      </c>
      <c r="AA5847">
        <f>IF(Z5847&gt;Z5846,Z5847,"")</f>
        <v/>
      </c>
      <c r="AB5847">
        <f>AB5846+IF(X5847="",0,IF(ISNA(MATCH(X5847,X$256:X5846,0)),1,0))</f>
        <v/>
      </c>
      <c r="AC5847">
        <f>IF(AB5847&gt;AB5846,AB5847,"")</f>
        <v/>
      </c>
    </row>
    <row r="5848">
      <c r="W5848" s="7" t="n"/>
      <c r="X5848" s="7" t="n"/>
      <c r="Z5848">
        <f>Z5847+IF(W5848="",0,IF(ISNA(MATCH(W5848,W$256:W5847,0)),1,0))</f>
        <v/>
      </c>
      <c r="AA5848">
        <f>IF(Z5848&gt;Z5847,Z5848,"")</f>
        <v/>
      </c>
      <c r="AB5848">
        <f>AB5847+IF(X5848="",0,IF(ISNA(MATCH(X5848,X$256:X5847,0)),1,0))</f>
        <v/>
      </c>
      <c r="AC5848">
        <f>IF(AB5848&gt;AB5847,AB5848,"")</f>
        <v/>
      </c>
    </row>
    <row r="5849">
      <c r="W5849" s="7" t="n"/>
      <c r="X5849" s="7" t="n"/>
      <c r="Z5849">
        <f>Z5848+IF(W5849="",0,IF(ISNA(MATCH(W5849,W$256:W5848,0)),1,0))</f>
        <v/>
      </c>
      <c r="AA5849">
        <f>IF(Z5849&gt;Z5848,Z5849,"")</f>
        <v/>
      </c>
      <c r="AB5849">
        <f>AB5848+IF(X5849="",0,IF(ISNA(MATCH(X5849,X$256:X5848,0)),1,0))</f>
        <v/>
      </c>
      <c r="AC5849">
        <f>IF(AB5849&gt;AB5848,AB5849,"")</f>
        <v/>
      </c>
    </row>
    <row r="5850">
      <c r="W5850" s="7" t="n"/>
      <c r="X5850" s="7" t="n"/>
      <c r="Z5850">
        <f>Z5849+IF(W5850="",0,IF(ISNA(MATCH(W5850,W$256:W5849,0)),1,0))</f>
        <v/>
      </c>
      <c r="AA5850">
        <f>IF(Z5850&gt;Z5849,Z5850,"")</f>
        <v/>
      </c>
      <c r="AB5850">
        <f>AB5849+IF(X5850="",0,IF(ISNA(MATCH(X5850,X$256:X5849,0)),1,0))</f>
        <v/>
      </c>
      <c r="AC5850">
        <f>IF(AB5850&gt;AB5849,AB5850,"")</f>
        <v/>
      </c>
    </row>
    <row r="5851">
      <c r="W5851" s="7" t="n"/>
      <c r="X5851" s="7" t="n"/>
      <c r="Z5851">
        <f>Z5850+IF(W5851="",0,IF(ISNA(MATCH(W5851,W$256:W5850,0)),1,0))</f>
        <v/>
      </c>
      <c r="AA5851">
        <f>IF(Z5851&gt;Z5850,Z5851,"")</f>
        <v/>
      </c>
      <c r="AB5851">
        <f>AB5850+IF(X5851="",0,IF(ISNA(MATCH(X5851,X$256:X5850,0)),1,0))</f>
        <v/>
      </c>
      <c r="AC5851">
        <f>IF(AB5851&gt;AB5850,AB5851,"")</f>
        <v/>
      </c>
    </row>
    <row r="5852">
      <c r="W5852" s="7" t="n"/>
      <c r="X5852" s="7" t="n"/>
      <c r="Z5852">
        <f>Z5851+IF(W5852="",0,IF(ISNA(MATCH(W5852,W$256:W5851,0)),1,0))</f>
        <v/>
      </c>
      <c r="AA5852">
        <f>IF(Z5852&gt;Z5851,Z5852,"")</f>
        <v/>
      </c>
      <c r="AB5852">
        <f>AB5851+IF(X5852="",0,IF(ISNA(MATCH(X5852,X$256:X5851,0)),1,0))</f>
        <v/>
      </c>
      <c r="AC5852">
        <f>IF(AB5852&gt;AB5851,AB5852,"")</f>
        <v/>
      </c>
    </row>
    <row r="5853">
      <c r="W5853" s="7" t="n"/>
      <c r="X5853" s="7" t="n"/>
      <c r="Z5853">
        <f>Z5852+IF(W5853="",0,IF(ISNA(MATCH(W5853,W$256:W5852,0)),1,0))</f>
        <v/>
      </c>
      <c r="AA5853">
        <f>IF(Z5853&gt;Z5852,Z5853,"")</f>
        <v/>
      </c>
      <c r="AB5853">
        <f>AB5852+IF(X5853="",0,IF(ISNA(MATCH(X5853,X$256:X5852,0)),1,0))</f>
        <v/>
      </c>
      <c r="AC5853">
        <f>IF(AB5853&gt;AB5852,AB5853,"")</f>
        <v/>
      </c>
    </row>
    <row r="5854">
      <c r="W5854" s="7" t="n"/>
      <c r="X5854" s="7" t="n"/>
      <c r="Z5854">
        <f>Z5853+IF(W5854="",0,IF(ISNA(MATCH(W5854,W$256:W5853,0)),1,0))</f>
        <v/>
      </c>
      <c r="AA5854">
        <f>IF(Z5854&gt;Z5853,Z5854,"")</f>
        <v/>
      </c>
      <c r="AB5854">
        <f>AB5853+IF(X5854="",0,IF(ISNA(MATCH(X5854,X$256:X5853,0)),1,0))</f>
        <v/>
      </c>
      <c r="AC5854">
        <f>IF(AB5854&gt;AB5853,AB5854,"")</f>
        <v/>
      </c>
    </row>
    <row r="5855">
      <c r="W5855" s="7" t="n"/>
      <c r="X5855" s="7" t="n"/>
      <c r="Z5855">
        <f>Z5854+IF(W5855="",0,IF(ISNA(MATCH(W5855,W$256:W5854,0)),1,0))</f>
        <v/>
      </c>
      <c r="AA5855">
        <f>IF(Z5855&gt;Z5854,Z5855,"")</f>
        <v/>
      </c>
      <c r="AB5855">
        <f>AB5854+IF(X5855="",0,IF(ISNA(MATCH(X5855,X$256:X5854,0)),1,0))</f>
        <v/>
      </c>
      <c r="AC5855">
        <f>IF(AB5855&gt;AB5854,AB5855,"")</f>
        <v/>
      </c>
    </row>
    <row r="5856">
      <c r="W5856" s="7" t="n"/>
      <c r="X5856" s="7" t="n"/>
      <c r="Z5856">
        <f>Z5855+IF(W5856="",0,IF(ISNA(MATCH(W5856,W$256:W5855,0)),1,0))</f>
        <v/>
      </c>
      <c r="AA5856">
        <f>IF(Z5856&gt;Z5855,Z5856,"")</f>
        <v/>
      </c>
      <c r="AB5856">
        <f>AB5855+IF(X5856="",0,IF(ISNA(MATCH(X5856,X$256:X5855,0)),1,0))</f>
        <v/>
      </c>
      <c r="AC5856">
        <f>IF(AB5856&gt;AB5855,AB5856,"")</f>
        <v/>
      </c>
    </row>
    <row r="5857">
      <c r="W5857" s="7" t="n"/>
      <c r="X5857" s="7" t="n"/>
      <c r="Z5857">
        <f>Z5856+IF(W5857="",0,IF(ISNA(MATCH(W5857,W$256:W5856,0)),1,0))</f>
        <v/>
      </c>
      <c r="AA5857">
        <f>IF(Z5857&gt;Z5856,Z5857,"")</f>
        <v/>
      </c>
      <c r="AB5857">
        <f>AB5856+IF(X5857="",0,IF(ISNA(MATCH(X5857,X$256:X5856,0)),1,0))</f>
        <v/>
      </c>
      <c r="AC5857">
        <f>IF(AB5857&gt;AB5856,AB5857,"")</f>
        <v/>
      </c>
    </row>
    <row r="5858">
      <c r="W5858" s="7" t="n"/>
      <c r="X5858" s="7" t="n"/>
      <c r="Z5858">
        <f>Z5857+IF(W5858="",0,IF(ISNA(MATCH(W5858,W$256:W5857,0)),1,0))</f>
        <v/>
      </c>
      <c r="AA5858">
        <f>IF(Z5858&gt;Z5857,Z5858,"")</f>
        <v/>
      </c>
      <c r="AB5858">
        <f>AB5857+IF(X5858="",0,IF(ISNA(MATCH(X5858,X$256:X5857,0)),1,0))</f>
        <v/>
      </c>
      <c r="AC5858">
        <f>IF(AB5858&gt;AB5857,AB5858,"")</f>
        <v/>
      </c>
    </row>
    <row r="5859">
      <c r="W5859" s="7" t="n"/>
      <c r="X5859" s="7" t="n"/>
      <c r="Z5859">
        <f>Z5858+IF(W5859="",0,IF(ISNA(MATCH(W5859,W$256:W5858,0)),1,0))</f>
        <v/>
      </c>
      <c r="AA5859">
        <f>IF(Z5859&gt;Z5858,Z5859,"")</f>
        <v/>
      </c>
      <c r="AB5859">
        <f>AB5858+IF(X5859="",0,IF(ISNA(MATCH(X5859,X$256:X5858,0)),1,0))</f>
        <v/>
      </c>
      <c r="AC5859">
        <f>IF(AB5859&gt;AB5858,AB5859,"")</f>
        <v/>
      </c>
    </row>
    <row r="5860">
      <c r="W5860" s="7" t="n"/>
      <c r="X5860" s="7" t="n"/>
      <c r="Z5860">
        <f>Z5859+IF(W5860="",0,IF(ISNA(MATCH(W5860,W$256:W5859,0)),1,0))</f>
        <v/>
      </c>
      <c r="AA5860">
        <f>IF(Z5860&gt;Z5859,Z5860,"")</f>
        <v/>
      </c>
      <c r="AB5860">
        <f>AB5859+IF(X5860="",0,IF(ISNA(MATCH(X5860,X$256:X5859,0)),1,0))</f>
        <v/>
      </c>
      <c r="AC5860">
        <f>IF(AB5860&gt;AB5859,AB5860,"")</f>
        <v/>
      </c>
    </row>
    <row r="5861">
      <c r="W5861" s="7" t="n"/>
      <c r="X5861" s="7" t="n"/>
      <c r="Z5861">
        <f>Z5860+IF(W5861="",0,IF(ISNA(MATCH(W5861,W$256:W5860,0)),1,0))</f>
        <v/>
      </c>
      <c r="AA5861">
        <f>IF(Z5861&gt;Z5860,Z5861,"")</f>
        <v/>
      </c>
      <c r="AB5861">
        <f>AB5860+IF(X5861="",0,IF(ISNA(MATCH(X5861,X$256:X5860,0)),1,0))</f>
        <v/>
      </c>
      <c r="AC5861">
        <f>IF(AB5861&gt;AB5860,AB5861,"")</f>
        <v/>
      </c>
    </row>
    <row r="5862">
      <c r="W5862" s="7" t="n"/>
      <c r="X5862" s="7" t="n"/>
      <c r="Z5862">
        <f>Z5861+IF(W5862="",0,IF(ISNA(MATCH(W5862,W$256:W5861,0)),1,0))</f>
        <v/>
      </c>
      <c r="AA5862">
        <f>IF(Z5862&gt;Z5861,Z5862,"")</f>
        <v/>
      </c>
      <c r="AB5862">
        <f>AB5861+IF(X5862="",0,IF(ISNA(MATCH(X5862,X$256:X5861,0)),1,0))</f>
        <v/>
      </c>
      <c r="AC5862">
        <f>IF(AB5862&gt;AB5861,AB5862,"")</f>
        <v/>
      </c>
    </row>
    <row r="5863">
      <c r="W5863" s="7" t="n"/>
      <c r="X5863" s="7" t="n"/>
      <c r="Z5863">
        <f>Z5862+IF(W5863="",0,IF(ISNA(MATCH(W5863,W$256:W5862,0)),1,0))</f>
        <v/>
      </c>
      <c r="AA5863">
        <f>IF(Z5863&gt;Z5862,Z5863,"")</f>
        <v/>
      </c>
      <c r="AB5863">
        <f>AB5862+IF(X5863="",0,IF(ISNA(MATCH(X5863,X$256:X5862,0)),1,0))</f>
        <v/>
      </c>
      <c r="AC5863">
        <f>IF(AB5863&gt;AB5862,AB5863,"")</f>
        <v/>
      </c>
    </row>
    <row r="5864">
      <c r="W5864" s="7" t="n"/>
      <c r="X5864" s="7" t="n"/>
      <c r="Z5864">
        <f>Z5863+IF(W5864="",0,IF(ISNA(MATCH(W5864,W$256:W5863,0)),1,0))</f>
        <v/>
      </c>
      <c r="AA5864">
        <f>IF(Z5864&gt;Z5863,Z5864,"")</f>
        <v/>
      </c>
      <c r="AB5864">
        <f>AB5863+IF(X5864="",0,IF(ISNA(MATCH(X5864,X$256:X5863,0)),1,0))</f>
        <v/>
      </c>
      <c r="AC5864">
        <f>IF(AB5864&gt;AB5863,AB5864,"")</f>
        <v/>
      </c>
    </row>
    <row r="5865">
      <c r="W5865" s="7" t="n"/>
      <c r="X5865" s="7" t="n"/>
      <c r="Z5865">
        <f>Z5864+IF(W5865="",0,IF(ISNA(MATCH(W5865,W$256:W5864,0)),1,0))</f>
        <v/>
      </c>
      <c r="AA5865">
        <f>IF(Z5865&gt;Z5864,Z5865,"")</f>
        <v/>
      </c>
      <c r="AB5865">
        <f>AB5864+IF(X5865="",0,IF(ISNA(MATCH(X5865,X$256:X5864,0)),1,0))</f>
        <v/>
      </c>
      <c r="AC5865">
        <f>IF(AB5865&gt;AB5864,AB5865,"")</f>
        <v/>
      </c>
    </row>
    <row r="5866">
      <c r="W5866" s="7" t="n"/>
      <c r="X5866" s="7" t="n"/>
      <c r="Z5866">
        <f>Z5865+IF(W5866="",0,IF(ISNA(MATCH(W5866,W$256:W5865,0)),1,0))</f>
        <v/>
      </c>
      <c r="AA5866">
        <f>IF(Z5866&gt;Z5865,Z5866,"")</f>
        <v/>
      </c>
      <c r="AB5866">
        <f>AB5865+IF(X5866="",0,IF(ISNA(MATCH(X5866,X$256:X5865,0)),1,0))</f>
        <v/>
      </c>
      <c r="AC5866">
        <f>IF(AB5866&gt;AB5865,AB5866,"")</f>
        <v/>
      </c>
    </row>
    <row r="5867">
      <c r="W5867" s="7" t="n"/>
      <c r="X5867" s="7" t="n"/>
      <c r="Z5867">
        <f>Z5866+IF(W5867="",0,IF(ISNA(MATCH(W5867,W$256:W5866,0)),1,0))</f>
        <v/>
      </c>
      <c r="AA5867">
        <f>IF(Z5867&gt;Z5866,Z5867,"")</f>
        <v/>
      </c>
      <c r="AB5867">
        <f>AB5866+IF(X5867="",0,IF(ISNA(MATCH(X5867,X$256:X5866,0)),1,0))</f>
        <v/>
      </c>
      <c r="AC5867">
        <f>IF(AB5867&gt;AB5866,AB5867,"")</f>
        <v/>
      </c>
    </row>
    <row r="5868">
      <c r="W5868" s="7" t="n"/>
      <c r="X5868" s="7" t="n"/>
      <c r="Z5868">
        <f>Z5867+IF(W5868="",0,IF(ISNA(MATCH(W5868,W$256:W5867,0)),1,0))</f>
        <v/>
      </c>
      <c r="AA5868">
        <f>IF(Z5868&gt;Z5867,Z5868,"")</f>
        <v/>
      </c>
      <c r="AB5868">
        <f>AB5867+IF(X5868="",0,IF(ISNA(MATCH(X5868,X$256:X5867,0)),1,0))</f>
        <v/>
      </c>
      <c r="AC5868">
        <f>IF(AB5868&gt;AB5867,AB5868,"")</f>
        <v/>
      </c>
    </row>
    <row r="5869">
      <c r="W5869" s="7" t="n"/>
      <c r="X5869" s="7" t="n"/>
      <c r="Z5869">
        <f>Z5868+IF(W5869="",0,IF(ISNA(MATCH(W5869,W$256:W5868,0)),1,0))</f>
        <v/>
      </c>
      <c r="AA5869">
        <f>IF(Z5869&gt;Z5868,Z5869,"")</f>
        <v/>
      </c>
      <c r="AB5869">
        <f>AB5868+IF(X5869="",0,IF(ISNA(MATCH(X5869,X$256:X5868,0)),1,0))</f>
        <v/>
      </c>
      <c r="AC5869">
        <f>IF(AB5869&gt;AB5868,AB5869,"")</f>
        <v/>
      </c>
    </row>
    <row r="5870">
      <c r="W5870" s="7" t="n"/>
      <c r="X5870" s="7" t="n"/>
      <c r="Z5870">
        <f>Z5869+IF(W5870="",0,IF(ISNA(MATCH(W5870,W$256:W5869,0)),1,0))</f>
        <v/>
      </c>
      <c r="AA5870">
        <f>IF(Z5870&gt;Z5869,Z5870,"")</f>
        <v/>
      </c>
      <c r="AB5870">
        <f>AB5869+IF(X5870="",0,IF(ISNA(MATCH(X5870,X$256:X5869,0)),1,0))</f>
        <v/>
      </c>
      <c r="AC5870">
        <f>IF(AB5870&gt;AB5869,AB5870,"")</f>
        <v/>
      </c>
    </row>
    <row r="5871">
      <c r="W5871" s="7" t="n"/>
      <c r="X5871" s="7" t="n"/>
      <c r="Z5871">
        <f>Z5870+IF(W5871="",0,IF(ISNA(MATCH(W5871,W$256:W5870,0)),1,0))</f>
        <v/>
      </c>
      <c r="AA5871">
        <f>IF(Z5871&gt;Z5870,Z5871,"")</f>
        <v/>
      </c>
      <c r="AB5871">
        <f>AB5870+IF(X5871="",0,IF(ISNA(MATCH(X5871,X$256:X5870,0)),1,0))</f>
        <v/>
      </c>
      <c r="AC5871">
        <f>IF(AB5871&gt;AB5870,AB5871,"")</f>
        <v/>
      </c>
    </row>
    <row r="5872">
      <c r="W5872" s="7" t="n"/>
      <c r="X5872" s="7" t="n"/>
      <c r="Z5872">
        <f>Z5871+IF(W5872="",0,IF(ISNA(MATCH(W5872,W$256:W5871,0)),1,0))</f>
        <v/>
      </c>
      <c r="AA5872">
        <f>IF(Z5872&gt;Z5871,Z5872,"")</f>
        <v/>
      </c>
      <c r="AB5872">
        <f>AB5871+IF(X5872="",0,IF(ISNA(MATCH(X5872,X$256:X5871,0)),1,0))</f>
        <v/>
      </c>
      <c r="AC5872">
        <f>IF(AB5872&gt;AB5871,AB5872,"")</f>
        <v/>
      </c>
    </row>
    <row r="5873">
      <c r="W5873" s="7" t="n"/>
      <c r="X5873" s="7" t="n"/>
      <c r="Z5873">
        <f>Z5872+IF(W5873="",0,IF(ISNA(MATCH(W5873,W$256:W5872,0)),1,0))</f>
        <v/>
      </c>
      <c r="AA5873">
        <f>IF(Z5873&gt;Z5872,Z5873,"")</f>
        <v/>
      </c>
      <c r="AB5873">
        <f>AB5872+IF(X5873="",0,IF(ISNA(MATCH(X5873,X$256:X5872,0)),1,0))</f>
        <v/>
      </c>
      <c r="AC5873">
        <f>IF(AB5873&gt;AB5872,AB5873,"")</f>
        <v/>
      </c>
    </row>
    <row r="5874">
      <c r="W5874" s="7" t="n"/>
      <c r="X5874" s="7" t="n"/>
      <c r="Z5874">
        <f>Z5873+IF(W5874="",0,IF(ISNA(MATCH(W5874,W$256:W5873,0)),1,0))</f>
        <v/>
      </c>
      <c r="AA5874">
        <f>IF(Z5874&gt;Z5873,Z5874,"")</f>
        <v/>
      </c>
      <c r="AB5874">
        <f>AB5873+IF(X5874="",0,IF(ISNA(MATCH(X5874,X$256:X5873,0)),1,0))</f>
        <v/>
      </c>
      <c r="AC5874">
        <f>IF(AB5874&gt;AB5873,AB5874,"")</f>
        <v/>
      </c>
    </row>
    <row r="5875">
      <c r="W5875" s="7" t="n"/>
      <c r="X5875" s="7" t="n"/>
      <c r="Z5875">
        <f>Z5874+IF(W5875="",0,IF(ISNA(MATCH(W5875,W$256:W5874,0)),1,0))</f>
        <v/>
      </c>
      <c r="AA5875">
        <f>IF(Z5875&gt;Z5874,Z5875,"")</f>
        <v/>
      </c>
      <c r="AB5875">
        <f>AB5874+IF(X5875="",0,IF(ISNA(MATCH(X5875,X$256:X5874,0)),1,0))</f>
        <v/>
      </c>
      <c r="AC5875">
        <f>IF(AB5875&gt;AB5874,AB5875,"")</f>
        <v/>
      </c>
    </row>
    <row r="5876">
      <c r="W5876" s="7" t="n"/>
      <c r="X5876" s="7" t="n"/>
      <c r="Z5876">
        <f>Z5875+IF(W5876="",0,IF(ISNA(MATCH(W5876,W$256:W5875,0)),1,0))</f>
        <v/>
      </c>
      <c r="AA5876">
        <f>IF(Z5876&gt;Z5875,Z5876,"")</f>
        <v/>
      </c>
      <c r="AB5876">
        <f>AB5875+IF(X5876="",0,IF(ISNA(MATCH(X5876,X$256:X5875,0)),1,0))</f>
        <v/>
      </c>
      <c r="AC5876">
        <f>IF(AB5876&gt;AB5875,AB5876,"")</f>
        <v/>
      </c>
    </row>
    <row r="5877">
      <c r="W5877" s="7" t="n"/>
      <c r="X5877" s="7" t="n"/>
      <c r="Z5877">
        <f>Z5876+IF(W5877="",0,IF(ISNA(MATCH(W5877,W$256:W5876,0)),1,0))</f>
        <v/>
      </c>
      <c r="AA5877">
        <f>IF(Z5877&gt;Z5876,Z5877,"")</f>
        <v/>
      </c>
      <c r="AB5877">
        <f>AB5876+IF(X5877="",0,IF(ISNA(MATCH(X5877,X$256:X5876,0)),1,0))</f>
        <v/>
      </c>
      <c r="AC5877">
        <f>IF(AB5877&gt;AB5876,AB5877,"")</f>
        <v/>
      </c>
    </row>
    <row r="5878">
      <c r="W5878" s="7" t="n"/>
      <c r="X5878" s="7" t="n"/>
      <c r="Z5878">
        <f>Z5877+IF(W5878="",0,IF(ISNA(MATCH(W5878,W$256:W5877,0)),1,0))</f>
        <v/>
      </c>
      <c r="AA5878">
        <f>IF(Z5878&gt;Z5877,Z5878,"")</f>
        <v/>
      </c>
      <c r="AB5878">
        <f>AB5877+IF(X5878="",0,IF(ISNA(MATCH(X5878,X$256:X5877,0)),1,0))</f>
        <v/>
      </c>
      <c r="AC5878">
        <f>IF(AB5878&gt;AB5877,AB5878,"")</f>
        <v/>
      </c>
    </row>
    <row r="5879">
      <c r="W5879" s="7" t="n"/>
      <c r="X5879" s="7" t="n"/>
      <c r="Z5879">
        <f>Z5878+IF(W5879="",0,IF(ISNA(MATCH(W5879,W$256:W5878,0)),1,0))</f>
        <v/>
      </c>
      <c r="AA5879">
        <f>IF(Z5879&gt;Z5878,Z5879,"")</f>
        <v/>
      </c>
      <c r="AB5879">
        <f>AB5878+IF(X5879="",0,IF(ISNA(MATCH(X5879,X$256:X5878,0)),1,0))</f>
        <v/>
      </c>
      <c r="AC5879">
        <f>IF(AB5879&gt;AB5878,AB5879,"")</f>
        <v/>
      </c>
    </row>
    <row r="5880">
      <c r="W5880" s="7" t="n"/>
      <c r="X5880" s="7" t="n"/>
      <c r="Z5880">
        <f>Z5879+IF(W5880="",0,IF(ISNA(MATCH(W5880,W$256:W5879,0)),1,0))</f>
        <v/>
      </c>
      <c r="AA5880">
        <f>IF(Z5880&gt;Z5879,Z5880,"")</f>
        <v/>
      </c>
      <c r="AB5880">
        <f>AB5879+IF(X5880="",0,IF(ISNA(MATCH(X5880,X$256:X5879,0)),1,0))</f>
        <v/>
      </c>
      <c r="AC5880">
        <f>IF(AB5880&gt;AB5879,AB5880,"")</f>
        <v/>
      </c>
    </row>
    <row r="5881">
      <c r="W5881" s="7" t="n"/>
      <c r="X5881" s="7" t="n"/>
      <c r="Z5881">
        <f>Z5880+IF(W5881="",0,IF(ISNA(MATCH(W5881,W$256:W5880,0)),1,0))</f>
        <v/>
      </c>
      <c r="AA5881">
        <f>IF(Z5881&gt;Z5880,Z5881,"")</f>
        <v/>
      </c>
      <c r="AB5881">
        <f>AB5880+IF(X5881="",0,IF(ISNA(MATCH(X5881,X$256:X5880,0)),1,0))</f>
        <v/>
      </c>
      <c r="AC5881">
        <f>IF(AB5881&gt;AB5880,AB5881,"")</f>
        <v/>
      </c>
    </row>
    <row r="5882">
      <c r="W5882" s="7" t="n"/>
      <c r="X5882" s="7" t="n"/>
      <c r="Z5882">
        <f>Z5881+IF(W5882="",0,IF(ISNA(MATCH(W5882,W$256:W5881,0)),1,0))</f>
        <v/>
      </c>
      <c r="AA5882">
        <f>IF(Z5882&gt;Z5881,Z5882,"")</f>
        <v/>
      </c>
      <c r="AB5882">
        <f>AB5881+IF(X5882="",0,IF(ISNA(MATCH(X5882,X$256:X5881,0)),1,0))</f>
        <v/>
      </c>
      <c r="AC5882">
        <f>IF(AB5882&gt;AB5881,AB5882,"")</f>
        <v/>
      </c>
    </row>
    <row r="5883">
      <c r="W5883" s="7" t="n"/>
      <c r="X5883" s="7" t="n"/>
      <c r="Z5883">
        <f>Z5882+IF(W5883="",0,IF(ISNA(MATCH(W5883,W$256:W5882,0)),1,0))</f>
        <v/>
      </c>
      <c r="AA5883">
        <f>IF(Z5883&gt;Z5882,Z5883,"")</f>
        <v/>
      </c>
      <c r="AB5883">
        <f>AB5882+IF(X5883="",0,IF(ISNA(MATCH(X5883,X$256:X5882,0)),1,0))</f>
        <v/>
      </c>
      <c r="AC5883">
        <f>IF(AB5883&gt;AB5882,AB5883,"")</f>
        <v/>
      </c>
    </row>
    <row r="5884">
      <c r="W5884" s="7" t="n"/>
      <c r="X5884" s="7" t="n"/>
      <c r="Z5884">
        <f>Z5883+IF(W5884="",0,IF(ISNA(MATCH(W5884,W$256:W5883,0)),1,0))</f>
        <v/>
      </c>
      <c r="AA5884">
        <f>IF(Z5884&gt;Z5883,Z5884,"")</f>
        <v/>
      </c>
      <c r="AB5884">
        <f>AB5883+IF(X5884="",0,IF(ISNA(MATCH(X5884,X$256:X5883,0)),1,0))</f>
        <v/>
      </c>
      <c r="AC5884">
        <f>IF(AB5884&gt;AB5883,AB5884,"")</f>
        <v/>
      </c>
    </row>
    <row r="5885">
      <c r="W5885" s="7" t="n"/>
      <c r="X5885" s="7" t="n"/>
      <c r="Z5885">
        <f>Z5884+IF(W5885="",0,IF(ISNA(MATCH(W5885,W$256:W5884,0)),1,0))</f>
        <v/>
      </c>
      <c r="AA5885">
        <f>IF(Z5885&gt;Z5884,Z5885,"")</f>
        <v/>
      </c>
      <c r="AB5885">
        <f>AB5884+IF(X5885="",0,IF(ISNA(MATCH(X5885,X$256:X5884,0)),1,0))</f>
        <v/>
      </c>
      <c r="AC5885">
        <f>IF(AB5885&gt;AB5884,AB5885,"")</f>
        <v/>
      </c>
    </row>
    <row r="5886">
      <c r="W5886" s="7" t="n"/>
      <c r="X5886" s="7" t="n"/>
      <c r="Z5886">
        <f>Z5885+IF(W5886="",0,IF(ISNA(MATCH(W5886,W$256:W5885,0)),1,0))</f>
        <v/>
      </c>
      <c r="AA5886">
        <f>IF(Z5886&gt;Z5885,Z5886,"")</f>
        <v/>
      </c>
      <c r="AB5886">
        <f>AB5885+IF(X5886="",0,IF(ISNA(MATCH(X5886,X$256:X5885,0)),1,0))</f>
        <v/>
      </c>
      <c r="AC5886">
        <f>IF(AB5886&gt;AB5885,AB5886,"")</f>
        <v/>
      </c>
    </row>
    <row r="5887">
      <c r="W5887" s="7" t="n"/>
      <c r="X5887" s="7" t="n"/>
      <c r="Z5887">
        <f>Z5886+IF(W5887="",0,IF(ISNA(MATCH(W5887,W$256:W5886,0)),1,0))</f>
        <v/>
      </c>
      <c r="AA5887">
        <f>IF(Z5887&gt;Z5886,Z5887,"")</f>
        <v/>
      </c>
      <c r="AB5887">
        <f>AB5886+IF(X5887="",0,IF(ISNA(MATCH(X5887,X$256:X5886,0)),1,0))</f>
        <v/>
      </c>
      <c r="AC5887">
        <f>IF(AB5887&gt;AB5886,AB5887,"")</f>
        <v/>
      </c>
    </row>
    <row r="5888">
      <c r="W5888" s="7" t="n"/>
      <c r="X5888" s="7" t="n"/>
      <c r="Z5888">
        <f>Z5887+IF(W5888="",0,IF(ISNA(MATCH(W5888,W$256:W5887,0)),1,0))</f>
        <v/>
      </c>
      <c r="AA5888">
        <f>IF(Z5888&gt;Z5887,Z5888,"")</f>
        <v/>
      </c>
      <c r="AB5888">
        <f>AB5887+IF(X5888="",0,IF(ISNA(MATCH(X5888,X$256:X5887,0)),1,0))</f>
        <v/>
      </c>
      <c r="AC5888">
        <f>IF(AB5888&gt;AB5887,AB5888,"")</f>
        <v/>
      </c>
    </row>
    <row r="5889">
      <c r="W5889" s="7" t="n"/>
      <c r="X5889" s="7" t="n"/>
      <c r="Z5889">
        <f>Z5888+IF(W5889="",0,IF(ISNA(MATCH(W5889,W$256:W5888,0)),1,0))</f>
        <v/>
      </c>
      <c r="AA5889">
        <f>IF(Z5889&gt;Z5888,Z5889,"")</f>
        <v/>
      </c>
      <c r="AB5889">
        <f>AB5888+IF(X5889="",0,IF(ISNA(MATCH(X5889,X$256:X5888,0)),1,0))</f>
        <v/>
      </c>
      <c r="AC5889">
        <f>IF(AB5889&gt;AB5888,AB5889,"")</f>
        <v/>
      </c>
    </row>
    <row r="5890">
      <c r="W5890" s="7" t="n"/>
      <c r="X5890" s="7" t="n"/>
      <c r="Z5890">
        <f>Z5889+IF(W5890="",0,IF(ISNA(MATCH(W5890,W$256:W5889,0)),1,0))</f>
        <v/>
      </c>
      <c r="AA5890">
        <f>IF(Z5890&gt;Z5889,Z5890,"")</f>
        <v/>
      </c>
      <c r="AB5890">
        <f>AB5889+IF(X5890="",0,IF(ISNA(MATCH(X5890,X$256:X5889,0)),1,0))</f>
        <v/>
      </c>
      <c r="AC5890">
        <f>IF(AB5890&gt;AB5889,AB5890,"")</f>
        <v/>
      </c>
    </row>
    <row r="5891">
      <c r="W5891" s="7" t="n"/>
      <c r="X5891" s="7" t="n"/>
      <c r="Z5891">
        <f>Z5890+IF(W5891="",0,IF(ISNA(MATCH(W5891,W$256:W5890,0)),1,0))</f>
        <v/>
      </c>
      <c r="AA5891">
        <f>IF(Z5891&gt;Z5890,Z5891,"")</f>
        <v/>
      </c>
      <c r="AB5891">
        <f>AB5890+IF(X5891="",0,IF(ISNA(MATCH(X5891,X$256:X5890,0)),1,0))</f>
        <v/>
      </c>
      <c r="AC5891">
        <f>IF(AB5891&gt;AB5890,AB5891,"")</f>
        <v/>
      </c>
    </row>
    <row r="5892">
      <c r="W5892" s="7" t="n"/>
      <c r="X5892" s="7" t="n"/>
      <c r="Z5892">
        <f>Z5891+IF(W5892="",0,IF(ISNA(MATCH(W5892,W$256:W5891,0)),1,0))</f>
        <v/>
      </c>
      <c r="AA5892">
        <f>IF(Z5892&gt;Z5891,Z5892,"")</f>
        <v/>
      </c>
      <c r="AB5892">
        <f>AB5891+IF(X5892="",0,IF(ISNA(MATCH(X5892,X$256:X5891,0)),1,0))</f>
        <v/>
      </c>
      <c r="AC5892">
        <f>IF(AB5892&gt;AB5891,AB5892,"")</f>
        <v/>
      </c>
    </row>
    <row r="5893">
      <c r="W5893" s="7" t="n"/>
      <c r="X5893" s="7" t="n"/>
      <c r="Z5893">
        <f>Z5892+IF(W5893="",0,IF(ISNA(MATCH(W5893,W$256:W5892,0)),1,0))</f>
        <v/>
      </c>
      <c r="AA5893">
        <f>IF(Z5893&gt;Z5892,Z5893,"")</f>
        <v/>
      </c>
      <c r="AB5893">
        <f>AB5892+IF(X5893="",0,IF(ISNA(MATCH(X5893,X$256:X5892,0)),1,0))</f>
        <v/>
      </c>
      <c r="AC5893">
        <f>IF(AB5893&gt;AB5892,AB5893,"")</f>
        <v/>
      </c>
    </row>
    <row r="5894">
      <c r="W5894" s="7" t="n"/>
      <c r="X5894" s="7" t="n"/>
      <c r="Z5894">
        <f>Z5893+IF(W5894="",0,IF(ISNA(MATCH(W5894,W$256:W5893,0)),1,0))</f>
        <v/>
      </c>
      <c r="AA5894">
        <f>IF(Z5894&gt;Z5893,Z5894,"")</f>
        <v/>
      </c>
      <c r="AB5894">
        <f>AB5893+IF(X5894="",0,IF(ISNA(MATCH(X5894,X$256:X5893,0)),1,0))</f>
        <v/>
      </c>
      <c r="AC5894">
        <f>IF(AB5894&gt;AB5893,AB5894,"")</f>
        <v/>
      </c>
    </row>
    <row r="5895">
      <c r="W5895" s="7" t="n"/>
      <c r="X5895" s="7" t="n"/>
      <c r="Z5895">
        <f>Z5894+IF(W5895="",0,IF(ISNA(MATCH(W5895,W$256:W5894,0)),1,0))</f>
        <v/>
      </c>
      <c r="AA5895">
        <f>IF(Z5895&gt;Z5894,Z5895,"")</f>
        <v/>
      </c>
      <c r="AB5895">
        <f>AB5894+IF(X5895="",0,IF(ISNA(MATCH(X5895,X$256:X5894,0)),1,0))</f>
        <v/>
      </c>
      <c r="AC5895">
        <f>IF(AB5895&gt;AB5894,AB5895,"")</f>
        <v/>
      </c>
    </row>
    <row r="5896">
      <c r="W5896" s="7" t="n"/>
      <c r="X5896" s="7" t="n"/>
      <c r="Z5896">
        <f>Z5895+IF(W5896="",0,IF(ISNA(MATCH(W5896,W$256:W5895,0)),1,0))</f>
        <v/>
      </c>
      <c r="AA5896">
        <f>IF(Z5896&gt;Z5895,Z5896,"")</f>
        <v/>
      </c>
      <c r="AB5896">
        <f>AB5895+IF(X5896="",0,IF(ISNA(MATCH(X5896,X$256:X5895,0)),1,0))</f>
        <v/>
      </c>
      <c r="AC5896">
        <f>IF(AB5896&gt;AB5895,AB5896,"")</f>
        <v/>
      </c>
    </row>
    <row r="5897">
      <c r="W5897" s="7" t="n"/>
      <c r="X5897" s="7" t="n"/>
      <c r="Z5897">
        <f>Z5896+IF(W5897="",0,IF(ISNA(MATCH(W5897,W$256:W5896,0)),1,0))</f>
        <v/>
      </c>
      <c r="AA5897">
        <f>IF(Z5897&gt;Z5896,Z5897,"")</f>
        <v/>
      </c>
      <c r="AB5897">
        <f>AB5896+IF(X5897="",0,IF(ISNA(MATCH(X5897,X$256:X5896,0)),1,0))</f>
        <v/>
      </c>
      <c r="AC5897">
        <f>IF(AB5897&gt;AB5896,AB5897,"")</f>
        <v/>
      </c>
    </row>
    <row r="5898">
      <c r="W5898" s="7" t="n"/>
      <c r="X5898" s="7" t="n"/>
      <c r="Z5898">
        <f>Z5897+IF(W5898="",0,IF(ISNA(MATCH(W5898,W$256:W5897,0)),1,0))</f>
        <v/>
      </c>
      <c r="AA5898">
        <f>IF(Z5898&gt;Z5897,Z5898,"")</f>
        <v/>
      </c>
      <c r="AB5898">
        <f>AB5897+IF(X5898="",0,IF(ISNA(MATCH(X5898,X$256:X5897,0)),1,0))</f>
        <v/>
      </c>
      <c r="AC5898">
        <f>IF(AB5898&gt;AB5897,AB5898,"")</f>
        <v/>
      </c>
    </row>
    <row r="5899">
      <c r="W5899" s="7" t="n"/>
      <c r="X5899" s="7" t="n"/>
      <c r="Z5899">
        <f>Z5898+IF(W5899="",0,IF(ISNA(MATCH(W5899,W$256:W5898,0)),1,0))</f>
        <v/>
      </c>
      <c r="AA5899">
        <f>IF(Z5899&gt;Z5898,Z5899,"")</f>
        <v/>
      </c>
      <c r="AB5899">
        <f>AB5898+IF(X5899="",0,IF(ISNA(MATCH(X5899,X$256:X5898,0)),1,0))</f>
        <v/>
      </c>
      <c r="AC5899">
        <f>IF(AB5899&gt;AB5898,AB5899,"")</f>
        <v/>
      </c>
    </row>
    <row r="5900">
      <c r="W5900" s="7" t="n"/>
      <c r="X5900" s="7" t="n"/>
      <c r="Z5900">
        <f>Z5899+IF(W5900="",0,IF(ISNA(MATCH(W5900,W$256:W5899,0)),1,0))</f>
        <v/>
      </c>
      <c r="AA5900">
        <f>IF(Z5900&gt;Z5899,Z5900,"")</f>
        <v/>
      </c>
      <c r="AB5900">
        <f>AB5899+IF(X5900="",0,IF(ISNA(MATCH(X5900,X$256:X5899,0)),1,0))</f>
        <v/>
      </c>
      <c r="AC5900">
        <f>IF(AB5900&gt;AB5899,AB5900,"")</f>
        <v/>
      </c>
    </row>
    <row r="5901">
      <c r="W5901" s="7" t="n"/>
      <c r="X5901" s="7" t="n"/>
      <c r="Z5901">
        <f>Z5900+IF(W5901="",0,IF(ISNA(MATCH(W5901,W$256:W5900,0)),1,0))</f>
        <v/>
      </c>
      <c r="AA5901">
        <f>IF(Z5901&gt;Z5900,Z5901,"")</f>
        <v/>
      </c>
      <c r="AB5901">
        <f>AB5900+IF(X5901="",0,IF(ISNA(MATCH(X5901,X$256:X5900,0)),1,0))</f>
        <v/>
      </c>
      <c r="AC5901">
        <f>IF(AB5901&gt;AB5900,AB5901,"")</f>
        <v/>
      </c>
    </row>
    <row r="5902">
      <c r="W5902" s="7" t="n"/>
      <c r="X5902" s="7" t="n"/>
      <c r="Z5902">
        <f>Z5901+IF(W5902="",0,IF(ISNA(MATCH(W5902,W$256:W5901,0)),1,0))</f>
        <v/>
      </c>
      <c r="AA5902">
        <f>IF(Z5902&gt;Z5901,Z5902,"")</f>
        <v/>
      </c>
      <c r="AB5902">
        <f>AB5901+IF(X5902="",0,IF(ISNA(MATCH(X5902,X$256:X5901,0)),1,0))</f>
        <v/>
      </c>
      <c r="AC5902">
        <f>IF(AB5902&gt;AB5901,AB5902,"")</f>
        <v/>
      </c>
    </row>
    <row r="5903">
      <c r="W5903" s="7" t="n"/>
      <c r="X5903" s="7" t="n"/>
      <c r="Z5903">
        <f>Z5902+IF(W5903="",0,IF(ISNA(MATCH(W5903,W$256:W5902,0)),1,0))</f>
        <v/>
      </c>
      <c r="AA5903">
        <f>IF(Z5903&gt;Z5902,Z5903,"")</f>
        <v/>
      </c>
      <c r="AB5903">
        <f>AB5902+IF(X5903="",0,IF(ISNA(MATCH(X5903,X$256:X5902,0)),1,0))</f>
        <v/>
      </c>
      <c r="AC5903">
        <f>IF(AB5903&gt;AB5902,AB5903,"")</f>
        <v/>
      </c>
    </row>
    <row r="5904">
      <c r="W5904" s="7" t="n"/>
      <c r="X5904" s="7" t="n"/>
      <c r="Z5904">
        <f>Z5903+IF(W5904="",0,IF(ISNA(MATCH(W5904,W$256:W5903,0)),1,0))</f>
        <v/>
      </c>
      <c r="AA5904">
        <f>IF(Z5904&gt;Z5903,Z5904,"")</f>
        <v/>
      </c>
      <c r="AB5904">
        <f>AB5903+IF(X5904="",0,IF(ISNA(MATCH(X5904,X$256:X5903,0)),1,0))</f>
        <v/>
      </c>
      <c r="AC5904">
        <f>IF(AB5904&gt;AB5903,AB5904,"")</f>
        <v/>
      </c>
    </row>
    <row r="5905">
      <c r="W5905" s="7" t="n"/>
      <c r="X5905" s="7" t="n"/>
      <c r="Z5905">
        <f>Z5904+IF(W5905="",0,IF(ISNA(MATCH(W5905,W$256:W5904,0)),1,0))</f>
        <v/>
      </c>
      <c r="AA5905">
        <f>IF(Z5905&gt;Z5904,Z5905,"")</f>
        <v/>
      </c>
      <c r="AB5905">
        <f>AB5904+IF(X5905="",0,IF(ISNA(MATCH(X5905,X$256:X5904,0)),1,0))</f>
        <v/>
      </c>
      <c r="AC5905">
        <f>IF(AB5905&gt;AB5904,AB5905,"")</f>
        <v/>
      </c>
    </row>
    <row r="5906">
      <c r="W5906" s="7" t="n"/>
      <c r="X5906" s="7" t="n"/>
      <c r="Z5906">
        <f>Z5905+IF(W5906="",0,IF(ISNA(MATCH(W5906,W$256:W5905,0)),1,0))</f>
        <v/>
      </c>
      <c r="AA5906">
        <f>IF(Z5906&gt;Z5905,Z5906,"")</f>
        <v/>
      </c>
      <c r="AB5906">
        <f>AB5905+IF(X5906="",0,IF(ISNA(MATCH(X5906,X$256:X5905,0)),1,0))</f>
        <v/>
      </c>
      <c r="AC5906">
        <f>IF(AB5906&gt;AB5905,AB5906,"")</f>
        <v/>
      </c>
    </row>
    <row r="5907">
      <c r="W5907" s="7" t="n"/>
      <c r="X5907" s="7" t="n"/>
      <c r="Z5907">
        <f>Z5906+IF(W5907="",0,IF(ISNA(MATCH(W5907,W$256:W5906,0)),1,0))</f>
        <v/>
      </c>
      <c r="AA5907">
        <f>IF(Z5907&gt;Z5906,Z5907,"")</f>
        <v/>
      </c>
      <c r="AB5907">
        <f>AB5906+IF(X5907="",0,IF(ISNA(MATCH(X5907,X$256:X5906,0)),1,0))</f>
        <v/>
      </c>
      <c r="AC5907">
        <f>IF(AB5907&gt;AB5906,AB5907,"")</f>
        <v/>
      </c>
    </row>
    <row r="5908">
      <c r="W5908" s="7" t="n"/>
      <c r="X5908" s="7" t="n"/>
      <c r="Z5908">
        <f>Z5907+IF(W5908="",0,IF(ISNA(MATCH(W5908,W$256:W5907,0)),1,0))</f>
        <v/>
      </c>
      <c r="AA5908">
        <f>IF(Z5908&gt;Z5907,Z5908,"")</f>
        <v/>
      </c>
      <c r="AB5908">
        <f>AB5907+IF(X5908="",0,IF(ISNA(MATCH(X5908,X$256:X5907,0)),1,0))</f>
        <v/>
      </c>
      <c r="AC5908">
        <f>IF(AB5908&gt;AB5907,AB5908,"")</f>
        <v/>
      </c>
    </row>
    <row r="5909">
      <c r="W5909" s="7" t="n"/>
      <c r="X5909" s="7" t="n"/>
      <c r="Z5909">
        <f>Z5908+IF(W5909="",0,IF(ISNA(MATCH(W5909,W$256:W5908,0)),1,0))</f>
        <v/>
      </c>
      <c r="AA5909">
        <f>IF(Z5909&gt;Z5908,Z5909,"")</f>
        <v/>
      </c>
      <c r="AB5909">
        <f>AB5908+IF(X5909="",0,IF(ISNA(MATCH(X5909,X$256:X5908,0)),1,0))</f>
        <v/>
      </c>
      <c r="AC5909">
        <f>IF(AB5909&gt;AB5908,AB5909,"")</f>
        <v/>
      </c>
    </row>
    <row r="5910">
      <c r="W5910" s="7" t="n"/>
      <c r="X5910" s="7" t="n"/>
      <c r="Z5910">
        <f>Z5909+IF(W5910="",0,IF(ISNA(MATCH(W5910,W$256:W5909,0)),1,0))</f>
        <v/>
      </c>
      <c r="AA5910">
        <f>IF(Z5910&gt;Z5909,Z5910,"")</f>
        <v/>
      </c>
      <c r="AB5910">
        <f>AB5909+IF(X5910="",0,IF(ISNA(MATCH(X5910,X$256:X5909,0)),1,0))</f>
        <v/>
      </c>
      <c r="AC5910">
        <f>IF(AB5910&gt;AB5909,AB5910,"")</f>
        <v/>
      </c>
    </row>
    <row r="5911">
      <c r="W5911" s="7" t="n"/>
      <c r="X5911" s="7" t="n"/>
      <c r="Z5911">
        <f>Z5910+IF(W5911="",0,IF(ISNA(MATCH(W5911,W$256:W5910,0)),1,0))</f>
        <v/>
      </c>
      <c r="AA5911">
        <f>IF(Z5911&gt;Z5910,Z5911,"")</f>
        <v/>
      </c>
      <c r="AB5911">
        <f>AB5910+IF(X5911="",0,IF(ISNA(MATCH(X5911,X$256:X5910,0)),1,0))</f>
        <v/>
      </c>
      <c r="AC5911">
        <f>IF(AB5911&gt;AB5910,AB5911,"")</f>
        <v/>
      </c>
    </row>
    <row r="5912">
      <c r="W5912" s="7" t="n"/>
      <c r="X5912" s="7" t="n"/>
      <c r="Z5912">
        <f>Z5911+IF(W5912="",0,IF(ISNA(MATCH(W5912,W$256:W5911,0)),1,0))</f>
        <v/>
      </c>
      <c r="AA5912">
        <f>IF(Z5912&gt;Z5911,Z5912,"")</f>
        <v/>
      </c>
      <c r="AB5912">
        <f>AB5911+IF(X5912="",0,IF(ISNA(MATCH(X5912,X$256:X5911,0)),1,0))</f>
        <v/>
      </c>
      <c r="AC5912">
        <f>IF(AB5912&gt;AB5911,AB5912,"")</f>
        <v/>
      </c>
    </row>
    <row r="5913">
      <c r="W5913" s="7" t="n"/>
      <c r="X5913" s="7" t="n"/>
      <c r="Z5913">
        <f>Z5912+IF(W5913="",0,IF(ISNA(MATCH(W5913,W$256:W5912,0)),1,0))</f>
        <v/>
      </c>
      <c r="AA5913">
        <f>IF(Z5913&gt;Z5912,Z5913,"")</f>
        <v/>
      </c>
      <c r="AB5913">
        <f>AB5912+IF(X5913="",0,IF(ISNA(MATCH(X5913,X$256:X5912,0)),1,0))</f>
        <v/>
      </c>
      <c r="AC5913">
        <f>IF(AB5913&gt;AB5912,AB5913,"")</f>
        <v/>
      </c>
    </row>
    <row r="5914">
      <c r="W5914" s="7" t="n"/>
      <c r="X5914" s="7" t="n"/>
      <c r="Z5914">
        <f>Z5913+IF(W5914="",0,IF(ISNA(MATCH(W5914,W$256:W5913,0)),1,0))</f>
        <v/>
      </c>
      <c r="AA5914">
        <f>IF(Z5914&gt;Z5913,Z5914,"")</f>
        <v/>
      </c>
      <c r="AB5914">
        <f>AB5913+IF(X5914="",0,IF(ISNA(MATCH(X5914,X$256:X5913,0)),1,0))</f>
        <v/>
      </c>
      <c r="AC5914">
        <f>IF(AB5914&gt;AB5913,AB5914,"")</f>
        <v/>
      </c>
    </row>
    <row r="5915">
      <c r="W5915" s="7" t="n"/>
      <c r="X5915" s="7" t="n"/>
      <c r="Z5915">
        <f>Z5914+IF(W5915="",0,IF(ISNA(MATCH(W5915,W$256:W5914,0)),1,0))</f>
        <v/>
      </c>
      <c r="AA5915">
        <f>IF(Z5915&gt;Z5914,Z5915,"")</f>
        <v/>
      </c>
      <c r="AB5915">
        <f>AB5914+IF(X5915="",0,IF(ISNA(MATCH(X5915,X$256:X5914,0)),1,0))</f>
        <v/>
      </c>
      <c r="AC5915">
        <f>IF(AB5915&gt;AB5914,AB5915,"")</f>
        <v/>
      </c>
    </row>
    <row r="5916">
      <c r="W5916" s="7" t="n"/>
      <c r="X5916" s="7" t="n"/>
      <c r="Z5916">
        <f>Z5915+IF(W5916="",0,IF(ISNA(MATCH(W5916,W$256:W5915,0)),1,0))</f>
        <v/>
      </c>
      <c r="AA5916">
        <f>IF(Z5916&gt;Z5915,Z5916,"")</f>
        <v/>
      </c>
      <c r="AB5916">
        <f>AB5915+IF(X5916="",0,IF(ISNA(MATCH(X5916,X$256:X5915,0)),1,0))</f>
        <v/>
      </c>
      <c r="AC5916">
        <f>IF(AB5916&gt;AB5915,AB5916,"")</f>
        <v/>
      </c>
    </row>
    <row r="5917">
      <c r="W5917" s="7" t="n"/>
      <c r="X5917" s="7" t="n"/>
      <c r="Z5917">
        <f>Z5916+IF(W5917="",0,IF(ISNA(MATCH(W5917,W$256:W5916,0)),1,0))</f>
        <v/>
      </c>
      <c r="AA5917">
        <f>IF(Z5917&gt;Z5916,Z5917,"")</f>
        <v/>
      </c>
      <c r="AB5917">
        <f>AB5916+IF(X5917="",0,IF(ISNA(MATCH(X5917,X$256:X5916,0)),1,0))</f>
        <v/>
      </c>
      <c r="AC5917">
        <f>IF(AB5917&gt;AB5916,AB5917,"")</f>
        <v/>
      </c>
    </row>
    <row r="5918">
      <c r="W5918" s="7" t="n"/>
      <c r="X5918" s="7" t="n"/>
      <c r="Z5918">
        <f>Z5917+IF(W5918="",0,IF(ISNA(MATCH(W5918,W$256:W5917,0)),1,0))</f>
        <v/>
      </c>
      <c r="AA5918">
        <f>IF(Z5918&gt;Z5917,Z5918,"")</f>
        <v/>
      </c>
      <c r="AB5918">
        <f>AB5917+IF(X5918="",0,IF(ISNA(MATCH(X5918,X$256:X5917,0)),1,0))</f>
        <v/>
      </c>
      <c r="AC5918">
        <f>IF(AB5918&gt;AB5917,AB5918,"")</f>
        <v/>
      </c>
    </row>
    <row r="5919">
      <c r="W5919" s="7" t="n"/>
      <c r="X5919" s="7" t="n"/>
      <c r="Z5919">
        <f>Z5918+IF(W5919="",0,IF(ISNA(MATCH(W5919,W$256:W5918,0)),1,0))</f>
        <v/>
      </c>
      <c r="AA5919">
        <f>IF(Z5919&gt;Z5918,Z5919,"")</f>
        <v/>
      </c>
      <c r="AB5919">
        <f>AB5918+IF(X5919="",0,IF(ISNA(MATCH(X5919,X$256:X5918,0)),1,0))</f>
        <v/>
      </c>
      <c r="AC5919">
        <f>IF(AB5919&gt;AB5918,AB5919,"")</f>
        <v/>
      </c>
    </row>
    <row r="5920">
      <c r="W5920" s="7" t="n"/>
      <c r="X5920" s="7" t="n"/>
      <c r="Z5920">
        <f>Z5919+IF(W5920="",0,IF(ISNA(MATCH(W5920,W$256:W5919,0)),1,0))</f>
        <v/>
      </c>
      <c r="AA5920">
        <f>IF(Z5920&gt;Z5919,Z5920,"")</f>
        <v/>
      </c>
      <c r="AB5920">
        <f>AB5919+IF(X5920="",0,IF(ISNA(MATCH(X5920,X$256:X5919,0)),1,0))</f>
        <v/>
      </c>
      <c r="AC5920">
        <f>IF(AB5920&gt;AB5919,AB5920,"")</f>
        <v/>
      </c>
    </row>
    <row r="5921">
      <c r="W5921" s="7" t="n"/>
      <c r="X5921" s="7" t="n"/>
      <c r="Z5921">
        <f>Z5920+IF(W5921="",0,IF(ISNA(MATCH(W5921,W$256:W5920,0)),1,0))</f>
        <v/>
      </c>
      <c r="AA5921">
        <f>IF(Z5921&gt;Z5920,Z5921,"")</f>
        <v/>
      </c>
      <c r="AB5921">
        <f>AB5920+IF(X5921="",0,IF(ISNA(MATCH(X5921,X$256:X5920,0)),1,0))</f>
        <v/>
      </c>
      <c r="AC5921">
        <f>IF(AB5921&gt;AB5920,AB5921,"")</f>
        <v/>
      </c>
    </row>
    <row r="5922">
      <c r="W5922" s="7" t="n"/>
      <c r="X5922" s="7" t="n"/>
      <c r="Z5922">
        <f>Z5921+IF(W5922="",0,IF(ISNA(MATCH(W5922,W$256:W5921,0)),1,0))</f>
        <v/>
      </c>
      <c r="AA5922">
        <f>IF(Z5922&gt;Z5921,Z5922,"")</f>
        <v/>
      </c>
      <c r="AB5922">
        <f>AB5921+IF(X5922="",0,IF(ISNA(MATCH(X5922,X$256:X5921,0)),1,0))</f>
        <v/>
      </c>
      <c r="AC5922">
        <f>IF(AB5922&gt;AB5921,AB5922,"")</f>
        <v/>
      </c>
    </row>
    <row r="5923">
      <c r="W5923" s="7" t="n"/>
      <c r="X5923" s="7" t="n"/>
      <c r="Z5923">
        <f>Z5922+IF(W5923="",0,IF(ISNA(MATCH(W5923,W$256:W5922,0)),1,0))</f>
        <v/>
      </c>
      <c r="AA5923">
        <f>IF(Z5923&gt;Z5922,Z5923,"")</f>
        <v/>
      </c>
      <c r="AB5923">
        <f>AB5922+IF(X5923="",0,IF(ISNA(MATCH(X5923,X$256:X5922,0)),1,0))</f>
        <v/>
      </c>
      <c r="AC5923">
        <f>IF(AB5923&gt;AB5922,AB5923,"")</f>
        <v/>
      </c>
    </row>
    <row r="5924">
      <c r="W5924" s="7" t="n"/>
      <c r="X5924" s="7" t="n"/>
      <c r="Z5924">
        <f>Z5923+IF(W5924="",0,IF(ISNA(MATCH(W5924,W$256:W5923,0)),1,0))</f>
        <v/>
      </c>
      <c r="AA5924">
        <f>IF(Z5924&gt;Z5923,Z5924,"")</f>
        <v/>
      </c>
      <c r="AB5924">
        <f>AB5923+IF(X5924="",0,IF(ISNA(MATCH(X5924,X$256:X5923,0)),1,0))</f>
        <v/>
      </c>
      <c r="AC5924">
        <f>IF(AB5924&gt;AB5923,AB5924,"")</f>
        <v/>
      </c>
    </row>
    <row r="5925">
      <c r="W5925" s="7" t="n"/>
      <c r="X5925" s="7" t="n"/>
      <c r="Z5925">
        <f>Z5924+IF(W5925="",0,IF(ISNA(MATCH(W5925,W$256:W5924,0)),1,0))</f>
        <v/>
      </c>
      <c r="AA5925">
        <f>IF(Z5925&gt;Z5924,Z5925,"")</f>
        <v/>
      </c>
      <c r="AB5925">
        <f>AB5924+IF(X5925="",0,IF(ISNA(MATCH(X5925,X$256:X5924,0)),1,0))</f>
        <v/>
      </c>
      <c r="AC5925">
        <f>IF(AB5925&gt;AB5924,AB5925,"")</f>
        <v/>
      </c>
    </row>
    <row r="5926">
      <c r="W5926" s="7" t="n"/>
      <c r="X5926" s="7" t="n"/>
      <c r="Z5926">
        <f>Z5925+IF(W5926="",0,IF(ISNA(MATCH(W5926,W$256:W5925,0)),1,0))</f>
        <v/>
      </c>
      <c r="AA5926">
        <f>IF(Z5926&gt;Z5925,Z5926,"")</f>
        <v/>
      </c>
      <c r="AB5926">
        <f>AB5925+IF(X5926="",0,IF(ISNA(MATCH(X5926,X$256:X5925,0)),1,0))</f>
        <v/>
      </c>
      <c r="AC5926">
        <f>IF(AB5926&gt;AB5925,AB5926,"")</f>
        <v/>
      </c>
    </row>
    <row r="5927">
      <c r="W5927" s="7" t="n"/>
      <c r="X5927" s="7" t="n"/>
      <c r="Z5927">
        <f>Z5926+IF(W5927="",0,IF(ISNA(MATCH(W5927,W$256:W5926,0)),1,0))</f>
        <v/>
      </c>
      <c r="AA5927">
        <f>IF(Z5927&gt;Z5926,Z5927,"")</f>
        <v/>
      </c>
      <c r="AB5927">
        <f>AB5926+IF(X5927="",0,IF(ISNA(MATCH(X5927,X$256:X5926,0)),1,0))</f>
        <v/>
      </c>
      <c r="AC5927">
        <f>IF(AB5927&gt;AB5926,AB5927,"")</f>
        <v/>
      </c>
    </row>
    <row r="5928">
      <c r="W5928" s="7" t="n"/>
      <c r="X5928" s="7" t="n"/>
      <c r="Z5928">
        <f>Z5927+IF(W5928="",0,IF(ISNA(MATCH(W5928,W$256:W5927,0)),1,0))</f>
        <v/>
      </c>
      <c r="AA5928">
        <f>IF(Z5928&gt;Z5927,Z5928,"")</f>
        <v/>
      </c>
      <c r="AB5928">
        <f>AB5927+IF(X5928="",0,IF(ISNA(MATCH(X5928,X$256:X5927,0)),1,0))</f>
        <v/>
      </c>
      <c r="AC5928">
        <f>IF(AB5928&gt;AB5927,AB5928,"")</f>
        <v/>
      </c>
    </row>
    <row r="5929">
      <c r="W5929" s="7" t="n"/>
      <c r="X5929" s="7" t="n"/>
      <c r="Z5929">
        <f>Z5928+IF(W5929="",0,IF(ISNA(MATCH(W5929,W$256:W5928,0)),1,0))</f>
        <v/>
      </c>
      <c r="AA5929">
        <f>IF(Z5929&gt;Z5928,Z5929,"")</f>
        <v/>
      </c>
      <c r="AB5929">
        <f>AB5928+IF(X5929="",0,IF(ISNA(MATCH(X5929,X$256:X5928,0)),1,0))</f>
        <v/>
      </c>
      <c r="AC5929">
        <f>IF(AB5929&gt;AB5928,AB5929,"")</f>
        <v/>
      </c>
    </row>
    <row r="5930">
      <c r="W5930" s="7" t="n"/>
      <c r="X5930" s="7" t="n"/>
      <c r="Z5930">
        <f>Z5929+IF(W5930="",0,IF(ISNA(MATCH(W5930,W$256:W5929,0)),1,0))</f>
        <v/>
      </c>
      <c r="AA5930">
        <f>IF(Z5930&gt;Z5929,Z5930,"")</f>
        <v/>
      </c>
      <c r="AB5930">
        <f>AB5929+IF(X5930="",0,IF(ISNA(MATCH(X5930,X$256:X5929,0)),1,0))</f>
        <v/>
      </c>
      <c r="AC5930">
        <f>IF(AB5930&gt;AB5929,AB5930,"")</f>
        <v/>
      </c>
    </row>
    <row r="5931">
      <c r="W5931" s="7" t="n"/>
      <c r="X5931" s="7" t="n"/>
      <c r="Z5931">
        <f>Z5930+IF(W5931="",0,IF(ISNA(MATCH(W5931,W$256:W5930,0)),1,0))</f>
        <v/>
      </c>
      <c r="AA5931">
        <f>IF(Z5931&gt;Z5930,Z5931,"")</f>
        <v/>
      </c>
      <c r="AB5931">
        <f>AB5930+IF(X5931="",0,IF(ISNA(MATCH(X5931,X$256:X5930,0)),1,0))</f>
        <v/>
      </c>
      <c r="AC5931">
        <f>IF(AB5931&gt;AB5930,AB5931,"")</f>
        <v/>
      </c>
    </row>
    <row r="5932">
      <c r="W5932" s="7" t="n"/>
      <c r="X5932" s="7" t="n"/>
      <c r="Z5932">
        <f>Z5931+IF(W5932="",0,IF(ISNA(MATCH(W5932,W$256:W5931,0)),1,0))</f>
        <v/>
      </c>
      <c r="AA5932">
        <f>IF(Z5932&gt;Z5931,Z5932,"")</f>
        <v/>
      </c>
      <c r="AB5932">
        <f>AB5931+IF(X5932="",0,IF(ISNA(MATCH(X5932,X$256:X5931,0)),1,0))</f>
        <v/>
      </c>
      <c r="AC5932">
        <f>IF(AB5932&gt;AB5931,AB5932,"")</f>
        <v/>
      </c>
    </row>
    <row r="5933">
      <c r="W5933" s="7" t="n"/>
      <c r="X5933" s="7" t="n"/>
      <c r="Z5933">
        <f>Z5932+IF(W5933="",0,IF(ISNA(MATCH(W5933,W$256:W5932,0)),1,0))</f>
        <v/>
      </c>
      <c r="AA5933">
        <f>IF(Z5933&gt;Z5932,Z5933,"")</f>
        <v/>
      </c>
      <c r="AB5933">
        <f>AB5932+IF(X5933="",0,IF(ISNA(MATCH(X5933,X$256:X5932,0)),1,0))</f>
        <v/>
      </c>
      <c r="AC5933">
        <f>IF(AB5933&gt;AB5932,AB5933,"")</f>
        <v/>
      </c>
    </row>
    <row r="5934">
      <c r="W5934" s="7" t="n"/>
      <c r="X5934" s="7" t="n"/>
      <c r="Z5934">
        <f>Z5933+IF(W5934="",0,IF(ISNA(MATCH(W5934,W$256:W5933,0)),1,0))</f>
        <v/>
      </c>
      <c r="AA5934">
        <f>IF(Z5934&gt;Z5933,Z5934,"")</f>
        <v/>
      </c>
      <c r="AB5934">
        <f>AB5933+IF(X5934="",0,IF(ISNA(MATCH(X5934,X$256:X5933,0)),1,0))</f>
        <v/>
      </c>
      <c r="AC5934">
        <f>IF(AB5934&gt;AB5933,AB5934,"")</f>
        <v/>
      </c>
    </row>
    <row r="5935">
      <c r="W5935" s="7" t="n"/>
      <c r="X5935" s="7" t="n"/>
      <c r="Z5935">
        <f>Z5934+IF(W5935="",0,IF(ISNA(MATCH(W5935,W$256:W5934,0)),1,0))</f>
        <v/>
      </c>
      <c r="AA5935">
        <f>IF(Z5935&gt;Z5934,Z5935,"")</f>
        <v/>
      </c>
      <c r="AB5935">
        <f>AB5934+IF(X5935="",0,IF(ISNA(MATCH(X5935,X$256:X5934,0)),1,0))</f>
        <v/>
      </c>
      <c r="AC5935">
        <f>IF(AB5935&gt;AB5934,AB5935,"")</f>
        <v/>
      </c>
    </row>
    <row r="5936">
      <c r="W5936" s="7" t="n"/>
      <c r="X5936" s="7" t="n"/>
      <c r="Z5936">
        <f>Z5935+IF(W5936="",0,IF(ISNA(MATCH(W5936,W$256:W5935,0)),1,0))</f>
        <v/>
      </c>
      <c r="AA5936">
        <f>IF(Z5936&gt;Z5935,Z5936,"")</f>
        <v/>
      </c>
      <c r="AB5936">
        <f>AB5935+IF(X5936="",0,IF(ISNA(MATCH(X5936,X$256:X5935,0)),1,0))</f>
        <v/>
      </c>
      <c r="AC5936">
        <f>IF(AB5936&gt;AB5935,AB5936,"")</f>
        <v/>
      </c>
    </row>
    <row r="5937">
      <c r="W5937" s="7" t="n"/>
      <c r="X5937" s="7" t="n"/>
      <c r="Z5937">
        <f>Z5936+IF(W5937="",0,IF(ISNA(MATCH(W5937,W$256:W5936,0)),1,0))</f>
        <v/>
      </c>
      <c r="AA5937">
        <f>IF(Z5937&gt;Z5936,Z5937,"")</f>
        <v/>
      </c>
      <c r="AB5937">
        <f>AB5936+IF(X5937="",0,IF(ISNA(MATCH(X5937,X$256:X5936,0)),1,0))</f>
        <v/>
      </c>
      <c r="AC5937">
        <f>IF(AB5937&gt;AB5936,AB5937,"")</f>
        <v/>
      </c>
    </row>
    <row r="5938">
      <c r="W5938" s="7" t="n"/>
      <c r="X5938" s="7" t="n"/>
      <c r="Z5938">
        <f>Z5937+IF(W5938="",0,IF(ISNA(MATCH(W5938,W$256:W5937,0)),1,0))</f>
        <v/>
      </c>
      <c r="AA5938">
        <f>IF(Z5938&gt;Z5937,Z5938,"")</f>
        <v/>
      </c>
      <c r="AB5938">
        <f>AB5937+IF(X5938="",0,IF(ISNA(MATCH(X5938,X$256:X5937,0)),1,0))</f>
        <v/>
      </c>
      <c r="AC5938">
        <f>IF(AB5938&gt;AB5937,AB5938,"")</f>
        <v/>
      </c>
    </row>
    <row r="5939">
      <c r="W5939" s="7" t="n"/>
      <c r="X5939" s="7" t="n"/>
      <c r="Z5939">
        <f>Z5938+IF(W5939="",0,IF(ISNA(MATCH(W5939,W$256:W5938,0)),1,0))</f>
        <v/>
      </c>
      <c r="AA5939">
        <f>IF(Z5939&gt;Z5938,Z5939,"")</f>
        <v/>
      </c>
      <c r="AB5939">
        <f>AB5938+IF(X5939="",0,IF(ISNA(MATCH(X5939,X$256:X5938,0)),1,0))</f>
        <v/>
      </c>
      <c r="AC5939">
        <f>IF(AB5939&gt;AB5938,AB5939,"")</f>
        <v/>
      </c>
    </row>
    <row r="5940">
      <c r="W5940" s="7" t="n"/>
      <c r="X5940" s="7" t="n"/>
      <c r="Z5940">
        <f>Z5939+IF(W5940="",0,IF(ISNA(MATCH(W5940,W$256:W5939,0)),1,0))</f>
        <v/>
      </c>
      <c r="AA5940">
        <f>IF(Z5940&gt;Z5939,Z5940,"")</f>
        <v/>
      </c>
      <c r="AB5940">
        <f>AB5939+IF(X5940="",0,IF(ISNA(MATCH(X5940,X$256:X5939,0)),1,0))</f>
        <v/>
      </c>
      <c r="AC5940">
        <f>IF(AB5940&gt;AB5939,AB5940,"")</f>
        <v/>
      </c>
    </row>
    <row r="5941">
      <c r="W5941" s="7" t="n"/>
      <c r="X5941" s="7" t="n"/>
      <c r="Z5941">
        <f>Z5940+IF(W5941="",0,IF(ISNA(MATCH(W5941,W$256:W5940,0)),1,0))</f>
        <v/>
      </c>
      <c r="AA5941">
        <f>IF(Z5941&gt;Z5940,Z5941,"")</f>
        <v/>
      </c>
      <c r="AB5941">
        <f>AB5940+IF(X5941="",0,IF(ISNA(MATCH(X5941,X$256:X5940,0)),1,0))</f>
        <v/>
      </c>
      <c r="AC5941">
        <f>IF(AB5941&gt;AB5940,AB5941,"")</f>
        <v/>
      </c>
    </row>
    <row r="5942">
      <c r="W5942" s="7" t="n"/>
      <c r="X5942" s="7" t="n"/>
      <c r="Z5942">
        <f>Z5941+IF(W5942="",0,IF(ISNA(MATCH(W5942,W$256:W5941,0)),1,0))</f>
        <v/>
      </c>
      <c r="AA5942">
        <f>IF(Z5942&gt;Z5941,Z5942,"")</f>
        <v/>
      </c>
      <c r="AB5942">
        <f>AB5941+IF(X5942="",0,IF(ISNA(MATCH(X5942,X$256:X5941,0)),1,0))</f>
        <v/>
      </c>
      <c r="AC5942">
        <f>IF(AB5942&gt;AB5941,AB5942,"")</f>
        <v/>
      </c>
    </row>
    <row r="5943">
      <c r="W5943" s="7" t="n"/>
      <c r="X5943" s="7" t="n"/>
      <c r="Z5943">
        <f>Z5942+IF(W5943="",0,IF(ISNA(MATCH(W5943,W$256:W5942,0)),1,0))</f>
        <v/>
      </c>
      <c r="AA5943">
        <f>IF(Z5943&gt;Z5942,Z5943,"")</f>
        <v/>
      </c>
      <c r="AB5943">
        <f>AB5942+IF(X5943="",0,IF(ISNA(MATCH(X5943,X$256:X5942,0)),1,0))</f>
        <v/>
      </c>
      <c r="AC5943">
        <f>IF(AB5943&gt;AB5942,AB5943,"")</f>
        <v/>
      </c>
    </row>
    <row r="5944">
      <c r="W5944" s="7" t="n"/>
      <c r="X5944" s="7" t="n"/>
      <c r="Z5944">
        <f>Z5943+IF(W5944="",0,IF(ISNA(MATCH(W5944,W$256:W5943,0)),1,0))</f>
        <v/>
      </c>
      <c r="AA5944">
        <f>IF(Z5944&gt;Z5943,Z5944,"")</f>
        <v/>
      </c>
      <c r="AB5944">
        <f>AB5943+IF(X5944="",0,IF(ISNA(MATCH(X5944,X$256:X5943,0)),1,0))</f>
        <v/>
      </c>
      <c r="AC5944">
        <f>IF(AB5944&gt;AB5943,AB5944,"")</f>
        <v/>
      </c>
    </row>
    <row r="5945">
      <c r="W5945" s="7" t="n"/>
      <c r="X5945" s="7" t="n"/>
      <c r="Z5945">
        <f>Z5944+IF(W5945="",0,IF(ISNA(MATCH(W5945,W$256:W5944,0)),1,0))</f>
        <v/>
      </c>
      <c r="AA5945">
        <f>IF(Z5945&gt;Z5944,Z5945,"")</f>
        <v/>
      </c>
      <c r="AB5945">
        <f>AB5944+IF(X5945="",0,IF(ISNA(MATCH(X5945,X$256:X5944,0)),1,0))</f>
        <v/>
      </c>
      <c r="AC5945">
        <f>IF(AB5945&gt;AB5944,AB5945,"")</f>
        <v/>
      </c>
    </row>
    <row r="5946">
      <c r="W5946" s="7" t="n"/>
      <c r="X5946" s="7" t="n"/>
      <c r="Z5946">
        <f>Z5945+IF(W5946="",0,IF(ISNA(MATCH(W5946,W$256:W5945,0)),1,0))</f>
        <v/>
      </c>
      <c r="AA5946">
        <f>IF(Z5946&gt;Z5945,Z5946,"")</f>
        <v/>
      </c>
      <c r="AB5946">
        <f>AB5945+IF(X5946="",0,IF(ISNA(MATCH(X5946,X$256:X5945,0)),1,0))</f>
        <v/>
      </c>
      <c r="AC5946">
        <f>IF(AB5946&gt;AB5945,AB5946,"")</f>
        <v/>
      </c>
    </row>
    <row r="5947">
      <c r="W5947" s="7" t="n"/>
      <c r="X5947" s="7" t="n"/>
      <c r="Z5947">
        <f>Z5946+IF(W5947="",0,IF(ISNA(MATCH(W5947,W$256:W5946,0)),1,0))</f>
        <v/>
      </c>
      <c r="AA5947">
        <f>IF(Z5947&gt;Z5946,Z5947,"")</f>
        <v/>
      </c>
      <c r="AB5947">
        <f>AB5946+IF(X5947="",0,IF(ISNA(MATCH(X5947,X$256:X5946,0)),1,0))</f>
        <v/>
      </c>
      <c r="AC5947">
        <f>IF(AB5947&gt;AB5946,AB5947,"")</f>
        <v/>
      </c>
    </row>
    <row r="5948">
      <c r="W5948" s="7" t="n"/>
      <c r="X5948" s="7" t="n"/>
      <c r="Z5948">
        <f>Z5947+IF(W5948="",0,IF(ISNA(MATCH(W5948,W$256:W5947,0)),1,0))</f>
        <v/>
      </c>
      <c r="AA5948">
        <f>IF(Z5948&gt;Z5947,Z5948,"")</f>
        <v/>
      </c>
      <c r="AB5948">
        <f>AB5947+IF(X5948="",0,IF(ISNA(MATCH(X5948,X$256:X5947,0)),1,0))</f>
        <v/>
      </c>
      <c r="AC5948">
        <f>IF(AB5948&gt;AB5947,AB5948,"")</f>
        <v/>
      </c>
    </row>
    <row r="5949">
      <c r="W5949" s="7" t="n"/>
      <c r="X5949" s="7" t="n"/>
      <c r="Z5949">
        <f>Z5948+IF(W5949="",0,IF(ISNA(MATCH(W5949,W$256:W5948,0)),1,0))</f>
        <v/>
      </c>
      <c r="AA5949">
        <f>IF(Z5949&gt;Z5948,Z5949,"")</f>
        <v/>
      </c>
      <c r="AB5949">
        <f>AB5948+IF(X5949="",0,IF(ISNA(MATCH(X5949,X$256:X5948,0)),1,0))</f>
        <v/>
      </c>
      <c r="AC5949">
        <f>IF(AB5949&gt;AB5948,AB5949,"")</f>
        <v/>
      </c>
    </row>
    <row r="5950">
      <c r="W5950" s="7" t="n"/>
      <c r="X5950" s="7" t="n"/>
      <c r="Z5950">
        <f>Z5949+IF(W5950="",0,IF(ISNA(MATCH(W5950,W$256:W5949,0)),1,0))</f>
        <v/>
      </c>
      <c r="AA5950">
        <f>IF(Z5950&gt;Z5949,Z5950,"")</f>
        <v/>
      </c>
      <c r="AB5950">
        <f>AB5949+IF(X5950="",0,IF(ISNA(MATCH(X5950,X$256:X5949,0)),1,0))</f>
        <v/>
      </c>
      <c r="AC5950">
        <f>IF(AB5950&gt;AB5949,AB5950,"")</f>
        <v/>
      </c>
    </row>
    <row r="5951">
      <c r="W5951" s="7" t="n"/>
      <c r="X5951" s="7" t="n"/>
      <c r="Z5951">
        <f>Z5950+IF(W5951="",0,IF(ISNA(MATCH(W5951,W$256:W5950,0)),1,0))</f>
        <v/>
      </c>
      <c r="AA5951">
        <f>IF(Z5951&gt;Z5950,Z5951,"")</f>
        <v/>
      </c>
      <c r="AB5951">
        <f>AB5950+IF(X5951="",0,IF(ISNA(MATCH(X5951,X$256:X5950,0)),1,0))</f>
        <v/>
      </c>
      <c r="AC5951">
        <f>IF(AB5951&gt;AB5950,AB5951,"")</f>
        <v/>
      </c>
    </row>
    <row r="5952">
      <c r="W5952" s="7" t="n"/>
      <c r="X5952" s="7" t="n"/>
      <c r="Z5952">
        <f>Z5951+IF(W5952="",0,IF(ISNA(MATCH(W5952,W$256:W5951,0)),1,0))</f>
        <v/>
      </c>
      <c r="AA5952">
        <f>IF(Z5952&gt;Z5951,Z5952,"")</f>
        <v/>
      </c>
      <c r="AB5952">
        <f>AB5951+IF(X5952="",0,IF(ISNA(MATCH(X5952,X$256:X5951,0)),1,0))</f>
        <v/>
      </c>
      <c r="AC5952">
        <f>IF(AB5952&gt;AB5951,AB5952,"")</f>
        <v/>
      </c>
    </row>
    <row r="5953">
      <c r="W5953" s="7" t="n"/>
      <c r="X5953" s="7" t="n"/>
      <c r="Z5953">
        <f>Z5952+IF(W5953="",0,IF(ISNA(MATCH(W5953,W$256:W5952,0)),1,0))</f>
        <v/>
      </c>
      <c r="AA5953">
        <f>IF(Z5953&gt;Z5952,Z5953,"")</f>
        <v/>
      </c>
      <c r="AB5953">
        <f>AB5952+IF(X5953="",0,IF(ISNA(MATCH(X5953,X$256:X5952,0)),1,0))</f>
        <v/>
      </c>
      <c r="AC5953">
        <f>IF(AB5953&gt;AB5952,AB5953,"")</f>
        <v/>
      </c>
    </row>
    <row r="5954">
      <c r="W5954" s="7" t="n"/>
      <c r="X5954" s="7" t="n"/>
      <c r="Z5954">
        <f>Z5953+IF(W5954="",0,IF(ISNA(MATCH(W5954,W$256:W5953,0)),1,0))</f>
        <v/>
      </c>
      <c r="AA5954">
        <f>IF(Z5954&gt;Z5953,Z5954,"")</f>
        <v/>
      </c>
      <c r="AB5954">
        <f>AB5953+IF(X5954="",0,IF(ISNA(MATCH(X5954,X$256:X5953,0)),1,0))</f>
        <v/>
      </c>
      <c r="AC5954">
        <f>IF(AB5954&gt;AB5953,AB5954,"")</f>
        <v/>
      </c>
    </row>
    <row r="5955">
      <c r="W5955" s="7" t="n"/>
      <c r="X5955" s="7" t="n"/>
      <c r="Z5955">
        <f>Z5954+IF(W5955="",0,IF(ISNA(MATCH(W5955,W$256:W5954,0)),1,0))</f>
        <v/>
      </c>
      <c r="AA5955">
        <f>IF(Z5955&gt;Z5954,Z5955,"")</f>
        <v/>
      </c>
      <c r="AB5955">
        <f>AB5954+IF(X5955="",0,IF(ISNA(MATCH(X5955,X$256:X5954,0)),1,0))</f>
        <v/>
      </c>
      <c r="AC5955">
        <f>IF(AB5955&gt;AB5954,AB5955,"")</f>
        <v/>
      </c>
    </row>
    <row r="5956">
      <c r="W5956" s="7" t="n"/>
      <c r="X5956" s="7" t="n"/>
      <c r="Z5956">
        <f>Z5955+IF(W5956="",0,IF(ISNA(MATCH(W5956,W$256:W5955,0)),1,0))</f>
        <v/>
      </c>
      <c r="AA5956">
        <f>IF(Z5956&gt;Z5955,Z5956,"")</f>
        <v/>
      </c>
      <c r="AB5956">
        <f>AB5955+IF(X5956="",0,IF(ISNA(MATCH(X5956,X$256:X5955,0)),1,0))</f>
        <v/>
      </c>
      <c r="AC5956">
        <f>IF(AB5956&gt;AB5955,AB5956,"")</f>
        <v/>
      </c>
    </row>
    <row r="5957">
      <c r="W5957" s="7" t="n"/>
      <c r="X5957" s="7" t="n"/>
      <c r="Z5957">
        <f>Z5956+IF(W5957="",0,IF(ISNA(MATCH(W5957,W$256:W5956,0)),1,0))</f>
        <v/>
      </c>
      <c r="AA5957">
        <f>IF(Z5957&gt;Z5956,Z5957,"")</f>
        <v/>
      </c>
      <c r="AB5957">
        <f>AB5956+IF(X5957="",0,IF(ISNA(MATCH(X5957,X$256:X5956,0)),1,0))</f>
        <v/>
      </c>
      <c r="AC5957">
        <f>IF(AB5957&gt;AB5956,AB5957,"")</f>
        <v/>
      </c>
    </row>
    <row r="5958">
      <c r="W5958" s="7" t="n"/>
      <c r="X5958" s="7" t="n"/>
      <c r="Z5958">
        <f>Z5957+IF(W5958="",0,IF(ISNA(MATCH(W5958,W$256:W5957,0)),1,0))</f>
        <v/>
      </c>
      <c r="AA5958">
        <f>IF(Z5958&gt;Z5957,Z5958,"")</f>
        <v/>
      </c>
      <c r="AB5958">
        <f>AB5957+IF(X5958="",0,IF(ISNA(MATCH(X5958,X$256:X5957,0)),1,0))</f>
        <v/>
      </c>
      <c r="AC5958">
        <f>IF(AB5958&gt;AB5957,AB5958,"")</f>
        <v/>
      </c>
    </row>
    <row r="5959">
      <c r="W5959" s="7" t="n"/>
      <c r="X5959" s="7" t="n"/>
      <c r="Z5959">
        <f>Z5958+IF(W5959="",0,IF(ISNA(MATCH(W5959,W$256:W5958,0)),1,0))</f>
        <v/>
      </c>
      <c r="AA5959">
        <f>IF(Z5959&gt;Z5958,Z5959,"")</f>
        <v/>
      </c>
      <c r="AB5959">
        <f>AB5958+IF(X5959="",0,IF(ISNA(MATCH(X5959,X$256:X5958,0)),1,0))</f>
        <v/>
      </c>
      <c r="AC5959">
        <f>IF(AB5959&gt;AB5958,AB5959,"")</f>
        <v/>
      </c>
    </row>
    <row r="5960">
      <c r="W5960" s="7" t="n"/>
      <c r="X5960" s="7" t="n"/>
      <c r="Z5960">
        <f>Z5959+IF(W5960="",0,IF(ISNA(MATCH(W5960,W$256:W5959,0)),1,0))</f>
        <v/>
      </c>
      <c r="AA5960">
        <f>IF(Z5960&gt;Z5959,Z5960,"")</f>
        <v/>
      </c>
      <c r="AB5960">
        <f>AB5959+IF(X5960="",0,IF(ISNA(MATCH(X5960,X$256:X5959,0)),1,0))</f>
        <v/>
      </c>
      <c r="AC5960">
        <f>IF(AB5960&gt;AB5959,AB5960,"")</f>
        <v/>
      </c>
    </row>
    <row r="5961">
      <c r="W5961" s="7" t="n"/>
      <c r="X5961" s="7" t="n"/>
      <c r="Z5961">
        <f>Z5960+IF(W5961="",0,IF(ISNA(MATCH(W5961,W$256:W5960,0)),1,0))</f>
        <v/>
      </c>
      <c r="AA5961">
        <f>IF(Z5961&gt;Z5960,Z5961,"")</f>
        <v/>
      </c>
      <c r="AB5961">
        <f>AB5960+IF(X5961="",0,IF(ISNA(MATCH(X5961,X$256:X5960,0)),1,0))</f>
        <v/>
      </c>
      <c r="AC5961">
        <f>IF(AB5961&gt;AB5960,AB5961,"")</f>
        <v/>
      </c>
    </row>
    <row r="5962">
      <c r="W5962" s="7" t="n"/>
      <c r="X5962" s="7" t="n"/>
      <c r="Z5962">
        <f>Z5961+IF(W5962="",0,IF(ISNA(MATCH(W5962,W$256:W5961,0)),1,0))</f>
        <v/>
      </c>
      <c r="AA5962">
        <f>IF(Z5962&gt;Z5961,Z5962,"")</f>
        <v/>
      </c>
      <c r="AB5962">
        <f>AB5961+IF(X5962="",0,IF(ISNA(MATCH(X5962,X$256:X5961,0)),1,0))</f>
        <v/>
      </c>
      <c r="AC5962">
        <f>IF(AB5962&gt;AB5961,AB5962,"")</f>
        <v/>
      </c>
    </row>
    <row r="5963">
      <c r="W5963" s="7" t="n"/>
      <c r="X5963" s="7" t="n"/>
      <c r="Z5963">
        <f>Z5962+IF(W5963="",0,IF(ISNA(MATCH(W5963,W$256:W5962,0)),1,0))</f>
        <v/>
      </c>
      <c r="AA5963">
        <f>IF(Z5963&gt;Z5962,Z5963,"")</f>
        <v/>
      </c>
      <c r="AB5963">
        <f>AB5962+IF(X5963="",0,IF(ISNA(MATCH(X5963,X$256:X5962,0)),1,0))</f>
        <v/>
      </c>
      <c r="AC5963">
        <f>IF(AB5963&gt;AB5962,AB5963,"")</f>
        <v/>
      </c>
    </row>
    <row r="5964">
      <c r="W5964" s="7" t="n"/>
      <c r="X5964" s="7" t="n"/>
      <c r="Z5964">
        <f>Z5963+IF(W5964="",0,IF(ISNA(MATCH(W5964,W$256:W5963,0)),1,0))</f>
        <v/>
      </c>
      <c r="AA5964">
        <f>IF(Z5964&gt;Z5963,Z5964,"")</f>
        <v/>
      </c>
      <c r="AB5964">
        <f>AB5963+IF(X5964="",0,IF(ISNA(MATCH(X5964,X$256:X5963,0)),1,0))</f>
        <v/>
      </c>
      <c r="AC5964">
        <f>IF(AB5964&gt;AB5963,AB5964,"")</f>
        <v/>
      </c>
    </row>
    <row r="5965">
      <c r="W5965" s="7" t="n"/>
      <c r="X5965" s="7" t="n"/>
      <c r="Z5965">
        <f>Z5964+IF(W5965="",0,IF(ISNA(MATCH(W5965,W$256:W5964,0)),1,0))</f>
        <v/>
      </c>
      <c r="AA5965">
        <f>IF(Z5965&gt;Z5964,Z5965,"")</f>
        <v/>
      </c>
      <c r="AB5965">
        <f>AB5964+IF(X5965="",0,IF(ISNA(MATCH(X5965,X$256:X5964,0)),1,0))</f>
        <v/>
      </c>
      <c r="AC5965">
        <f>IF(AB5965&gt;AB5964,AB5965,"")</f>
        <v/>
      </c>
    </row>
    <row r="5966">
      <c r="W5966" s="7" t="n"/>
      <c r="X5966" s="7" t="n"/>
      <c r="Z5966">
        <f>Z5965+IF(W5966="",0,IF(ISNA(MATCH(W5966,W$256:W5965,0)),1,0))</f>
        <v/>
      </c>
      <c r="AA5966">
        <f>IF(Z5966&gt;Z5965,Z5966,"")</f>
        <v/>
      </c>
      <c r="AB5966">
        <f>AB5965+IF(X5966="",0,IF(ISNA(MATCH(X5966,X$256:X5965,0)),1,0))</f>
        <v/>
      </c>
      <c r="AC5966">
        <f>IF(AB5966&gt;AB5965,AB5966,"")</f>
        <v/>
      </c>
    </row>
    <row r="5967">
      <c r="W5967" s="7" t="n"/>
      <c r="X5967" s="7" t="n"/>
      <c r="Z5967">
        <f>Z5966+IF(W5967="",0,IF(ISNA(MATCH(W5967,W$256:W5966,0)),1,0))</f>
        <v/>
      </c>
      <c r="AA5967">
        <f>IF(Z5967&gt;Z5966,Z5967,"")</f>
        <v/>
      </c>
      <c r="AB5967">
        <f>AB5966+IF(X5967="",0,IF(ISNA(MATCH(X5967,X$256:X5966,0)),1,0))</f>
        <v/>
      </c>
      <c r="AC5967">
        <f>IF(AB5967&gt;AB5966,AB5967,"")</f>
        <v/>
      </c>
    </row>
    <row r="5968">
      <c r="W5968" s="7" t="n"/>
      <c r="X5968" s="7" t="n"/>
      <c r="Z5968">
        <f>Z5967+IF(W5968="",0,IF(ISNA(MATCH(W5968,W$256:W5967,0)),1,0))</f>
        <v/>
      </c>
      <c r="AA5968">
        <f>IF(Z5968&gt;Z5967,Z5968,"")</f>
        <v/>
      </c>
      <c r="AB5968">
        <f>AB5967+IF(X5968="",0,IF(ISNA(MATCH(X5968,X$256:X5967,0)),1,0))</f>
        <v/>
      </c>
      <c r="AC5968">
        <f>IF(AB5968&gt;AB5967,AB5968,"")</f>
        <v/>
      </c>
    </row>
    <row r="5969">
      <c r="W5969" s="7" t="n"/>
      <c r="X5969" s="7" t="n"/>
      <c r="Z5969">
        <f>Z5968+IF(W5969="",0,IF(ISNA(MATCH(W5969,W$256:W5968,0)),1,0))</f>
        <v/>
      </c>
      <c r="AA5969">
        <f>IF(Z5969&gt;Z5968,Z5969,"")</f>
        <v/>
      </c>
      <c r="AB5969">
        <f>AB5968+IF(X5969="",0,IF(ISNA(MATCH(X5969,X$256:X5968,0)),1,0))</f>
        <v/>
      </c>
      <c r="AC5969">
        <f>IF(AB5969&gt;AB5968,AB5969,"")</f>
        <v/>
      </c>
    </row>
    <row r="5970">
      <c r="W5970" s="7" t="n"/>
      <c r="X5970" s="7" t="n"/>
      <c r="Z5970">
        <f>Z5969+IF(W5970="",0,IF(ISNA(MATCH(W5970,W$256:W5969,0)),1,0))</f>
        <v/>
      </c>
      <c r="AA5970">
        <f>IF(Z5970&gt;Z5969,Z5970,"")</f>
        <v/>
      </c>
      <c r="AB5970">
        <f>AB5969+IF(X5970="",0,IF(ISNA(MATCH(X5970,X$256:X5969,0)),1,0))</f>
        <v/>
      </c>
      <c r="AC5970">
        <f>IF(AB5970&gt;AB5969,AB5970,"")</f>
        <v/>
      </c>
    </row>
    <row r="5971">
      <c r="W5971" s="7" t="n"/>
      <c r="X5971" s="7" t="n"/>
      <c r="Z5971">
        <f>Z5970+IF(W5971="",0,IF(ISNA(MATCH(W5971,W$256:W5970,0)),1,0))</f>
        <v/>
      </c>
      <c r="AA5971">
        <f>IF(Z5971&gt;Z5970,Z5971,"")</f>
        <v/>
      </c>
      <c r="AB5971">
        <f>AB5970+IF(X5971="",0,IF(ISNA(MATCH(X5971,X$256:X5970,0)),1,0))</f>
        <v/>
      </c>
      <c r="AC5971">
        <f>IF(AB5971&gt;AB5970,AB5971,"")</f>
        <v/>
      </c>
    </row>
    <row r="5972">
      <c r="W5972" s="7" t="n"/>
      <c r="X5972" s="7" t="n"/>
      <c r="Z5972">
        <f>Z5971+IF(W5972="",0,IF(ISNA(MATCH(W5972,W$256:W5971,0)),1,0))</f>
        <v/>
      </c>
      <c r="AA5972">
        <f>IF(Z5972&gt;Z5971,Z5972,"")</f>
        <v/>
      </c>
      <c r="AB5972">
        <f>AB5971+IF(X5972="",0,IF(ISNA(MATCH(X5972,X$256:X5971,0)),1,0))</f>
        <v/>
      </c>
      <c r="AC5972">
        <f>IF(AB5972&gt;AB5971,AB5972,"")</f>
        <v/>
      </c>
    </row>
    <row r="5973">
      <c r="W5973" s="7" t="n"/>
      <c r="X5973" s="7" t="n"/>
      <c r="Z5973">
        <f>Z5972+IF(W5973="",0,IF(ISNA(MATCH(W5973,W$256:W5972,0)),1,0))</f>
        <v/>
      </c>
      <c r="AA5973">
        <f>IF(Z5973&gt;Z5972,Z5973,"")</f>
        <v/>
      </c>
      <c r="AB5973">
        <f>AB5972+IF(X5973="",0,IF(ISNA(MATCH(X5973,X$256:X5972,0)),1,0))</f>
        <v/>
      </c>
      <c r="AC5973">
        <f>IF(AB5973&gt;AB5972,AB5973,"")</f>
        <v/>
      </c>
    </row>
    <row r="5974">
      <c r="W5974" s="7" t="n"/>
      <c r="X5974" s="7" t="n"/>
      <c r="Z5974">
        <f>Z5973+IF(W5974="",0,IF(ISNA(MATCH(W5974,W$256:W5973,0)),1,0))</f>
        <v/>
      </c>
      <c r="AA5974">
        <f>IF(Z5974&gt;Z5973,Z5974,"")</f>
        <v/>
      </c>
      <c r="AB5974">
        <f>AB5973+IF(X5974="",0,IF(ISNA(MATCH(X5974,X$256:X5973,0)),1,0))</f>
        <v/>
      </c>
      <c r="AC5974">
        <f>IF(AB5974&gt;AB5973,AB5974,"")</f>
        <v/>
      </c>
    </row>
    <row r="5975">
      <c r="W5975" s="7" t="n"/>
      <c r="X5975" s="7" t="n"/>
      <c r="Z5975">
        <f>Z5974+IF(W5975="",0,IF(ISNA(MATCH(W5975,W$256:W5974,0)),1,0))</f>
        <v/>
      </c>
      <c r="AA5975">
        <f>IF(Z5975&gt;Z5974,Z5975,"")</f>
        <v/>
      </c>
      <c r="AB5975">
        <f>AB5974+IF(X5975="",0,IF(ISNA(MATCH(X5975,X$256:X5974,0)),1,0))</f>
        <v/>
      </c>
      <c r="AC5975">
        <f>IF(AB5975&gt;AB5974,AB5975,"")</f>
        <v/>
      </c>
    </row>
    <row r="5976">
      <c r="W5976" s="7" t="n"/>
      <c r="X5976" s="7" t="n"/>
      <c r="Z5976">
        <f>Z5975+IF(W5976="",0,IF(ISNA(MATCH(W5976,W$256:W5975,0)),1,0))</f>
        <v/>
      </c>
      <c r="AA5976">
        <f>IF(Z5976&gt;Z5975,Z5976,"")</f>
        <v/>
      </c>
      <c r="AB5976">
        <f>AB5975+IF(X5976="",0,IF(ISNA(MATCH(X5976,X$256:X5975,0)),1,0))</f>
        <v/>
      </c>
      <c r="AC5976">
        <f>IF(AB5976&gt;AB5975,AB5976,"")</f>
        <v/>
      </c>
    </row>
    <row r="5977">
      <c r="W5977" s="7" t="n"/>
      <c r="X5977" s="7" t="n"/>
      <c r="Z5977">
        <f>Z5976+IF(W5977="",0,IF(ISNA(MATCH(W5977,W$256:W5976,0)),1,0))</f>
        <v/>
      </c>
      <c r="AA5977">
        <f>IF(Z5977&gt;Z5976,Z5977,"")</f>
        <v/>
      </c>
      <c r="AB5977">
        <f>AB5976+IF(X5977="",0,IF(ISNA(MATCH(X5977,X$256:X5976,0)),1,0))</f>
        <v/>
      </c>
      <c r="AC5977">
        <f>IF(AB5977&gt;AB5976,AB5977,"")</f>
        <v/>
      </c>
    </row>
    <row r="5978">
      <c r="W5978" s="7" t="n"/>
      <c r="X5978" s="7" t="n"/>
      <c r="Z5978">
        <f>Z5977+IF(W5978="",0,IF(ISNA(MATCH(W5978,W$256:W5977,0)),1,0))</f>
        <v/>
      </c>
      <c r="AA5978">
        <f>IF(Z5978&gt;Z5977,Z5978,"")</f>
        <v/>
      </c>
      <c r="AB5978">
        <f>AB5977+IF(X5978="",0,IF(ISNA(MATCH(X5978,X$256:X5977,0)),1,0))</f>
        <v/>
      </c>
      <c r="AC5978">
        <f>IF(AB5978&gt;AB5977,AB5978,"")</f>
        <v/>
      </c>
    </row>
    <row r="5979">
      <c r="W5979" s="7" t="n"/>
      <c r="X5979" s="7" t="n"/>
      <c r="Z5979">
        <f>Z5978+IF(W5979="",0,IF(ISNA(MATCH(W5979,W$256:W5978,0)),1,0))</f>
        <v/>
      </c>
      <c r="AA5979">
        <f>IF(Z5979&gt;Z5978,Z5979,"")</f>
        <v/>
      </c>
      <c r="AB5979">
        <f>AB5978+IF(X5979="",0,IF(ISNA(MATCH(X5979,X$256:X5978,0)),1,0))</f>
        <v/>
      </c>
      <c r="AC5979">
        <f>IF(AB5979&gt;AB5978,AB5979,"")</f>
        <v/>
      </c>
    </row>
    <row r="5980">
      <c r="W5980" s="7" t="n"/>
      <c r="X5980" s="7" t="n"/>
      <c r="Z5980">
        <f>Z5979+IF(W5980="",0,IF(ISNA(MATCH(W5980,W$256:W5979,0)),1,0))</f>
        <v/>
      </c>
      <c r="AA5980">
        <f>IF(Z5980&gt;Z5979,Z5980,"")</f>
        <v/>
      </c>
      <c r="AB5980">
        <f>AB5979+IF(X5980="",0,IF(ISNA(MATCH(X5980,X$256:X5979,0)),1,0))</f>
        <v/>
      </c>
      <c r="AC5980">
        <f>IF(AB5980&gt;AB5979,AB5980,"")</f>
        <v/>
      </c>
    </row>
    <row r="5981">
      <c r="W5981" s="7" t="n"/>
      <c r="X5981" s="7" t="n"/>
      <c r="Z5981">
        <f>Z5980+IF(W5981="",0,IF(ISNA(MATCH(W5981,W$256:W5980,0)),1,0))</f>
        <v/>
      </c>
      <c r="AA5981">
        <f>IF(Z5981&gt;Z5980,Z5981,"")</f>
        <v/>
      </c>
      <c r="AB5981">
        <f>AB5980+IF(X5981="",0,IF(ISNA(MATCH(X5981,X$256:X5980,0)),1,0))</f>
        <v/>
      </c>
      <c r="AC5981">
        <f>IF(AB5981&gt;AB5980,AB5981,"")</f>
        <v/>
      </c>
    </row>
    <row r="5982">
      <c r="W5982" s="7" t="n"/>
      <c r="X5982" s="7" t="n"/>
      <c r="Z5982">
        <f>Z5981+IF(W5982="",0,IF(ISNA(MATCH(W5982,W$256:W5981,0)),1,0))</f>
        <v/>
      </c>
      <c r="AA5982">
        <f>IF(Z5982&gt;Z5981,Z5982,"")</f>
        <v/>
      </c>
      <c r="AB5982">
        <f>AB5981+IF(X5982="",0,IF(ISNA(MATCH(X5982,X$256:X5981,0)),1,0))</f>
        <v/>
      </c>
      <c r="AC5982">
        <f>IF(AB5982&gt;AB5981,AB5982,"")</f>
        <v/>
      </c>
    </row>
    <row r="5983">
      <c r="W5983" s="7" t="n"/>
      <c r="X5983" s="7" t="n"/>
      <c r="Z5983">
        <f>Z5982+IF(W5983="",0,IF(ISNA(MATCH(W5983,W$256:W5982,0)),1,0))</f>
        <v/>
      </c>
      <c r="AA5983">
        <f>IF(Z5983&gt;Z5982,Z5983,"")</f>
        <v/>
      </c>
      <c r="AB5983">
        <f>AB5982+IF(X5983="",0,IF(ISNA(MATCH(X5983,X$256:X5982,0)),1,0))</f>
        <v/>
      </c>
      <c r="AC5983">
        <f>IF(AB5983&gt;AB5982,AB5983,"")</f>
        <v/>
      </c>
    </row>
    <row r="5984">
      <c r="W5984" s="7" t="n"/>
      <c r="X5984" s="7" t="n"/>
      <c r="Z5984">
        <f>Z5983+IF(W5984="",0,IF(ISNA(MATCH(W5984,W$256:W5983,0)),1,0))</f>
        <v/>
      </c>
      <c r="AA5984">
        <f>IF(Z5984&gt;Z5983,Z5984,"")</f>
        <v/>
      </c>
      <c r="AB5984">
        <f>AB5983+IF(X5984="",0,IF(ISNA(MATCH(X5984,X$256:X5983,0)),1,0))</f>
        <v/>
      </c>
      <c r="AC5984">
        <f>IF(AB5984&gt;AB5983,AB5984,"")</f>
        <v/>
      </c>
    </row>
    <row r="5985">
      <c r="W5985" s="7" t="n"/>
      <c r="X5985" s="7" t="n"/>
      <c r="Z5985">
        <f>Z5984+IF(W5985="",0,IF(ISNA(MATCH(W5985,W$256:W5984,0)),1,0))</f>
        <v/>
      </c>
      <c r="AA5985">
        <f>IF(Z5985&gt;Z5984,Z5985,"")</f>
        <v/>
      </c>
      <c r="AB5985">
        <f>AB5984+IF(X5985="",0,IF(ISNA(MATCH(X5985,X$256:X5984,0)),1,0))</f>
        <v/>
      </c>
      <c r="AC5985">
        <f>IF(AB5985&gt;AB5984,AB5985,"")</f>
        <v/>
      </c>
    </row>
    <row r="5986">
      <c r="W5986" s="7" t="n"/>
      <c r="X5986" s="7" t="n"/>
      <c r="Z5986">
        <f>Z5985+IF(W5986="",0,IF(ISNA(MATCH(W5986,W$256:W5985,0)),1,0))</f>
        <v/>
      </c>
      <c r="AA5986">
        <f>IF(Z5986&gt;Z5985,Z5986,"")</f>
        <v/>
      </c>
      <c r="AB5986">
        <f>AB5985+IF(X5986="",0,IF(ISNA(MATCH(X5986,X$256:X5985,0)),1,0))</f>
        <v/>
      </c>
      <c r="AC5986">
        <f>IF(AB5986&gt;AB5985,AB5986,"")</f>
        <v/>
      </c>
    </row>
    <row r="5987">
      <c r="W5987" s="7" t="n"/>
      <c r="X5987" s="7" t="n"/>
      <c r="Z5987">
        <f>Z5986+IF(W5987="",0,IF(ISNA(MATCH(W5987,W$256:W5986,0)),1,0))</f>
        <v/>
      </c>
      <c r="AA5987">
        <f>IF(Z5987&gt;Z5986,Z5987,"")</f>
        <v/>
      </c>
      <c r="AB5987">
        <f>AB5986+IF(X5987="",0,IF(ISNA(MATCH(X5987,X$256:X5986,0)),1,0))</f>
        <v/>
      </c>
      <c r="AC5987">
        <f>IF(AB5987&gt;AB5986,AB5987,"")</f>
        <v/>
      </c>
    </row>
    <row r="5988">
      <c r="W5988" s="7" t="n"/>
      <c r="X5988" s="7" t="n"/>
      <c r="Z5988">
        <f>Z5987+IF(W5988="",0,IF(ISNA(MATCH(W5988,W$256:W5987,0)),1,0))</f>
        <v/>
      </c>
      <c r="AA5988">
        <f>IF(Z5988&gt;Z5987,Z5988,"")</f>
        <v/>
      </c>
      <c r="AB5988">
        <f>AB5987+IF(X5988="",0,IF(ISNA(MATCH(X5988,X$256:X5987,0)),1,0))</f>
        <v/>
      </c>
      <c r="AC5988">
        <f>IF(AB5988&gt;AB5987,AB5988,"")</f>
        <v/>
      </c>
    </row>
    <row r="5989">
      <c r="W5989" s="7" t="n"/>
      <c r="X5989" s="7" t="n"/>
      <c r="Z5989">
        <f>Z5988+IF(W5989="",0,IF(ISNA(MATCH(W5989,W$256:W5988,0)),1,0))</f>
        <v/>
      </c>
      <c r="AA5989">
        <f>IF(Z5989&gt;Z5988,Z5989,"")</f>
        <v/>
      </c>
      <c r="AB5989">
        <f>AB5988+IF(X5989="",0,IF(ISNA(MATCH(X5989,X$256:X5988,0)),1,0))</f>
        <v/>
      </c>
      <c r="AC5989">
        <f>IF(AB5989&gt;AB5988,AB5989,"")</f>
        <v/>
      </c>
    </row>
    <row r="5990">
      <c r="W5990" s="7" t="n"/>
      <c r="X5990" s="7" t="n"/>
      <c r="Z5990">
        <f>Z5989+IF(W5990="",0,IF(ISNA(MATCH(W5990,W$256:W5989,0)),1,0))</f>
        <v/>
      </c>
      <c r="AA5990">
        <f>IF(Z5990&gt;Z5989,Z5990,"")</f>
        <v/>
      </c>
      <c r="AB5990">
        <f>AB5989+IF(X5990="",0,IF(ISNA(MATCH(X5990,X$256:X5989,0)),1,0))</f>
        <v/>
      </c>
      <c r="AC5990">
        <f>IF(AB5990&gt;AB5989,AB5990,"")</f>
        <v/>
      </c>
    </row>
    <row r="5991">
      <c r="W5991" s="7" t="n"/>
      <c r="X5991" s="7" t="n"/>
      <c r="Z5991">
        <f>Z5990+IF(W5991="",0,IF(ISNA(MATCH(W5991,W$256:W5990,0)),1,0))</f>
        <v/>
      </c>
      <c r="AA5991">
        <f>IF(Z5991&gt;Z5990,Z5991,"")</f>
        <v/>
      </c>
      <c r="AB5991">
        <f>AB5990+IF(X5991="",0,IF(ISNA(MATCH(X5991,X$256:X5990,0)),1,0))</f>
        <v/>
      </c>
      <c r="AC5991">
        <f>IF(AB5991&gt;AB5990,AB5991,"")</f>
        <v/>
      </c>
    </row>
    <row r="5992">
      <c r="W5992" s="7" t="n"/>
      <c r="X5992" s="7" t="n"/>
      <c r="Z5992">
        <f>Z5991+IF(W5992="",0,IF(ISNA(MATCH(W5992,W$256:W5991,0)),1,0))</f>
        <v/>
      </c>
      <c r="AA5992">
        <f>IF(Z5992&gt;Z5991,Z5992,"")</f>
        <v/>
      </c>
      <c r="AB5992">
        <f>AB5991+IF(X5992="",0,IF(ISNA(MATCH(X5992,X$256:X5991,0)),1,0))</f>
        <v/>
      </c>
      <c r="AC5992">
        <f>IF(AB5992&gt;AB5991,AB5992,"")</f>
        <v/>
      </c>
    </row>
    <row r="5993">
      <c r="W5993" s="7" t="n"/>
      <c r="X5993" s="7" t="n"/>
      <c r="Z5993">
        <f>Z5992+IF(W5993="",0,IF(ISNA(MATCH(W5993,W$256:W5992,0)),1,0))</f>
        <v/>
      </c>
      <c r="AA5993">
        <f>IF(Z5993&gt;Z5992,Z5993,"")</f>
        <v/>
      </c>
      <c r="AB5993">
        <f>AB5992+IF(X5993="",0,IF(ISNA(MATCH(X5993,X$256:X5992,0)),1,0))</f>
        <v/>
      </c>
      <c r="AC5993">
        <f>IF(AB5993&gt;AB5992,AB5993,"")</f>
        <v/>
      </c>
    </row>
    <row r="5994">
      <c r="W5994" s="7" t="n"/>
      <c r="X5994" s="7" t="n"/>
      <c r="Z5994">
        <f>Z5993+IF(W5994="",0,IF(ISNA(MATCH(W5994,W$256:W5993,0)),1,0))</f>
        <v/>
      </c>
      <c r="AA5994">
        <f>IF(Z5994&gt;Z5993,Z5994,"")</f>
        <v/>
      </c>
      <c r="AB5994">
        <f>AB5993+IF(X5994="",0,IF(ISNA(MATCH(X5994,X$256:X5993,0)),1,0))</f>
        <v/>
      </c>
      <c r="AC5994">
        <f>IF(AB5994&gt;AB5993,AB5994,"")</f>
        <v/>
      </c>
    </row>
    <row r="5995">
      <c r="W5995" s="7" t="n"/>
      <c r="X5995" s="7" t="n"/>
      <c r="Z5995">
        <f>Z5994+IF(W5995="",0,IF(ISNA(MATCH(W5995,W$256:W5994,0)),1,0))</f>
        <v/>
      </c>
      <c r="AA5995">
        <f>IF(Z5995&gt;Z5994,Z5995,"")</f>
        <v/>
      </c>
      <c r="AB5995">
        <f>AB5994+IF(X5995="",0,IF(ISNA(MATCH(X5995,X$256:X5994,0)),1,0))</f>
        <v/>
      </c>
      <c r="AC5995">
        <f>IF(AB5995&gt;AB5994,AB5995,"")</f>
        <v/>
      </c>
    </row>
    <row r="5996">
      <c r="W5996" s="7" t="n"/>
      <c r="X5996" s="7" t="n"/>
      <c r="Z5996">
        <f>Z5995+IF(W5996="",0,IF(ISNA(MATCH(W5996,W$256:W5995,0)),1,0))</f>
        <v/>
      </c>
      <c r="AA5996">
        <f>IF(Z5996&gt;Z5995,Z5996,"")</f>
        <v/>
      </c>
      <c r="AB5996">
        <f>AB5995+IF(X5996="",0,IF(ISNA(MATCH(X5996,X$256:X5995,0)),1,0))</f>
        <v/>
      </c>
      <c r="AC5996">
        <f>IF(AB5996&gt;AB5995,AB5996,"")</f>
        <v/>
      </c>
    </row>
    <row r="5997">
      <c r="W5997" s="7" t="n"/>
      <c r="X5997" s="7" t="n"/>
      <c r="Z5997">
        <f>Z5996+IF(W5997="",0,IF(ISNA(MATCH(W5997,W$256:W5996,0)),1,0))</f>
        <v/>
      </c>
      <c r="AA5997">
        <f>IF(Z5997&gt;Z5996,Z5997,"")</f>
        <v/>
      </c>
      <c r="AB5997">
        <f>AB5996+IF(X5997="",0,IF(ISNA(MATCH(X5997,X$256:X5996,0)),1,0))</f>
        <v/>
      </c>
      <c r="AC5997">
        <f>IF(AB5997&gt;AB5996,AB5997,"")</f>
        <v/>
      </c>
    </row>
    <row r="5998">
      <c r="W5998" s="7" t="n"/>
      <c r="X5998" s="7" t="n"/>
      <c r="Z5998">
        <f>Z5997+IF(W5998="",0,IF(ISNA(MATCH(W5998,W$256:W5997,0)),1,0))</f>
        <v/>
      </c>
      <c r="AA5998">
        <f>IF(Z5998&gt;Z5997,Z5998,"")</f>
        <v/>
      </c>
      <c r="AB5998">
        <f>AB5997+IF(X5998="",0,IF(ISNA(MATCH(X5998,X$256:X5997,0)),1,0))</f>
        <v/>
      </c>
      <c r="AC5998">
        <f>IF(AB5998&gt;AB5997,AB5998,"")</f>
        <v/>
      </c>
    </row>
    <row r="5999">
      <c r="W5999" s="7" t="n"/>
      <c r="X5999" s="7" t="n"/>
      <c r="Z5999">
        <f>Z5998+IF(W5999="",0,IF(ISNA(MATCH(W5999,W$256:W5998,0)),1,0))</f>
        <v/>
      </c>
      <c r="AA5999">
        <f>IF(Z5999&gt;Z5998,Z5999,"")</f>
        <v/>
      </c>
      <c r="AB5999">
        <f>AB5998+IF(X5999="",0,IF(ISNA(MATCH(X5999,X$256:X5998,0)),1,0))</f>
        <v/>
      </c>
      <c r="AC5999">
        <f>IF(AB5999&gt;AB5998,AB5999,"")</f>
        <v/>
      </c>
    </row>
    <row r="6000">
      <c r="W6000" s="7" t="n"/>
      <c r="X6000" s="7" t="n"/>
      <c r="Z6000">
        <f>Z5999+IF(W6000="",0,IF(ISNA(MATCH(W6000,W$256:W5999,0)),1,0))</f>
        <v/>
      </c>
      <c r="AA6000">
        <f>IF(Z6000&gt;Z5999,Z6000,"")</f>
        <v/>
      </c>
      <c r="AB6000">
        <f>AB5999+IF(X6000="",0,IF(ISNA(MATCH(X6000,X$256:X5999,0)),1,0))</f>
        <v/>
      </c>
      <c r="AC6000">
        <f>IF(AB6000&gt;AB5999,AB6000,"")</f>
        <v/>
      </c>
    </row>
    <row r="6001">
      <c r="W6001" s="7" t="n"/>
      <c r="X6001" s="7" t="n"/>
      <c r="Z6001">
        <f>Z6000+IF(W6001="",0,IF(ISNA(MATCH(W6001,W$256:W6000,0)),1,0))</f>
        <v/>
      </c>
      <c r="AA6001">
        <f>IF(Z6001&gt;Z6000,Z6001,"")</f>
        <v/>
      </c>
      <c r="AB6001">
        <f>AB6000+IF(X6001="",0,IF(ISNA(MATCH(X6001,X$256:X6000,0)),1,0))</f>
        <v/>
      </c>
      <c r="AC6001">
        <f>IF(AB6001&gt;AB6000,AB6001,"")</f>
        <v/>
      </c>
    </row>
    <row r="6002">
      <c r="W6002" s="7" t="n"/>
      <c r="X6002" s="7" t="n"/>
      <c r="Z6002">
        <f>Z6001+IF(W6002="",0,IF(ISNA(MATCH(W6002,W$256:W6001,0)),1,0))</f>
        <v/>
      </c>
      <c r="AA6002">
        <f>IF(Z6002&gt;Z6001,Z6002,"")</f>
        <v/>
      </c>
      <c r="AB6002">
        <f>AB6001+IF(X6002="",0,IF(ISNA(MATCH(X6002,X$256:X6001,0)),1,0))</f>
        <v/>
      </c>
      <c r="AC6002">
        <f>IF(AB6002&gt;AB6001,AB6002,"")</f>
        <v/>
      </c>
    </row>
    <row r="6003">
      <c r="W6003" s="7" t="n"/>
      <c r="X6003" s="7" t="n"/>
      <c r="Z6003">
        <f>Z6002+IF(W6003="",0,IF(ISNA(MATCH(W6003,W$256:W6002,0)),1,0))</f>
        <v/>
      </c>
      <c r="AA6003">
        <f>IF(Z6003&gt;Z6002,Z6003,"")</f>
        <v/>
      </c>
      <c r="AB6003">
        <f>AB6002+IF(X6003="",0,IF(ISNA(MATCH(X6003,X$256:X6002,0)),1,0))</f>
        <v/>
      </c>
      <c r="AC6003">
        <f>IF(AB6003&gt;AB6002,AB6003,"")</f>
        <v/>
      </c>
    </row>
    <row r="6004">
      <c r="W6004" s="7" t="n"/>
      <c r="X6004" s="7" t="n"/>
      <c r="Z6004">
        <f>Z6003+IF(W6004="",0,IF(ISNA(MATCH(W6004,W$256:W6003,0)),1,0))</f>
        <v/>
      </c>
      <c r="AA6004">
        <f>IF(Z6004&gt;Z6003,Z6004,"")</f>
        <v/>
      </c>
      <c r="AB6004">
        <f>AB6003+IF(X6004="",0,IF(ISNA(MATCH(X6004,X$256:X6003,0)),1,0))</f>
        <v/>
      </c>
      <c r="AC6004">
        <f>IF(AB6004&gt;AB6003,AB6004,"")</f>
        <v/>
      </c>
    </row>
    <row r="6005">
      <c r="W6005" s="7" t="n"/>
      <c r="X6005" s="7" t="n"/>
      <c r="Z6005">
        <f>Z6004+IF(W6005="",0,IF(ISNA(MATCH(W6005,W$256:W6004,0)),1,0))</f>
        <v/>
      </c>
      <c r="AA6005">
        <f>IF(Z6005&gt;Z6004,Z6005,"")</f>
        <v/>
      </c>
      <c r="AB6005">
        <f>AB6004+IF(X6005="",0,IF(ISNA(MATCH(X6005,X$256:X6004,0)),1,0))</f>
        <v/>
      </c>
      <c r="AC6005">
        <f>IF(AB6005&gt;AB6004,AB6005,"")</f>
        <v/>
      </c>
    </row>
    <row r="6006">
      <c r="W6006" s="7" t="n"/>
      <c r="X6006" s="7" t="n"/>
      <c r="Z6006">
        <f>Z6005+IF(W6006="",0,IF(ISNA(MATCH(W6006,W$256:W6005,0)),1,0))</f>
        <v/>
      </c>
      <c r="AA6006">
        <f>IF(Z6006&gt;Z6005,Z6006,"")</f>
        <v/>
      </c>
      <c r="AB6006">
        <f>AB6005+IF(X6006="",0,IF(ISNA(MATCH(X6006,X$256:X6005,0)),1,0))</f>
        <v/>
      </c>
      <c r="AC6006">
        <f>IF(AB6006&gt;AB6005,AB6006,"")</f>
        <v/>
      </c>
    </row>
    <row r="6007">
      <c r="W6007" s="7" t="n"/>
      <c r="X6007" s="7" t="n"/>
      <c r="Z6007">
        <f>Z6006+IF(W6007="",0,IF(ISNA(MATCH(W6007,W$256:W6006,0)),1,0))</f>
        <v/>
      </c>
      <c r="AA6007">
        <f>IF(Z6007&gt;Z6006,Z6007,"")</f>
        <v/>
      </c>
      <c r="AB6007">
        <f>AB6006+IF(X6007="",0,IF(ISNA(MATCH(X6007,X$256:X6006,0)),1,0))</f>
        <v/>
      </c>
      <c r="AC6007">
        <f>IF(AB6007&gt;AB6006,AB6007,"")</f>
        <v/>
      </c>
    </row>
    <row r="6008">
      <c r="W6008" s="7" t="n"/>
      <c r="X6008" s="7" t="n"/>
      <c r="Z6008">
        <f>Z6007+IF(W6008="",0,IF(ISNA(MATCH(W6008,W$256:W6007,0)),1,0))</f>
        <v/>
      </c>
      <c r="AA6008">
        <f>IF(Z6008&gt;Z6007,Z6008,"")</f>
        <v/>
      </c>
      <c r="AB6008">
        <f>AB6007+IF(X6008="",0,IF(ISNA(MATCH(X6008,X$256:X6007,0)),1,0))</f>
        <v/>
      </c>
      <c r="AC6008">
        <f>IF(AB6008&gt;AB6007,AB6008,"")</f>
        <v/>
      </c>
    </row>
    <row r="6009">
      <c r="W6009" s="7" t="n"/>
      <c r="X6009" s="7" t="n"/>
      <c r="Z6009">
        <f>Z6008+IF(W6009="",0,IF(ISNA(MATCH(W6009,W$256:W6008,0)),1,0))</f>
        <v/>
      </c>
      <c r="AA6009">
        <f>IF(Z6009&gt;Z6008,Z6009,"")</f>
        <v/>
      </c>
      <c r="AB6009">
        <f>AB6008+IF(X6009="",0,IF(ISNA(MATCH(X6009,X$256:X6008,0)),1,0))</f>
        <v/>
      </c>
      <c r="AC6009">
        <f>IF(AB6009&gt;AB6008,AB6009,"")</f>
        <v/>
      </c>
    </row>
    <row r="6010">
      <c r="W6010" s="7" t="n"/>
      <c r="X6010" s="7" t="n"/>
      <c r="Z6010">
        <f>Z6009+IF(W6010="",0,IF(ISNA(MATCH(W6010,W$256:W6009,0)),1,0))</f>
        <v/>
      </c>
      <c r="AA6010">
        <f>IF(Z6010&gt;Z6009,Z6010,"")</f>
        <v/>
      </c>
      <c r="AB6010">
        <f>AB6009+IF(X6010="",0,IF(ISNA(MATCH(X6010,X$256:X6009,0)),1,0))</f>
        <v/>
      </c>
      <c r="AC6010">
        <f>IF(AB6010&gt;AB6009,AB6010,"")</f>
        <v/>
      </c>
    </row>
    <row r="6011">
      <c r="W6011" s="7" t="n"/>
      <c r="X6011" s="7" t="n"/>
      <c r="Z6011">
        <f>Z6010+IF(W6011="",0,IF(ISNA(MATCH(W6011,W$256:W6010,0)),1,0))</f>
        <v/>
      </c>
      <c r="AA6011">
        <f>IF(Z6011&gt;Z6010,Z6011,"")</f>
        <v/>
      </c>
      <c r="AB6011">
        <f>AB6010+IF(X6011="",0,IF(ISNA(MATCH(X6011,X$256:X6010,0)),1,0))</f>
        <v/>
      </c>
      <c r="AC6011">
        <f>IF(AB6011&gt;AB6010,AB6011,"")</f>
        <v/>
      </c>
    </row>
    <row r="6012">
      <c r="W6012" s="7" t="n"/>
      <c r="X6012" s="7" t="n"/>
      <c r="Z6012">
        <f>Z6011+IF(W6012="",0,IF(ISNA(MATCH(W6012,W$256:W6011,0)),1,0))</f>
        <v/>
      </c>
      <c r="AA6012">
        <f>IF(Z6012&gt;Z6011,Z6012,"")</f>
        <v/>
      </c>
      <c r="AB6012">
        <f>AB6011+IF(X6012="",0,IF(ISNA(MATCH(X6012,X$256:X6011,0)),1,0))</f>
        <v/>
      </c>
      <c r="AC6012">
        <f>IF(AB6012&gt;AB6011,AB6012,"")</f>
        <v/>
      </c>
    </row>
    <row r="6013">
      <c r="W6013" s="7" t="n"/>
      <c r="X6013" s="7" t="n"/>
      <c r="Z6013">
        <f>Z6012+IF(W6013="",0,IF(ISNA(MATCH(W6013,W$256:W6012,0)),1,0))</f>
        <v/>
      </c>
      <c r="AA6013">
        <f>IF(Z6013&gt;Z6012,Z6013,"")</f>
        <v/>
      </c>
      <c r="AB6013">
        <f>AB6012+IF(X6013="",0,IF(ISNA(MATCH(X6013,X$256:X6012,0)),1,0))</f>
        <v/>
      </c>
      <c r="AC6013">
        <f>IF(AB6013&gt;AB6012,AB6013,"")</f>
        <v/>
      </c>
    </row>
    <row r="6014">
      <c r="W6014" s="7" t="n"/>
      <c r="X6014" s="7" t="n"/>
      <c r="Z6014">
        <f>Z6013+IF(W6014="",0,IF(ISNA(MATCH(W6014,W$256:W6013,0)),1,0))</f>
        <v/>
      </c>
      <c r="AA6014">
        <f>IF(Z6014&gt;Z6013,Z6014,"")</f>
        <v/>
      </c>
      <c r="AB6014">
        <f>AB6013+IF(X6014="",0,IF(ISNA(MATCH(X6014,X$256:X6013,0)),1,0))</f>
        <v/>
      </c>
      <c r="AC6014">
        <f>IF(AB6014&gt;AB6013,AB6014,"")</f>
        <v/>
      </c>
    </row>
    <row r="6015">
      <c r="W6015" s="7" t="n"/>
      <c r="X6015" s="7" t="n"/>
      <c r="Z6015">
        <f>Z6014+IF(W6015="",0,IF(ISNA(MATCH(W6015,W$256:W6014,0)),1,0))</f>
        <v/>
      </c>
      <c r="AA6015">
        <f>IF(Z6015&gt;Z6014,Z6015,"")</f>
        <v/>
      </c>
      <c r="AB6015">
        <f>AB6014+IF(X6015="",0,IF(ISNA(MATCH(X6015,X$256:X6014,0)),1,0))</f>
        <v/>
      </c>
      <c r="AC6015">
        <f>IF(AB6015&gt;AB6014,AB6015,"")</f>
        <v/>
      </c>
    </row>
    <row r="6016">
      <c r="W6016" s="7" t="n"/>
      <c r="X6016" s="7" t="n"/>
      <c r="Z6016">
        <f>Z6015+IF(W6016="",0,IF(ISNA(MATCH(W6016,W$256:W6015,0)),1,0))</f>
        <v/>
      </c>
      <c r="AA6016">
        <f>IF(Z6016&gt;Z6015,Z6016,"")</f>
        <v/>
      </c>
      <c r="AB6016">
        <f>AB6015+IF(X6016="",0,IF(ISNA(MATCH(X6016,X$256:X6015,0)),1,0))</f>
        <v/>
      </c>
      <c r="AC6016">
        <f>IF(AB6016&gt;AB6015,AB6016,"")</f>
        <v/>
      </c>
    </row>
    <row r="6017">
      <c r="W6017" s="7" t="n"/>
      <c r="X6017" s="7" t="n"/>
      <c r="Z6017">
        <f>Z6016+IF(W6017="",0,IF(ISNA(MATCH(W6017,W$256:W6016,0)),1,0))</f>
        <v/>
      </c>
      <c r="AA6017">
        <f>IF(Z6017&gt;Z6016,Z6017,"")</f>
        <v/>
      </c>
      <c r="AB6017">
        <f>AB6016+IF(X6017="",0,IF(ISNA(MATCH(X6017,X$256:X6016,0)),1,0))</f>
        <v/>
      </c>
      <c r="AC6017">
        <f>IF(AB6017&gt;AB6016,AB6017,"")</f>
        <v/>
      </c>
    </row>
    <row r="6018">
      <c r="W6018" s="7" t="n"/>
      <c r="X6018" s="7" t="n"/>
      <c r="Z6018">
        <f>Z6017+IF(W6018="",0,IF(ISNA(MATCH(W6018,W$256:W6017,0)),1,0))</f>
        <v/>
      </c>
      <c r="AA6018">
        <f>IF(Z6018&gt;Z6017,Z6018,"")</f>
        <v/>
      </c>
      <c r="AB6018">
        <f>AB6017+IF(X6018="",0,IF(ISNA(MATCH(X6018,X$256:X6017,0)),1,0))</f>
        <v/>
      </c>
      <c r="AC6018">
        <f>IF(AB6018&gt;AB6017,AB6018,"")</f>
        <v/>
      </c>
    </row>
    <row r="6019">
      <c r="W6019" s="7" t="n"/>
      <c r="X6019" s="7" t="n"/>
      <c r="Z6019">
        <f>Z6018+IF(W6019="",0,IF(ISNA(MATCH(W6019,W$256:W6018,0)),1,0))</f>
        <v/>
      </c>
      <c r="AA6019">
        <f>IF(Z6019&gt;Z6018,Z6019,"")</f>
        <v/>
      </c>
      <c r="AB6019">
        <f>AB6018+IF(X6019="",0,IF(ISNA(MATCH(X6019,X$256:X6018,0)),1,0))</f>
        <v/>
      </c>
      <c r="AC6019">
        <f>IF(AB6019&gt;AB6018,AB6019,"")</f>
        <v/>
      </c>
    </row>
    <row r="6020">
      <c r="W6020" s="7" t="n"/>
      <c r="X6020" s="7" t="n"/>
      <c r="Z6020">
        <f>Z6019+IF(W6020="",0,IF(ISNA(MATCH(W6020,W$256:W6019,0)),1,0))</f>
        <v/>
      </c>
      <c r="AA6020">
        <f>IF(Z6020&gt;Z6019,Z6020,"")</f>
        <v/>
      </c>
      <c r="AB6020">
        <f>AB6019+IF(X6020="",0,IF(ISNA(MATCH(X6020,X$256:X6019,0)),1,0))</f>
        <v/>
      </c>
      <c r="AC6020">
        <f>IF(AB6020&gt;AB6019,AB6020,"")</f>
        <v/>
      </c>
    </row>
    <row r="6021">
      <c r="W6021" s="7" t="n"/>
      <c r="X6021" s="7" t="n"/>
      <c r="Z6021">
        <f>Z6020+IF(W6021="",0,IF(ISNA(MATCH(W6021,W$256:W6020,0)),1,0))</f>
        <v/>
      </c>
      <c r="AA6021">
        <f>IF(Z6021&gt;Z6020,Z6021,"")</f>
        <v/>
      </c>
      <c r="AB6021">
        <f>AB6020+IF(X6021="",0,IF(ISNA(MATCH(X6021,X$256:X6020,0)),1,0))</f>
        <v/>
      </c>
      <c r="AC6021">
        <f>IF(AB6021&gt;AB6020,AB6021,"")</f>
        <v/>
      </c>
    </row>
    <row r="6022">
      <c r="W6022" s="7" t="n"/>
      <c r="X6022" s="7" t="n"/>
      <c r="Z6022">
        <f>Z6021+IF(W6022="",0,IF(ISNA(MATCH(W6022,W$256:W6021,0)),1,0))</f>
        <v/>
      </c>
      <c r="AA6022">
        <f>IF(Z6022&gt;Z6021,Z6022,"")</f>
        <v/>
      </c>
      <c r="AB6022">
        <f>AB6021+IF(X6022="",0,IF(ISNA(MATCH(X6022,X$256:X6021,0)),1,0))</f>
        <v/>
      </c>
      <c r="AC6022">
        <f>IF(AB6022&gt;AB6021,AB6022,"")</f>
        <v/>
      </c>
    </row>
    <row r="6023">
      <c r="W6023" s="7" t="n"/>
      <c r="X6023" s="7" t="n"/>
      <c r="Z6023">
        <f>Z6022+IF(W6023="",0,IF(ISNA(MATCH(W6023,W$256:W6022,0)),1,0))</f>
        <v/>
      </c>
      <c r="AA6023">
        <f>IF(Z6023&gt;Z6022,Z6023,"")</f>
        <v/>
      </c>
      <c r="AB6023">
        <f>AB6022+IF(X6023="",0,IF(ISNA(MATCH(X6023,X$256:X6022,0)),1,0))</f>
        <v/>
      </c>
      <c r="AC6023">
        <f>IF(AB6023&gt;AB6022,AB6023,"")</f>
        <v/>
      </c>
    </row>
    <row r="6024">
      <c r="W6024" s="7" t="n"/>
      <c r="X6024" s="7" t="n"/>
      <c r="Z6024">
        <f>Z6023+IF(W6024="",0,IF(ISNA(MATCH(W6024,W$256:W6023,0)),1,0))</f>
        <v/>
      </c>
      <c r="AA6024">
        <f>IF(Z6024&gt;Z6023,Z6024,"")</f>
        <v/>
      </c>
      <c r="AB6024">
        <f>AB6023+IF(X6024="",0,IF(ISNA(MATCH(X6024,X$256:X6023,0)),1,0))</f>
        <v/>
      </c>
      <c r="AC6024">
        <f>IF(AB6024&gt;AB6023,AB6024,"")</f>
        <v/>
      </c>
    </row>
    <row r="6025">
      <c r="W6025" s="7" t="n"/>
      <c r="X6025" s="7" t="n"/>
      <c r="Z6025">
        <f>Z6024+IF(W6025="",0,IF(ISNA(MATCH(W6025,W$256:W6024,0)),1,0))</f>
        <v/>
      </c>
      <c r="AA6025">
        <f>IF(Z6025&gt;Z6024,Z6025,"")</f>
        <v/>
      </c>
      <c r="AB6025">
        <f>AB6024+IF(X6025="",0,IF(ISNA(MATCH(X6025,X$256:X6024,0)),1,0))</f>
        <v/>
      </c>
      <c r="AC6025">
        <f>IF(AB6025&gt;AB6024,AB6025,"")</f>
        <v/>
      </c>
    </row>
    <row r="6026">
      <c r="W6026" s="7" t="n"/>
      <c r="X6026" s="7" t="n"/>
      <c r="Z6026">
        <f>Z6025+IF(W6026="",0,IF(ISNA(MATCH(W6026,W$256:W6025,0)),1,0))</f>
        <v/>
      </c>
      <c r="AA6026">
        <f>IF(Z6026&gt;Z6025,Z6026,"")</f>
        <v/>
      </c>
      <c r="AB6026">
        <f>AB6025+IF(X6026="",0,IF(ISNA(MATCH(X6026,X$256:X6025,0)),1,0))</f>
        <v/>
      </c>
      <c r="AC6026">
        <f>IF(AB6026&gt;AB6025,AB6026,"")</f>
        <v/>
      </c>
    </row>
    <row r="6027">
      <c r="W6027" s="7" t="n"/>
      <c r="X6027" s="7" t="n"/>
      <c r="Z6027">
        <f>Z6026+IF(W6027="",0,IF(ISNA(MATCH(W6027,W$256:W6026,0)),1,0))</f>
        <v/>
      </c>
      <c r="AA6027">
        <f>IF(Z6027&gt;Z6026,Z6027,"")</f>
        <v/>
      </c>
      <c r="AB6027">
        <f>AB6026+IF(X6027="",0,IF(ISNA(MATCH(X6027,X$256:X6026,0)),1,0))</f>
        <v/>
      </c>
      <c r="AC6027">
        <f>IF(AB6027&gt;AB6026,AB6027,"")</f>
        <v/>
      </c>
    </row>
    <row r="6028">
      <c r="W6028" s="7" t="n"/>
      <c r="X6028" s="7" t="n"/>
      <c r="Z6028">
        <f>Z6027+IF(W6028="",0,IF(ISNA(MATCH(W6028,W$256:W6027,0)),1,0))</f>
        <v/>
      </c>
      <c r="AA6028">
        <f>IF(Z6028&gt;Z6027,Z6028,"")</f>
        <v/>
      </c>
      <c r="AB6028">
        <f>AB6027+IF(X6028="",0,IF(ISNA(MATCH(X6028,X$256:X6027,0)),1,0))</f>
        <v/>
      </c>
      <c r="AC6028">
        <f>IF(AB6028&gt;AB6027,AB6028,"")</f>
        <v/>
      </c>
    </row>
    <row r="6029">
      <c r="W6029" s="7" t="n"/>
      <c r="X6029" s="7" t="n"/>
      <c r="Z6029">
        <f>Z6028+IF(W6029="",0,IF(ISNA(MATCH(W6029,W$256:W6028,0)),1,0))</f>
        <v/>
      </c>
      <c r="AA6029">
        <f>IF(Z6029&gt;Z6028,Z6029,"")</f>
        <v/>
      </c>
      <c r="AB6029">
        <f>AB6028+IF(X6029="",0,IF(ISNA(MATCH(X6029,X$256:X6028,0)),1,0))</f>
        <v/>
      </c>
      <c r="AC6029">
        <f>IF(AB6029&gt;AB6028,AB6029,"")</f>
        <v/>
      </c>
    </row>
    <row r="6030">
      <c r="W6030" s="7" t="n"/>
      <c r="X6030" s="7" t="n"/>
      <c r="Z6030">
        <f>Z6029+IF(W6030="",0,IF(ISNA(MATCH(W6030,W$256:W6029,0)),1,0))</f>
        <v/>
      </c>
      <c r="AA6030">
        <f>IF(Z6030&gt;Z6029,Z6030,"")</f>
        <v/>
      </c>
      <c r="AB6030">
        <f>AB6029+IF(X6030="",0,IF(ISNA(MATCH(X6030,X$256:X6029,0)),1,0))</f>
        <v/>
      </c>
      <c r="AC6030">
        <f>IF(AB6030&gt;AB6029,AB6030,"")</f>
        <v/>
      </c>
    </row>
    <row r="6031">
      <c r="W6031" s="7" t="n"/>
      <c r="X6031" s="7" t="n"/>
      <c r="Z6031">
        <f>Z6030+IF(W6031="",0,IF(ISNA(MATCH(W6031,W$256:W6030,0)),1,0))</f>
        <v/>
      </c>
      <c r="AA6031">
        <f>IF(Z6031&gt;Z6030,Z6031,"")</f>
        <v/>
      </c>
      <c r="AB6031">
        <f>AB6030+IF(X6031="",0,IF(ISNA(MATCH(X6031,X$256:X6030,0)),1,0))</f>
        <v/>
      </c>
      <c r="AC6031">
        <f>IF(AB6031&gt;AB6030,AB6031,"")</f>
        <v/>
      </c>
    </row>
    <row r="6032">
      <c r="W6032" s="7" t="n"/>
      <c r="X6032" s="7" t="n"/>
      <c r="Z6032">
        <f>Z6031+IF(W6032="",0,IF(ISNA(MATCH(W6032,W$256:W6031,0)),1,0))</f>
        <v/>
      </c>
      <c r="AA6032">
        <f>IF(Z6032&gt;Z6031,Z6032,"")</f>
        <v/>
      </c>
      <c r="AB6032">
        <f>AB6031+IF(X6032="",0,IF(ISNA(MATCH(X6032,X$256:X6031,0)),1,0))</f>
        <v/>
      </c>
      <c r="AC6032">
        <f>IF(AB6032&gt;AB6031,AB6032,"")</f>
        <v/>
      </c>
    </row>
    <row r="6033">
      <c r="W6033" s="7" t="n"/>
      <c r="X6033" s="7" t="n"/>
      <c r="Z6033">
        <f>Z6032+IF(W6033="",0,IF(ISNA(MATCH(W6033,W$256:W6032,0)),1,0))</f>
        <v/>
      </c>
      <c r="AA6033">
        <f>IF(Z6033&gt;Z6032,Z6033,"")</f>
        <v/>
      </c>
      <c r="AB6033">
        <f>AB6032+IF(X6033="",0,IF(ISNA(MATCH(X6033,X$256:X6032,0)),1,0))</f>
        <v/>
      </c>
      <c r="AC6033">
        <f>IF(AB6033&gt;AB6032,AB6033,"")</f>
        <v/>
      </c>
    </row>
    <row r="6034">
      <c r="W6034" s="7" t="n"/>
      <c r="X6034" s="7" t="n"/>
      <c r="Z6034">
        <f>Z6033+IF(W6034="",0,IF(ISNA(MATCH(W6034,W$256:W6033,0)),1,0))</f>
        <v/>
      </c>
      <c r="AA6034">
        <f>IF(Z6034&gt;Z6033,Z6034,"")</f>
        <v/>
      </c>
      <c r="AB6034">
        <f>AB6033+IF(X6034="",0,IF(ISNA(MATCH(X6034,X$256:X6033,0)),1,0))</f>
        <v/>
      </c>
      <c r="AC6034">
        <f>IF(AB6034&gt;AB6033,AB6034,"")</f>
        <v/>
      </c>
    </row>
    <row r="6035">
      <c r="W6035" s="7" t="n"/>
      <c r="X6035" s="7" t="n"/>
      <c r="Z6035">
        <f>Z6034+IF(W6035="",0,IF(ISNA(MATCH(W6035,W$256:W6034,0)),1,0))</f>
        <v/>
      </c>
      <c r="AA6035">
        <f>IF(Z6035&gt;Z6034,Z6035,"")</f>
        <v/>
      </c>
      <c r="AB6035">
        <f>AB6034+IF(X6035="",0,IF(ISNA(MATCH(X6035,X$256:X6034,0)),1,0))</f>
        <v/>
      </c>
      <c r="AC6035">
        <f>IF(AB6035&gt;AB6034,AB6035,"")</f>
        <v/>
      </c>
    </row>
    <row r="6036">
      <c r="W6036" s="7" t="n"/>
      <c r="X6036" s="7" t="n"/>
      <c r="Z6036">
        <f>Z6035+IF(W6036="",0,IF(ISNA(MATCH(W6036,W$256:W6035,0)),1,0))</f>
        <v/>
      </c>
      <c r="AA6036">
        <f>IF(Z6036&gt;Z6035,Z6036,"")</f>
        <v/>
      </c>
      <c r="AB6036">
        <f>AB6035+IF(X6036="",0,IF(ISNA(MATCH(X6036,X$256:X6035,0)),1,0))</f>
        <v/>
      </c>
      <c r="AC6036">
        <f>IF(AB6036&gt;AB6035,AB6036,"")</f>
        <v/>
      </c>
    </row>
    <row r="6037">
      <c r="W6037" s="7" t="n"/>
      <c r="X6037" s="7" t="n"/>
      <c r="Z6037">
        <f>Z6036+IF(W6037="",0,IF(ISNA(MATCH(W6037,W$256:W6036,0)),1,0))</f>
        <v/>
      </c>
      <c r="AA6037">
        <f>IF(Z6037&gt;Z6036,Z6037,"")</f>
        <v/>
      </c>
      <c r="AB6037">
        <f>AB6036+IF(X6037="",0,IF(ISNA(MATCH(X6037,X$256:X6036,0)),1,0))</f>
        <v/>
      </c>
      <c r="AC6037">
        <f>IF(AB6037&gt;AB6036,AB6037,"")</f>
        <v/>
      </c>
    </row>
    <row r="6038">
      <c r="W6038" s="7" t="n"/>
      <c r="X6038" s="7" t="n"/>
      <c r="Z6038">
        <f>Z6037+IF(W6038="",0,IF(ISNA(MATCH(W6038,W$256:W6037,0)),1,0))</f>
        <v/>
      </c>
      <c r="AA6038">
        <f>IF(Z6038&gt;Z6037,Z6038,"")</f>
        <v/>
      </c>
      <c r="AB6038">
        <f>AB6037+IF(X6038="",0,IF(ISNA(MATCH(X6038,X$256:X6037,0)),1,0))</f>
        <v/>
      </c>
      <c r="AC6038">
        <f>IF(AB6038&gt;AB6037,AB6038,"")</f>
        <v/>
      </c>
    </row>
    <row r="6039">
      <c r="W6039" s="7" t="n"/>
      <c r="X6039" s="7" t="n"/>
      <c r="Z6039">
        <f>Z6038+IF(W6039="",0,IF(ISNA(MATCH(W6039,W$256:W6038,0)),1,0))</f>
        <v/>
      </c>
      <c r="AA6039">
        <f>IF(Z6039&gt;Z6038,Z6039,"")</f>
        <v/>
      </c>
      <c r="AB6039">
        <f>AB6038+IF(X6039="",0,IF(ISNA(MATCH(X6039,X$256:X6038,0)),1,0))</f>
        <v/>
      </c>
      <c r="AC6039">
        <f>IF(AB6039&gt;AB6038,AB6039,"")</f>
        <v/>
      </c>
    </row>
    <row r="6040">
      <c r="W6040" s="7" t="n"/>
      <c r="X6040" s="7" t="n"/>
      <c r="Z6040">
        <f>Z6039+IF(W6040="",0,IF(ISNA(MATCH(W6040,W$256:W6039,0)),1,0))</f>
        <v/>
      </c>
      <c r="AA6040">
        <f>IF(Z6040&gt;Z6039,Z6040,"")</f>
        <v/>
      </c>
      <c r="AB6040">
        <f>AB6039+IF(X6040="",0,IF(ISNA(MATCH(X6040,X$256:X6039,0)),1,0))</f>
        <v/>
      </c>
      <c r="AC6040">
        <f>IF(AB6040&gt;AB6039,AB6040,"")</f>
        <v/>
      </c>
    </row>
    <row r="6041">
      <c r="W6041" s="7" t="n"/>
      <c r="X6041" s="7" t="n"/>
      <c r="Z6041">
        <f>Z6040+IF(W6041="",0,IF(ISNA(MATCH(W6041,W$256:W6040,0)),1,0))</f>
        <v/>
      </c>
      <c r="AA6041">
        <f>IF(Z6041&gt;Z6040,Z6041,"")</f>
        <v/>
      </c>
      <c r="AB6041">
        <f>AB6040+IF(X6041="",0,IF(ISNA(MATCH(X6041,X$256:X6040,0)),1,0))</f>
        <v/>
      </c>
      <c r="AC6041">
        <f>IF(AB6041&gt;AB6040,AB6041,"")</f>
        <v/>
      </c>
    </row>
    <row r="6042">
      <c r="W6042" s="7" t="n"/>
      <c r="X6042" s="7" t="n"/>
      <c r="Z6042">
        <f>Z6041+IF(W6042="",0,IF(ISNA(MATCH(W6042,W$256:W6041,0)),1,0))</f>
        <v/>
      </c>
      <c r="AA6042">
        <f>IF(Z6042&gt;Z6041,Z6042,"")</f>
        <v/>
      </c>
      <c r="AB6042">
        <f>AB6041+IF(X6042="",0,IF(ISNA(MATCH(X6042,X$256:X6041,0)),1,0))</f>
        <v/>
      </c>
      <c r="AC6042">
        <f>IF(AB6042&gt;AB6041,AB6042,"")</f>
        <v/>
      </c>
    </row>
    <row r="6043">
      <c r="W6043" s="7" t="n"/>
      <c r="X6043" s="7" t="n"/>
      <c r="Z6043">
        <f>Z6042+IF(W6043="",0,IF(ISNA(MATCH(W6043,W$256:W6042,0)),1,0))</f>
        <v/>
      </c>
      <c r="AA6043">
        <f>IF(Z6043&gt;Z6042,Z6043,"")</f>
        <v/>
      </c>
      <c r="AB6043">
        <f>AB6042+IF(X6043="",0,IF(ISNA(MATCH(X6043,X$256:X6042,0)),1,0))</f>
        <v/>
      </c>
      <c r="AC6043">
        <f>IF(AB6043&gt;AB6042,AB6043,"")</f>
        <v/>
      </c>
    </row>
    <row r="6044">
      <c r="W6044" s="7" t="n"/>
      <c r="X6044" s="7" t="n"/>
      <c r="Z6044">
        <f>Z6043+IF(W6044="",0,IF(ISNA(MATCH(W6044,W$256:W6043,0)),1,0))</f>
        <v/>
      </c>
      <c r="AA6044">
        <f>IF(Z6044&gt;Z6043,Z6044,"")</f>
        <v/>
      </c>
      <c r="AB6044">
        <f>AB6043+IF(X6044="",0,IF(ISNA(MATCH(X6044,X$256:X6043,0)),1,0))</f>
        <v/>
      </c>
      <c r="AC6044">
        <f>IF(AB6044&gt;AB6043,AB6044,"")</f>
        <v/>
      </c>
    </row>
    <row r="6045">
      <c r="W6045" s="7" t="n"/>
      <c r="X6045" s="7" t="n"/>
      <c r="Z6045">
        <f>Z6044+IF(W6045="",0,IF(ISNA(MATCH(W6045,W$256:W6044,0)),1,0))</f>
        <v/>
      </c>
      <c r="AA6045">
        <f>IF(Z6045&gt;Z6044,Z6045,"")</f>
        <v/>
      </c>
      <c r="AB6045">
        <f>AB6044+IF(X6045="",0,IF(ISNA(MATCH(X6045,X$256:X6044,0)),1,0))</f>
        <v/>
      </c>
      <c r="AC6045">
        <f>IF(AB6045&gt;AB6044,AB6045,"")</f>
        <v/>
      </c>
    </row>
    <row r="6046">
      <c r="W6046" s="7" t="n"/>
      <c r="X6046" s="7" t="n"/>
      <c r="Z6046">
        <f>Z6045+IF(W6046="",0,IF(ISNA(MATCH(W6046,W$256:W6045,0)),1,0))</f>
        <v/>
      </c>
      <c r="AA6046">
        <f>IF(Z6046&gt;Z6045,Z6046,"")</f>
        <v/>
      </c>
      <c r="AB6046">
        <f>AB6045+IF(X6046="",0,IF(ISNA(MATCH(X6046,X$256:X6045,0)),1,0))</f>
        <v/>
      </c>
      <c r="AC6046">
        <f>IF(AB6046&gt;AB6045,AB6046,"")</f>
        <v/>
      </c>
    </row>
    <row r="6047">
      <c r="W6047" s="7" t="n"/>
      <c r="X6047" s="7" t="n"/>
      <c r="Z6047">
        <f>Z6046+IF(W6047="",0,IF(ISNA(MATCH(W6047,W$256:W6046,0)),1,0))</f>
        <v/>
      </c>
      <c r="AA6047">
        <f>IF(Z6047&gt;Z6046,Z6047,"")</f>
        <v/>
      </c>
      <c r="AB6047">
        <f>AB6046+IF(X6047="",0,IF(ISNA(MATCH(X6047,X$256:X6046,0)),1,0))</f>
        <v/>
      </c>
      <c r="AC6047">
        <f>IF(AB6047&gt;AB6046,AB6047,"")</f>
        <v/>
      </c>
    </row>
    <row r="6048">
      <c r="W6048" s="7" t="n"/>
      <c r="X6048" s="7" t="n"/>
      <c r="Z6048">
        <f>Z6047+IF(W6048="",0,IF(ISNA(MATCH(W6048,W$256:W6047,0)),1,0))</f>
        <v/>
      </c>
      <c r="AA6048">
        <f>IF(Z6048&gt;Z6047,Z6048,"")</f>
        <v/>
      </c>
      <c r="AB6048">
        <f>AB6047+IF(X6048="",0,IF(ISNA(MATCH(X6048,X$256:X6047,0)),1,0))</f>
        <v/>
      </c>
      <c r="AC6048">
        <f>IF(AB6048&gt;AB6047,AB6048,"")</f>
        <v/>
      </c>
    </row>
    <row r="6049">
      <c r="W6049" s="7" t="n"/>
      <c r="X6049" s="7" t="n"/>
      <c r="Z6049">
        <f>Z6048+IF(W6049="",0,IF(ISNA(MATCH(W6049,W$256:W6048,0)),1,0))</f>
        <v/>
      </c>
      <c r="AA6049">
        <f>IF(Z6049&gt;Z6048,Z6049,"")</f>
        <v/>
      </c>
      <c r="AB6049">
        <f>AB6048+IF(X6049="",0,IF(ISNA(MATCH(X6049,X$256:X6048,0)),1,0))</f>
        <v/>
      </c>
      <c r="AC6049">
        <f>IF(AB6049&gt;AB6048,AB6049,"")</f>
        <v/>
      </c>
    </row>
    <row r="6050">
      <c r="W6050" s="7" t="n"/>
      <c r="X6050" s="7" t="n"/>
      <c r="Z6050">
        <f>Z6049+IF(W6050="",0,IF(ISNA(MATCH(W6050,W$256:W6049,0)),1,0))</f>
        <v/>
      </c>
      <c r="AA6050">
        <f>IF(Z6050&gt;Z6049,Z6050,"")</f>
        <v/>
      </c>
      <c r="AB6050">
        <f>AB6049+IF(X6050="",0,IF(ISNA(MATCH(X6050,X$256:X6049,0)),1,0))</f>
        <v/>
      </c>
      <c r="AC6050">
        <f>IF(AB6050&gt;AB6049,AB6050,"")</f>
        <v/>
      </c>
    </row>
    <row r="6051">
      <c r="W6051" s="7" t="n"/>
      <c r="X6051" s="7" t="n"/>
      <c r="Z6051">
        <f>Z6050+IF(W6051="",0,IF(ISNA(MATCH(W6051,W$256:W6050,0)),1,0))</f>
        <v/>
      </c>
      <c r="AA6051">
        <f>IF(Z6051&gt;Z6050,Z6051,"")</f>
        <v/>
      </c>
      <c r="AB6051">
        <f>AB6050+IF(X6051="",0,IF(ISNA(MATCH(X6051,X$256:X6050,0)),1,0))</f>
        <v/>
      </c>
      <c r="AC6051">
        <f>IF(AB6051&gt;AB6050,AB6051,"")</f>
        <v/>
      </c>
    </row>
    <row r="6052">
      <c r="W6052" s="7" t="n"/>
      <c r="X6052" s="7" t="n"/>
      <c r="Z6052">
        <f>Z6051+IF(W6052="",0,IF(ISNA(MATCH(W6052,W$256:W6051,0)),1,0))</f>
        <v/>
      </c>
      <c r="AA6052">
        <f>IF(Z6052&gt;Z6051,Z6052,"")</f>
        <v/>
      </c>
      <c r="AB6052">
        <f>AB6051+IF(X6052="",0,IF(ISNA(MATCH(X6052,X$256:X6051,0)),1,0))</f>
        <v/>
      </c>
      <c r="AC6052">
        <f>IF(AB6052&gt;AB6051,AB6052,"")</f>
        <v/>
      </c>
    </row>
    <row r="6053">
      <c r="W6053" s="7" t="n"/>
      <c r="X6053" s="7" t="n"/>
      <c r="Z6053">
        <f>Z6052+IF(W6053="",0,IF(ISNA(MATCH(W6053,W$256:W6052,0)),1,0))</f>
        <v/>
      </c>
      <c r="AA6053">
        <f>IF(Z6053&gt;Z6052,Z6053,"")</f>
        <v/>
      </c>
      <c r="AB6053">
        <f>AB6052+IF(X6053="",0,IF(ISNA(MATCH(X6053,X$256:X6052,0)),1,0))</f>
        <v/>
      </c>
      <c r="AC6053">
        <f>IF(AB6053&gt;AB6052,AB6053,"")</f>
        <v/>
      </c>
    </row>
    <row r="6054">
      <c r="W6054" s="7" t="n"/>
      <c r="X6054" s="7" t="n"/>
      <c r="Z6054">
        <f>Z6053+IF(W6054="",0,IF(ISNA(MATCH(W6054,W$256:W6053,0)),1,0))</f>
        <v/>
      </c>
      <c r="AA6054">
        <f>IF(Z6054&gt;Z6053,Z6054,"")</f>
        <v/>
      </c>
      <c r="AB6054">
        <f>AB6053+IF(X6054="",0,IF(ISNA(MATCH(X6054,X$256:X6053,0)),1,0))</f>
        <v/>
      </c>
      <c r="AC6054">
        <f>IF(AB6054&gt;AB6053,AB6054,"")</f>
        <v/>
      </c>
    </row>
    <row r="6055">
      <c r="W6055" s="7" t="n"/>
      <c r="X6055" s="7" t="n"/>
      <c r="Z6055">
        <f>Z6054+IF(W6055="",0,IF(ISNA(MATCH(W6055,W$256:W6054,0)),1,0))</f>
        <v/>
      </c>
      <c r="AA6055">
        <f>IF(Z6055&gt;Z6054,Z6055,"")</f>
        <v/>
      </c>
      <c r="AB6055">
        <f>AB6054+IF(X6055="",0,IF(ISNA(MATCH(X6055,X$256:X6054,0)),1,0))</f>
        <v/>
      </c>
      <c r="AC6055">
        <f>IF(AB6055&gt;AB6054,AB6055,"")</f>
        <v/>
      </c>
    </row>
    <row r="6056">
      <c r="W6056" s="7" t="n"/>
      <c r="X6056" s="7" t="n"/>
      <c r="Z6056">
        <f>Z6055+IF(W6056="",0,IF(ISNA(MATCH(W6056,W$256:W6055,0)),1,0))</f>
        <v/>
      </c>
      <c r="AA6056">
        <f>IF(Z6056&gt;Z6055,Z6056,"")</f>
        <v/>
      </c>
      <c r="AB6056">
        <f>AB6055+IF(X6056="",0,IF(ISNA(MATCH(X6056,X$256:X6055,0)),1,0))</f>
        <v/>
      </c>
      <c r="AC6056">
        <f>IF(AB6056&gt;AB6055,AB6056,"")</f>
        <v/>
      </c>
    </row>
    <row r="6057">
      <c r="W6057" s="7" t="n"/>
      <c r="X6057" s="7" t="n"/>
      <c r="Z6057">
        <f>Z6056+IF(W6057="",0,IF(ISNA(MATCH(W6057,W$256:W6056,0)),1,0))</f>
        <v/>
      </c>
      <c r="AA6057">
        <f>IF(Z6057&gt;Z6056,Z6057,"")</f>
        <v/>
      </c>
      <c r="AB6057">
        <f>AB6056+IF(X6057="",0,IF(ISNA(MATCH(X6057,X$256:X6056,0)),1,0))</f>
        <v/>
      </c>
      <c r="AC6057">
        <f>IF(AB6057&gt;AB6056,AB6057,"")</f>
        <v/>
      </c>
    </row>
    <row r="6058">
      <c r="W6058" s="7" t="n"/>
      <c r="X6058" s="7" t="n"/>
      <c r="Z6058">
        <f>Z6057+IF(W6058="",0,IF(ISNA(MATCH(W6058,W$256:W6057,0)),1,0))</f>
        <v/>
      </c>
      <c r="AA6058">
        <f>IF(Z6058&gt;Z6057,Z6058,"")</f>
        <v/>
      </c>
      <c r="AB6058">
        <f>AB6057+IF(X6058="",0,IF(ISNA(MATCH(X6058,X$256:X6057,0)),1,0))</f>
        <v/>
      </c>
      <c r="AC6058">
        <f>IF(AB6058&gt;AB6057,AB6058,"")</f>
        <v/>
      </c>
    </row>
    <row r="6059">
      <c r="W6059" s="7" t="n"/>
      <c r="X6059" s="7" t="n"/>
      <c r="Z6059">
        <f>Z6058+IF(W6059="",0,IF(ISNA(MATCH(W6059,W$256:W6058,0)),1,0))</f>
        <v/>
      </c>
      <c r="AA6059">
        <f>IF(Z6059&gt;Z6058,Z6059,"")</f>
        <v/>
      </c>
      <c r="AB6059">
        <f>AB6058+IF(X6059="",0,IF(ISNA(MATCH(X6059,X$256:X6058,0)),1,0))</f>
        <v/>
      </c>
      <c r="AC6059">
        <f>IF(AB6059&gt;AB6058,AB6059,"")</f>
        <v/>
      </c>
    </row>
    <row r="6060">
      <c r="W6060" s="7" t="n"/>
      <c r="X6060" s="7" t="n"/>
      <c r="Z6060">
        <f>Z6059+IF(W6060="",0,IF(ISNA(MATCH(W6060,W$256:W6059,0)),1,0))</f>
        <v/>
      </c>
      <c r="AA6060">
        <f>IF(Z6060&gt;Z6059,Z6060,"")</f>
        <v/>
      </c>
      <c r="AB6060">
        <f>AB6059+IF(X6060="",0,IF(ISNA(MATCH(X6060,X$256:X6059,0)),1,0))</f>
        <v/>
      </c>
      <c r="AC6060">
        <f>IF(AB6060&gt;AB6059,AB6060,"")</f>
        <v/>
      </c>
    </row>
    <row r="6061">
      <c r="W6061" s="7" t="n"/>
      <c r="X6061" s="7" t="n"/>
      <c r="Z6061">
        <f>Z6060+IF(W6061="",0,IF(ISNA(MATCH(W6061,W$256:W6060,0)),1,0))</f>
        <v/>
      </c>
      <c r="AA6061">
        <f>IF(Z6061&gt;Z6060,Z6061,"")</f>
        <v/>
      </c>
      <c r="AB6061">
        <f>AB6060+IF(X6061="",0,IF(ISNA(MATCH(X6061,X$256:X6060,0)),1,0))</f>
        <v/>
      </c>
      <c r="AC6061">
        <f>IF(AB6061&gt;AB6060,AB6061,"")</f>
        <v/>
      </c>
    </row>
    <row r="6062">
      <c r="W6062" s="7" t="n"/>
      <c r="X6062" s="7" t="n"/>
      <c r="Z6062">
        <f>Z6061+IF(W6062="",0,IF(ISNA(MATCH(W6062,W$256:W6061,0)),1,0))</f>
        <v/>
      </c>
      <c r="AA6062">
        <f>IF(Z6062&gt;Z6061,Z6062,"")</f>
        <v/>
      </c>
      <c r="AB6062">
        <f>AB6061+IF(X6062="",0,IF(ISNA(MATCH(X6062,X$256:X6061,0)),1,0))</f>
        <v/>
      </c>
      <c r="AC6062">
        <f>IF(AB6062&gt;AB6061,AB6062,"")</f>
        <v/>
      </c>
    </row>
    <row r="6063">
      <c r="W6063" s="7" t="n"/>
      <c r="X6063" s="7" t="n"/>
      <c r="Z6063">
        <f>Z6062+IF(W6063="",0,IF(ISNA(MATCH(W6063,W$256:W6062,0)),1,0))</f>
        <v/>
      </c>
      <c r="AA6063">
        <f>IF(Z6063&gt;Z6062,Z6063,"")</f>
        <v/>
      </c>
      <c r="AB6063">
        <f>AB6062+IF(X6063="",0,IF(ISNA(MATCH(X6063,X$256:X6062,0)),1,0))</f>
        <v/>
      </c>
      <c r="AC6063">
        <f>IF(AB6063&gt;AB6062,AB6063,"")</f>
        <v/>
      </c>
    </row>
    <row r="6064">
      <c r="W6064" s="7" t="n"/>
      <c r="X6064" s="7" t="n"/>
      <c r="Z6064">
        <f>Z6063+IF(W6064="",0,IF(ISNA(MATCH(W6064,W$256:W6063,0)),1,0))</f>
        <v/>
      </c>
      <c r="AA6064">
        <f>IF(Z6064&gt;Z6063,Z6064,"")</f>
        <v/>
      </c>
      <c r="AB6064">
        <f>AB6063+IF(X6064="",0,IF(ISNA(MATCH(X6064,X$256:X6063,0)),1,0))</f>
        <v/>
      </c>
      <c r="AC6064">
        <f>IF(AB6064&gt;AB6063,AB6064,"")</f>
        <v/>
      </c>
    </row>
    <row r="6065">
      <c r="W6065" s="7" t="n"/>
      <c r="X6065" s="7" t="n"/>
      <c r="Z6065">
        <f>Z6064+IF(W6065="",0,IF(ISNA(MATCH(W6065,W$256:W6064,0)),1,0))</f>
        <v/>
      </c>
      <c r="AA6065">
        <f>IF(Z6065&gt;Z6064,Z6065,"")</f>
        <v/>
      </c>
      <c r="AB6065">
        <f>AB6064+IF(X6065="",0,IF(ISNA(MATCH(X6065,X$256:X6064,0)),1,0))</f>
        <v/>
      </c>
      <c r="AC6065">
        <f>IF(AB6065&gt;AB6064,AB6065,"")</f>
        <v/>
      </c>
    </row>
    <row r="6066">
      <c r="W6066" s="7" t="n"/>
      <c r="X6066" s="7" t="n"/>
      <c r="Z6066">
        <f>Z6065+IF(W6066="",0,IF(ISNA(MATCH(W6066,W$256:W6065,0)),1,0))</f>
        <v/>
      </c>
      <c r="AA6066">
        <f>IF(Z6066&gt;Z6065,Z6066,"")</f>
        <v/>
      </c>
      <c r="AB6066">
        <f>AB6065+IF(X6066="",0,IF(ISNA(MATCH(X6066,X$256:X6065,0)),1,0))</f>
        <v/>
      </c>
      <c r="AC6066">
        <f>IF(AB6066&gt;AB6065,AB6066,"")</f>
        <v/>
      </c>
    </row>
    <row r="6067">
      <c r="W6067" s="7" t="n"/>
      <c r="X6067" s="7" t="n"/>
      <c r="Z6067">
        <f>Z6066+IF(W6067="",0,IF(ISNA(MATCH(W6067,W$256:W6066,0)),1,0))</f>
        <v/>
      </c>
      <c r="AA6067">
        <f>IF(Z6067&gt;Z6066,Z6067,"")</f>
        <v/>
      </c>
      <c r="AB6067">
        <f>AB6066+IF(X6067="",0,IF(ISNA(MATCH(X6067,X$256:X6066,0)),1,0))</f>
        <v/>
      </c>
      <c r="AC6067">
        <f>IF(AB6067&gt;AB6066,AB6067,"")</f>
        <v/>
      </c>
    </row>
    <row r="6068">
      <c r="W6068" s="7" t="n"/>
      <c r="X6068" s="7" t="n"/>
      <c r="Z6068">
        <f>Z6067+IF(W6068="",0,IF(ISNA(MATCH(W6068,W$256:W6067,0)),1,0))</f>
        <v/>
      </c>
      <c r="AA6068">
        <f>IF(Z6068&gt;Z6067,Z6068,"")</f>
        <v/>
      </c>
      <c r="AB6068">
        <f>AB6067+IF(X6068="",0,IF(ISNA(MATCH(X6068,X$256:X6067,0)),1,0))</f>
        <v/>
      </c>
      <c r="AC6068">
        <f>IF(AB6068&gt;AB6067,AB6068,"")</f>
        <v/>
      </c>
    </row>
    <row r="6069">
      <c r="W6069" s="7" t="n"/>
      <c r="X6069" s="7" t="n"/>
      <c r="Z6069">
        <f>Z6068+IF(W6069="",0,IF(ISNA(MATCH(W6069,W$256:W6068,0)),1,0))</f>
        <v/>
      </c>
      <c r="AA6069">
        <f>IF(Z6069&gt;Z6068,Z6069,"")</f>
        <v/>
      </c>
      <c r="AB6069">
        <f>AB6068+IF(X6069="",0,IF(ISNA(MATCH(X6069,X$256:X6068,0)),1,0))</f>
        <v/>
      </c>
      <c r="AC6069">
        <f>IF(AB6069&gt;AB6068,AB6069,"")</f>
        <v/>
      </c>
    </row>
    <row r="6070">
      <c r="W6070" s="7" t="n"/>
      <c r="X6070" s="7" t="n"/>
      <c r="Z6070">
        <f>Z6069+IF(W6070="",0,IF(ISNA(MATCH(W6070,W$256:W6069,0)),1,0))</f>
        <v/>
      </c>
      <c r="AA6070">
        <f>IF(Z6070&gt;Z6069,Z6070,"")</f>
        <v/>
      </c>
      <c r="AB6070">
        <f>AB6069+IF(X6070="",0,IF(ISNA(MATCH(X6070,X$256:X6069,0)),1,0))</f>
        <v/>
      </c>
      <c r="AC6070">
        <f>IF(AB6070&gt;AB6069,AB6070,"")</f>
        <v/>
      </c>
    </row>
    <row r="6071">
      <c r="W6071" s="7" t="n"/>
      <c r="X6071" s="7" t="n"/>
      <c r="Z6071">
        <f>Z6070+IF(W6071="",0,IF(ISNA(MATCH(W6071,W$256:W6070,0)),1,0))</f>
        <v/>
      </c>
      <c r="AA6071">
        <f>IF(Z6071&gt;Z6070,Z6071,"")</f>
        <v/>
      </c>
      <c r="AB6071">
        <f>AB6070+IF(X6071="",0,IF(ISNA(MATCH(X6071,X$256:X6070,0)),1,0))</f>
        <v/>
      </c>
      <c r="AC6071">
        <f>IF(AB6071&gt;AB6070,AB6071,"")</f>
        <v/>
      </c>
    </row>
    <row r="6072">
      <c r="W6072" s="7" t="n"/>
      <c r="X6072" s="7" t="n"/>
      <c r="Z6072">
        <f>Z6071+IF(W6072="",0,IF(ISNA(MATCH(W6072,W$256:W6071,0)),1,0))</f>
        <v/>
      </c>
      <c r="AA6072">
        <f>IF(Z6072&gt;Z6071,Z6072,"")</f>
        <v/>
      </c>
      <c r="AB6072">
        <f>AB6071+IF(X6072="",0,IF(ISNA(MATCH(X6072,X$256:X6071,0)),1,0))</f>
        <v/>
      </c>
      <c r="AC6072">
        <f>IF(AB6072&gt;AB6071,AB6072,"")</f>
        <v/>
      </c>
    </row>
    <row r="6073">
      <c r="W6073" s="7" t="n"/>
      <c r="X6073" s="7" t="n"/>
      <c r="Z6073">
        <f>Z6072+IF(W6073="",0,IF(ISNA(MATCH(W6073,W$256:W6072,0)),1,0))</f>
        <v/>
      </c>
      <c r="AA6073">
        <f>IF(Z6073&gt;Z6072,Z6073,"")</f>
        <v/>
      </c>
      <c r="AB6073">
        <f>AB6072+IF(X6073="",0,IF(ISNA(MATCH(X6073,X$256:X6072,0)),1,0))</f>
        <v/>
      </c>
      <c r="AC6073">
        <f>IF(AB6073&gt;AB6072,AB6073,"")</f>
        <v/>
      </c>
    </row>
    <row r="6074">
      <c r="W6074" s="7" t="n"/>
      <c r="X6074" s="7" t="n"/>
      <c r="Z6074">
        <f>Z6073+IF(W6074="",0,IF(ISNA(MATCH(W6074,W$256:W6073,0)),1,0))</f>
        <v/>
      </c>
      <c r="AA6074">
        <f>IF(Z6074&gt;Z6073,Z6074,"")</f>
        <v/>
      </c>
      <c r="AB6074">
        <f>AB6073+IF(X6074="",0,IF(ISNA(MATCH(X6074,X$256:X6073,0)),1,0))</f>
        <v/>
      </c>
      <c r="AC6074">
        <f>IF(AB6074&gt;AB6073,AB6074,"")</f>
        <v/>
      </c>
    </row>
    <row r="6075">
      <c r="W6075" s="7" t="n"/>
      <c r="X6075" s="7" t="n"/>
      <c r="Z6075">
        <f>Z6074+IF(W6075="",0,IF(ISNA(MATCH(W6075,W$256:W6074,0)),1,0))</f>
        <v/>
      </c>
      <c r="AA6075">
        <f>IF(Z6075&gt;Z6074,Z6075,"")</f>
        <v/>
      </c>
      <c r="AB6075">
        <f>AB6074+IF(X6075="",0,IF(ISNA(MATCH(X6075,X$256:X6074,0)),1,0))</f>
        <v/>
      </c>
      <c r="AC6075">
        <f>IF(AB6075&gt;AB6074,AB6075,"")</f>
        <v/>
      </c>
    </row>
    <row r="6076">
      <c r="W6076" s="7" t="n"/>
      <c r="X6076" s="7" t="n"/>
      <c r="Z6076">
        <f>Z6075+IF(W6076="",0,IF(ISNA(MATCH(W6076,W$256:W6075,0)),1,0))</f>
        <v/>
      </c>
      <c r="AA6076">
        <f>IF(Z6076&gt;Z6075,Z6076,"")</f>
        <v/>
      </c>
      <c r="AB6076">
        <f>AB6075+IF(X6076="",0,IF(ISNA(MATCH(X6076,X$256:X6075,0)),1,0))</f>
        <v/>
      </c>
      <c r="AC6076">
        <f>IF(AB6076&gt;AB6075,AB6076,"")</f>
        <v/>
      </c>
    </row>
    <row r="6077">
      <c r="W6077" s="7" t="n"/>
      <c r="X6077" s="7" t="n"/>
      <c r="Z6077">
        <f>Z6076+IF(W6077="",0,IF(ISNA(MATCH(W6077,W$256:W6076,0)),1,0))</f>
        <v/>
      </c>
      <c r="AA6077">
        <f>IF(Z6077&gt;Z6076,Z6077,"")</f>
        <v/>
      </c>
      <c r="AB6077">
        <f>AB6076+IF(X6077="",0,IF(ISNA(MATCH(X6077,X$256:X6076,0)),1,0))</f>
        <v/>
      </c>
      <c r="AC6077">
        <f>IF(AB6077&gt;AB6076,AB6077,"")</f>
        <v/>
      </c>
    </row>
    <row r="6078">
      <c r="W6078" s="7" t="n"/>
      <c r="X6078" s="7" t="n"/>
      <c r="Z6078">
        <f>Z6077+IF(W6078="",0,IF(ISNA(MATCH(W6078,W$256:W6077,0)),1,0))</f>
        <v/>
      </c>
      <c r="AA6078">
        <f>IF(Z6078&gt;Z6077,Z6078,"")</f>
        <v/>
      </c>
      <c r="AB6078">
        <f>AB6077+IF(X6078="",0,IF(ISNA(MATCH(X6078,X$256:X6077,0)),1,0))</f>
        <v/>
      </c>
      <c r="AC6078">
        <f>IF(AB6078&gt;AB6077,AB6078,"")</f>
        <v/>
      </c>
    </row>
    <row r="6079">
      <c r="W6079" s="7" t="n"/>
      <c r="X6079" s="7" t="n"/>
      <c r="Z6079">
        <f>Z6078+IF(W6079="",0,IF(ISNA(MATCH(W6079,W$256:W6078,0)),1,0))</f>
        <v/>
      </c>
      <c r="AA6079">
        <f>IF(Z6079&gt;Z6078,Z6079,"")</f>
        <v/>
      </c>
      <c r="AB6079">
        <f>AB6078+IF(X6079="",0,IF(ISNA(MATCH(X6079,X$256:X6078,0)),1,0))</f>
        <v/>
      </c>
      <c r="AC6079">
        <f>IF(AB6079&gt;AB6078,AB6079,"")</f>
        <v/>
      </c>
    </row>
    <row r="6080">
      <c r="W6080" s="7" t="n"/>
      <c r="X6080" s="7" t="n"/>
      <c r="Z6080">
        <f>Z6079+IF(W6080="",0,IF(ISNA(MATCH(W6080,W$256:W6079,0)),1,0))</f>
        <v/>
      </c>
      <c r="AA6080">
        <f>IF(Z6080&gt;Z6079,Z6080,"")</f>
        <v/>
      </c>
      <c r="AB6080">
        <f>AB6079+IF(X6080="",0,IF(ISNA(MATCH(X6080,X$256:X6079,0)),1,0))</f>
        <v/>
      </c>
      <c r="AC6080">
        <f>IF(AB6080&gt;AB6079,AB6080,"")</f>
        <v/>
      </c>
    </row>
    <row r="6081">
      <c r="W6081" s="7" t="n"/>
      <c r="X6081" s="7" t="n"/>
      <c r="Z6081">
        <f>Z6080+IF(W6081="",0,IF(ISNA(MATCH(W6081,W$256:W6080,0)),1,0))</f>
        <v/>
      </c>
      <c r="AA6081">
        <f>IF(Z6081&gt;Z6080,Z6081,"")</f>
        <v/>
      </c>
      <c r="AB6081">
        <f>AB6080+IF(X6081="",0,IF(ISNA(MATCH(X6081,X$256:X6080,0)),1,0))</f>
        <v/>
      </c>
      <c r="AC6081">
        <f>IF(AB6081&gt;AB6080,AB6081,"")</f>
        <v/>
      </c>
    </row>
    <row r="6082">
      <c r="W6082" s="7" t="n"/>
      <c r="X6082" s="7" t="n"/>
      <c r="Z6082">
        <f>Z6081+IF(W6082="",0,IF(ISNA(MATCH(W6082,W$256:W6081,0)),1,0))</f>
        <v/>
      </c>
      <c r="AA6082">
        <f>IF(Z6082&gt;Z6081,Z6082,"")</f>
        <v/>
      </c>
      <c r="AB6082">
        <f>AB6081+IF(X6082="",0,IF(ISNA(MATCH(X6082,X$256:X6081,0)),1,0))</f>
        <v/>
      </c>
      <c r="AC6082">
        <f>IF(AB6082&gt;AB6081,AB6082,"")</f>
        <v/>
      </c>
    </row>
    <row r="6083">
      <c r="W6083" s="7" t="n"/>
      <c r="X6083" s="7" t="n"/>
      <c r="Z6083">
        <f>Z6082+IF(W6083="",0,IF(ISNA(MATCH(W6083,W$256:W6082,0)),1,0))</f>
        <v/>
      </c>
      <c r="AA6083">
        <f>IF(Z6083&gt;Z6082,Z6083,"")</f>
        <v/>
      </c>
      <c r="AB6083">
        <f>AB6082+IF(X6083="",0,IF(ISNA(MATCH(X6083,X$256:X6082,0)),1,0))</f>
        <v/>
      </c>
      <c r="AC6083">
        <f>IF(AB6083&gt;AB6082,AB6083,"")</f>
        <v/>
      </c>
    </row>
    <row r="6084">
      <c r="W6084" s="7" t="n"/>
      <c r="X6084" s="7" t="n"/>
      <c r="Z6084">
        <f>Z6083+IF(W6084="",0,IF(ISNA(MATCH(W6084,W$256:W6083,0)),1,0))</f>
        <v/>
      </c>
      <c r="AA6084">
        <f>IF(Z6084&gt;Z6083,Z6084,"")</f>
        <v/>
      </c>
      <c r="AB6084">
        <f>AB6083+IF(X6084="",0,IF(ISNA(MATCH(X6084,X$256:X6083,0)),1,0))</f>
        <v/>
      </c>
      <c r="AC6084">
        <f>IF(AB6084&gt;AB6083,AB6084,"")</f>
        <v/>
      </c>
    </row>
    <row r="6085">
      <c r="W6085" s="7" t="n"/>
      <c r="X6085" s="7" t="n"/>
      <c r="Z6085">
        <f>Z6084+IF(W6085="",0,IF(ISNA(MATCH(W6085,W$256:W6084,0)),1,0))</f>
        <v/>
      </c>
      <c r="AA6085">
        <f>IF(Z6085&gt;Z6084,Z6085,"")</f>
        <v/>
      </c>
      <c r="AB6085">
        <f>AB6084+IF(X6085="",0,IF(ISNA(MATCH(X6085,X$256:X6084,0)),1,0))</f>
        <v/>
      </c>
      <c r="AC6085">
        <f>IF(AB6085&gt;AB6084,AB6085,"")</f>
        <v/>
      </c>
    </row>
    <row r="6086">
      <c r="W6086" s="7" t="n"/>
      <c r="X6086" s="7" t="n"/>
      <c r="Z6086">
        <f>Z6085+IF(W6086="",0,IF(ISNA(MATCH(W6086,W$256:W6085,0)),1,0))</f>
        <v/>
      </c>
      <c r="AA6086">
        <f>IF(Z6086&gt;Z6085,Z6086,"")</f>
        <v/>
      </c>
      <c r="AB6086">
        <f>AB6085+IF(X6086="",0,IF(ISNA(MATCH(X6086,X$256:X6085,0)),1,0))</f>
        <v/>
      </c>
      <c r="AC6086">
        <f>IF(AB6086&gt;AB6085,AB6086,"")</f>
        <v/>
      </c>
    </row>
    <row r="6087">
      <c r="W6087" s="7" t="n"/>
      <c r="X6087" s="7" t="n"/>
      <c r="Z6087">
        <f>Z6086+IF(W6087="",0,IF(ISNA(MATCH(W6087,W$256:W6086,0)),1,0))</f>
        <v/>
      </c>
      <c r="AA6087">
        <f>IF(Z6087&gt;Z6086,Z6087,"")</f>
        <v/>
      </c>
      <c r="AB6087">
        <f>AB6086+IF(X6087="",0,IF(ISNA(MATCH(X6087,X$256:X6086,0)),1,0))</f>
        <v/>
      </c>
      <c r="AC6087">
        <f>IF(AB6087&gt;AB6086,AB6087,"")</f>
        <v/>
      </c>
    </row>
    <row r="6088">
      <c r="W6088" s="7" t="n"/>
      <c r="X6088" s="7" t="n"/>
      <c r="Z6088">
        <f>Z6087+IF(W6088="",0,IF(ISNA(MATCH(W6088,W$256:W6087,0)),1,0))</f>
        <v/>
      </c>
      <c r="AA6088">
        <f>IF(Z6088&gt;Z6087,Z6088,"")</f>
        <v/>
      </c>
      <c r="AB6088">
        <f>AB6087+IF(X6088="",0,IF(ISNA(MATCH(X6088,X$256:X6087,0)),1,0))</f>
        <v/>
      </c>
      <c r="AC6088">
        <f>IF(AB6088&gt;AB6087,AB6088,"")</f>
        <v/>
      </c>
    </row>
    <row r="6089">
      <c r="W6089" s="7" t="n"/>
      <c r="X6089" s="7" t="n"/>
      <c r="Z6089">
        <f>Z6088+IF(W6089="",0,IF(ISNA(MATCH(W6089,W$256:W6088,0)),1,0))</f>
        <v/>
      </c>
      <c r="AA6089">
        <f>IF(Z6089&gt;Z6088,Z6089,"")</f>
        <v/>
      </c>
      <c r="AB6089">
        <f>AB6088+IF(X6089="",0,IF(ISNA(MATCH(X6089,X$256:X6088,0)),1,0))</f>
        <v/>
      </c>
      <c r="AC6089">
        <f>IF(AB6089&gt;AB6088,AB6089,"")</f>
        <v/>
      </c>
    </row>
    <row r="6090">
      <c r="W6090" s="7" t="n"/>
      <c r="X6090" s="7" t="n"/>
      <c r="Z6090">
        <f>Z6089+IF(W6090="",0,IF(ISNA(MATCH(W6090,W$256:W6089,0)),1,0))</f>
        <v/>
      </c>
      <c r="AA6090">
        <f>IF(Z6090&gt;Z6089,Z6090,"")</f>
        <v/>
      </c>
      <c r="AB6090">
        <f>AB6089+IF(X6090="",0,IF(ISNA(MATCH(X6090,X$256:X6089,0)),1,0))</f>
        <v/>
      </c>
      <c r="AC6090">
        <f>IF(AB6090&gt;AB6089,AB6090,"")</f>
        <v/>
      </c>
    </row>
    <row r="6091">
      <c r="W6091" s="7" t="n"/>
      <c r="X6091" s="7" t="n"/>
      <c r="Z6091">
        <f>Z6090+IF(W6091="",0,IF(ISNA(MATCH(W6091,W$256:W6090,0)),1,0))</f>
        <v/>
      </c>
      <c r="AA6091">
        <f>IF(Z6091&gt;Z6090,Z6091,"")</f>
        <v/>
      </c>
      <c r="AB6091">
        <f>AB6090+IF(X6091="",0,IF(ISNA(MATCH(X6091,X$256:X6090,0)),1,0))</f>
        <v/>
      </c>
      <c r="AC6091">
        <f>IF(AB6091&gt;AB6090,AB6091,"")</f>
        <v/>
      </c>
    </row>
    <row r="6092">
      <c r="W6092" s="7" t="n"/>
      <c r="X6092" s="7" t="n"/>
      <c r="Z6092">
        <f>Z6091+IF(W6092="",0,IF(ISNA(MATCH(W6092,W$256:W6091,0)),1,0))</f>
        <v/>
      </c>
      <c r="AA6092">
        <f>IF(Z6092&gt;Z6091,Z6092,"")</f>
        <v/>
      </c>
      <c r="AB6092">
        <f>AB6091+IF(X6092="",0,IF(ISNA(MATCH(X6092,X$256:X6091,0)),1,0))</f>
        <v/>
      </c>
      <c r="AC6092">
        <f>IF(AB6092&gt;AB6091,AB6092,"")</f>
        <v/>
      </c>
    </row>
    <row r="6093">
      <c r="W6093" s="7" t="n"/>
      <c r="X6093" s="7" t="n"/>
      <c r="Z6093">
        <f>Z6092+IF(W6093="",0,IF(ISNA(MATCH(W6093,W$256:W6092,0)),1,0))</f>
        <v/>
      </c>
      <c r="AA6093">
        <f>IF(Z6093&gt;Z6092,Z6093,"")</f>
        <v/>
      </c>
      <c r="AB6093">
        <f>AB6092+IF(X6093="",0,IF(ISNA(MATCH(X6093,X$256:X6092,0)),1,0))</f>
        <v/>
      </c>
      <c r="AC6093">
        <f>IF(AB6093&gt;AB6092,AB6093,"")</f>
        <v/>
      </c>
    </row>
    <row r="6094">
      <c r="W6094" s="7" t="n"/>
      <c r="X6094" s="7" t="n"/>
      <c r="Z6094">
        <f>Z6093+IF(W6094="",0,IF(ISNA(MATCH(W6094,W$256:W6093,0)),1,0))</f>
        <v/>
      </c>
      <c r="AA6094">
        <f>IF(Z6094&gt;Z6093,Z6094,"")</f>
        <v/>
      </c>
      <c r="AB6094">
        <f>AB6093+IF(X6094="",0,IF(ISNA(MATCH(X6094,X$256:X6093,0)),1,0))</f>
        <v/>
      </c>
      <c r="AC6094">
        <f>IF(AB6094&gt;AB6093,AB6094,"")</f>
        <v/>
      </c>
    </row>
    <row r="6095">
      <c r="W6095" s="7" t="n"/>
      <c r="X6095" s="7" t="n"/>
      <c r="Z6095">
        <f>Z6094+IF(W6095="",0,IF(ISNA(MATCH(W6095,W$256:W6094,0)),1,0))</f>
        <v/>
      </c>
      <c r="AA6095">
        <f>IF(Z6095&gt;Z6094,Z6095,"")</f>
        <v/>
      </c>
      <c r="AB6095">
        <f>AB6094+IF(X6095="",0,IF(ISNA(MATCH(X6095,X$256:X6094,0)),1,0))</f>
        <v/>
      </c>
      <c r="AC6095">
        <f>IF(AB6095&gt;AB6094,AB6095,"")</f>
        <v/>
      </c>
    </row>
    <row r="6096">
      <c r="W6096" s="7" t="n"/>
      <c r="X6096" s="7" t="n"/>
      <c r="Z6096">
        <f>Z6095+IF(W6096="",0,IF(ISNA(MATCH(W6096,W$256:W6095,0)),1,0))</f>
        <v/>
      </c>
      <c r="AA6096">
        <f>IF(Z6096&gt;Z6095,Z6096,"")</f>
        <v/>
      </c>
      <c r="AB6096">
        <f>AB6095+IF(X6096="",0,IF(ISNA(MATCH(X6096,X$256:X6095,0)),1,0))</f>
        <v/>
      </c>
      <c r="AC6096">
        <f>IF(AB6096&gt;AB6095,AB6096,"")</f>
        <v/>
      </c>
    </row>
    <row r="6097">
      <c r="W6097" s="7" t="n"/>
      <c r="X6097" s="7" t="n"/>
      <c r="Z6097">
        <f>Z6096+IF(W6097="",0,IF(ISNA(MATCH(W6097,W$256:W6096,0)),1,0))</f>
        <v/>
      </c>
      <c r="AA6097">
        <f>IF(Z6097&gt;Z6096,Z6097,"")</f>
        <v/>
      </c>
      <c r="AB6097">
        <f>AB6096+IF(X6097="",0,IF(ISNA(MATCH(X6097,X$256:X6096,0)),1,0))</f>
        <v/>
      </c>
      <c r="AC6097">
        <f>IF(AB6097&gt;AB6096,AB6097,"")</f>
        <v/>
      </c>
    </row>
    <row r="6098">
      <c r="W6098" s="7" t="n"/>
      <c r="X6098" s="7" t="n"/>
      <c r="Z6098">
        <f>Z6097+IF(W6098="",0,IF(ISNA(MATCH(W6098,W$256:W6097,0)),1,0))</f>
        <v/>
      </c>
      <c r="AA6098">
        <f>IF(Z6098&gt;Z6097,Z6098,"")</f>
        <v/>
      </c>
      <c r="AB6098">
        <f>AB6097+IF(X6098="",0,IF(ISNA(MATCH(X6098,X$256:X6097,0)),1,0))</f>
        <v/>
      </c>
      <c r="AC6098">
        <f>IF(AB6098&gt;AB6097,AB6098,"")</f>
        <v/>
      </c>
    </row>
    <row r="6099">
      <c r="W6099" s="7" t="n"/>
      <c r="X6099" s="7" t="n"/>
      <c r="Z6099">
        <f>Z6098+IF(W6099="",0,IF(ISNA(MATCH(W6099,W$256:W6098,0)),1,0))</f>
        <v/>
      </c>
      <c r="AA6099">
        <f>IF(Z6099&gt;Z6098,Z6099,"")</f>
        <v/>
      </c>
      <c r="AB6099">
        <f>AB6098+IF(X6099="",0,IF(ISNA(MATCH(X6099,X$256:X6098,0)),1,0))</f>
        <v/>
      </c>
      <c r="AC6099">
        <f>IF(AB6099&gt;AB6098,AB6099,"")</f>
        <v/>
      </c>
    </row>
    <row r="6100">
      <c r="W6100" s="7" t="n"/>
      <c r="X6100" s="7" t="n"/>
      <c r="Z6100">
        <f>Z6099+IF(W6100="",0,IF(ISNA(MATCH(W6100,W$256:W6099,0)),1,0))</f>
        <v/>
      </c>
      <c r="AA6100">
        <f>IF(Z6100&gt;Z6099,Z6100,"")</f>
        <v/>
      </c>
      <c r="AB6100">
        <f>AB6099+IF(X6100="",0,IF(ISNA(MATCH(X6100,X$256:X6099,0)),1,0))</f>
        <v/>
      </c>
      <c r="AC6100">
        <f>IF(AB6100&gt;AB6099,AB6100,"")</f>
        <v/>
      </c>
    </row>
    <row r="6101">
      <c r="W6101" s="7" t="n"/>
      <c r="X6101" s="7" t="n"/>
      <c r="Z6101">
        <f>Z6100+IF(W6101="",0,IF(ISNA(MATCH(W6101,W$256:W6100,0)),1,0))</f>
        <v/>
      </c>
      <c r="AA6101">
        <f>IF(Z6101&gt;Z6100,Z6101,"")</f>
        <v/>
      </c>
      <c r="AB6101">
        <f>AB6100+IF(X6101="",0,IF(ISNA(MATCH(X6101,X$256:X6100,0)),1,0))</f>
        <v/>
      </c>
      <c r="AC6101">
        <f>IF(AB6101&gt;AB6100,AB6101,"")</f>
        <v/>
      </c>
    </row>
    <row r="6102">
      <c r="W6102" s="7" t="n"/>
      <c r="X6102" s="7" t="n"/>
      <c r="Z6102">
        <f>Z6101+IF(W6102="",0,IF(ISNA(MATCH(W6102,W$256:W6101,0)),1,0))</f>
        <v/>
      </c>
      <c r="AA6102">
        <f>IF(Z6102&gt;Z6101,Z6102,"")</f>
        <v/>
      </c>
      <c r="AB6102">
        <f>AB6101+IF(X6102="",0,IF(ISNA(MATCH(X6102,X$256:X6101,0)),1,0))</f>
        <v/>
      </c>
      <c r="AC6102">
        <f>IF(AB6102&gt;AB6101,AB6102,"")</f>
        <v/>
      </c>
    </row>
    <row r="6103">
      <c r="W6103" s="7" t="n"/>
      <c r="X6103" s="7" t="n"/>
      <c r="Z6103">
        <f>Z6102+IF(W6103="",0,IF(ISNA(MATCH(W6103,W$256:W6102,0)),1,0))</f>
        <v/>
      </c>
      <c r="AA6103">
        <f>IF(Z6103&gt;Z6102,Z6103,"")</f>
        <v/>
      </c>
      <c r="AB6103">
        <f>AB6102+IF(X6103="",0,IF(ISNA(MATCH(X6103,X$256:X6102,0)),1,0))</f>
        <v/>
      </c>
      <c r="AC6103">
        <f>IF(AB6103&gt;AB6102,AB6103,"")</f>
        <v/>
      </c>
    </row>
    <row r="6104">
      <c r="W6104" s="7" t="n"/>
      <c r="X6104" s="7" t="n"/>
      <c r="Z6104">
        <f>Z6103+IF(W6104="",0,IF(ISNA(MATCH(W6104,W$256:W6103,0)),1,0))</f>
        <v/>
      </c>
      <c r="AA6104">
        <f>IF(Z6104&gt;Z6103,Z6104,"")</f>
        <v/>
      </c>
      <c r="AB6104">
        <f>AB6103+IF(X6104="",0,IF(ISNA(MATCH(X6104,X$256:X6103,0)),1,0))</f>
        <v/>
      </c>
      <c r="AC6104">
        <f>IF(AB6104&gt;AB6103,AB6104,"")</f>
        <v/>
      </c>
    </row>
    <row r="6105">
      <c r="W6105" s="7" t="n"/>
      <c r="X6105" s="7" t="n"/>
      <c r="Z6105">
        <f>Z6104+IF(W6105="",0,IF(ISNA(MATCH(W6105,W$256:W6104,0)),1,0))</f>
        <v/>
      </c>
      <c r="AA6105">
        <f>IF(Z6105&gt;Z6104,Z6105,"")</f>
        <v/>
      </c>
      <c r="AB6105">
        <f>AB6104+IF(X6105="",0,IF(ISNA(MATCH(X6105,X$256:X6104,0)),1,0))</f>
        <v/>
      </c>
      <c r="AC6105">
        <f>IF(AB6105&gt;AB6104,AB6105,"")</f>
        <v/>
      </c>
    </row>
    <row r="6106">
      <c r="W6106" s="7" t="n"/>
      <c r="X6106" s="7" t="n"/>
      <c r="Z6106">
        <f>Z6105+IF(W6106="",0,IF(ISNA(MATCH(W6106,W$256:W6105,0)),1,0))</f>
        <v/>
      </c>
      <c r="AA6106">
        <f>IF(Z6106&gt;Z6105,Z6106,"")</f>
        <v/>
      </c>
      <c r="AB6106">
        <f>AB6105+IF(X6106="",0,IF(ISNA(MATCH(X6106,X$256:X6105,0)),1,0))</f>
        <v/>
      </c>
      <c r="AC6106">
        <f>IF(AB6106&gt;AB6105,AB6106,"")</f>
        <v/>
      </c>
    </row>
    <row r="6107">
      <c r="W6107" s="7" t="n"/>
      <c r="X6107" s="7" t="n"/>
      <c r="Z6107">
        <f>Z6106+IF(W6107="",0,IF(ISNA(MATCH(W6107,W$256:W6106,0)),1,0))</f>
        <v/>
      </c>
      <c r="AA6107">
        <f>IF(Z6107&gt;Z6106,Z6107,"")</f>
        <v/>
      </c>
      <c r="AB6107">
        <f>AB6106+IF(X6107="",0,IF(ISNA(MATCH(X6107,X$256:X6106,0)),1,0))</f>
        <v/>
      </c>
      <c r="AC6107">
        <f>IF(AB6107&gt;AB6106,AB6107,"")</f>
        <v/>
      </c>
    </row>
    <row r="6108">
      <c r="W6108" s="7" t="n"/>
      <c r="X6108" s="7" t="n"/>
      <c r="Z6108">
        <f>Z6107+IF(W6108="",0,IF(ISNA(MATCH(W6108,W$256:W6107,0)),1,0))</f>
        <v/>
      </c>
      <c r="AA6108">
        <f>IF(Z6108&gt;Z6107,Z6108,"")</f>
        <v/>
      </c>
      <c r="AB6108">
        <f>AB6107+IF(X6108="",0,IF(ISNA(MATCH(X6108,X$256:X6107,0)),1,0))</f>
        <v/>
      </c>
      <c r="AC6108">
        <f>IF(AB6108&gt;AB6107,AB6108,"")</f>
        <v/>
      </c>
    </row>
    <row r="6109">
      <c r="W6109" s="7" t="n"/>
      <c r="X6109" s="7" t="n"/>
      <c r="Z6109">
        <f>Z6108+IF(W6109="",0,IF(ISNA(MATCH(W6109,W$256:W6108,0)),1,0))</f>
        <v/>
      </c>
      <c r="AA6109">
        <f>IF(Z6109&gt;Z6108,Z6109,"")</f>
        <v/>
      </c>
      <c r="AB6109">
        <f>AB6108+IF(X6109="",0,IF(ISNA(MATCH(X6109,X$256:X6108,0)),1,0))</f>
        <v/>
      </c>
      <c r="AC6109">
        <f>IF(AB6109&gt;AB6108,AB6109,"")</f>
        <v/>
      </c>
    </row>
    <row r="6110">
      <c r="W6110" s="7" t="n"/>
      <c r="X6110" s="7" t="n"/>
      <c r="Z6110">
        <f>Z6109+IF(W6110="",0,IF(ISNA(MATCH(W6110,W$256:W6109,0)),1,0))</f>
        <v/>
      </c>
      <c r="AA6110">
        <f>IF(Z6110&gt;Z6109,Z6110,"")</f>
        <v/>
      </c>
      <c r="AB6110">
        <f>AB6109+IF(X6110="",0,IF(ISNA(MATCH(X6110,X$256:X6109,0)),1,0))</f>
        <v/>
      </c>
      <c r="AC6110">
        <f>IF(AB6110&gt;AB6109,AB6110,"")</f>
        <v/>
      </c>
    </row>
    <row r="6111">
      <c r="W6111" s="7" t="n"/>
      <c r="X6111" s="7" t="n"/>
      <c r="Z6111">
        <f>Z6110+IF(W6111="",0,IF(ISNA(MATCH(W6111,W$256:W6110,0)),1,0))</f>
        <v/>
      </c>
      <c r="AA6111">
        <f>IF(Z6111&gt;Z6110,Z6111,"")</f>
        <v/>
      </c>
      <c r="AB6111">
        <f>AB6110+IF(X6111="",0,IF(ISNA(MATCH(X6111,X$256:X6110,0)),1,0))</f>
        <v/>
      </c>
      <c r="AC6111">
        <f>IF(AB6111&gt;AB6110,AB6111,"")</f>
        <v/>
      </c>
    </row>
    <row r="6112">
      <c r="W6112" s="7" t="n"/>
      <c r="X6112" s="7" t="n"/>
      <c r="Z6112">
        <f>Z6111+IF(W6112="",0,IF(ISNA(MATCH(W6112,W$256:W6111,0)),1,0))</f>
        <v/>
      </c>
      <c r="AA6112">
        <f>IF(Z6112&gt;Z6111,Z6112,"")</f>
        <v/>
      </c>
      <c r="AB6112">
        <f>AB6111+IF(X6112="",0,IF(ISNA(MATCH(X6112,X$256:X6111,0)),1,0))</f>
        <v/>
      </c>
      <c r="AC6112">
        <f>IF(AB6112&gt;AB6111,AB6112,"")</f>
        <v/>
      </c>
    </row>
    <row r="6113">
      <c r="W6113" s="7" t="n"/>
      <c r="X6113" s="7" t="n"/>
      <c r="Z6113">
        <f>Z6112+IF(W6113="",0,IF(ISNA(MATCH(W6113,W$256:W6112,0)),1,0))</f>
        <v/>
      </c>
      <c r="AA6113">
        <f>IF(Z6113&gt;Z6112,Z6113,"")</f>
        <v/>
      </c>
      <c r="AB6113">
        <f>AB6112+IF(X6113="",0,IF(ISNA(MATCH(X6113,X$256:X6112,0)),1,0))</f>
        <v/>
      </c>
      <c r="AC6113">
        <f>IF(AB6113&gt;AB6112,AB6113,"")</f>
        <v/>
      </c>
    </row>
    <row r="6114">
      <c r="W6114" s="7" t="n"/>
      <c r="X6114" s="7" t="n"/>
      <c r="Z6114">
        <f>Z6113+IF(W6114="",0,IF(ISNA(MATCH(W6114,W$256:W6113,0)),1,0))</f>
        <v/>
      </c>
      <c r="AA6114">
        <f>IF(Z6114&gt;Z6113,Z6114,"")</f>
        <v/>
      </c>
      <c r="AB6114">
        <f>AB6113+IF(X6114="",0,IF(ISNA(MATCH(X6114,X$256:X6113,0)),1,0))</f>
        <v/>
      </c>
      <c r="AC6114">
        <f>IF(AB6114&gt;AB6113,AB6114,"")</f>
        <v/>
      </c>
    </row>
    <row r="6115">
      <c r="W6115" s="7" t="n"/>
      <c r="X6115" s="7" t="n"/>
      <c r="Z6115">
        <f>Z6114+IF(W6115="",0,IF(ISNA(MATCH(W6115,W$256:W6114,0)),1,0))</f>
        <v/>
      </c>
      <c r="AA6115">
        <f>IF(Z6115&gt;Z6114,Z6115,"")</f>
        <v/>
      </c>
      <c r="AB6115">
        <f>AB6114+IF(X6115="",0,IF(ISNA(MATCH(X6115,X$256:X6114,0)),1,0))</f>
        <v/>
      </c>
      <c r="AC6115">
        <f>IF(AB6115&gt;AB6114,AB6115,"")</f>
        <v/>
      </c>
    </row>
    <row r="6116">
      <c r="W6116" s="7" t="n"/>
      <c r="X6116" s="7" t="n"/>
      <c r="Z6116">
        <f>Z6115+IF(W6116="",0,IF(ISNA(MATCH(W6116,W$256:W6115,0)),1,0))</f>
        <v/>
      </c>
      <c r="AA6116">
        <f>IF(Z6116&gt;Z6115,Z6116,"")</f>
        <v/>
      </c>
      <c r="AB6116">
        <f>AB6115+IF(X6116="",0,IF(ISNA(MATCH(X6116,X$256:X6115,0)),1,0))</f>
        <v/>
      </c>
      <c r="AC6116">
        <f>IF(AB6116&gt;AB6115,AB6116,"")</f>
        <v/>
      </c>
    </row>
    <row r="6117">
      <c r="W6117" s="7" t="n"/>
      <c r="X6117" s="7" t="n"/>
      <c r="Z6117">
        <f>Z6116+IF(W6117="",0,IF(ISNA(MATCH(W6117,W$256:W6116,0)),1,0))</f>
        <v/>
      </c>
      <c r="AA6117">
        <f>IF(Z6117&gt;Z6116,Z6117,"")</f>
        <v/>
      </c>
      <c r="AB6117">
        <f>AB6116+IF(X6117="",0,IF(ISNA(MATCH(X6117,X$256:X6116,0)),1,0))</f>
        <v/>
      </c>
      <c r="AC6117">
        <f>IF(AB6117&gt;AB6116,AB6117,"")</f>
        <v/>
      </c>
    </row>
    <row r="6118">
      <c r="W6118" s="7" t="n"/>
      <c r="X6118" s="7" t="n"/>
      <c r="Z6118">
        <f>Z6117+IF(W6118="",0,IF(ISNA(MATCH(W6118,W$256:W6117,0)),1,0))</f>
        <v/>
      </c>
      <c r="AA6118">
        <f>IF(Z6118&gt;Z6117,Z6118,"")</f>
        <v/>
      </c>
      <c r="AB6118">
        <f>AB6117+IF(X6118="",0,IF(ISNA(MATCH(X6118,X$256:X6117,0)),1,0))</f>
        <v/>
      </c>
      <c r="AC6118">
        <f>IF(AB6118&gt;AB6117,AB6118,"")</f>
        <v/>
      </c>
    </row>
    <row r="6119">
      <c r="W6119" s="7" t="n"/>
      <c r="X6119" s="7" t="n"/>
      <c r="Z6119">
        <f>Z6118+IF(W6119="",0,IF(ISNA(MATCH(W6119,W$256:W6118,0)),1,0))</f>
        <v/>
      </c>
      <c r="AA6119">
        <f>IF(Z6119&gt;Z6118,Z6119,"")</f>
        <v/>
      </c>
      <c r="AB6119">
        <f>AB6118+IF(X6119="",0,IF(ISNA(MATCH(X6119,X$256:X6118,0)),1,0))</f>
        <v/>
      </c>
      <c r="AC6119">
        <f>IF(AB6119&gt;AB6118,AB6119,"")</f>
        <v/>
      </c>
    </row>
    <row r="6120">
      <c r="W6120" s="7" t="n"/>
      <c r="X6120" s="7" t="n"/>
      <c r="Z6120">
        <f>Z6119+IF(W6120="",0,IF(ISNA(MATCH(W6120,W$256:W6119,0)),1,0))</f>
        <v/>
      </c>
      <c r="AA6120">
        <f>IF(Z6120&gt;Z6119,Z6120,"")</f>
        <v/>
      </c>
      <c r="AB6120">
        <f>AB6119+IF(X6120="",0,IF(ISNA(MATCH(X6120,X$256:X6119,0)),1,0))</f>
        <v/>
      </c>
      <c r="AC6120">
        <f>IF(AB6120&gt;AB6119,AB6120,"")</f>
        <v/>
      </c>
    </row>
    <row r="6121">
      <c r="W6121" s="7" t="n"/>
      <c r="X6121" s="7" t="n"/>
      <c r="Z6121">
        <f>Z6120+IF(W6121="",0,IF(ISNA(MATCH(W6121,W$256:W6120,0)),1,0))</f>
        <v/>
      </c>
      <c r="AA6121">
        <f>IF(Z6121&gt;Z6120,Z6121,"")</f>
        <v/>
      </c>
      <c r="AB6121">
        <f>AB6120+IF(X6121="",0,IF(ISNA(MATCH(X6121,X$256:X6120,0)),1,0))</f>
        <v/>
      </c>
      <c r="AC6121">
        <f>IF(AB6121&gt;AB6120,AB6121,"")</f>
        <v/>
      </c>
    </row>
    <row r="6122">
      <c r="W6122" s="7" t="n"/>
      <c r="X6122" s="7" t="n"/>
      <c r="Z6122">
        <f>Z6121+IF(W6122="",0,IF(ISNA(MATCH(W6122,W$256:W6121,0)),1,0))</f>
        <v/>
      </c>
      <c r="AA6122">
        <f>IF(Z6122&gt;Z6121,Z6122,"")</f>
        <v/>
      </c>
      <c r="AB6122">
        <f>AB6121+IF(X6122="",0,IF(ISNA(MATCH(X6122,X$256:X6121,0)),1,0))</f>
        <v/>
      </c>
      <c r="AC6122">
        <f>IF(AB6122&gt;AB6121,AB6122,"")</f>
        <v/>
      </c>
    </row>
    <row r="6123">
      <c r="W6123" s="7" t="n"/>
      <c r="X6123" s="7" t="n"/>
      <c r="Z6123">
        <f>Z6122+IF(W6123="",0,IF(ISNA(MATCH(W6123,W$256:W6122,0)),1,0))</f>
        <v/>
      </c>
      <c r="AA6123">
        <f>IF(Z6123&gt;Z6122,Z6123,"")</f>
        <v/>
      </c>
      <c r="AB6123">
        <f>AB6122+IF(X6123="",0,IF(ISNA(MATCH(X6123,X$256:X6122,0)),1,0))</f>
        <v/>
      </c>
      <c r="AC6123">
        <f>IF(AB6123&gt;AB6122,AB6123,"")</f>
        <v/>
      </c>
    </row>
    <row r="6124">
      <c r="W6124" s="7" t="n"/>
      <c r="X6124" s="7" t="n"/>
      <c r="Z6124">
        <f>Z6123+IF(W6124="",0,IF(ISNA(MATCH(W6124,W$256:W6123,0)),1,0))</f>
        <v/>
      </c>
      <c r="AA6124">
        <f>IF(Z6124&gt;Z6123,Z6124,"")</f>
        <v/>
      </c>
      <c r="AB6124">
        <f>AB6123+IF(X6124="",0,IF(ISNA(MATCH(X6124,X$256:X6123,0)),1,0))</f>
        <v/>
      </c>
      <c r="AC6124">
        <f>IF(AB6124&gt;AB6123,AB6124,"")</f>
        <v/>
      </c>
    </row>
    <row r="6125">
      <c r="W6125" s="7" t="n"/>
      <c r="X6125" s="7" t="n"/>
      <c r="Z6125">
        <f>Z6124+IF(W6125="",0,IF(ISNA(MATCH(W6125,W$256:W6124,0)),1,0))</f>
        <v/>
      </c>
      <c r="AA6125">
        <f>IF(Z6125&gt;Z6124,Z6125,"")</f>
        <v/>
      </c>
      <c r="AB6125">
        <f>AB6124+IF(X6125="",0,IF(ISNA(MATCH(X6125,X$256:X6124,0)),1,0))</f>
        <v/>
      </c>
      <c r="AC6125">
        <f>IF(AB6125&gt;AB6124,AB6125,"")</f>
        <v/>
      </c>
    </row>
    <row r="6126">
      <c r="W6126" s="7" t="n"/>
      <c r="X6126" s="7" t="n"/>
      <c r="Z6126">
        <f>Z6125+IF(W6126="",0,IF(ISNA(MATCH(W6126,W$256:W6125,0)),1,0))</f>
        <v/>
      </c>
      <c r="AA6126">
        <f>IF(Z6126&gt;Z6125,Z6126,"")</f>
        <v/>
      </c>
      <c r="AB6126">
        <f>AB6125+IF(X6126="",0,IF(ISNA(MATCH(X6126,X$256:X6125,0)),1,0))</f>
        <v/>
      </c>
      <c r="AC6126">
        <f>IF(AB6126&gt;AB6125,AB6126,"")</f>
        <v/>
      </c>
    </row>
    <row r="6127">
      <c r="W6127" s="7" t="n"/>
      <c r="X6127" s="7" t="n"/>
      <c r="Z6127">
        <f>Z6126+IF(W6127="",0,IF(ISNA(MATCH(W6127,W$256:W6126,0)),1,0))</f>
        <v/>
      </c>
      <c r="AA6127">
        <f>IF(Z6127&gt;Z6126,Z6127,"")</f>
        <v/>
      </c>
      <c r="AB6127">
        <f>AB6126+IF(X6127="",0,IF(ISNA(MATCH(X6127,X$256:X6126,0)),1,0))</f>
        <v/>
      </c>
      <c r="AC6127">
        <f>IF(AB6127&gt;AB6126,AB6127,"")</f>
        <v/>
      </c>
    </row>
    <row r="6128">
      <c r="W6128" s="7" t="n"/>
      <c r="X6128" s="7" t="n"/>
      <c r="Z6128">
        <f>Z6127+IF(W6128="",0,IF(ISNA(MATCH(W6128,W$256:W6127,0)),1,0))</f>
        <v/>
      </c>
      <c r="AA6128">
        <f>IF(Z6128&gt;Z6127,Z6128,"")</f>
        <v/>
      </c>
      <c r="AB6128">
        <f>AB6127+IF(X6128="",0,IF(ISNA(MATCH(X6128,X$256:X6127,0)),1,0))</f>
        <v/>
      </c>
      <c r="AC6128">
        <f>IF(AB6128&gt;AB6127,AB6128,"")</f>
        <v/>
      </c>
    </row>
    <row r="6129">
      <c r="W6129" s="7" t="n"/>
      <c r="X6129" s="7" t="n"/>
      <c r="Z6129">
        <f>Z6128+IF(W6129="",0,IF(ISNA(MATCH(W6129,W$256:W6128,0)),1,0))</f>
        <v/>
      </c>
      <c r="AA6129">
        <f>IF(Z6129&gt;Z6128,Z6129,"")</f>
        <v/>
      </c>
      <c r="AB6129">
        <f>AB6128+IF(X6129="",0,IF(ISNA(MATCH(X6129,X$256:X6128,0)),1,0))</f>
        <v/>
      </c>
      <c r="AC6129">
        <f>IF(AB6129&gt;AB6128,AB6129,"")</f>
        <v/>
      </c>
    </row>
    <row r="6130">
      <c r="W6130" s="7" t="n"/>
      <c r="X6130" s="7" t="n"/>
      <c r="Z6130">
        <f>Z6129+IF(W6130="",0,IF(ISNA(MATCH(W6130,W$256:W6129,0)),1,0))</f>
        <v/>
      </c>
      <c r="AA6130">
        <f>IF(Z6130&gt;Z6129,Z6130,"")</f>
        <v/>
      </c>
      <c r="AB6130">
        <f>AB6129+IF(X6130="",0,IF(ISNA(MATCH(X6130,X$256:X6129,0)),1,0))</f>
        <v/>
      </c>
      <c r="AC6130">
        <f>IF(AB6130&gt;AB6129,AB6130,"")</f>
        <v/>
      </c>
    </row>
    <row r="6131">
      <c r="W6131" s="7" t="n"/>
      <c r="X6131" s="7" t="n"/>
      <c r="Z6131">
        <f>Z6130+IF(W6131="",0,IF(ISNA(MATCH(W6131,W$256:W6130,0)),1,0))</f>
        <v/>
      </c>
      <c r="AA6131">
        <f>IF(Z6131&gt;Z6130,Z6131,"")</f>
        <v/>
      </c>
      <c r="AB6131">
        <f>AB6130+IF(X6131="",0,IF(ISNA(MATCH(X6131,X$256:X6130,0)),1,0))</f>
        <v/>
      </c>
      <c r="AC6131">
        <f>IF(AB6131&gt;AB6130,AB6131,"")</f>
        <v/>
      </c>
    </row>
    <row r="6132">
      <c r="W6132" s="7" t="n"/>
      <c r="X6132" s="7" t="n"/>
      <c r="Z6132">
        <f>Z6131+IF(W6132="",0,IF(ISNA(MATCH(W6132,W$256:W6131,0)),1,0))</f>
        <v/>
      </c>
      <c r="AA6132">
        <f>IF(Z6132&gt;Z6131,Z6132,"")</f>
        <v/>
      </c>
      <c r="AB6132">
        <f>AB6131+IF(X6132="",0,IF(ISNA(MATCH(X6132,X$256:X6131,0)),1,0))</f>
        <v/>
      </c>
      <c r="AC6132">
        <f>IF(AB6132&gt;AB6131,AB6132,"")</f>
        <v/>
      </c>
    </row>
    <row r="6133">
      <c r="W6133" s="7" t="n"/>
      <c r="X6133" s="7" t="n"/>
      <c r="Z6133">
        <f>Z6132+IF(W6133="",0,IF(ISNA(MATCH(W6133,W$256:W6132,0)),1,0))</f>
        <v/>
      </c>
      <c r="AA6133">
        <f>IF(Z6133&gt;Z6132,Z6133,"")</f>
        <v/>
      </c>
      <c r="AB6133">
        <f>AB6132+IF(X6133="",0,IF(ISNA(MATCH(X6133,X$256:X6132,0)),1,0))</f>
        <v/>
      </c>
      <c r="AC6133">
        <f>IF(AB6133&gt;AB6132,AB6133,"")</f>
        <v/>
      </c>
    </row>
    <row r="6134">
      <c r="W6134" s="7" t="n"/>
      <c r="X6134" s="7" t="n"/>
      <c r="Z6134">
        <f>Z6133+IF(W6134="",0,IF(ISNA(MATCH(W6134,W$256:W6133,0)),1,0))</f>
        <v/>
      </c>
      <c r="AA6134">
        <f>IF(Z6134&gt;Z6133,Z6134,"")</f>
        <v/>
      </c>
      <c r="AB6134">
        <f>AB6133+IF(X6134="",0,IF(ISNA(MATCH(X6134,X$256:X6133,0)),1,0))</f>
        <v/>
      </c>
      <c r="AC6134">
        <f>IF(AB6134&gt;AB6133,AB6134,"")</f>
        <v/>
      </c>
    </row>
    <row r="6135">
      <c r="W6135" s="7" t="n"/>
      <c r="X6135" s="7" t="n"/>
      <c r="Z6135">
        <f>Z6134+IF(W6135="",0,IF(ISNA(MATCH(W6135,W$256:W6134,0)),1,0))</f>
        <v/>
      </c>
      <c r="AA6135">
        <f>IF(Z6135&gt;Z6134,Z6135,"")</f>
        <v/>
      </c>
      <c r="AB6135">
        <f>AB6134+IF(X6135="",0,IF(ISNA(MATCH(X6135,X$256:X6134,0)),1,0))</f>
        <v/>
      </c>
      <c r="AC6135">
        <f>IF(AB6135&gt;AB6134,AB6135,"")</f>
        <v/>
      </c>
    </row>
    <row r="6136">
      <c r="W6136" s="7" t="n"/>
      <c r="X6136" s="7" t="n"/>
      <c r="Z6136">
        <f>Z6135+IF(W6136="",0,IF(ISNA(MATCH(W6136,W$256:W6135,0)),1,0))</f>
        <v/>
      </c>
      <c r="AA6136">
        <f>IF(Z6136&gt;Z6135,Z6136,"")</f>
        <v/>
      </c>
      <c r="AB6136">
        <f>AB6135+IF(X6136="",0,IF(ISNA(MATCH(X6136,X$256:X6135,0)),1,0))</f>
        <v/>
      </c>
      <c r="AC6136">
        <f>IF(AB6136&gt;AB6135,AB6136,"")</f>
        <v/>
      </c>
    </row>
    <row r="6137">
      <c r="W6137" s="7" t="n"/>
      <c r="X6137" s="7" t="n"/>
      <c r="Z6137">
        <f>Z6136+IF(W6137="",0,IF(ISNA(MATCH(W6137,W$256:W6136,0)),1,0))</f>
        <v/>
      </c>
      <c r="AA6137">
        <f>IF(Z6137&gt;Z6136,Z6137,"")</f>
        <v/>
      </c>
      <c r="AB6137">
        <f>AB6136+IF(X6137="",0,IF(ISNA(MATCH(X6137,X$256:X6136,0)),1,0))</f>
        <v/>
      </c>
      <c r="AC6137">
        <f>IF(AB6137&gt;AB6136,AB6137,"")</f>
        <v/>
      </c>
    </row>
    <row r="6138">
      <c r="W6138" s="7" t="n"/>
      <c r="X6138" s="7" t="n"/>
      <c r="Z6138">
        <f>Z6137+IF(W6138="",0,IF(ISNA(MATCH(W6138,W$256:W6137,0)),1,0))</f>
        <v/>
      </c>
      <c r="AA6138">
        <f>IF(Z6138&gt;Z6137,Z6138,"")</f>
        <v/>
      </c>
      <c r="AB6138">
        <f>AB6137+IF(X6138="",0,IF(ISNA(MATCH(X6138,X$256:X6137,0)),1,0))</f>
        <v/>
      </c>
      <c r="AC6138">
        <f>IF(AB6138&gt;AB6137,AB6138,"")</f>
        <v/>
      </c>
    </row>
    <row r="6139">
      <c r="W6139" s="7" t="n"/>
      <c r="X6139" s="7" t="n"/>
      <c r="Z6139">
        <f>Z6138+IF(W6139="",0,IF(ISNA(MATCH(W6139,W$256:W6138,0)),1,0))</f>
        <v/>
      </c>
      <c r="AA6139">
        <f>IF(Z6139&gt;Z6138,Z6139,"")</f>
        <v/>
      </c>
      <c r="AB6139">
        <f>AB6138+IF(X6139="",0,IF(ISNA(MATCH(X6139,X$256:X6138,0)),1,0))</f>
        <v/>
      </c>
      <c r="AC6139">
        <f>IF(AB6139&gt;AB6138,AB6139,"")</f>
        <v/>
      </c>
    </row>
    <row r="6140">
      <c r="W6140" s="7" t="n"/>
      <c r="X6140" s="7" t="n"/>
      <c r="Z6140">
        <f>Z6139+IF(W6140="",0,IF(ISNA(MATCH(W6140,W$256:W6139,0)),1,0))</f>
        <v/>
      </c>
      <c r="AA6140">
        <f>IF(Z6140&gt;Z6139,Z6140,"")</f>
        <v/>
      </c>
      <c r="AB6140">
        <f>AB6139+IF(X6140="",0,IF(ISNA(MATCH(X6140,X$256:X6139,0)),1,0))</f>
        <v/>
      </c>
      <c r="AC6140">
        <f>IF(AB6140&gt;AB6139,AB6140,"")</f>
        <v/>
      </c>
    </row>
    <row r="6141">
      <c r="W6141" s="7" t="n"/>
      <c r="X6141" s="7" t="n"/>
      <c r="Z6141">
        <f>Z6140+IF(W6141="",0,IF(ISNA(MATCH(W6141,W$256:W6140,0)),1,0))</f>
        <v/>
      </c>
      <c r="AA6141">
        <f>IF(Z6141&gt;Z6140,Z6141,"")</f>
        <v/>
      </c>
      <c r="AB6141">
        <f>AB6140+IF(X6141="",0,IF(ISNA(MATCH(X6141,X$256:X6140,0)),1,0))</f>
        <v/>
      </c>
      <c r="AC6141">
        <f>IF(AB6141&gt;AB6140,AB6141,"")</f>
        <v/>
      </c>
    </row>
    <row r="6142">
      <c r="W6142" s="7" t="n"/>
      <c r="X6142" s="7" t="n"/>
      <c r="Z6142">
        <f>Z6141+IF(W6142="",0,IF(ISNA(MATCH(W6142,W$256:W6141,0)),1,0))</f>
        <v/>
      </c>
      <c r="AA6142">
        <f>IF(Z6142&gt;Z6141,Z6142,"")</f>
        <v/>
      </c>
      <c r="AB6142">
        <f>AB6141+IF(X6142="",0,IF(ISNA(MATCH(X6142,X$256:X6141,0)),1,0))</f>
        <v/>
      </c>
      <c r="AC6142">
        <f>IF(AB6142&gt;AB6141,AB6142,"")</f>
        <v/>
      </c>
    </row>
    <row r="6143">
      <c r="W6143" s="7" t="n"/>
      <c r="X6143" s="7" t="n"/>
      <c r="Z6143">
        <f>Z6142+IF(W6143="",0,IF(ISNA(MATCH(W6143,W$256:W6142,0)),1,0))</f>
        <v/>
      </c>
      <c r="AA6143">
        <f>IF(Z6143&gt;Z6142,Z6143,"")</f>
        <v/>
      </c>
      <c r="AB6143">
        <f>AB6142+IF(X6143="",0,IF(ISNA(MATCH(X6143,X$256:X6142,0)),1,0))</f>
        <v/>
      </c>
      <c r="AC6143">
        <f>IF(AB6143&gt;AB6142,AB6143,"")</f>
        <v/>
      </c>
    </row>
    <row r="6144">
      <c r="W6144" s="7" t="n"/>
      <c r="X6144" s="7" t="n"/>
      <c r="Z6144">
        <f>Z6143+IF(W6144="",0,IF(ISNA(MATCH(W6144,W$256:W6143,0)),1,0))</f>
        <v/>
      </c>
      <c r="AA6144">
        <f>IF(Z6144&gt;Z6143,Z6144,"")</f>
        <v/>
      </c>
      <c r="AB6144">
        <f>AB6143+IF(X6144="",0,IF(ISNA(MATCH(X6144,X$256:X6143,0)),1,0))</f>
        <v/>
      </c>
      <c r="AC6144">
        <f>IF(AB6144&gt;AB6143,AB6144,"")</f>
        <v/>
      </c>
    </row>
    <row r="6145">
      <c r="W6145" s="7" t="n"/>
      <c r="X6145" s="7" t="n"/>
      <c r="Z6145">
        <f>Z6144+IF(W6145="",0,IF(ISNA(MATCH(W6145,W$256:W6144,0)),1,0))</f>
        <v/>
      </c>
      <c r="AA6145">
        <f>IF(Z6145&gt;Z6144,Z6145,"")</f>
        <v/>
      </c>
      <c r="AB6145">
        <f>AB6144+IF(X6145="",0,IF(ISNA(MATCH(X6145,X$256:X6144,0)),1,0))</f>
        <v/>
      </c>
      <c r="AC6145">
        <f>IF(AB6145&gt;AB6144,AB6145,"")</f>
        <v/>
      </c>
    </row>
    <row r="6146">
      <c r="W6146" s="7" t="n"/>
      <c r="X6146" s="7" t="n"/>
      <c r="Z6146">
        <f>Z6145+IF(W6146="",0,IF(ISNA(MATCH(W6146,W$256:W6145,0)),1,0))</f>
        <v/>
      </c>
      <c r="AA6146">
        <f>IF(Z6146&gt;Z6145,Z6146,"")</f>
        <v/>
      </c>
      <c r="AB6146">
        <f>AB6145+IF(X6146="",0,IF(ISNA(MATCH(X6146,X$256:X6145,0)),1,0))</f>
        <v/>
      </c>
      <c r="AC6146">
        <f>IF(AB6146&gt;AB6145,AB6146,"")</f>
        <v/>
      </c>
    </row>
    <row r="6147">
      <c r="W6147" s="7" t="n"/>
      <c r="X6147" s="7" t="n"/>
      <c r="Z6147">
        <f>Z6146+IF(W6147="",0,IF(ISNA(MATCH(W6147,W$256:W6146,0)),1,0))</f>
        <v/>
      </c>
      <c r="AA6147">
        <f>IF(Z6147&gt;Z6146,Z6147,"")</f>
        <v/>
      </c>
      <c r="AB6147">
        <f>AB6146+IF(X6147="",0,IF(ISNA(MATCH(X6147,X$256:X6146,0)),1,0))</f>
        <v/>
      </c>
      <c r="AC6147">
        <f>IF(AB6147&gt;AB6146,AB6147,"")</f>
        <v/>
      </c>
    </row>
    <row r="6148">
      <c r="W6148" s="7" t="n"/>
      <c r="X6148" s="7" t="n"/>
      <c r="Z6148">
        <f>Z6147+IF(W6148="",0,IF(ISNA(MATCH(W6148,W$256:W6147,0)),1,0))</f>
        <v/>
      </c>
      <c r="AA6148">
        <f>IF(Z6148&gt;Z6147,Z6148,"")</f>
        <v/>
      </c>
      <c r="AB6148">
        <f>AB6147+IF(X6148="",0,IF(ISNA(MATCH(X6148,X$256:X6147,0)),1,0))</f>
        <v/>
      </c>
      <c r="AC6148">
        <f>IF(AB6148&gt;AB6147,AB6148,"")</f>
        <v/>
      </c>
    </row>
    <row r="6149">
      <c r="W6149" s="7" t="n"/>
      <c r="X6149" s="7" t="n"/>
      <c r="Z6149">
        <f>Z6148+IF(W6149="",0,IF(ISNA(MATCH(W6149,W$256:W6148,0)),1,0))</f>
        <v/>
      </c>
      <c r="AA6149">
        <f>IF(Z6149&gt;Z6148,Z6149,"")</f>
        <v/>
      </c>
      <c r="AB6149">
        <f>AB6148+IF(X6149="",0,IF(ISNA(MATCH(X6149,X$256:X6148,0)),1,0))</f>
        <v/>
      </c>
      <c r="AC6149">
        <f>IF(AB6149&gt;AB6148,AB6149,"")</f>
        <v/>
      </c>
    </row>
    <row r="6150">
      <c r="W6150" s="7" t="n"/>
      <c r="X6150" s="7" t="n"/>
      <c r="Z6150">
        <f>Z6149+IF(W6150="",0,IF(ISNA(MATCH(W6150,W$256:W6149,0)),1,0))</f>
        <v/>
      </c>
      <c r="AA6150">
        <f>IF(Z6150&gt;Z6149,Z6150,"")</f>
        <v/>
      </c>
      <c r="AB6150">
        <f>AB6149+IF(X6150="",0,IF(ISNA(MATCH(X6150,X$256:X6149,0)),1,0))</f>
        <v/>
      </c>
      <c r="AC6150">
        <f>IF(AB6150&gt;AB6149,AB6150,"")</f>
        <v/>
      </c>
    </row>
    <row r="6151">
      <c r="W6151" s="7" t="n"/>
      <c r="X6151" s="7" t="n"/>
      <c r="Z6151">
        <f>Z6150+IF(W6151="",0,IF(ISNA(MATCH(W6151,W$256:W6150,0)),1,0))</f>
        <v/>
      </c>
      <c r="AA6151">
        <f>IF(Z6151&gt;Z6150,Z6151,"")</f>
        <v/>
      </c>
      <c r="AB6151">
        <f>AB6150+IF(X6151="",0,IF(ISNA(MATCH(X6151,X$256:X6150,0)),1,0))</f>
        <v/>
      </c>
      <c r="AC6151">
        <f>IF(AB6151&gt;AB6150,AB6151,"")</f>
        <v/>
      </c>
    </row>
    <row r="6152">
      <c r="W6152" s="7" t="n"/>
      <c r="X6152" s="7" t="n"/>
      <c r="Z6152">
        <f>Z6151+IF(W6152="",0,IF(ISNA(MATCH(W6152,W$256:W6151,0)),1,0))</f>
        <v/>
      </c>
      <c r="AA6152">
        <f>IF(Z6152&gt;Z6151,Z6152,"")</f>
        <v/>
      </c>
      <c r="AB6152">
        <f>AB6151+IF(X6152="",0,IF(ISNA(MATCH(X6152,X$256:X6151,0)),1,0))</f>
        <v/>
      </c>
      <c r="AC6152">
        <f>IF(AB6152&gt;AB6151,AB6152,"")</f>
        <v/>
      </c>
    </row>
    <row r="6153">
      <c r="W6153" s="7" t="n"/>
      <c r="X6153" s="7" t="n"/>
      <c r="Z6153">
        <f>Z6152+IF(W6153="",0,IF(ISNA(MATCH(W6153,W$256:W6152,0)),1,0))</f>
        <v/>
      </c>
      <c r="AA6153">
        <f>IF(Z6153&gt;Z6152,Z6153,"")</f>
        <v/>
      </c>
      <c r="AB6153">
        <f>AB6152+IF(X6153="",0,IF(ISNA(MATCH(X6153,X$256:X6152,0)),1,0))</f>
        <v/>
      </c>
      <c r="AC6153">
        <f>IF(AB6153&gt;AB6152,AB6153,"")</f>
        <v/>
      </c>
    </row>
    <row r="6154">
      <c r="W6154" s="7" t="n"/>
      <c r="X6154" s="7" t="n"/>
      <c r="Z6154">
        <f>Z6153+IF(W6154="",0,IF(ISNA(MATCH(W6154,W$256:W6153,0)),1,0))</f>
        <v/>
      </c>
      <c r="AA6154">
        <f>IF(Z6154&gt;Z6153,Z6154,"")</f>
        <v/>
      </c>
      <c r="AB6154">
        <f>AB6153+IF(X6154="",0,IF(ISNA(MATCH(X6154,X$256:X6153,0)),1,0))</f>
        <v/>
      </c>
      <c r="AC6154">
        <f>IF(AB6154&gt;AB6153,AB6154,"")</f>
        <v/>
      </c>
    </row>
    <row r="6155">
      <c r="W6155" s="7" t="n"/>
      <c r="X6155" s="7" t="n"/>
      <c r="Z6155">
        <f>Z6154+IF(W6155="",0,IF(ISNA(MATCH(W6155,W$256:W6154,0)),1,0))</f>
        <v/>
      </c>
      <c r="AA6155">
        <f>IF(Z6155&gt;Z6154,Z6155,"")</f>
        <v/>
      </c>
      <c r="AB6155">
        <f>AB6154+IF(X6155="",0,IF(ISNA(MATCH(X6155,X$256:X6154,0)),1,0))</f>
        <v/>
      </c>
      <c r="AC6155">
        <f>IF(AB6155&gt;AB6154,AB6155,"")</f>
        <v/>
      </c>
    </row>
    <row r="6156">
      <c r="W6156" s="7" t="n"/>
      <c r="X6156" s="7" t="n"/>
      <c r="Z6156">
        <f>Z6155+IF(W6156="",0,IF(ISNA(MATCH(W6156,W$256:W6155,0)),1,0))</f>
        <v/>
      </c>
      <c r="AA6156">
        <f>IF(Z6156&gt;Z6155,Z6156,"")</f>
        <v/>
      </c>
      <c r="AB6156">
        <f>AB6155+IF(X6156="",0,IF(ISNA(MATCH(X6156,X$256:X6155,0)),1,0))</f>
        <v/>
      </c>
      <c r="AC6156">
        <f>IF(AB6156&gt;AB6155,AB6156,"")</f>
        <v/>
      </c>
    </row>
    <row r="6157">
      <c r="W6157" s="7" t="n"/>
      <c r="X6157" s="7" t="n"/>
      <c r="Z6157">
        <f>Z6156+IF(W6157="",0,IF(ISNA(MATCH(W6157,W$256:W6156,0)),1,0))</f>
        <v/>
      </c>
      <c r="AA6157">
        <f>IF(Z6157&gt;Z6156,Z6157,"")</f>
        <v/>
      </c>
      <c r="AB6157">
        <f>AB6156+IF(X6157="",0,IF(ISNA(MATCH(X6157,X$256:X6156,0)),1,0))</f>
        <v/>
      </c>
      <c r="AC6157">
        <f>IF(AB6157&gt;AB6156,AB6157,"")</f>
        <v/>
      </c>
    </row>
    <row r="6158">
      <c r="W6158" s="7" t="n"/>
      <c r="X6158" s="7" t="n"/>
      <c r="Z6158">
        <f>Z6157+IF(W6158="",0,IF(ISNA(MATCH(W6158,W$256:W6157,0)),1,0))</f>
        <v/>
      </c>
      <c r="AA6158">
        <f>IF(Z6158&gt;Z6157,Z6158,"")</f>
        <v/>
      </c>
      <c r="AB6158">
        <f>AB6157+IF(X6158="",0,IF(ISNA(MATCH(X6158,X$256:X6157,0)),1,0))</f>
        <v/>
      </c>
      <c r="AC6158">
        <f>IF(AB6158&gt;AB6157,AB6158,"")</f>
        <v/>
      </c>
    </row>
    <row r="6159">
      <c r="W6159" s="7" t="n"/>
      <c r="X6159" s="7" t="n"/>
      <c r="Z6159">
        <f>Z6158+IF(W6159="",0,IF(ISNA(MATCH(W6159,W$256:W6158,0)),1,0))</f>
        <v/>
      </c>
      <c r="AA6159">
        <f>IF(Z6159&gt;Z6158,Z6159,"")</f>
        <v/>
      </c>
      <c r="AB6159">
        <f>AB6158+IF(X6159="",0,IF(ISNA(MATCH(X6159,X$256:X6158,0)),1,0))</f>
        <v/>
      </c>
      <c r="AC6159">
        <f>IF(AB6159&gt;AB6158,AB6159,"")</f>
        <v/>
      </c>
    </row>
    <row r="6160">
      <c r="W6160" s="7" t="n"/>
      <c r="X6160" s="7" t="n"/>
      <c r="Z6160">
        <f>Z6159+IF(W6160="",0,IF(ISNA(MATCH(W6160,W$256:W6159,0)),1,0))</f>
        <v/>
      </c>
      <c r="AA6160">
        <f>IF(Z6160&gt;Z6159,Z6160,"")</f>
        <v/>
      </c>
      <c r="AB6160">
        <f>AB6159+IF(X6160="",0,IF(ISNA(MATCH(X6160,X$256:X6159,0)),1,0))</f>
        <v/>
      </c>
      <c r="AC6160">
        <f>IF(AB6160&gt;AB6159,AB6160,"")</f>
        <v/>
      </c>
    </row>
    <row r="6161">
      <c r="W6161" s="7" t="n"/>
      <c r="X6161" s="7" t="n"/>
      <c r="Z6161">
        <f>Z6160+IF(W6161="",0,IF(ISNA(MATCH(W6161,W$256:W6160,0)),1,0))</f>
        <v/>
      </c>
      <c r="AA6161">
        <f>IF(Z6161&gt;Z6160,Z6161,"")</f>
        <v/>
      </c>
      <c r="AB6161">
        <f>AB6160+IF(X6161="",0,IF(ISNA(MATCH(X6161,X$256:X6160,0)),1,0))</f>
        <v/>
      </c>
      <c r="AC6161">
        <f>IF(AB6161&gt;AB6160,AB6161,"")</f>
        <v/>
      </c>
    </row>
    <row r="6162">
      <c r="W6162" s="7" t="n"/>
      <c r="X6162" s="7" t="n"/>
      <c r="Z6162">
        <f>Z6161+IF(W6162="",0,IF(ISNA(MATCH(W6162,W$256:W6161,0)),1,0))</f>
        <v/>
      </c>
      <c r="AA6162">
        <f>IF(Z6162&gt;Z6161,Z6162,"")</f>
        <v/>
      </c>
      <c r="AB6162">
        <f>AB6161+IF(X6162="",0,IF(ISNA(MATCH(X6162,X$256:X6161,0)),1,0))</f>
        <v/>
      </c>
      <c r="AC6162">
        <f>IF(AB6162&gt;AB6161,AB6162,"")</f>
        <v/>
      </c>
    </row>
    <row r="6163">
      <c r="W6163" s="7" t="n"/>
      <c r="X6163" s="7" t="n"/>
      <c r="Z6163">
        <f>Z6162+IF(W6163="",0,IF(ISNA(MATCH(W6163,W$256:W6162,0)),1,0))</f>
        <v/>
      </c>
      <c r="AA6163">
        <f>IF(Z6163&gt;Z6162,Z6163,"")</f>
        <v/>
      </c>
      <c r="AB6163">
        <f>AB6162+IF(X6163="",0,IF(ISNA(MATCH(X6163,X$256:X6162,0)),1,0))</f>
        <v/>
      </c>
      <c r="AC6163">
        <f>IF(AB6163&gt;AB6162,AB6163,"")</f>
        <v/>
      </c>
    </row>
    <row r="6164">
      <c r="W6164" s="7" t="n"/>
      <c r="X6164" s="7" t="n"/>
      <c r="Z6164">
        <f>Z6163+IF(W6164="",0,IF(ISNA(MATCH(W6164,W$256:W6163,0)),1,0))</f>
        <v/>
      </c>
      <c r="AA6164">
        <f>IF(Z6164&gt;Z6163,Z6164,"")</f>
        <v/>
      </c>
      <c r="AB6164">
        <f>AB6163+IF(X6164="",0,IF(ISNA(MATCH(X6164,X$256:X6163,0)),1,0))</f>
        <v/>
      </c>
      <c r="AC6164">
        <f>IF(AB6164&gt;AB6163,AB6164,"")</f>
        <v/>
      </c>
    </row>
    <row r="6165">
      <c r="W6165" s="7" t="n"/>
      <c r="X6165" s="7" t="n"/>
      <c r="Z6165">
        <f>Z6164+IF(W6165="",0,IF(ISNA(MATCH(W6165,W$256:W6164,0)),1,0))</f>
        <v/>
      </c>
      <c r="AA6165">
        <f>IF(Z6165&gt;Z6164,Z6165,"")</f>
        <v/>
      </c>
      <c r="AB6165">
        <f>AB6164+IF(X6165="",0,IF(ISNA(MATCH(X6165,X$256:X6164,0)),1,0))</f>
        <v/>
      </c>
      <c r="AC6165">
        <f>IF(AB6165&gt;AB6164,AB6165,"")</f>
        <v/>
      </c>
    </row>
    <row r="6166">
      <c r="W6166" s="7" t="n"/>
      <c r="X6166" s="7" t="n"/>
      <c r="Z6166">
        <f>Z6165+IF(W6166="",0,IF(ISNA(MATCH(W6166,W$256:W6165,0)),1,0))</f>
        <v/>
      </c>
      <c r="AA6166">
        <f>IF(Z6166&gt;Z6165,Z6166,"")</f>
        <v/>
      </c>
      <c r="AB6166">
        <f>AB6165+IF(X6166="",0,IF(ISNA(MATCH(X6166,X$256:X6165,0)),1,0))</f>
        <v/>
      </c>
      <c r="AC6166">
        <f>IF(AB6166&gt;AB6165,AB6166,"")</f>
        <v/>
      </c>
    </row>
    <row r="6167">
      <c r="W6167" s="7" t="n"/>
      <c r="X6167" s="7" t="n"/>
      <c r="Z6167">
        <f>Z6166+IF(W6167="",0,IF(ISNA(MATCH(W6167,W$256:W6166,0)),1,0))</f>
        <v/>
      </c>
      <c r="AA6167">
        <f>IF(Z6167&gt;Z6166,Z6167,"")</f>
        <v/>
      </c>
      <c r="AB6167">
        <f>AB6166+IF(X6167="",0,IF(ISNA(MATCH(X6167,X$256:X6166,0)),1,0))</f>
        <v/>
      </c>
      <c r="AC6167">
        <f>IF(AB6167&gt;AB6166,AB6167,"")</f>
        <v/>
      </c>
    </row>
    <row r="6168">
      <c r="W6168" s="7" t="n"/>
      <c r="X6168" s="7" t="n"/>
      <c r="Z6168">
        <f>Z6167+IF(W6168="",0,IF(ISNA(MATCH(W6168,W$256:W6167,0)),1,0))</f>
        <v/>
      </c>
      <c r="AA6168">
        <f>IF(Z6168&gt;Z6167,Z6168,"")</f>
        <v/>
      </c>
      <c r="AB6168">
        <f>AB6167+IF(X6168="",0,IF(ISNA(MATCH(X6168,X$256:X6167,0)),1,0))</f>
        <v/>
      </c>
      <c r="AC6168">
        <f>IF(AB6168&gt;AB6167,AB6168,"")</f>
        <v/>
      </c>
    </row>
    <row r="6169">
      <c r="W6169" s="7" t="n"/>
      <c r="X6169" s="7" t="n"/>
      <c r="Z6169">
        <f>Z6168+IF(W6169="",0,IF(ISNA(MATCH(W6169,W$256:W6168,0)),1,0))</f>
        <v/>
      </c>
      <c r="AA6169">
        <f>IF(Z6169&gt;Z6168,Z6169,"")</f>
        <v/>
      </c>
      <c r="AB6169">
        <f>AB6168+IF(X6169="",0,IF(ISNA(MATCH(X6169,X$256:X6168,0)),1,0))</f>
        <v/>
      </c>
      <c r="AC6169">
        <f>IF(AB6169&gt;AB6168,AB6169,"")</f>
        <v/>
      </c>
    </row>
    <row r="6170">
      <c r="W6170" s="7" t="n"/>
      <c r="X6170" s="7" t="n"/>
      <c r="Z6170">
        <f>Z6169+IF(W6170="",0,IF(ISNA(MATCH(W6170,W$256:W6169,0)),1,0))</f>
        <v/>
      </c>
      <c r="AA6170">
        <f>IF(Z6170&gt;Z6169,Z6170,"")</f>
        <v/>
      </c>
      <c r="AB6170">
        <f>AB6169+IF(X6170="",0,IF(ISNA(MATCH(X6170,X$256:X6169,0)),1,0))</f>
        <v/>
      </c>
      <c r="AC6170">
        <f>IF(AB6170&gt;AB6169,AB6170,"")</f>
        <v/>
      </c>
    </row>
    <row r="6171">
      <c r="W6171" s="7" t="n"/>
      <c r="X6171" s="7" t="n"/>
      <c r="Z6171">
        <f>Z6170+IF(W6171="",0,IF(ISNA(MATCH(W6171,W$256:W6170,0)),1,0))</f>
        <v/>
      </c>
      <c r="AA6171">
        <f>IF(Z6171&gt;Z6170,Z6171,"")</f>
        <v/>
      </c>
      <c r="AB6171">
        <f>AB6170+IF(X6171="",0,IF(ISNA(MATCH(X6171,X$256:X6170,0)),1,0))</f>
        <v/>
      </c>
      <c r="AC6171">
        <f>IF(AB6171&gt;AB6170,AB6171,"")</f>
        <v/>
      </c>
    </row>
    <row r="6172">
      <c r="W6172" s="7" t="n"/>
      <c r="X6172" s="7" t="n"/>
      <c r="Z6172">
        <f>Z6171+IF(W6172="",0,IF(ISNA(MATCH(W6172,W$256:W6171,0)),1,0))</f>
        <v/>
      </c>
      <c r="AA6172">
        <f>IF(Z6172&gt;Z6171,Z6172,"")</f>
        <v/>
      </c>
      <c r="AB6172">
        <f>AB6171+IF(X6172="",0,IF(ISNA(MATCH(X6172,X$256:X6171,0)),1,0))</f>
        <v/>
      </c>
      <c r="AC6172">
        <f>IF(AB6172&gt;AB6171,AB6172,"")</f>
        <v/>
      </c>
    </row>
    <row r="6173">
      <c r="W6173" s="7" t="n"/>
      <c r="X6173" s="7" t="n"/>
      <c r="Z6173">
        <f>Z6172+IF(W6173="",0,IF(ISNA(MATCH(W6173,W$256:W6172,0)),1,0))</f>
        <v/>
      </c>
      <c r="AA6173">
        <f>IF(Z6173&gt;Z6172,Z6173,"")</f>
        <v/>
      </c>
      <c r="AB6173">
        <f>AB6172+IF(X6173="",0,IF(ISNA(MATCH(X6173,X$256:X6172,0)),1,0))</f>
        <v/>
      </c>
      <c r="AC6173">
        <f>IF(AB6173&gt;AB6172,AB6173,"")</f>
        <v/>
      </c>
    </row>
    <row r="6174">
      <c r="W6174" s="7" t="n"/>
      <c r="X6174" s="7" t="n"/>
      <c r="Z6174">
        <f>Z6173+IF(W6174="",0,IF(ISNA(MATCH(W6174,W$256:W6173,0)),1,0))</f>
        <v/>
      </c>
      <c r="AA6174">
        <f>IF(Z6174&gt;Z6173,Z6174,"")</f>
        <v/>
      </c>
      <c r="AB6174">
        <f>AB6173+IF(X6174="",0,IF(ISNA(MATCH(X6174,X$256:X6173,0)),1,0))</f>
        <v/>
      </c>
      <c r="AC6174">
        <f>IF(AB6174&gt;AB6173,AB6174,"")</f>
        <v/>
      </c>
    </row>
    <row r="6175">
      <c r="W6175" s="7" t="n"/>
      <c r="X6175" s="7" t="n"/>
      <c r="Z6175">
        <f>Z6174+IF(W6175="",0,IF(ISNA(MATCH(W6175,W$256:W6174,0)),1,0))</f>
        <v/>
      </c>
      <c r="AA6175">
        <f>IF(Z6175&gt;Z6174,Z6175,"")</f>
        <v/>
      </c>
      <c r="AB6175">
        <f>AB6174+IF(X6175="",0,IF(ISNA(MATCH(X6175,X$256:X6174,0)),1,0))</f>
        <v/>
      </c>
      <c r="AC6175">
        <f>IF(AB6175&gt;AB6174,AB6175,"")</f>
        <v/>
      </c>
    </row>
    <row r="6176">
      <c r="W6176" s="7" t="n"/>
      <c r="X6176" s="7" t="n"/>
      <c r="Z6176">
        <f>Z6175+IF(W6176="",0,IF(ISNA(MATCH(W6176,W$256:W6175,0)),1,0))</f>
        <v/>
      </c>
      <c r="AA6176">
        <f>IF(Z6176&gt;Z6175,Z6176,"")</f>
        <v/>
      </c>
      <c r="AB6176">
        <f>AB6175+IF(X6176="",0,IF(ISNA(MATCH(X6176,X$256:X6175,0)),1,0))</f>
        <v/>
      </c>
      <c r="AC6176">
        <f>IF(AB6176&gt;AB6175,AB6176,"")</f>
        <v/>
      </c>
    </row>
    <row r="6177">
      <c r="W6177" s="7" t="n"/>
      <c r="X6177" s="7" t="n"/>
      <c r="Z6177">
        <f>Z6176+IF(W6177="",0,IF(ISNA(MATCH(W6177,W$256:W6176,0)),1,0))</f>
        <v/>
      </c>
      <c r="AA6177">
        <f>IF(Z6177&gt;Z6176,Z6177,"")</f>
        <v/>
      </c>
      <c r="AB6177">
        <f>AB6176+IF(X6177="",0,IF(ISNA(MATCH(X6177,X$256:X6176,0)),1,0))</f>
        <v/>
      </c>
      <c r="AC6177">
        <f>IF(AB6177&gt;AB6176,AB6177,"")</f>
        <v/>
      </c>
    </row>
    <row r="6178">
      <c r="W6178" s="7" t="n"/>
      <c r="X6178" s="7" t="n"/>
      <c r="Z6178">
        <f>Z6177+IF(W6178="",0,IF(ISNA(MATCH(W6178,W$256:W6177,0)),1,0))</f>
        <v/>
      </c>
      <c r="AA6178">
        <f>IF(Z6178&gt;Z6177,Z6178,"")</f>
        <v/>
      </c>
      <c r="AB6178">
        <f>AB6177+IF(X6178="",0,IF(ISNA(MATCH(X6178,X$256:X6177,0)),1,0))</f>
        <v/>
      </c>
      <c r="AC6178">
        <f>IF(AB6178&gt;AB6177,AB6178,"")</f>
        <v/>
      </c>
    </row>
    <row r="6179">
      <c r="W6179" s="7" t="n"/>
      <c r="X6179" s="7" t="n"/>
      <c r="Z6179">
        <f>Z6178+IF(W6179="",0,IF(ISNA(MATCH(W6179,W$256:W6178,0)),1,0))</f>
        <v/>
      </c>
      <c r="AA6179">
        <f>IF(Z6179&gt;Z6178,Z6179,"")</f>
        <v/>
      </c>
      <c r="AB6179">
        <f>AB6178+IF(X6179="",0,IF(ISNA(MATCH(X6179,X$256:X6178,0)),1,0))</f>
        <v/>
      </c>
      <c r="AC6179">
        <f>IF(AB6179&gt;AB6178,AB6179,"")</f>
        <v/>
      </c>
    </row>
    <row r="6180">
      <c r="W6180" s="7" t="n"/>
      <c r="X6180" s="7" t="n"/>
      <c r="Z6180">
        <f>Z6179+IF(W6180="",0,IF(ISNA(MATCH(W6180,W$256:W6179,0)),1,0))</f>
        <v/>
      </c>
      <c r="AA6180">
        <f>IF(Z6180&gt;Z6179,Z6180,"")</f>
        <v/>
      </c>
      <c r="AB6180">
        <f>AB6179+IF(X6180="",0,IF(ISNA(MATCH(X6180,X$256:X6179,0)),1,0))</f>
        <v/>
      </c>
      <c r="AC6180">
        <f>IF(AB6180&gt;AB6179,AB6180,"")</f>
        <v/>
      </c>
    </row>
    <row r="6181">
      <c r="W6181" s="7" t="n"/>
      <c r="X6181" s="7" t="n"/>
      <c r="Z6181">
        <f>Z6180+IF(W6181="",0,IF(ISNA(MATCH(W6181,W$256:W6180,0)),1,0))</f>
        <v/>
      </c>
      <c r="AA6181">
        <f>IF(Z6181&gt;Z6180,Z6181,"")</f>
        <v/>
      </c>
      <c r="AB6181">
        <f>AB6180+IF(X6181="",0,IF(ISNA(MATCH(X6181,X$256:X6180,0)),1,0))</f>
        <v/>
      </c>
      <c r="AC6181">
        <f>IF(AB6181&gt;AB6180,AB6181,"")</f>
        <v/>
      </c>
    </row>
    <row r="6182">
      <c r="W6182" s="7" t="n"/>
      <c r="X6182" s="7" t="n"/>
      <c r="Z6182">
        <f>Z6181+IF(W6182="",0,IF(ISNA(MATCH(W6182,W$256:W6181,0)),1,0))</f>
        <v/>
      </c>
      <c r="AA6182">
        <f>IF(Z6182&gt;Z6181,Z6182,"")</f>
        <v/>
      </c>
      <c r="AB6182">
        <f>AB6181+IF(X6182="",0,IF(ISNA(MATCH(X6182,X$256:X6181,0)),1,0))</f>
        <v/>
      </c>
      <c r="AC6182">
        <f>IF(AB6182&gt;AB6181,AB6182,"")</f>
        <v/>
      </c>
    </row>
    <row r="6183">
      <c r="W6183" s="7" t="n"/>
      <c r="X6183" s="7" t="n"/>
      <c r="Z6183">
        <f>Z6182+IF(W6183="",0,IF(ISNA(MATCH(W6183,W$256:W6182,0)),1,0))</f>
        <v/>
      </c>
      <c r="AA6183">
        <f>IF(Z6183&gt;Z6182,Z6183,"")</f>
        <v/>
      </c>
      <c r="AB6183">
        <f>AB6182+IF(X6183="",0,IF(ISNA(MATCH(X6183,X$256:X6182,0)),1,0))</f>
        <v/>
      </c>
      <c r="AC6183">
        <f>IF(AB6183&gt;AB6182,AB6183,"")</f>
        <v/>
      </c>
    </row>
    <row r="6184">
      <c r="W6184" s="7" t="n"/>
      <c r="X6184" s="7" t="n"/>
      <c r="Z6184">
        <f>Z6183+IF(W6184="",0,IF(ISNA(MATCH(W6184,W$256:W6183,0)),1,0))</f>
        <v/>
      </c>
      <c r="AA6184">
        <f>IF(Z6184&gt;Z6183,Z6184,"")</f>
        <v/>
      </c>
      <c r="AB6184">
        <f>AB6183+IF(X6184="",0,IF(ISNA(MATCH(X6184,X$256:X6183,0)),1,0))</f>
        <v/>
      </c>
      <c r="AC6184">
        <f>IF(AB6184&gt;AB6183,AB6184,"")</f>
        <v/>
      </c>
    </row>
    <row r="6185">
      <c r="W6185" s="7" t="n"/>
      <c r="X6185" s="7" t="n"/>
      <c r="Z6185">
        <f>Z6184+IF(W6185="",0,IF(ISNA(MATCH(W6185,W$256:W6184,0)),1,0))</f>
        <v/>
      </c>
      <c r="AA6185">
        <f>IF(Z6185&gt;Z6184,Z6185,"")</f>
        <v/>
      </c>
      <c r="AB6185">
        <f>AB6184+IF(X6185="",0,IF(ISNA(MATCH(X6185,X$256:X6184,0)),1,0))</f>
        <v/>
      </c>
      <c r="AC6185">
        <f>IF(AB6185&gt;AB6184,AB6185,"")</f>
        <v/>
      </c>
    </row>
    <row r="6186">
      <c r="W6186" s="7" t="n"/>
      <c r="X6186" s="7" t="n"/>
      <c r="Z6186">
        <f>Z6185+IF(W6186="",0,IF(ISNA(MATCH(W6186,W$256:W6185,0)),1,0))</f>
        <v/>
      </c>
      <c r="AA6186">
        <f>IF(Z6186&gt;Z6185,Z6186,"")</f>
        <v/>
      </c>
      <c r="AB6186">
        <f>AB6185+IF(X6186="",0,IF(ISNA(MATCH(X6186,X$256:X6185,0)),1,0))</f>
        <v/>
      </c>
      <c r="AC6186">
        <f>IF(AB6186&gt;AB6185,AB6186,"")</f>
        <v/>
      </c>
    </row>
    <row r="6187">
      <c r="W6187" s="7" t="n"/>
      <c r="X6187" s="7" t="n"/>
      <c r="Z6187">
        <f>Z6186+IF(W6187="",0,IF(ISNA(MATCH(W6187,W$256:W6186,0)),1,0))</f>
        <v/>
      </c>
      <c r="AA6187">
        <f>IF(Z6187&gt;Z6186,Z6187,"")</f>
        <v/>
      </c>
      <c r="AB6187">
        <f>AB6186+IF(X6187="",0,IF(ISNA(MATCH(X6187,X$256:X6186,0)),1,0))</f>
        <v/>
      </c>
      <c r="AC6187">
        <f>IF(AB6187&gt;AB6186,AB6187,"")</f>
        <v/>
      </c>
    </row>
    <row r="6188">
      <c r="W6188" s="7" t="n"/>
      <c r="X6188" s="7" t="n"/>
      <c r="Z6188">
        <f>Z6187+IF(W6188="",0,IF(ISNA(MATCH(W6188,W$256:W6187,0)),1,0))</f>
        <v/>
      </c>
      <c r="AA6188">
        <f>IF(Z6188&gt;Z6187,Z6188,"")</f>
        <v/>
      </c>
      <c r="AB6188">
        <f>AB6187+IF(X6188="",0,IF(ISNA(MATCH(X6188,X$256:X6187,0)),1,0))</f>
        <v/>
      </c>
      <c r="AC6188">
        <f>IF(AB6188&gt;AB6187,AB6188,"")</f>
        <v/>
      </c>
    </row>
    <row r="6189">
      <c r="W6189" s="7" t="n"/>
      <c r="X6189" s="7" t="n"/>
      <c r="Z6189">
        <f>Z6188+IF(W6189="",0,IF(ISNA(MATCH(W6189,W$256:W6188,0)),1,0))</f>
        <v/>
      </c>
      <c r="AA6189">
        <f>IF(Z6189&gt;Z6188,Z6189,"")</f>
        <v/>
      </c>
      <c r="AB6189">
        <f>AB6188+IF(X6189="",0,IF(ISNA(MATCH(X6189,X$256:X6188,0)),1,0))</f>
        <v/>
      </c>
      <c r="AC6189">
        <f>IF(AB6189&gt;AB6188,AB6189,"")</f>
        <v/>
      </c>
    </row>
    <row r="6190">
      <c r="W6190" s="7" t="n"/>
      <c r="X6190" s="7" t="n"/>
      <c r="Z6190">
        <f>Z6189+IF(W6190="",0,IF(ISNA(MATCH(W6190,W$256:W6189,0)),1,0))</f>
        <v/>
      </c>
      <c r="AA6190">
        <f>IF(Z6190&gt;Z6189,Z6190,"")</f>
        <v/>
      </c>
      <c r="AB6190">
        <f>AB6189+IF(X6190="",0,IF(ISNA(MATCH(X6190,X$256:X6189,0)),1,0))</f>
        <v/>
      </c>
      <c r="AC6190">
        <f>IF(AB6190&gt;AB6189,AB6190,"")</f>
        <v/>
      </c>
    </row>
    <row r="6191">
      <c r="W6191" s="7" t="n"/>
      <c r="X6191" s="7" t="n"/>
      <c r="Z6191">
        <f>Z6190+IF(W6191="",0,IF(ISNA(MATCH(W6191,W$256:W6190,0)),1,0))</f>
        <v/>
      </c>
      <c r="AA6191">
        <f>IF(Z6191&gt;Z6190,Z6191,"")</f>
        <v/>
      </c>
      <c r="AB6191">
        <f>AB6190+IF(X6191="",0,IF(ISNA(MATCH(X6191,X$256:X6190,0)),1,0))</f>
        <v/>
      </c>
      <c r="AC6191">
        <f>IF(AB6191&gt;AB6190,AB6191,"")</f>
        <v/>
      </c>
    </row>
    <row r="6192">
      <c r="W6192" s="7" t="n"/>
      <c r="X6192" s="7" t="n"/>
      <c r="Z6192">
        <f>Z6191+IF(W6192="",0,IF(ISNA(MATCH(W6192,W$256:W6191,0)),1,0))</f>
        <v/>
      </c>
      <c r="AA6192">
        <f>IF(Z6192&gt;Z6191,Z6192,"")</f>
        <v/>
      </c>
      <c r="AB6192">
        <f>AB6191+IF(X6192="",0,IF(ISNA(MATCH(X6192,X$256:X6191,0)),1,0))</f>
        <v/>
      </c>
      <c r="AC6192">
        <f>IF(AB6192&gt;AB6191,AB6192,"")</f>
        <v/>
      </c>
    </row>
    <row r="6193">
      <c r="W6193" s="7" t="n"/>
      <c r="X6193" s="7" t="n"/>
      <c r="Z6193">
        <f>Z6192+IF(W6193="",0,IF(ISNA(MATCH(W6193,W$256:W6192,0)),1,0))</f>
        <v/>
      </c>
      <c r="AA6193">
        <f>IF(Z6193&gt;Z6192,Z6193,"")</f>
        <v/>
      </c>
      <c r="AB6193">
        <f>AB6192+IF(X6193="",0,IF(ISNA(MATCH(X6193,X$256:X6192,0)),1,0))</f>
        <v/>
      </c>
      <c r="AC6193">
        <f>IF(AB6193&gt;AB6192,AB6193,"")</f>
        <v/>
      </c>
    </row>
    <row r="6194">
      <c r="W6194" s="7" t="n"/>
      <c r="X6194" s="7" t="n"/>
      <c r="Z6194">
        <f>Z6193+IF(W6194="",0,IF(ISNA(MATCH(W6194,W$256:W6193,0)),1,0))</f>
        <v/>
      </c>
      <c r="AA6194">
        <f>IF(Z6194&gt;Z6193,Z6194,"")</f>
        <v/>
      </c>
      <c r="AB6194">
        <f>AB6193+IF(X6194="",0,IF(ISNA(MATCH(X6194,X$256:X6193,0)),1,0))</f>
        <v/>
      </c>
      <c r="AC6194">
        <f>IF(AB6194&gt;AB6193,AB6194,"")</f>
        <v/>
      </c>
    </row>
    <row r="6195">
      <c r="W6195" s="7" t="n"/>
      <c r="X6195" s="7" t="n"/>
      <c r="Z6195">
        <f>Z6194+IF(W6195="",0,IF(ISNA(MATCH(W6195,W$256:W6194,0)),1,0))</f>
        <v/>
      </c>
      <c r="AA6195">
        <f>IF(Z6195&gt;Z6194,Z6195,"")</f>
        <v/>
      </c>
      <c r="AB6195">
        <f>AB6194+IF(X6195="",0,IF(ISNA(MATCH(X6195,X$256:X6194,0)),1,0))</f>
        <v/>
      </c>
      <c r="AC6195">
        <f>IF(AB6195&gt;AB6194,AB6195,"")</f>
        <v/>
      </c>
    </row>
    <row r="6196">
      <c r="W6196" s="7" t="n"/>
      <c r="X6196" s="7" t="n"/>
      <c r="Z6196">
        <f>Z6195+IF(W6196="",0,IF(ISNA(MATCH(W6196,W$256:W6195,0)),1,0))</f>
        <v/>
      </c>
      <c r="AA6196">
        <f>IF(Z6196&gt;Z6195,Z6196,"")</f>
        <v/>
      </c>
      <c r="AB6196">
        <f>AB6195+IF(X6196="",0,IF(ISNA(MATCH(X6196,X$256:X6195,0)),1,0))</f>
        <v/>
      </c>
      <c r="AC6196">
        <f>IF(AB6196&gt;AB6195,AB6196,"")</f>
        <v/>
      </c>
    </row>
    <row r="6197">
      <c r="W6197" s="7" t="n"/>
      <c r="X6197" s="7" t="n"/>
      <c r="Z6197">
        <f>Z6196+IF(W6197="",0,IF(ISNA(MATCH(W6197,W$256:W6196,0)),1,0))</f>
        <v/>
      </c>
      <c r="AA6197">
        <f>IF(Z6197&gt;Z6196,Z6197,"")</f>
        <v/>
      </c>
      <c r="AB6197">
        <f>AB6196+IF(X6197="",0,IF(ISNA(MATCH(X6197,X$256:X6196,0)),1,0))</f>
        <v/>
      </c>
      <c r="AC6197">
        <f>IF(AB6197&gt;AB6196,AB6197,"")</f>
        <v/>
      </c>
    </row>
    <row r="6198">
      <c r="W6198" s="7" t="n"/>
      <c r="X6198" s="7" t="n"/>
      <c r="Z6198">
        <f>Z6197+IF(W6198="",0,IF(ISNA(MATCH(W6198,W$256:W6197,0)),1,0))</f>
        <v/>
      </c>
      <c r="AA6198">
        <f>IF(Z6198&gt;Z6197,Z6198,"")</f>
        <v/>
      </c>
      <c r="AB6198">
        <f>AB6197+IF(X6198="",0,IF(ISNA(MATCH(X6198,X$256:X6197,0)),1,0))</f>
        <v/>
      </c>
      <c r="AC6198">
        <f>IF(AB6198&gt;AB6197,AB6198,"")</f>
        <v/>
      </c>
    </row>
    <row r="6199">
      <c r="W6199" s="7" t="n"/>
      <c r="X6199" s="7" t="n"/>
      <c r="Z6199">
        <f>Z6198+IF(W6199="",0,IF(ISNA(MATCH(W6199,W$256:W6198,0)),1,0))</f>
        <v/>
      </c>
      <c r="AA6199">
        <f>IF(Z6199&gt;Z6198,Z6199,"")</f>
        <v/>
      </c>
      <c r="AB6199">
        <f>AB6198+IF(X6199="",0,IF(ISNA(MATCH(X6199,X$256:X6198,0)),1,0))</f>
        <v/>
      </c>
      <c r="AC6199">
        <f>IF(AB6199&gt;AB6198,AB6199,"")</f>
        <v/>
      </c>
    </row>
    <row r="6200">
      <c r="W6200" s="7" t="n"/>
      <c r="X6200" s="7" t="n"/>
      <c r="Z6200">
        <f>Z6199+IF(W6200="",0,IF(ISNA(MATCH(W6200,W$256:W6199,0)),1,0))</f>
        <v/>
      </c>
      <c r="AA6200">
        <f>IF(Z6200&gt;Z6199,Z6200,"")</f>
        <v/>
      </c>
      <c r="AB6200">
        <f>AB6199+IF(X6200="",0,IF(ISNA(MATCH(X6200,X$256:X6199,0)),1,0))</f>
        <v/>
      </c>
      <c r="AC6200">
        <f>IF(AB6200&gt;AB6199,AB6200,"")</f>
        <v/>
      </c>
    </row>
    <row r="6201">
      <c r="W6201" s="7" t="n"/>
      <c r="X6201" s="7" t="n"/>
      <c r="Z6201">
        <f>Z6200+IF(W6201="",0,IF(ISNA(MATCH(W6201,W$256:W6200,0)),1,0))</f>
        <v/>
      </c>
      <c r="AA6201">
        <f>IF(Z6201&gt;Z6200,Z6201,"")</f>
        <v/>
      </c>
      <c r="AB6201">
        <f>AB6200+IF(X6201="",0,IF(ISNA(MATCH(X6201,X$256:X6200,0)),1,0))</f>
        <v/>
      </c>
      <c r="AC6201">
        <f>IF(AB6201&gt;AB6200,AB6201,"")</f>
        <v/>
      </c>
    </row>
    <row r="6202">
      <c r="W6202" s="7" t="n"/>
      <c r="X6202" s="7" t="n"/>
      <c r="Z6202">
        <f>Z6201+IF(W6202="",0,IF(ISNA(MATCH(W6202,W$256:W6201,0)),1,0))</f>
        <v/>
      </c>
      <c r="AA6202">
        <f>IF(Z6202&gt;Z6201,Z6202,"")</f>
        <v/>
      </c>
      <c r="AB6202">
        <f>AB6201+IF(X6202="",0,IF(ISNA(MATCH(X6202,X$256:X6201,0)),1,0))</f>
        <v/>
      </c>
      <c r="AC6202">
        <f>IF(AB6202&gt;AB6201,AB6202,"")</f>
        <v/>
      </c>
    </row>
    <row r="6203">
      <c r="W6203" s="7" t="n"/>
      <c r="X6203" s="7" t="n"/>
      <c r="Z6203">
        <f>Z6202+IF(W6203="",0,IF(ISNA(MATCH(W6203,W$256:W6202,0)),1,0))</f>
        <v/>
      </c>
      <c r="AA6203">
        <f>IF(Z6203&gt;Z6202,Z6203,"")</f>
        <v/>
      </c>
      <c r="AB6203">
        <f>AB6202+IF(X6203="",0,IF(ISNA(MATCH(X6203,X$256:X6202,0)),1,0))</f>
        <v/>
      </c>
      <c r="AC6203">
        <f>IF(AB6203&gt;AB6202,AB6203,"")</f>
        <v/>
      </c>
    </row>
    <row r="6204">
      <c r="W6204" s="7" t="n"/>
      <c r="X6204" s="7" t="n"/>
      <c r="Z6204">
        <f>Z6203+IF(W6204="",0,IF(ISNA(MATCH(W6204,W$256:W6203,0)),1,0))</f>
        <v/>
      </c>
      <c r="AA6204">
        <f>IF(Z6204&gt;Z6203,Z6204,"")</f>
        <v/>
      </c>
      <c r="AB6204">
        <f>AB6203+IF(X6204="",0,IF(ISNA(MATCH(X6204,X$256:X6203,0)),1,0))</f>
        <v/>
      </c>
      <c r="AC6204">
        <f>IF(AB6204&gt;AB6203,AB6204,"")</f>
        <v/>
      </c>
    </row>
    <row r="6205">
      <c r="W6205" s="7" t="n"/>
      <c r="X6205" s="7" t="n"/>
      <c r="Z6205">
        <f>Z6204+IF(W6205="",0,IF(ISNA(MATCH(W6205,W$256:W6204,0)),1,0))</f>
        <v/>
      </c>
      <c r="AA6205">
        <f>IF(Z6205&gt;Z6204,Z6205,"")</f>
        <v/>
      </c>
      <c r="AB6205">
        <f>AB6204+IF(X6205="",0,IF(ISNA(MATCH(X6205,X$256:X6204,0)),1,0))</f>
        <v/>
      </c>
      <c r="AC6205">
        <f>IF(AB6205&gt;AB6204,AB6205,"")</f>
        <v/>
      </c>
    </row>
    <row r="6206">
      <c r="W6206" s="7" t="n"/>
      <c r="X6206" s="7" t="n"/>
      <c r="Z6206">
        <f>Z6205+IF(W6206="",0,IF(ISNA(MATCH(W6206,W$256:W6205,0)),1,0))</f>
        <v/>
      </c>
      <c r="AA6206">
        <f>IF(Z6206&gt;Z6205,Z6206,"")</f>
        <v/>
      </c>
      <c r="AB6206">
        <f>AB6205+IF(X6206="",0,IF(ISNA(MATCH(X6206,X$256:X6205,0)),1,0))</f>
        <v/>
      </c>
      <c r="AC6206">
        <f>IF(AB6206&gt;AB6205,AB6206,"")</f>
        <v/>
      </c>
    </row>
    <row r="6207">
      <c r="W6207" s="7" t="n"/>
      <c r="X6207" s="7" t="n"/>
      <c r="Z6207">
        <f>Z6206+IF(W6207="",0,IF(ISNA(MATCH(W6207,W$256:W6206,0)),1,0))</f>
        <v/>
      </c>
      <c r="AA6207">
        <f>IF(Z6207&gt;Z6206,Z6207,"")</f>
        <v/>
      </c>
      <c r="AB6207">
        <f>AB6206+IF(X6207="",0,IF(ISNA(MATCH(X6207,X$256:X6206,0)),1,0))</f>
        <v/>
      </c>
      <c r="AC6207">
        <f>IF(AB6207&gt;AB6206,AB6207,"")</f>
        <v/>
      </c>
    </row>
    <row r="6208">
      <c r="W6208" s="7" t="n"/>
      <c r="X6208" s="7" t="n"/>
      <c r="Z6208">
        <f>Z6207+IF(W6208="",0,IF(ISNA(MATCH(W6208,W$256:W6207,0)),1,0))</f>
        <v/>
      </c>
      <c r="AA6208">
        <f>IF(Z6208&gt;Z6207,Z6208,"")</f>
        <v/>
      </c>
      <c r="AB6208">
        <f>AB6207+IF(X6208="",0,IF(ISNA(MATCH(X6208,X$256:X6207,0)),1,0))</f>
        <v/>
      </c>
      <c r="AC6208">
        <f>IF(AB6208&gt;AB6207,AB6208,"")</f>
        <v/>
      </c>
    </row>
    <row r="6209">
      <c r="W6209" s="7" t="n"/>
      <c r="X6209" s="7" t="n"/>
      <c r="Z6209">
        <f>Z6208+IF(W6209="",0,IF(ISNA(MATCH(W6209,W$256:W6208,0)),1,0))</f>
        <v/>
      </c>
      <c r="AA6209">
        <f>IF(Z6209&gt;Z6208,Z6209,"")</f>
        <v/>
      </c>
      <c r="AB6209">
        <f>AB6208+IF(X6209="",0,IF(ISNA(MATCH(X6209,X$256:X6208,0)),1,0))</f>
        <v/>
      </c>
      <c r="AC6209">
        <f>IF(AB6209&gt;AB6208,AB6209,"")</f>
        <v/>
      </c>
    </row>
    <row r="6210">
      <c r="W6210" s="7" t="n"/>
      <c r="X6210" s="7" t="n"/>
      <c r="Z6210">
        <f>Z6209+IF(W6210="",0,IF(ISNA(MATCH(W6210,W$256:W6209,0)),1,0))</f>
        <v/>
      </c>
      <c r="AA6210">
        <f>IF(Z6210&gt;Z6209,Z6210,"")</f>
        <v/>
      </c>
      <c r="AB6210">
        <f>AB6209+IF(X6210="",0,IF(ISNA(MATCH(X6210,X$256:X6209,0)),1,0))</f>
        <v/>
      </c>
      <c r="AC6210">
        <f>IF(AB6210&gt;AB6209,AB6210,"")</f>
        <v/>
      </c>
    </row>
    <row r="6211">
      <c r="W6211" s="7" t="n"/>
      <c r="X6211" s="7" t="n"/>
      <c r="Z6211">
        <f>Z6210+IF(W6211="",0,IF(ISNA(MATCH(W6211,W$256:W6210,0)),1,0))</f>
        <v/>
      </c>
      <c r="AA6211">
        <f>IF(Z6211&gt;Z6210,Z6211,"")</f>
        <v/>
      </c>
      <c r="AB6211">
        <f>AB6210+IF(X6211="",0,IF(ISNA(MATCH(X6211,X$256:X6210,0)),1,0))</f>
        <v/>
      </c>
      <c r="AC6211">
        <f>IF(AB6211&gt;AB6210,AB6211,"")</f>
        <v/>
      </c>
    </row>
    <row r="6212">
      <c r="W6212" s="7" t="n"/>
      <c r="X6212" s="7" t="n"/>
      <c r="Z6212">
        <f>Z6211+IF(W6212="",0,IF(ISNA(MATCH(W6212,W$256:W6211,0)),1,0))</f>
        <v/>
      </c>
      <c r="AA6212">
        <f>IF(Z6212&gt;Z6211,Z6212,"")</f>
        <v/>
      </c>
      <c r="AB6212">
        <f>AB6211+IF(X6212="",0,IF(ISNA(MATCH(X6212,X$256:X6211,0)),1,0))</f>
        <v/>
      </c>
      <c r="AC6212">
        <f>IF(AB6212&gt;AB6211,AB6212,"")</f>
        <v/>
      </c>
    </row>
    <row r="6213">
      <c r="W6213" s="7" t="n"/>
      <c r="X6213" s="7" t="n"/>
      <c r="Z6213">
        <f>Z6212+IF(W6213="",0,IF(ISNA(MATCH(W6213,W$256:W6212,0)),1,0))</f>
        <v/>
      </c>
      <c r="AA6213">
        <f>IF(Z6213&gt;Z6212,Z6213,"")</f>
        <v/>
      </c>
      <c r="AB6213">
        <f>AB6212+IF(X6213="",0,IF(ISNA(MATCH(X6213,X$256:X6212,0)),1,0))</f>
        <v/>
      </c>
      <c r="AC6213">
        <f>IF(AB6213&gt;AB6212,AB6213,"")</f>
        <v/>
      </c>
    </row>
    <row r="6214">
      <c r="W6214" s="7" t="n"/>
      <c r="X6214" s="7" t="n"/>
      <c r="Z6214">
        <f>Z6213+IF(W6214="",0,IF(ISNA(MATCH(W6214,W$256:W6213,0)),1,0))</f>
        <v/>
      </c>
      <c r="AA6214">
        <f>IF(Z6214&gt;Z6213,Z6214,"")</f>
        <v/>
      </c>
      <c r="AB6214">
        <f>AB6213+IF(X6214="",0,IF(ISNA(MATCH(X6214,X$256:X6213,0)),1,0))</f>
        <v/>
      </c>
      <c r="AC6214">
        <f>IF(AB6214&gt;AB6213,AB6214,"")</f>
        <v/>
      </c>
    </row>
    <row r="6215">
      <c r="W6215" s="7" t="n"/>
      <c r="X6215" s="7" t="n"/>
      <c r="Z6215">
        <f>Z6214+IF(W6215="",0,IF(ISNA(MATCH(W6215,W$256:W6214,0)),1,0))</f>
        <v/>
      </c>
      <c r="AA6215">
        <f>IF(Z6215&gt;Z6214,Z6215,"")</f>
        <v/>
      </c>
      <c r="AB6215">
        <f>AB6214+IF(X6215="",0,IF(ISNA(MATCH(X6215,X$256:X6214,0)),1,0))</f>
        <v/>
      </c>
      <c r="AC6215">
        <f>IF(AB6215&gt;AB6214,AB6215,"")</f>
        <v/>
      </c>
    </row>
    <row r="6216">
      <c r="W6216" s="7" t="n"/>
      <c r="X6216" s="7" t="n"/>
      <c r="Z6216">
        <f>Z6215+IF(W6216="",0,IF(ISNA(MATCH(W6216,W$256:W6215,0)),1,0))</f>
        <v/>
      </c>
      <c r="AA6216">
        <f>IF(Z6216&gt;Z6215,Z6216,"")</f>
        <v/>
      </c>
      <c r="AB6216">
        <f>AB6215+IF(X6216="",0,IF(ISNA(MATCH(X6216,X$256:X6215,0)),1,0))</f>
        <v/>
      </c>
      <c r="AC6216">
        <f>IF(AB6216&gt;AB6215,AB6216,"")</f>
        <v/>
      </c>
    </row>
    <row r="6217">
      <c r="W6217" s="7" t="n"/>
      <c r="X6217" s="7" t="n"/>
      <c r="Z6217">
        <f>Z6216+IF(W6217="",0,IF(ISNA(MATCH(W6217,W$256:W6216,0)),1,0))</f>
        <v/>
      </c>
      <c r="AA6217">
        <f>IF(Z6217&gt;Z6216,Z6217,"")</f>
        <v/>
      </c>
      <c r="AB6217">
        <f>AB6216+IF(X6217="",0,IF(ISNA(MATCH(X6217,X$256:X6216,0)),1,0))</f>
        <v/>
      </c>
      <c r="AC6217">
        <f>IF(AB6217&gt;AB6216,AB6217,"")</f>
        <v/>
      </c>
    </row>
    <row r="6218">
      <c r="W6218" s="7" t="n"/>
      <c r="X6218" s="7" t="n"/>
      <c r="Z6218">
        <f>Z6217+IF(W6218="",0,IF(ISNA(MATCH(W6218,W$256:W6217,0)),1,0))</f>
        <v/>
      </c>
      <c r="AA6218">
        <f>IF(Z6218&gt;Z6217,Z6218,"")</f>
        <v/>
      </c>
      <c r="AB6218">
        <f>AB6217+IF(X6218="",0,IF(ISNA(MATCH(X6218,X$256:X6217,0)),1,0))</f>
        <v/>
      </c>
      <c r="AC6218">
        <f>IF(AB6218&gt;AB6217,AB6218,"")</f>
        <v/>
      </c>
    </row>
    <row r="6219">
      <c r="W6219" s="7" t="n"/>
      <c r="X6219" s="7" t="n"/>
      <c r="Z6219">
        <f>Z6218+IF(W6219="",0,IF(ISNA(MATCH(W6219,W$256:W6218,0)),1,0))</f>
        <v/>
      </c>
      <c r="AA6219">
        <f>IF(Z6219&gt;Z6218,Z6219,"")</f>
        <v/>
      </c>
      <c r="AB6219">
        <f>AB6218+IF(X6219="",0,IF(ISNA(MATCH(X6219,X$256:X6218,0)),1,0))</f>
        <v/>
      </c>
      <c r="AC6219">
        <f>IF(AB6219&gt;AB6218,AB6219,"")</f>
        <v/>
      </c>
    </row>
    <row r="6220">
      <c r="W6220" s="7" t="n"/>
      <c r="X6220" s="7" t="n"/>
      <c r="Z6220">
        <f>Z6219+IF(W6220="",0,IF(ISNA(MATCH(W6220,W$256:W6219,0)),1,0))</f>
        <v/>
      </c>
      <c r="AA6220">
        <f>IF(Z6220&gt;Z6219,Z6220,"")</f>
        <v/>
      </c>
      <c r="AB6220">
        <f>AB6219+IF(X6220="",0,IF(ISNA(MATCH(X6220,X$256:X6219,0)),1,0))</f>
        <v/>
      </c>
      <c r="AC6220">
        <f>IF(AB6220&gt;AB6219,AB6220,"")</f>
        <v/>
      </c>
    </row>
    <row r="6221">
      <c r="W6221" s="7" t="n"/>
      <c r="X6221" s="7" t="n"/>
      <c r="Z6221">
        <f>Z6220+IF(W6221="",0,IF(ISNA(MATCH(W6221,W$256:W6220,0)),1,0))</f>
        <v/>
      </c>
      <c r="AA6221">
        <f>IF(Z6221&gt;Z6220,Z6221,"")</f>
        <v/>
      </c>
      <c r="AB6221">
        <f>AB6220+IF(X6221="",0,IF(ISNA(MATCH(X6221,X$256:X6220,0)),1,0))</f>
        <v/>
      </c>
      <c r="AC6221">
        <f>IF(AB6221&gt;AB6220,AB6221,"")</f>
        <v/>
      </c>
    </row>
    <row r="6222">
      <c r="W6222" s="7" t="n"/>
      <c r="X6222" s="7" t="n"/>
      <c r="Z6222">
        <f>Z6221+IF(W6222="",0,IF(ISNA(MATCH(W6222,W$256:W6221,0)),1,0))</f>
        <v/>
      </c>
      <c r="AA6222">
        <f>IF(Z6222&gt;Z6221,Z6222,"")</f>
        <v/>
      </c>
      <c r="AB6222">
        <f>AB6221+IF(X6222="",0,IF(ISNA(MATCH(X6222,X$256:X6221,0)),1,0))</f>
        <v/>
      </c>
      <c r="AC6222">
        <f>IF(AB6222&gt;AB6221,AB6222,"")</f>
        <v/>
      </c>
    </row>
    <row r="6223">
      <c r="W6223" s="7" t="n"/>
      <c r="X6223" s="7" t="n"/>
      <c r="Z6223">
        <f>Z6222+IF(W6223="",0,IF(ISNA(MATCH(W6223,W$256:W6222,0)),1,0))</f>
        <v/>
      </c>
      <c r="AA6223">
        <f>IF(Z6223&gt;Z6222,Z6223,"")</f>
        <v/>
      </c>
      <c r="AB6223">
        <f>AB6222+IF(X6223="",0,IF(ISNA(MATCH(X6223,X$256:X6222,0)),1,0))</f>
        <v/>
      </c>
      <c r="AC6223">
        <f>IF(AB6223&gt;AB6222,AB6223,"")</f>
        <v/>
      </c>
    </row>
    <row r="6224">
      <c r="W6224" s="7" t="n"/>
      <c r="X6224" s="7" t="n"/>
      <c r="Z6224">
        <f>Z6223+IF(W6224="",0,IF(ISNA(MATCH(W6224,W$256:W6223,0)),1,0))</f>
        <v/>
      </c>
      <c r="AA6224">
        <f>IF(Z6224&gt;Z6223,Z6224,"")</f>
        <v/>
      </c>
      <c r="AB6224">
        <f>AB6223+IF(X6224="",0,IF(ISNA(MATCH(X6224,X$256:X6223,0)),1,0))</f>
        <v/>
      </c>
      <c r="AC6224">
        <f>IF(AB6224&gt;AB6223,AB6224,"")</f>
        <v/>
      </c>
    </row>
    <row r="6225">
      <c r="W6225" s="7" t="n"/>
      <c r="X6225" s="7" t="n"/>
      <c r="Z6225">
        <f>Z6224+IF(W6225="",0,IF(ISNA(MATCH(W6225,W$256:W6224,0)),1,0))</f>
        <v/>
      </c>
      <c r="AA6225">
        <f>IF(Z6225&gt;Z6224,Z6225,"")</f>
        <v/>
      </c>
      <c r="AB6225">
        <f>AB6224+IF(X6225="",0,IF(ISNA(MATCH(X6225,X$256:X6224,0)),1,0))</f>
        <v/>
      </c>
      <c r="AC6225">
        <f>IF(AB6225&gt;AB6224,AB6225,"")</f>
        <v/>
      </c>
    </row>
    <row r="6226">
      <c r="W6226" s="7" t="n"/>
      <c r="X6226" s="7" t="n"/>
      <c r="Z6226">
        <f>Z6225+IF(W6226="",0,IF(ISNA(MATCH(W6226,W$256:W6225,0)),1,0))</f>
        <v/>
      </c>
      <c r="AA6226">
        <f>IF(Z6226&gt;Z6225,Z6226,"")</f>
        <v/>
      </c>
      <c r="AB6226">
        <f>AB6225+IF(X6226="",0,IF(ISNA(MATCH(X6226,X$256:X6225,0)),1,0))</f>
        <v/>
      </c>
      <c r="AC6226">
        <f>IF(AB6226&gt;AB6225,AB6226,"")</f>
        <v/>
      </c>
    </row>
    <row r="6227">
      <c r="W6227" s="7" t="n"/>
      <c r="X6227" s="7" t="n"/>
      <c r="Z6227">
        <f>Z6226+IF(W6227="",0,IF(ISNA(MATCH(W6227,W$256:W6226,0)),1,0))</f>
        <v/>
      </c>
      <c r="AA6227">
        <f>IF(Z6227&gt;Z6226,Z6227,"")</f>
        <v/>
      </c>
      <c r="AB6227">
        <f>AB6226+IF(X6227="",0,IF(ISNA(MATCH(X6227,X$256:X6226,0)),1,0))</f>
        <v/>
      </c>
      <c r="AC6227">
        <f>IF(AB6227&gt;AB6226,AB6227,"")</f>
        <v/>
      </c>
    </row>
    <row r="6228">
      <c r="W6228" s="7" t="n"/>
      <c r="X6228" s="7" t="n"/>
      <c r="Z6228">
        <f>Z6227+IF(W6228="",0,IF(ISNA(MATCH(W6228,W$256:W6227,0)),1,0))</f>
        <v/>
      </c>
      <c r="AA6228">
        <f>IF(Z6228&gt;Z6227,Z6228,"")</f>
        <v/>
      </c>
      <c r="AB6228">
        <f>AB6227+IF(X6228="",0,IF(ISNA(MATCH(X6228,X$256:X6227,0)),1,0))</f>
        <v/>
      </c>
      <c r="AC6228">
        <f>IF(AB6228&gt;AB6227,AB6228,"")</f>
        <v/>
      </c>
    </row>
    <row r="6229">
      <c r="W6229" s="7" t="n"/>
      <c r="X6229" s="7" t="n"/>
      <c r="Z6229">
        <f>Z6228+IF(W6229="",0,IF(ISNA(MATCH(W6229,W$256:W6228,0)),1,0))</f>
        <v/>
      </c>
      <c r="AA6229">
        <f>IF(Z6229&gt;Z6228,Z6229,"")</f>
        <v/>
      </c>
      <c r="AB6229">
        <f>AB6228+IF(X6229="",0,IF(ISNA(MATCH(X6229,X$256:X6228,0)),1,0))</f>
        <v/>
      </c>
      <c r="AC6229">
        <f>IF(AB6229&gt;AB6228,AB6229,"")</f>
        <v/>
      </c>
    </row>
    <row r="6230">
      <c r="W6230" s="7" t="n"/>
      <c r="X6230" s="7" t="n"/>
      <c r="Z6230">
        <f>Z6229+IF(W6230="",0,IF(ISNA(MATCH(W6230,W$256:W6229,0)),1,0))</f>
        <v/>
      </c>
      <c r="AA6230">
        <f>IF(Z6230&gt;Z6229,Z6230,"")</f>
        <v/>
      </c>
      <c r="AB6230">
        <f>AB6229+IF(X6230="",0,IF(ISNA(MATCH(X6230,X$256:X6229,0)),1,0))</f>
        <v/>
      </c>
      <c r="AC6230">
        <f>IF(AB6230&gt;AB6229,AB6230,"")</f>
        <v/>
      </c>
    </row>
    <row r="6231">
      <c r="W6231" s="7" t="n"/>
      <c r="X6231" s="7" t="n"/>
      <c r="Z6231">
        <f>Z6230+IF(W6231="",0,IF(ISNA(MATCH(W6231,W$256:W6230,0)),1,0))</f>
        <v/>
      </c>
      <c r="AA6231">
        <f>IF(Z6231&gt;Z6230,Z6231,"")</f>
        <v/>
      </c>
      <c r="AB6231">
        <f>AB6230+IF(X6231="",0,IF(ISNA(MATCH(X6231,X$256:X6230,0)),1,0))</f>
        <v/>
      </c>
      <c r="AC6231">
        <f>IF(AB6231&gt;AB6230,AB6231,"")</f>
        <v/>
      </c>
    </row>
    <row r="6232">
      <c r="W6232" s="7" t="n"/>
      <c r="X6232" s="7" t="n"/>
      <c r="Z6232">
        <f>Z6231+IF(W6232="",0,IF(ISNA(MATCH(W6232,W$256:W6231,0)),1,0))</f>
        <v/>
      </c>
      <c r="AA6232">
        <f>IF(Z6232&gt;Z6231,Z6232,"")</f>
        <v/>
      </c>
      <c r="AB6232">
        <f>AB6231+IF(X6232="",0,IF(ISNA(MATCH(X6232,X$256:X6231,0)),1,0))</f>
        <v/>
      </c>
      <c r="AC6232">
        <f>IF(AB6232&gt;AB6231,AB6232,"")</f>
        <v/>
      </c>
    </row>
    <row r="6233">
      <c r="W6233" s="7" t="n"/>
      <c r="X6233" s="7" t="n"/>
      <c r="Z6233">
        <f>Z6232+IF(W6233="",0,IF(ISNA(MATCH(W6233,W$256:W6232,0)),1,0))</f>
        <v/>
      </c>
      <c r="AA6233">
        <f>IF(Z6233&gt;Z6232,Z6233,"")</f>
        <v/>
      </c>
      <c r="AB6233">
        <f>AB6232+IF(X6233="",0,IF(ISNA(MATCH(X6233,X$256:X6232,0)),1,0))</f>
        <v/>
      </c>
      <c r="AC6233">
        <f>IF(AB6233&gt;AB6232,AB6233,"")</f>
        <v/>
      </c>
    </row>
    <row r="6234">
      <c r="W6234" s="7" t="n"/>
      <c r="X6234" s="7" t="n"/>
      <c r="Z6234">
        <f>Z6233+IF(W6234="",0,IF(ISNA(MATCH(W6234,W$256:W6233,0)),1,0))</f>
        <v/>
      </c>
      <c r="AA6234">
        <f>IF(Z6234&gt;Z6233,Z6234,"")</f>
        <v/>
      </c>
      <c r="AB6234">
        <f>AB6233+IF(X6234="",0,IF(ISNA(MATCH(X6234,X$256:X6233,0)),1,0))</f>
        <v/>
      </c>
      <c r="AC6234">
        <f>IF(AB6234&gt;AB6233,AB6234,"")</f>
        <v/>
      </c>
    </row>
    <row r="6235">
      <c r="W6235" s="7" t="n"/>
      <c r="X6235" s="7" t="n"/>
      <c r="Z6235">
        <f>Z6234+IF(W6235="",0,IF(ISNA(MATCH(W6235,W$256:W6234,0)),1,0))</f>
        <v/>
      </c>
      <c r="AA6235">
        <f>IF(Z6235&gt;Z6234,Z6235,"")</f>
        <v/>
      </c>
      <c r="AB6235">
        <f>AB6234+IF(X6235="",0,IF(ISNA(MATCH(X6235,X$256:X6234,0)),1,0))</f>
        <v/>
      </c>
      <c r="AC6235">
        <f>IF(AB6235&gt;AB6234,AB6235,"")</f>
        <v/>
      </c>
    </row>
    <row r="6236">
      <c r="W6236" s="7" t="n"/>
      <c r="X6236" s="7" t="n"/>
      <c r="Z6236">
        <f>Z6235+IF(W6236="",0,IF(ISNA(MATCH(W6236,W$256:W6235,0)),1,0))</f>
        <v/>
      </c>
      <c r="AA6236">
        <f>IF(Z6236&gt;Z6235,Z6236,"")</f>
        <v/>
      </c>
      <c r="AB6236">
        <f>AB6235+IF(X6236="",0,IF(ISNA(MATCH(X6236,X$256:X6235,0)),1,0))</f>
        <v/>
      </c>
      <c r="AC6236">
        <f>IF(AB6236&gt;AB6235,AB6236,"")</f>
        <v/>
      </c>
    </row>
    <row r="6237">
      <c r="W6237" s="7" t="n"/>
      <c r="X6237" s="7" t="n"/>
      <c r="Z6237">
        <f>Z6236+IF(W6237="",0,IF(ISNA(MATCH(W6237,W$256:W6236,0)),1,0))</f>
        <v/>
      </c>
      <c r="AA6237">
        <f>IF(Z6237&gt;Z6236,Z6237,"")</f>
        <v/>
      </c>
      <c r="AB6237">
        <f>AB6236+IF(X6237="",0,IF(ISNA(MATCH(X6237,X$256:X6236,0)),1,0))</f>
        <v/>
      </c>
      <c r="AC6237">
        <f>IF(AB6237&gt;AB6236,AB6237,"")</f>
        <v/>
      </c>
    </row>
    <row r="6238">
      <c r="W6238" s="7" t="n"/>
      <c r="X6238" s="7" t="n"/>
      <c r="Z6238">
        <f>Z6237+IF(W6238="",0,IF(ISNA(MATCH(W6238,W$256:W6237,0)),1,0))</f>
        <v/>
      </c>
      <c r="AA6238">
        <f>IF(Z6238&gt;Z6237,Z6238,"")</f>
        <v/>
      </c>
      <c r="AB6238">
        <f>AB6237+IF(X6238="",0,IF(ISNA(MATCH(X6238,X$256:X6237,0)),1,0))</f>
        <v/>
      </c>
      <c r="AC6238">
        <f>IF(AB6238&gt;AB6237,AB6238,"")</f>
        <v/>
      </c>
    </row>
    <row r="6239">
      <c r="W6239" s="7" t="n"/>
      <c r="X6239" s="7" t="n"/>
      <c r="Z6239">
        <f>Z6238+IF(W6239="",0,IF(ISNA(MATCH(W6239,W$256:W6238,0)),1,0))</f>
        <v/>
      </c>
      <c r="AA6239">
        <f>IF(Z6239&gt;Z6238,Z6239,"")</f>
        <v/>
      </c>
      <c r="AB6239">
        <f>AB6238+IF(X6239="",0,IF(ISNA(MATCH(X6239,X$256:X6238,0)),1,0))</f>
        <v/>
      </c>
      <c r="AC6239">
        <f>IF(AB6239&gt;AB6238,AB6239,"")</f>
        <v/>
      </c>
    </row>
    <row r="6240">
      <c r="W6240" s="7" t="n"/>
      <c r="X6240" s="7" t="n"/>
      <c r="Z6240">
        <f>Z6239+IF(W6240="",0,IF(ISNA(MATCH(W6240,W$256:W6239,0)),1,0))</f>
        <v/>
      </c>
      <c r="AA6240">
        <f>IF(Z6240&gt;Z6239,Z6240,"")</f>
        <v/>
      </c>
      <c r="AB6240">
        <f>AB6239+IF(X6240="",0,IF(ISNA(MATCH(X6240,X$256:X6239,0)),1,0))</f>
        <v/>
      </c>
      <c r="AC6240">
        <f>IF(AB6240&gt;AB6239,AB6240,"")</f>
        <v/>
      </c>
    </row>
    <row r="6241">
      <c r="W6241" s="7" t="n"/>
      <c r="X6241" s="7" t="n"/>
      <c r="Z6241">
        <f>Z6240+IF(W6241="",0,IF(ISNA(MATCH(W6241,W$256:W6240,0)),1,0))</f>
        <v/>
      </c>
      <c r="AA6241">
        <f>IF(Z6241&gt;Z6240,Z6241,"")</f>
        <v/>
      </c>
      <c r="AB6241">
        <f>AB6240+IF(X6241="",0,IF(ISNA(MATCH(X6241,X$256:X6240,0)),1,0))</f>
        <v/>
      </c>
      <c r="AC6241">
        <f>IF(AB6241&gt;AB6240,AB6241,"")</f>
        <v/>
      </c>
    </row>
    <row r="6242">
      <c r="W6242" s="7" t="n"/>
      <c r="X6242" s="7" t="n"/>
      <c r="Z6242">
        <f>Z6241+IF(W6242="",0,IF(ISNA(MATCH(W6242,W$256:W6241,0)),1,0))</f>
        <v/>
      </c>
      <c r="AA6242">
        <f>IF(Z6242&gt;Z6241,Z6242,"")</f>
        <v/>
      </c>
      <c r="AB6242">
        <f>AB6241+IF(X6242="",0,IF(ISNA(MATCH(X6242,X$256:X6241,0)),1,0))</f>
        <v/>
      </c>
      <c r="AC6242">
        <f>IF(AB6242&gt;AB6241,AB6242,"")</f>
        <v/>
      </c>
    </row>
    <row r="6243">
      <c r="W6243" s="7" t="n"/>
      <c r="X6243" s="7" t="n"/>
      <c r="Z6243">
        <f>Z6242+IF(W6243="",0,IF(ISNA(MATCH(W6243,W$256:W6242,0)),1,0))</f>
        <v/>
      </c>
      <c r="AA6243">
        <f>IF(Z6243&gt;Z6242,Z6243,"")</f>
        <v/>
      </c>
      <c r="AB6243">
        <f>AB6242+IF(X6243="",0,IF(ISNA(MATCH(X6243,X$256:X6242,0)),1,0))</f>
        <v/>
      </c>
      <c r="AC6243">
        <f>IF(AB6243&gt;AB6242,AB6243,"")</f>
        <v/>
      </c>
    </row>
    <row r="6244">
      <c r="W6244" s="7" t="n"/>
      <c r="X6244" s="7" t="n"/>
      <c r="Z6244">
        <f>Z6243+IF(W6244="",0,IF(ISNA(MATCH(W6244,W$256:W6243,0)),1,0))</f>
        <v/>
      </c>
      <c r="AA6244">
        <f>IF(Z6244&gt;Z6243,Z6244,"")</f>
        <v/>
      </c>
      <c r="AB6244">
        <f>AB6243+IF(X6244="",0,IF(ISNA(MATCH(X6244,X$256:X6243,0)),1,0))</f>
        <v/>
      </c>
      <c r="AC6244">
        <f>IF(AB6244&gt;AB6243,AB6244,"")</f>
        <v/>
      </c>
    </row>
    <row r="6245">
      <c r="W6245" s="7" t="n"/>
      <c r="X6245" s="7" t="n"/>
      <c r="Z6245">
        <f>Z6244+IF(W6245="",0,IF(ISNA(MATCH(W6245,W$256:W6244,0)),1,0))</f>
        <v/>
      </c>
      <c r="AA6245">
        <f>IF(Z6245&gt;Z6244,Z6245,"")</f>
        <v/>
      </c>
      <c r="AB6245">
        <f>AB6244+IF(X6245="",0,IF(ISNA(MATCH(X6245,X$256:X6244,0)),1,0))</f>
        <v/>
      </c>
      <c r="AC6245">
        <f>IF(AB6245&gt;AB6244,AB6245,"")</f>
        <v/>
      </c>
    </row>
    <row r="6246">
      <c r="W6246" s="7" t="n"/>
      <c r="X6246" s="7" t="n"/>
      <c r="Z6246">
        <f>Z6245+IF(W6246="",0,IF(ISNA(MATCH(W6246,W$256:W6245,0)),1,0))</f>
        <v/>
      </c>
      <c r="AA6246">
        <f>IF(Z6246&gt;Z6245,Z6246,"")</f>
        <v/>
      </c>
      <c r="AB6246">
        <f>AB6245+IF(X6246="",0,IF(ISNA(MATCH(X6246,X$256:X6245,0)),1,0))</f>
        <v/>
      </c>
      <c r="AC6246">
        <f>IF(AB6246&gt;AB6245,AB6246,"")</f>
        <v/>
      </c>
    </row>
    <row r="6247">
      <c r="W6247" s="7" t="n"/>
      <c r="X6247" s="7" t="n"/>
      <c r="Z6247">
        <f>Z6246+IF(W6247="",0,IF(ISNA(MATCH(W6247,W$256:W6246,0)),1,0))</f>
        <v/>
      </c>
      <c r="AA6247">
        <f>IF(Z6247&gt;Z6246,Z6247,"")</f>
        <v/>
      </c>
      <c r="AB6247">
        <f>AB6246+IF(X6247="",0,IF(ISNA(MATCH(X6247,X$256:X6246,0)),1,0))</f>
        <v/>
      </c>
      <c r="AC6247">
        <f>IF(AB6247&gt;AB6246,AB6247,"")</f>
        <v/>
      </c>
    </row>
    <row r="6248">
      <c r="W6248" s="7" t="n"/>
      <c r="X6248" s="7" t="n"/>
      <c r="Z6248">
        <f>Z6247+IF(W6248="",0,IF(ISNA(MATCH(W6248,W$256:W6247,0)),1,0))</f>
        <v/>
      </c>
      <c r="AA6248">
        <f>IF(Z6248&gt;Z6247,Z6248,"")</f>
        <v/>
      </c>
      <c r="AB6248">
        <f>AB6247+IF(X6248="",0,IF(ISNA(MATCH(X6248,X$256:X6247,0)),1,0))</f>
        <v/>
      </c>
      <c r="AC6248">
        <f>IF(AB6248&gt;AB6247,AB6248,"")</f>
        <v/>
      </c>
    </row>
    <row r="6249">
      <c r="W6249" s="7" t="n"/>
      <c r="X6249" s="7" t="n"/>
      <c r="Z6249">
        <f>Z6248+IF(W6249="",0,IF(ISNA(MATCH(W6249,W$256:W6248,0)),1,0))</f>
        <v/>
      </c>
      <c r="AA6249">
        <f>IF(Z6249&gt;Z6248,Z6249,"")</f>
        <v/>
      </c>
      <c r="AB6249">
        <f>AB6248+IF(X6249="",0,IF(ISNA(MATCH(X6249,X$256:X6248,0)),1,0))</f>
        <v/>
      </c>
      <c r="AC6249">
        <f>IF(AB6249&gt;AB6248,AB6249,"")</f>
        <v/>
      </c>
    </row>
    <row r="6250">
      <c r="W6250" s="7" t="n"/>
      <c r="X6250" s="7" t="n"/>
      <c r="Z6250">
        <f>Z6249+IF(W6250="",0,IF(ISNA(MATCH(W6250,W$256:W6249,0)),1,0))</f>
        <v/>
      </c>
      <c r="AA6250">
        <f>IF(Z6250&gt;Z6249,Z6250,"")</f>
        <v/>
      </c>
      <c r="AB6250">
        <f>AB6249+IF(X6250="",0,IF(ISNA(MATCH(X6250,X$256:X6249,0)),1,0))</f>
        <v/>
      </c>
      <c r="AC6250">
        <f>IF(AB6250&gt;AB6249,AB6250,"")</f>
        <v/>
      </c>
    </row>
    <row r="6251">
      <c r="W6251" s="7" t="n"/>
      <c r="X6251" s="7" t="n"/>
      <c r="Z6251">
        <f>Z6250+IF(W6251="",0,IF(ISNA(MATCH(W6251,W$256:W6250,0)),1,0))</f>
        <v/>
      </c>
      <c r="AA6251">
        <f>IF(Z6251&gt;Z6250,Z6251,"")</f>
        <v/>
      </c>
      <c r="AB6251">
        <f>AB6250+IF(X6251="",0,IF(ISNA(MATCH(X6251,X$256:X6250,0)),1,0))</f>
        <v/>
      </c>
      <c r="AC6251">
        <f>IF(AB6251&gt;AB6250,AB6251,"")</f>
        <v/>
      </c>
    </row>
    <row r="6252">
      <c r="W6252" s="7" t="n"/>
      <c r="X6252" s="7" t="n"/>
      <c r="Z6252">
        <f>Z6251+IF(W6252="",0,IF(ISNA(MATCH(W6252,W$256:W6251,0)),1,0))</f>
        <v/>
      </c>
      <c r="AA6252">
        <f>IF(Z6252&gt;Z6251,Z6252,"")</f>
        <v/>
      </c>
      <c r="AB6252">
        <f>AB6251+IF(X6252="",0,IF(ISNA(MATCH(X6252,X$256:X6251,0)),1,0))</f>
        <v/>
      </c>
      <c r="AC6252">
        <f>IF(AB6252&gt;AB6251,AB6252,"")</f>
        <v/>
      </c>
    </row>
    <row r="6253">
      <c r="W6253" s="7" t="n"/>
      <c r="X6253" s="7" t="n"/>
      <c r="Z6253">
        <f>Z6252+IF(W6253="",0,IF(ISNA(MATCH(W6253,W$256:W6252,0)),1,0))</f>
        <v/>
      </c>
      <c r="AA6253">
        <f>IF(Z6253&gt;Z6252,Z6253,"")</f>
        <v/>
      </c>
      <c r="AB6253">
        <f>AB6252+IF(X6253="",0,IF(ISNA(MATCH(X6253,X$256:X6252,0)),1,0))</f>
        <v/>
      </c>
      <c r="AC6253">
        <f>IF(AB6253&gt;AB6252,AB6253,"")</f>
        <v/>
      </c>
    </row>
    <row r="6254">
      <c r="W6254" s="7" t="n"/>
      <c r="X6254" s="7" t="n"/>
      <c r="Z6254">
        <f>Z6253+IF(W6254="",0,IF(ISNA(MATCH(W6254,W$256:W6253,0)),1,0))</f>
        <v/>
      </c>
      <c r="AA6254">
        <f>IF(Z6254&gt;Z6253,Z6254,"")</f>
        <v/>
      </c>
      <c r="AB6254">
        <f>AB6253+IF(X6254="",0,IF(ISNA(MATCH(X6254,X$256:X6253,0)),1,0))</f>
        <v/>
      </c>
      <c r="AC6254">
        <f>IF(AB6254&gt;AB6253,AB6254,"")</f>
        <v/>
      </c>
    </row>
    <row r="6255">
      <c r="W6255" s="7" t="n"/>
      <c r="X6255" s="7" t="n"/>
      <c r="Z6255">
        <f>Z6254+IF(W6255="",0,IF(ISNA(MATCH(W6255,W$256:W6254,0)),1,0))</f>
        <v/>
      </c>
      <c r="AA6255">
        <f>IF(Z6255&gt;Z6254,Z6255,"")</f>
        <v/>
      </c>
      <c r="AB6255">
        <f>AB6254+IF(X6255="",0,IF(ISNA(MATCH(X6255,X$256:X6254,0)),1,0))</f>
        <v/>
      </c>
      <c r="AC6255">
        <f>IF(AB6255&gt;AB6254,AB6255,"")</f>
        <v/>
      </c>
    </row>
    <row r="6256">
      <c r="W6256" s="7" t="n"/>
      <c r="X6256" s="7" t="n"/>
      <c r="Z6256">
        <f>Z6255+IF(W6256="",0,IF(ISNA(MATCH(W6256,W$256:W6255,0)),1,0))</f>
        <v/>
      </c>
      <c r="AA6256">
        <f>IF(Z6256&gt;Z6255,Z6256,"")</f>
        <v/>
      </c>
      <c r="AB6256">
        <f>AB6255+IF(X6256="",0,IF(ISNA(MATCH(X6256,X$256:X6255,0)),1,0))</f>
        <v/>
      </c>
      <c r="AC6256">
        <f>IF(AB6256&gt;AB6255,AB6256,"")</f>
        <v/>
      </c>
    </row>
    <row r="6257">
      <c r="W6257" s="7" t="n"/>
      <c r="X6257" s="7" t="n"/>
      <c r="Z6257">
        <f>Z6256+IF(W6257="",0,IF(ISNA(MATCH(W6257,W$256:W6256,0)),1,0))</f>
        <v/>
      </c>
      <c r="AA6257">
        <f>IF(Z6257&gt;Z6256,Z6257,"")</f>
        <v/>
      </c>
      <c r="AB6257">
        <f>AB6256+IF(X6257="",0,IF(ISNA(MATCH(X6257,X$256:X6256,0)),1,0))</f>
        <v/>
      </c>
      <c r="AC6257">
        <f>IF(AB6257&gt;AB6256,AB6257,"")</f>
        <v/>
      </c>
    </row>
    <row r="6258">
      <c r="W6258" s="7" t="n"/>
      <c r="X6258" s="7" t="n"/>
      <c r="Z6258">
        <f>Z6257+IF(W6258="",0,IF(ISNA(MATCH(W6258,W$256:W6257,0)),1,0))</f>
        <v/>
      </c>
      <c r="AA6258">
        <f>IF(Z6258&gt;Z6257,Z6258,"")</f>
        <v/>
      </c>
      <c r="AB6258">
        <f>AB6257+IF(X6258="",0,IF(ISNA(MATCH(X6258,X$256:X6257,0)),1,0))</f>
        <v/>
      </c>
      <c r="AC6258">
        <f>IF(AB6258&gt;AB6257,AB6258,"")</f>
        <v/>
      </c>
    </row>
    <row r="6259">
      <c r="W6259" s="7" t="n"/>
      <c r="X6259" s="7" t="n"/>
      <c r="Z6259">
        <f>Z6258+IF(W6259="",0,IF(ISNA(MATCH(W6259,W$256:W6258,0)),1,0))</f>
        <v/>
      </c>
      <c r="AA6259">
        <f>IF(Z6259&gt;Z6258,Z6259,"")</f>
        <v/>
      </c>
      <c r="AB6259">
        <f>AB6258+IF(X6259="",0,IF(ISNA(MATCH(X6259,X$256:X6258,0)),1,0))</f>
        <v/>
      </c>
      <c r="AC6259">
        <f>IF(AB6259&gt;AB6258,AB6259,"")</f>
        <v/>
      </c>
    </row>
    <row r="6260">
      <c r="W6260" s="7" t="n"/>
      <c r="X6260" s="7" t="n"/>
      <c r="Z6260">
        <f>Z6259+IF(W6260="",0,IF(ISNA(MATCH(W6260,W$256:W6259,0)),1,0))</f>
        <v/>
      </c>
      <c r="AA6260">
        <f>IF(Z6260&gt;Z6259,Z6260,"")</f>
        <v/>
      </c>
      <c r="AB6260">
        <f>AB6259+IF(X6260="",0,IF(ISNA(MATCH(X6260,X$256:X6259,0)),1,0))</f>
        <v/>
      </c>
      <c r="AC6260">
        <f>IF(AB6260&gt;AB6259,AB6260,"")</f>
        <v/>
      </c>
    </row>
    <row r="6261">
      <c r="W6261" s="7" t="n"/>
      <c r="X6261" s="7" t="n"/>
      <c r="Z6261">
        <f>Z6260+IF(W6261="",0,IF(ISNA(MATCH(W6261,W$256:W6260,0)),1,0))</f>
        <v/>
      </c>
      <c r="AA6261">
        <f>IF(Z6261&gt;Z6260,Z6261,"")</f>
        <v/>
      </c>
      <c r="AB6261">
        <f>AB6260+IF(X6261="",0,IF(ISNA(MATCH(X6261,X$256:X6260,0)),1,0))</f>
        <v/>
      </c>
      <c r="AC6261">
        <f>IF(AB6261&gt;AB6260,AB6261,"")</f>
        <v/>
      </c>
    </row>
    <row r="6262">
      <c r="W6262" s="7" t="n"/>
      <c r="X6262" s="7" t="n"/>
      <c r="Z6262">
        <f>Z6261+IF(W6262="",0,IF(ISNA(MATCH(W6262,W$256:W6261,0)),1,0))</f>
        <v/>
      </c>
      <c r="AA6262">
        <f>IF(Z6262&gt;Z6261,Z6262,"")</f>
        <v/>
      </c>
      <c r="AB6262">
        <f>AB6261+IF(X6262="",0,IF(ISNA(MATCH(X6262,X$256:X6261,0)),1,0))</f>
        <v/>
      </c>
      <c r="AC6262">
        <f>IF(AB6262&gt;AB6261,AB6262,"")</f>
        <v/>
      </c>
    </row>
    <row r="6263">
      <c r="W6263" s="7" t="n"/>
      <c r="X6263" s="7" t="n"/>
      <c r="Z6263">
        <f>Z6262+IF(W6263="",0,IF(ISNA(MATCH(W6263,W$256:W6262,0)),1,0))</f>
        <v/>
      </c>
      <c r="AA6263">
        <f>IF(Z6263&gt;Z6262,Z6263,"")</f>
        <v/>
      </c>
      <c r="AB6263">
        <f>AB6262+IF(X6263="",0,IF(ISNA(MATCH(X6263,X$256:X6262,0)),1,0))</f>
        <v/>
      </c>
      <c r="AC6263">
        <f>IF(AB6263&gt;AB6262,AB6263,"")</f>
        <v/>
      </c>
    </row>
    <row r="6264">
      <c r="W6264" s="7" t="n"/>
      <c r="X6264" s="7" t="n"/>
      <c r="Z6264">
        <f>Z6263+IF(W6264="",0,IF(ISNA(MATCH(W6264,W$256:W6263,0)),1,0))</f>
        <v/>
      </c>
      <c r="AA6264">
        <f>IF(Z6264&gt;Z6263,Z6264,"")</f>
        <v/>
      </c>
      <c r="AB6264">
        <f>AB6263+IF(X6264="",0,IF(ISNA(MATCH(X6264,X$256:X6263,0)),1,0))</f>
        <v/>
      </c>
      <c r="AC6264">
        <f>IF(AB6264&gt;AB6263,AB6264,"")</f>
        <v/>
      </c>
    </row>
    <row r="6265">
      <c r="W6265" s="7" t="n"/>
      <c r="X6265" s="7" t="n"/>
      <c r="Z6265">
        <f>Z6264+IF(W6265="",0,IF(ISNA(MATCH(W6265,W$256:W6264,0)),1,0))</f>
        <v/>
      </c>
      <c r="AA6265">
        <f>IF(Z6265&gt;Z6264,Z6265,"")</f>
        <v/>
      </c>
      <c r="AB6265">
        <f>AB6264+IF(X6265="",0,IF(ISNA(MATCH(X6265,X$256:X6264,0)),1,0))</f>
        <v/>
      </c>
      <c r="AC6265">
        <f>IF(AB6265&gt;AB6264,AB6265,"")</f>
        <v/>
      </c>
    </row>
    <row r="6266">
      <c r="W6266" s="7" t="n"/>
      <c r="X6266" s="7" t="n"/>
      <c r="Z6266">
        <f>Z6265+IF(W6266="",0,IF(ISNA(MATCH(W6266,W$256:W6265,0)),1,0))</f>
        <v/>
      </c>
      <c r="AA6266">
        <f>IF(Z6266&gt;Z6265,Z6266,"")</f>
        <v/>
      </c>
      <c r="AB6266">
        <f>AB6265+IF(X6266="",0,IF(ISNA(MATCH(X6266,X$256:X6265,0)),1,0))</f>
        <v/>
      </c>
      <c r="AC6266">
        <f>IF(AB6266&gt;AB6265,AB6266,"")</f>
        <v/>
      </c>
    </row>
    <row r="6267">
      <c r="W6267" s="7" t="n"/>
      <c r="X6267" s="7" t="n"/>
      <c r="Z6267">
        <f>Z6266+IF(W6267="",0,IF(ISNA(MATCH(W6267,W$256:W6266,0)),1,0))</f>
        <v/>
      </c>
      <c r="AA6267">
        <f>IF(Z6267&gt;Z6266,Z6267,"")</f>
        <v/>
      </c>
      <c r="AB6267">
        <f>AB6266+IF(X6267="",0,IF(ISNA(MATCH(X6267,X$256:X6266,0)),1,0))</f>
        <v/>
      </c>
      <c r="AC6267">
        <f>IF(AB6267&gt;AB6266,AB6267,"")</f>
        <v/>
      </c>
    </row>
    <row r="6268">
      <c r="W6268" s="7" t="n"/>
      <c r="X6268" s="7" t="n"/>
      <c r="Z6268">
        <f>Z6267+IF(W6268="",0,IF(ISNA(MATCH(W6268,W$256:W6267,0)),1,0))</f>
        <v/>
      </c>
      <c r="AA6268">
        <f>IF(Z6268&gt;Z6267,Z6268,"")</f>
        <v/>
      </c>
      <c r="AB6268">
        <f>AB6267+IF(X6268="",0,IF(ISNA(MATCH(X6268,X$256:X6267,0)),1,0))</f>
        <v/>
      </c>
      <c r="AC6268">
        <f>IF(AB6268&gt;AB6267,AB6268,"")</f>
        <v/>
      </c>
    </row>
    <row r="6269">
      <c r="W6269" s="7" t="n"/>
      <c r="X6269" s="7" t="n"/>
      <c r="Z6269">
        <f>Z6268+IF(W6269="",0,IF(ISNA(MATCH(W6269,W$256:W6268,0)),1,0))</f>
        <v/>
      </c>
      <c r="AA6269">
        <f>IF(Z6269&gt;Z6268,Z6269,"")</f>
        <v/>
      </c>
      <c r="AB6269">
        <f>AB6268+IF(X6269="",0,IF(ISNA(MATCH(X6269,X$256:X6268,0)),1,0))</f>
        <v/>
      </c>
      <c r="AC6269">
        <f>IF(AB6269&gt;AB6268,AB6269,"")</f>
        <v/>
      </c>
    </row>
    <row r="6270">
      <c r="W6270" s="7" t="n"/>
      <c r="X6270" s="7" t="n"/>
      <c r="Z6270">
        <f>Z6269+IF(W6270="",0,IF(ISNA(MATCH(W6270,W$256:W6269,0)),1,0))</f>
        <v/>
      </c>
      <c r="AA6270">
        <f>IF(Z6270&gt;Z6269,Z6270,"")</f>
        <v/>
      </c>
      <c r="AB6270">
        <f>AB6269+IF(X6270="",0,IF(ISNA(MATCH(X6270,X$256:X6269,0)),1,0))</f>
        <v/>
      </c>
      <c r="AC6270">
        <f>IF(AB6270&gt;AB6269,AB6270,"")</f>
        <v/>
      </c>
    </row>
    <row r="6271">
      <c r="W6271" s="7" t="n"/>
      <c r="X6271" s="7" t="n"/>
      <c r="Z6271">
        <f>Z6270+IF(W6271="",0,IF(ISNA(MATCH(W6271,W$256:W6270,0)),1,0))</f>
        <v/>
      </c>
      <c r="AA6271">
        <f>IF(Z6271&gt;Z6270,Z6271,"")</f>
        <v/>
      </c>
      <c r="AB6271">
        <f>AB6270+IF(X6271="",0,IF(ISNA(MATCH(X6271,X$256:X6270,0)),1,0))</f>
        <v/>
      </c>
      <c r="AC6271">
        <f>IF(AB6271&gt;AB6270,AB6271,"")</f>
        <v/>
      </c>
    </row>
    <row r="6272">
      <c r="W6272" s="7" t="n"/>
      <c r="X6272" s="7" t="n"/>
      <c r="Z6272">
        <f>Z6271+IF(W6272="",0,IF(ISNA(MATCH(W6272,W$256:W6271,0)),1,0))</f>
        <v/>
      </c>
      <c r="AA6272">
        <f>IF(Z6272&gt;Z6271,Z6272,"")</f>
        <v/>
      </c>
      <c r="AB6272">
        <f>AB6271+IF(X6272="",0,IF(ISNA(MATCH(X6272,X$256:X6271,0)),1,0))</f>
        <v/>
      </c>
      <c r="AC6272">
        <f>IF(AB6272&gt;AB6271,AB6272,"")</f>
        <v/>
      </c>
    </row>
    <row r="6273">
      <c r="W6273" s="7" t="n"/>
      <c r="X6273" s="7" t="n"/>
      <c r="Z6273">
        <f>Z6272+IF(W6273="",0,IF(ISNA(MATCH(W6273,W$256:W6272,0)),1,0))</f>
        <v/>
      </c>
      <c r="AA6273">
        <f>IF(Z6273&gt;Z6272,Z6273,"")</f>
        <v/>
      </c>
      <c r="AB6273">
        <f>AB6272+IF(X6273="",0,IF(ISNA(MATCH(X6273,X$256:X6272,0)),1,0))</f>
        <v/>
      </c>
      <c r="AC6273">
        <f>IF(AB6273&gt;AB6272,AB6273,"")</f>
        <v/>
      </c>
    </row>
    <row r="6274">
      <c r="W6274" s="7" t="n"/>
      <c r="X6274" s="7" t="n"/>
      <c r="Z6274">
        <f>Z6273+IF(W6274="",0,IF(ISNA(MATCH(W6274,W$256:W6273,0)),1,0))</f>
        <v/>
      </c>
      <c r="AA6274">
        <f>IF(Z6274&gt;Z6273,Z6274,"")</f>
        <v/>
      </c>
      <c r="AB6274">
        <f>AB6273+IF(X6274="",0,IF(ISNA(MATCH(X6274,X$256:X6273,0)),1,0))</f>
        <v/>
      </c>
      <c r="AC6274">
        <f>IF(AB6274&gt;AB6273,AB6274,"")</f>
        <v/>
      </c>
    </row>
    <row r="6275">
      <c r="W6275" s="7" t="n"/>
      <c r="X6275" s="7" t="n"/>
      <c r="Z6275">
        <f>Z6274+IF(W6275="",0,IF(ISNA(MATCH(W6275,W$256:W6274,0)),1,0))</f>
        <v/>
      </c>
      <c r="AA6275">
        <f>IF(Z6275&gt;Z6274,Z6275,"")</f>
        <v/>
      </c>
      <c r="AB6275">
        <f>AB6274+IF(X6275="",0,IF(ISNA(MATCH(X6275,X$256:X6274,0)),1,0))</f>
        <v/>
      </c>
      <c r="AC6275">
        <f>IF(AB6275&gt;AB6274,AB6275,"")</f>
        <v/>
      </c>
    </row>
    <row r="6276">
      <c r="W6276" s="7" t="n"/>
      <c r="X6276" s="7" t="n"/>
      <c r="Z6276">
        <f>Z6275+IF(W6276="",0,IF(ISNA(MATCH(W6276,W$256:W6275,0)),1,0))</f>
        <v/>
      </c>
      <c r="AA6276">
        <f>IF(Z6276&gt;Z6275,Z6276,"")</f>
        <v/>
      </c>
      <c r="AB6276">
        <f>AB6275+IF(X6276="",0,IF(ISNA(MATCH(X6276,X$256:X6275,0)),1,0))</f>
        <v/>
      </c>
      <c r="AC6276">
        <f>IF(AB6276&gt;AB6275,AB6276,"")</f>
        <v/>
      </c>
    </row>
    <row r="6277">
      <c r="W6277" s="7" t="n"/>
      <c r="X6277" s="7" t="n"/>
      <c r="Z6277">
        <f>Z6276+IF(W6277="",0,IF(ISNA(MATCH(W6277,W$256:W6276,0)),1,0))</f>
        <v/>
      </c>
      <c r="AA6277">
        <f>IF(Z6277&gt;Z6276,Z6277,"")</f>
        <v/>
      </c>
      <c r="AB6277">
        <f>AB6276+IF(X6277="",0,IF(ISNA(MATCH(X6277,X$256:X6276,0)),1,0))</f>
        <v/>
      </c>
      <c r="AC6277">
        <f>IF(AB6277&gt;AB6276,AB6277,"")</f>
        <v/>
      </c>
    </row>
    <row r="6278">
      <c r="W6278" s="7" t="n"/>
      <c r="X6278" s="7" t="n"/>
      <c r="Z6278">
        <f>Z6277+IF(W6278="",0,IF(ISNA(MATCH(W6278,W$256:W6277,0)),1,0))</f>
        <v/>
      </c>
      <c r="AA6278">
        <f>IF(Z6278&gt;Z6277,Z6278,"")</f>
        <v/>
      </c>
      <c r="AB6278">
        <f>AB6277+IF(X6278="",0,IF(ISNA(MATCH(X6278,X$256:X6277,0)),1,0))</f>
        <v/>
      </c>
      <c r="AC6278">
        <f>IF(AB6278&gt;AB6277,AB6278,"")</f>
        <v/>
      </c>
    </row>
    <row r="6279">
      <c r="W6279" s="7" t="n"/>
      <c r="X6279" s="7" t="n"/>
      <c r="Z6279">
        <f>Z6278+IF(W6279="",0,IF(ISNA(MATCH(W6279,W$256:W6278,0)),1,0))</f>
        <v/>
      </c>
      <c r="AA6279">
        <f>IF(Z6279&gt;Z6278,Z6279,"")</f>
        <v/>
      </c>
      <c r="AB6279">
        <f>AB6278+IF(X6279="",0,IF(ISNA(MATCH(X6279,X$256:X6278,0)),1,0))</f>
        <v/>
      </c>
      <c r="AC6279">
        <f>IF(AB6279&gt;AB6278,AB6279,"")</f>
        <v/>
      </c>
    </row>
    <row r="6280">
      <c r="W6280" s="7" t="n"/>
      <c r="X6280" s="7" t="n"/>
      <c r="Z6280">
        <f>Z6279+IF(W6280="",0,IF(ISNA(MATCH(W6280,W$256:W6279,0)),1,0))</f>
        <v/>
      </c>
      <c r="AA6280">
        <f>IF(Z6280&gt;Z6279,Z6280,"")</f>
        <v/>
      </c>
      <c r="AB6280">
        <f>AB6279+IF(X6280="",0,IF(ISNA(MATCH(X6280,X$256:X6279,0)),1,0))</f>
        <v/>
      </c>
      <c r="AC6280">
        <f>IF(AB6280&gt;AB6279,AB6280,"")</f>
        <v/>
      </c>
    </row>
    <row r="6281">
      <c r="W6281" s="7" t="n"/>
      <c r="X6281" s="7" t="n"/>
      <c r="Z6281">
        <f>Z6280+IF(W6281="",0,IF(ISNA(MATCH(W6281,W$256:W6280,0)),1,0))</f>
        <v/>
      </c>
      <c r="AA6281">
        <f>IF(Z6281&gt;Z6280,Z6281,"")</f>
        <v/>
      </c>
      <c r="AB6281">
        <f>AB6280+IF(X6281="",0,IF(ISNA(MATCH(X6281,X$256:X6280,0)),1,0))</f>
        <v/>
      </c>
      <c r="AC6281">
        <f>IF(AB6281&gt;AB6280,AB6281,"")</f>
        <v/>
      </c>
    </row>
    <row r="6282">
      <c r="W6282" s="7" t="n"/>
      <c r="X6282" s="7" t="n"/>
      <c r="Z6282">
        <f>Z6281+IF(W6282="",0,IF(ISNA(MATCH(W6282,W$256:W6281,0)),1,0))</f>
        <v/>
      </c>
      <c r="AA6282">
        <f>IF(Z6282&gt;Z6281,Z6282,"")</f>
        <v/>
      </c>
      <c r="AB6282">
        <f>AB6281+IF(X6282="",0,IF(ISNA(MATCH(X6282,X$256:X6281,0)),1,0))</f>
        <v/>
      </c>
      <c r="AC6282">
        <f>IF(AB6282&gt;AB6281,AB6282,"")</f>
        <v/>
      </c>
    </row>
    <row r="6283">
      <c r="W6283" s="7" t="n"/>
      <c r="X6283" s="7" t="n"/>
      <c r="Z6283">
        <f>Z6282+IF(W6283="",0,IF(ISNA(MATCH(W6283,W$256:W6282,0)),1,0))</f>
        <v/>
      </c>
      <c r="AA6283">
        <f>IF(Z6283&gt;Z6282,Z6283,"")</f>
        <v/>
      </c>
      <c r="AB6283">
        <f>AB6282+IF(X6283="",0,IF(ISNA(MATCH(X6283,X$256:X6282,0)),1,0))</f>
        <v/>
      </c>
      <c r="AC6283">
        <f>IF(AB6283&gt;AB6282,AB6283,"")</f>
        <v/>
      </c>
    </row>
    <row r="6284">
      <c r="W6284" s="7" t="n"/>
      <c r="X6284" s="7" t="n"/>
      <c r="Z6284">
        <f>Z6283+IF(W6284="",0,IF(ISNA(MATCH(W6284,W$256:W6283,0)),1,0))</f>
        <v/>
      </c>
      <c r="AA6284">
        <f>IF(Z6284&gt;Z6283,Z6284,"")</f>
        <v/>
      </c>
      <c r="AB6284">
        <f>AB6283+IF(X6284="",0,IF(ISNA(MATCH(X6284,X$256:X6283,0)),1,0))</f>
        <v/>
      </c>
      <c r="AC6284">
        <f>IF(AB6284&gt;AB6283,AB6284,"")</f>
        <v/>
      </c>
    </row>
    <row r="6285">
      <c r="W6285" s="7" t="n"/>
      <c r="X6285" s="7" t="n"/>
      <c r="Z6285">
        <f>Z6284+IF(W6285="",0,IF(ISNA(MATCH(W6285,W$256:W6284,0)),1,0))</f>
        <v/>
      </c>
      <c r="AA6285">
        <f>IF(Z6285&gt;Z6284,Z6285,"")</f>
        <v/>
      </c>
      <c r="AB6285">
        <f>AB6284+IF(X6285="",0,IF(ISNA(MATCH(X6285,X$256:X6284,0)),1,0))</f>
        <v/>
      </c>
      <c r="AC6285">
        <f>IF(AB6285&gt;AB6284,AB6285,"")</f>
        <v/>
      </c>
    </row>
    <row r="6286">
      <c r="W6286" s="7" t="n"/>
      <c r="X6286" s="7" t="n"/>
      <c r="Z6286">
        <f>Z6285+IF(W6286="",0,IF(ISNA(MATCH(W6286,W$256:W6285,0)),1,0))</f>
        <v/>
      </c>
      <c r="AA6286">
        <f>IF(Z6286&gt;Z6285,Z6286,"")</f>
        <v/>
      </c>
      <c r="AB6286">
        <f>AB6285+IF(X6286="",0,IF(ISNA(MATCH(X6286,X$256:X6285,0)),1,0))</f>
        <v/>
      </c>
      <c r="AC6286">
        <f>IF(AB6286&gt;AB6285,AB6286,"")</f>
        <v/>
      </c>
    </row>
    <row r="6287">
      <c r="W6287" s="7" t="n"/>
      <c r="X6287" s="7" t="n"/>
      <c r="Z6287">
        <f>Z6286+IF(W6287="",0,IF(ISNA(MATCH(W6287,W$256:W6286,0)),1,0))</f>
        <v/>
      </c>
      <c r="AA6287">
        <f>IF(Z6287&gt;Z6286,Z6287,"")</f>
        <v/>
      </c>
      <c r="AB6287">
        <f>AB6286+IF(X6287="",0,IF(ISNA(MATCH(X6287,X$256:X6286,0)),1,0))</f>
        <v/>
      </c>
      <c r="AC6287">
        <f>IF(AB6287&gt;AB6286,AB6287,"")</f>
        <v/>
      </c>
    </row>
    <row r="6288">
      <c r="W6288" s="7" t="n"/>
      <c r="X6288" s="7" t="n"/>
      <c r="Z6288">
        <f>Z6287+IF(W6288="",0,IF(ISNA(MATCH(W6288,W$256:W6287,0)),1,0))</f>
        <v/>
      </c>
      <c r="AA6288">
        <f>IF(Z6288&gt;Z6287,Z6288,"")</f>
        <v/>
      </c>
      <c r="AB6288">
        <f>AB6287+IF(X6288="",0,IF(ISNA(MATCH(X6288,X$256:X6287,0)),1,0))</f>
        <v/>
      </c>
      <c r="AC6288">
        <f>IF(AB6288&gt;AB6287,AB6288,"")</f>
        <v/>
      </c>
    </row>
    <row r="6289">
      <c r="W6289" s="7" t="n"/>
      <c r="X6289" s="7" t="n"/>
      <c r="Z6289">
        <f>Z6288+IF(W6289="",0,IF(ISNA(MATCH(W6289,W$256:W6288,0)),1,0))</f>
        <v/>
      </c>
      <c r="AA6289">
        <f>IF(Z6289&gt;Z6288,Z6289,"")</f>
        <v/>
      </c>
      <c r="AB6289">
        <f>AB6288+IF(X6289="",0,IF(ISNA(MATCH(X6289,X$256:X6288,0)),1,0))</f>
        <v/>
      </c>
      <c r="AC6289">
        <f>IF(AB6289&gt;AB6288,AB6289,"")</f>
        <v/>
      </c>
    </row>
    <row r="6290">
      <c r="W6290" s="7" t="n"/>
      <c r="X6290" s="7" t="n"/>
      <c r="Z6290">
        <f>Z6289+IF(W6290="",0,IF(ISNA(MATCH(W6290,W$256:W6289,0)),1,0))</f>
        <v/>
      </c>
      <c r="AA6290">
        <f>IF(Z6290&gt;Z6289,Z6290,"")</f>
        <v/>
      </c>
      <c r="AB6290">
        <f>AB6289+IF(X6290="",0,IF(ISNA(MATCH(X6290,X$256:X6289,0)),1,0))</f>
        <v/>
      </c>
      <c r="AC6290">
        <f>IF(AB6290&gt;AB6289,AB6290,"")</f>
        <v/>
      </c>
    </row>
    <row r="6291">
      <c r="W6291" s="7" t="n"/>
      <c r="X6291" s="7" t="n"/>
      <c r="Z6291">
        <f>Z6290+IF(W6291="",0,IF(ISNA(MATCH(W6291,W$256:W6290,0)),1,0))</f>
        <v/>
      </c>
      <c r="AA6291">
        <f>IF(Z6291&gt;Z6290,Z6291,"")</f>
        <v/>
      </c>
      <c r="AB6291">
        <f>AB6290+IF(X6291="",0,IF(ISNA(MATCH(X6291,X$256:X6290,0)),1,0))</f>
        <v/>
      </c>
      <c r="AC6291">
        <f>IF(AB6291&gt;AB6290,AB6291,"")</f>
        <v/>
      </c>
    </row>
    <row r="6292">
      <c r="W6292" s="7" t="n"/>
      <c r="X6292" s="7" t="n"/>
      <c r="Z6292">
        <f>Z6291+IF(W6292="",0,IF(ISNA(MATCH(W6292,W$256:W6291,0)),1,0))</f>
        <v/>
      </c>
      <c r="AA6292">
        <f>IF(Z6292&gt;Z6291,Z6292,"")</f>
        <v/>
      </c>
      <c r="AB6292">
        <f>AB6291+IF(X6292="",0,IF(ISNA(MATCH(X6292,X$256:X6291,0)),1,0))</f>
        <v/>
      </c>
      <c r="AC6292">
        <f>IF(AB6292&gt;AB6291,AB6292,"")</f>
        <v/>
      </c>
    </row>
    <row r="6293">
      <c r="W6293" s="7" t="n"/>
      <c r="X6293" s="7" t="n"/>
      <c r="Z6293">
        <f>Z6292+IF(W6293="",0,IF(ISNA(MATCH(W6293,W$256:W6292,0)),1,0))</f>
        <v/>
      </c>
      <c r="AA6293">
        <f>IF(Z6293&gt;Z6292,Z6293,"")</f>
        <v/>
      </c>
      <c r="AB6293">
        <f>AB6292+IF(X6293="",0,IF(ISNA(MATCH(X6293,X$256:X6292,0)),1,0))</f>
        <v/>
      </c>
      <c r="AC6293">
        <f>IF(AB6293&gt;AB6292,AB6293,"")</f>
        <v/>
      </c>
    </row>
    <row r="6294">
      <c r="W6294" s="7" t="n"/>
      <c r="X6294" s="7" t="n"/>
      <c r="Z6294">
        <f>Z6293+IF(W6294="",0,IF(ISNA(MATCH(W6294,W$256:W6293,0)),1,0))</f>
        <v/>
      </c>
      <c r="AA6294">
        <f>IF(Z6294&gt;Z6293,Z6294,"")</f>
        <v/>
      </c>
      <c r="AB6294">
        <f>AB6293+IF(X6294="",0,IF(ISNA(MATCH(X6294,X$256:X6293,0)),1,0))</f>
        <v/>
      </c>
      <c r="AC6294">
        <f>IF(AB6294&gt;AB6293,AB6294,"")</f>
        <v/>
      </c>
    </row>
    <row r="6295">
      <c r="W6295" s="7" t="n"/>
      <c r="X6295" s="7" t="n"/>
      <c r="Z6295">
        <f>Z6294+IF(W6295="",0,IF(ISNA(MATCH(W6295,W$256:W6294,0)),1,0))</f>
        <v/>
      </c>
      <c r="AA6295">
        <f>IF(Z6295&gt;Z6294,Z6295,"")</f>
        <v/>
      </c>
      <c r="AB6295">
        <f>AB6294+IF(X6295="",0,IF(ISNA(MATCH(X6295,X$256:X6294,0)),1,0))</f>
        <v/>
      </c>
      <c r="AC6295">
        <f>IF(AB6295&gt;AB6294,AB6295,"")</f>
        <v/>
      </c>
    </row>
    <row r="6296">
      <c r="W6296" s="7" t="n"/>
      <c r="X6296" s="7" t="n"/>
      <c r="Z6296">
        <f>Z6295+IF(W6296="",0,IF(ISNA(MATCH(W6296,W$256:W6295,0)),1,0))</f>
        <v/>
      </c>
      <c r="AA6296">
        <f>IF(Z6296&gt;Z6295,Z6296,"")</f>
        <v/>
      </c>
      <c r="AB6296">
        <f>AB6295+IF(X6296="",0,IF(ISNA(MATCH(X6296,X$256:X6295,0)),1,0))</f>
        <v/>
      </c>
      <c r="AC6296">
        <f>IF(AB6296&gt;AB6295,AB6296,"")</f>
        <v/>
      </c>
    </row>
    <row r="6297">
      <c r="W6297" s="7" t="n"/>
      <c r="X6297" s="7" t="n"/>
      <c r="Z6297">
        <f>Z6296+IF(W6297="",0,IF(ISNA(MATCH(W6297,W$256:W6296,0)),1,0))</f>
        <v/>
      </c>
      <c r="AA6297">
        <f>IF(Z6297&gt;Z6296,Z6297,"")</f>
        <v/>
      </c>
      <c r="AB6297">
        <f>AB6296+IF(X6297="",0,IF(ISNA(MATCH(X6297,X$256:X6296,0)),1,0))</f>
        <v/>
      </c>
      <c r="AC6297">
        <f>IF(AB6297&gt;AB6296,AB6297,"")</f>
        <v/>
      </c>
    </row>
    <row r="6298">
      <c r="W6298" s="7" t="n"/>
      <c r="X6298" s="7" t="n"/>
      <c r="Z6298">
        <f>Z6297+IF(W6298="",0,IF(ISNA(MATCH(W6298,W$256:W6297,0)),1,0))</f>
        <v/>
      </c>
      <c r="AA6298">
        <f>IF(Z6298&gt;Z6297,Z6298,"")</f>
        <v/>
      </c>
      <c r="AB6298">
        <f>AB6297+IF(X6298="",0,IF(ISNA(MATCH(X6298,X$256:X6297,0)),1,0))</f>
        <v/>
      </c>
      <c r="AC6298">
        <f>IF(AB6298&gt;AB6297,AB6298,"")</f>
        <v/>
      </c>
    </row>
    <row r="6299">
      <c r="W6299" s="7" t="n"/>
      <c r="X6299" s="7" t="n"/>
      <c r="Z6299">
        <f>Z6298+IF(W6299="",0,IF(ISNA(MATCH(W6299,W$256:W6298,0)),1,0))</f>
        <v/>
      </c>
      <c r="AA6299">
        <f>IF(Z6299&gt;Z6298,Z6299,"")</f>
        <v/>
      </c>
      <c r="AB6299">
        <f>AB6298+IF(X6299="",0,IF(ISNA(MATCH(X6299,X$256:X6298,0)),1,0))</f>
        <v/>
      </c>
      <c r="AC6299">
        <f>IF(AB6299&gt;AB6298,AB6299,"")</f>
        <v/>
      </c>
    </row>
    <row r="6300">
      <c r="W6300" s="7" t="n"/>
      <c r="X6300" s="7" t="n"/>
      <c r="Z6300">
        <f>Z6299+IF(W6300="",0,IF(ISNA(MATCH(W6300,W$256:W6299,0)),1,0))</f>
        <v/>
      </c>
      <c r="AA6300">
        <f>IF(Z6300&gt;Z6299,Z6300,"")</f>
        <v/>
      </c>
      <c r="AB6300">
        <f>AB6299+IF(X6300="",0,IF(ISNA(MATCH(X6300,X$256:X6299,0)),1,0))</f>
        <v/>
      </c>
      <c r="AC6300">
        <f>IF(AB6300&gt;AB6299,AB6300,"")</f>
        <v/>
      </c>
    </row>
    <row r="6301">
      <c r="W6301" s="7" t="n"/>
      <c r="X6301" s="7" t="n"/>
      <c r="Z6301">
        <f>Z6300+IF(W6301="",0,IF(ISNA(MATCH(W6301,W$256:W6300,0)),1,0))</f>
        <v/>
      </c>
      <c r="AA6301">
        <f>IF(Z6301&gt;Z6300,Z6301,"")</f>
        <v/>
      </c>
      <c r="AB6301">
        <f>AB6300+IF(X6301="",0,IF(ISNA(MATCH(X6301,X$256:X6300,0)),1,0))</f>
        <v/>
      </c>
      <c r="AC6301">
        <f>IF(AB6301&gt;AB6300,AB6301,"")</f>
        <v/>
      </c>
    </row>
    <row r="6302">
      <c r="W6302" s="7" t="n"/>
      <c r="X6302" s="7" t="n"/>
      <c r="Z6302">
        <f>Z6301+IF(W6302="",0,IF(ISNA(MATCH(W6302,W$256:W6301,0)),1,0))</f>
        <v/>
      </c>
      <c r="AA6302">
        <f>IF(Z6302&gt;Z6301,Z6302,"")</f>
        <v/>
      </c>
      <c r="AB6302">
        <f>AB6301+IF(X6302="",0,IF(ISNA(MATCH(X6302,X$256:X6301,0)),1,0))</f>
        <v/>
      </c>
      <c r="AC6302">
        <f>IF(AB6302&gt;AB6301,AB6302,"")</f>
        <v/>
      </c>
    </row>
    <row r="6303">
      <c r="W6303" s="7" t="n"/>
      <c r="X6303" s="7" t="n"/>
      <c r="Z6303">
        <f>Z6302+IF(W6303="",0,IF(ISNA(MATCH(W6303,W$256:W6302,0)),1,0))</f>
        <v/>
      </c>
      <c r="AA6303">
        <f>IF(Z6303&gt;Z6302,Z6303,"")</f>
        <v/>
      </c>
      <c r="AB6303">
        <f>AB6302+IF(X6303="",0,IF(ISNA(MATCH(X6303,X$256:X6302,0)),1,0))</f>
        <v/>
      </c>
      <c r="AC6303">
        <f>IF(AB6303&gt;AB6302,AB6303,"")</f>
        <v/>
      </c>
    </row>
    <row r="6304">
      <c r="W6304" s="7" t="n"/>
      <c r="X6304" s="7" t="n"/>
      <c r="Z6304">
        <f>Z6303+IF(W6304="",0,IF(ISNA(MATCH(W6304,W$256:W6303,0)),1,0))</f>
        <v/>
      </c>
      <c r="AA6304">
        <f>IF(Z6304&gt;Z6303,Z6304,"")</f>
        <v/>
      </c>
      <c r="AB6304">
        <f>AB6303+IF(X6304="",0,IF(ISNA(MATCH(X6304,X$256:X6303,0)),1,0))</f>
        <v/>
      </c>
      <c r="AC6304">
        <f>IF(AB6304&gt;AB6303,AB6304,"")</f>
        <v/>
      </c>
    </row>
    <row r="6305">
      <c r="W6305" s="7" t="n"/>
      <c r="X6305" s="7" t="n"/>
      <c r="Z6305">
        <f>Z6304+IF(W6305="",0,IF(ISNA(MATCH(W6305,W$256:W6304,0)),1,0))</f>
        <v/>
      </c>
      <c r="AA6305">
        <f>IF(Z6305&gt;Z6304,Z6305,"")</f>
        <v/>
      </c>
      <c r="AB6305">
        <f>AB6304+IF(X6305="",0,IF(ISNA(MATCH(X6305,X$256:X6304,0)),1,0))</f>
        <v/>
      </c>
      <c r="AC6305">
        <f>IF(AB6305&gt;AB6304,AB6305,"")</f>
        <v/>
      </c>
    </row>
    <row r="6306">
      <c r="W6306" s="7" t="n"/>
      <c r="X6306" s="7" t="n"/>
      <c r="Z6306">
        <f>Z6305+IF(W6306="",0,IF(ISNA(MATCH(W6306,W$256:W6305,0)),1,0))</f>
        <v/>
      </c>
      <c r="AA6306">
        <f>IF(Z6306&gt;Z6305,Z6306,"")</f>
        <v/>
      </c>
      <c r="AB6306">
        <f>AB6305+IF(X6306="",0,IF(ISNA(MATCH(X6306,X$256:X6305,0)),1,0))</f>
        <v/>
      </c>
      <c r="AC6306">
        <f>IF(AB6306&gt;AB6305,AB6306,"")</f>
        <v/>
      </c>
    </row>
    <row r="6307">
      <c r="W6307" s="7" t="n"/>
      <c r="X6307" s="7" t="n"/>
      <c r="Z6307">
        <f>Z6306+IF(W6307="",0,IF(ISNA(MATCH(W6307,W$256:W6306,0)),1,0))</f>
        <v/>
      </c>
      <c r="AA6307">
        <f>IF(Z6307&gt;Z6306,Z6307,"")</f>
        <v/>
      </c>
      <c r="AB6307">
        <f>AB6306+IF(X6307="",0,IF(ISNA(MATCH(X6307,X$256:X6306,0)),1,0))</f>
        <v/>
      </c>
      <c r="AC6307">
        <f>IF(AB6307&gt;AB6306,AB6307,"")</f>
        <v/>
      </c>
    </row>
    <row r="6308">
      <c r="W6308" s="7" t="n"/>
      <c r="X6308" s="7" t="n"/>
      <c r="Z6308">
        <f>Z6307+IF(W6308="",0,IF(ISNA(MATCH(W6308,W$256:W6307,0)),1,0))</f>
        <v/>
      </c>
      <c r="AA6308">
        <f>IF(Z6308&gt;Z6307,Z6308,"")</f>
        <v/>
      </c>
      <c r="AB6308">
        <f>AB6307+IF(X6308="",0,IF(ISNA(MATCH(X6308,X$256:X6307,0)),1,0))</f>
        <v/>
      </c>
      <c r="AC6308">
        <f>IF(AB6308&gt;AB6307,AB6308,"")</f>
        <v/>
      </c>
    </row>
    <row r="6309">
      <c r="W6309" s="7" t="n"/>
      <c r="X6309" s="7" t="n"/>
      <c r="Z6309">
        <f>Z6308+IF(W6309="",0,IF(ISNA(MATCH(W6309,W$256:W6308,0)),1,0))</f>
        <v/>
      </c>
      <c r="AA6309">
        <f>IF(Z6309&gt;Z6308,Z6309,"")</f>
        <v/>
      </c>
      <c r="AB6309">
        <f>AB6308+IF(X6309="",0,IF(ISNA(MATCH(X6309,X$256:X6308,0)),1,0))</f>
        <v/>
      </c>
      <c r="AC6309">
        <f>IF(AB6309&gt;AB6308,AB6309,"")</f>
        <v/>
      </c>
    </row>
    <row r="6310">
      <c r="W6310" s="7" t="n"/>
      <c r="X6310" s="7" t="n"/>
      <c r="Z6310">
        <f>Z6309+IF(W6310="",0,IF(ISNA(MATCH(W6310,W$256:W6309,0)),1,0))</f>
        <v/>
      </c>
      <c r="AA6310">
        <f>IF(Z6310&gt;Z6309,Z6310,"")</f>
        <v/>
      </c>
      <c r="AB6310">
        <f>AB6309+IF(X6310="",0,IF(ISNA(MATCH(X6310,X$256:X6309,0)),1,0))</f>
        <v/>
      </c>
      <c r="AC6310">
        <f>IF(AB6310&gt;AB6309,AB6310,"")</f>
        <v/>
      </c>
    </row>
    <row r="6311">
      <c r="W6311" s="7" t="n"/>
      <c r="X6311" s="7" t="n"/>
      <c r="Z6311">
        <f>Z6310+IF(W6311="",0,IF(ISNA(MATCH(W6311,W$256:W6310,0)),1,0))</f>
        <v/>
      </c>
      <c r="AA6311">
        <f>IF(Z6311&gt;Z6310,Z6311,"")</f>
        <v/>
      </c>
      <c r="AB6311">
        <f>AB6310+IF(X6311="",0,IF(ISNA(MATCH(X6311,X$256:X6310,0)),1,0))</f>
        <v/>
      </c>
      <c r="AC6311">
        <f>IF(AB6311&gt;AB6310,AB6311,"")</f>
        <v/>
      </c>
    </row>
    <row r="6312">
      <c r="W6312" s="7" t="n"/>
      <c r="X6312" s="7" t="n"/>
      <c r="Z6312">
        <f>Z6311+IF(W6312="",0,IF(ISNA(MATCH(W6312,W$256:W6311,0)),1,0))</f>
        <v/>
      </c>
      <c r="AA6312">
        <f>IF(Z6312&gt;Z6311,Z6312,"")</f>
        <v/>
      </c>
      <c r="AB6312">
        <f>AB6311+IF(X6312="",0,IF(ISNA(MATCH(X6312,X$256:X6311,0)),1,0))</f>
        <v/>
      </c>
      <c r="AC6312">
        <f>IF(AB6312&gt;AB6311,AB6312,"")</f>
        <v/>
      </c>
    </row>
    <row r="6313">
      <c r="W6313" s="7" t="n"/>
      <c r="X6313" s="7" t="n"/>
      <c r="Z6313">
        <f>Z6312+IF(W6313="",0,IF(ISNA(MATCH(W6313,W$256:W6312,0)),1,0))</f>
        <v/>
      </c>
      <c r="AA6313">
        <f>IF(Z6313&gt;Z6312,Z6313,"")</f>
        <v/>
      </c>
      <c r="AB6313">
        <f>AB6312+IF(X6313="",0,IF(ISNA(MATCH(X6313,X$256:X6312,0)),1,0))</f>
        <v/>
      </c>
      <c r="AC6313">
        <f>IF(AB6313&gt;AB6312,AB6313,"")</f>
        <v/>
      </c>
    </row>
    <row r="6314">
      <c r="W6314" s="7" t="n"/>
      <c r="X6314" s="7" t="n"/>
      <c r="Z6314">
        <f>Z6313+IF(W6314="",0,IF(ISNA(MATCH(W6314,W$256:W6313,0)),1,0))</f>
        <v/>
      </c>
      <c r="AA6314">
        <f>IF(Z6314&gt;Z6313,Z6314,"")</f>
        <v/>
      </c>
      <c r="AB6314">
        <f>AB6313+IF(X6314="",0,IF(ISNA(MATCH(X6314,X$256:X6313,0)),1,0))</f>
        <v/>
      </c>
      <c r="AC6314">
        <f>IF(AB6314&gt;AB6313,AB6314,"")</f>
        <v/>
      </c>
    </row>
    <row r="6315">
      <c r="W6315" s="7" t="n"/>
      <c r="X6315" s="7" t="n"/>
      <c r="Z6315">
        <f>Z6314+IF(W6315="",0,IF(ISNA(MATCH(W6315,W$256:W6314,0)),1,0))</f>
        <v/>
      </c>
      <c r="AA6315">
        <f>IF(Z6315&gt;Z6314,Z6315,"")</f>
        <v/>
      </c>
      <c r="AB6315">
        <f>AB6314+IF(X6315="",0,IF(ISNA(MATCH(X6315,X$256:X6314,0)),1,0))</f>
        <v/>
      </c>
      <c r="AC6315">
        <f>IF(AB6315&gt;AB6314,AB6315,"")</f>
        <v/>
      </c>
    </row>
    <row r="6316">
      <c r="W6316" s="7" t="n"/>
      <c r="X6316" s="7" t="n"/>
      <c r="Z6316">
        <f>Z6315+IF(W6316="",0,IF(ISNA(MATCH(W6316,W$256:W6315,0)),1,0))</f>
        <v/>
      </c>
      <c r="AA6316">
        <f>IF(Z6316&gt;Z6315,Z6316,"")</f>
        <v/>
      </c>
      <c r="AB6316">
        <f>AB6315+IF(X6316="",0,IF(ISNA(MATCH(X6316,X$256:X6315,0)),1,0))</f>
        <v/>
      </c>
      <c r="AC6316">
        <f>IF(AB6316&gt;AB6315,AB6316,"")</f>
        <v/>
      </c>
    </row>
    <row r="6317">
      <c r="W6317" s="7" t="n"/>
      <c r="X6317" s="7" t="n"/>
      <c r="Z6317">
        <f>Z6316+IF(W6317="",0,IF(ISNA(MATCH(W6317,W$256:W6316,0)),1,0))</f>
        <v/>
      </c>
      <c r="AA6317">
        <f>IF(Z6317&gt;Z6316,Z6317,"")</f>
        <v/>
      </c>
      <c r="AB6317">
        <f>AB6316+IF(X6317="",0,IF(ISNA(MATCH(X6317,X$256:X6316,0)),1,0))</f>
        <v/>
      </c>
      <c r="AC6317">
        <f>IF(AB6317&gt;AB6316,AB6317,"")</f>
        <v/>
      </c>
    </row>
    <row r="6318">
      <c r="W6318" s="7" t="n"/>
      <c r="X6318" s="7" t="n"/>
      <c r="Z6318">
        <f>Z6317+IF(W6318="",0,IF(ISNA(MATCH(W6318,W$256:W6317,0)),1,0))</f>
        <v/>
      </c>
      <c r="AA6318">
        <f>IF(Z6318&gt;Z6317,Z6318,"")</f>
        <v/>
      </c>
      <c r="AB6318">
        <f>AB6317+IF(X6318="",0,IF(ISNA(MATCH(X6318,X$256:X6317,0)),1,0))</f>
        <v/>
      </c>
      <c r="AC6318">
        <f>IF(AB6318&gt;AB6317,AB6318,"")</f>
        <v/>
      </c>
    </row>
    <row r="6319">
      <c r="W6319" s="7" t="n"/>
      <c r="X6319" s="7" t="n"/>
      <c r="Z6319">
        <f>Z6318+IF(W6319="",0,IF(ISNA(MATCH(W6319,W$256:W6318,0)),1,0))</f>
        <v/>
      </c>
      <c r="AA6319">
        <f>IF(Z6319&gt;Z6318,Z6319,"")</f>
        <v/>
      </c>
      <c r="AB6319">
        <f>AB6318+IF(X6319="",0,IF(ISNA(MATCH(X6319,X$256:X6318,0)),1,0))</f>
        <v/>
      </c>
      <c r="AC6319">
        <f>IF(AB6319&gt;AB6318,AB6319,"")</f>
        <v/>
      </c>
    </row>
    <row r="6320">
      <c r="W6320" s="7" t="n"/>
      <c r="X6320" s="7" t="n"/>
      <c r="Z6320">
        <f>Z6319+IF(W6320="",0,IF(ISNA(MATCH(W6320,W$256:W6319,0)),1,0))</f>
        <v/>
      </c>
      <c r="AA6320">
        <f>IF(Z6320&gt;Z6319,Z6320,"")</f>
        <v/>
      </c>
      <c r="AB6320">
        <f>AB6319+IF(X6320="",0,IF(ISNA(MATCH(X6320,X$256:X6319,0)),1,0))</f>
        <v/>
      </c>
      <c r="AC6320">
        <f>IF(AB6320&gt;AB6319,AB6320,"")</f>
        <v/>
      </c>
    </row>
    <row r="6321">
      <c r="W6321" s="7" t="n"/>
      <c r="X6321" s="7" t="n"/>
      <c r="Z6321">
        <f>Z6320+IF(W6321="",0,IF(ISNA(MATCH(W6321,W$256:W6320,0)),1,0))</f>
        <v/>
      </c>
      <c r="AA6321">
        <f>IF(Z6321&gt;Z6320,Z6321,"")</f>
        <v/>
      </c>
      <c r="AB6321">
        <f>AB6320+IF(X6321="",0,IF(ISNA(MATCH(X6321,X$256:X6320,0)),1,0))</f>
        <v/>
      </c>
      <c r="AC6321">
        <f>IF(AB6321&gt;AB6320,AB6321,"")</f>
        <v/>
      </c>
    </row>
    <row r="6322">
      <c r="W6322" s="7" t="n"/>
      <c r="X6322" s="7" t="n"/>
      <c r="Z6322">
        <f>Z6321+IF(W6322="",0,IF(ISNA(MATCH(W6322,W$256:W6321,0)),1,0))</f>
        <v/>
      </c>
      <c r="AA6322">
        <f>IF(Z6322&gt;Z6321,Z6322,"")</f>
        <v/>
      </c>
      <c r="AB6322">
        <f>AB6321+IF(X6322="",0,IF(ISNA(MATCH(X6322,X$256:X6321,0)),1,0))</f>
        <v/>
      </c>
      <c r="AC6322">
        <f>IF(AB6322&gt;AB6321,AB6322,"")</f>
        <v/>
      </c>
    </row>
    <row r="6323">
      <c r="W6323" s="7" t="n"/>
      <c r="X6323" s="7" t="n"/>
      <c r="Z6323">
        <f>Z6322+IF(W6323="",0,IF(ISNA(MATCH(W6323,W$256:W6322,0)),1,0))</f>
        <v/>
      </c>
      <c r="AA6323">
        <f>IF(Z6323&gt;Z6322,Z6323,"")</f>
        <v/>
      </c>
      <c r="AB6323">
        <f>AB6322+IF(X6323="",0,IF(ISNA(MATCH(X6323,X$256:X6322,0)),1,0))</f>
        <v/>
      </c>
      <c r="AC6323">
        <f>IF(AB6323&gt;AB6322,AB6323,"")</f>
        <v/>
      </c>
    </row>
    <row r="6324">
      <c r="W6324" s="7" t="n"/>
      <c r="X6324" s="7" t="n"/>
      <c r="Z6324">
        <f>Z6323+IF(W6324="",0,IF(ISNA(MATCH(W6324,W$256:W6323,0)),1,0))</f>
        <v/>
      </c>
      <c r="AA6324">
        <f>IF(Z6324&gt;Z6323,Z6324,"")</f>
        <v/>
      </c>
      <c r="AB6324">
        <f>AB6323+IF(X6324="",0,IF(ISNA(MATCH(X6324,X$256:X6323,0)),1,0))</f>
        <v/>
      </c>
      <c r="AC6324">
        <f>IF(AB6324&gt;AB6323,AB6324,"")</f>
        <v/>
      </c>
    </row>
    <row r="6325">
      <c r="W6325" s="7" t="n"/>
      <c r="X6325" s="7" t="n"/>
      <c r="Z6325">
        <f>Z6324+IF(W6325="",0,IF(ISNA(MATCH(W6325,W$256:W6324,0)),1,0))</f>
        <v/>
      </c>
      <c r="AA6325">
        <f>IF(Z6325&gt;Z6324,Z6325,"")</f>
        <v/>
      </c>
      <c r="AB6325">
        <f>AB6324+IF(X6325="",0,IF(ISNA(MATCH(X6325,X$256:X6324,0)),1,0))</f>
        <v/>
      </c>
      <c r="AC6325">
        <f>IF(AB6325&gt;AB6324,AB6325,"")</f>
        <v/>
      </c>
    </row>
    <row r="6326">
      <c r="W6326" s="7" t="n"/>
      <c r="X6326" s="7" t="n"/>
      <c r="Z6326">
        <f>Z6325+IF(W6326="",0,IF(ISNA(MATCH(W6326,W$256:W6325,0)),1,0))</f>
        <v/>
      </c>
      <c r="AA6326">
        <f>IF(Z6326&gt;Z6325,Z6326,"")</f>
        <v/>
      </c>
      <c r="AB6326">
        <f>AB6325+IF(X6326="",0,IF(ISNA(MATCH(X6326,X$256:X6325,0)),1,0))</f>
        <v/>
      </c>
      <c r="AC6326">
        <f>IF(AB6326&gt;AB6325,AB6326,"")</f>
        <v/>
      </c>
    </row>
    <row r="6327">
      <c r="W6327" s="7" t="n"/>
      <c r="X6327" s="7" t="n"/>
      <c r="Z6327">
        <f>Z6326+IF(W6327="",0,IF(ISNA(MATCH(W6327,W$256:W6326,0)),1,0))</f>
        <v/>
      </c>
      <c r="AA6327">
        <f>IF(Z6327&gt;Z6326,Z6327,"")</f>
        <v/>
      </c>
      <c r="AB6327">
        <f>AB6326+IF(X6327="",0,IF(ISNA(MATCH(X6327,X$256:X6326,0)),1,0))</f>
        <v/>
      </c>
      <c r="AC6327">
        <f>IF(AB6327&gt;AB6326,AB6327,"")</f>
        <v/>
      </c>
    </row>
    <row r="6328">
      <c r="W6328" s="7" t="n"/>
      <c r="X6328" s="7" t="n"/>
      <c r="Z6328">
        <f>Z6327+IF(W6328="",0,IF(ISNA(MATCH(W6328,W$256:W6327,0)),1,0))</f>
        <v/>
      </c>
      <c r="AA6328">
        <f>IF(Z6328&gt;Z6327,Z6328,"")</f>
        <v/>
      </c>
      <c r="AB6328">
        <f>AB6327+IF(X6328="",0,IF(ISNA(MATCH(X6328,X$256:X6327,0)),1,0))</f>
        <v/>
      </c>
      <c r="AC6328">
        <f>IF(AB6328&gt;AB6327,AB6328,"")</f>
        <v/>
      </c>
    </row>
    <row r="6329">
      <c r="W6329" s="7" t="n"/>
      <c r="X6329" s="7" t="n"/>
      <c r="Z6329">
        <f>Z6328+IF(W6329="",0,IF(ISNA(MATCH(W6329,W$256:W6328,0)),1,0))</f>
        <v/>
      </c>
      <c r="AA6329">
        <f>IF(Z6329&gt;Z6328,Z6329,"")</f>
        <v/>
      </c>
      <c r="AB6329">
        <f>AB6328+IF(X6329="",0,IF(ISNA(MATCH(X6329,X$256:X6328,0)),1,0))</f>
        <v/>
      </c>
      <c r="AC6329">
        <f>IF(AB6329&gt;AB6328,AB6329,"")</f>
        <v/>
      </c>
    </row>
    <row r="6330">
      <c r="W6330" s="7" t="n"/>
      <c r="X6330" s="7" t="n"/>
      <c r="Z6330">
        <f>Z6329+IF(W6330="",0,IF(ISNA(MATCH(W6330,W$256:W6329,0)),1,0))</f>
        <v/>
      </c>
      <c r="AA6330">
        <f>IF(Z6330&gt;Z6329,Z6330,"")</f>
        <v/>
      </c>
      <c r="AB6330">
        <f>AB6329+IF(X6330="",0,IF(ISNA(MATCH(X6330,X$256:X6329,0)),1,0))</f>
        <v/>
      </c>
      <c r="AC6330">
        <f>IF(AB6330&gt;AB6329,AB6330,"")</f>
        <v/>
      </c>
    </row>
    <row r="6331">
      <c r="W6331" s="7" t="n"/>
      <c r="X6331" s="7" t="n"/>
      <c r="Z6331">
        <f>Z6330+IF(W6331="",0,IF(ISNA(MATCH(W6331,W$256:W6330,0)),1,0))</f>
        <v/>
      </c>
      <c r="AA6331">
        <f>IF(Z6331&gt;Z6330,Z6331,"")</f>
        <v/>
      </c>
      <c r="AB6331">
        <f>AB6330+IF(X6331="",0,IF(ISNA(MATCH(X6331,X$256:X6330,0)),1,0))</f>
        <v/>
      </c>
      <c r="AC6331">
        <f>IF(AB6331&gt;AB6330,AB6331,"")</f>
        <v/>
      </c>
    </row>
    <row r="6332">
      <c r="W6332" s="7" t="n"/>
      <c r="X6332" s="7" t="n"/>
      <c r="Z6332">
        <f>Z6331+IF(W6332="",0,IF(ISNA(MATCH(W6332,W$256:W6331,0)),1,0))</f>
        <v/>
      </c>
      <c r="AA6332">
        <f>IF(Z6332&gt;Z6331,Z6332,"")</f>
        <v/>
      </c>
      <c r="AB6332">
        <f>AB6331+IF(X6332="",0,IF(ISNA(MATCH(X6332,X$256:X6331,0)),1,0))</f>
        <v/>
      </c>
      <c r="AC6332">
        <f>IF(AB6332&gt;AB6331,AB6332,"")</f>
        <v/>
      </c>
    </row>
    <row r="6333">
      <c r="W6333" s="7" t="n"/>
      <c r="X6333" s="7" t="n"/>
      <c r="Z6333">
        <f>Z6332+IF(W6333="",0,IF(ISNA(MATCH(W6333,W$256:W6332,0)),1,0))</f>
        <v/>
      </c>
      <c r="AA6333">
        <f>IF(Z6333&gt;Z6332,Z6333,"")</f>
        <v/>
      </c>
      <c r="AB6333">
        <f>AB6332+IF(X6333="",0,IF(ISNA(MATCH(X6333,X$256:X6332,0)),1,0))</f>
        <v/>
      </c>
      <c r="AC6333">
        <f>IF(AB6333&gt;AB6332,AB6333,"")</f>
        <v/>
      </c>
    </row>
    <row r="6334">
      <c r="W6334" s="7" t="n"/>
      <c r="X6334" s="7" t="n"/>
      <c r="Z6334">
        <f>Z6333+IF(W6334="",0,IF(ISNA(MATCH(W6334,W$256:W6333,0)),1,0))</f>
        <v/>
      </c>
      <c r="AA6334">
        <f>IF(Z6334&gt;Z6333,Z6334,"")</f>
        <v/>
      </c>
      <c r="AB6334">
        <f>AB6333+IF(X6334="",0,IF(ISNA(MATCH(X6334,X$256:X6333,0)),1,0))</f>
        <v/>
      </c>
      <c r="AC6334">
        <f>IF(AB6334&gt;AB6333,AB6334,"")</f>
        <v/>
      </c>
    </row>
    <row r="6335">
      <c r="W6335" s="7" t="n"/>
      <c r="X6335" s="7" t="n"/>
      <c r="Z6335">
        <f>Z6334+IF(W6335="",0,IF(ISNA(MATCH(W6335,W$256:W6334,0)),1,0))</f>
        <v/>
      </c>
      <c r="AA6335">
        <f>IF(Z6335&gt;Z6334,Z6335,"")</f>
        <v/>
      </c>
      <c r="AB6335">
        <f>AB6334+IF(X6335="",0,IF(ISNA(MATCH(X6335,X$256:X6334,0)),1,0))</f>
        <v/>
      </c>
      <c r="AC6335">
        <f>IF(AB6335&gt;AB6334,AB6335,"")</f>
        <v/>
      </c>
    </row>
    <row r="6336">
      <c r="W6336" s="7" t="n"/>
      <c r="X6336" s="7" t="n"/>
      <c r="Z6336">
        <f>Z6335+IF(W6336="",0,IF(ISNA(MATCH(W6336,W$256:W6335,0)),1,0))</f>
        <v/>
      </c>
      <c r="AA6336">
        <f>IF(Z6336&gt;Z6335,Z6336,"")</f>
        <v/>
      </c>
      <c r="AB6336">
        <f>AB6335+IF(X6336="",0,IF(ISNA(MATCH(X6336,X$256:X6335,0)),1,0))</f>
        <v/>
      </c>
      <c r="AC6336">
        <f>IF(AB6336&gt;AB6335,AB6336,"")</f>
        <v/>
      </c>
    </row>
    <row r="6337">
      <c r="W6337" s="7" t="n"/>
      <c r="X6337" s="7" t="n"/>
      <c r="Z6337">
        <f>Z6336+IF(W6337="",0,IF(ISNA(MATCH(W6337,W$256:W6336,0)),1,0))</f>
        <v/>
      </c>
      <c r="AA6337">
        <f>IF(Z6337&gt;Z6336,Z6337,"")</f>
        <v/>
      </c>
      <c r="AB6337">
        <f>AB6336+IF(X6337="",0,IF(ISNA(MATCH(X6337,X$256:X6336,0)),1,0))</f>
        <v/>
      </c>
      <c r="AC6337">
        <f>IF(AB6337&gt;AB6336,AB6337,"")</f>
        <v/>
      </c>
    </row>
    <row r="6338">
      <c r="W6338" s="7" t="n"/>
      <c r="X6338" s="7" t="n"/>
      <c r="Z6338">
        <f>Z6337+IF(W6338="",0,IF(ISNA(MATCH(W6338,W$256:W6337,0)),1,0))</f>
        <v/>
      </c>
      <c r="AA6338">
        <f>IF(Z6338&gt;Z6337,Z6338,"")</f>
        <v/>
      </c>
      <c r="AB6338">
        <f>AB6337+IF(X6338="",0,IF(ISNA(MATCH(X6338,X$256:X6337,0)),1,0))</f>
        <v/>
      </c>
      <c r="AC6338">
        <f>IF(AB6338&gt;AB6337,AB6338,"")</f>
        <v/>
      </c>
    </row>
    <row r="6339">
      <c r="W6339" s="7" t="n"/>
      <c r="X6339" s="7" t="n"/>
      <c r="Z6339">
        <f>Z6338+IF(W6339="",0,IF(ISNA(MATCH(W6339,W$256:W6338,0)),1,0))</f>
        <v/>
      </c>
      <c r="AA6339">
        <f>IF(Z6339&gt;Z6338,Z6339,"")</f>
        <v/>
      </c>
      <c r="AB6339">
        <f>AB6338+IF(X6339="",0,IF(ISNA(MATCH(X6339,X$256:X6338,0)),1,0))</f>
        <v/>
      </c>
      <c r="AC6339">
        <f>IF(AB6339&gt;AB6338,AB6339,"")</f>
        <v/>
      </c>
    </row>
    <row r="6340">
      <c r="W6340" s="7" t="n"/>
      <c r="X6340" s="7" t="n"/>
      <c r="Z6340">
        <f>Z6339+IF(W6340="",0,IF(ISNA(MATCH(W6340,W$256:W6339,0)),1,0))</f>
        <v/>
      </c>
      <c r="AA6340">
        <f>IF(Z6340&gt;Z6339,Z6340,"")</f>
        <v/>
      </c>
      <c r="AB6340">
        <f>AB6339+IF(X6340="",0,IF(ISNA(MATCH(X6340,X$256:X6339,0)),1,0))</f>
        <v/>
      </c>
      <c r="AC6340">
        <f>IF(AB6340&gt;AB6339,AB6340,"")</f>
        <v/>
      </c>
    </row>
    <row r="6341">
      <c r="W6341" s="7" t="n"/>
      <c r="X6341" s="7" t="n"/>
      <c r="Z6341">
        <f>Z6340+IF(W6341="",0,IF(ISNA(MATCH(W6341,W$256:W6340,0)),1,0))</f>
        <v/>
      </c>
      <c r="AA6341">
        <f>IF(Z6341&gt;Z6340,Z6341,"")</f>
        <v/>
      </c>
      <c r="AB6341">
        <f>AB6340+IF(X6341="",0,IF(ISNA(MATCH(X6341,X$256:X6340,0)),1,0))</f>
        <v/>
      </c>
      <c r="AC6341">
        <f>IF(AB6341&gt;AB6340,AB6341,"")</f>
        <v/>
      </c>
    </row>
    <row r="6342">
      <c r="W6342" s="7" t="n"/>
      <c r="X6342" s="7" t="n"/>
      <c r="Z6342">
        <f>Z6341+IF(W6342="",0,IF(ISNA(MATCH(W6342,W$256:W6341,0)),1,0))</f>
        <v/>
      </c>
      <c r="AA6342">
        <f>IF(Z6342&gt;Z6341,Z6342,"")</f>
        <v/>
      </c>
      <c r="AB6342">
        <f>AB6341+IF(X6342="",0,IF(ISNA(MATCH(X6342,X$256:X6341,0)),1,0))</f>
        <v/>
      </c>
      <c r="AC6342">
        <f>IF(AB6342&gt;AB6341,AB6342,"")</f>
        <v/>
      </c>
    </row>
    <row r="6343">
      <c r="W6343" s="7" t="n"/>
      <c r="X6343" s="7" t="n"/>
      <c r="Z6343">
        <f>Z6342+IF(W6343="",0,IF(ISNA(MATCH(W6343,W$256:W6342,0)),1,0))</f>
        <v/>
      </c>
      <c r="AA6343">
        <f>IF(Z6343&gt;Z6342,Z6343,"")</f>
        <v/>
      </c>
      <c r="AB6343">
        <f>AB6342+IF(X6343="",0,IF(ISNA(MATCH(X6343,X$256:X6342,0)),1,0))</f>
        <v/>
      </c>
      <c r="AC6343">
        <f>IF(AB6343&gt;AB6342,AB6343,"")</f>
        <v/>
      </c>
    </row>
    <row r="6344">
      <c r="W6344" s="7" t="n"/>
      <c r="X6344" s="7" t="n"/>
      <c r="Z6344">
        <f>Z6343+IF(W6344="",0,IF(ISNA(MATCH(W6344,W$256:W6343,0)),1,0))</f>
        <v/>
      </c>
      <c r="AA6344">
        <f>IF(Z6344&gt;Z6343,Z6344,"")</f>
        <v/>
      </c>
      <c r="AB6344">
        <f>AB6343+IF(X6344="",0,IF(ISNA(MATCH(X6344,X$256:X6343,0)),1,0))</f>
        <v/>
      </c>
      <c r="AC6344">
        <f>IF(AB6344&gt;AB6343,AB6344,"")</f>
        <v/>
      </c>
    </row>
    <row r="6345">
      <c r="W6345" s="7" t="n"/>
      <c r="X6345" s="7" t="n"/>
      <c r="Z6345">
        <f>Z6344+IF(W6345="",0,IF(ISNA(MATCH(W6345,W$256:W6344,0)),1,0))</f>
        <v/>
      </c>
      <c r="AA6345">
        <f>IF(Z6345&gt;Z6344,Z6345,"")</f>
        <v/>
      </c>
      <c r="AB6345">
        <f>AB6344+IF(X6345="",0,IF(ISNA(MATCH(X6345,X$256:X6344,0)),1,0))</f>
        <v/>
      </c>
      <c r="AC6345">
        <f>IF(AB6345&gt;AB6344,AB6345,"")</f>
        <v/>
      </c>
    </row>
    <row r="6346">
      <c r="W6346" s="7" t="n"/>
      <c r="X6346" s="7" t="n"/>
      <c r="Z6346">
        <f>Z6345+IF(W6346="",0,IF(ISNA(MATCH(W6346,W$256:W6345,0)),1,0))</f>
        <v/>
      </c>
      <c r="AA6346">
        <f>IF(Z6346&gt;Z6345,Z6346,"")</f>
        <v/>
      </c>
      <c r="AB6346">
        <f>AB6345+IF(X6346="",0,IF(ISNA(MATCH(X6346,X$256:X6345,0)),1,0))</f>
        <v/>
      </c>
      <c r="AC6346">
        <f>IF(AB6346&gt;AB6345,AB6346,"")</f>
        <v/>
      </c>
    </row>
    <row r="6347">
      <c r="W6347" s="7" t="n"/>
      <c r="X6347" s="7" t="n"/>
      <c r="Z6347">
        <f>Z6346+IF(W6347="",0,IF(ISNA(MATCH(W6347,W$256:W6346,0)),1,0))</f>
        <v/>
      </c>
      <c r="AA6347">
        <f>IF(Z6347&gt;Z6346,Z6347,"")</f>
        <v/>
      </c>
      <c r="AB6347">
        <f>AB6346+IF(X6347="",0,IF(ISNA(MATCH(X6347,X$256:X6346,0)),1,0))</f>
        <v/>
      </c>
      <c r="AC6347">
        <f>IF(AB6347&gt;AB6346,AB6347,"")</f>
        <v/>
      </c>
    </row>
    <row r="6348">
      <c r="W6348" s="7" t="n"/>
      <c r="X6348" s="7" t="n"/>
      <c r="Z6348">
        <f>Z6347+IF(W6348="",0,IF(ISNA(MATCH(W6348,W$256:W6347,0)),1,0))</f>
        <v/>
      </c>
      <c r="AA6348">
        <f>IF(Z6348&gt;Z6347,Z6348,"")</f>
        <v/>
      </c>
      <c r="AB6348">
        <f>AB6347+IF(X6348="",0,IF(ISNA(MATCH(X6348,X$256:X6347,0)),1,0))</f>
        <v/>
      </c>
      <c r="AC6348">
        <f>IF(AB6348&gt;AB6347,AB6348,"")</f>
        <v/>
      </c>
    </row>
    <row r="6349">
      <c r="W6349" s="7" t="n"/>
      <c r="X6349" s="7" t="n"/>
      <c r="Z6349">
        <f>Z6348+IF(W6349="",0,IF(ISNA(MATCH(W6349,W$256:W6348,0)),1,0))</f>
        <v/>
      </c>
      <c r="AA6349">
        <f>IF(Z6349&gt;Z6348,Z6349,"")</f>
        <v/>
      </c>
      <c r="AB6349">
        <f>AB6348+IF(X6349="",0,IF(ISNA(MATCH(X6349,X$256:X6348,0)),1,0))</f>
        <v/>
      </c>
      <c r="AC6349">
        <f>IF(AB6349&gt;AB6348,AB6349,"")</f>
        <v/>
      </c>
    </row>
    <row r="6350">
      <c r="W6350" s="7" t="n"/>
      <c r="X6350" s="7" t="n"/>
      <c r="Z6350">
        <f>Z6349+IF(W6350="",0,IF(ISNA(MATCH(W6350,W$256:W6349,0)),1,0))</f>
        <v/>
      </c>
      <c r="AA6350">
        <f>IF(Z6350&gt;Z6349,Z6350,"")</f>
        <v/>
      </c>
      <c r="AB6350">
        <f>AB6349+IF(X6350="",0,IF(ISNA(MATCH(X6350,X$256:X6349,0)),1,0))</f>
        <v/>
      </c>
      <c r="AC6350">
        <f>IF(AB6350&gt;AB6349,AB6350,"")</f>
        <v/>
      </c>
    </row>
    <row r="6351">
      <c r="W6351" s="7" t="n"/>
      <c r="X6351" s="7" t="n"/>
      <c r="Z6351">
        <f>Z6350+IF(W6351="",0,IF(ISNA(MATCH(W6351,W$256:W6350,0)),1,0))</f>
        <v/>
      </c>
      <c r="AA6351">
        <f>IF(Z6351&gt;Z6350,Z6351,"")</f>
        <v/>
      </c>
      <c r="AB6351">
        <f>AB6350+IF(X6351="",0,IF(ISNA(MATCH(X6351,X$256:X6350,0)),1,0))</f>
        <v/>
      </c>
      <c r="AC6351">
        <f>IF(AB6351&gt;AB6350,AB6351,"")</f>
        <v/>
      </c>
    </row>
    <row r="6352">
      <c r="W6352" s="7" t="n"/>
      <c r="X6352" s="7" t="n"/>
      <c r="Z6352">
        <f>Z6351+IF(W6352="",0,IF(ISNA(MATCH(W6352,W$256:W6351,0)),1,0))</f>
        <v/>
      </c>
      <c r="AA6352">
        <f>IF(Z6352&gt;Z6351,Z6352,"")</f>
        <v/>
      </c>
      <c r="AB6352">
        <f>AB6351+IF(X6352="",0,IF(ISNA(MATCH(X6352,X$256:X6351,0)),1,0))</f>
        <v/>
      </c>
      <c r="AC6352">
        <f>IF(AB6352&gt;AB6351,AB6352,"")</f>
        <v/>
      </c>
    </row>
    <row r="6353">
      <c r="W6353" s="7" t="n"/>
      <c r="X6353" s="7" t="n"/>
      <c r="Z6353">
        <f>Z6352+IF(W6353="",0,IF(ISNA(MATCH(W6353,W$256:W6352,0)),1,0))</f>
        <v/>
      </c>
      <c r="AA6353">
        <f>IF(Z6353&gt;Z6352,Z6353,"")</f>
        <v/>
      </c>
      <c r="AB6353">
        <f>AB6352+IF(X6353="",0,IF(ISNA(MATCH(X6353,X$256:X6352,0)),1,0))</f>
        <v/>
      </c>
      <c r="AC6353">
        <f>IF(AB6353&gt;AB6352,AB6353,"")</f>
        <v/>
      </c>
    </row>
    <row r="6354">
      <c r="W6354" s="7" t="n"/>
      <c r="X6354" s="7" t="n"/>
      <c r="Z6354">
        <f>Z6353+IF(W6354="",0,IF(ISNA(MATCH(W6354,W$256:W6353,0)),1,0))</f>
        <v/>
      </c>
      <c r="AA6354">
        <f>IF(Z6354&gt;Z6353,Z6354,"")</f>
        <v/>
      </c>
      <c r="AB6354">
        <f>AB6353+IF(X6354="",0,IF(ISNA(MATCH(X6354,X$256:X6353,0)),1,0))</f>
        <v/>
      </c>
      <c r="AC6354">
        <f>IF(AB6354&gt;AB6353,AB6354,"")</f>
        <v/>
      </c>
    </row>
    <row r="6355">
      <c r="W6355" s="7" t="n"/>
      <c r="X6355" s="7" t="n"/>
      <c r="Z6355">
        <f>Z6354+IF(W6355="",0,IF(ISNA(MATCH(W6355,W$256:W6354,0)),1,0))</f>
        <v/>
      </c>
      <c r="AA6355">
        <f>IF(Z6355&gt;Z6354,Z6355,"")</f>
        <v/>
      </c>
      <c r="AB6355">
        <f>AB6354+IF(X6355="",0,IF(ISNA(MATCH(X6355,X$256:X6354,0)),1,0))</f>
        <v/>
      </c>
      <c r="AC6355">
        <f>IF(AB6355&gt;AB6354,AB6355,"")</f>
        <v/>
      </c>
    </row>
    <row r="6356">
      <c r="W6356" s="7" t="n"/>
      <c r="X6356" s="7" t="n"/>
      <c r="Z6356">
        <f>Z6355+IF(W6356="",0,IF(ISNA(MATCH(W6356,W$256:W6355,0)),1,0))</f>
        <v/>
      </c>
      <c r="AA6356">
        <f>IF(Z6356&gt;Z6355,Z6356,"")</f>
        <v/>
      </c>
      <c r="AB6356">
        <f>AB6355+IF(X6356="",0,IF(ISNA(MATCH(X6356,X$256:X6355,0)),1,0))</f>
        <v/>
      </c>
      <c r="AC6356">
        <f>IF(AB6356&gt;AB6355,AB6356,"")</f>
        <v/>
      </c>
    </row>
    <row r="6357">
      <c r="W6357" s="7" t="n"/>
      <c r="X6357" s="7" t="n"/>
      <c r="Z6357">
        <f>Z6356+IF(W6357="",0,IF(ISNA(MATCH(W6357,W$256:W6356,0)),1,0))</f>
        <v/>
      </c>
      <c r="AA6357">
        <f>IF(Z6357&gt;Z6356,Z6357,"")</f>
        <v/>
      </c>
      <c r="AB6357">
        <f>AB6356+IF(X6357="",0,IF(ISNA(MATCH(X6357,X$256:X6356,0)),1,0))</f>
        <v/>
      </c>
      <c r="AC6357">
        <f>IF(AB6357&gt;AB6356,AB6357,"")</f>
        <v/>
      </c>
    </row>
    <row r="6358">
      <c r="W6358" s="7" t="n"/>
      <c r="X6358" s="7" t="n"/>
      <c r="Z6358">
        <f>Z6357+IF(W6358="",0,IF(ISNA(MATCH(W6358,W$256:W6357,0)),1,0))</f>
        <v/>
      </c>
      <c r="AA6358">
        <f>IF(Z6358&gt;Z6357,Z6358,"")</f>
        <v/>
      </c>
      <c r="AB6358">
        <f>AB6357+IF(X6358="",0,IF(ISNA(MATCH(X6358,X$256:X6357,0)),1,0))</f>
        <v/>
      </c>
      <c r="AC6358">
        <f>IF(AB6358&gt;AB6357,AB6358,"")</f>
        <v/>
      </c>
    </row>
    <row r="6359">
      <c r="W6359" s="7" t="n"/>
      <c r="X6359" s="7" t="n"/>
      <c r="Z6359">
        <f>Z6358+IF(W6359="",0,IF(ISNA(MATCH(W6359,W$256:W6358,0)),1,0))</f>
        <v/>
      </c>
      <c r="AA6359">
        <f>IF(Z6359&gt;Z6358,Z6359,"")</f>
        <v/>
      </c>
      <c r="AB6359">
        <f>AB6358+IF(X6359="",0,IF(ISNA(MATCH(X6359,X$256:X6358,0)),1,0))</f>
        <v/>
      </c>
      <c r="AC6359">
        <f>IF(AB6359&gt;AB6358,AB6359,"")</f>
        <v/>
      </c>
    </row>
    <row r="6360">
      <c r="W6360" s="7" t="n"/>
      <c r="X6360" s="7" t="n"/>
      <c r="Z6360">
        <f>Z6359+IF(W6360="",0,IF(ISNA(MATCH(W6360,W$256:W6359,0)),1,0))</f>
        <v/>
      </c>
      <c r="AA6360">
        <f>IF(Z6360&gt;Z6359,Z6360,"")</f>
        <v/>
      </c>
      <c r="AB6360">
        <f>AB6359+IF(X6360="",0,IF(ISNA(MATCH(X6360,X$256:X6359,0)),1,0))</f>
        <v/>
      </c>
      <c r="AC6360">
        <f>IF(AB6360&gt;AB6359,AB6360,"")</f>
        <v/>
      </c>
    </row>
    <row r="6361">
      <c r="W6361" s="7" t="n"/>
      <c r="X6361" s="7" t="n"/>
      <c r="Z6361">
        <f>Z6360+IF(W6361="",0,IF(ISNA(MATCH(W6361,W$256:W6360,0)),1,0))</f>
        <v/>
      </c>
      <c r="AA6361">
        <f>IF(Z6361&gt;Z6360,Z6361,"")</f>
        <v/>
      </c>
      <c r="AB6361">
        <f>AB6360+IF(X6361="",0,IF(ISNA(MATCH(X6361,X$256:X6360,0)),1,0))</f>
        <v/>
      </c>
      <c r="AC6361">
        <f>IF(AB6361&gt;AB6360,AB6361,"")</f>
        <v/>
      </c>
    </row>
    <row r="6362">
      <c r="W6362" s="7" t="n"/>
      <c r="X6362" s="7" t="n"/>
      <c r="Z6362">
        <f>Z6361+IF(W6362="",0,IF(ISNA(MATCH(W6362,W$256:W6361,0)),1,0))</f>
        <v/>
      </c>
      <c r="AA6362">
        <f>IF(Z6362&gt;Z6361,Z6362,"")</f>
        <v/>
      </c>
      <c r="AB6362">
        <f>AB6361+IF(X6362="",0,IF(ISNA(MATCH(X6362,X$256:X6361,0)),1,0))</f>
        <v/>
      </c>
      <c r="AC6362">
        <f>IF(AB6362&gt;AB6361,AB6362,"")</f>
        <v/>
      </c>
    </row>
    <row r="6363">
      <c r="W6363" s="7" t="n"/>
      <c r="X6363" s="7" t="n"/>
      <c r="Z6363">
        <f>Z6362+IF(W6363="",0,IF(ISNA(MATCH(W6363,W$256:W6362,0)),1,0))</f>
        <v/>
      </c>
      <c r="AA6363">
        <f>IF(Z6363&gt;Z6362,Z6363,"")</f>
        <v/>
      </c>
      <c r="AB6363">
        <f>AB6362+IF(X6363="",0,IF(ISNA(MATCH(X6363,X$256:X6362,0)),1,0))</f>
        <v/>
      </c>
      <c r="AC6363">
        <f>IF(AB6363&gt;AB6362,AB6363,"")</f>
        <v/>
      </c>
    </row>
    <row r="6364">
      <c r="W6364" s="7" t="n"/>
      <c r="X6364" s="7" t="n"/>
      <c r="Z6364">
        <f>Z6363+IF(W6364="",0,IF(ISNA(MATCH(W6364,W$256:W6363,0)),1,0))</f>
        <v/>
      </c>
      <c r="AA6364">
        <f>IF(Z6364&gt;Z6363,Z6364,"")</f>
        <v/>
      </c>
      <c r="AB6364">
        <f>AB6363+IF(X6364="",0,IF(ISNA(MATCH(X6364,X$256:X6363,0)),1,0))</f>
        <v/>
      </c>
      <c r="AC6364">
        <f>IF(AB6364&gt;AB6363,AB6364,"")</f>
        <v/>
      </c>
    </row>
    <row r="6365">
      <c r="W6365" s="7" t="n"/>
      <c r="X6365" s="7" t="n"/>
      <c r="Z6365">
        <f>Z6364+IF(W6365="",0,IF(ISNA(MATCH(W6365,W$256:W6364,0)),1,0))</f>
        <v/>
      </c>
      <c r="AA6365">
        <f>IF(Z6365&gt;Z6364,Z6365,"")</f>
        <v/>
      </c>
      <c r="AB6365">
        <f>AB6364+IF(X6365="",0,IF(ISNA(MATCH(X6365,X$256:X6364,0)),1,0))</f>
        <v/>
      </c>
      <c r="AC6365">
        <f>IF(AB6365&gt;AB6364,AB6365,"")</f>
        <v/>
      </c>
    </row>
    <row r="6366">
      <c r="W6366" s="7" t="n"/>
      <c r="X6366" s="7" t="n"/>
      <c r="Z6366">
        <f>Z6365+IF(W6366="",0,IF(ISNA(MATCH(W6366,W$256:W6365,0)),1,0))</f>
        <v/>
      </c>
      <c r="AA6366">
        <f>IF(Z6366&gt;Z6365,Z6366,"")</f>
        <v/>
      </c>
      <c r="AB6366">
        <f>AB6365+IF(X6366="",0,IF(ISNA(MATCH(X6366,X$256:X6365,0)),1,0))</f>
        <v/>
      </c>
      <c r="AC6366">
        <f>IF(AB6366&gt;AB6365,AB6366,"")</f>
        <v/>
      </c>
    </row>
    <row r="6367">
      <c r="W6367" s="7" t="n"/>
      <c r="X6367" s="7" t="n"/>
      <c r="Z6367">
        <f>Z6366+IF(W6367="",0,IF(ISNA(MATCH(W6367,W$256:W6366,0)),1,0))</f>
        <v/>
      </c>
      <c r="AA6367">
        <f>IF(Z6367&gt;Z6366,Z6367,"")</f>
        <v/>
      </c>
      <c r="AB6367">
        <f>AB6366+IF(X6367="",0,IF(ISNA(MATCH(X6367,X$256:X6366,0)),1,0))</f>
        <v/>
      </c>
      <c r="AC6367">
        <f>IF(AB6367&gt;AB6366,AB6367,"")</f>
        <v/>
      </c>
    </row>
    <row r="6368">
      <c r="W6368" s="7" t="n"/>
      <c r="X6368" s="7" t="n"/>
      <c r="Z6368">
        <f>Z6367+IF(W6368="",0,IF(ISNA(MATCH(W6368,W$256:W6367,0)),1,0))</f>
        <v/>
      </c>
      <c r="AA6368">
        <f>IF(Z6368&gt;Z6367,Z6368,"")</f>
        <v/>
      </c>
      <c r="AB6368">
        <f>AB6367+IF(X6368="",0,IF(ISNA(MATCH(X6368,X$256:X6367,0)),1,0))</f>
        <v/>
      </c>
      <c r="AC6368">
        <f>IF(AB6368&gt;AB6367,AB6368,"")</f>
        <v/>
      </c>
    </row>
    <row r="6369">
      <c r="W6369" s="7" t="n"/>
      <c r="X6369" s="7" t="n"/>
      <c r="Z6369">
        <f>Z6368+IF(W6369="",0,IF(ISNA(MATCH(W6369,W$256:W6368,0)),1,0))</f>
        <v/>
      </c>
      <c r="AA6369">
        <f>IF(Z6369&gt;Z6368,Z6369,"")</f>
        <v/>
      </c>
      <c r="AB6369">
        <f>AB6368+IF(X6369="",0,IF(ISNA(MATCH(X6369,X$256:X6368,0)),1,0))</f>
        <v/>
      </c>
      <c r="AC6369">
        <f>IF(AB6369&gt;AB6368,AB6369,"")</f>
        <v/>
      </c>
    </row>
    <row r="6370">
      <c r="W6370" s="7" t="n"/>
      <c r="X6370" s="7" t="n"/>
      <c r="Z6370">
        <f>Z6369+IF(W6370="",0,IF(ISNA(MATCH(W6370,W$256:W6369,0)),1,0))</f>
        <v/>
      </c>
      <c r="AA6370">
        <f>IF(Z6370&gt;Z6369,Z6370,"")</f>
        <v/>
      </c>
      <c r="AB6370">
        <f>AB6369+IF(X6370="",0,IF(ISNA(MATCH(X6370,X$256:X6369,0)),1,0))</f>
        <v/>
      </c>
      <c r="AC6370">
        <f>IF(AB6370&gt;AB6369,AB6370,"")</f>
        <v/>
      </c>
    </row>
    <row r="6371">
      <c r="W6371" s="7" t="n"/>
      <c r="X6371" s="7" t="n"/>
      <c r="Z6371">
        <f>Z6370+IF(W6371="",0,IF(ISNA(MATCH(W6371,W$256:W6370,0)),1,0))</f>
        <v/>
      </c>
      <c r="AA6371">
        <f>IF(Z6371&gt;Z6370,Z6371,"")</f>
        <v/>
      </c>
      <c r="AB6371">
        <f>AB6370+IF(X6371="",0,IF(ISNA(MATCH(X6371,X$256:X6370,0)),1,0))</f>
        <v/>
      </c>
      <c r="AC6371">
        <f>IF(AB6371&gt;AB6370,AB6371,"")</f>
        <v/>
      </c>
    </row>
    <row r="6372">
      <c r="W6372" s="7" t="n"/>
      <c r="X6372" s="7" t="n"/>
      <c r="Z6372">
        <f>Z6371+IF(W6372="",0,IF(ISNA(MATCH(W6372,W$256:W6371,0)),1,0))</f>
        <v/>
      </c>
      <c r="AA6372">
        <f>IF(Z6372&gt;Z6371,Z6372,"")</f>
        <v/>
      </c>
      <c r="AB6372">
        <f>AB6371+IF(X6372="",0,IF(ISNA(MATCH(X6372,X$256:X6371,0)),1,0))</f>
        <v/>
      </c>
      <c r="AC6372">
        <f>IF(AB6372&gt;AB6371,AB6372,"")</f>
        <v/>
      </c>
    </row>
    <row r="6373">
      <c r="W6373" s="7" t="n"/>
      <c r="X6373" s="7" t="n"/>
      <c r="Z6373">
        <f>Z6372+IF(W6373="",0,IF(ISNA(MATCH(W6373,W$256:W6372,0)),1,0))</f>
        <v/>
      </c>
      <c r="AA6373">
        <f>IF(Z6373&gt;Z6372,Z6373,"")</f>
        <v/>
      </c>
      <c r="AB6373">
        <f>AB6372+IF(X6373="",0,IF(ISNA(MATCH(X6373,X$256:X6372,0)),1,0))</f>
        <v/>
      </c>
      <c r="AC6373">
        <f>IF(AB6373&gt;AB6372,AB6373,"")</f>
        <v/>
      </c>
    </row>
    <row r="6374">
      <c r="W6374" s="7" t="n"/>
      <c r="X6374" s="7" t="n"/>
      <c r="Z6374">
        <f>Z6373+IF(W6374="",0,IF(ISNA(MATCH(W6374,W$256:W6373,0)),1,0))</f>
        <v/>
      </c>
      <c r="AA6374">
        <f>IF(Z6374&gt;Z6373,Z6374,"")</f>
        <v/>
      </c>
      <c r="AB6374">
        <f>AB6373+IF(X6374="",0,IF(ISNA(MATCH(X6374,X$256:X6373,0)),1,0))</f>
        <v/>
      </c>
      <c r="AC6374">
        <f>IF(AB6374&gt;AB6373,AB6374,"")</f>
        <v/>
      </c>
    </row>
    <row r="6375">
      <c r="W6375" s="7" t="n"/>
      <c r="X6375" s="7" t="n"/>
      <c r="Z6375">
        <f>Z6374+IF(W6375="",0,IF(ISNA(MATCH(W6375,W$256:W6374,0)),1,0))</f>
        <v/>
      </c>
      <c r="AA6375">
        <f>IF(Z6375&gt;Z6374,Z6375,"")</f>
        <v/>
      </c>
      <c r="AB6375">
        <f>AB6374+IF(X6375="",0,IF(ISNA(MATCH(X6375,X$256:X6374,0)),1,0))</f>
        <v/>
      </c>
      <c r="AC6375">
        <f>IF(AB6375&gt;AB6374,AB6375,"")</f>
        <v/>
      </c>
    </row>
    <row r="6376">
      <c r="W6376" s="7" t="n"/>
      <c r="X6376" s="7" t="n"/>
      <c r="Z6376">
        <f>Z6375+IF(W6376="",0,IF(ISNA(MATCH(W6376,W$256:W6375,0)),1,0))</f>
        <v/>
      </c>
      <c r="AA6376">
        <f>IF(Z6376&gt;Z6375,Z6376,"")</f>
        <v/>
      </c>
      <c r="AB6376">
        <f>AB6375+IF(X6376="",0,IF(ISNA(MATCH(X6376,X$256:X6375,0)),1,0))</f>
        <v/>
      </c>
      <c r="AC6376">
        <f>IF(AB6376&gt;AB6375,AB6376,"")</f>
        <v/>
      </c>
    </row>
    <row r="6377">
      <c r="W6377" s="7" t="n"/>
      <c r="X6377" s="7" t="n"/>
      <c r="Z6377">
        <f>Z6376+IF(W6377="",0,IF(ISNA(MATCH(W6377,W$256:W6376,0)),1,0))</f>
        <v/>
      </c>
      <c r="AA6377">
        <f>IF(Z6377&gt;Z6376,Z6377,"")</f>
        <v/>
      </c>
      <c r="AB6377">
        <f>AB6376+IF(X6377="",0,IF(ISNA(MATCH(X6377,X$256:X6376,0)),1,0))</f>
        <v/>
      </c>
      <c r="AC6377">
        <f>IF(AB6377&gt;AB6376,AB6377,"")</f>
        <v/>
      </c>
    </row>
    <row r="6378">
      <c r="W6378" s="7" t="n"/>
      <c r="X6378" s="7" t="n"/>
      <c r="Z6378">
        <f>Z6377+IF(W6378="",0,IF(ISNA(MATCH(W6378,W$256:W6377,0)),1,0))</f>
        <v/>
      </c>
      <c r="AA6378">
        <f>IF(Z6378&gt;Z6377,Z6378,"")</f>
        <v/>
      </c>
      <c r="AB6378">
        <f>AB6377+IF(X6378="",0,IF(ISNA(MATCH(X6378,X$256:X6377,0)),1,0))</f>
        <v/>
      </c>
      <c r="AC6378">
        <f>IF(AB6378&gt;AB6377,AB6378,"")</f>
        <v/>
      </c>
    </row>
    <row r="6379">
      <c r="W6379" s="7" t="n"/>
      <c r="X6379" s="7" t="n"/>
      <c r="Z6379">
        <f>Z6378+IF(W6379="",0,IF(ISNA(MATCH(W6379,W$256:W6378,0)),1,0))</f>
        <v/>
      </c>
      <c r="AA6379">
        <f>IF(Z6379&gt;Z6378,Z6379,"")</f>
        <v/>
      </c>
      <c r="AB6379">
        <f>AB6378+IF(X6379="",0,IF(ISNA(MATCH(X6379,X$256:X6378,0)),1,0))</f>
        <v/>
      </c>
      <c r="AC6379">
        <f>IF(AB6379&gt;AB6378,AB6379,"")</f>
        <v/>
      </c>
    </row>
    <row r="6380">
      <c r="W6380" s="7" t="n"/>
      <c r="X6380" s="7" t="n"/>
      <c r="Z6380">
        <f>Z6379+IF(W6380="",0,IF(ISNA(MATCH(W6380,W$256:W6379,0)),1,0))</f>
        <v/>
      </c>
      <c r="AA6380">
        <f>IF(Z6380&gt;Z6379,Z6380,"")</f>
        <v/>
      </c>
      <c r="AB6380">
        <f>AB6379+IF(X6380="",0,IF(ISNA(MATCH(X6380,X$256:X6379,0)),1,0))</f>
        <v/>
      </c>
      <c r="AC6380">
        <f>IF(AB6380&gt;AB6379,AB6380,"")</f>
        <v/>
      </c>
    </row>
    <row r="6381">
      <c r="W6381" s="7" t="n"/>
      <c r="X6381" s="7" t="n"/>
      <c r="Z6381">
        <f>Z6380+IF(W6381="",0,IF(ISNA(MATCH(W6381,W$256:W6380,0)),1,0))</f>
        <v/>
      </c>
      <c r="AA6381">
        <f>IF(Z6381&gt;Z6380,Z6381,"")</f>
        <v/>
      </c>
      <c r="AB6381">
        <f>AB6380+IF(X6381="",0,IF(ISNA(MATCH(X6381,X$256:X6380,0)),1,0))</f>
        <v/>
      </c>
      <c r="AC6381">
        <f>IF(AB6381&gt;AB6380,AB6381,"")</f>
        <v/>
      </c>
    </row>
    <row r="6382">
      <c r="W6382" s="7" t="n"/>
      <c r="X6382" s="7" t="n"/>
      <c r="Z6382">
        <f>Z6381+IF(W6382="",0,IF(ISNA(MATCH(W6382,W$256:W6381,0)),1,0))</f>
        <v/>
      </c>
      <c r="AA6382">
        <f>IF(Z6382&gt;Z6381,Z6382,"")</f>
        <v/>
      </c>
      <c r="AB6382">
        <f>AB6381+IF(X6382="",0,IF(ISNA(MATCH(X6382,X$256:X6381,0)),1,0))</f>
        <v/>
      </c>
      <c r="AC6382">
        <f>IF(AB6382&gt;AB6381,AB6382,"")</f>
        <v/>
      </c>
    </row>
    <row r="6383">
      <c r="W6383" s="7" t="n"/>
      <c r="X6383" s="7" t="n"/>
      <c r="Z6383">
        <f>Z6382+IF(W6383="",0,IF(ISNA(MATCH(W6383,W$256:W6382,0)),1,0))</f>
        <v/>
      </c>
      <c r="AA6383">
        <f>IF(Z6383&gt;Z6382,Z6383,"")</f>
        <v/>
      </c>
      <c r="AB6383">
        <f>AB6382+IF(X6383="",0,IF(ISNA(MATCH(X6383,X$256:X6382,0)),1,0))</f>
        <v/>
      </c>
      <c r="AC6383">
        <f>IF(AB6383&gt;AB6382,AB6383,"")</f>
        <v/>
      </c>
    </row>
    <row r="6384">
      <c r="W6384" s="7" t="n"/>
      <c r="X6384" s="7" t="n"/>
      <c r="Z6384">
        <f>Z6383+IF(W6384="",0,IF(ISNA(MATCH(W6384,W$256:W6383,0)),1,0))</f>
        <v/>
      </c>
      <c r="AA6384">
        <f>IF(Z6384&gt;Z6383,Z6384,"")</f>
        <v/>
      </c>
      <c r="AB6384">
        <f>AB6383+IF(X6384="",0,IF(ISNA(MATCH(X6384,X$256:X6383,0)),1,0))</f>
        <v/>
      </c>
      <c r="AC6384">
        <f>IF(AB6384&gt;AB6383,AB6384,"")</f>
        <v/>
      </c>
    </row>
    <row r="6385">
      <c r="W6385" s="7" t="n"/>
      <c r="X6385" s="7" t="n"/>
      <c r="Z6385">
        <f>Z6384+IF(W6385="",0,IF(ISNA(MATCH(W6385,W$256:W6384,0)),1,0))</f>
        <v/>
      </c>
      <c r="AA6385">
        <f>IF(Z6385&gt;Z6384,Z6385,"")</f>
        <v/>
      </c>
      <c r="AB6385">
        <f>AB6384+IF(X6385="",0,IF(ISNA(MATCH(X6385,X$256:X6384,0)),1,0))</f>
        <v/>
      </c>
      <c r="AC6385">
        <f>IF(AB6385&gt;AB6384,AB6385,"")</f>
        <v/>
      </c>
    </row>
    <row r="6386">
      <c r="W6386" s="7" t="n"/>
      <c r="X6386" s="7" t="n"/>
      <c r="Z6386">
        <f>Z6385+IF(W6386="",0,IF(ISNA(MATCH(W6386,W$256:W6385,0)),1,0))</f>
        <v/>
      </c>
      <c r="AA6386">
        <f>IF(Z6386&gt;Z6385,Z6386,"")</f>
        <v/>
      </c>
      <c r="AB6386">
        <f>AB6385+IF(X6386="",0,IF(ISNA(MATCH(X6386,X$256:X6385,0)),1,0))</f>
        <v/>
      </c>
      <c r="AC6386">
        <f>IF(AB6386&gt;AB6385,AB6386,"")</f>
        <v/>
      </c>
    </row>
    <row r="6387">
      <c r="W6387" s="7" t="n"/>
      <c r="X6387" s="7" t="n"/>
      <c r="Z6387">
        <f>Z6386+IF(W6387="",0,IF(ISNA(MATCH(W6387,W$256:W6386,0)),1,0))</f>
        <v/>
      </c>
      <c r="AA6387">
        <f>IF(Z6387&gt;Z6386,Z6387,"")</f>
        <v/>
      </c>
      <c r="AB6387">
        <f>AB6386+IF(X6387="",0,IF(ISNA(MATCH(X6387,X$256:X6386,0)),1,0))</f>
        <v/>
      </c>
      <c r="AC6387">
        <f>IF(AB6387&gt;AB6386,AB6387,"")</f>
        <v/>
      </c>
    </row>
    <row r="6388">
      <c r="W6388" s="7" t="n"/>
      <c r="X6388" s="7" t="n"/>
      <c r="Z6388">
        <f>Z6387+IF(W6388="",0,IF(ISNA(MATCH(W6388,W$256:W6387,0)),1,0))</f>
        <v/>
      </c>
      <c r="AA6388">
        <f>IF(Z6388&gt;Z6387,Z6388,"")</f>
        <v/>
      </c>
      <c r="AB6388">
        <f>AB6387+IF(X6388="",0,IF(ISNA(MATCH(X6388,X$256:X6387,0)),1,0))</f>
        <v/>
      </c>
      <c r="AC6388">
        <f>IF(AB6388&gt;AB6387,AB6388,"")</f>
        <v/>
      </c>
    </row>
    <row r="6389">
      <c r="W6389" s="7" t="n"/>
      <c r="X6389" s="7" t="n"/>
      <c r="Z6389">
        <f>Z6388+IF(W6389="",0,IF(ISNA(MATCH(W6389,W$256:W6388,0)),1,0))</f>
        <v/>
      </c>
      <c r="AA6389">
        <f>IF(Z6389&gt;Z6388,Z6389,"")</f>
        <v/>
      </c>
      <c r="AB6389">
        <f>AB6388+IF(X6389="",0,IF(ISNA(MATCH(X6389,X$256:X6388,0)),1,0))</f>
        <v/>
      </c>
      <c r="AC6389">
        <f>IF(AB6389&gt;AB6388,AB6389,"")</f>
        <v/>
      </c>
    </row>
    <row r="6390">
      <c r="W6390" s="7" t="n"/>
      <c r="X6390" s="7" t="n"/>
      <c r="Z6390">
        <f>Z6389+IF(W6390="",0,IF(ISNA(MATCH(W6390,W$256:W6389,0)),1,0))</f>
        <v/>
      </c>
      <c r="AA6390">
        <f>IF(Z6390&gt;Z6389,Z6390,"")</f>
        <v/>
      </c>
      <c r="AB6390">
        <f>AB6389+IF(X6390="",0,IF(ISNA(MATCH(X6390,X$256:X6389,0)),1,0))</f>
        <v/>
      </c>
      <c r="AC6390">
        <f>IF(AB6390&gt;AB6389,AB6390,"")</f>
        <v/>
      </c>
    </row>
    <row r="6391">
      <c r="W6391" s="7" t="n"/>
      <c r="X6391" s="7" t="n"/>
      <c r="Z6391">
        <f>Z6390+IF(W6391="",0,IF(ISNA(MATCH(W6391,W$256:W6390,0)),1,0))</f>
        <v/>
      </c>
      <c r="AA6391">
        <f>IF(Z6391&gt;Z6390,Z6391,"")</f>
        <v/>
      </c>
      <c r="AB6391">
        <f>AB6390+IF(X6391="",0,IF(ISNA(MATCH(X6391,X$256:X6390,0)),1,0))</f>
        <v/>
      </c>
      <c r="AC6391">
        <f>IF(AB6391&gt;AB6390,AB6391,"")</f>
        <v/>
      </c>
    </row>
    <row r="6392">
      <c r="W6392" s="7" t="n"/>
      <c r="X6392" s="7" t="n"/>
      <c r="Z6392">
        <f>Z6391+IF(W6392="",0,IF(ISNA(MATCH(W6392,W$256:W6391,0)),1,0))</f>
        <v/>
      </c>
      <c r="AA6392">
        <f>IF(Z6392&gt;Z6391,Z6392,"")</f>
        <v/>
      </c>
      <c r="AB6392">
        <f>AB6391+IF(X6392="",0,IF(ISNA(MATCH(X6392,X$256:X6391,0)),1,0))</f>
        <v/>
      </c>
      <c r="AC6392">
        <f>IF(AB6392&gt;AB6391,AB6392,"")</f>
        <v/>
      </c>
    </row>
    <row r="6393">
      <c r="W6393" s="7" t="n"/>
      <c r="X6393" s="7" t="n"/>
      <c r="Z6393">
        <f>Z6392+IF(W6393="",0,IF(ISNA(MATCH(W6393,W$256:W6392,0)),1,0))</f>
        <v/>
      </c>
      <c r="AA6393">
        <f>IF(Z6393&gt;Z6392,Z6393,"")</f>
        <v/>
      </c>
      <c r="AB6393">
        <f>AB6392+IF(X6393="",0,IF(ISNA(MATCH(X6393,X$256:X6392,0)),1,0))</f>
        <v/>
      </c>
      <c r="AC6393">
        <f>IF(AB6393&gt;AB6392,AB6393,"")</f>
        <v/>
      </c>
    </row>
    <row r="6394">
      <c r="W6394" s="7" t="n"/>
      <c r="X6394" s="7" t="n"/>
      <c r="Z6394">
        <f>Z6393+IF(W6394="",0,IF(ISNA(MATCH(W6394,W$256:W6393,0)),1,0))</f>
        <v/>
      </c>
      <c r="AA6394">
        <f>IF(Z6394&gt;Z6393,Z6394,"")</f>
        <v/>
      </c>
      <c r="AB6394">
        <f>AB6393+IF(X6394="",0,IF(ISNA(MATCH(X6394,X$256:X6393,0)),1,0))</f>
        <v/>
      </c>
      <c r="AC6394">
        <f>IF(AB6394&gt;AB6393,AB6394,"")</f>
        <v/>
      </c>
    </row>
    <row r="6395">
      <c r="W6395" s="7" t="n"/>
      <c r="X6395" s="7" t="n"/>
      <c r="Z6395">
        <f>Z6394+IF(W6395="",0,IF(ISNA(MATCH(W6395,W$256:W6394,0)),1,0))</f>
        <v/>
      </c>
      <c r="AA6395">
        <f>IF(Z6395&gt;Z6394,Z6395,"")</f>
        <v/>
      </c>
      <c r="AB6395">
        <f>AB6394+IF(X6395="",0,IF(ISNA(MATCH(X6395,X$256:X6394,0)),1,0))</f>
        <v/>
      </c>
      <c r="AC6395">
        <f>IF(AB6395&gt;AB6394,AB6395,"")</f>
        <v/>
      </c>
    </row>
    <row r="6396">
      <c r="W6396" s="7" t="n"/>
      <c r="X6396" s="7" t="n"/>
      <c r="Z6396">
        <f>Z6395+IF(W6396="",0,IF(ISNA(MATCH(W6396,W$256:W6395,0)),1,0))</f>
        <v/>
      </c>
      <c r="AA6396">
        <f>IF(Z6396&gt;Z6395,Z6396,"")</f>
        <v/>
      </c>
      <c r="AB6396">
        <f>AB6395+IF(X6396="",0,IF(ISNA(MATCH(X6396,X$256:X6395,0)),1,0))</f>
        <v/>
      </c>
      <c r="AC6396">
        <f>IF(AB6396&gt;AB6395,AB6396,"")</f>
        <v/>
      </c>
    </row>
    <row r="6397">
      <c r="W6397" s="7" t="n"/>
      <c r="X6397" s="7" t="n"/>
      <c r="Z6397">
        <f>Z6396+IF(W6397="",0,IF(ISNA(MATCH(W6397,W$256:W6396,0)),1,0))</f>
        <v/>
      </c>
      <c r="AA6397">
        <f>IF(Z6397&gt;Z6396,Z6397,"")</f>
        <v/>
      </c>
      <c r="AB6397">
        <f>AB6396+IF(X6397="",0,IF(ISNA(MATCH(X6397,X$256:X6396,0)),1,0))</f>
        <v/>
      </c>
      <c r="AC6397">
        <f>IF(AB6397&gt;AB6396,AB6397,"")</f>
        <v/>
      </c>
    </row>
    <row r="6398">
      <c r="W6398" s="7" t="n"/>
      <c r="X6398" s="7" t="n"/>
      <c r="Z6398">
        <f>Z6397+IF(W6398="",0,IF(ISNA(MATCH(W6398,W$256:W6397,0)),1,0))</f>
        <v/>
      </c>
      <c r="AA6398">
        <f>IF(Z6398&gt;Z6397,Z6398,"")</f>
        <v/>
      </c>
      <c r="AB6398">
        <f>AB6397+IF(X6398="",0,IF(ISNA(MATCH(X6398,X$256:X6397,0)),1,0))</f>
        <v/>
      </c>
      <c r="AC6398">
        <f>IF(AB6398&gt;AB6397,AB6398,"")</f>
        <v/>
      </c>
    </row>
    <row r="6399">
      <c r="W6399" s="7" t="n"/>
      <c r="X6399" s="7" t="n"/>
      <c r="Z6399">
        <f>Z6398+IF(W6399="",0,IF(ISNA(MATCH(W6399,W$256:W6398,0)),1,0))</f>
        <v/>
      </c>
      <c r="AA6399">
        <f>IF(Z6399&gt;Z6398,Z6399,"")</f>
        <v/>
      </c>
      <c r="AB6399">
        <f>AB6398+IF(X6399="",0,IF(ISNA(MATCH(X6399,X$256:X6398,0)),1,0))</f>
        <v/>
      </c>
      <c r="AC6399">
        <f>IF(AB6399&gt;AB6398,AB6399,"")</f>
        <v/>
      </c>
    </row>
    <row r="6400">
      <c r="W6400" s="7" t="n"/>
      <c r="X6400" s="7" t="n"/>
      <c r="Z6400">
        <f>Z6399+IF(W6400="",0,IF(ISNA(MATCH(W6400,W$256:W6399,0)),1,0))</f>
        <v/>
      </c>
      <c r="AA6400">
        <f>IF(Z6400&gt;Z6399,Z6400,"")</f>
        <v/>
      </c>
      <c r="AB6400">
        <f>AB6399+IF(X6400="",0,IF(ISNA(MATCH(X6400,X$256:X6399,0)),1,0))</f>
        <v/>
      </c>
      <c r="AC6400">
        <f>IF(AB6400&gt;AB6399,AB6400,"")</f>
        <v/>
      </c>
    </row>
    <row r="6401">
      <c r="W6401" s="7" t="n"/>
      <c r="X6401" s="7" t="n"/>
      <c r="Z6401">
        <f>Z6400+IF(W6401="",0,IF(ISNA(MATCH(W6401,W$256:W6400,0)),1,0))</f>
        <v/>
      </c>
      <c r="AA6401">
        <f>IF(Z6401&gt;Z6400,Z6401,"")</f>
        <v/>
      </c>
      <c r="AB6401">
        <f>AB6400+IF(X6401="",0,IF(ISNA(MATCH(X6401,X$256:X6400,0)),1,0))</f>
        <v/>
      </c>
      <c r="AC6401">
        <f>IF(AB6401&gt;AB6400,AB6401,"")</f>
        <v/>
      </c>
    </row>
    <row r="6402">
      <c r="W6402" s="7" t="n"/>
      <c r="X6402" s="7" t="n"/>
      <c r="Z6402">
        <f>Z6401+IF(W6402="",0,IF(ISNA(MATCH(W6402,W$256:W6401,0)),1,0))</f>
        <v/>
      </c>
      <c r="AA6402">
        <f>IF(Z6402&gt;Z6401,Z6402,"")</f>
        <v/>
      </c>
      <c r="AB6402">
        <f>AB6401+IF(X6402="",0,IF(ISNA(MATCH(X6402,X$256:X6401,0)),1,0))</f>
        <v/>
      </c>
      <c r="AC6402">
        <f>IF(AB6402&gt;AB6401,AB6402,"")</f>
        <v/>
      </c>
    </row>
    <row r="6403">
      <c r="W6403" s="7" t="n"/>
      <c r="X6403" s="7" t="n"/>
      <c r="Z6403">
        <f>Z6402+IF(W6403="",0,IF(ISNA(MATCH(W6403,W$256:W6402,0)),1,0))</f>
        <v/>
      </c>
      <c r="AA6403">
        <f>IF(Z6403&gt;Z6402,Z6403,"")</f>
        <v/>
      </c>
      <c r="AB6403">
        <f>AB6402+IF(X6403="",0,IF(ISNA(MATCH(X6403,X$256:X6402,0)),1,0))</f>
        <v/>
      </c>
      <c r="AC6403">
        <f>IF(AB6403&gt;AB6402,AB6403,"")</f>
        <v/>
      </c>
    </row>
    <row r="6404">
      <c r="W6404" s="7" t="n"/>
      <c r="X6404" s="7" t="n"/>
      <c r="Z6404">
        <f>Z6403+IF(W6404="",0,IF(ISNA(MATCH(W6404,W$256:W6403,0)),1,0))</f>
        <v/>
      </c>
      <c r="AA6404">
        <f>IF(Z6404&gt;Z6403,Z6404,"")</f>
        <v/>
      </c>
      <c r="AB6404">
        <f>AB6403+IF(X6404="",0,IF(ISNA(MATCH(X6404,X$256:X6403,0)),1,0))</f>
        <v/>
      </c>
      <c r="AC6404">
        <f>IF(AB6404&gt;AB6403,AB6404,"")</f>
        <v/>
      </c>
    </row>
    <row r="6405">
      <c r="W6405" s="7" t="n"/>
      <c r="X6405" s="7" t="n"/>
      <c r="Z6405">
        <f>Z6404+IF(W6405="",0,IF(ISNA(MATCH(W6405,W$256:W6404,0)),1,0))</f>
        <v/>
      </c>
      <c r="AA6405">
        <f>IF(Z6405&gt;Z6404,Z6405,"")</f>
        <v/>
      </c>
      <c r="AB6405">
        <f>AB6404+IF(X6405="",0,IF(ISNA(MATCH(X6405,X$256:X6404,0)),1,0))</f>
        <v/>
      </c>
      <c r="AC6405">
        <f>IF(AB6405&gt;AB6404,AB6405,"")</f>
        <v/>
      </c>
    </row>
    <row r="6406">
      <c r="W6406" s="7" t="n"/>
      <c r="X6406" s="7" t="n"/>
      <c r="Z6406">
        <f>Z6405+IF(W6406="",0,IF(ISNA(MATCH(W6406,W$256:W6405,0)),1,0))</f>
        <v/>
      </c>
      <c r="AA6406">
        <f>IF(Z6406&gt;Z6405,Z6406,"")</f>
        <v/>
      </c>
      <c r="AB6406">
        <f>AB6405+IF(X6406="",0,IF(ISNA(MATCH(X6406,X$256:X6405,0)),1,0))</f>
        <v/>
      </c>
      <c r="AC6406">
        <f>IF(AB6406&gt;AB6405,AB6406,"")</f>
        <v/>
      </c>
    </row>
    <row r="6407">
      <c r="W6407" s="7" t="n"/>
      <c r="X6407" s="7" t="n"/>
      <c r="Z6407">
        <f>Z6406+IF(W6407="",0,IF(ISNA(MATCH(W6407,W$256:W6406,0)),1,0))</f>
        <v/>
      </c>
      <c r="AA6407">
        <f>IF(Z6407&gt;Z6406,Z6407,"")</f>
        <v/>
      </c>
      <c r="AB6407">
        <f>AB6406+IF(X6407="",0,IF(ISNA(MATCH(X6407,X$256:X6406,0)),1,0))</f>
        <v/>
      </c>
      <c r="AC6407">
        <f>IF(AB6407&gt;AB6406,AB6407,"")</f>
        <v/>
      </c>
    </row>
    <row r="6408">
      <c r="W6408" s="7" t="n"/>
      <c r="X6408" s="7" t="n"/>
      <c r="Z6408">
        <f>Z6407+IF(W6408="",0,IF(ISNA(MATCH(W6408,W$256:W6407,0)),1,0))</f>
        <v/>
      </c>
      <c r="AA6408">
        <f>IF(Z6408&gt;Z6407,Z6408,"")</f>
        <v/>
      </c>
      <c r="AB6408">
        <f>AB6407+IF(X6408="",0,IF(ISNA(MATCH(X6408,X$256:X6407,0)),1,0))</f>
        <v/>
      </c>
      <c r="AC6408">
        <f>IF(AB6408&gt;AB6407,AB6408,"")</f>
        <v/>
      </c>
    </row>
    <row r="6409">
      <c r="W6409" s="7" t="n"/>
      <c r="X6409" s="7" t="n"/>
      <c r="Z6409">
        <f>Z6408+IF(W6409="",0,IF(ISNA(MATCH(W6409,W$256:W6408,0)),1,0))</f>
        <v/>
      </c>
      <c r="AA6409">
        <f>IF(Z6409&gt;Z6408,Z6409,"")</f>
        <v/>
      </c>
      <c r="AB6409">
        <f>AB6408+IF(X6409="",0,IF(ISNA(MATCH(X6409,X$256:X6408,0)),1,0))</f>
        <v/>
      </c>
      <c r="AC6409">
        <f>IF(AB6409&gt;AB6408,AB6409,"")</f>
        <v/>
      </c>
    </row>
    <row r="6410">
      <c r="W6410" s="7" t="n"/>
      <c r="X6410" s="7" t="n"/>
      <c r="Z6410">
        <f>Z6409+IF(W6410="",0,IF(ISNA(MATCH(W6410,W$256:W6409,0)),1,0))</f>
        <v/>
      </c>
      <c r="AA6410">
        <f>IF(Z6410&gt;Z6409,Z6410,"")</f>
        <v/>
      </c>
      <c r="AB6410">
        <f>AB6409+IF(X6410="",0,IF(ISNA(MATCH(X6410,X$256:X6409,0)),1,0))</f>
        <v/>
      </c>
      <c r="AC6410">
        <f>IF(AB6410&gt;AB6409,AB6410,"")</f>
        <v/>
      </c>
    </row>
    <row r="6411">
      <c r="W6411" s="7" t="n"/>
      <c r="X6411" s="7" t="n"/>
      <c r="Z6411">
        <f>Z6410+IF(W6411="",0,IF(ISNA(MATCH(W6411,W$256:W6410,0)),1,0))</f>
        <v/>
      </c>
      <c r="AA6411">
        <f>IF(Z6411&gt;Z6410,Z6411,"")</f>
        <v/>
      </c>
      <c r="AB6411">
        <f>AB6410+IF(X6411="",0,IF(ISNA(MATCH(X6411,X$256:X6410,0)),1,0))</f>
        <v/>
      </c>
      <c r="AC6411">
        <f>IF(AB6411&gt;AB6410,AB6411,"")</f>
        <v/>
      </c>
    </row>
    <row r="6412">
      <c r="W6412" s="7" t="n"/>
      <c r="X6412" s="7" t="n"/>
      <c r="Z6412">
        <f>Z6411+IF(W6412="",0,IF(ISNA(MATCH(W6412,W$256:W6411,0)),1,0))</f>
        <v/>
      </c>
      <c r="AA6412">
        <f>IF(Z6412&gt;Z6411,Z6412,"")</f>
        <v/>
      </c>
      <c r="AB6412">
        <f>AB6411+IF(X6412="",0,IF(ISNA(MATCH(X6412,X$256:X6411,0)),1,0))</f>
        <v/>
      </c>
      <c r="AC6412">
        <f>IF(AB6412&gt;AB6411,AB6412,"")</f>
        <v/>
      </c>
    </row>
    <row r="6413">
      <c r="W6413" s="7" t="n"/>
      <c r="X6413" s="7" t="n"/>
      <c r="Z6413">
        <f>Z6412+IF(W6413="",0,IF(ISNA(MATCH(W6413,W$256:W6412,0)),1,0))</f>
        <v/>
      </c>
      <c r="AA6413">
        <f>IF(Z6413&gt;Z6412,Z6413,"")</f>
        <v/>
      </c>
      <c r="AB6413">
        <f>AB6412+IF(X6413="",0,IF(ISNA(MATCH(X6413,X$256:X6412,0)),1,0))</f>
        <v/>
      </c>
      <c r="AC6413">
        <f>IF(AB6413&gt;AB6412,AB6413,"")</f>
        <v/>
      </c>
    </row>
    <row r="6414">
      <c r="W6414" s="7" t="n"/>
      <c r="X6414" s="7" t="n"/>
      <c r="Z6414">
        <f>Z6413+IF(W6414="",0,IF(ISNA(MATCH(W6414,W$256:W6413,0)),1,0))</f>
        <v/>
      </c>
      <c r="AA6414">
        <f>IF(Z6414&gt;Z6413,Z6414,"")</f>
        <v/>
      </c>
      <c r="AB6414">
        <f>AB6413+IF(X6414="",0,IF(ISNA(MATCH(X6414,X$256:X6413,0)),1,0))</f>
        <v/>
      </c>
      <c r="AC6414">
        <f>IF(AB6414&gt;AB6413,AB6414,"")</f>
        <v/>
      </c>
    </row>
    <row r="6415">
      <c r="W6415" s="7" t="n"/>
      <c r="X6415" s="7" t="n"/>
      <c r="Z6415">
        <f>Z6414+IF(W6415="",0,IF(ISNA(MATCH(W6415,W$256:W6414,0)),1,0))</f>
        <v/>
      </c>
      <c r="AA6415">
        <f>IF(Z6415&gt;Z6414,Z6415,"")</f>
        <v/>
      </c>
      <c r="AB6415">
        <f>AB6414+IF(X6415="",0,IF(ISNA(MATCH(X6415,X$256:X6414,0)),1,0))</f>
        <v/>
      </c>
      <c r="AC6415">
        <f>IF(AB6415&gt;AB6414,AB6415,"")</f>
        <v/>
      </c>
    </row>
    <row r="6416">
      <c r="W6416" s="7" t="n"/>
      <c r="X6416" s="7" t="n"/>
      <c r="Z6416">
        <f>Z6415+IF(W6416="",0,IF(ISNA(MATCH(W6416,W$256:W6415,0)),1,0))</f>
        <v/>
      </c>
      <c r="AA6416">
        <f>IF(Z6416&gt;Z6415,Z6416,"")</f>
        <v/>
      </c>
      <c r="AB6416">
        <f>AB6415+IF(X6416="",0,IF(ISNA(MATCH(X6416,X$256:X6415,0)),1,0))</f>
        <v/>
      </c>
      <c r="AC6416">
        <f>IF(AB6416&gt;AB6415,AB6416,"")</f>
        <v/>
      </c>
    </row>
    <row r="6417">
      <c r="W6417" s="7" t="n"/>
      <c r="X6417" s="7" t="n"/>
      <c r="Z6417">
        <f>Z6416+IF(W6417="",0,IF(ISNA(MATCH(W6417,W$256:W6416,0)),1,0))</f>
        <v/>
      </c>
      <c r="AA6417">
        <f>IF(Z6417&gt;Z6416,Z6417,"")</f>
        <v/>
      </c>
      <c r="AB6417">
        <f>AB6416+IF(X6417="",0,IF(ISNA(MATCH(X6417,X$256:X6416,0)),1,0))</f>
        <v/>
      </c>
      <c r="AC6417">
        <f>IF(AB6417&gt;AB6416,AB6417,"")</f>
        <v/>
      </c>
    </row>
    <row r="6418">
      <c r="W6418" s="7" t="n"/>
      <c r="X6418" s="7" t="n"/>
      <c r="Z6418">
        <f>Z6417+IF(W6418="",0,IF(ISNA(MATCH(W6418,W$256:W6417,0)),1,0))</f>
        <v/>
      </c>
      <c r="AA6418">
        <f>IF(Z6418&gt;Z6417,Z6418,"")</f>
        <v/>
      </c>
      <c r="AB6418">
        <f>AB6417+IF(X6418="",0,IF(ISNA(MATCH(X6418,X$256:X6417,0)),1,0))</f>
        <v/>
      </c>
      <c r="AC6418">
        <f>IF(AB6418&gt;AB6417,AB6418,"")</f>
        <v/>
      </c>
    </row>
    <row r="6419">
      <c r="W6419" s="7" t="n"/>
      <c r="X6419" s="7" t="n"/>
      <c r="Z6419">
        <f>Z6418+IF(W6419="",0,IF(ISNA(MATCH(W6419,W$256:W6418,0)),1,0))</f>
        <v/>
      </c>
      <c r="AA6419">
        <f>IF(Z6419&gt;Z6418,Z6419,"")</f>
        <v/>
      </c>
      <c r="AB6419">
        <f>AB6418+IF(X6419="",0,IF(ISNA(MATCH(X6419,X$256:X6418,0)),1,0))</f>
        <v/>
      </c>
      <c r="AC6419">
        <f>IF(AB6419&gt;AB6418,AB6419,"")</f>
        <v/>
      </c>
    </row>
    <row r="6420">
      <c r="W6420" s="7" t="n"/>
      <c r="X6420" s="7" t="n"/>
      <c r="Z6420">
        <f>Z6419+IF(W6420="",0,IF(ISNA(MATCH(W6420,W$256:W6419,0)),1,0))</f>
        <v/>
      </c>
      <c r="AA6420">
        <f>IF(Z6420&gt;Z6419,Z6420,"")</f>
        <v/>
      </c>
      <c r="AB6420">
        <f>AB6419+IF(X6420="",0,IF(ISNA(MATCH(X6420,X$256:X6419,0)),1,0))</f>
        <v/>
      </c>
      <c r="AC6420">
        <f>IF(AB6420&gt;AB6419,AB6420,"")</f>
        <v/>
      </c>
    </row>
    <row r="6421">
      <c r="W6421" s="7" t="n"/>
      <c r="X6421" s="7" t="n"/>
      <c r="Z6421">
        <f>Z6420+IF(W6421="",0,IF(ISNA(MATCH(W6421,W$256:W6420,0)),1,0))</f>
        <v/>
      </c>
      <c r="AA6421">
        <f>IF(Z6421&gt;Z6420,Z6421,"")</f>
        <v/>
      </c>
      <c r="AB6421">
        <f>AB6420+IF(X6421="",0,IF(ISNA(MATCH(X6421,X$256:X6420,0)),1,0))</f>
        <v/>
      </c>
      <c r="AC6421">
        <f>IF(AB6421&gt;AB6420,AB6421,"")</f>
        <v/>
      </c>
    </row>
    <row r="6422">
      <c r="W6422" s="7" t="n"/>
      <c r="X6422" s="7" t="n"/>
      <c r="Z6422">
        <f>Z6421+IF(W6422="",0,IF(ISNA(MATCH(W6422,W$256:W6421,0)),1,0))</f>
        <v/>
      </c>
      <c r="AA6422">
        <f>IF(Z6422&gt;Z6421,Z6422,"")</f>
        <v/>
      </c>
      <c r="AB6422">
        <f>AB6421+IF(X6422="",0,IF(ISNA(MATCH(X6422,X$256:X6421,0)),1,0))</f>
        <v/>
      </c>
      <c r="AC6422">
        <f>IF(AB6422&gt;AB6421,AB6422,"")</f>
        <v/>
      </c>
    </row>
    <row r="6423">
      <c r="W6423" s="7" t="n"/>
      <c r="X6423" s="7" t="n"/>
      <c r="Z6423">
        <f>Z6422+IF(W6423="",0,IF(ISNA(MATCH(W6423,W$256:W6422,0)),1,0))</f>
        <v/>
      </c>
      <c r="AA6423">
        <f>IF(Z6423&gt;Z6422,Z6423,"")</f>
        <v/>
      </c>
      <c r="AB6423">
        <f>AB6422+IF(X6423="",0,IF(ISNA(MATCH(X6423,X$256:X6422,0)),1,0))</f>
        <v/>
      </c>
      <c r="AC6423">
        <f>IF(AB6423&gt;AB6422,AB6423,"")</f>
        <v/>
      </c>
    </row>
    <row r="6424">
      <c r="W6424" s="7" t="n"/>
      <c r="X6424" s="7" t="n"/>
      <c r="Z6424">
        <f>Z6423+IF(W6424="",0,IF(ISNA(MATCH(W6424,W$256:W6423,0)),1,0))</f>
        <v/>
      </c>
      <c r="AA6424">
        <f>IF(Z6424&gt;Z6423,Z6424,"")</f>
        <v/>
      </c>
      <c r="AB6424">
        <f>AB6423+IF(X6424="",0,IF(ISNA(MATCH(X6424,X$256:X6423,0)),1,0))</f>
        <v/>
      </c>
      <c r="AC6424">
        <f>IF(AB6424&gt;AB6423,AB6424,"")</f>
        <v/>
      </c>
    </row>
    <row r="6425">
      <c r="W6425" s="7" t="n"/>
      <c r="X6425" s="7" t="n"/>
      <c r="Z6425">
        <f>Z6424+IF(W6425="",0,IF(ISNA(MATCH(W6425,W$256:W6424,0)),1,0))</f>
        <v/>
      </c>
      <c r="AA6425">
        <f>IF(Z6425&gt;Z6424,Z6425,"")</f>
        <v/>
      </c>
      <c r="AB6425">
        <f>AB6424+IF(X6425="",0,IF(ISNA(MATCH(X6425,X$256:X6424,0)),1,0))</f>
        <v/>
      </c>
      <c r="AC6425">
        <f>IF(AB6425&gt;AB6424,AB6425,"")</f>
        <v/>
      </c>
    </row>
    <row r="6426">
      <c r="W6426" s="7" t="n"/>
      <c r="X6426" s="7" t="n"/>
      <c r="Z6426">
        <f>Z6425+IF(W6426="",0,IF(ISNA(MATCH(W6426,W$256:W6425,0)),1,0))</f>
        <v/>
      </c>
      <c r="AA6426">
        <f>IF(Z6426&gt;Z6425,Z6426,"")</f>
        <v/>
      </c>
      <c r="AB6426">
        <f>AB6425+IF(X6426="",0,IF(ISNA(MATCH(X6426,X$256:X6425,0)),1,0))</f>
        <v/>
      </c>
      <c r="AC6426">
        <f>IF(AB6426&gt;AB6425,AB6426,"")</f>
        <v/>
      </c>
    </row>
    <row r="6427">
      <c r="W6427" s="7" t="n"/>
      <c r="X6427" s="7" t="n"/>
      <c r="Z6427">
        <f>Z6426+IF(W6427="",0,IF(ISNA(MATCH(W6427,W$256:W6426,0)),1,0))</f>
        <v/>
      </c>
      <c r="AA6427">
        <f>IF(Z6427&gt;Z6426,Z6427,"")</f>
        <v/>
      </c>
      <c r="AB6427">
        <f>AB6426+IF(X6427="",0,IF(ISNA(MATCH(X6427,X$256:X6426,0)),1,0))</f>
        <v/>
      </c>
      <c r="AC6427">
        <f>IF(AB6427&gt;AB6426,AB6427,"")</f>
        <v/>
      </c>
    </row>
    <row r="6428">
      <c r="W6428" s="7" t="n"/>
      <c r="X6428" s="7" t="n"/>
      <c r="Z6428">
        <f>Z6427+IF(W6428="",0,IF(ISNA(MATCH(W6428,W$256:W6427,0)),1,0))</f>
        <v/>
      </c>
      <c r="AA6428">
        <f>IF(Z6428&gt;Z6427,Z6428,"")</f>
        <v/>
      </c>
      <c r="AB6428">
        <f>AB6427+IF(X6428="",0,IF(ISNA(MATCH(X6428,X$256:X6427,0)),1,0))</f>
        <v/>
      </c>
      <c r="AC6428">
        <f>IF(AB6428&gt;AB6427,AB6428,"")</f>
        <v/>
      </c>
    </row>
    <row r="6429">
      <c r="W6429" s="7" t="n"/>
      <c r="X6429" s="7" t="n"/>
      <c r="Z6429">
        <f>Z6428+IF(W6429="",0,IF(ISNA(MATCH(W6429,W$256:W6428,0)),1,0))</f>
        <v/>
      </c>
      <c r="AA6429">
        <f>IF(Z6429&gt;Z6428,Z6429,"")</f>
        <v/>
      </c>
      <c r="AB6429">
        <f>AB6428+IF(X6429="",0,IF(ISNA(MATCH(X6429,X$256:X6428,0)),1,0))</f>
        <v/>
      </c>
      <c r="AC6429">
        <f>IF(AB6429&gt;AB6428,AB6429,"")</f>
        <v/>
      </c>
    </row>
    <row r="6430">
      <c r="W6430" s="7" t="n"/>
      <c r="X6430" s="7" t="n"/>
      <c r="Z6430">
        <f>Z6429+IF(W6430="",0,IF(ISNA(MATCH(W6430,W$256:W6429,0)),1,0))</f>
        <v/>
      </c>
      <c r="AA6430">
        <f>IF(Z6430&gt;Z6429,Z6430,"")</f>
        <v/>
      </c>
      <c r="AB6430">
        <f>AB6429+IF(X6430="",0,IF(ISNA(MATCH(X6430,X$256:X6429,0)),1,0))</f>
        <v/>
      </c>
      <c r="AC6430">
        <f>IF(AB6430&gt;AB6429,AB6430,"")</f>
        <v/>
      </c>
    </row>
    <row r="6431">
      <c r="W6431" s="7" t="n"/>
      <c r="X6431" s="7" t="n"/>
      <c r="Z6431">
        <f>Z6430+IF(W6431="",0,IF(ISNA(MATCH(W6431,W$256:W6430,0)),1,0))</f>
        <v/>
      </c>
      <c r="AA6431">
        <f>IF(Z6431&gt;Z6430,Z6431,"")</f>
        <v/>
      </c>
      <c r="AB6431">
        <f>AB6430+IF(X6431="",0,IF(ISNA(MATCH(X6431,X$256:X6430,0)),1,0))</f>
        <v/>
      </c>
      <c r="AC6431">
        <f>IF(AB6431&gt;AB6430,AB6431,"")</f>
        <v/>
      </c>
    </row>
    <row r="6432">
      <c r="W6432" s="7" t="n"/>
      <c r="X6432" s="7" t="n"/>
      <c r="Z6432">
        <f>Z6431+IF(W6432="",0,IF(ISNA(MATCH(W6432,W$256:W6431,0)),1,0))</f>
        <v/>
      </c>
      <c r="AA6432">
        <f>IF(Z6432&gt;Z6431,Z6432,"")</f>
        <v/>
      </c>
      <c r="AB6432">
        <f>AB6431+IF(X6432="",0,IF(ISNA(MATCH(X6432,X$256:X6431,0)),1,0))</f>
        <v/>
      </c>
      <c r="AC6432">
        <f>IF(AB6432&gt;AB6431,AB6432,"")</f>
        <v/>
      </c>
    </row>
    <row r="6433">
      <c r="W6433" s="7" t="n"/>
      <c r="X6433" s="7" t="n"/>
      <c r="Z6433">
        <f>Z6432+IF(W6433="",0,IF(ISNA(MATCH(W6433,W$256:W6432,0)),1,0))</f>
        <v/>
      </c>
      <c r="AA6433">
        <f>IF(Z6433&gt;Z6432,Z6433,"")</f>
        <v/>
      </c>
      <c r="AB6433">
        <f>AB6432+IF(X6433="",0,IF(ISNA(MATCH(X6433,X$256:X6432,0)),1,0))</f>
        <v/>
      </c>
      <c r="AC6433">
        <f>IF(AB6433&gt;AB6432,AB6433,"")</f>
        <v/>
      </c>
    </row>
    <row r="6434">
      <c r="W6434" s="7" t="n"/>
      <c r="X6434" s="7" t="n"/>
      <c r="Z6434">
        <f>Z6433+IF(W6434="",0,IF(ISNA(MATCH(W6434,W$256:W6433,0)),1,0))</f>
        <v/>
      </c>
      <c r="AA6434">
        <f>IF(Z6434&gt;Z6433,Z6434,"")</f>
        <v/>
      </c>
      <c r="AB6434">
        <f>AB6433+IF(X6434="",0,IF(ISNA(MATCH(X6434,X$256:X6433,0)),1,0))</f>
        <v/>
      </c>
      <c r="AC6434">
        <f>IF(AB6434&gt;AB6433,AB6434,"")</f>
        <v/>
      </c>
    </row>
    <row r="6435">
      <c r="W6435" s="7" t="n"/>
      <c r="X6435" s="7" t="n"/>
      <c r="Z6435">
        <f>Z6434+IF(W6435="",0,IF(ISNA(MATCH(W6435,W$256:W6434,0)),1,0))</f>
        <v/>
      </c>
      <c r="AA6435">
        <f>IF(Z6435&gt;Z6434,Z6435,"")</f>
        <v/>
      </c>
      <c r="AB6435">
        <f>AB6434+IF(X6435="",0,IF(ISNA(MATCH(X6435,X$256:X6434,0)),1,0))</f>
        <v/>
      </c>
      <c r="AC6435">
        <f>IF(AB6435&gt;AB6434,AB6435,"")</f>
        <v/>
      </c>
    </row>
    <row r="6436">
      <c r="W6436" s="7" t="n"/>
      <c r="X6436" s="7" t="n"/>
      <c r="Z6436">
        <f>Z6435+IF(W6436="",0,IF(ISNA(MATCH(W6436,W$256:W6435,0)),1,0))</f>
        <v/>
      </c>
      <c r="AA6436">
        <f>IF(Z6436&gt;Z6435,Z6436,"")</f>
        <v/>
      </c>
      <c r="AB6436">
        <f>AB6435+IF(X6436="",0,IF(ISNA(MATCH(X6436,X$256:X6435,0)),1,0))</f>
        <v/>
      </c>
      <c r="AC6436">
        <f>IF(AB6436&gt;AB6435,AB6436,"")</f>
        <v/>
      </c>
    </row>
    <row r="6437">
      <c r="W6437" s="7" t="n"/>
      <c r="X6437" s="7" t="n"/>
      <c r="Z6437">
        <f>Z6436+IF(W6437="",0,IF(ISNA(MATCH(W6437,W$256:W6436,0)),1,0))</f>
        <v/>
      </c>
      <c r="AA6437">
        <f>IF(Z6437&gt;Z6436,Z6437,"")</f>
        <v/>
      </c>
      <c r="AB6437">
        <f>AB6436+IF(X6437="",0,IF(ISNA(MATCH(X6437,X$256:X6436,0)),1,0))</f>
        <v/>
      </c>
      <c r="AC6437">
        <f>IF(AB6437&gt;AB6436,AB6437,"")</f>
        <v/>
      </c>
    </row>
    <row r="6438">
      <c r="W6438" s="7" t="n"/>
      <c r="X6438" s="7" t="n"/>
      <c r="Z6438">
        <f>Z6437+IF(W6438="",0,IF(ISNA(MATCH(W6438,W$256:W6437,0)),1,0))</f>
        <v/>
      </c>
      <c r="AA6438">
        <f>IF(Z6438&gt;Z6437,Z6438,"")</f>
        <v/>
      </c>
      <c r="AB6438">
        <f>AB6437+IF(X6438="",0,IF(ISNA(MATCH(X6438,X$256:X6437,0)),1,0))</f>
        <v/>
      </c>
      <c r="AC6438">
        <f>IF(AB6438&gt;AB6437,AB6438,"")</f>
        <v/>
      </c>
    </row>
    <row r="6439">
      <c r="W6439" s="7" t="n"/>
      <c r="X6439" s="7" t="n"/>
      <c r="Z6439">
        <f>Z6438+IF(W6439="",0,IF(ISNA(MATCH(W6439,W$256:W6438,0)),1,0))</f>
        <v/>
      </c>
      <c r="AA6439">
        <f>IF(Z6439&gt;Z6438,Z6439,"")</f>
        <v/>
      </c>
      <c r="AB6439">
        <f>AB6438+IF(X6439="",0,IF(ISNA(MATCH(X6439,X$256:X6438,0)),1,0))</f>
        <v/>
      </c>
      <c r="AC6439">
        <f>IF(AB6439&gt;AB6438,AB6439,"")</f>
        <v/>
      </c>
    </row>
    <row r="6440">
      <c r="W6440" s="7" t="n"/>
      <c r="X6440" s="7" t="n"/>
      <c r="Z6440">
        <f>Z6439+IF(W6440="",0,IF(ISNA(MATCH(W6440,W$256:W6439,0)),1,0))</f>
        <v/>
      </c>
      <c r="AA6440">
        <f>IF(Z6440&gt;Z6439,Z6440,"")</f>
        <v/>
      </c>
      <c r="AB6440">
        <f>AB6439+IF(X6440="",0,IF(ISNA(MATCH(X6440,X$256:X6439,0)),1,0))</f>
        <v/>
      </c>
      <c r="AC6440">
        <f>IF(AB6440&gt;AB6439,AB6440,"")</f>
        <v/>
      </c>
    </row>
    <row r="6441">
      <c r="W6441" s="7" t="n"/>
      <c r="X6441" s="7" t="n"/>
      <c r="Z6441">
        <f>Z6440+IF(W6441="",0,IF(ISNA(MATCH(W6441,W$256:W6440,0)),1,0))</f>
        <v/>
      </c>
      <c r="AA6441">
        <f>IF(Z6441&gt;Z6440,Z6441,"")</f>
        <v/>
      </c>
      <c r="AB6441">
        <f>AB6440+IF(X6441="",0,IF(ISNA(MATCH(X6441,X$256:X6440,0)),1,0))</f>
        <v/>
      </c>
      <c r="AC6441">
        <f>IF(AB6441&gt;AB6440,AB6441,"")</f>
        <v/>
      </c>
    </row>
    <row r="6442">
      <c r="W6442" s="7" t="n"/>
      <c r="X6442" s="7" t="n"/>
      <c r="Z6442">
        <f>Z6441+IF(W6442="",0,IF(ISNA(MATCH(W6442,W$256:W6441,0)),1,0))</f>
        <v/>
      </c>
      <c r="AA6442">
        <f>IF(Z6442&gt;Z6441,Z6442,"")</f>
        <v/>
      </c>
      <c r="AB6442">
        <f>AB6441+IF(X6442="",0,IF(ISNA(MATCH(X6442,X$256:X6441,0)),1,0))</f>
        <v/>
      </c>
      <c r="AC6442">
        <f>IF(AB6442&gt;AB6441,AB6442,"")</f>
        <v/>
      </c>
    </row>
    <row r="6443">
      <c r="W6443" s="7" t="n"/>
      <c r="X6443" s="7" t="n"/>
      <c r="Z6443">
        <f>Z6442+IF(W6443="",0,IF(ISNA(MATCH(W6443,W$256:W6442,0)),1,0))</f>
        <v/>
      </c>
      <c r="AA6443">
        <f>IF(Z6443&gt;Z6442,Z6443,"")</f>
        <v/>
      </c>
      <c r="AB6443">
        <f>AB6442+IF(X6443="",0,IF(ISNA(MATCH(X6443,X$256:X6442,0)),1,0))</f>
        <v/>
      </c>
      <c r="AC6443">
        <f>IF(AB6443&gt;AB6442,AB6443,"")</f>
        <v/>
      </c>
    </row>
    <row r="6444">
      <c r="W6444" s="7" t="n"/>
      <c r="X6444" s="7" t="n"/>
      <c r="Z6444">
        <f>Z6443+IF(W6444="",0,IF(ISNA(MATCH(W6444,W$256:W6443,0)),1,0))</f>
        <v/>
      </c>
      <c r="AA6444">
        <f>IF(Z6444&gt;Z6443,Z6444,"")</f>
        <v/>
      </c>
      <c r="AB6444">
        <f>AB6443+IF(X6444="",0,IF(ISNA(MATCH(X6444,X$256:X6443,0)),1,0))</f>
        <v/>
      </c>
      <c r="AC6444">
        <f>IF(AB6444&gt;AB6443,AB6444,"")</f>
        <v/>
      </c>
    </row>
    <row r="6445">
      <c r="W6445" s="7" t="n"/>
      <c r="X6445" s="7" t="n"/>
      <c r="Z6445">
        <f>Z6444+IF(W6445="",0,IF(ISNA(MATCH(W6445,W$256:W6444,0)),1,0))</f>
        <v/>
      </c>
      <c r="AA6445">
        <f>IF(Z6445&gt;Z6444,Z6445,"")</f>
        <v/>
      </c>
      <c r="AB6445">
        <f>AB6444+IF(X6445="",0,IF(ISNA(MATCH(X6445,X$256:X6444,0)),1,0))</f>
        <v/>
      </c>
      <c r="AC6445">
        <f>IF(AB6445&gt;AB6444,AB6445,"")</f>
        <v/>
      </c>
    </row>
    <row r="6446">
      <c r="W6446" s="7" t="n"/>
      <c r="X6446" s="7" t="n"/>
      <c r="Z6446">
        <f>Z6445+IF(W6446="",0,IF(ISNA(MATCH(W6446,W$256:W6445,0)),1,0))</f>
        <v/>
      </c>
      <c r="AA6446">
        <f>IF(Z6446&gt;Z6445,Z6446,"")</f>
        <v/>
      </c>
      <c r="AB6446">
        <f>AB6445+IF(X6446="",0,IF(ISNA(MATCH(X6446,X$256:X6445,0)),1,0))</f>
        <v/>
      </c>
      <c r="AC6446">
        <f>IF(AB6446&gt;AB6445,AB6446,"")</f>
        <v/>
      </c>
    </row>
    <row r="6447">
      <c r="W6447" s="7" t="n"/>
      <c r="X6447" s="7" t="n"/>
      <c r="Z6447">
        <f>Z6446+IF(W6447="",0,IF(ISNA(MATCH(W6447,W$256:W6446,0)),1,0))</f>
        <v/>
      </c>
      <c r="AA6447">
        <f>IF(Z6447&gt;Z6446,Z6447,"")</f>
        <v/>
      </c>
      <c r="AB6447">
        <f>AB6446+IF(X6447="",0,IF(ISNA(MATCH(X6447,X$256:X6446,0)),1,0))</f>
        <v/>
      </c>
      <c r="AC6447">
        <f>IF(AB6447&gt;AB6446,AB6447,"")</f>
        <v/>
      </c>
    </row>
    <row r="6448">
      <c r="W6448" s="7" t="n"/>
      <c r="X6448" s="7" t="n"/>
      <c r="Z6448">
        <f>Z6447+IF(W6448="",0,IF(ISNA(MATCH(W6448,W$256:W6447,0)),1,0))</f>
        <v/>
      </c>
      <c r="AA6448">
        <f>IF(Z6448&gt;Z6447,Z6448,"")</f>
        <v/>
      </c>
      <c r="AB6448">
        <f>AB6447+IF(X6448="",0,IF(ISNA(MATCH(X6448,X$256:X6447,0)),1,0))</f>
        <v/>
      </c>
      <c r="AC6448">
        <f>IF(AB6448&gt;AB6447,AB6448,"")</f>
        <v/>
      </c>
    </row>
    <row r="6449">
      <c r="W6449" s="7" t="n"/>
      <c r="X6449" s="7" t="n"/>
      <c r="Z6449">
        <f>Z6448+IF(W6449="",0,IF(ISNA(MATCH(W6449,W$256:W6448,0)),1,0))</f>
        <v/>
      </c>
      <c r="AA6449">
        <f>IF(Z6449&gt;Z6448,Z6449,"")</f>
        <v/>
      </c>
      <c r="AB6449">
        <f>AB6448+IF(X6449="",0,IF(ISNA(MATCH(X6449,X$256:X6448,0)),1,0))</f>
        <v/>
      </c>
      <c r="AC6449">
        <f>IF(AB6449&gt;AB6448,AB6449,"")</f>
        <v/>
      </c>
    </row>
    <row r="6450">
      <c r="W6450" s="7" t="n"/>
      <c r="X6450" s="7" t="n"/>
      <c r="Z6450">
        <f>Z6449+IF(W6450="",0,IF(ISNA(MATCH(W6450,W$256:W6449,0)),1,0))</f>
        <v/>
      </c>
      <c r="AA6450">
        <f>IF(Z6450&gt;Z6449,Z6450,"")</f>
        <v/>
      </c>
      <c r="AB6450">
        <f>AB6449+IF(X6450="",0,IF(ISNA(MATCH(X6450,X$256:X6449,0)),1,0))</f>
        <v/>
      </c>
      <c r="AC6450">
        <f>IF(AB6450&gt;AB6449,AB6450,"")</f>
        <v/>
      </c>
    </row>
    <row r="6451">
      <c r="W6451" s="7" t="n"/>
      <c r="X6451" s="7" t="n"/>
      <c r="Z6451">
        <f>Z6450+IF(W6451="",0,IF(ISNA(MATCH(W6451,W$256:W6450,0)),1,0))</f>
        <v/>
      </c>
      <c r="AA6451">
        <f>IF(Z6451&gt;Z6450,Z6451,"")</f>
        <v/>
      </c>
      <c r="AB6451">
        <f>AB6450+IF(X6451="",0,IF(ISNA(MATCH(X6451,X$256:X6450,0)),1,0))</f>
        <v/>
      </c>
      <c r="AC6451">
        <f>IF(AB6451&gt;AB6450,AB6451,"")</f>
        <v/>
      </c>
    </row>
    <row r="6452">
      <c r="W6452" s="7" t="n"/>
      <c r="X6452" s="7" t="n"/>
      <c r="Z6452">
        <f>Z6451+IF(W6452="",0,IF(ISNA(MATCH(W6452,W$256:W6451,0)),1,0))</f>
        <v/>
      </c>
      <c r="AA6452">
        <f>IF(Z6452&gt;Z6451,Z6452,"")</f>
        <v/>
      </c>
      <c r="AB6452">
        <f>AB6451+IF(X6452="",0,IF(ISNA(MATCH(X6452,X$256:X6451,0)),1,0))</f>
        <v/>
      </c>
      <c r="AC6452">
        <f>IF(AB6452&gt;AB6451,AB6452,"")</f>
        <v/>
      </c>
    </row>
    <row r="6453">
      <c r="W6453" s="7" t="n"/>
      <c r="X6453" s="7" t="n"/>
      <c r="Z6453">
        <f>Z6452+IF(W6453="",0,IF(ISNA(MATCH(W6453,W$256:W6452,0)),1,0))</f>
        <v/>
      </c>
      <c r="AA6453">
        <f>IF(Z6453&gt;Z6452,Z6453,"")</f>
        <v/>
      </c>
      <c r="AB6453">
        <f>AB6452+IF(X6453="",0,IF(ISNA(MATCH(X6453,X$256:X6452,0)),1,0))</f>
        <v/>
      </c>
      <c r="AC6453">
        <f>IF(AB6453&gt;AB6452,AB6453,"")</f>
        <v/>
      </c>
    </row>
    <row r="6454">
      <c r="W6454" s="7" t="n"/>
      <c r="X6454" s="7" t="n"/>
      <c r="Z6454">
        <f>Z6453+IF(W6454="",0,IF(ISNA(MATCH(W6454,W$256:W6453,0)),1,0))</f>
        <v/>
      </c>
      <c r="AA6454">
        <f>IF(Z6454&gt;Z6453,Z6454,"")</f>
        <v/>
      </c>
      <c r="AB6454">
        <f>AB6453+IF(X6454="",0,IF(ISNA(MATCH(X6454,X$256:X6453,0)),1,0))</f>
        <v/>
      </c>
      <c r="AC6454">
        <f>IF(AB6454&gt;AB6453,AB6454,"")</f>
        <v/>
      </c>
    </row>
    <row r="6455">
      <c r="W6455" s="7" t="n"/>
      <c r="X6455" s="7" t="n"/>
      <c r="Z6455">
        <f>Z6454+IF(W6455="",0,IF(ISNA(MATCH(W6455,W$256:W6454,0)),1,0))</f>
        <v/>
      </c>
      <c r="AA6455">
        <f>IF(Z6455&gt;Z6454,Z6455,"")</f>
        <v/>
      </c>
      <c r="AB6455">
        <f>AB6454+IF(X6455="",0,IF(ISNA(MATCH(X6455,X$256:X6454,0)),1,0))</f>
        <v/>
      </c>
      <c r="AC6455">
        <f>IF(AB6455&gt;AB6454,AB6455,"")</f>
        <v/>
      </c>
    </row>
    <row r="6456">
      <c r="W6456" s="7" t="n"/>
      <c r="X6456" s="7" t="n"/>
      <c r="Z6456">
        <f>Z6455+IF(W6456="",0,IF(ISNA(MATCH(W6456,W$256:W6455,0)),1,0))</f>
        <v/>
      </c>
      <c r="AA6456">
        <f>IF(Z6456&gt;Z6455,Z6456,"")</f>
        <v/>
      </c>
      <c r="AB6456">
        <f>AB6455+IF(X6456="",0,IF(ISNA(MATCH(X6456,X$256:X6455,0)),1,0))</f>
        <v/>
      </c>
      <c r="AC6456">
        <f>IF(AB6456&gt;AB6455,AB6456,"")</f>
        <v/>
      </c>
    </row>
    <row r="6457">
      <c r="W6457" s="7" t="n"/>
      <c r="X6457" s="7" t="n"/>
      <c r="Z6457">
        <f>Z6456+IF(W6457="",0,IF(ISNA(MATCH(W6457,W$256:W6456,0)),1,0))</f>
        <v/>
      </c>
      <c r="AA6457">
        <f>IF(Z6457&gt;Z6456,Z6457,"")</f>
        <v/>
      </c>
      <c r="AB6457">
        <f>AB6456+IF(X6457="",0,IF(ISNA(MATCH(X6457,X$256:X6456,0)),1,0))</f>
        <v/>
      </c>
      <c r="AC6457">
        <f>IF(AB6457&gt;AB6456,AB6457,"")</f>
        <v/>
      </c>
    </row>
    <row r="6458">
      <c r="W6458" s="7" t="n"/>
      <c r="X6458" s="7" t="n"/>
      <c r="Z6458">
        <f>Z6457+IF(W6458="",0,IF(ISNA(MATCH(W6458,W$256:W6457,0)),1,0))</f>
        <v/>
      </c>
      <c r="AA6458">
        <f>IF(Z6458&gt;Z6457,Z6458,"")</f>
        <v/>
      </c>
      <c r="AB6458">
        <f>AB6457+IF(X6458="",0,IF(ISNA(MATCH(X6458,X$256:X6457,0)),1,0))</f>
        <v/>
      </c>
      <c r="AC6458">
        <f>IF(AB6458&gt;AB6457,AB6458,"")</f>
        <v/>
      </c>
    </row>
    <row r="6459">
      <c r="W6459" s="7" t="n"/>
      <c r="X6459" s="7" t="n"/>
      <c r="Z6459">
        <f>Z6458+IF(W6459="",0,IF(ISNA(MATCH(W6459,W$256:W6458,0)),1,0))</f>
        <v/>
      </c>
      <c r="AA6459">
        <f>IF(Z6459&gt;Z6458,Z6459,"")</f>
        <v/>
      </c>
      <c r="AB6459">
        <f>AB6458+IF(X6459="",0,IF(ISNA(MATCH(X6459,X$256:X6458,0)),1,0))</f>
        <v/>
      </c>
      <c r="AC6459">
        <f>IF(AB6459&gt;AB6458,AB6459,"")</f>
        <v/>
      </c>
    </row>
    <row r="6460">
      <c r="W6460" s="7" t="n"/>
      <c r="X6460" s="7" t="n"/>
      <c r="Z6460">
        <f>Z6459+IF(W6460="",0,IF(ISNA(MATCH(W6460,W$256:W6459,0)),1,0))</f>
        <v/>
      </c>
      <c r="AA6460">
        <f>IF(Z6460&gt;Z6459,Z6460,"")</f>
        <v/>
      </c>
      <c r="AB6460">
        <f>AB6459+IF(X6460="",0,IF(ISNA(MATCH(X6460,X$256:X6459,0)),1,0))</f>
        <v/>
      </c>
      <c r="AC6460">
        <f>IF(AB6460&gt;AB6459,AB6460,"")</f>
        <v/>
      </c>
    </row>
    <row r="6461">
      <c r="W6461" s="7" t="n"/>
      <c r="X6461" s="7" t="n"/>
      <c r="Z6461">
        <f>Z6460+IF(W6461="",0,IF(ISNA(MATCH(W6461,W$256:W6460,0)),1,0))</f>
        <v/>
      </c>
      <c r="AA6461">
        <f>IF(Z6461&gt;Z6460,Z6461,"")</f>
        <v/>
      </c>
      <c r="AB6461">
        <f>AB6460+IF(X6461="",0,IF(ISNA(MATCH(X6461,X$256:X6460,0)),1,0))</f>
        <v/>
      </c>
      <c r="AC6461">
        <f>IF(AB6461&gt;AB6460,AB6461,"")</f>
        <v/>
      </c>
    </row>
    <row r="6462">
      <c r="W6462" s="7" t="n"/>
      <c r="X6462" s="7" t="n"/>
      <c r="Z6462">
        <f>Z6461+IF(W6462="",0,IF(ISNA(MATCH(W6462,W$256:W6461,0)),1,0))</f>
        <v/>
      </c>
      <c r="AA6462">
        <f>IF(Z6462&gt;Z6461,Z6462,"")</f>
        <v/>
      </c>
      <c r="AB6462">
        <f>AB6461+IF(X6462="",0,IF(ISNA(MATCH(X6462,X$256:X6461,0)),1,0))</f>
        <v/>
      </c>
      <c r="AC6462">
        <f>IF(AB6462&gt;AB6461,AB6462,"")</f>
        <v/>
      </c>
    </row>
    <row r="6463">
      <c r="W6463" s="7" t="n"/>
      <c r="X6463" s="7" t="n"/>
      <c r="Z6463">
        <f>Z6462+IF(W6463="",0,IF(ISNA(MATCH(W6463,W$256:W6462,0)),1,0))</f>
        <v/>
      </c>
      <c r="AA6463">
        <f>IF(Z6463&gt;Z6462,Z6463,"")</f>
        <v/>
      </c>
      <c r="AB6463">
        <f>AB6462+IF(X6463="",0,IF(ISNA(MATCH(X6463,X$256:X6462,0)),1,0))</f>
        <v/>
      </c>
      <c r="AC6463">
        <f>IF(AB6463&gt;AB6462,AB6463,"")</f>
        <v/>
      </c>
    </row>
    <row r="6464">
      <c r="W6464" s="7" t="n"/>
      <c r="X6464" s="7" t="n"/>
      <c r="Z6464">
        <f>Z6463+IF(W6464="",0,IF(ISNA(MATCH(W6464,W$256:W6463,0)),1,0))</f>
        <v/>
      </c>
      <c r="AA6464">
        <f>IF(Z6464&gt;Z6463,Z6464,"")</f>
        <v/>
      </c>
      <c r="AB6464">
        <f>AB6463+IF(X6464="",0,IF(ISNA(MATCH(X6464,X$256:X6463,0)),1,0))</f>
        <v/>
      </c>
      <c r="AC6464">
        <f>IF(AB6464&gt;AB6463,AB6464,"")</f>
        <v/>
      </c>
    </row>
    <row r="6465">
      <c r="W6465" s="7" t="n"/>
      <c r="X6465" s="7" t="n"/>
      <c r="Z6465">
        <f>Z6464+IF(W6465="",0,IF(ISNA(MATCH(W6465,W$256:W6464,0)),1,0))</f>
        <v/>
      </c>
      <c r="AA6465">
        <f>IF(Z6465&gt;Z6464,Z6465,"")</f>
        <v/>
      </c>
      <c r="AB6465">
        <f>AB6464+IF(X6465="",0,IF(ISNA(MATCH(X6465,X$256:X6464,0)),1,0))</f>
        <v/>
      </c>
      <c r="AC6465">
        <f>IF(AB6465&gt;AB6464,AB6465,"")</f>
        <v/>
      </c>
    </row>
    <row r="6466">
      <c r="W6466" s="7" t="n"/>
      <c r="X6466" s="7" t="n"/>
      <c r="Z6466">
        <f>Z6465+IF(W6466="",0,IF(ISNA(MATCH(W6466,W$256:W6465,0)),1,0))</f>
        <v/>
      </c>
      <c r="AA6466">
        <f>IF(Z6466&gt;Z6465,Z6466,"")</f>
        <v/>
      </c>
      <c r="AB6466">
        <f>AB6465+IF(X6466="",0,IF(ISNA(MATCH(X6466,X$256:X6465,0)),1,0))</f>
        <v/>
      </c>
      <c r="AC6466">
        <f>IF(AB6466&gt;AB6465,AB6466,"")</f>
        <v/>
      </c>
    </row>
    <row r="6467">
      <c r="W6467" s="7" t="n"/>
      <c r="X6467" s="7" t="n"/>
      <c r="Z6467">
        <f>Z6466+IF(W6467="",0,IF(ISNA(MATCH(W6467,W$256:W6466,0)),1,0))</f>
        <v/>
      </c>
      <c r="AA6467">
        <f>IF(Z6467&gt;Z6466,Z6467,"")</f>
        <v/>
      </c>
      <c r="AB6467">
        <f>AB6466+IF(X6467="",0,IF(ISNA(MATCH(X6467,X$256:X6466,0)),1,0))</f>
        <v/>
      </c>
      <c r="AC6467">
        <f>IF(AB6467&gt;AB6466,AB6467,"")</f>
        <v/>
      </c>
    </row>
    <row r="6468">
      <c r="W6468" s="7" t="n"/>
      <c r="X6468" s="7" t="n"/>
      <c r="Z6468">
        <f>Z6467+IF(W6468="",0,IF(ISNA(MATCH(W6468,W$256:W6467,0)),1,0))</f>
        <v/>
      </c>
      <c r="AA6468">
        <f>IF(Z6468&gt;Z6467,Z6468,"")</f>
        <v/>
      </c>
      <c r="AB6468">
        <f>AB6467+IF(X6468="",0,IF(ISNA(MATCH(X6468,X$256:X6467,0)),1,0))</f>
        <v/>
      </c>
      <c r="AC6468">
        <f>IF(AB6468&gt;AB6467,AB6468,"")</f>
        <v/>
      </c>
    </row>
    <row r="6469">
      <c r="W6469" s="7" t="n"/>
      <c r="X6469" s="7" t="n"/>
      <c r="Z6469">
        <f>Z6468+IF(W6469="",0,IF(ISNA(MATCH(W6469,W$256:W6468,0)),1,0))</f>
        <v/>
      </c>
      <c r="AA6469">
        <f>IF(Z6469&gt;Z6468,Z6469,"")</f>
        <v/>
      </c>
      <c r="AB6469">
        <f>AB6468+IF(X6469="",0,IF(ISNA(MATCH(X6469,X$256:X6468,0)),1,0))</f>
        <v/>
      </c>
      <c r="AC6469">
        <f>IF(AB6469&gt;AB6468,AB6469,"")</f>
        <v/>
      </c>
    </row>
    <row r="6470">
      <c r="W6470" s="7" t="n"/>
      <c r="X6470" s="7" t="n"/>
      <c r="Z6470">
        <f>Z6469+IF(W6470="",0,IF(ISNA(MATCH(W6470,W$256:W6469,0)),1,0))</f>
        <v/>
      </c>
      <c r="AA6470">
        <f>IF(Z6470&gt;Z6469,Z6470,"")</f>
        <v/>
      </c>
      <c r="AB6470">
        <f>AB6469+IF(X6470="",0,IF(ISNA(MATCH(X6470,X$256:X6469,0)),1,0))</f>
        <v/>
      </c>
      <c r="AC6470">
        <f>IF(AB6470&gt;AB6469,AB6470,"")</f>
        <v/>
      </c>
    </row>
    <row r="6471">
      <c r="W6471" s="7" t="n"/>
      <c r="X6471" s="7" t="n"/>
      <c r="Z6471">
        <f>Z6470+IF(W6471="",0,IF(ISNA(MATCH(W6471,W$256:W6470,0)),1,0))</f>
        <v/>
      </c>
      <c r="AA6471">
        <f>IF(Z6471&gt;Z6470,Z6471,"")</f>
        <v/>
      </c>
      <c r="AB6471">
        <f>AB6470+IF(X6471="",0,IF(ISNA(MATCH(X6471,X$256:X6470,0)),1,0))</f>
        <v/>
      </c>
      <c r="AC6471">
        <f>IF(AB6471&gt;AB6470,AB6471,"")</f>
        <v/>
      </c>
    </row>
    <row r="6472">
      <c r="W6472" s="7" t="n"/>
      <c r="X6472" s="7" t="n"/>
      <c r="Z6472">
        <f>Z6471+IF(W6472="",0,IF(ISNA(MATCH(W6472,W$256:W6471,0)),1,0))</f>
        <v/>
      </c>
      <c r="AA6472">
        <f>IF(Z6472&gt;Z6471,Z6472,"")</f>
        <v/>
      </c>
      <c r="AB6472">
        <f>AB6471+IF(X6472="",0,IF(ISNA(MATCH(X6472,X$256:X6471,0)),1,0))</f>
        <v/>
      </c>
      <c r="AC6472">
        <f>IF(AB6472&gt;AB6471,AB6472,"")</f>
        <v/>
      </c>
    </row>
    <row r="6473">
      <c r="W6473" s="7" t="n"/>
      <c r="X6473" s="7" t="n"/>
      <c r="Z6473">
        <f>Z6472+IF(W6473="",0,IF(ISNA(MATCH(W6473,W$256:W6472,0)),1,0))</f>
        <v/>
      </c>
      <c r="AA6473">
        <f>IF(Z6473&gt;Z6472,Z6473,"")</f>
        <v/>
      </c>
      <c r="AB6473">
        <f>AB6472+IF(X6473="",0,IF(ISNA(MATCH(X6473,X$256:X6472,0)),1,0))</f>
        <v/>
      </c>
      <c r="AC6473">
        <f>IF(AB6473&gt;AB6472,AB6473,"")</f>
        <v/>
      </c>
    </row>
    <row r="6474">
      <c r="W6474" s="7" t="n"/>
      <c r="X6474" s="7" t="n"/>
      <c r="Z6474">
        <f>Z6473+IF(W6474="",0,IF(ISNA(MATCH(W6474,W$256:W6473,0)),1,0))</f>
        <v/>
      </c>
      <c r="AA6474">
        <f>IF(Z6474&gt;Z6473,Z6474,"")</f>
        <v/>
      </c>
      <c r="AB6474">
        <f>AB6473+IF(X6474="",0,IF(ISNA(MATCH(X6474,X$256:X6473,0)),1,0))</f>
        <v/>
      </c>
      <c r="AC6474">
        <f>IF(AB6474&gt;AB6473,AB6474,"")</f>
        <v/>
      </c>
    </row>
    <row r="6475">
      <c r="W6475" s="7" t="n"/>
      <c r="X6475" s="7" t="n"/>
      <c r="Z6475">
        <f>Z6474+IF(W6475="",0,IF(ISNA(MATCH(W6475,W$256:W6474,0)),1,0))</f>
        <v/>
      </c>
      <c r="AA6475">
        <f>IF(Z6475&gt;Z6474,Z6475,"")</f>
        <v/>
      </c>
      <c r="AB6475">
        <f>AB6474+IF(X6475="",0,IF(ISNA(MATCH(X6475,X$256:X6474,0)),1,0))</f>
        <v/>
      </c>
      <c r="AC6475">
        <f>IF(AB6475&gt;AB6474,AB6475,"")</f>
        <v/>
      </c>
    </row>
    <row r="6476">
      <c r="W6476" s="7" t="n"/>
      <c r="X6476" s="7" t="n"/>
      <c r="Z6476">
        <f>Z6475+IF(W6476="",0,IF(ISNA(MATCH(W6476,W$256:W6475,0)),1,0))</f>
        <v/>
      </c>
      <c r="AA6476">
        <f>IF(Z6476&gt;Z6475,Z6476,"")</f>
        <v/>
      </c>
      <c r="AB6476">
        <f>AB6475+IF(X6476="",0,IF(ISNA(MATCH(X6476,X$256:X6475,0)),1,0))</f>
        <v/>
      </c>
      <c r="AC6476">
        <f>IF(AB6476&gt;AB6475,AB6476,"")</f>
        <v/>
      </c>
    </row>
    <row r="6477">
      <c r="W6477" s="7" t="n"/>
      <c r="X6477" s="7" t="n"/>
      <c r="Z6477">
        <f>Z6476+IF(W6477="",0,IF(ISNA(MATCH(W6477,W$256:W6476,0)),1,0))</f>
        <v/>
      </c>
      <c r="AA6477">
        <f>IF(Z6477&gt;Z6476,Z6477,"")</f>
        <v/>
      </c>
      <c r="AB6477">
        <f>AB6476+IF(X6477="",0,IF(ISNA(MATCH(X6477,X$256:X6476,0)),1,0))</f>
        <v/>
      </c>
      <c r="AC6477">
        <f>IF(AB6477&gt;AB6476,AB6477,"")</f>
        <v/>
      </c>
    </row>
    <row r="6478">
      <c r="W6478" s="7" t="n"/>
      <c r="X6478" s="7" t="n"/>
      <c r="Z6478">
        <f>Z6477+IF(W6478="",0,IF(ISNA(MATCH(W6478,W$256:W6477,0)),1,0))</f>
        <v/>
      </c>
      <c r="AA6478">
        <f>IF(Z6478&gt;Z6477,Z6478,"")</f>
        <v/>
      </c>
      <c r="AB6478">
        <f>AB6477+IF(X6478="",0,IF(ISNA(MATCH(X6478,X$256:X6477,0)),1,0))</f>
        <v/>
      </c>
      <c r="AC6478">
        <f>IF(AB6478&gt;AB6477,AB6478,"")</f>
        <v/>
      </c>
    </row>
    <row r="6479">
      <c r="W6479" s="7" t="n"/>
      <c r="X6479" s="7" t="n"/>
      <c r="Z6479">
        <f>Z6478+IF(W6479="",0,IF(ISNA(MATCH(W6479,W$256:W6478,0)),1,0))</f>
        <v/>
      </c>
      <c r="AA6479">
        <f>IF(Z6479&gt;Z6478,Z6479,"")</f>
        <v/>
      </c>
      <c r="AB6479">
        <f>AB6478+IF(X6479="",0,IF(ISNA(MATCH(X6479,X$256:X6478,0)),1,0))</f>
        <v/>
      </c>
      <c r="AC6479">
        <f>IF(AB6479&gt;AB6478,AB6479,"")</f>
        <v/>
      </c>
    </row>
    <row r="6480">
      <c r="W6480" s="7" t="n"/>
      <c r="X6480" s="7" t="n"/>
      <c r="Z6480">
        <f>Z6479+IF(W6480="",0,IF(ISNA(MATCH(W6480,W$256:W6479,0)),1,0))</f>
        <v/>
      </c>
      <c r="AA6480">
        <f>IF(Z6480&gt;Z6479,Z6480,"")</f>
        <v/>
      </c>
      <c r="AB6480">
        <f>AB6479+IF(X6480="",0,IF(ISNA(MATCH(X6480,X$256:X6479,0)),1,0))</f>
        <v/>
      </c>
      <c r="AC6480">
        <f>IF(AB6480&gt;AB6479,AB6480,"")</f>
        <v/>
      </c>
    </row>
    <row r="6481">
      <c r="W6481" s="7" t="n"/>
      <c r="X6481" s="7" t="n"/>
      <c r="Z6481">
        <f>Z6480+IF(W6481="",0,IF(ISNA(MATCH(W6481,W$256:W6480,0)),1,0))</f>
        <v/>
      </c>
      <c r="AA6481">
        <f>IF(Z6481&gt;Z6480,Z6481,"")</f>
        <v/>
      </c>
      <c r="AB6481">
        <f>AB6480+IF(X6481="",0,IF(ISNA(MATCH(X6481,X$256:X6480,0)),1,0))</f>
        <v/>
      </c>
      <c r="AC6481">
        <f>IF(AB6481&gt;AB6480,AB6481,"")</f>
        <v/>
      </c>
    </row>
    <row r="6482">
      <c r="W6482" s="7" t="n"/>
      <c r="X6482" s="7" t="n"/>
      <c r="Z6482">
        <f>Z6481+IF(W6482="",0,IF(ISNA(MATCH(W6482,W$256:W6481,0)),1,0))</f>
        <v/>
      </c>
      <c r="AA6482">
        <f>IF(Z6482&gt;Z6481,Z6482,"")</f>
        <v/>
      </c>
      <c r="AB6482">
        <f>AB6481+IF(X6482="",0,IF(ISNA(MATCH(X6482,X$256:X6481,0)),1,0))</f>
        <v/>
      </c>
      <c r="AC6482">
        <f>IF(AB6482&gt;AB6481,AB6482,"")</f>
        <v/>
      </c>
    </row>
    <row r="6483">
      <c r="W6483" s="7" t="n"/>
      <c r="X6483" s="7" t="n"/>
      <c r="Z6483">
        <f>Z6482+IF(W6483="",0,IF(ISNA(MATCH(W6483,W$256:W6482,0)),1,0))</f>
        <v/>
      </c>
      <c r="AA6483">
        <f>IF(Z6483&gt;Z6482,Z6483,"")</f>
        <v/>
      </c>
      <c r="AB6483">
        <f>AB6482+IF(X6483="",0,IF(ISNA(MATCH(X6483,X$256:X6482,0)),1,0))</f>
        <v/>
      </c>
      <c r="AC6483">
        <f>IF(AB6483&gt;AB6482,AB6483,"")</f>
        <v/>
      </c>
    </row>
    <row r="6484">
      <c r="W6484" s="7" t="n"/>
      <c r="X6484" s="7" t="n"/>
      <c r="Z6484">
        <f>Z6483+IF(W6484="",0,IF(ISNA(MATCH(W6484,W$256:W6483,0)),1,0))</f>
        <v/>
      </c>
      <c r="AA6484">
        <f>IF(Z6484&gt;Z6483,Z6484,"")</f>
        <v/>
      </c>
      <c r="AB6484">
        <f>AB6483+IF(X6484="",0,IF(ISNA(MATCH(X6484,X$256:X6483,0)),1,0))</f>
        <v/>
      </c>
      <c r="AC6484">
        <f>IF(AB6484&gt;AB6483,AB6484,"")</f>
        <v/>
      </c>
    </row>
    <row r="6485">
      <c r="W6485" s="7" t="n"/>
      <c r="X6485" s="7" t="n"/>
      <c r="Z6485">
        <f>Z6484+IF(W6485="",0,IF(ISNA(MATCH(W6485,W$256:W6484,0)),1,0))</f>
        <v/>
      </c>
      <c r="AA6485">
        <f>IF(Z6485&gt;Z6484,Z6485,"")</f>
        <v/>
      </c>
      <c r="AB6485">
        <f>AB6484+IF(X6485="",0,IF(ISNA(MATCH(X6485,X$256:X6484,0)),1,0))</f>
        <v/>
      </c>
      <c r="AC6485">
        <f>IF(AB6485&gt;AB6484,AB6485,"")</f>
        <v/>
      </c>
    </row>
    <row r="6486">
      <c r="W6486" s="7" t="n"/>
      <c r="X6486" s="7" t="n"/>
      <c r="Z6486">
        <f>Z6485+IF(W6486="",0,IF(ISNA(MATCH(W6486,W$256:W6485,0)),1,0))</f>
        <v/>
      </c>
      <c r="AA6486">
        <f>IF(Z6486&gt;Z6485,Z6486,"")</f>
        <v/>
      </c>
      <c r="AB6486">
        <f>AB6485+IF(X6486="",0,IF(ISNA(MATCH(X6486,X$256:X6485,0)),1,0))</f>
        <v/>
      </c>
      <c r="AC6486">
        <f>IF(AB6486&gt;AB6485,AB6486,"")</f>
        <v/>
      </c>
    </row>
    <row r="6487">
      <c r="W6487" s="7" t="n"/>
      <c r="X6487" s="7" t="n"/>
      <c r="Z6487">
        <f>Z6486+IF(W6487="",0,IF(ISNA(MATCH(W6487,W$256:W6486,0)),1,0))</f>
        <v/>
      </c>
      <c r="AA6487">
        <f>IF(Z6487&gt;Z6486,Z6487,"")</f>
        <v/>
      </c>
      <c r="AB6487">
        <f>AB6486+IF(X6487="",0,IF(ISNA(MATCH(X6487,X$256:X6486,0)),1,0))</f>
        <v/>
      </c>
      <c r="AC6487">
        <f>IF(AB6487&gt;AB6486,AB6487,"")</f>
        <v/>
      </c>
    </row>
    <row r="6488">
      <c r="W6488" s="7" t="n"/>
      <c r="X6488" s="7" t="n"/>
      <c r="Z6488">
        <f>Z6487+IF(W6488="",0,IF(ISNA(MATCH(W6488,W$256:W6487,0)),1,0))</f>
        <v/>
      </c>
      <c r="AA6488">
        <f>IF(Z6488&gt;Z6487,Z6488,"")</f>
        <v/>
      </c>
      <c r="AB6488">
        <f>AB6487+IF(X6488="",0,IF(ISNA(MATCH(X6488,X$256:X6487,0)),1,0))</f>
        <v/>
      </c>
      <c r="AC6488">
        <f>IF(AB6488&gt;AB6487,AB6488,"")</f>
        <v/>
      </c>
    </row>
    <row r="6489">
      <c r="W6489" s="7" t="n"/>
      <c r="X6489" s="7" t="n"/>
      <c r="Z6489">
        <f>Z6488+IF(W6489="",0,IF(ISNA(MATCH(W6489,W$256:W6488,0)),1,0))</f>
        <v/>
      </c>
      <c r="AA6489">
        <f>IF(Z6489&gt;Z6488,Z6489,"")</f>
        <v/>
      </c>
      <c r="AB6489">
        <f>AB6488+IF(X6489="",0,IF(ISNA(MATCH(X6489,X$256:X6488,0)),1,0))</f>
        <v/>
      </c>
      <c r="AC6489">
        <f>IF(AB6489&gt;AB6488,AB6489,"")</f>
        <v/>
      </c>
    </row>
    <row r="6490">
      <c r="W6490" s="7" t="n"/>
      <c r="X6490" s="7" t="n"/>
      <c r="Z6490">
        <f>Z6489+IF(W6490="",0,IF(ISNA(MATCH(W6490,W$256:W6489,0)),1,0))</f>
        <v/>
      </c>
      <c r="AA6490">
        <f>IF(Z6490&gt;Z6489,Z6490,"")</f>
        <v/>
      </c>
      <c r="AB6490">
        <f>AB6489+IF(X6490="",0,IF(ISNA(MATCH(X6490,X$256:X6489,0)),1,0))</f>
        <v/>
      </c>
      <c r="AC6490">
        <f>IF(AB6490&gt;AB6489,AB6490,"")</f>
        <v/>
      </c>
    </row>
    <row r="6491">
      <c r="W6491" s="7" t="n"/>
      <c r="X6491" s="7" t="n"/>
      <c r="Z6491">
        <f>Z6490+IF(W6491="",0,IF(ISNA(MATCH(W6491,W$256:W6490,0)),1,0))</f>
        <v/>
      </c>
      <c r="AA6491">
        <f>IF(Z6491&gt;Z6490,Z6491,"")</f>
        <v/>
      </c>
      <c r="AB6491">
        <f>AB6490+IF(X6491="",0,IF(ISNA(MATCH(X6491,X$256:X6490,0)),1,0))</f>
        <v/>
      </c>
      <c r="AC6491">
        <f>IF(AB6491&gt;AB6490,AB6491,"")</f>
        <v/>
      </c>
    </row>
    <row r="6492">
      <c r="W6492" s="7" t="n"/>
      <c r="X6492" s="7" t="n"/>
      <c r="Z6492">
        <f>Z6491+IF(W6492="",0,IF(ISNA(MATCH(W6492,W$256:W6491,0)),1,0))</f>
        <v/>
      </c>
      <c r="AA6492">
        <f>IF(Z6492&gt;Z6491,Z6492,"")</f>
        <v/>
      </c>
      <c r="AB6492">
        <f>AB6491+IF(X6492="",0,IF(ISNA(MATCH(X6492,X$256:X6491,0)),1,0))</f>
        <v/>
      </c>
      <c r="AC6492">
        <f>IF(AB6492&gt;AB6491,AB6492,"")</f>
        <v/>
      </c>
    </row>
    <row r="6493">
      <c r="W6493" s="7" t="n"/>
      <c r="X6493" s="7" t="n"/>
      <c r="Z6493">
        <f>Z6492+IF(W6493="",0,IF(ISNA(MATCH(W6493,W$256:W6492,0)),1,0))</f>
        <v/>
      </c>
      <c r="AA6493">
        <f>IF(Z6493&gt;Z6492,Z6493,"")</f>
        <v/>
      </c>
      <c r="AB6493">
        <f>AB6492+IF(X6493="",0,IF(ISNA(MATCH(X6493,X$256:X6492,0)),1,0))</f>
        <v/>
      </c>
      <c r="AC6493">
        <f>IF(AB6493&gt;AB6492,AB6493,"")</f>
        <v/>
      </c>
    </row>
    <row r="6494">
      <c r="W6494" s="7" t="n"/>
      <c r="X6494" s="7" t="n"/>
      <c r="Z6494">
        <f>Z6493+IF(W6494="",0,IF(ISNA(MATCH(W6494,W$256:W6493,0)),1,0))</f>
        <v/>
      </c>
      <c r="AA6494">
        <f>IF(Z6494&gt;Z6493,Z6494,"")</f>
        <v/>
      </c>
      <c r="AB6494">
        <f>AB6493+IF(X6494="",0,IF(ISNA(MATCH(X6494,X$256:X6493,0)),1,0))</f>
        <v/>
      </c>
      <c r="AC6494">
        <f>IF(AB6494&gt;AB6493,AB6494,"")</f>
        <v/>
      </c>
    </row>
    <row r="6495">
      <c r="W6495" s="7" t="n"/>
      <c r="X6495" s="7" t="n"/>
      <c r="Z6495">
        <f>Z6494+IF(W6495="",0,IF(ISNA(MATCH(W6495,W$256:W6494,0)),1,0))</f>
        <v/>
      </c>
      <c r="AA6495">
        <f>IF(Z6495&gt;Z6494,Z6495,"")</f>
        <v/>
      </c>
      <c r="AB6495">
        <f>AB6494+IF(X6495="",0,IF(ISNA(MATCH(X6495,X$256:X6494,0)),1,0))</f>
        <v/>
      </c>
      <c r="AC6495">
        <f>IF(AB6495&gt;AB6494,AB6495,"")</f>
        <v/>
      </c>
    </row>
    <row r="6496">
      <c r="W6496" s="7" t="n"/>
      <c r="X6496" s="7" t="n"/>
      <c r="Z6496">
        <f>Z6495+IF(W6496="",0,IF(ISNA(MATCH(W6496,W$256:W6495,0)),1,0))</f>
        <v/>
      </c>
      <c r="AA6496">
        <f>IF(Z6496&gt;Z6495,Z6496,"")</f>
        <v/>
      </c>
      <c r="AB6496">
        <f>AB6495+IF(X6496="",0,IF(ISNA(MATCH(X6496,X$256:X6495,0)),1,0))</f>
        <v/>
      </c>
      <c r="AC6496">
        <f>IF(AB6496&gt;AB6495,AB6496,"")</f>
        <v/>
      </c>
    </row>
    <row r="6497">
      <c r="W6497" s="7" t="n"/>
      <c r="X6497" s="7" t="n"/>
      <c r="Z6497">
        <f>Z6496+IF(W6497="",0,IF(ISNA(MATCH(W6497,W$256:W6496,0)),1,0))</f>
        <v/>
      </c>
      <c r="AA6497">
        <f>IF(Z6497&gt;Z6496,Z6497,"")</f>
        <v/>
      </c>
      <c r="AB6497">
        <f>AB6496+IF(X6497="",0,IF(ISNA(MATCH(X6497,X$256:X6496,0)),1,0))</f>
        <v/>
      </c>
      <c r="AC6497">
        <f>IF(AB6497&gt;AB6496,AB6497,"")</f>
        <v/>
      </c>
    </row>
    <row r="6498">
      <c r="W6498" s="7" t="n"/>
      <c r="X6498" s="7" t="n"/>
      <c r="Z6498">
        <f>Z6497+IF(W6498="",0,IF(ISNA(MATCH(W6498,W$256:W6497,0)),1,0))</f>
        <v/>
      </c>
      <c r="AA6498">
        <f>IF(Z6498&gt;Z6497,Z6498,"")</f>
        <v/>
      </c>
      <c r="AB6498">
        <f>AB6497+IF(X6498="",0,IF(ISNA(MATCH(X6498,X$256:X6497,0)),1,0))</f>
        <v/>
      </c>
      <c r="AC6498">
        <f>IF(AB6498&gt;AB6497,AB6498,"")</f>
        <v/>
      </c>
    </row>
    <row r="6499">
      <c r="W6499" s="7" t="n"/>
      <c r="X6499" s="7" t="n"/>
      <c r="Z6499">
        <f>Z6498+IF(W6499="",0,IF(ISNA(MATCH(W6499,W$256:W6498,0)),1,0))</f>
        <v/>
      </c>
      <c r="AA6499">
        <f>IF(Z6499&gt;Z6498,Z6499,"")</f>
        <v/>
      </c>
      <c r="AB6499">
        <f>AB6498+IF(X6499="",0,IF(ISNA(MATCH(X6499,X$256:X6498,0)),1,0))</f>
        <v/>
      </c>
      <c r="AC6499">
        <f>IF(AB6499&gt;AB6498,AB6499,"")</f>
        <v/>
      </c>
    </row>
    <row r="6500">
      <c r="W6500" s="7" t="n"/>
      <c r="X6500" s="7" t="n"/>
      <c r="Z6500">
        <f>Z6499+IF(W6500="",0,IF(ISNA(MATCH(W6500,W$256:W6499,0)),1,0))</f>
        <v/>
      </c>
      <c r="AA6500">
        <f>IF(Z6500&gt;Z6499,Z6500,"")</f>
        <v/>
      </c>
      <c r="AB6500">
        <f>AB6499+IF(X6500="",0,IF(ISNA(MATCH(X6500,X$256:X6499,0)),1,0))</f>
        <v/>
      </c>
      <c r="AC6500">
        <f>IF(AB6500&gt;AB6499,AB6500,"")</f>
        <v/>
      </c>
    </row>
    <row r="6501">
      <c r="W6501" s="7" t="n"/>
      <c r="X6501" s="7" t="n"/>
      <c r="Z6501">
        <f>Z6500+IF(W6501="",0,IF(ISNA(MATCH(W6501,W$256:W6500,0)),1,0))</f>
        <v/>
      </c>
      <c r="AA6501">
        <f>IF(Z6501&gt;Z6500,Z6501,"")</f>
        <v/>
      </c>
      <c r="AB6501">
        <f>AB6500+IF(X6501="",0,IF(ISNA(MATCH(X6501,X$256:X6500,0)),1,0))</f>
        <v/>
      </c>
      <c r="AC6501">
        <f>IF(AB6501&gt;AB6500,AB6501,"")</f>
        <v/>
      </c>
    </row>
    <row r="6502">
      <c r="W6502" s="7" t="n"/>
      <c r="X6502" s="7" t="n"/>
      <c r="Z6502">
        <f>Z6501+IF(W6502="",0,IF(ISNA(MATCH(W6502,W$256:W6501,0)),1,0))</f>
        <v/>
      </c>
      <c r="AA6502">
        <f>IF(Z6502&gt;Z6501,Z6502,"")</f>
        <v/>
      </c>
      <c r="AB6502">
        <f>AB6501+IF(X6502="",0,IF(ISNA(MATCH(X6502,X$256:X6501,0)),1,0))</f>
        <v/>
      </c>
      <c r="AC6502">
        <f>IF(AB6502&gt;AB6501,AB6502,"")</f>
        <v/>
      </c>
    </row>
    <row r="6503">
      <c r="W6503" s="7" t="n"/>
      <c r="X6503" s="7" t="n"/>
      <c r="Z6503">
        <f>Z6502+IF(W6503="",0,IF(ISNA(MATCH(W6503,W$256:W6502,0)),1,0))</f>
        <v/>
      </c>
      <c r="AA6503">
        <f>IF(Z6503&gt;Z6502,Z6503,"")</f>
        <v/>
      </c>
      <c r="AB6503">
        <f>AB6502+IF(X6503="",0,IF(ISNA(MATCH(X6503,X$256:X6502,0)),1,0))</f>
        <v/>
      </c>
      <c r="AC6503">
        <f>IF(AB6503&gt;AB6502,AB6503,"")</f>
        <v/>
      </c>
    </row>
    <row r="6504">
      <c r="W6504" s="7" t="n"/>
      <c r="X6504" s="7" t="n"/>
      <c r="Z6504">
        <f>Z6503+IF(W6504="",0,IF(ISNA(MATCH(W6504,W$256:W6503,0)),1,0))</f>
        <v/>
      </c>
      <c r="AA6504">
        <f>IF(Z6504&gt;Z6503,Z6504,"")</f>
        <v/>
      </c>
      <c r="AB6504">
        <f>AB6503+IF(X6504="",0,IF(ISNA(MATCH(X6504,X$256:X6503,0)),1,0))</f>
        <v/>
      </c>
      <c r="AC6504">
        <f>IF(AB6504&gt;AB6503,AB6504,"")</f>
        <v/>
      </c>
    </row>
    <row r="6505">
      <c r="W6505" s="7" t="n"/>
      <c r="X6505" s="7" t="n"/>
      <c r="Z6505">
        <f>Z6504+IF(W6505="",0,IF(ISNA(MATCH(W6505,W$256:W6504,0)),1,0))</f>
        <v/>
      </c>
      <c r="AA6505">
        <f>IF(Z6505&gt;Z6504,Z6505,"")</f>
        <v/>
      </c>
      <c r="AB6505">
        <f>AB6504+IF(X6505="",0,IF(ISNA(MATCH(X6505,X$256:X6504,0)),1,0))</f>
        <v/>
      </c>
      <c r="AC6505">
        <f>IF(AB6505&gt;AB6504,AB6505,"")</f>
        <v/>
      </c>
    </row>
    <row r="6506">
      <c r="W6506" s="7" t="n"/>
      <c r="X6506" s="7" t="n"/>
      <c r="Z6506">
        <f>Z6505+IF(W6506="",0,IF(ISNA(MATCH(W6506,W$256:W6505,0)),1,0))</f>
        <v/>
      </c>
      <c r="AA6506">
        <f>IF(Z6506&gt;Z6505,Z6506,"")</f>
        <v/>
      </c>
      <c r="AB6506">
        <f>AB6505+IF(X6506="",0,IF(ISNA(MATCH(X6506,X$256:X6505,0)),1,0))</f>
        <v/>
      </c>
      <c r="AC6506">
        <f>IF(AB6506&gt;AB6505,AB6506,"")</f>
        <v/>
      </c>
    </row>
    <row r="6507">
      <c r="W6507" s="7" t="n"/>
      <c r="X6507" s="7" t="n"/>
      <c r="Z6507">
        <f>Z6506+IF(W6507="",0,IF(ISNA(MATCH(W6507,W$256:W6506,0)),1,0))</f>
        <v/>
      </c>
      <c r="AA6507">
        <f>IF(Z6507&gt;Z6506,Z6507,"")</f>
        <v/>
      </c>
      <c r="AB6507">
        <f>AB6506+IF(X6507="",0,IF(ISNA(MATCH(X6507,X$256:X6506,0)),1,0))</f>
        <v/>
      </c>
      <c r="AC6507">
        <f>IF(AB6507&gt;AB6506,AB6507,"")</f>
        <v/>
      </c>
    </row>
    <row r="6508">
      <c r="W6508" s="7" t="n"/>
      <c r="X6508" s="7" t="n"/>
      <c r="Z6508">
        <f>Z6507+IF(W6508="",0,IF(ISNA(MATCH(W6508,W$256:W6507,0)),1,0))</f>
        <v/>
      </c>
      <c r="AA6508">
        <f>IF(Z6508&gt;Z6507,Z6508,"")</f>
        <v/>
      </c>
      <c r="AB6508">
        <f>AB6507+IF(X6508="",0,IF(ISNA(MATCH(X6508,X$256:X6507,0)),1,0))</f>
        <v/>
      </c>
      <c r="AC6508">
        <f>IF(AB6508&gt;AB6507,AB6508,"")</f>
        <v/>
      </c>
    </row>
    <row r="6509">
      <c r="W6509" s="7" t="n"/>
      <c r="X6509" s="7" t="n"/>
      <c r="Z6509">
        <f>Z6508+IF(W6509="",0,IF(ISNA(MATCH(W6509,W$256:W6508,0)),1,0))</f>
        <v/>
      </c>
      <c r="AA6509">
        <f>IF(Z6509&gt;Z6508,Z6509,"")</f>
        <v/>
      </c>
      <c r="AB6509">
        <f>AB6508+IF(X6509="",0,IF(ISNA(MATCH(X6509,X$256:X6508,0)),1,0))</f>
        <v/>
      </c>
      <c r="AC6509">
        <f>IF(AB6509&gt;AB6508,AB6509,"")</f>
        <v/>
      </c>
    </row>
    <row r="6510">
      <c r="W6510" s="7" t="n"/>
      <c r="X6510" s="7" t="n"/>
      <c r="Z6510">
        <f>Z6509+IF(W6510="",0,IF(ISNA(MATCH(W6510,W$256:W6509,0)),1,0))</f>
        <v/>
      </c>
      <c r="AA6510">
        <f>IF(Z6510&gt;Z6509,Z6510,"")</f>
        <v/>
      </c>
      <c r="AB6510">
        <f>AB6509+IF(X6510="",0,IF(ISNA(MATCH(X6510,X$256:X6509,0)),1,0))</f>
        <v/>
      </c>
      <c r="AC6510">
        <f>IF(AB6510&gt;AB6509,AB6510,"")</f>
        <v/>
      </c>
    </row>
    <row r="6511">
      <c r="W6511" s="7" t="n"/>
      <c r="X6511" s="7" t="n"/>
      <c r="Z6511">
        <f>Z6510+IF(W6511="",0,IF(ISNA(MATCH(W6511,W$256:W6510,0)),1,0))</f>
        <v/>
      </c>
      <c r="AA6511">
        <f>IF(Z6511&gt;Z6510,Z6511,"")</f>
        <v/>
      </c>
      <c r="AB6511">
        <f>AB6510+IF(X6511="",0,IF(ISNA(MATCH(X6511,X$256:X6510,0)),1,0))</f>
        <v/>
      </c>
      <c r="AC6511">
        <f>IF(AB6511&gt;AB6510,AB6511,"")</f>
        <v/>
      </c>
    </row>
    <row r="6512">
      <c r="W6512" s="7" t="n"/>
      <c r="X6512" s="7" t="n"/>
      <c r="Z6512">
        <f>Z6511+IF(W6512="",0,IF(ISNA(MATCH(W6512,W$256:W6511,0)),1,0))</f>
        <v/>
      </c>
      <c r="AA6512">
        <f>IF(Z6512&gt;Z6511,Z6512,"")</f>
        <v/>
      </c>
      <c r="AB6512">
        <f>AB6511+IF(X6512="",0,IF(ISNA(MATCH(X6512,X$256:X6511,0)),1,0))</f>
        <v/>
      </c>
      <c r="AC6512">
        <f>IF(AB6512&gt;AB6511,AB6512,"")</f>
        <v/>
      </c>
    </row>
    <row r="6513">
      <c r="W6513" s="7" t="n"/>
      <c r="X6513" s="7" t="n"/>
      <c r="Z6513">
        <f>Z6512+IF(W6513="",0,IF(ISNA(MATCH(W6513,W$256:W6512,0)),1,0))</f>
        <v/>
      </c>
      <c r="AA6513">
        <f>IF(Z6513&gt;Z6512,Z6513,"")</f>
        <v/>
      </c>
      <c r="AB6513">
        <f>AB6512+IF(X6513="",0,IF(ISNA(MATCH(X6513,X$256:X6512,0)),1,0))</f>
        <v/>
      </c>
      <c r="AC6513">
        <f>IF(AB6513&gt;AB6512,AB6513,"")</f>
        <v/>
      </c>
    </row>
    <row r="6514">
      <c r="W6514" s="7" t="n"/>
      <c r="X6514" s="7" t="n"/>
      <c r="Z6514">
        <f>Z6513+IF(W6514="",0,IF(ISNA(MATCH(W6514,W$256:W6513,0)),1,0))</f>
        <v/>
      </c>
      <c r="AA6514">
        <f>IF(Z6514&gt;Z6513,Z6514,"")</f>
        <v/>
      </c>
      <c r="AB6514">
        <f>AB6513+IF(X6514="",0,IF(ISNA(MATCH(X6514,X$256:X6513,0)),1,0))</f>
        <v/>
      </c>
      <c r="AC6514">
        <f>IF(AB6514&gt;AB6513,AB6514,"")</f>
        <v/>
      </c>
    </row>
    <row r="6515">
      <c r="W6515" s="7" t="n"/>
      <c r="X6515" s="7" t="n"/>
      <c r="Z6515">
        <f>Z6514+IF(W6515="",0,IF(ISNA(MATCH(W6515,W$256:W6514,0)),1,0))</f>
        <v/>
      </c>
      <c r="AA6515">
        <f>IF(Z6515&gt;Z6514,Z6515,"")</f>
        <v/>
      </c>
      <c r="AB6515">
        <f>AB6514+IF(X6515="",0,IF(ISNA(MATCH(X6515,X$256:X6514,0)),1,0))</f>
        <v/>
      </c>
      <c r="AC6515">
        <f>IF(AB6515&gt;AB6514,AB6515,"")</f>
        <v/>
      </c>
    </row>
    <row r="6516">
      <c r="W6516" s="7" t="n"/>
      <c r="X6516" s="7" t="n"/>
      <c r="Z6516">
        <f>Z6515+IF(W6516="",0,IF(ISNA(MATCH(W6516,W$256:W6515,0)),1,0))</f>
        <v/>
      </c>
      <c r="AA6516">
        <f>IF(Z6516&gt;Z6515,Z6516,"")</f>
        <v/>
      </c>
      <c r="AB6516">
        <f>AB6515+IF(X6516="",0,IF(ISNA(MATCH(X6516,X$256:X6515,0)),1,0))</f>
        <v/>
      </c>
      <c r="AC6516">
        <f>IF(AB6516&gt;AB6515,AB6516,"")</f>
        <v/>
      </c>
    </row>
    <row r="6517">
      <c r="W6517" s="7" t="n"/>
      <c r="X6517" s="7" t="n"/>
      <c r="Z6517">
        <f>Z6516+IF(W6517="",0,IF(ISNA(MATCH(W6517,W$256:W6516,0)),1,0))</f>
        <v/>
      </c>
      <c r="AA6517">
        <f>IF(Z6517&gt;Z6516,Z6517,"")</f>
        <v/>
      </c>
      <c r="AB6517">
        <f>AB6516+IF(X6517="",0,IF(ISNA(MATCH(X6517,X$256:X6516,0)),1,0))</f>
        <v/>
      </c>
      <c r="AC6517">
        <f>IF(AB6517&gt;AB6516,AB6517,"")</f>
        <v/>
      </c>
    </row>
    <row r="6518">
      <c r="W6518" s="7" t="n"/>
      <c r="X6518" s="7" t="n"/>
      <c r="Z6518">
        <f>Z6517+IF(W6518="",0,IF(ISNA(MATCH(W6518,W$256:W6517,0)),1,0))</f>
        <v/>
      </c>
      <c r="AA6518">
        <f>IF(Z6518&gt;Z6517,Z6518,"")</f>
        <v/>
      </c>
      <c r="AB6518">
        <f>AB6517+IF(X6518="",0,IF(ISNA(MATCH(X6518,X$256:X6517,0)),1,0))</f>
        <v/>
      </c>
      <c r="AC6518">
        <f>IF(AB6518&gt;AB6517,AB6518,"")</f>
        <v/>
      </c>
    </row>
    <row r="6519">
      <c r="W6519" s="7" t="n"/>
      <c r="X6519" s="7" t="n"/>
      <c r="Z6519">
        <f>Z6518+IF(W6519="",0,IF(ISNA(MATCH(W6519,W$256:W6518,0)),1,0))</f>
        <v/>
      </c>
      <c r="AA6519">
        <f>IF(Z6519&gt;Z6518,Z6519,"")</f>
        <v/>
      </c>
      <c r="AB6519">
        <f>AB6518+IF(X6519="",0,IF(ISNA(MATCH(X6519,X$256:X6518,0)),1,0))</f>
        <v/>
      </c>
      <c r="AC6519">
        <f>IF(AB6519&gt;AB6518,AB6519,"")</f>
        <v/>
      </c>
    </row>
    <row r="6520">
      <c r="W6520" s="7" t="n"/>
      <c r="X6520" s="7" t="n"/>
      <c r="Z6520">
        <f>Z6519+IF(W6520="",0,IF(ISNA(MATCH(W6520,W$256:W6519,0)),1,0))</f>
        <v/>
      </c>
      <c r="AA6520">
        <f>IF(Z6520&gt;Z6519,Z6520,"")</f>
        <v/>
      </c>
      <c r="AB6520">
        <f>AB6519+IF(X6520="",0,IF(ISNA(MATCH(X6520,X$256:X6519,0)),1,0))</f>
        <v/>
      </c>
      <c r="AC6520">
        <f>IF(AB6520&gt;AB6519,AB6520,"")</f>
        <v/>
      </c>
    </row>
    <row r="6521">
      <c r="W6521" s="7" t="n"/>
      <c r="X6521" s="7" t="n"/>
      <c r="Z6521">
        <f>Z6520+IF(W6521="",0,IF(ISNA(MATCH(W6521,W$256:W6520,0)),1,0))</f>
        <v/>
      </c>
      <c r="AA6521">
        <f>IF(Z6521&gt;Z6520,Z6521,"")</f>
        <v/>
      </c>
      <c r="AB6521">
        <f>AB6520+IF(X6521="",0,IF(ISNA(MATCH(X6521,X$256:X6520,0)),1,0))</f>
        <v/>
      </c>
      <c r="AC6521">
        <f>IF(AB6521&gt;AB6520,AB6521,"")</f>
        <v/>
      </c>
    </row>
    <row r="6522">
      <c r="W6522" s="7" t="n"/>
      <c r="X6522" s="7" t="n"/>
      <c r="Z6522">
        <f>Z6521+IF(W6522="",0,IF(ISNA(MATCH(W6522,W$256:W6521,0)),1,0))</f>
        <v/>
      </c>
      <c r="AA6522">
        <f>IF(Z6522&gt;Z6521,Z6522,"")</f>
        <v/>
      </c>
      <c r="AB6522">
        <f>AB6521+IF(X6522="",0,IF(ISNA(MATCH(X6522,X$256:X6521,0)),1,0))</f>
        <v/>
      </c>
      <c r="AC6522">
        <f>IF(AB6522&gt;AB6521,AB6522,"")</f>
        <v/>
      </c>
    </row>
    <row r="6523">
      <c r="W6523" s="7" t="n"/>
      <c r="X6523" s="7" t="n"/>
      <c r="Z6523">
        <f>Z6522+IF(W6523="",0,IF(ISNA(MATCH(W6523,W$256:W6522,0)),1,0))</f>
        <v/>
      </c>
      <c r="AA6523">
        <f>IF(Z6523&gt;Z6522,Z6523,"")</f>
        <v/>
      </c>
      <c r="AB6523">
        <f>AB6522+IF(X6523="",0,IF(ISNA(MATCH(X6523,X$256:X6522,0)),1,0))</f>
        <v/>
      </c>
      <c r="AC6523">
        <f>IF(AB6523&gt;AB6522,AB6523,"")</f>
        <v/>
      </c>
    </row>
    <row r="6524">
      <c r="W6524" s="7" t="n"/>
      <c r="X6524" s="7" t="n"/>
      <c r="Z6524">
        <f>Z6523+IF(W6524="",0,IF(ISNA(MATCH(W6524,W$256:W6523,0)),1,0))</f>
        <v/>
      </c>
      <c r="AA6524">
        <f>IF(Z6524&gt;Z6523,Z6524,"")</f>
        <v/>
      </c>
      <c r="AB6524">
        <f>AB6523+IF(X6524="",0,IF(ISNA(MATCH(X6524,X$256:X6523,0)),1,0))</f>
        <v/>
      </c>
      <c r="AC6524">
        <f>IF(AB6524&gt;AB6523,AB6524,"")</f>
        <v/>
      </c>
    </row>
    <row r="6525">
      <c r="W6525" s="7" t="n"/>
      <c r="X6525" s="7" t="n"/>
      <c r="Z6525">
        <f>Z6524+IF(W6525="",0,IF(ISNA(MATCH(W6525,W$256:W6524,0)),1,0))</f>
        <v/>
      </c>
      <c r="AA6525">
        <f>IF(Z6525&gt;Z6524,Z6525,"")</f>
        <v/>
      </c>
      <c r="AB6525">
        <f>AB6524+IF(X6525="",0,IF(ISNA(MATCH(X6525,X$256:X6524,0)),1,0))</f>
        <v/>
      </c>
      <c r="AC6525">
        <f>IF(AB6525&gt;AB6524,AB6525,"")</f>
        <v/>
      </c>
    </row>
    <row r="6526">
      <c r="W6526" s="7" t="n"/>
      <c r="X6526" s="7" t="n"/>
      <c r="Z6526">
        <f>Z6525+IF(W6526="",0,IF(ISNA(MATCH(W6526,W$256:W6525,0)),1,0))</f>
        <v/>
      </c>
      <c r="AA6526">
        <f>IF(Z6526&gt;Z6525,Z6526,"")</f>
        <v/>
      </c>
      <c r="AB6526">
        <f>AB6525+IF(X6526="",0,IF(ISNA(MATCH(X6526,X$256:X6525,0)),1,0))</f>
        <v/>
      </c>
      <c r="AC6526">
        <f>IF(AB6526&gt;AB6525,AB6526,"")</f>
        <v/>
      </c>
    </row>
    <row r="6527">
      <c r="W6527" s="7" t="n"/>
      <c r="X6527" s="7" t="n"/>
      <c r="Z6527">
        <f>Z6526+IF(W6527="",0,IF(ISNA(MATCH(W6527,W$256:W6526,0)),1,0))</f>
        <v/>
      </c>
      <c r="AA6527">
        <f>IF(Z6527&gt;Z6526,Z6527,"")</f>
        <v/>
      </c>
      <c r="AB6527">
        <f>AB6526+IF(X6527="",0,IF(ISNA(MATCH(X6527,X$256:X6526,0)),1,0))</f>
        <v/>
      </c>
      <c r="AC6527">
        <f>IF(AB6527&gt;AB6526,AB6527,"")</f>
        <v/>
      </c>
    </row>
    <row r="6528">
      <c r="W6528" s="7" t="n"/>
      <c r="X6528" s="7" t="n"/>
      <c r="Z6528">
        <f>Z6527+IF(W6528="",0,IF(ISNA(MATCH(W6528,W$256:W6527,0)),1,0))</f>
        <v/>
      </c>
      <c r="AA6528">
        <f>IF(Z6528&gt;Z6527,Z6528,"")</f>
        <v/>
      </c>
      <c r="AB6528">
        <f>AB6527+IF(X6528="",0,IF(ISNA(MATCH(X6528,X$256:X6527,0)),1,0))</f>
        <v/>
      </c>
      <c r="AC6528">
        <f>IF(AB6528&gt;AB6527,AB6528,"")</f>
        <v/>
      </c>
    </row>
    <row r="6529">
      <c r="W6529" s="7" t="n"/>
      <c r="X6529" s="7" t="n"/>
      <c r="Z6529">
        <f>Z6528+IF(W6529="",0,IF(ISNA(MATCH(W6529,W$256:W6528,0)),1,0))</f>
        <v/>
      </c>
      <c r="AA6529">
        <f>IF(Z6529&gt;Z6528,Z6529,"")</f>
        <v/>
      </c>
      <c r="AB6529">
        <f>AB6528+IF(X6529="",0,IF(ISNA(MATCH(X6529,X$256:X6528,0)),1,0))</f>
        <v/>
      </c>
      <c r="AC6529">
        <f>IF(AB6529&gt;AB6528,AB6529,"")</f>
        <v/>
      </c>
    </row>
    <row r="6530">
      <c r="W6530" s="7" t="n"/>
      <c r="X6530" s="7" t="n"/>
      <c r="Z6530">
        <f>Z6529+IF(W6530="",0,IF(ISNA(MATCH(W6530,W$256:W6529,0)),1,0))</f>
        <v/>
      </c>
      <c r="AA6530">
        <f>IF(Z6530&gt;Z6529,Z6530,"")</f>
        <v/>
      </c>
      <c r="AB6530">
        <f>AB6529+IF(X6530="",0,IF(ISNA(MATCH(X6530,X$256:X6529,0)),1,0))</f>
        <v/>
      </c>
      <c r="AC6530">
        <f>IF(AB6530&gt;AB6529,AB6530,"")</f>
        <v/>
      </c>
    </row>
    <row r="6531">
      <c r="W6531" s="7" t="n"/>
      <c r="X6531" s="7" t="n"/>
      <c r="Z6531">
        <f>Z6530+IF(W6531="",0,IF(ISNA(MATCH(W6531,W$256:W6530,0)),1,0))</f>
        <v/>
      </c>
      <c r="AA6531">
        <f>IF(Z6531&gt;Z6530,Z6531,"")</f>
        <v/>
      </c>
      <c r="AB6531">
        <f>AB6530+IF(X6531="",0,IF(ISNA(MATCH(X6531,X$256:X6530,0)),1,0))</f>
        <v/>
      </c>
      <c r="AC6531">
        <f>IF(AB6531&gt;AB6530,AB6531,"")</f>
        <v/>
      </c>
    </row>
    <row r="6532">
      <c r="W6532" s="7" t="n"/>
      <c r="X6532" s="7" t="n"/>
      <c r="Z6532">
        <f>Z6531+IF(W6532="",0,IF(ISNA(MATCH(W6532,W$256:W6531,0)),1,0))</f>
        <v/>
      </c>
      <c r="AA6532">
        <f>IF(Z6532&gt;Z6531,Z6532,"")</f>
        <v/>
      </c>
      <c r="AB6532">
        <f>AB6531+IF(X6532="",0,IF(ISNA(MATCH(X6532,X$256:X6531,0)),1,0))</f>
        <v/>
      </c>
      <c r="AC6532">
        <f>IF(AB6532&gt;AB6531,AB6532,"")</f>
        <v/>
      </c>
    </row>
    <row r="6533">
      <c r="W6533" s="7" t="n"/>
      <c r="X6533" s="7" t="n"/>
      <c r="Z6533">
        <f>Z6532+IF(W6533="",0,IF(ISNA(MATCH(W6533,W$256:W6532,0)),1,0))</f>
        <v/>
      </c>
      <c r="AA6533">
        <f>IF(Z6533&gt;Z6532,Z6533,"")</f>
        <v/>
      </c>
      <c r="AB6533">
        <f>AB6532+IF(X6533="",0,IF(ISNA(MATCH(X6533,X$256:X6532,0)),1,0))</f>
        <v/>
      </c>
      <c r="AC6533">
        <f>IF(AB6533&gt;AB6532,AB6533,"")</f>
        <v/>
      </c>
    </row>
    <row r="6534">
      <c r="W6534" s="7" t="n"/>
      <c r="X6534" s="7" t="n"/>
      <c r="Z6534">
        <f>Z6533+IF(W6534="",0,IF(ISNA(MATCH(W6534,W$256:W6533,0)),1,0))</f>
        <v/>
      </c>
      <c r="AA6534">
        <f>IF(Z6534&gt;Z6533,Z6534,"")</f>
        <v/>
      </c>
      <c r="AB6534">
        <f>AB6533+IF(X6534="",0,IF(ISNA(MATCH(X6534,X$256:X6533,0)),1,0))</f>
        <v/>
      </c>
      <c r="AC6534">
        <f>IF(AB6534&gt;AB6533,AB6534,"")</f>
        <v/>
      </c>
    </row>
    <row r="6535">
      <c r="W6535" s="7" t="n"/>
      <c r="X6535" s="7" t="n"/>
      <c r="Z6535">
        <f>Z6534+IF(W6535="",0,IF(ISNA(MATCH(W6535,W$256:W6534,0)),1,0))</f>
        <v/>
      </c>
      <c r="AA6535">
        <f>IF(Z6535&gt;Z6534,Z6535,"")</f>
        <v/>
      </c>
      <c r="AB6535">
        <f>AB6534+IF(X6535="",0,IF(ISNA(MATCH(X6535,X$256:X6534,0)),1,0))</f>
        <v/>
      </c>
      <c r="AC6535">
        <f>IF(AB6535&gt;AB6534,AB6535,"")</f>
        <v/>
      </c>
    </row>
    <row r="6536">
      <c r="W6536" s="7" t="n"/>
      <c r="X6536" s="7" t="n"/>
      <c r="Z6536">
        <f>Z6535+IF(W6536="",0,IF(ISNA(MATCH(W6536,W$256:W6535,0)),1,0))</f>
        <v/>
      </c>
      <c r="AA6536">
        <f>IF(Z6536&gt;Z6535,Z6536,"")</f>
        <v/>
      </c>
      <c r="AB6536">
        <f>AB6535+IF(X6536="",0,IF(ISNA(MATCH(X6536,X$256:X6535,0)),1,0))</f>
        <v/>
      </c>
      <c r="AC6536">
        <f>IF(AB6536&gt;AB6535,AB6536,"")</f>
        <v/>
      </c>
    </row>
    <row r="6537">
      <c r="W6537" s="7" t="n"/>
      <c r="X6537" s="7" t="n"/>
      <c r="Z6537">
        <f>Z6536+IF(W6537="",0,IF(ISNA(MATCH(W6537,W$256:W6536,0)),1,0))</f>
        <v/>
      </c>
      <c r="AA6537">
        <f>IF(Z6537&gt;Z6536,Z6537,"")</f>
        <v/>
      </c>
      <c r="AB6537">
        <f>AB6536+IF(X6537="",0,IF(ISNA(MATCH(X6537,X$256:X6536,0)),1,0))</f>
        <v/>
      </c>
      <c r="AC6537">
        <f>IF(AB6537&gt;AB6536,AB6537,"")</f>
        <v/>
      </c>
    </row>
    <row r="6538">
      <c r="W6538" s="7" t="n"/>
      <c r="X6538" s="7" t="n"/>
      <c r="Z6538">
        <f>Z6537+IF(W6538="",0,IF(ISNA(MATCH(W6538,W$256:W6537,0)),1,0))</f>
        <v/>
      </c>
      <c r="AA6538">
        <f>IF(Z6538&gt;Z6537,Z6538,"")</f>
        <v/>
      </c>
      <c r="AB6538">
        <f>AB6537+IF(X6538="",0,IF(ISNA(MATCH(X6538,X$256:X6537,0)),1,0))</f>
        <v/>
      </c>
      <c r="AC6538">
        <f>IF(AB6538&gt;AB6537,AB6538,"")</f>
        <v/>
      </c>
    </row>
    <row r="6539">
      <c r="W6539" s="7" t="n"/>
      <c r="X6539" s="7" t="n"/>
      <c r="Z6539">
        <f>Z6538+IF(W6539="",0,IF(ISNA(MATCH(W6539,W$256:W6538,0)),1,0))</f>
        <v/>
      </c>
      <c r="AA6539">
        <f>IF(Z6539&gt;Z6538,Z6539,"")</f>
        <v/>
      </c>
      <c r="AB6539">
        <f>AB6538+IF(X6539="",0,IF(ISNA(MATCH(X6539,X$256:X6538,0)),1,0))</f>
        <v/>
      </c>
      <c r="AC6539">
        <f>IF(AB6539&gt;AB6538,AB6539,"")</f>
        <v/>
      </c>
    </row>
    <row r="6540">
      <c r="W6540" s="7" t="n"/>
      <c r="X6540" s="7" t="n"/>
      <c r="Z6540">
        <f>Z6539+IF(W6540="",0,IF(ISNA(MATCH(W6540,W$256:W6539,0)),1,0))</f>
        <v/>
      </c>
      <c r="AA6540">
        <f>IF(Z6540&gt;Z6539,Z6540,"")</f>
        <v/>
      </c>
      <c r="AB6540">
        <f>AB6539+IF(X6540="",0,IF(ISNA(MATCH(X6540,X$256:X6539,0)),1,0))</f>
        <v/>
      </c>
      <c r="AC6540">
        <f>IF(AB6540&gt;AB6539,AB6540,"")</f>
        <v/>
      </c>
    </row>
    <row r="6541">
      <c r="W6541" s="7" t="n"/>
      <c r="X6541" s="7" t="n"/>
      <c r="Z6541">
        <f>Z6540+IF(W6541="",0,IF(ISNA(MATCH(W6541,W$256:W6540,0)),1,0))</f>
        <v/>
      </c>
      <c r="AA6541">
        <f>IF(Z6541&gt;Z6540,Z6541,"")</f>
        <v/>
      </c>
      <c r="AB6541">
        <f>AB6540+IF(X6541="",0,IF(ISNA(MATCH(X6541,X$256:X6540,0)),1,0))</f>
        <v/>
      </c>
      <c r="AC6541">
        <f>IF(AB6541&gt;AB6540,AB6541,"")</f>
        <v/>
      </c>
    </row>
    <row r="6542">
      <c r="W6542" s="7" t="n"/>
      <c r="X6542" s="7" t="n"/>
      <c r="Z6542">
        <f>Z6541+IF(W6542="",0,IF(ISNA(MATCH(W6542,W$256:W6541,0)),1,0))</f>
        <v/>
      </c>
      <c r="AA6542">
        <f>IF(Z6542&gt;Z6541,Z6542,"")</f>
        <v/>
      </c>
      <c r="AB6542">
        <f>AB6541+IF(X6542="",0,IF(ISNA(MATCH(X6542,X$256:X6541,0)),1,0))</f>
        <v/>
      </c>
      <c r="AC6542">
        <f>IF(AB6542&gt;AB6541,AB6542,"")</f>
        <v/>
      </c>
    </row>
    <row r="6543">
      <c r="W6543" s="7" t="n"/>
      <c r="X6543" s="7" t="n"/>
      <c r="Z6543">
        <f>Z6542+IF(W6543="",0,IF(ISNA(MATCH(W6543,W$256:W6542,0)),1,0))</f>
        <v/>
      </c>
      <c r="AA6543">
        <f>IF(Z6543&gt;Z6542,Z6543,"")</f>
        <v/>
      </c>
      <c r="AB6543">
        <f>AB6542+IF(X6543="",0,IF(ISNA(MATCH(X6543,X$256:X6542,0)),1,0))</f>
        <v/>
      </c>
      <c r="AC6543">
        <f>IF(AB6543&gt;AB6542,AB6543,"")</f>
        <v/>
      </c>
    </row>
    <row r="6544">
      <c r="W6544" s="7" t="n"/>
      <c r="X6544" s="7" t="n"/>
      <c r="Z6544">
        <f>Z6543+IF(W6544="",0,IF(ISNA(MATCH(W6544,W$256:W6543,0)),1,0))</f>
        <v/>
      </c>
      <c r="AA6544">
        <f>IF(Z6544&gt;Z6543,Z6544,"")</f>
        <v/>
      </c>
      <c r="AB6544">
        <f>AB6543+IF(X6544="",0,IF(ISNA(MATCH(X6544,X$256:X6543,0)),1,0))</f>
        <v/>
      </c>
      <c r="AC6544">
        <f>IF(AB6544&gt;AB6543,AB6544,"")</f>
        <v/>
      </c>
    </row>
    <row r="6545">
      <c r="W6545" s="7" t="n"/>
      <c r="X6545" s="7" t="n"/>
      <c r="Z6545">
        <f>Z6544+IF(W6545="",0,IF(ISNA(MATCH(W6545,W$256:W6544,0)),1,0))</f>
        <v/>
      </c>
      <c r="AA6545">
        <f>IF(Z6545&gt;Z6544,Z6545,"")</f>
        <v/>
      </c>
      <c r="AB6545">
        <f>AB6544+IF(X6545="",0,IF(ISNA(MATCH(X6545,X$256:X6544,0)),1,0))</f>
        <v/>
      </c>
      <c r="AC6545">
        <f>IF(AB6545&gt;AB6544,AB6545,"")</f>
        <v/>
      </c>
    </row>
    <row r="6546">
      <c r="W6546" s="7" t="n"/>
      <c r="X6546" s="7" t="n"/>
      <c r="Z6546">
        <f>Z6545+IF(W6546="",0,IF(ISNA(MATCH(W6546,W$256:W6545,0)),1,0))</f>
        <v/>
      </c>
      <c r="AA6546">
        <f>IF(Z6546&gt;Z6545,Z6546,"")</f>
        <v/>
      </c>
      <c r="AB6546">
        <f>AB6545+IF(X6546="",0,IF(ISNA(MATCH(X6546,X$256:X6545,0)),1,0))</f>
        <v/>
      </c>
      <c r="AC6546">
        <f>IF(AB6546&gt;AB6545,AB6546,"")</f>
        <v/>
      </c>
    </row>
    <row r="6547">
      <c r="W6547" s="7" t="n"/>
      <c r="X6547" s="7" t="n"/>
      <c r="Z6547">
        <f>Z6546+IF(W6547="",0,IF(ISNA(MATCH(W6547,W$256:W6546,0)),1,0))</f>
        <v/>
      </c>
      <c r="AA6547">
        <f>IF(Z6547&gt;Z6546,Z6547,"")</f>
        <v/>
      </c>
      <c r="AB6547">
        <f>AB6546+IF(X6547="",0,IF(ISNA(MATCH(X6547,X$256:X6546,0)),1,0))</f>
        <v/>
      </c>
      <c r="AC6547">
        <f>IF(AB6547&gt;AB6546,AB6547,"")</f>
        <v/>
      </c>
    </row>
    <row r="6548">
      <c r="W6548" s="7" t="n"/>
      <c r="X6548" s="7" t="n"/>
      <c r="Z6548">
        <f>Z6547+IF(W6548="",0,IF(ISNA(MATCH(W6548,W$256:W6547,0)),1,0))</f>
        <v/>
      </c>
      <c r="AA6548">
        <f>IF(Z6548&gt;Z6547,Z6548,"")</f>
        <v/>
      </c>
      <c r="AB6548">
        <f>AB6547+IF(X6548="",0,IF(ISNA(MATCH(X6548,X$256:X6547,0)),1,0))</f>
        <v/>
      </c>
      <c r="AC6548">
        <f>IF(AB6548&gt;AB6547,AB6548,"")</f>
        <v/>
      </c>
    </row>
    <row r="6549">
      <c r="W6549" s="7" t="n"/>
      <c r="X6549" s="7" t="n"/>
      <c r="Z6549">
        <f>Z6548+IF(W6549="",0,IF(ISNA(MATCH(W6549,W$256:W6548,0)),1,0))</f>
        <v/>
      </c>
      <c r="AA6549">
        <f>IF(Z6549&gt;Z6548,Z6549,"")</f>
        <v/>
      </c>
      <c r="AB6549">
        <f>AB6548+IF(X6549="",0,IF(ISNA(MATCH(X6549,X$256:X6548,0)),1,0))</f>
        <v/>
      </c>
      <c r="AC6549">
        <f>IF(AB6549&gt;AB6548,AB6549,"")</f>
        <v/>
      </c>
    </row>
    <row r="6550">
      <c r="W6550" s="7" t="n"/>
      <c r="X6550" s="7" t="n"/>
      <c r="Z6550">
        <f>Z6549+IF(W6550="",0,IF(ISNA(MATCH(W6550,W$256:W6549,0)),1,0))</f>
        <v/>
      </c>
      <c r="AA6550">
        <f>IF(Z6550&gt;Z6549,Z6550,"")</f>
        <v/>
      </c>
      <c r="AB6550">
        <f>AB6549+IF(X6550="",0,IF(ISNA(MATCH(X6550,X$256:X6549,0)),1,0))</f>
        <v/>
      </c>
      <c r="AC6550">
        <f>IF(AB6550&gt;AB6549,AB6550,"")</f>
        <v/>
      </c>
    </row>
    <row r="6551">
      <c r="W6551" s="7" t="n"/>
      <c r="X6551" s="7" t="n"/>
      <c r="Z6551">
        <f>Z6550+IF(W6551="",0,IF(ISNA(MATCH(W6551,W$256:W6550,0)),1,0))</f>
        <v/>
      </c>
      <c r="AA6551">
        <f>IF(Z6551&gt;Z6550,Z6551,"")</f>
        <v/>
      </c>
      <c r="AB6551">
        <f>AB6550+IF(X6551="",0,IF(ISNA(MATCH(X6551,X$256:X6550,0)),1,0))</f>
        <v/>
      </c>
      <c r="AC6551">
        <f>IF(AB6551&gt;AB6550,AB6551,"")</f>
        <v/>
      </c>
    </row>
    <row r="6552">
      <c r="W6552" s="7" t="n"/>
      <c r="X6552" s="7" t="n"/>
      <c r="Z6552">
        <f>Z6551+IF(W6552="",0,IF(ISNA(MATCH(W6552,W$256:W6551,0)),1,0))</f>
        <v/>
      </c>
      <c r="AA6552">
        <f>IF(Z6552&gt;Z6551,Z6552,"")</f>
        <v/>
      </c>
      <c r="AB6552">
        <f>AB6551+IF(X6552="",0,IF(ISNA(MATCH(X6552,X$256:X6551,0)),1,0))</f>
        <v/>
      </c>
      <c r="AC6552">
        <f>IF(AB6552&gt;AB6551,AB6552,"")</f>
        <v/>
      </c>
    </row>
    <row r="6553">
      <c r="W6553" s="7" t="n"/>
      <c r="X6553" s="7" t="n"/>
      <c r="Z6553">
        <f>Z6552+IF(W6553="",0,IF(ISNA(MATCH(W6553,W$256:W6552,0)),1,0))</f>
        <v/>
      </c>
      <c r="AA6553">
        <f>IF(Z6553&gt;Z6552,Z6553,"")</f>
        <v/>
      </c>
      <c r="AB6553">
        <f>AB6552+IF(X6553="",0,IF(ISNA(MATCH(X6553,X$256:X6552,0)),1,0))</f>
        <v/>
      </c>
      <c r="AC6553">
        <f>IF(AB6553&gt;AB6552,AB6553,"")</f>
        <v/>
      </c>
    </row>
    <row r="6554">
      <c r="W6554" s="7" t="n"/>
      <c r="X6554" s="7" t="n"/>
      <c r="Z6554">
        <f>Z6553+IF(W6554="",0,IF(ISNA(MATCH(W6554,W$256:W6553,0)),1,0))</f>
        <v/>
      </c>
      <c r="AA6554">
        <f>IF(Z6554&gt;Z6553,Z6554,"")</f>
        <v/>
      </c>
      <c r="AB6554">
        <f>AB6553+IF(X6554="",0,IF(ISNA(MATCH(X6554,X$256:X6553,0)),1,0))</f>
        <v/>
      </c>
      <c r="AC6554">
        <f>IF(AB6554&gt;AB6553,AB6554,"")</f>
        <v/>
      </c>
    </row>
    <row r="6555">
      <c r="W6555" s="7" t="n"/>
      <c r="X6555" s="7" t="n"/>
      <c r="Z6555">
        <f>Z6554+IF(W6555="",0,IF(ISNA(MATCH(W6555,W$256:W6554,0)),1,0))</f>
        <v/>
      </c>
      <c r="AA6555">
        <f>IF(Z6555&gt;Z6554,Z6555,"")</f>
        <v/>
      </c>
      <c r="AB6555">
        <f>AB6554+IF(X6555="",0,IF(ISNA(MATCH(X6555,X$256:X6554,0)),1,0))</f>
        <v/>
      </c>
      <c r="AC6555">
        <f>IF(AB6555&gt;AB6554,AB6555,"")</f>
        <v/>
      </c>
    </row>
    <row r="6556">
      <c r="W6556" s="7" t="n"/>
      <c r="X6556" s="7" t="n"/>
      <c r="Z6556">
        <f>Z6555+IF(W6556="",0,IF(ISNA(MATCH(W6556,W$256:W6555,0)),1,0))</f>
        <v/>
      </c>
      <c r="AA6556">
        <f>IF(Z6556&gt;Z6555,Z6556,"")</f>
        <v/>
      </c>
      <c r="AB6556">
        <f>AB6555+IF(X6556="",0,IF(ISNA(MATCH(X6556,X$256:X6555,0)),1,0))</f>
        <v/>
      </c>
      <c r="AC6556">
        <f>IF(AB6556&gt;AB6555,AB6556,"")</f>
        <v/>
      </c>
    </row>
    <row r="6557">
      <c r="W6557" s="7" t="n"/>
      <c r="X6557" s="7" t="n"/>
      <c r="Z6557">
        <f>Z6556+IF(W6557="",0,IF(ISNA(MATCH(W6557,W$256:W6556,0)),1,0))</f>
        <v/>
      </c>
      <c r="AA6557">
        <f>IF(Z6557&gt;Z6556,Z6557,"")</f>
        <v/>
      </c>
      <c r="AB6557">
        <f>AB6556+IF(X6557="",0,IF(ISNA(MATCH(X6557,X$256:X6556,0)),1,0))</f>
        <v/>
      </c>
      <c r="AC6557">
        <f>IF(AB6557&gt;AB6556,AB6557,"")</f>
        <v/>
      </c>
    </row>
    <row r="6558">
      <c r="W6558" s="7" t="n"/>
      <c r="X6558" s="7" t="n"/>
      <c r="Z6558">
        <f>Z6557+IF(W6558="",0,IF(ISNA(MATCH(W6558,W$256:W6557,0)),1,0))</f>
        <v/>
      </c>
      <c r="AA6558">
        <f>IF(Z6558&gt;Z6557,Z6558,"")</f>
        <v/>
      </c>
      <c r="AB6558">
        <f>AB6557+IF(X6558="",0,IF(ISNA(MATCH(X6558,X$256:X6557,0)),1,0))</f>
        <v/>
      </c>
      <c r="AC6558">
        <f>IF(AB6558&gt;AB6557,AB6558,"")</f>
        <v/>
      </c>
    </row>
    <row r="6559">
      <c r="W6559" s="7" t="n"/>
      <c r="X6559" s="7" t="n"/>
      <c r="Z6559">
        <f>Z6558+IF(W6559="",0,IF(ISNA(MATCH(W6559,W$256:W6558,0)),1,0))</f>
        <v/>
      </c>
      <c r="AA6559">
        <f>IF(Z6559&gt;Z6558,Z6559,"")</f>
        <v/>
      </c>
      <c r="AB6559">
        <f>AB6558+IF(X6559="",0,IF(ISNA(MATCH(X6559,X$256:X6558,0)),1,0))</f>
        <v/>
      </c>
      <c r="AC6559">
        <f>IF(AB6559&gt;AB6558,AB6559,"")</f>
        <v/>
      </c>
    </row>
    <row r="6560">
      <c r="W6560" s="7" t="n"/>
      <c r="X6560" s="7" t="n"/>
      <c r="Z6560">
        <f>Z6559+IF(W6560="",0,IF(ISNA(MATCH(W6560,W$256:W6559,0)),1,0))</f>
        <v/>
      </c>
      <c r="AA6560">
        <f>IF(Z6560&gt;Z6559,Z6560,"")</f>
        <v/>
      </c>
      <c r="AB6560">
        <f>AB6559+IF(X6560="",0,IF(ISNA(MATCH(X6560,X$256:X6559,0)),1,0))</f>
        <v/>
      </c>
      <c r="AC6560">
        <f>IF(AB6560&gt;AB6559,AB6560,"")</f>
        <v/>
      </c>
    </row>
    <row r="6561">
      <c r="W6561" s="7" t="n"/>
      <c r="X6561" s="7" t="n"/>
      <c r="Z6561">
        <f>Z6560+IF(W6561="",0,IF(ISNA(MATCH(W6561,W$256:W6560,0)),1,0))</f>
        <v/>
      </c>
      <c r="AA6561">
        <f>IF(Z6561&gt;Z6560,Z6561,"")</f>
        <v/>
      </c>
      <c r="AB6561">
        <f>AB6560+IF(X6561="",0,IF(ISNA(MATCH(X6561,X$256:X6560,0)),1,0))</f>
        <v/>
      </c>
      <c r="AC6561">
        <f>IF(AB6561&gt;AB6560,AB6561,"")</f>
        <v/>
      </c>
    </row>
    <row r="6562">
      <c r="W6562" s="7" t="n"/>
      <c r="X6562" s="7" t="n"/>
      <c r="Z6562">
        <f>Z6561+IF(W6562="",0,IF(ISNA(MATCH(W6562,W$256:W6561,0)),1,0))</f>
        <v/>
      </c>
      <c r="AA6562">
        <f>IF(Z6562&gt;Z6561,Z6562,"")</f>
        <v/>
      </c>
      <c r="AB6562">
        <f>AB6561+IF(X6562="",0,IF(ISNA(MATCH(X6562,X$256:X6561,0)),1,0))</f>
        <v/>
      </c>
      <c r="AC6562">
        <f>IF(AB6562&gt;AB6561,AB6562,"")</f>
        <v/>
      </c>
    </row>
    <row r="6563">
      <c r="W6563" s="7" t="n"/>
      <c r="X6563" s="7" t="n"/>
      <c r="Z6563">
        <f>Z6562+IF(W6563="",0,IF(ISNA(MATCH(W6563,W$256:W6562,0)),1,0))</f>
        <v/>
      </c>
      <c r="AA6563">
        <f>IF(Z6563&gt;Z6562,Z6563,"")</f>
        <v/>
      </c>
      <c r="AB6563">
        <f>AB6562+IF(X6563="",0,IF(ISNA(MATCH(X6563,X$256:X6562,0)),1,0))</f>
        <v/>
      </c>
      <c r="AC6563">
        <f>IF(AB6563&gt;AB6562,AB6563,"")</f>
        <v/>
      </c>
    </row>
    <row r="6564">
      <c r="W6564" s="7" t="n"/>
      <c r="X6564" s="7" t="n"/>
      <c r="Z6564">
        <f>Z6563+IF(W6564="",0,IF(ISNA(MATCH(W6564,W$256:W6563,0)),1,0))</f>
        <v/>
      </c>
      <c r="AA6564">
        <f>IF(Z6564&gt;Z6563,Z6564,"")</f>
        <v/>
      </c>
      <c r="AB6564">
        <f>AB6563+IF(X6564="",0,IF(ISNA(MATCH(X6564,X$256:X6563,0)),1,0))</f>
        <v/>
      </c>
      <c r="AC6564">
        <f>IF(AB6564&gt;AB6563,AB6564,"")</f>
        <v/>
      </c>
    </row>
    <row r="6565">
      <c r="W6565" s="7" t="n"/>
      <c r="X6565" s="7" t="n"/>
      <c r="Z6565">
        <f>Z6564+IF(W6565="",0,IF(ISNA(MATCH(W6565,W$256:W6564,0)),1,0))</f>
        <v/>
      </c>
      <c r="AA6565">
        <f>IF(Z6565&gt;Z6564,Z6565,"")</f>
        <v/>
      </c>
      <c r="AB6565">
        <f>AB6564+IF(X6565="",0,IF(ISNA(MATCH(X6565,X$256:X6564,0)),1,0))</f>
        <v/>
      </c>
      <c r="AC6565">
        <f>IF(AB6565&gt;AB6564,AB6565,"")</f>
        <v/>
      </c>
    </row>
    <row r="6566">
      <c r="W6566" s="7" t="n"/>
      <c r="X6566" s="7" t="n"/>
      <c r="Z6566">
        <f>Z6565+IF(W6566="",0,IF(ISNA(MATCH(W6566,W$256:W6565,0)),1,0))</f>
        <v/>
      </c>
      <c r="AA6566">
        <f>IF(Z6566&gt;Z6565,Z6566,"")</f>
        <v/>
      </c>
      <c r="AB6566">
        <f>AB6565+IF(X6566="",0,IF(ISNA(MATCH(X6566,X$256:X6565,0)),1,0))</f>
        <v/>
      </c>
      <c r="AC6566">
        <f>IF(AB6566&gt;AB6565,AB6566,"")</f>
        <v/>
      </c>
    </row>
    <row r="6567">
      <c r="W6567" s="7" t="n"/>
      <c r="X6567" s="7" t="n"/>
      <c r="Z6567">
        <f>Z6566+IF(W6567="",0,IF(ISNA(MATCH(W6567,W$256:W6566,0)),1,0))</f>
        <v/>
      </c>
      <c r="AA6567">
        <f>IF(Z6567&gt;Z6566,Z6567,"")</f>
        <v/>
      </c>
      <c r="AB6567">
        <f>AB6566+IF(X6567="",0,IF(ISNA(MATCH(X6567,X$256:X6566,0)),1,0))</f>
        <v/>
      </c>
      <c r="AC6567">
        <f>IF(AB6567&gt;AB6566,AB6567,"")</f>
        <v/>
      </c>
    </row>
    <row r="6568">
      <c r="W6568" s="7" t="n"/>
      <c r="X6568" s="7" t="n"/>
      <c r="Z6568">
        <f>Z6567+IF(W6568="",0,IF(ISNA(MATCH(W6568,W$256:W6567,0)),1,0))</f>
        <v/>
      </c>
      <c r="AA6568">
        <f>IF(Z6568&gt;Z6567,Z6568,"")</f>
        <v/>
      </c>
      <c r="AB6568">
        <f>AB6567+IF(X6568="",0,IF(ISNA(MATCH(X6568,X$256:X6567,0)),1,0))</f>
        <v/>
      </c>
      <c r="AC6568">
        <f>IF(AB6568&gt;AB6567,AB6568,"")</f>
        <v/>
      </c>
    </row>
    <row r="6569">
      <c r="W6569" s="7" t="n"/>
      <c r="X6569" s="7" t="n"/>
      <c r="Z6569">
        <f>Z6568+IF(W6569="",0,IF(ISNA(MATCH(W6569,W$256:W6568,0)),1,0))</f>
        <v/>
      </c>
      <c r="AA6569">
        <f>IF(Z6569&gt;Z6568,Z6569,"")</f>
        <v/>
      </c>
      <c r="AB6569">
        <f>AB6568+IF(X6569="",0,IF(ISNA(MATCH(X6569,X$256:X6568,0)),1,0))</f>
        <v/>
      </c>
      <c r="AC6569">
        <f>IF(AB6569&gt;AB6568,AB6569,"")</f>
        <v/>
      </c>
    </row>
    <row r="6570">
      <c r="W6570" s="7" t="n"/>
      <c r="X6570" s="7" t="n"/>
      <c r="Z6570">
        <f>Z6569+IF(W6570="",0,IF(ISNA(MATCH(W6570,W$256:W6569,0)),1,0))</f>
        <v/>
      </c>
      <c r="AA6570">
        <f>IF(Z6570&gt;Z6569,Z6570,"")</f>
        <v/>
      </c>
      <c r="AB6570">
        <f>AB6569+IF(X6570="",0,IF(ISNA(MATCH(X6570,X$256:X6569,0)),1,0))</f>
        <v/>
      </c>
      <c r="AC6570">
        <f>IF(AB6570&gt;AB6569,AB6570,"")</f>
        <v/>
      </c>
    </row>
    <row r="6571">
      <c r="W6571" s="7" t="n"/>
      <c r="X6571" s="7" t="n"/>
      <c r="Z6571">
        <f>Z6570+IF(W6571="",0,IF(ISNA(MATCH(W6571,W$256:W6570,0)),1,0))</f>
        <v/>
      </c>
      <c r="AA6571">
        <f>IF(Z6571&gt;Z6570,Z6571,"")</f>
        <v/>
      </c>
      <c r="AB6571">
        <f>AB6570+IF(X6571="",0,IF(ISNA(MATCH(X6571,X$256:X6570,0)),1,0))</f>
        <v/>
      </c>
      <c r="AC6571">
        <f>IF(AB6571&gt;AB6570,AB6571,"")</f>
        <v/>
      </c>
    </row>
    <row r="6572">
      <c r="W6572" s="7" t="n"/>
      <c r="X6572" s="7" t="n"/>
      <c r="Z6572">
        <f>Z6571+IF(W6572="",0,IF(ISNA(MATCH(W6572,W$256:W6571,0)),1,0))</f>
        <v/>
      </c>
      <c r="AA6572">
        <f>IF(Z6572&gt;Z6571,Z6572,"")</f>
        <v/>
      </c>
      <c r="AB6572">
        <f>AB6571+IF(X6572="",0,IF(ISNA(MATCH(X6572,X$256:X6571,0)),1,0))</f>
        <v/>
      </c>
      <c r="AC6572">
        <f>IF(AB6572&gt;AB6571,AB6572,"")</f>
        <v/>
      </c>
    </row>
    <row r="6573">
      <c r="W6573" s="7" t="n"/>
      <c r="X6573" s="7" t="n"/>
      <c r="Z6573">
        <f>Z6572+IF(W6573="",0,IF(ISNA(MATCH(W6573,W$256:W6572,0)),1,0))</f>
        <v/>
      </c>
      <c r="AA6573">
        <f>IF(Z6573&gt;Z6572,Z6573,"")</f>
        <v/>
      </c>
      <c r="AB6573">
        <f>AB6572+IF(X6573="",0,IF(ISNA(MATCH(X6573,X$256:X6572,0)),1,0))</f>
        <v/>
      </c>
      <c r="AC6573">
        <f>IF(AB6573&gt;AB6572,AB6573,"")</f>
        <v/>
      </c>
    </row>
    <row r="6574">
      <c r="W6574" s="7" t="n"/>
      <c r="X6574" s="7" t="n"/>
      <c r="Z6574">
        <f>Z6573+IF(W6574="",0,IF(ISNA(MATCH(W6574,W$256:W6573,0)),1,0))</f>
        <v/>
      </c>
      <c r="AA6574">
        <f>IF(Z6574&gt;Z6573,Z6574,"")</f>
        <v/>
      </c>
      <c r="AB6574">
        <f>AB6573+IF(X6574="",0,IF(ISNA(MATCH(X6574,X$256:X6573,0)),1,0))</f>
        <v/>
      </c>
      <c r="AC6574">
        <f>IF(AB6574&gt;AB6573,AB6574,"")</f>
        <v/>
      </c>
    </row>
    <row r="6575">
      <c r="W6575" s="7" t="n"/>
      <c r="X6575" s="7" t="n"/>
      <c r="Z6575">
        <f>Z6574+IF(W6575="",0,IF(ISNA(MATCH(W6575,W$256:W6574,0)),1,0))</f>
        <v/>
      </c>
      <c r="AA6575">
        <f>IF(Z6575&gt;Z6574,Z6575,"")</f>
        <v/>
      </c>
      <c r="AB6575">
        <f>AB6574+IF(X6575="",0,IF(ISNA(MATCH(X6575,X$256:X6574,0)),1,0))</f>
        <v/>
      </c>
      <c r="AC6575">
        <f>IF(AB6575&gt;AB6574,AB6575,"")</f>
        <v/>
      </c>
    </row>
    <row r="6576">
      <c r="W6576" s="7" t="n"/>
      <c r="X6576" s="7" t="n"/>
      <c r="Z6576">
        <f>Z6575+IF(W6576="",0,IF(ISNA(MATCH(W6576,W$256:W6575,0)),1,0))</f>
        <v/>
      </c>
      <c r="AA6576">
        <f>IF(Z6576&gt;Z6575,Z6576,"")</f>
        <v/>
      </c>
      <c r="AB6576">
        <f>AB6575+IF(X6576="",0,IF(ISNA(MATCH(X6576,X$256:X6575,0)),1,0))</f>
        <v/>
      </c>
      <c r="AC6576">
        <f>IF(AB6576&gt;AB6575,AB6576,"")</f>
        <v/>
      </c>
    </row>
    <row r="6577">
      <c r="W6577" s="7" t="n"/>
      <c r="X6577" s="7" t="n"/>
      <c r="Z6577">
        <f>Z6576+IF(W6577="",0,IF(ISNA(MATCH(W6577,W$256:W6576,0)),1,0))</f>
        <v/>
      </c>
      <c r="AA6577">
        <f>IF(Z6577&gt;Z6576,Z6577,"")</f>
        <v/>
      </c>
      <c r="AB6577">
        <f>AB6576+IF(X6577="",0,IF(ISNA(MATCH(X6577,X$256:X6576,0)),1,0))</f>
        <v/>
      </c>
      <c r="AC6577">
        <f>IF(AB6577&gt;AB6576,AB6577,"")</f>
        <v/>
      </c>
    </row>
    <row r="6578">
      <c r="W6578" s="7" t="n"/>
      <c r="X6578" s="7" t="n"/>
      <c r="Z6578">
        <f>Z6577+IF(W6578="",0,IF(ISNA(MATCH(W6578,W$256:W6577,0)),1,0))</f>
        <v/>
      </c>
      <c r="AA6578">
        <f>IF(Z6578&gt;Z6577,Z6578,"")</f>
        <v/>
      </c>
      <c r="AB6578">
        <f>AB6577+IF(X6578="",0,IF(ISNA(MATCH(X6578,X$256:X6577,0)),1,0))</f>
        <v/>
      </c>
      <c r="AC6578">
        <f>IF(AB6578&gt;AB6577,AB6578,"")</f>
        <v/>
      </c>
    </row>
    <row r="6579">
      <c r="W6579" s="7" t="n"/>
      <c r="X6579" s="7" t="n"/>
      <c r="Z6579">
        <f>Z6578+IF(W6579="",0,IF(ISNA(MATCH(W6579,W$256:W6578,0)),1,0))</f>
        <v/>
      </c>
      <c r="AA6579">
        <f>IF(Z6579&gt;Z6578,Z6579,"")</f>
        <v/>
      </c>
      <c r="AB6579">
        <f>AB6578+IF(X6579="",0,IF(ISNA(MATCH(X6579,X$256:X6578,0)),1,0))</f>
        <v/>
      </c>
      <c r="AC6579">
        <f>IF(AB6579&gt;AB6578,AB6579,"")</f>
        <v/>
      </c>
    </row>
    <row r="6580">
      <c r="W6580" s="7" t="n"/>
      <c r="X6580" s="7" t="n"/>
      <c r="Z6580">
        <f>Z6579+IF(W6580="",0,IF(ISNA(MATCH(W6580,W$256:W6579,0)),1,0))</f>
        <v/>
      </c>
      <c r="AA6580">
        <f>IF(Z6580&gt;Z6579,Z6580,"")</f>
        <v/>
      </c>
      <c r="AB6580">
        <f>AB6579+IF(X6580="",0,IF(ISNA(MATCH(X6580,X$256:X6579,0)),1,0))</f>
        <v/>
      </c>
      <c r="AC6580">
        <f>IF(AB6580&gt;AB6579,AB6580,"")</f>
        <v/>
      </c>
    </row>
    <row r="6581">
      <c r="W6581" s="7" t="n"/>
      <c r="X6581" s="7" t="n"/>
      <c r="Z6581">
        <f>Z6580+IF(W6581="",0,IF(ISNA(MATCH(W6581,W$256:W6580,0)),1,0))</f>
        <v/>
      </c>
      <c r="AA6581">
        <f>IF(Z6581&gt;Z6580,Z6581,"")</f>
        <v/>
      </c>
      <c r="AB6581">
        <f>AB6580+IF(X6581="",0,IF(ISNA(MATCH(X6581,X$256:X6580,0)),1,0))</f>
        <v/>
      </c>
      <c r="AC6581">
        <f>IF(AB6581&gt;AB6580,AB6581,"")</f>
        <v/>
      </c>
    </row>
    <row r="6582">
      <c r="W6582" s="7" t="n"/>
      <c r="X6582" s="7" t="n"/>
      <c r="Z6582">
        <f>Z6581+IF(W6582="",0,IF(ISNA(MATCH(W6582,W$256:W6581,0)),1,0))</f>
        <v/>
      </c>
      <c r="AA6582">
        <f>IF(Z6582&gt;Z6581,Z6582,"")</f>
        <v/>
      </c>
      <c r="AB6582">
        <f>AB6581+IF(X6582="",0,IF(ISNA(MATCH(X6582,X$256:X6581,0)),1,0))</f>
        <v/>
      </c>
      <c r="AC6582">
        <f>IF(AB6582&gt;AB6581,AB6582,"")</f>
        <v/>
      </c>
    </row>
    <row r="6583">
      <c r="W6583" s="7" t="n"/>
      <c r="X6583" s="7" t="n"/>
      <c r="Z6583">
        <f>Z6582+IF(W6583="",0,IF(ISNA(MATCH(W6583,W$256:W6582,0)),1,0))</f>
        <v/>
      </c>
      <c r="AA6583">
        <f>IF(Z6583&gt;Z6582,Z6583,"")</f>
        <v/>
      </c>
      <c r="AB6583">
        <f>AB6582+IF(X6583="",0,IF(ISNA(MATCH(X6583,X$256:X6582,0)),1,0))</f>
        <v/>
      </c>
      <c r="AC6583">
        <f>IF(AB6583&gt;AB6582,AB6583,"")</f>
        <v/>
      </c>
    </row>
    <row r="6584">
      <c r="W6584" s="7" t="n"/>
      <c r="X6584" s="7" t="n"/>
      <c r="Z6584">
        <f>Z6583+IF(W6584="",0,IF(ISNA(MATCH(W6584,W$256:W6583,0)),1,0))</f>
        <v/>
      </c>
      <c r="AA6584">
        <f>IF(Z6584&gt;Z6583,Z6584,"")</f>
        <v/>
      </c>
      <c r="AB6584">
        <f>AB6583+IF(X6584="",0,IF(ISNA(MATCH(X6584,X$256:X6583,0)),1,0))</f>
        <v/>
      </c>
      <c r="AC6584">
        <f>IF(AB6584&gt;AB6583,AB6584,"")</f>
        <v/>
      </c>
    </row>
    <row r="6585">
      <c r="W6585" s="7" t="n"/>
      <c r="X6585" s="7" t="n"/>
      <c r="Z6585">
        <f>Z6584+IF(W6585="",0,IF(ISNA(MATCH(W6585,W$256:W6584,0)),1,0))</f>
        <v/>
      </c>
      <c r="AA6585">
        <f>IF(Z6585&gt;Z6584,Z6585,"")</f>
        <v/>
      </c>
      <c r="AB6585">
        <f>AB6584+IF(X6585="",0,IF(ISNA(MATCH(X6585,X$256:X6584,0)),1,0))</f>
        <v/>
      </c>
      <c r="AC6585">
        <f>IF(AB6585&gt;AB6584,AB6585,"")</f>
        <v/>
      </c>
    </row>
    <row r="6586">
      <c r="W6586" s="7" t="n"/>
      <c r="X6586" s="7" t="n"/>
      <c r="Z6586">
        <f>Z6585+IF(W6586="",0,IF(ISNA(MATCH(W6586,W$256:W6585,0)),1,0))</f>
        <v/>
      </c>
      <c r="AA6586">
        <f>IF(Z6586&gt;Z6585,Z6586,"")</f>
        <v/>
      </c>
      <c r="AB6586">
        <f>AB6585+IF(X6586="",0,IF(ISNA(MATCH(X6586,X$256:X6585,0)),1,0))</f>
        <v/>
      </c>
      <c r="AC6586">
        <f>IF(AB6586&gt;AB6585,AB6586,"")</f>
        <v/>
      </c>
    </row>
    <row r="6587">
      <c r="W6587" s="7" t="n"/>
      <c r="X6587" s="7" t="n"/>
      <c r="Z6587">
        <f>Z6586+IF(W6587="",0,IF(ISNA(MATCH(W6587,W$256:W6586,0)),1,0))</f>
        <v/>
      </c>
      <c r="AA6587">
        <f>IF(Z6587&gt;Z6586,Z6587,"")</f>
        <v/>
      </c>
      <c r="AB6587">
        <f>AB6586+IF(X6587="",0,IF(ISNA(MATCH(X6587,X$256:X6586,0)),1,0))</f>
        <v/>
      </c>
      <c r="AC6587">
        <f>IF(AB6587&gt;AB6586,AB6587,"")</f>
        <v/>
      </c>
    </row>
    <row r="6588">
      <c r="W6588" s="7" t="n"/>
      <c r="X6588" s="7" t="n"/>
      <c r="Z6588">
        <f>Z6587+IF(W6588="",0,IF(ISNA(MATCH(W6588,W$256:W6587,0)),1,0))</f>
        <v/>
      </c>
      <c r="AA6588">
        <f>IF(Z6588&gt;Z6587,Z6588,"")</f>
        <v/>
      </c>
      <c r="AB6588">
        <f>AB6587+IF(X6588="",0,IF(ISNA(MATCH(X6588,X$256:X6587,0)),1,0))</f>
        <v/>
      </c>
      <c r="AC6588">
        <f>IF(AB6588&gt;AB6587,AB6588,"")</f>
        <v/>
      </c>
    </row>
    <row r="6589">
      <c r="W6589" s="7" t="n"/>
      <c r="X6589" s="7" t="n"/>
      <c r="Z6589">
        <f>Z6588+IF(W6589="",0,IF(ISNA(MATCH(W6589,W$256:W6588,0)),1,0))</f>
        <v/>
      </c>
      <c r="AA6589">
        <f>IF(Z6589&gt;Z6588,Z6589,"")</f>
        <v/>
      </c>
      <c r="AB6589">
        <f>AB6588+IF(X6589="",0,IF(ISNA(MATCH(X6589,X$256:X6588,0)),1,0))</f>
        <v/>
      </c>
      <c r="AC6589">
        <f>IF(AB6589&gt;AB6588,AB6589,"")</f>
        <v/>
      </c>
    </row>
    <row r="6590">
      <c r="W6590" s="7" t="n"/>
      <c r="X6590" s="7" t="n"/>
      <c r="Z6590">
        <f>Z6589+IF(W6590="",0,IF(ISNA(MATCH(W6590,W$256:W6589,0)),1,0))</f>
        <v/>
      </c>
      <c r="AA6590">
        <f>IF(Z6590&gt;Z6589,Z6590,"")</f>
        <v/>
      </c>
      <c r="AB6590">
        <f>AB6589+IF(X6590="",0,IF(ISNA(MATCH(X6590,X$256:X6589,0)),1,0))</f>
        <v/>
      </c>
      <c r="AC6590">
        <f>IF(AB6590&gt;AB6589,AB6590,"")</f>
        <v/>
      </c>
    </row>
    <row r="6591">
      <c r="W6591" s="7" t="n"/>
      <c r="X6591" s="7" t="n"/>
      <c r="Z6591">
        <f>Z6590+IF(W6591="",0,IF(ISNA(MATCH(W6591,W$256:W6590,0)),1,0))</f>
        <v/>
      </c>
      <c r="AA6591">
        <f>IF(Z6591&gt;Z6590,Z6591,"")</f>
        <v/>
      </c>
      <c r="AB6591">
        <f>AB6590+IF(X6591="",0,IF(ISNA(MATCH(X6591,X$256:X6590,0)),1,0))</f>
        <v/>
      </c>
      <c r="AC6591">
        <f>IF(AB6591&gt;AB6590,AB6591,"")</f>
        <v/>
      </c>
    </row>
    <row r="6592">
      <c r="W6592" s="7" t="n"/>
      <c r="X6592" s="7" t="n"/>
      <c r="Z6592">
        <f>Z6591+IF(W6592="",0,IF(ISNA(MATCH(W6592,W$256:W6591,0)),1,0))</f>
        <v/>
      </c>
      <c r="AA6592">
        <f>IF(Z6592&gt;Z6591,Z6592,"")</f>
        <v/>
      </c>
      <c r="AB6592">
        <f>AB6591+IF(X6592="",0,IF(ISNA(MATCH(X6592,X$256:X6591,0)),1,0))</f>
        <v/>
      </c>
      <c r="AC6592">
        <f>IF(AB6592&gt;AB6591,AB6592,"")</f>
        <v/>
      </c>
    </row>
    <row r="6593">
      <c r="W6593" s="7" t="n"/>
      <c r="X6593" s="7" t="n"/>
      <c r="Z6593">
        <f>Z6592+IF(W6593="",0,IF(ISNA(MATCH(W6593,W$256:W6592,0)),1,0))</f>
        <v/>
      </c>
      <c r="AA6593">
        <f>IF(Z6593&gt;Z6592,Z6593,"")</f>
        <v/>
      </c>
      <c r="AB6593">
        <f>AB6592+IF(X6593="",0,IF(ISNA(MATCH(X6593,X$256:X6592,0)),1,0))</f>
        <v/>
      </c>
      <c r="AC6593">
        <f>IF(AB6593&gt;AB6592,AB6593,"")</f>
        <v/>
      </c>
    </row>
    <row r="6594">
      <c r="W6594" s="7" t="n"/>
      <c r="X6594" s="7" t="n"/>
      <c r="Z6594">
        <f>Z6593+IF(W6594="",0,IF(ISNA(MATCH(W6594,W$256:W6593,0)),1,0))</f>
        <v/>
      </c>
      <c r="AA6594">
        <f>IF(Z6594&gt;Z6593,Z6594,"")</f>
        <v/>
      </c>
      <c r="AB6594">
        <f>AB6593+IF(X6594="",0,IF(ISNA(MATCH(X6594,X$256:X6593,0)),1,0))</f>
        <v/>
      </c>
      <c r="AC6594">
        <f>IF(AB6594&gt;AB6593,AB6594,"")</f>
        <v/>
      </c>
    </row>
    <row r="6595">
      <c r="W6595" s="7" t="n"/>
      <c r="X6595" s="7" t="n"/>
      <c r="Z6595">
        <f>Z6594+IF(W6595="",0,IF(ISNA(MATCH(W6595,W$256:W6594,0)),1,0))</f>
        <v/>
      </c>
      <c r="AA6595">
        <f>IF(Z6595&gt;Z6594,Z6595,"")</f>
        <v/>
      </c>
      <c r="AB6595">
        <f>AB6594+IF(X6595="",0,IF(ISNA(MATCH(X6595,X$256:X6594,0)),1,0))</f>
        <v/>
      </c>
      <c r="AC6595">
        <f>IF(AB6595&gt;AB6594,AB6595,"")</f>
        <v/>
      </c>
    </row>
    <row r="6596">
      <c r="W6596" s="7" t="n"/>
      <c r="X6596" s="7" t="n"/>
      <c r="Z6596">
        <f>Z6595+IF(W6596="",0,IF(ISNA(MATCH(W6596,W$256:W6595,0)),1,0))</f>
        <v/>
      </c>
      <c r="AA6596">
        <f>IF(Z6596&gt;Z6595,Z6596,"")</f>
        <v/>
      </c>
      <c r="AB6596">
        <f>AB6595+IF(X6596="",0,IF(ISNA(MATCH(X6596,X$256:X6595,0)),1,0))</f>
        <v/>
      </c>
      <c r="AC6596">
        <f>IF(AB6596&gt;AB6595,AB6596,"")</f>
        <v/>
      </c>
    </row>
    <row r="6597">
      <c r="W6597" s="7" t="n"/>
      <c r="X6597" s="7" t="n"/>
      <c r="Z6597">
        <f>Z6596+IF(W6597="",0,IF(ISNA(MATCH(W6597,W$256:W6596,0)),1,0))</f>
        <v/>
      </c>
      <c r="AA6597">
        <f>IF(Z6597&gt;Z6596,Z6597,"")</f>
        <v/>
      </c>
      <c r="AB6597">
        <f>AB6596+IF(X6597="",0,IF(ISNA(MATCH(X6597,X$256:X6596,0)),1,0))</f>
        <v/>
      </c>
      <c r="AC6597">
        <f>IF(AB6597&gt;AB6596,AB6597,"")</f>
        <v/>
      </c>
    </row>
    <row r="6598">
      <c r="W6598" s="7" t="n"/>
      <c r="X6598" s="7" t="n"/>
      <c r="Z6598">
        <f>Z6597+IF(W6598="",0,IF(ISNA(MATCH(W6598,W$256:W6597,0)),1,0))</f>
        <v/>
      </c>
      <c r="AA6598">
        <f>IF(Z6598&gt;Z6597,Z6598,"")</f>
        <v/>
      </c>
      <c r="AB6598">
        <f>AB6597+IF(X6598="",0,IF(ISNA(MATCH(X6598,X$256:X6597,0)),1,0))</f>
        <v/>
      </c>
      <c r="AC6598">
        <f>IF(AB6598&gt;AB6597,AB6598,"")</f>
        <v/>
      </c>
    </row>
    <row r="6599">
      <c r="W6599" s="7" t="n"/>
      <c r="X6599" s="7" t="n"/>
      <c r="Z6599">
        <f>Z6598+IF(W6599="",0,IF(ISNA(MATCH(W6599,W$256:W6598,0)),1,0))</f>
        <v/>
      </c>
      <c r="AA6599">
        <f>IF(Z6599&gt;Z6598,Z6599,"")</f>
        <v/>
      </c>
      <c r="AB6599">
        <f>AB6598+IF(X6599="",0,IF(ISNA(MATCH(X6599,X$256:X6598,0)),1,0))</f>
        <v/>
      </c>
      <c r="AC6599">
        <f>IF(AB6599&gt;AB6598,AB6599,"")</f>
        <v/>
      </c>
    </row>
    <row r="6600">
      <c r="W6600" s="7" t="n"/>
      <c r="X6600" s="7" t="n"/>
      <c r="Z6600">
        <f>Z6599+IF(W6600="",0,IF(ISNA(MATCH(W6600,W$256:W6599,0)),1,0))</f>
        <v/>
      </c>
      <c r="AA6600">
        <f>IF(Z6600&gt;Z6599,Z6600,"")</f>
        <v/>
      </c>
      <c r="AB6600">
        <f>AB6599+IF(X6600="",0,IF(ISNA(MATCH(X6600,X$256:X6599,0)),1,0))</f>
        <v/>
      </c>
      <c r="AC6600">
        <f>IF(AB6600&gt;AB6599,AB6600,"")</f>
        <v/>
      </c>
    </row>
    <row r="6601">
      <c r="W6601" s="7" t="n"/>
      <c r="X6601" s="7" t="n"/>
      <c r="Z6601">
        <f>Z6600+IF(W6601="",0,IF(ISNA(MATCH(W6601,W$256:W6600,0)),1,0))</f>
        <v/>
      </c>
      <c r="AA6601">
        <f>IF(Z6601&gt;Z6600,Z6601,"")</f>
        <v/>
      </c>
      <c r="AB6601">
        <f>AB6600+IF(X6601="",0,IF(ISNA(MATCH(X6601,X$256:X6600,0)),1,0))</f>
        <v/>
      </c>
      <c r="AC6601">
        <f>IF(AB6601&gt;AB6600,AB6601,"")</f>
        <v/>
      </c>
    </row>
    <row r="6602">
      <c r="W6602" s="7" t="n"/>
      <c r="X6602" s="7" t="n"/>
      <c r="Z6602">
        <f>Z6601+IF(W6602="",0,IF(ISNA(MATCH(W6602,W$256:W6601,0)),1,0))</f>
        <v/>
      </c>
      <c r="AA6602">
        <f>IF(Z6602&gt;Z6601,Z6602,"")</f>
        <v/>
      </c>
      <c r="AB6602">
        <f>AB6601+IF(X6602="",0,IF(ISNA(MATCH(X6602,X$256:X6601,0)),1,0))</f>
        <v/>
      </c>
      <c r="AC6602">
        <f>IF(AB6602&gt;AB6601,AB6602,"")</f>
        <v/>
      </c>
    </row>
    <row r="6603">
      <c r="W6603" s="7" t="n"/>
      <c r="X6603" s="7" t="n"/>
      <c r="Z6603">
        <f>Z6602+IF(W6603="",0,IF(ISNA(MATCH(W6603,W$256:W6602,0)),1,0))</f>
        <v/>
      </c>
      <c r="AA6603">
        <f>IF(Z6603&gt;Z6602,Z6603,"")</f>
        <v/>
      </c>
      <c r="AB6603">
        <f>AB6602+IF(X6603="",0,IF(ISNA(MATCH(X6603,X$256:X6602,0)),1,0))</f>
        <v/>
      </c>
      <c r="AC6603">
        <f>IF(AB6603&gt;AB6602,AB6603,"")</f>
        <v/>
      </c>
    </row>
    <row r="6604">
      <c r="W6604" s="7" t="n"/>
      <c r="X6604" s="7" t="n"/>
      <c r="Z6604">
        <f>Z6603+IF(W6604="",0,IF(ISNA(MATCH(W6604,W$256:W6603,0)),1,0))</f>
        <v/>
      </c>
      <c r="AA6604">
        <f>IF(Z6604&gt;Z6603,Z6604,"")</f>
        <v/>
      </c>
      <c r="AB6604">
        <f>AB6603+IF(X6604="",0,IF(ISNA(MATCH(X6604,X$256:X6603,0)),1,0))</f>
        <v/>
      </c>
      <c r="AC6604">
        <f>IF(AB6604&gt;AB6603,AB6604,"")</f>
        <v/>
      </c>
    </row>
    <row r="6605">
      <c r="W6605" s="7" t="n"/>
      <c r="X6605" s="7" t="n"/>
      <c r="Z6605">
        <f>Z6604+IF(W6605="",0,IF(ISNA(MATCH(W6605,W$256:W6604,0)),1,0))</f>
        <v/>
      </c>
      <c r="AA6605">
        <f>IF(Z6605&gt;Z6604,Z6605,"")</f>
        <v/>
      </c>
      <c r="AB6605">
        <f>AB6604+IF(X6605="",0,IF(ISNA(MATCH(X6605,X$256:X6604,0)),1,0))</f>
        <v/>
      </c>
      <c r="AC6605">
        <f>IF(AB6605&gt;AB6604,AB6605,"")</f>
        <v/>
      </c>
    </row>
    <row r="6606">
      <c r="W6606" s="7" t="n"/>
      <c r="X6606" s="7" t="n"/>
      <c r="Z6606">
        <f>Z6605+IF(W6606="",0,IF(ISNA(MATCH(W6606,W$256:W6605,0)),1,0))</f>
        <v/>
      </c>
      <c r="AA6606">
        <f>IF(Z6606&gt;Z6605,Z6606,"")</f>
        <v/>
      </c>
      <c r="AB6606">
        <f>AB6605+IF(X6606="",0,IF(ISNA(MATCH(X6606,X$256:X6605,0)),1,0))</f>
        <v/>
      </c>
      <c r="AC6606">
        <f>IF(AB6606&gt;AB6605,AB6606,"")</f>
        <v/>
      </c>
    </row>
    <row r="6607">
      <c r="W6607" s="7" t="n"/>
      <c r="X6607" s="7" t="n"/>
      <c r="Z6607">
        <f>Z6606+IF(W6607="",0,IF(ISNA(MATCH(W6607,W$256:W6606,0)),1,0))</f>
        <v/>
      </c>
      <c r="AA6607">
        <f>IF(Z6607&gt;Z6606,Z6607,"")</f>
        <v/>
      </c>
      <c r="AB6607">
        <f>AB6606+IF(X6607="",0,IF(ISNA(MATCH(X6607,X$256:X6606,0)),1,0))</f>
        <v/>
      </c>
      <c r="AC6607">
        <f>IF(AB6607&gt;AB6606,AB6607,"")</f>
        <v/>
      </c>
    </row>
    <row r="6608">
      <c r="W6608" s="7" t="n"/>
      <c r="X6608" s="7" t="n"/>
      <c r="Z6608">
        <f>Z6607+IF(W6608="",0,IF(ISNA(MATCH(W6608,W$256:W6607,0)),1,0))</f>
        <v/>
      </c>
      <c r="AA6608">
        <f>IF(Z6608&gt;Z6607,Z6608,"")</f>
        <v/>
      </c>
      <c r="AB6608">
        <f>AB6607+IF(X6608="",0,IF(ISNA(MATCH(X6608,X$256:X6607,0)),1,0))</f>
        <v/>
      </c>
      <c r="AC6608">
        <f>IF(AB6608&gt;AB6607,AB6608,"")</f>
        <v/>
      </c>
    </row>
    <row r="6609">
      <c r="W6609" s="7" t="n"/>
      <c r="X6609" s="7" t="n"/>
      <c r="Z6609">
        <f>Z6608+IF(W6609="",0,IF(ISNA(MATCH(W6609,W$256:W6608,0)),1,0))</f>
        <v/>
      </c>
      <c r="AA6609">
        <f>IF(Z6609&gt;Z6608,Z6609,"")</f>
        <v/>
      </c>
      <c r="AB6609">
        <f>AB6608+IF(X6609="",0,IF(ISNA(MATCH(X6609,X$256:X6608,0)),1,0))</f>
        <v/>
      </c>
      <c r="AC6609">
        <f>IF(AB6609&gt;AB6608,AB6609,"")</f>
        <v/>
      </c>
    </row>
    <row r="6610">
      <c r="W6610" s="7" t="n"/>
      <c r="X6610" s="7" t="n"/>
      <c r="Z6610">
        <f>Z6609+IF(W6610="",0,IF(ISNA(MATCH(W6610,W$256:W6609,0)),1,0))</f>
        <v/>
      </c>
      <c r="AA6610">
        <f>IF(Z6610&gt;Z6609,Z6610,"")</f>
        <v/>
      </c>
      <c r="AB6610">
        <f>AB6609+IF(X6610="",0,IF(ISNA(MATCH(X6610,X$256:X6609,0)),1,0))</f>
        <v/>
      </c>
      <c r="AC6610">
        <f>IF(AB6610&gt;AB6609,AB6610,"")</f>
        <v/>
      </c>
    </row>
    <row r="6611">
      <c r="W6611" s="7" t="n"/>
      <c r="X6611" s="7" t="n"/>
      <c r="Z6611">
        <f>Z6610+IF(W6611="",0,IF(ISNA(MATCH(W6611,W$256:W6610,0)),1,0))</f>
        <v/>
      </c>
      <c r="AA6611">
        <f>IF(Z6611&gt;Z6610,Z6611,"")</f>
        <v/>
      </c>
      <c r="AB6611">
        <f>AB6610+IF(X6611="",0,IF(ISNA(MATCH(X6611,X$256:X6610,0)),1,0))</f>
        <v/>
      </c>
      <c r="AC6611">
        <f>IF(AB6611&gt;AB6610,AB6611,"")</f>
        <v/>
      </c>
    </row>
    <row r="6612">
      <c r="W6612" s="7" t="n"/>
      <c r="X6612" s="7" t="n"/>
      <c r="Z6612">
        <f>Z6611+IF(W6612="",0,IF(ISNA(MATCH(W6612,W$256:W6611,0)),1,0))</f>
        <v/>
      </c>
      <c r="AA6612">
        <f>IF(Z6612&gt;Z6611,Z6612,"")</f>
        <v/>
      </c>
      <c r="AB6612">
        <f>AB6611+IF(X6612="",0,IF(ISNA(MATCH(X6612,X$256:X6611,0)),1,0))</f>
        <v/>
      </c>
      <c r="AC6612">
        <f>IF(AB6612&gt;AB6611,AB6612,"")</f>
        <v/>
      </c>
    </row>
    <row r="6613">
      <c r="W6613" s="7" t="n"/>
      <c r="X6613" s="7" t="n"/>
      <c r="Z6613">
        <f>Z6612+IF(W6613="",0,IF(ISNA(MATCH(W6613,W$256:W6612,0)),1,0))</f>
        <v/>
      </c>
      <c r="AA6613">
        <f>IF(Z6613&gt;Z6612,Z6613,"")</f>
        <v/>
      </c>
      <c r="AB6613">
        <f>AB6612+IF(X6613="",0,IF(ISNA(MATCH(X6613,X$256:X6612,0)),1,0))</f>
        <v/>
      </c>
      <c r="AC6613">
        <f>IF(AB6613&gt;AB6612,AB6613,"")</f>
        <v/>
      </c>
    </row>
    <row r="6614">
      <c r="W6614" s="7" t="n"/>
      <c r="X6614" s="7" t="n"/>
      <c r="Z6614">
        <f>Z6613+IF(W6614="",0,IF(ISNA(MATCH(W6614,W$256:W6613,0)),1,0))</f>
        <v/>
      </c>
      <c r="AA6614">
        <f>IF(Z6614&gt;Z6613,Z6614,"")</f>
        <v/>
      </c>
      <c r="AB6614">
        <f>AB6613+IF(X6614="",0,IF(ISNA(MATCH(X6614,X$256:X6613,0)),1,0))</f>
        <v/>
      </c>
      <c r="AC6614">
        <f>IF(AB6614&gt;AB6613,AB6614,"")</f>
        <v/>
      </c>
    </row>
    <row r="6615">
      <c r="W6615" s="7" t="n"/>
      <c r="X6615" s="7" t="n"/>
      <c r="Z6615">
        <f>Z6614+IF(W6615="",0,IF(ISNA(MATCH(W6615,W$256:W6614,0)),1,0))</f>
        <v/>
      </c>
      <c r="AA6615">
        <f>IF(Z6615&gt;Z6614,Z6615,"")</f>
        <v/>
      </c>
      <c r="AB6615">
        <f>AB6614+IF(X6615="",0,IF(ISNA(MATCH(X6615,X$256:X6614,0)),1,0))</f>
        <v/>
      </c>
      <c r="AC6615">
        <f>IF(AB6615&gt;AB6614,AB6615,"")</f>
        <v/>
      </c>
    </row>
    <row r="6616">
      <c r="W6616" s="7" t="n"/>
      <c r="X6616" s="7" t="n"/>
      <c r="Z6616">
        <f>Z6615+IF(W6616="",0,IF(ISNA(MATCH(W6616,W$256:W6615,0)),1,0))</f>
        <v/>
      </c>
      <c r="AA6616">
        <f>IF(Z6616&gt;Z6615,Z6616,"")</f>
        <v/>
      </c>
      <c r="AB6616">
        <f>AB6615+IF(X6616="",0,IF(ISNA(MATCH(X6616,X$256:X6615,0)),1,0))</f>
        <v/>
      </c>
      <c r="AC6616">
        <f>IF(AB6616&gt;AB6615,AB6616,"")</f>
        <v/>
      </c>
    </row>
    <row r="6617">
      <c r="W6617" s="7" t="n"/>
      <c r="X6617" s="7" t="n"/>
      <c r="Z6617">
        <f>Z6616+IF(W6617="",0,IF(ISNA(MATCH(W6617,W$256:W6616,0)),1,0))</f>
        <v/>
      </c>
      <c r="AA6617">
        <f>IF(Z6617&gt;Z6616,Z6617,"")</f>
        <v/>
      </c>
      <c r="AB6617">
        <f>AB6616+IF(X6617="",0,IF(ISNA(MATCH(X6617,X$256:X6616,0)),1,0))</f>
        <v/>
      </c>
      <c r="AC6617">
        <f>IF(AB6617&gt;AB6616,AB6617,"")</f>
        <v/>
      </c>
    </row>
    <row r="6618">
      <c r="W6618" s="7" t="n"/>
      <c r="X6618" s="7" t="n"/>
      <c r="Z6618">
        <f>Z6617+IF(W6618="",0,IF(ISNA(MATCH(W6618,W$256:W6617,0)),1,0))</f>
        <v/>
      </c>
      <c r="AA6618">
        <f>IF(Z6618&gt;Z6617,Z6618,"")</f>
        <v/>
      </c>
      <c r="AB6618">
        <f>AB6617+IF(X6618="",0,IF(ISNA(MATCH(X6618,X$256:X6617,0)),1,0))</f>
        <v/>
      </c>
      <c r="AC6618">
        <f>IF(AB6618&gt;AB6617,AB6618,"")</f>
        <v/>
      </c>
    </row>
    <row r="6619">
      <c r="W6619" s="7" t="n"/>
      <c r="X6619" s="7" t="n"/>
      <c r="Z6619">
        <f>Z6618+IF(W6619="",0,IF(ISNA(MATCH(W6619,W$256:W6618,0)),1,0))</f>
        <v/>
      </c>
      <c r="AA6619">
        <f>IF(Z6619&gt;Z6618,Z6619,"")</f>
        <v/>
      </c>
      <c r="AB6619">
        <f>AB6618+IF(X6619="",0,IF(ISNA(MATCH(X6619,X$256:X6618,0)),1,0))</f>
        <v/>
      </c>
      <c r="AC6619">
        <f>IF(AB6619&gt;AB6618,AB6619,"")</f>
        <v/>
      </c>
    </row>
    <row r="6620">
      <c r="W6620" s="7" t="n"/>
      <c r="X6620" s="7" t="n"/>
      <c r="Z6620">
        <f>Z6619+IF(W6620="",0,IF(ISNA(MATCH(W6620,W$256:W6619,0)),1,0))</f>
        <v/>
      </c>
      <c r="AA6620">
        <f>IF(Z6620&gt;Z6619,Z6620,"")</f>
        <v/>
      </c>
      <c r="AB6620">
        <f>AB6619+IF(X6620="",0,IF(ISNA(MATCH(X6620,X$256:X6619,0)),1,0))</f>
        <v/>
      </c>
      <c r="AC6620">
        <f>IF(AB6620&gt;AB6619,AB6620,"")</f>
        <v/>
      </c>
    </row>
    <row r="6621">
      <c r="W6621" s="7" t="n"/>
      <c r="X6621" s="7" t="n"/>
      <c r="Z6621">
        <f>Z6620+IF(W6621="",0,IF(ISNA(MATCH(W6621,W$256:W6620,0)),1,0))</f>
        <v/>
      </c>
      <c r="AA6621">
        <f>IF(Z6621&gt;Z6620,Z6621,"")</f>
        <v/>
      </c>
      <c r="AB6621">
        <f>AB6620+IF(X6621="",0,IF(ISNA(MATCH(X6621,X$256:X6620,0)),1,0))</f>
        <v/>
      </c>
      <c r="AC6621">
        <f>IF(AB6621&gt;AB6620,AB6621,"")</f>
        <v/>
      </c>
    </row>
    <row r="6622">
      <c r="W6622" s="7" t="n"/>
      <c r="X6622" s="7" t="n"/>
      <c r="Z6622">
        <f>Z6621+IF(W6622="",0,IF(ISNA(MATCH(W6622,W$256:W6621,0)),1,0))</f>
        <v/>
      </c>
      <c r="AA6622">
        <f>IF(Z6622&gt;Z6621,Z6622,"")</f>
        <v/>
      </c>
      <c r="AB6622">
        <f>AB6621+IF(X6622="",0,IF(ISNA(MATCH(X6622,X$256:X6621,0)),1,0))</f>
        <v/>
      </c>
      <c r="AC6622">
        <f>IF(AB6622&gt;AB6621,AB6622,"")</f>
        <v/>
      </c>
    </row>
    <row r="6623">
      <c r="W6623" s="7" t="n"/>
      <c r="X6623" s="7" t="n"/>
      <c r="Z6623">
        <f>Z6622+IF(W6623="",0,IF(ISNA(MATCH(W6623,W$256:W6622,0)),1,0))</f>
        <v/>
      </c>
      <c r="AA6623">
        <f>IF(Z6623&gt;Z6622,Z6623,"")</f>
        <v/>
      </c>
      <c r="AB6623">
        <f>AB6622+IF(X6623="",0,IF(ISNA(MATCH(X6623,X$256:X6622,0)),1,0))</f>
        <v/>
      </c>
      <c r="AC6623">
        <f>IF(AB6623&gt;AB6622,AB6623,"")</f>
        <v/>
      </c>
    </row>
    <row r="6624">
      <c r="W6624" s="7" t="n"/>
      <c r="X6624" s="7" t="n"/>
      <c r="Z6624">
        <f>Z6623+IF(W6624="",0,IF(ISNA(MATCH(W6624,W$256:W6623,0)),1,0))</f>
        <v/>
      </c>
      <c r="AA6624">
        <f>IF(Z6624&gt;Z6623,Z6624,"")</f>
        <v/>
      </c>
      <c r="AB6624">
        <f>AB6623+IF(X6624="",0,IF(ISNA(MATCH(X6624,X$256:X6623,0)),1,0))</f>
        <v/>
      </c>
      <c r="AC6624">
        <f>IF(AB6624&gt;AB6623,AB6624,"")</f>
        <v/>
      </c>
    </row>
    <row r="6625">
      <c r="W6625" s="7" t="n"/>
      <c r="X6625" s="7" t="n"/>
      <c r="Z6625">
        <f>Z6624+IF(W6625="",0,IF(ISNA(MATCH(W6625,W$256:W6624,0)),1,0))</f>
        <v/>
      </c>
      <c r="AA6625">
        <f>IF(Z6625&gt;Z6624,Z6625,"")</f>
        <v/>
      </c>
      <c r="AB6625">
        <f>AB6624+IF(X6625="",0,IF(ISNA(MATCH(X6625,X$256:X6624,0)),1,0))</f>
        <v/>
      </c>
      <c r="AC6625">
        <f>IF(AB6625&gt;AB6624,AB6625,"")</f>
        <v/>
      </c>
    </row>
    <row r="6626">
      <c r="W6626" s="7" t="n"/>
      <c r="X6626" s="7" t="n"/>
      <c r="Z6626">
        <f>Z6625+IF(W6626="",0,IF(ISNA(MATCH(W6626,W$256:W6625,0)),1,0))</f>
        <v/>
      </c>
      <c r="AA6626">
        <f>IF(Z6626&gt;Z6625,Z6626,"")</f>
        <v/>
      </c>
      <c r="AB6626">
        <f>AB6625+IF(X6626="",0,IF(ISNA(MATCH(X6626,X$256:X6625,0)),1,0))</f>
        <v/>
      </c>
      <c r="AC6626">
        <f>IF(AB6626&gt;AB6625,AB6626,"")</f>
        <v/>
      </c>
    </row>
    <row r="6627">
      <c r="W6627" s="7" t="n"/>
      <c r="X6627" s="7" t="n"/>
      <c r="Z6627">
        <f>Z6626+IF(W6627="",0,IF(ISNA(MATCH(W6627,W$256:W6626,0)),1,0))</f>
        <v/>
      </c>
      <c r="AA6627">
        <f>IF(Z6627&gt;Z6626,Z6627,"")</f>
        <v/>
      </c>
      <c r="AB6627">
        <f>AB6626+IF(X6627="",0,IF(ISNA(MATCH(X6627,X$256:X6626,0)),1,0))</f>
        <v/>
      </c>
      <c r="AC6627">
        <f>IF(AB6627&gt;AB6626,AB6627,"")</f>
        <v/>
      </c>
    </row>
    <row r="6628">
      <c r="W6628" s="7" t="n"/>
      <c r="X6628" s="7" t="n"/>
      <c r="Z6628">
        <f>Z6627+IF(W6628="",0,IF(ISNA(MATCH(W6628,W$256:W6627,0)),1,0))</f>
        <v/>
      </c>
      <c r="AA6628">
        <f>IF(Z6628&gt;Z6627,Z6628,"")</f>
        <v/>
      </c>
      <c r="AB6628">
        <f>AB6627+IF(X6628="",0,IF(ISNA(MATCH(X6628,X$256:X6627,0)),1,0))</f>
        <v/>
      </c>
      <c r="AC6628">
        <f>IF(AB6628&gt;AB6627,AB6628,"")</f>
        <v/>
      </c>
    </row>
    <row r="6629">
      <c r="W6629" s="7" t="n"/>
      <c r="X6629" s="7" t="n"/>
      <c r="Z6629">
        <f>Z6628+IF(W6629="",0,IF(ISNA(MATCH(W6629,W$256:W6628,0)),1,0))</f>
        <v/>
      </c>
      <c r="AA6629">
        <f>IF(Z6629&gt;Z6628,Z6629,"")</f>
        <v/>
      </c>
      <c r="AB6629">
        <f>AB6628+IF(X6629="",0,IF(ISNA(MATCH(X6629,X$256:X6628,0)),1,0))</f>
        <v/>
      </c>
      <c r="AC6629">
        <f>IF(AB6629&gt;AB6628,AB6629,"")</f>
        <v/>
      </c>
    </row>
    <row r="6630">
      <c r="W6630" s="7" t="n"/>
      <c r="X6630" s="7" t="n"/>
      <c r="Z6630">
        <f>Z6629+IF(W6630="",0,IF(ISNA(MATCH(W6630,W$256:W6629,0)),1,0))</f>
        <v/>
      </c>
      <c r="AA6630">
        <f>IF(Z6630&gt;Z6629,Z6630,"")</f>
        <v/>
      </c>
      <c r="AB6630">
        <f>AB6629+IF(X6630="",0,IF(ISNA(MATCH(X6630,X$256:X6629,0)),1,0))</f>
        <v/>
      </c>
      <c r="AC6630">
        <f>IF(AB6630&gt;AB6629,AB6630,"")</f>
        <v/>
      </c>
    </row>
    <row r="6631">
      <c r="W6631" s="7" t="n"/>
      <c r="X6631" s="7" t="n"/>
      <c r="Z6631">
        <f>Z6630+IF(W6631="",0,IF(ISNA(MATCH(W6631,W$256:W6630,0)),1,0))</f>
        <v/>
      </c>
      <c r="AA6631">
        <f>IF(Z6631&gt;Z6630,Z6631,"")</f>
        <v/>
      </c>
      <c r="AB6631">
        <f>AB6630+IF(X6631="",0,IF(ISNA(MATCH(X6631,X$256:X6630,0)),1,0))</f>
        <v/>
      </c>
      <c r="AC6631">
        <f>IF(AB6631&gt;AB6630,AB6631,"")</f>
        <v/>
      </c>
    </row>
    <row r="6632">
      <c r="W6632" s="7" t="n"/>
      <c r="X6632" s="7" t="n"/>
      <c r="Z6632">
        <f>Z6631+IF(W6632="",0,IF(ISNA(MATCH(W6632,W$256:W6631,0)),1,0))</f>
        <v/>
      </c>
      <c r="AA6632">
        <f>IF(Z6632&gt;Z6631,Z6632,"")</f>
        <v/>
      </c>
      <c r="AB6632">
        <f>AB6631+IF(X6632="",0,IF(ISNA(MATCH(X6632,X$256:X6631,0)),1,0))</f>
        <v/>
      </c>
      <c r="AC6632">
        <f>IF(AB6632&gt;AB6631,AB6632,"")</f>
        <v/>
      </c>
    </row>
    <row r="6633">
      <c r="W6633" s="7" t="n"/>
      <c r="X6633" s="7" t="n"/>
      <c r="Z6633">
        <f>Z6632+IF(W6633="",0,IF(ISNA(MATCH(W6633,W$256:W6632,0)),1,0))</f>
        <v/>
      </c>
      <c r="AA6633">
        <f>IF(Z6633&gt;Z6632,Z6633,"")</f>
        <v/>
      </c>
      <c r="AB6633">
        <f>AB6632+IF(X6633="",0,IF(ISNA(MATCH(X6633,X$256:X6632,0)),1,0))</f>
        <v/>
      </c>
      <c r="AC6633">
        <f>IF(AB6633&gt;AB6632,AB6633,"")</f>
        <v/>
      </c>
    </row>
    <row r="6634">
      <c r="W6634" s="7" t="n"/>
      <c r="X6634" s="7" t="n"/>
      <c r="Z6634">
        <f>Z6633+IF(W6634="",0,IF(ISNA(MATCH(W6634,W$256:W6633,0)),1,0))</f>
        <v/>
      </c>
      <c r="AA6634">
        <f>IF(Z6634&gt;Z6633,Z6634,"")</f>
        <v/>
      </c>
      <c r="AB6634">
        <f>AB6633+IF(X6634="",0,IF(ISNA(MATCH(X6634,X$256:X6633,0)),1,0))</f>
        <v/>
      </c>
      <c r="AC6634">
        <f>IF(AB6634&gt;AB6633,AB6634,"")</f>
        <v/>
      </c>
    </row>
    <row r="6635">
      <c r="W6635" s="7" t="n"/>
      <c r="X6635" s="7" t="n"/>
      <c r="Z6635">
        <f>Z6634+IF(W6635="",0,IF(ISNA(MATCH(W6635,W$256:W6634,0)),1,0))</f>
        <v/>
      </c>
      <c r="AA6635">
        <f>IF(Z6635&gt;Z6634,Z6635,"")</f>
        <v/>
      </c>
      <c r="AB6635">
        <f>AB6634+IF(X6635="",0,IF(ISNA(MATCH(X6635,X$256:X6634,0)),1,0))</f>
        <v/>
      </c>
      <c r="AC6635">
        <f>IF(AB6635&gt;AB6634,AB6635,"")</f>
        <v/>
      </c>
    </row>
    <row r="6636">
      <c r="W6636" s="7" t="n"/>
      <c r="X6636" s="7" t="n"/>
      <c r="Z6636">
        <f>Z6635+IF(W6636="",0,IF(ISNA(MATCH(W6636,W$256:W6635,0)),1,0))</f>
        <v/>
      </c>
      <c r="AA6636">
        <f>IF(Z6636&gt;Z6635,Z6636,"")</f>
        <v/>
      </c>
      <c r="AB6636">
        <f>AB6635+IF(X6636="",0,IF(ISNA(MATCH(X6636,X$256:X6635,0)),1,0))</f>
        <v/>
      </c>
      <c r="AC6636">
        <f>IF(AB6636&gt;AB6635,AB6636,"")</f>
        <v/>
      </c>
    </row>
    <row r="6637">
      <c r="W6637" s="7" t="n"/>
      <c r="X6637" s="7" t="n"/>
      <c r="Z6637">
        <f>Z6636+IF(W6637="",0,IF(ISNA(MATCH(W6637,W$256:W6636,0)),1,0))</f>
        <v/>
      </c>
      <c r="AA6637">
        <f>IF(Z6637&gt;Z6636,Z6637,"")</f>
        <v/>
      </c>
      <c r="AB6637">
        <f>AB6636+IF(X6637="",0,IF(ISNA(MATCH(X6637,X$256:X6636,0)),1,0))</f>
        <v/>
      </c>
      <c r="AC6637">
        <f>IF(AB6637&gt;AB6636,AB6637,"")</f>
        <v/>
      </c>
    </row>
    <row r="6638">
      <c r="W6638" s="7" t="n"/>
      <c r="X6638" s="7" t="n"/>
      <c r="Z6638">
        <f>Z6637+IF(W6638="",0,IF(ISNA(MATCH(W6638,W$256:W6637,0)),1,0))</f>
        <v/>
      </c>
      <c r="AA6638">
        <f>IF(Z6638&gt;Z6637,Z6638,"")</f>
        <v/>
      </c>
      <c r="AB6638">
        <f>AB6637+IF(X6638="",0,IF(ISNA(MATCH(X6638,X$256:X6637,0)),1,0))</f>
        <v/>
      </c>
      <c r="AC6638">
        <f>IF(AB6638&gt;AB6637,AB6638,"")</f>
        <v/>
      </c>
    </row>
    <row r="6639">
      <c r="W6639" s="7" t="n"/>
      <c r="X6639" s="7" t="n"/>
      <c r="Z6639">
        <f>Z6638+IF(W6639="",0,IF(ISNA(MATCH(W6639,W$256:W6638,0)),1,0))</f>
        <v/>
      </c>
      <c r="AA6639">
        <f>IF(Z6639&gt;Z6638,Z6639,"")</f>
        <v/>
      </c>
      <c r="AB6639">
        <f>AB6638+IF(X6639="",0,IF(ISNA(MATCH(X6639,X$256:X6638,0)),1,0))</f>
        <v/>
      </c>
      <c r="AC6639">
        <f>IF(AB6639&gt;AB6638,AB6639,"")</f>
        <v/>
      </c>
    </row>
    <row r="6640">
      <c r="W6640" s="7" t="n"/>
      <c r="X6640" s="7" t="n"/>
      <c r="Z6640">
        <f>Z6639+IF(W6640="",0,IF(ISNA(MATCH(W6640,W$256:W6639,0)),1,0))</f>
        <v/>
      </c>
      <c r="AA6640">
        <f>IF(Z6640&gt;Z6639,Z6640,"")</f>
        <v/>
      </c>
      <c r="AB6640">
        <f>AB6639+IF(X6640="",0,IF(ISNA(MATCH(X6640,X$256:X6639,0)),1,0))</f>
        <v/>
      </c>
      <c r="AC6640">
        <f>IF(AB6640&gt;AB6639,AB6640,"")</f>
        <v/>
      </c>
    </row>
    <row r="6641">
      <c r="W6641" s="7" t="n"/>
      <c r="X6641" s="7" t="n"/>
      <c r="Z6641">
        <f>Z6640+IF(W6641="",0,IF(ISNA(MATCH(W6641,W$256:W6640,0)),1,0))</f>
        <v/>
      </c>
      <c r="AA6641">
        <f>IF(Z6641&gt;Z6640,Z6641,"")</f>
        <v/>
      </c>
      <c r="AB6641">
        <f>AB6640+IF(X6641="",0,IF(ISNA(MATCH(X6641,X$256:X6640,0)),1,0))</f>
        <v/>
      </c>
      <c r="AC6641">
        <f>IF(AB6641&gt;AB6640,AB6641,"")</f>
        <v/>
      </c>
    </row>
    <row r="6642">
      <c r="W6642" s="7" t="n"/>
      <c r="X6642" s="7" t="n"/>
      <c r="Z6642">
        <f>Z6641+IF(W6642="",0,IF(ISNA(MATCH(W6642,W$256:W6641,0)),1,0))</f>
        <v/>
      </c>
      <c r="AA6642">
        <f>IF(Z6642&gt;Z6641,Z6642,"")</f>
        <v/>
      </c>
      <c r="AB6642">
        <f>AB6641+IF(X6642="",0,IF(ISNA(MATCH(X6642,X$256:X6641,0)),1,0))</f>
        <v/>
      </c>
      <c r="AC6642">
        <f>IF(AB6642&gt;AB6641,AB6642,"")</f>
        <v/>
      </c>
    </row>
    <row r="6643">
      <c r="W6643" s="7" t="n"/>
      <c r="X6643" s="7" t="n"/>
      <c r="Z6643">
        <f>Z6642+IF(W6643="",0,IF(ISNA(MATCH(W6643,W$256:W6642,0)),1,0))</f>
        <v/>
      </c>
      <c r="AA6643">
        <f>IF(Z6643&gt;Z6642,Z6643,"")</f>
        <v/>
      </c>
      <c r="AB6643">
        <f>AB6642+IF(X6643="",0,IF(ISNA(MATCH(X6643,X$256:X6642,0)),1,0))</f>
        <v/>
      </c>
      <c r="AC6643">
        <f>IF(AB6643&gt;AB6642,AB6643,"")</f>
        <v/>
      </c>
    </row>
    <row r="6644">
      <c r="W6644" s="7" t="n"/>
      <c r="X6644" s="7" t="n"/>
      <c r="Z6644">
        <f>Z6643+IF(W6644="",0,IF(ISNA(MATCH(W6644,W$256:W6643,0)),1,0))</f>
        <v/>
      </c>
      <c r="AA6644">
        <f>IF(Z6644&gt;Z6643,Z6644,"")</f>
        <v/>
      </c>
      <c r="AB6644">
        <f>AB6643+IF(X6644="",0,IF(ISNA(MATCH(X6644,X$256:X6643,0)),1,0))</f>
        <v/>
      </c>
      <c r="AC6644">
        <f>IF(AB6644&gt;AB6643,AB6644,"")</f>
        <v/>
      </c>
    </row>
    <row r="6645">
      <c r="W6645" s="7" t="n"/>
      <c r="X6645" s="7" t="n"/>
      <c r="Z6645">
        <f>Z6644+IF(W6645="",0,IF(ISNA(MATCH(W6645,W$256:W6644,0)),1,0))</f>
        <v/>
      </c>
      <c r="AA6645">
        <f>IF(Z6645&gt;Z6644,Z6645,"")</f>
        <v/>
      </c>
      <c r="AB6645">
        <f>AB6644+IF(X6645="",0,IF(ISNA(MATCH(X6645,X$256:X6644,0)),1,0))</f>
        <v/>
      </c>
      <c r="AC6645">
        <f>IF(AB6645&gt;AB6644,AB6645,"")</f>
        <v/>
      </c>
    </row>
    <row r="6646">
      <c r="W6646" s="7" t="n"/>
      <c r="X6646" s="7" t="n"/>
      <c r="Z6646">
        <f>Z6645+IF(W6646="",0,IF(ISNA(MATCH(W6646,W$256:W6645,0)),1,0))</f>
        <v/>
      </c>
      <c r="AA6646">
        <f>IF(Z6646&gt;Z6645,Z6646,"")</f>
        <v/>
      </c>
      <c r="AB6646">
        <f>AB6645+IF(X6646="",0,IF(ISNA(MATCH(X6646,X$256:X6645,0)),1,0))</f>
        <v/>
      </c>
      <c r="AC6646">
        <f>IF(AB6646&gt;AB6645,AB6646,"")</f>
        <v/>
      </c>
    </row>
    <row r="6647">
      <c r="W6647" s="7" t="n"/>
      <c r="X6647" s="7" t="n"/>
      <c r="Z6647">
        <f>Z6646+IF(W6647="",0,IF(ISNA(MATCH(W6647,W$256:W6646,0)),1,0))</f>
        <v/>
      </c>
      <c r="AA6647">
        <f>IF(Z6647&gt;Z6646,Z6647,"")</f>
        <v/>
      </c>
      <c r="AB6647">
        <f>AB6646+IF(X6647="",0,IF(ISNA(MATCH(X6647,X$256:X6646,0)),1,0))</f>
        <v/>
      </c>
      <c r="AC6647">
        <f>IF(AB6647&gt;AB6646,AB6647,"")</f>
        <v/>
      </c>
    </row>
    <row r="6648">
      <c r="W6648" s="7" t="n"/>
      <c r="X6648" s="7" t="n"/>
      <c r="Z6648">
        <f>Z6647+IF(W6648="",0,IF(ISNA(MATCH(W6648,W$256:W6647,0)),1,0))</f>
        <v/>
      </c>
      <c r="AA6648">
        <f>IF(Z6648&gt;Z6647,Z6648,"")</f>
        <v/>
      </c>
      <c r="AB6648">
        <f>AB6647+IF(X6648="",0,IF(ISNA(MATCH(X6648,X$256:X6647,0)),1,0))</f>
        <v/>
      </c>
      <c r="AC6648">
        <f>IF(AB6648&gt;AB6647,AB6648,"")</f>
        <v/>
      </c>
    </row>
    <row r="6649">
      <c r="W6649" s="7" t="n"/>
      <c r="X6649" s="7" t="n"/>
      <c r="Z6649">
        <f>Z6648+IF(W6649="",0,IF(ISNA(MATCH(W6649,W$256:W6648,0)),1,0))</f>
        <v/>
      </c>
      <c r="AA6649">
        <f>IF(Z6649&gt;Z6648,Z6649,"")</f>
        <v/>
      </c>
      <c r="AB6649">
        <f>AB6648+IF(X6649="",0,IF(ISNA(MATCH(X6649,X$256:X6648,0)),1,0))</f>
        <v/>
      </c>
      <c r="AC6649">
        <f>IF(AB6649&gt;AB6648,AB6649,"")</f>
        <v/>
      </c>
    </row>
    <row r="6650">
      <c r="W6650" s="7" t="n"/>
      <c r="X6650" s="7" t="n"/>
      <c r="Z6650">
        <f>Z6649+IF(W6650="",0,IF(ISNA(MATCH(W6650,W$256:W6649,0)),1,0))</f>
        <v/>
      </c>
      <c r="AA6650">
        <f>IF(Z6650&gt;Z6649,Z6650,"")</f>
        <v/>
      </c>
      <c r="AB6650">
        <f>AB6649+IF(X6650="",0,IF(ISNA(MATCH(X6650,X$256:X6649,0)),1,0))</f>
        <v/>
      </c>
      <c r="AC6650">
        <f>IF(AB6650&gt;AB6649,AB6650,"")</f>
        <v/>
      </c>
    </row>
    <row r="6651">
      <c r="W6651" s="7" t="n"/>
      <c r="X6651" s="7" t="n"/>
      <c r="Z6651">
        <f>Z6650+IF(W6651="",0,IF(ISNA(MATCH(W6651,W$256:W6650,0)),1,0))</f>
        <v/>
      </c>
      <c r="AA6651">
        <f>IF(Z6651&gt;Z6650,Z6651,"")</f>
        <v/>
      </c>
      <c r="AB6651">
        <f>AB6650+IF(X6651="",0,IF(ISNA(MATCH(X6651,X$256:X6650,0)),1,0))</f>
        <v/>
      </c>
      <c r="AC6651">
        <f>IF(AB6651&gt;AB6650,AB6651,"")</f>
        <v/>
      </c>
    </row>
    <row r="6652">
      <c r="W6652" s="7" t="n"/>
      <c r="X6652" s="7" t="n"/>
      <c r="Z6652">
        <f>Z6651+IF(W6652="",0,IF(ISNA(MATCH(W6652,W$256:W6651,0)),1,0))</f>
        <v/>
      </c>
      <c r="AA6652">
        <f>IF(Z6652&gt;Z6651,Z6652,"")</f>
        <v/>
      </c>
      <c r="AB6652">
        <f>AB6651+IF(X6652="",0,IF(ISNA(MATCH(X6652,X$256:X6651,0)),1,0))</f>
        <v/>
      </c>
      <c r="AC6652">
        <f>IF(AB6652&gt;AB6651,AB6652,"")</f>
        <v/>
      </c>
    </row>
    <row r="6653">
      <c r="W6653" s="7" t="n"/>
      <c r="X6653" s="7" t="n"/>
      <c r="Z6653">
        <f>Z6652+IF(W6653="",0,IF(ISNA(MATCH(W6653,W$256:W6652,0)),1,0))</f>
        <v/>
      </c>
      <c r="AA6653">
        <f>IF(Z6653&gt;Z6652,Z6653,"")</f>
        <v/>
      </c>
      <c r="AB6653">
        <f>AB6652+IF(X6653="",0,IF(ISNA(MATCH(X6653,X$256:X6652,0)),1,0))</f>
        <v/>
      </c>
      <c r="AC6653">
        <f>IF(AB6653&gt;AB6652,AB6653,"")</f>
        <v/>
      </c>
    </row>
    <row r="6654">
      <c r="W6654" s="7" t="n"/>
      <c r="X6654" s="7" t="n"/>
      <c r="Z6654">
        <f>Z6653+IF(W6654="",0,IF(ISNA(MATCH(W6654,W$256:W6653,0)),1,0))</f>
        <v/>
      </c>
      <c r="AA6654">
        <f>IF(Z6654&gt;Z6653,Z6654,"")</f>
        <v/>
      </c>
      <c r="AB6654">
        <f>AB6653+IF(X6654="",0,IF(ISNA(MATCH(X6654,X$256:X6653,0)),1,0))</f>
        <v/>
      </c>
      <c r="AC6654">
        <f>IF(AB6654&gt;AB6653,AB6654,"")</f>
        <v/>
      </c>
    </row>
    <row r="6655">
      <c r="W6655" s="7" t="n"/>
      <c r="X6655" s="7" t="n"/>
      <c r="Z6655">
        <f>Z6654+IF(W6655="",0,IF(ISNA(MATCH(W6655,W$256:W6654,0)),1,0))</f>
        <v/>
      </c>
      <c r="AA6655">
        <f>IF(Z6655&gt;Z6654,Z6655,"")</f>
        <v/>
      </c>
      <c r="AB6655">
        <f>AB6654+IF(X6655="",0,IF(ISNA(MATCH(X6655,X$256:X6654,0)),1,0))</f>
        <v/>
      </c>
      <c r="AC6655">
        <f>IF(AB6655&gt;AB6654,AB6655,"")</f>
        <v/>
      </c>
    </row>
    <row r="6656">
      <c r="W6656" s="7" t="n"/>
      <c r="X6656" s="7" t="n"/>
      <c r="Z6656">
        <f>Z6655+IF(W6656="",0,IF(ISNA(MATCH(W6656,W$256:W6655,0)),1,0))</f>
        <v/>
      </c>
      <c r="AA6656">
        <f>IF(Z6656&gt;Z6655,Z6656,"")</f>
        <v/>
      </c>
      <c r="AB6656">
        <f>AB6655+IF(X6656="",0,IF(ISNA(MATCH(X6656,X$256:X6655,0)),1,0))</f>
        <v/>
      </c>
      <c r="AC6656">
        <f>IF(AB6656&gt;AB6655,AB6656,"")</f>
        <v/>
      </c>
    </row>
    <row r="6657">
      <c r="W6657" s="7" t="n"/>
      <c r="X6657" s="7" t="n"/>
      <c r="Z6657">
        <f>Z6656+IF(W6657="",0,IF(ISNA(MATCH(W6657,W$256:W6656,0)),1,0))</f>
        <v/>
      </c>
      <c r="AA6657">
        <f>IF(Z6657&gt;Z6656,Z6657,"")</f>
        <v/>
      </c>
      <c r="AB6657">
        <f>AB6656+IF(X6657="",0,IF(ISNA(MATCH(X6657,X$256:X6656,0)),1,0))</f>
        <v/>
      </c>
      <c r="AC6657">
        <f>IF(AB6657&gt;AB6656,AB6657,"")</f>
        <v/>
      </c>
    </row>
    <row r="6658">
      <c r="W6658" s="7" t="n"/>
      <c r="X6658" s="7" t="n"/>
      <c r="Z6658">
        <f>Z6657+IF(W6658="",0,IF(ISNA(MATCH(W6658,W$256:W6657,0)),1,0))</f>
        <v/>
      </c>
      <c r="AA6658">
        <f>IF(Z6658&gt;Z6657,Z6658,"")</f>
        <v/>
      </c>
      <c r="AB6658">
        <f>AB6657+IF(X6658="",0,IF(ISNA(MATCH(X6658,X$256:X6657,0)),1,0))</f>
        <v/>
      </c>
      <c r="AC6658">
        <f>IF(AB6658&gt;AB6657,AB6658,"")</f>
        <v/>
      </c>
    </row>
    <row r="6659">
      <c r="W6659" s="7" t="n"/>
      <c r="X6659" s="7" t="n"/>
      <c r="Z6659">
        <f>Z6658+IF(W6659="",0,IF(ISNA(MATCH(W6659,W$256:W6658,0)),1,0))</f>
        <v/>
      </c>
      <c r="AA6659">
        <f>IF(Z6659&gt;Z6658,Z6659,"")</f>
        <v/>
      </c>
      <c r="AB6659">
        <f>AB6658+IF(X6659="",0,IF(ISNA(MATCH(X6659,X$256:X6658,0)),1,0))</f>
        <v/>
      </c>
      <c r="AC6659">
        <f>IF(AB6659&gt;AB6658,AB6659,"")</f>
        <v/>
      </c>
    </row>
    <row r="6660">
      <c r="W6660" s="7" t="n"/>
      <c r="X6660" s="7" t="n"/>
      <c r="Z6660">
        <f>Z6659+IF(W6660="",0,IF(ISNA(MATCH(W6660,W$256:W6659,0)),1,0))</f>
        <v/>
      </c>
      <c r="AA6660">
        <f>IF(Z6660&gt;Z6659,Z6660,"")</f>
        <v/>
      </c>
      <c r="AB6660">
        <f>AB6659+IF(X6660="",0,IF(ISNA(MATCH(X6660,X$256:X6659,0)),1,0))</f>
        <v/>
      </c>
      <c r="AC6660">
        <f>IF(AB6660&gt;AB6659,AB6660,"")</f>
        <v/>
      </c>
    </row>
    <row r="6661">
      <c r="W6661" s="7" t="n"/>
      <c r="X6661" s="7" t="n"/>
      <c r="Z6661">
        <f>Z6660+IF(W6661="",0,IF(ISNA(MATCH(W6661,W$256:W6660,0)),1,0))</f>
        <v/>
      </c>
      <c r="AA6661">
        <f>IF(Z6661&gt;Z6660,Z6661,"")</f>
        <v/>
      </c>
      <c r="AB6661">
        <f>AB6660+IF(X6661="",0,IF(ISNA(MATCH(X6661,X$256:X6660,0)),1,0))</f>
        <v/>
      </c>
      <c r="AC6661">
        <f>IF(AB6661&gt;AB6660,AB6661,"")</f>
        <v/>
      </c>
    </row>
    <row r="6662">
      <c r="W6662" s="7" t="n"/>
      <c r="X6662" s="7" t="n"/>
      <c r="Z6662">
        <f>Z6661+IF(W6662="",0,IF(ISNA(MATCH(W6662,W$256:W6661,0)),1,0))</f>
        <v/>
      </c>
      <c r="AA6662">
        <f>IF(Z6662&gt;Z6661,Z6662,"")</f>
        <v/>
      </c>
      <c r="AB6662">
        <f>AB6661+IF(X6662="",0,IF(ISNA(MATCH(X6662,X$256:X6661,0)),1,0))</f>
        <v/>
      </c>
      <c r="AC6662">
        <f>IF(AB6662&gt;AB6661,AB6662,"")</f>
        <v/>
      </c>
    </row>
    <row r="6663">
      <c r="W6663" s="7" t="n"/>
      <c r="X6663" s="7" t="n"/>
      <c r="Z6663">
        <f>Z6662+IF(W6663="",0,IF(ISNA(MATCH(W6663,W$256:W6662,0)),1,0))</f>
        <v/>
      </c>
      <c r="AA6663">
        <f>IF(Z6663&gt;Z6662,Z6663,"")</f>
        <v/>
      </c>
      <c r="AB6663">
        <f>AB6662+IF(X6663="",0,IF(ISNA(MATCH(X6663,X$256:X6662,0)),1,0))</f>
        <v/>
      </c>
      <c r="AC6663">
        <f>IF(AB6663&gt;AB6662,AB6663,"")</f>
        <v/>
      </c>
    </row>
    <row r="6664">
      <c r="W6664" s="7" t="n"/>
      <c r="X6664" s="7" t="n"/>
      <c r="Z6664">
        <f>Z6663+IF(W6664="",0,IF(ISNA(MATCH(W6664,W$256:W6663,0)),1,0))</f>
        <v/>
      </c>
      <c r="AA6664">
        <f>IF(Z6664&gt;Z6663,Z6664,"")</f>
        <v/>
      </c>
      <c r="AB6664">
        <f>AB6663+IF(X6664="",0,IF(ISNA(MATCH(X6664,X$256:X6663,0)),1,0))</f>
        <v/>
      </c>
      <c r="AC6664">
        <f>IF(AB6664&gt;AB6663,AB6664,"")</f>
        <v/>
      </c>
    </row>
    <row r="6665">
      <c r="W6665" s="7" t="n"/>
      <c r="X6665" s="7" t="n"/>
      <c r="Z6665">
        <f>Z6664+IF(W6665="",0,IF(ISNA(MATCH(W6665,W$256:W6664,0)),1,0))</f>
        <v/>
      </c>
      <c r="AA6665">
        <f>IF(Z6665&gt;Z6664,Z6665,"")</f>
        <v/>
      </c>
      <c r="AB6665">
        <f>AB6664+IF(X6665="",0,IF(ISNA(MATCH(X6665,X$256:X6664,0)),1,0))</f>
        <v/>
      </c>
      <c r="AC6665">
        <f>IF(AB6665&gt;AB6664,AB6665,"")</f>
        <v/>
      </c>
    </row>
    <row r="6666">
      <c r="W6666" s="7" t="n"/>
      <c r="X6666" s="7" t="n"/>
      <c r="Z6666">
        <f>Z6665+IF(W6666="",0,IF(ISNA(MATCH(W6666,W$256:W6665,0)),1,0))</f>
        <v/>
      </c>
      <c r="AA6666">
        <f>IF(Z6666&gt;Z6665,Z6666,"")</f>
        <v/>
      </c>
      <c r="AB6666">
        <f>AB6665+IF(X6666="",0,IF(ISNA(MATCH(X6666,X$256:X6665,0)),1,0))</f>
        <v/>
      </c>
      <c r="AC6666">
        <f>IF(AB6666&gt;AB6665,AB6666,"")</f>
        <v/>
      </c>
    </row>
    <row r="6667">
      <c r="W6667" s="7" t="n"/>
      <c r="X6667" s="7" t="n"/>
      <c r="Z6667">
        <f>Z6666+IF(W6667="",0,IF(ISNA(MATCH(W6667,W$256:W6666,0)),1,0))</f>
        <v/>
      </c>
      <c r="AA6667">
        <f>IF(Z6667&gt;Z6666,Z6667,"")</f>
        <v/>
      </c>
      <c r="AB6667">
        <f>AB6666+IF(X6667="",0,IF(ISNA(MATCH(X6667,X$256:X6666,0)),1,0))</f>
        <v/>
      </c>
      <c r="AC6667">
        <f>IF(AB6667&gt;AB6666,AB6667,"")</f>
        <v/>
      </c>
    </row>
    <row r="6668">
      <c r="W6668" s="7" t="n"/>
      <c r="X6668" s="7" t="n"/>
      <c r="Z6668">
        <f>Z6667+IF(W6668="",0,IF(ISNA(MATCH(W6668,W$256:W6667,0)),1,0))</f>
        <v/>
      </c>
      <c r="AA6668">
        <f>IF(Z6668&gt;Z6667,Z6668,"")</f>
        <v/>
      </c>
      <c r="AB6668">
        <f>AB6667+IF(X6668="",0,IF(ISNA(MATCH(X6668,X$256:X6667,0)),1,0))</f>
        <v/>
      </c>
      <c r="AC6668">
        <f>IF(AB6668&gt;AB6667,AB6668,"")</f>
        <v/>
      </c>
    </row>
    <row r="6669">
      <c r="W6669" s="7" t="n"/>
      <c r="X6669" s="7" t="n"/>
      <c r="Z6669">
        <f>Z6668+IF(W6669="",0,IF(ISNA(MATCH(W6669,W$256:W6668,0)),1,0))</f>
        <v/>
      </c>
      <c r="AA6669">
        <f>IF(Z6669&gt;Z6668,Z6669,"")</f>
        <v/>
      </c>
      <c r="AB6669">
        <f>AB6668+IF(X6669="",0,IF(ISNA(MATCH(X6669,X$256:X6668,0)),1,0))</f>
        <v/>
      </c>
      <c r="AC6669">
        <f>IF(AB6669&gt;AB6668,AB6669,"")</f>
        <v/>
      </c>
    </row>
    <row r="6670">
      <c r="W6670" s="7" t="n"/>
      <c r="X6670" s="7" t="n"/>
      <c r="Z6670">
        <f>Z6669+IF(W6670="",0,IF(ISNA(MATCH(W6670,W$256:W6669,0)),1,0))</f>
        <v/>
      </c>
      <c r="AA6670">
        <f>IF(Z6670&gt;Z6669,Z6670,"")</f>
        <v/>
      </c>
      <c r="AB6670">
        <f>AB6669+IF(X6670="",0,IF(ISNA(MATCH(X6670,X$256:X6669,0)),1,0))</f>
        <v/>
      </c>
      <c r="AC6670">
        <f>IF(AB6670&gt;AB6669,AB6670,"")</f>
        <v/>
      </c>
    </row>
    <row r="6671">
      <c r="W6671" s="7" t="n"/>
      <c r="X6671" s="7" t="n"/>
      <c r="Z6671">
        <f>Z6670+IF(W6671="",0,IF(ISNA(MATCH(W6671,W$256:W6670,0)),1,0))</f>
        <v/>
      </c>
      <c r="AA6671">
        <f>IF(Z6671&gt;Z6670,Z6671,"")</f>
        <v/>
      </c>
      <c r="AB6671">
        <f>AB6670+IF(X6671="",0,IF(ISNA(MATCH(X6671,X$256:X6670,0)),1,0))</f>
        <v/>
      </c>
      <c r="AC6671">
        <f>IF(AB6671&gt;AB6670,AB6671,"")</f>
        <v/>
      </c>
    </row>
    <row r="6672">
      <c r="W6672" s="7" t="n"/>
      <c r="X6672" s="7" t="n"/>
      <c r="Z6672">
        <f>Z6671+IF(W6672="",0,IF(ISNA(MATCH(W6672,W$256:W6671,0)),1,0))</f>
        <v/>
      </c>
      <c r="AA6672">
        <f>IF(Z6672&gt;Z6671,Z6672,"")</f>
        <v/>
      </c>
      <c r="AB6672">
        <f>AB6671+IF(X6672="",0,IF(ISNA(MATCH(X6672,X$256:X6671,0)),1,0))</f>
        <v/>
      </c>
      <c r="AC6672">
        <f>IF(AB6672&gt;AB6671,AB6672,"")</f>
        <v/>
      </c>
    </row>
    <row r="6673">
      <c r="W6673" s="7" t="n"/>
      <c r="X6673" s="7" t="n"/>
      <c r="Z6673">
        <f>Z6672+IF(W6673="",0,IF(ISNA(MATCH(W6673,W$256:W6672,0)),1,0))</f>
        <v/>
      </c>
      <c r="AA6673">
        <f>IF(Z6673&gt;Z6672,Z6673,"")</f>
        <v/>
      </c>
      <c r="AB6673">
        <f>AB6672+IF(X6673="",0,IF(ISNA(MATCH(X6673,X$256:X6672,0)),1,0))</f>
        <v/>
      </c>
      <c r="AC6673">
        <f>IF(AB6673&gt;AB6672,AB6673,"")</f>
        <v/>
      </c>
    </row>
    <row r="6674">
      <c r="W6674" s="7" t="n"/>
      <c r="X6674" s="7" t="n"/>
      <c r="Z6674">
        <f>Z6673+IF(W6674="",0,IF(ISNA(MATCH(W6674,W$256:W6673,0)),1,0))</f>
        <v/>
      </c>
      <c r="AA6674">
        <f>IF(Z6674&gt;Z6673,Z6674,"")</f>
        <v/>
      </c>
      <c r="AB6674">
        <f>AB6673+IF(X6674="",0,IF(ISNA(MATCH(X6674,X$256:X6673,0)),1,0))</f>
        <v/>
      </c>
      <c r="AC6674">
        <f>IF(AB6674&gt;AB6673,AB6674,"")</f>
        <v/>
      </c>
    </row>
    <row r="6675">
      <c r="W6675" s="7" t="n"/>
      <c r="X6675" s="7" t="n"/>
      <c r="Z6675">
        <f>Z6674+IF(W6675="",0,IF(ISNA(MATCH(W6675,W$256:W6674,0)),1,0))</f>
        <v/>
      </c>
      <c r="AA6675">
        <f>IF(Z6675&gt;Z6674,Z6675,"")</f>
        <v/>
      </c>
      <c r="AB6675">
        <f>AB6674+IF(X6675="",0,IF(ISNA(MATCH(X6675,X$256:X6674,0)),1,0))</f>
        <v/>
      </c>
      <c r="AC6675">
        <f>IF(AB6675&gt;AB6674,AB6675,"")</f>
        <v/>
      </c>
    </row>
    <row r="6676">
      <c r="W6676" s="7" t="n"/>
      <c r="X6676" s="7" t="n"/>
      <c r="Z6676">
        <f>Z6675+IF(W6676="",0,IF(ISNA(MATCH(W6676,W$256:W6675,0)),1,0))</f>
        <v/>
      </c>
      <c r="AA6676">
        <f>IF(Z6676&gt;Z6675,Z6676,"")</f>
        <v/>
      </c>
      <c r="AB6676">
        <f>AB6675+IF(X6676="",0,IF(ISNA(MATCH(X6676,X$256:X6675,0)),1,0))</f>
        <v/>
      </c>
      <c r="AC6676">
        <f>IF(AB6676&gt;AB6675,AB6676,"")</f>
        <v/>
      </c>
    </row>
    <row r="6677">
      <c r="W6677" s="7" t="n"/>
      <c r="X6677" s="7" t="n"/>
      <c r="Z6677">
        <f>Z6676+IF(W6677="",0,IF(ISNA(MATCH(W6677,W$256:W6676,0)),1,0))</f>
        <v/>
      </c>
      <c r="AA6677">
        <f>IF(Z6677&gt;Z6676,Z6677,"")</f>
        <v/>
      </c>
      <c r="AB6677">
        <f>AB6676+IF(X6677="",0,IF(ISNA(MATCH(X6677,X$256:X6676,0)),1,0))</f>
        <v/>
      </c>
      <c r="AC6677">
        <f>IF(AB6677&gt;AB6676,AB6677,"")</f>
        <v/>
      </c>
    </row>
    <row r="6678">
      <c r="W6678" s="7" t="n"/>
      <c r="X6678" s="7" t="n"/>
      <c r="Z6678">
        <f>Z6677+IF(W6678="",0,IF(ISNA(MATCH(W6678,W$256:W6677,0)),1,0))</f>
        <v/>
      </c>
      <c r="AA6678">
        <f>IF(Z6678&gt;Z6677,Z6678,"")</f>
        <v/>
      </c>
      <c r="AB6678">
        <f>AB6677+IF(X6678="",0,IF(ISNA(MATCH(X6678,X$256:X6677,0)),1,0))</f>
        <v/>
      </c>
      <c r="AC6678">
        <f>IF(AB6678&gt;AB6677,AB6678,"")</f>
        <v/>
      </c>
    </row>
    <row r="6679">
      <c r="W6679" s="7" t="n"/>
      <c r="X6679" s="7" t="n"/>
      <c r="Z6679">
        <f>Z6678+IF(W6679="",0,IF(ISNA(MATCH(W6679,W$256:W6678,0)),1,0))</f>
        <v/>
      </c>
      <c r="AA6679">
        <f>IF(Z6679&gt;Z6678,Z6679,"")</f>
        <v/>
      </c>
      <c r="AB6679">
        <f>AB6678+IF(X6679="",0,IF(ISNA(MATCH(X6679,X$256:X6678,0)),1,0))</f>
        <v/>
      </c>
      <c r="AC6679">
        <f>IF(AB6679&gt;AB6678,AB6679,"")</f>
        <v/>
      </c>
    </row>
    <row r="6680">
      <c r="W6680" s="7" t="n"/>
      <c r="X6680" s="7" t="n"/>
      <c r="Z6680">
        <f>Z6679+IF(W6680="",0,IF(ISNA(MATCH(W6680,W$256:W6679,0)),1,0))</f>
        <v/>
      </c>
      <c r="AA6680">
        <f>IF(Z6680&gt;Z6679,Z6680,"")</f>
        <v/>
      </c>
      <c r="AB6680">
        <f>AB6679+IF(X6680="",0,IF(ISNA(MATCH(X6680,X$256:X6679,0)),1,0))</f>
        <v/>
      </c>
      <c r="AC6680">
        <f>IF(AB6680&gt;AB6679,AB6680,"")</f>
        <v/>
      </c>
    </row>
    <row r="6681">
      <c r="W6681" s="7" t="n"/>
      <c r="X6681" s="7" t="n"/>
      <c r="Z6681">
        <f>Z6680+IF(W6681="",0,IF(ISNA(MATCH(W6681,W$256:W6680,0)),1,0))</f>
        <v/>
      </c>
      <c r="AA6681">
        <f>IF(Z6681&gt;Z6680,Z6681,"")</f>
        <v/>
      </c>
      <c r="AB6681">
        <f>AB6680+IF(X6681="",0,IF(ISNA(MATCH(X6681,X$256:X6680,0)),1,0))</f>
        <v/>
      </c>
      <c r="AC6681">
        <f>IF(AB6681&gt;AB6680,AB6681,"")</f>
        <v/>
      </c>
    </row>
    <row r="6682">
      <c r="W6682" s="7" t="n"/>
      <c r="X6682" s="7" t="n"/>
      <c r="Z6682">
        <f>Z6681+IF(W6682="",0,IF(ISNA(MATCH(W6682,W$256:W6681,0)),1,0))</f>
        <v/>
      </c>
      <c r="AA6682">
        <f>IF(Z6682&gt;Z6681,Z6682,"")</f>
        <v/>
      </c>
      <c r="AB6682">
        <f>AB6681+IF(X6682="",0,IF(ISNA(MATCH(X6682,X$256:X6681,0)),1,0))</f>
        <v/>
      </c>
      <c r="AC6682">
        <f>IF(AB6682&gt;AB6681,AB6682,"")</f>
        <v/>
      </c>
    </row>
    <row r="6683">
      <c r="W6683" s="7" t="n"/>
      <c r="X6683" s="7" t="n"/>
      <c r="Z6683">
        <f>Z6682+IF(W6683="",0,IF(ISNA(MATCH(W6683,W$256:W6682,0)),1,0))</f>
        <v/>
      </c>
      <c r="AA6683">
        <f>IF(Z6683&gt;Z6682,Z6683,"")</f>
        <v/>
      </c>
      <c r="AB6683">
        <f>AB6682+IF(X6683="",0,IF(ISNA(MATCH(X6683,X$256:X6682,0)),1,0))</f>
        <v/>
      </c>
      <c r="AC6683">
        <f>IF(AB6683&gt;AB6682,AB6683,"")</f>
        <v/>
      </c>
    </row>
    <row r="6684">
      <c r="W6684" s="7" t="n"/>
      <c r="X6684" s="7" t="n"/>
      <c r="Z6684">
        <f>Z6683+IF(W6684="",0,IF(ISNA(MATCH(W6684,W$256:W6683,0)),1,0))</f>
        <v/>
      </c>
      <c r="AA6684">
        <f>IF(Z6684&gt;Z6683,Z6684,"")</f>
        <v/>
      </c>
      <c r="AB6684">
        <f>AB6683+IF(X6684="",0,IF(ISNA(MATCH(X6684,X$256:X6683,0)),1,0))</f>
        <v/>
      </c>
      <c r="AC6684">
        <f>IF(AB6684&gt;AB6683,AB6684,"")</f>
        <v/>
      </c>
    </row>
    <row r="6685">
      <c r="W6685" s="7" t="n"/>
      <c r="X6685" s="7" t="n"/>
      <c r="Z6685">
        <f>Z6684+IF(W6685="",0,IF(ISNA(MATCH(W6685,W$256:W6684,0)),1,0))</f>
        <v/>
      </c>
      <c r="AA6685">
        <f>IF(Z6685&gt;Z6684,Z6685,"")</f>
        <v/>
      </c>
      <c r="AB6685">
        <f>AB6684+IF(X6685="",0,IF(ISNA(MATCH(X6685,X$256:X6684,0)),1,0))</f>
        <v/>
      </c>
      <c r="AC6685">
        <f>IF(AB6685&gt;AB6684,AB6685,"")</f>
        <v/>
      </c>
    </row>
    <row r="6686">
      <c r="W6686" s="7" t="n"/>
      <c r="X6686" s="7" t="n"/>
      <c r="Z6686">
        <f>Z6685+IF(W6686="",0,IF(ISNA(MATCH(W6686,W$256:W6685,0)),1,0))</f>
        <v/>
      </c>
      <c r="AA6686">
        <f>IF(Z6686&gt;Z6685,Z6686,"")</f>
        <v/>
      </c>
      <c r="AB6686">
        <f>AB6685+IF(X6686="",0,IF(ISNA(MATCH(X6686,X$256:X6685,0)),1,0))</f>
        <v/>
      </c>
      <c r="AC6686">
        <f>IF(AB6686&gt;AB6685,AB6686,"")</f>
        <v/>
      </c>
    </row>
    <row r="6687">
      <c r="W6687" s="7" t="n"/>
      <c r="X6687" s="7" t="n"/>
      <c r="Z6687">
        <f>Z6686+IF(W6687="",0,IF(ISNA(MATCH(W6687,W$256:W6686,0)),1,0))</f>
        <v/>
      </c>
      <c r="AA6687">
        <f>IF(Z6687&gt;Z6686,Z6687,"")</f>
        <v/>
      </c>
      <c r="AB6687">
        <f>AB6686+IF(X6687="",0,IF(ISNA(MATCH(X6687,X$256:X6686,0)),1,0))</f>
        <v/>
      </c>
      <c r="AC6687">
        <f>IF(AB6687&gt;AB6686,AB6687,"")</f>
        <v/>
      </c>
    </row>
    <row r="6688">
      <c r="W6688" s="7" t="n"/>
      <c r="X6688" s="7" t="n"/>
      <c r="Z6688">
        <f>Z6687+IF(W6688="",0,IF(ISNA(MATCH(W6688,W$256:W6687,0)),1,0))</f>
        <v/>
      </c>
      <c r="AA6688">
        <f>IF(Z6688&gt;Z6687,Z6688,"")</f>
        <v/>
      </c>
      <c r="AB6688">
        <f>AB6687+IF(X6688="",0,IF(ISNA(MATCH(X6688,X$256:X6687,0)),1,0))</f>
        <v/>
      </c>
      <c r="AC6688">
        <f>IF(AB6688&gt;AB6687,AB6688,"")</f>
        <v/>
      </c>
    </row>
    <row r="6689">
      <c r="W6689" s="7" t="n"/>
      <c r="X6689" s="7" t="n"/>
      <c r="Z6689">
        <f>Z6688+IF(W6689="",0,IF(ISNA(MATCH(W6689,W$256:W6688,0)),1,0))</f>
        <v/>
      </c>
      <c r="AA6689">
        <f>IF(Z6689&gt;Z6688,Z6689,"")</f>
        <v/>
      </c>
      <c r="AB6689">
        <f>AB6688+IF(X6689="",0,IF(ISNA(MATCH(X6689,X$256:X6688,0)),1,0))</f>
        <v/>
      </c>
      <c r="AC6689">
        <f>IF(AB6689&gt;AB6688,AB6689,"")</f>
        <v/>
      </c>
    </row>
    <row r="6690">
      <c r="W6690" s="7" t="n"/>
      <c r="X6690" s="7" t="n"/>
      <c r="Z6690">
        <f>Z6689+IF(W6690="",0,IF(ISNA(MATCH(W6690,W$256:W6689,0)),1,0))</f>
        <v/>
      </c>
      <c r="AA6690">
        <f>IF(Z6690&gt;Z6689,Z6690,"")</f>
        <v/>
      </c>
      <c r="AB6690">
        <f>AB6689+IF(X6690="",0,IF(ISNA(MATCH(X6690,X$256:X6689,0)),1,0))</f>
        <v/>
      </c>
      <c r="AC6690">
        <f>IF(AB6690&gt;AB6689,AB6690,"")</f>
        <v/>
      </c>
    </row>
    <row r="6691">
      <c r="W6691" s="7" t="n"/>
      <c r="X6691" s="7" t="n"/>
      <c r="Z6691">
        <f>Z6690+IF(W6691="",0,IF(ISNA(MATCH(W6691,W$256:W6690,0)),1,0))</f>
        <v/>
      </c>
      <c r="AA6691">
        <f>IF(Z6691&gt;Z6690,Z6691,"")</f>
        <v/>
      </c>
      <c r="AB6691">
        <f>AB6690+IF(X6691="",0,IF(ISNA(MATCH(X6691,X$256:X6690,0)),1,0))</f>
        <v/>
      </c>
      <c r="AC6691">
        <f>IF(AB6691&gt;AB6690,AB6691,"")</f>
        <v/>
      </c>
    </row>
    <row r="6692">
      <c r="W6692" s="7" t="n"/>
      <c r="X6692" s="7" t="n"/>
      <c r="Z6692">
        <f>Z6691+IF(W6692="",0,IF(ISNA(MATCH(W6692,W$256:W6691,0)),1,0))</f>
        <v/>
      </c>
      <c r="AA6692">
        <f>IF(Z6692&gt;Z6691,Z6692,"")</f>
        <v/>
      </c>
      <c r="AB6692">
        <f>AB6691+IF(X6692="",0,IF(ISNA(MATCH(X6692,X$256:X6691,0)),1,0))</f>
        <v/>
      </c>
      <c r="AC6692">
        <f>IF(AB6692&gt;AB6691,AB6692,"")</f>
        <v/>
      </c>
    </row>
    <row r="6693">
      <c r="W6693" s="7" t="n"/>
      <c r="X6693" s="7" t="n"/>
      <c r="Z6693">
        <f>Z6692+IF(W6693="",0,IF(ISNA(MATCH(W6693,W$256:W6692,0)),1,0))</f>
        <v/>
      </c>
      <c r="AA6693">
        <f>IF(Z6693&gt;Z6692,Z6693,"")</f>
        <v/>
      </c>
      <c r="AB6693">
        <f>AB6692+IF(X6693="",0,IF(ISNA(MATCH(X6693,X$256:X6692,0)),1,0))</f>
        <v/>
      </c>
      <c r="AC6693">
        <f>IF(AB6693&gt;AB6692,AB6693,"")</f>
        <v/>
      </c>
    </row>
    <row r="6694">
      <c r="W6694" s="7" t="n"/>
      <c r="X6694" s="7" t="n"/>
      <c r="Z6694">
        <f>Z6693+IF(W6694="",0,IF(ISNA(MATCH(W6694,W$256:W6693,0)),1,0))</f>
        <v/>
      </c>
      <c r="AA6694">
        <f>IF(Z6694&gt;Z6693,Z6694,"")</f>
        <v/>
      </c>
      <c r="AB6694">
        <f>AB6693+IF(X6694="",0,IF(ISNA(MATCH(X6694,X$256:X6693,0)),1,0))</f>
        <v/>
      </c>
      <c r="AC6694">
        <f>IF(AB6694&gt;AB6693,AB6694,"")</f>
        <v/>
      </c>
    </row>
    <row r="6695">
      <c r="W6695" s="7" t="n"/>
      <c r="X6695" s="7" t="n"/>
      <c r="Z6695">
        <f>Z6694+IF(W6695="",0,IF(ISNA(MATCH(W6695,W$256:W6694,0)),1,0))</f>
        <v/>
      </c>
      <c r="AA6695">
        <f>IF(Z6695&gt;Z6694,Z6695,"")</f>
        <v/>
      </c>
      <c r="AB6695">
        <f>AB6694+IF(X6695="",0,IF(ISNA(MATCH(X6695,X$256:X6694,0)),1,0))</f>
        <v/>
      </c>
      <c r="AC6695">
        <f>IF(AB6695&gt;AB6694,AB6695,"")</f>
        <v/>
      </c>
    </row>
    <row r="6696">
      <c r="W6696" s="7" t="n"/>
      <c r="X6696" s="7" t="n"/>
      <c r="Z6696">
        <f>Z6695+IF(W6696="",0,IF(ISNA(MATCH(W6696,W$256:W6695,0)),1,0))</f>
        <v/>
      </c>
      <c r="AA6696">
        <f>IF(Z6696&gt;Z6695,Z6696,"")</f>
        <v/>
      </c>
      <c r="AB6696">
        <f>AB6695+IF(X6696="",0,IF(ISNA(MATCH(X6696,X$256:X6695,0)),1,0))</f>
        <v/>
      </c>
      <c r="AC6696">
        <f>IF(AB6696&gt;AB6695,AB6696,"")</f>
        <v/>
      </c>
    </row>
    <row r="6697">
      <c r="W6697" s="7" t="n"/>
      <c r="X6697" s="7" t="n"/>
      <c r="Z6697">
        <f>Z6696+IF(W6697="",0,IF(ISNA(MATCH(W6697,W$256:W6696,0)),1,0))</f>
        <v/>
      </c>
      <c r="AA6697">
        <f>IF(Z6697&gt;Z6696,Z6697,"")</f>
        <v/>
      </c>
      <c r="AB6697">
        <f>AB6696+IF(X6697="",0,IF(ISNA(MATCH(X6697,X$256:X6696,0)),1,0))</f>
        <v/>
      </c>
      <c r="AC6697">
        <f>IF(AB6697&gt;AB6696,AB6697,"")</f>
        <v/>
      </c>
    </row>
    <row r="6698">
      <c r="W6698" s="7" t="n"/>
      <c r="X6698" s="7" t="n"/>
      <c r="Z6698">
        <f>Z6697+IF(W6698="",0,IF(ISNA(MATCH(W6698,W$256:W6697,0)),1,0))</f>
        <v/>
      </c>
      <c r="AA6698">
        <f>IF(Z6698&gt;Z6697,Z6698,"")</f>
        <v/>
      </c>
      <c r="AB6698">
        <f>AB6697+IF(X6698="",0,IF(ISNA(MATCH(X6698,X$256:X6697,0)),1,0))</f>
        <v/>
      </c>
      <c r="AC6698">
        <f>IF(AB6698&gt;AB6697,AB6698,"")</f>
        <v/>
      </c>
    </row>
    <row r="6699">
      <c r="W6699" s="7" t="n"/>
      <c r="X6699" s="7" t="n"/>
      <c r="Z6699">
        <f>Z6698+IF(W6699="",0,IF(ISNA(MATCH(W6699,W$256:W6698,0)),1,0))</f>
        <v/>
      </c>
      <c r="AA6699">
        <f>IF(Z6699&gt;Z6698,Z6699,"")</f>
        <v/>
      </c>
      <c r="AB6699">
        <f>AB6698+IF(X6699="",0,IF(ISNA(MATCH(X6699,X$256:X6698,0)),1,0))</f>
        <v/>
      </c>
      <c r="AC6699">
        <f>IF(AB6699&gt;AB6698,AB6699,"")</f>
        <v/>
      </c>
    </row>
    <row r="6700">
      <c r="W6700" s="7" t="n"/>
      <c r="X6700" s="7" t="n"/>
      <c r="Z6700">
        <f>Z6699+IF(W6700="",0,IF(ISNA(MATCH(W6700,W$256:W6699,0)),1,0))</f>
        <v/>
      </c>
      <c r="AA6700">
        <f>IF(Z6700&gt;Z6699,Z6700,"")</f>
        <v/>
      </c>
      <c r="AB6700">
        <f>AB6699+IF(X6700="",0,IF(ISNA(MATCH(X6700,X$256:X6699,0)),1,0))</f>
        <v/>
      </c>
      <c r="AC6700">
        <f>IF(AB6700&gt;AB6699,AB6700,"")</f>
        <v/>
      </c>
    </row>
    <row r="6701">
      <c r="W6701" s="7" t="n"/>
      <c r="X6701" s="7" t="n"/>
      <c r="Z6701">
        <f>Z6700+IF(W6701="",0,IF(ISNA(MATCH(W6701,W$256:W6700,0)),1,0))</f>
        <v/>
      </c>
      <c r="AA6701">
        <f>IF(Z6701&gt;Z6700,Z6701,"")</f>
        <v/>
      </c>
      <c r="AB6701">
        <f>AB6700+IF(X6701="",0,IF(ISNA(MATCH(X6701,X$256:X6700,0)),1,0))</f>
        <v/>
      </c>
      <c r="AC6701">
        <f>IF(AB6701&gt;AB6700,AB6701,"")</f>
        <v/>
      </c>
    </row>
    <row r="6702">
      <c r="W6702" s="7" t="n"/>
      <c r="X6702" s="7" t="n"/>
      <c r="Z6702">
        <f>Z6701+IF(W6702="",0,IF(ISNA(MATCH(W6702,W$256:W6701,0)),1,0))</f>
        <v/>
      </c>
      <c r="AA6702">
        <f>IF(Z6702&gt;Z6701,Z6702,"")</f>
        <v/>
      </c>
      <c r="AB6702">
        <f>AB6701+IF(X6702="",0,IF(ISNA(MATCH(X6702,X$256:X6701,0)),1,0))</f>
        <v/>
      </c>
      <c r="AC6702">
        <f>IF(AB6702&gt;AB6701,AB6702,"")</f>
        <v/>
      </c>
    </row>
    <row r="6703">
      <c r="W6703" s="7" t="n"/>
      <c r="X6703" s="7" t="n"/>
      <c r="Z6703">
        <f>Z6702+IF(W6703="",0,IF(ISNA(MATCH(W6703,W$256:W6702,0)),1,0))</f>
        <v/>
      </c>
      <c r="AA6703">
        <f>IF(Z6703&gt;Z6702,Z6703,"")</f>
        <v/>
      </c>
      <c r="AB6703">
        <f>AB6702+IF(X6703="",0,IF(ISNA(MATCH(X6703,X$256:X6702,0)),1,0))</f>
        <v/>
      </c>
      <c r="AC6703">
        <f>IF(AB6703&gt;AB6702,AB6703,"")</f>
        <v/>
      </c>
    </row>
    <row r="6704">
      <c r="W6704" s="7" t="n"/>
      <c r="X6704" s="7" t="n"/>
      <c r="Z6704">
        <f>Z6703+IF(W6704="",0,IF(ISNA(MATCH(W6704,W$256:W6703,0)),1,0))</f>
        <v/>
      </c>
      <c r="AA6704">
        <f>IF(Z6704&gt;Z6703,Z6704,"")</f>
        <v/>
      </c>
      <c r="AB6704">
        <f>AB6703+IF(X6704="",0,IF(ISNA(MATCH(X6704,X$256:X6703,0)),1,0))</f>
        <v/>
      </c>
      <c r="AC6704">
        <f>IF(AB6704&gt;AB6703,AB6704,"")</f>
        <v/>
      </c>
    </row>
    <row r="6705">
      <c r="W6705" s="7" t="n"/>
      <c r="X6705" s="7" t="n"/>
      <c r="Z6705">
        <f>Z6704+IF(W6705="",0,IF(ISNA(MATCH(W6705,W$256:W6704,0)),1,0))</f>
        <v/>
      </c>
      <c r="AA6705">
        <f>IF(Z6705&gt;Z6704,Z6705,"")</f>
        <v/>
      </c>
      <c r="AB6705">
        <f>AB6704+IF(X6705="",0,IF(ISNA(MATCH(X6705,X$256:X6704,0)),1,0))</f>
        <v/>
      </c>
      <c r="AC6705">
        <f>IF(AB6705&gt;AB6704,AB6705,"")</f>
        <v/>
      </c>
    </row>
    <row r="6706">
      <c r="W6706" s="7" t="n"/>
      <c r="X6706" s="7" t="n"/>
      <c r="Z6706">
        <f>Z6705+IF(W6706="",0,IF(ISNA(MATCH(W6706,W$256:W6705,0)),1,0))</f>
        <v/>
      </c>
      <c r="AA6706">
        <f>IF(Z6706&gt;Z6705,Z6706,"")</f>
        <v/>
      </c>
      <c r="AB6706">
        <f>AB6705+IF(X6706="",0,IF(ISNA(MATCH(X6706,X$256:X6705,0)),1,0))</f>
        <v/>
      </c>
      <c r="AC6706">
        <f>IF(AB6706&gt;AB6705,AB6706,"")</f>
        <v/>
      </c>
    </row>
    <row r="6707">
      <c r="W6707" s="7" t="n"/>
      <c r="X6707" s="7" t="n"/>
      <c r="Z6707">
        <f>Z6706+IF(W6707="",0,IF(ISNA(MATCH(W6707,W$256:W6706,0)),1,0))</f>
        <v/>
      </c>
      <c r="AA6707">
        <f>IF(Z6707&gt;Z6706,Z6707,"")</f>
        <v/>
      </c>
      <c r="AB6707">
        <f>AB6706+IF(X6707="",0,IF(ISNA(MATCH(X6707,X$256:X6706,0)),1,0))</f>
        <v/>
      </c>
      <c r="AC6707">
        <f>IF(AB6707&gt;AB6706,AB6707,"")</f>
        <v/>
      </c>
    </row>
    <row r="6708">
      <c r="W6708" s="7" t="n"/>
      <c r="X6708" s="7" t="n"/>
      <c r="Z6708">
        <f>Z6707+IF(W6708="",0,IF(ISNA(MATCH(W6708,W$256:W6707,0)),1,0))</f>
        <v/>
      </c>
      <c r="AA6708">
        <f>IF(Z6708&gt;Z6707,Z6708,"")</f>
        <v/>
      </c>
      <c r="AB6708">
        <f>AB6707+IF(X6708="",0,IF(ISNA(MATCH(X6708,X$256:X6707,0)),1,0))</f>
        <v/>
      </c>
      <c r="AC6708">
        <f>IF(AB6708&gt;AB6707,AB6708,"")</f>
        <v/>
      </c>
    </row>
    <row r="6709">
      <c r="W6709" s="7" t="n"/>
      <c r="X6709" s="7" t="n"/>
      <c r="Z6709">
        <f>Z6708+IF(W6709="",0,IF(ISNA(MATCH(W6709,W$256:W6708,0)),1,0))</f>
        <v/>
      </c>
      <c r="AA6709">
        <f>IF(Z6709&gt;Z6708,Z6709,"")</f>
        <v/>
      </c>
      <c r="AB6709">
        <f>AB6708+IF(X6709="",0,IF(ISNA(MATCH(X6709,X$256:X6708,0)),1,0))</f>
        <v/>
      </c>
      <c r="AC6709">
        <f>IF(AB6709&gt;AB6708,AB6709,"")</f>
        <v/>
      </c>
    </row>
    <row r="6710">
      <c r="W6710" s="7" t="n"/>
      <c r="X6710" s="7" t="n"/>
      <c r="Z6710">
        <f>Z6709+IF(W6710="",0,IF(ISNA(MATCH(W6710,W$256:W6709,0)),1,0))</f>
        <v/>
      </c>
      <c r="AA6710">
        <f>IF(Z6710&gt;Z6709,Z6710,"")</f>
        <v/>
      </c>
      <c r="AB6710">
        <f>AB6709+IF(X6710="",0,IF(ISNA(MATCH(X6710,X$256:X6709,0)),1,0))</f>
        <v/>
      </c>
      <c r="AC6710">
        <f>IF(AB6710&gt;AB6709,AB6710,"")</f>
        <v/>
      </c>
    </row>
    <row r="6711">
      <c r="W6711" s="7" t="n"/>
      <c r="X6711" s="7" t="n"/>
      <c r="Z6711">
        <f>Z6710+IF(W6711="",0,IF(ISNA(MATCH(W6711,W$256:W6710,0)),1,0))</f>
        <v/>
      </c>
      <c r="AA6711">
        <f>IF(Z6711&gt;Z6710,Z6711,"")</f>
        <v/>
      </c>
      <c r="AB6711">
        <f>AB6710+IF(X6711="",0,IF(ISNA(MATCH(X6711,X$256:X6710,0)),1,0))</f>
        <v/>
      </c>
      <c r="AC6711">
        <f>IF(AB6711&gt;AB6710,AB6711,"")</f>
        <v/>
      </c>
    </row>
    <row r="6712">
      <c r="W6712" s="7" t="n"/>
      <c r="X6712" s="7" t="n"/>
      <c r="Z6712">
        <f>Z6711+IF(W6712="",0,IF(ISNA(MATCH(W6712,W$256:W6711,0)),1,0))</f>
        <v/>
      </c>
      <c r="AA6712">
        <f>IF(Z6712&gt;Z6711,Z6712,"")</f>
        <v/>
      </c>
      <c r="AB6712">
        <f>AB6711+IF(X6712="",0,IF(ISNA(MATCH(X6712,X$256:X6711,0)),1,0))</f>
        <v/>
      </c>
      <c r="AC6712">
        <f>IF(AB6712&gt;AB6711,AB6712,"")</f>
        <v/>
      </c>
    </row>
    <row r="6713">
      <c r="W6713" s="7" t="n"/>
      <c r="X6713" s="7" t="n"/>
      <c r="Z6713">
        <f>Z6712+IF(W6713="",0,IF(ISNA(MATCH(W6713,W$256:W6712,0)),1,0))</f>
        <v/>
      </c>
      <c r="AA6713">
        <f>IF(Z6713&gt;Z6712,Z6713,"")</f>
        <v/>
      </c>
      <c r="AB6713">
        <f>AB6712+IF(X6713="",0,IF(ISNA(MATCH(X6713,X$256:X6712,0)),1,0))</f>
        <v/>
      </c>
      <c r="AC6713">
        <f>IF(AB6713&gt;AB6712,AB6713,"")</f>
        <v/>
      </c>
    </row>
    <row r="6714">
      <c r="W6714" s="7" t="n"/>
      <c r="X6714" s="7" t="n"/>
      <c r="Z6714">
        <f>Z6713+IF(W6714="",0,IF(ISNA(MATCH(W6714,W$256:W6713,0)),1,0))</f>
        <v/>
      </c>
      <c r="AA6714">
        <f>IF(Z6714&gt;Z6713,Z6714,"")</f>
        <v/>
      </c>
      <c r="AB6714">
        <f>AB6713+IF(X6714="",0,IF(ISNA(MATCH(X6714,X$256:X6713,0)),1,0))</f>
        <v/>
      </c>
      <c r="AC6714">
        <f>IF(AB6714&gt;AB6713,AB6714,"")</f>
        <v/>
      </c>
    </row>
    <row r="6715">
      <c r="W6715" s="7" t="n"/>
      <c r="X6715" s="7" t="n"/>
      <c r="Z6715">
        <f>Z6714+IF(W6715="",0,IF(ISNA(MATCH(W6715,W$256:W6714,0)),1,0))</f>
        <v/>
      </c>
      <c r="AA6715">
        <f>IF(Z6715&gt;Z6714,Z6715,"")</f>
        <v/>
      </c>
      <c r="AB6715">
        <f>AB6714+IF(X6715="",0,IF(ISNA(MATCH(X6715,X$256:X6714,0)),1,0))</f>
        <v/>
      </c>
      <c r="AC6715">
        <f>IF(AB6715&gt;AB6714,AB6715,"")</f>
        <v/>
      </c>
    </row>
    <row r="6716">
      <c r="W6716" s="7" t="n"/>
      <c r="X6716" s="7" t="n"/>
      <c r="Z6716">
        <f>Z6715+IF(W6716="",0,IF(ISNA(MATCH(W6716,W$256:W6715,0)),1,0))</f>
        <v/>
      </c>
      <c r="AA6716">
        <f>IF(Z6716&gt;Z6715,Z6716,"")</f>
        <v/>
      </c>
      <c r="AB6716">
        <f>AB6715+IF(X6716="",0,IF(ISNA(MATCH(X6716,X$256:X6715,0)),1,0))</f>
        <v/>
      </c>
      <c r="AC6716">
        <f>IF(AB6716&gt;AB6715,AB6716,"")</f>
        <v/>
      </c>
    </row>
    <row r="6717">
      <c r="W6717" s="7" t="n"/>
      <c r="X6717" s="7" t="n"/>
      <c r="Z6717">
        <f>Z6716+IF(W6717="",0,IF(ISNA(MATCH(W6717,W$256:W6716,0)),1,0))</f>
        <v/>
      </c>
      <c r="AA6717">
        <f>IF(Z6717&gt;Z6716,Z6717,"")</f>
        <v/>
      </c>
      <c r="AB6717">
        <f>AB6716+IF(X6717="",0,IF(ISNA(MATCH(X6717,X$256:X6716,0)),1,0))</f>
        <v/>
      </c>
      <c r="AC6717">
        <f>IF(AB6717&gt;AB6716,AB6717,"")</f>
        <v/>
      </c>
    </row>
    <row r="6718">
      <c r="W6718" s="7" t="n"/>
      <c r="X6718" s="7" t="n"/>
      <c r="Z6718">
        <f>Z6717+IF(W6718="",0,IF(ISNA(MATCH(W6718,W$256:W6717,0)),1,0))</f>
        <v/>
      </c>
      <c r="AA6718">
        <f>IF(Z6718&gt;Z6717,Z6718,"")</f>
        <v/>
      </c>
      <c r="AB6718">
        <f>AB6717+IF(X6718="",0,IF(ISNA(MATCH(X6718,X$256:X6717,0)),1,0))</f>
        <v/>
      </c>
      <c r="AC6718">
        <f>IF(AB6718&gt;AB6717,AB6718,"")</f>
        <v/>
      </c>
    </row>
    <row r="6719">
      <c r="W6719" s="7" t="n"/>
      <c r="X6719" s="7" t="n"/>
      <c r="Z6719">
        <f>Z6718+IF(W6719="",0,IF(ISNA(MATCH(W6719,W$256:W6718,0)),1,0))</f>
        <v/>
      </c>
      <c r="AA6719">
        <f>IF(Z6719&gt;Z6718,Z6719,"")</f>
        <v/>
      </c>
      <c r="AB6719">
        <f>AB6718+IF(X6719="",0,IF(ISNA(MATCH(X6719,X$256:X6718,0)),1,0))</f>
        <v/>
      </c>
      <c r="AC6719">
        <f>IF(AB6719&gt;AB6718,AB6719,"")</f>
        <v/>
      </c>
    </row>
    <row r="6720">
      <c r="W6720" s="7" t="n"/>
      <c r="X6720" s="7" t="n"/>
      <c r="Z6720">
        <f>Z6719+IF(W6720="",0,IF(ISNA(MATCH(W6720,W$256:W6719,0)),1,0))</f>
        <v/>
      </c>
      <c r="AA6720">
        <f>IF(Z6720&gt;Z6719,Z6720,"")</f>
        <v/>
      </c>
      <c r="AB6720">
        <f>AB6719+IF(X6720="",0,IF(ISNA(MATCH(X6720,X$256:X6719,0)),1,0))</f>
        <v/>
      </c>
      <c r="AC6720">
        <f>IF(AB6720&gt;AB6719,AB6720,"")</f>
        <v/>
      </c>
    </row>
    <row r="6721">
      <c r="W6721" s="7" t="n"/>
      <c r="X6721" s="7" t="n"/>
      <c r="Z6721">
        <f>Z6720+IF(W6721="",0,IF(ISNA(MATCH(W6721,W$256:W6720,0)),1,0))</f>
        <v/>
      </c>
      <c r="AA6721">
        <f>IF(Z6721&gt;Z6720,Z6721,"")</f>
        <v/>
      </c>
      <c r="AB6721">
        <f>AB6720+IF(X6721="",0,IF(ISNA(MATCH(X6721,X$256:X6720,0)),1,0))</f>
        <v/>
      </c>
      <c r="AC6721">
        <f>IF(AB6721&gt;AB6720,AB6721,"")</f>
        <v/>
      </c>
    </row>
    <row r="6722">
      <c r="W6722" s="7" t="n"/>
      <c r="X6722" s="7" t="n"/>
      <c r="Z6722">
        <f>Z6721+IF(W6722="",0,IF(ISNA(MATCH(W6722,W$256:W6721,0)),1,0))</f>
        <v/>
      </c>
      <c r="AA6722">
        <f>IF(Z6722&gt;Z6721,Z6722,"")</f>
        <v/>
      </c>
      <c r="AB6722">
        <f>AB6721+IF(X6722="",0,IF(ISNA(MATCH(X6722,X$256:X6721,0)),1,0))</f>
        <v/>
      </c>
      <c r="AC6722">
        <f>IF(AB6722&gt;AB6721,AB6722,"")</f>
        <v/>
      </c>
    </row>
    <row r="6723">
      <c r="W6723" s="7" t="n"/>
      <c r="X6723" s="7" t="n"/>
      <c r="Z6723">
        <f>Z6722+IF(W6723="",0,IF(ISNA(MATCH(W6723,W$256:W6722,0)),1,0))</f>
        <v/>
      </c>
      <c r="AA6723">
        <f>IF(Z6723&gt;Z6722,Z6723,"")</f>
        <v/>
      </c>
      <c r="AB6723">
        <f>AB6722+IF(X6723="",0,IF(ISNA(MATCH(X6723,X$256:X6722,0)),1,0))</f>
        <v/>
      </c>
      <c r="AC6723">
        <f>IF(AB6723&gt;AB6722,AB6723,"")</f>
        <v/>
      </c>
    </row>
    <row r="6724">
      <c r="W6724" s="7" t="n"/>
      <c r="X6724" s="7" t="n"/>
      <c r="Z6724">
        <f>Z6723+IF(W6724="",0,IF(ISNA(MATCH(W6724,W$256:W6723,0)),1,0))</f>
        <v/>
      </c>
      <c r="AA6724">
        <f>IF(Z6724&gt;Z6723,Z6724,"")</f>
        <v/>
      </c>
      <c r="AB6724">
        <f>AB6723+IF(X6724="",0,IF(ISNA(MATCH(X6724,X$256:X6723,0)),1,0))</f>
        <v/>
      </c>
      <c r="AC6724">
        <f>IF(AB6724&gt;AB6723,AB6724,"")</f>
        <v/>
      </c>
    </row>
    <row r="6725">
      <c r="W6725" s="7" t="n"/>
      <c r="X6725" s="7" t="n"/>
      <c r="Z6725">
        <f>Z6724+IF(W6725="",0,IF(ISNA(MATCH(W6725,W$256:W6724,0)),1,0))</f>
        <v/>
      </c>
      <c r="AA6725">
        <f>IF(Z6725&gt;Z6724,Z6725,"")</f>
        <v/>
      </c>
      <c r="AB6725">
        <f>AB6724+IF(X6725="",0,IF(ISNA(MATCH(X6725,X$256:X6724,0)),1,0))</f>
        <v/>
      </c>
      <c r="AC6725">
        <f>IF(AB6725&gt;AB6724,AB6725,"")</f>
        <v/>
      </c>
    </row>
    <row r="6726">
      <c r="W6726" s="7" t="n"/>
      <c r="X6726" s="7" t="n"/>
      <c r="Z6726">
        <f>Z6725+IF(W6726="",0,IF(ISNA(MATCH(W6726,W$256:W6725,0)),1,0))</f>
        <v/>
      </c>
      <c r="AA6726">
        <f>IF(Z6726&gt;Z6725,Z6726,"")</f>
        <v/>
      </c>
      <c r="AB6726">
        <f>AB6725+IF(X6726="",0,IF(ISNA(MATCH(X6726,X$256:X6725,0)),1,0))</f>
        <v/>
      </c>
      <c r="AC6726">
        <f>IF(AB6726&gt;AB6725,AB6726,"")</f>
        <v/>
      </c>
    </row>
    <row r="6727">
      <c r="W6727" s="7" t="n"/>
      <c r="X6727" s="7" t="n"/>
      <c r="Z6727">
        <f>Z6726+IF(W6727="",0,IF(ISNA(MATCH(W6727,W$256:W6726,0)),1,0))</f>
        <v/>
      </c>
      <c r="AA6727">
        <f>IF(Z6727&gt;Z6726,Z6727,"")</f>
        <v/>
      </c>
      <c r="AB6727">
        <f>AB6726+IF(X6727="",0,IF(ISNA(MATCH(X6727,X$256:X6726,0)),1,0))</f>
        <v/>
      </c>
      <c r="AC6727">
        <f>IF(AB6727&gt;AB6726,AB6727,"")</f>
        <v/>
      </c>
    </row>
    <row r="6728">
      <c r="W6728" s="7" t="n"/>
      <c r="X6728" s="7" t="n"/>
      <c r="Z6728">
        <f>Z6727+IF(W6728="",0,IF(ISNA(MATCH(W6728,W$256:W6727,0)),1,0))</f>
        <v/>
      </c>
      <c r="AA6728">
        <f>IF(Z6728&gt;Z6727,Z6728,"")</f>
        <v/>
      </c>
      <c r="AB6728">
        <f>AB6727+IF(X6728="",0,IF(ISNA(MATCH(X6728,X$256:X6727,0)),1,0))</f>
        <v/>
      </c>
      <c r="AC6728">
        <f>IF(AB6728&gt;AB6727,AB6728,"")</f>
        <v/>
      </c>
    </row>
    <row r="6729">
      <c r="W6729" s="7" t="n"/>
      <c r="X6729" s="7" t="n"/>
      <c r="Z6729">
        <f>Z6728+IF(W6729="",0,IF(ISNA(MATCH(W6729,W$256:W6728,0)),1,0))</f>
        <v/>
      </c>
      <c r="AA6729">
        <f>IF(Z6729&gt;Z6728,Z6729,"")</f>
        <v/>
      </c>
      <c r="AB6729">
        <f>AB6728+IF(X6729="",0,IF(ISNA(MATCH(X6729,X$256:X6728,0)),1,0))</f>
        <v/>
      </c>
      <c r="AC6729">
        <f>IF(AB6729&gt;AB6728,AB6729,"")</f>
        <v/>
      </c>
    </row>
    <row r="6730">
      <c r="W6730" s="7" t="n"/>
      <c r="X6730" s="7" t="n"/>
      <c r="Z6730">
        <f>Z6729+IF(W6730="",0,IF(ISNA(MATCH(W6730,W$256:W6729,0)),1,0))</f>
        <v/>
      </c>
      <c r="AA6730">
        <f>IF(Z6730&gt;Z6729,Z6730,"")</f>
        <v/>
      </c>
      <c r="AB6730">
        <f>AB6729+IF(X6730="",0,IF(ISNA(MATCH(X6730,X$256:X6729,0)),1,0))</f>
        <v/>
      </c>
      <c r="AC6730">
        <f>IF(AB6730&gt;AB6729,AB6730,"")</f>
        <v/>
      </c>
    </row>
    <row r="6731">
      <c r="W6731" s="7" t="n"/>
      <c r="X6731" s="7" t="n"/>
      <c r="Z6731">
        <f>Z6730+IF(W6731="",0,IF(ISNA(MATCH(W6731,W$256:W6730,0)),1,0))</f>
        <v/>
      </c>
      <c r="AA6731">
        <f>IF(Z6731&gt;Z6730,Z6731,"")</f>
        <v/>
      </c>
      <c r="AB6731">
        <f>AB6730+IF(X6731="",0,IF(ISNA(MATCH(X6731,X$256:X6730,0)),1,0))</f>
        <v/>
      </c>
      <c r="AC6731">
        <f>IF(AB6731&gt;AB6730,AB6731,"")</f>
        <v/>
      </c>
    </row>
    <row r="6732">
      <c r="W6732" s="7" t="n"/>
      <c r="X6732" s="7" t="n"/>
      <c r="Z6732">
        <f>Z6731+IF(W6732="",0,IF(ISNA(MATCH(W6732,W$256:W6731,0)),1,0))</f>
        <v/>
      </c>
      <c r="AA6732">
        <f>IF(Z6732&gt;Z6731,Z6732,"")</f>
        <v/>
      </c>
      <c r="AB6732">
        <f>AB6731+IF(X6732="",0,IF(ISNA(MATCH(X6732,X$256:X6731,0)),1,0))</f>
        <v/>
      </c>
      <c r="AC6732">
        <f>IF(AB6732&gt;AB6731,AB6732,"")</f>
        <v/>
      </c>
    </row>
    <row r="6733">
      <c r="W6733" s="7" t="n"/>
      <c r="X6733" s="7" t="n"/>
      <c r="Z6733">
        <f>Z6732+IF(W6733="",0,IF(ISNA(MATCH(W6733,W$256:W6732,0)),1,0))</f>
        <v/>
      </c>
      <c r="AA6733">
        <f>IF(Z6733&gt;Z6732,Z6733,"")</f>
        <v/>
      </c>
      <c r="AB6733">
        <f>AB6732+IF(X6733="",0,IF(ISNA(MATCH(X6733,X$256:X6732,0)),1,0))</f>
        <v/>
      </c>
      <c r="AC6733">
        <f>IF(AB6733&gt;AB6732,AB6733,"")</f>
        <v/>
      </c>
    </row>
    <row r="6734">
      <c r="W6734" s="7" t="n"/>
      <c r="X6734" s="7" t="n"/>
      <c r="Z6734">
        <f>Z6733+IF(W6734="",0,IF(ISNA(MATCH(W6734,W$256:W6733,0)),1,0))</f>
        <v/>
      </c>
      <c r="AA6734">
        <f>IF(Z6734&gt;Z6733,Z6734,"")</f>
        <v/>
      </c>
      <c r="AB6734">
        <f>AB6733+IF(X6734="",0,IF(ISNA(MATCH(X6734,X$256:X6733,0)),1,0))</f>
        <v/>
      </c>
      <c r="AC6734">
        <f>IF(AB6734&gt;AB6733,AB6734,"")</f>
        <v/>
      </c>
    </row>
    <row r="6735">
      <c r="W6735" s="7" t="n"/>
      <c r="X6735" s="7" t="n"/>
      <c r="Z6735">
        <f>Z6734+IF(W6735="",0,IF(ISNA(MATCH(W6735,W$256:W6734,0)),1,0))</f>
        <v/>
      </c>
      <c r="AA6735">
        <f>IF(Z6735&gt;Z6734,Z6735,"")</f>
        <v/>
      </c>
      <c r="AB6735">
        <f>AB6734+IF(X6735="",0,IF(ISNA(MATCH(X6735,X$256:X6734,0)),1,0))</f>
        <v/>
      </c>
      <c r="AC6735">
        <f>IF(AB6735&gt;AB6734,AB6735,"")</f>
        <v/>
      </c>
    </row>
    <row r="6736">
      <c r="W6736" s="7" t="n"/>
      <c r="X6736" s="7" t="n"/>
      <c r="Z6736">
        <f>Z6735+IF(W6736="",0,IF(ISNA(MATCH(W6736,W$256:W6735,0)),1,0))</f>
        <v/>
      </c>
      <c r="AA6736">
        <f>IF(Z6736&gt;Z6735,Z6736,"")</f>
        <v/>
      </c>
      <c r="AB6736">
        <f>AB6735+IF(X6736="",0,IF(ISNA(MATCH(X6736,X$256:X6735,0)),1,0))</f>
        <v/>
      </c>
      <c r="AC6736">
        <f>IF(AB6736&gt;AB6735,AB6736,"")</f>
        <v/>
      </c>
    </row>
    <row r="6737">
      <c r="W6737" s="7" t="n"/>
      <c r="X6737" s="7" t="n"/>
      <c r="Z6737">
        <f>Z6736+IF(W6737="",0,IF(ISNA(MATCH(W6737,W$256:W6736,0)),1,0))</f>
        <v/>
      </c>
      <c r="AA6737">
        <f>IF(Z6737&gt;Z6736,Z6737,"")</f>
        <v/>
      </c>
      <c r="AB6737">
        <f>AB6736+IF(X6737="",0,IF(ISNA(MATCH(X6737,X$256:X6736,0)),1,0))</f>
        <v/>
      </c>
      <c r="AC6737">
        <f>IF(AB6737&gt;AB6736,AB6737,"")</f>
        <v/>
      </c>
    </row>
    <row r="6738">
      <c r="W6738" s="7" t="n"/>
      <c r="X6738" s="7" t="n"/>
      <c r="Z6738">
        <f>Z6737+IF(W6738="",0,IF(ISNA(MATCH(W6738,W$256:W6737,0)),1,0))</f>
        <v/>
      </c>
      <c r="AA6738">
        <f>IF(Z6738&gt;Z6737,Z6738,"")</f>
        <v/>
      </c>
      <c r="AB6738">
        <f>AB6737+IF(X6738="",0,IF(ISNA(MATCH(X6738,X$256:X6737,0)),1,0))</f>
        <v/>
      </c>
      <c r="AC6738">
        <f>IF(AB6738&gt;AB6737,AB6738,"")</f>
        <v/>
      </c>
    </row>
    <row r="6739">
      <c r="W6739" s="7" t="n"/>
      <c r="X6739" s="7" t="n"/>
      <c r="Z6739">
        <f>Z6738+IF(W6739="",0,IF(ISNA(MATCH(W6739,W$256:W6738,0)),1,0))</f>
        <v/>
      </c>
      <c r="AA6739">
        <f>IF(Z6739&gt;Z6738,Z6739,"")</f>
        <v/>
      </c>
      <c r="AB6739">
        <f>AB6738+IF(X6739="",0,IF(ISNA(MATCH(X6739,X$256:X6738,0)),1,0))</f>
        <v/>
      </c>
      <c r="AC6739">
        <f>IF(AB6739&gt;AB6738,AB6739,"")</f>
        <v/>
      </c>
    </row>
    <row r="6740">
      <c r="W6740" s="7" t="n"/>
      <c r="X6740" s="7" t="n"/>
      <c r="Z6740">
        <f>Z6739+IF(W6740="",0,IF(ISNA(MATCH(W6740,W$256:W6739,0)),1,0))</f>
        <v/>
      </c>
      <c r="AA6740">
        <f>IF(Z6740&gt;Z6739,Z6740,"")</f>
        <v/>
      </c>
      <c r="AB6740">
        <f>AB6739+IF(X6740="",0,IF(ISNA(MATCH(X6740,X$256:X6739,0)),1,0))</f>
        <v/>
      </c>
      <c r="AC6740">
        <f>IF(AB6740&gt;AB6739,AB6740,"")</f>
        <v/>
      </c>
    </row>
    <row r="6741">
      <c r="W6741" s="7" t="n"/>
      <c r="X6741" s="7" t="n"/>
      <c r="Z6741">
        <f>Z6740+IF(W6741="",0,IF(ISNA(MATCH(W6741,W$256:W6740,0)),1,0))</f>
        <v/>
      </c>
      <c r="AA6741">
        <f>IF(Z6741&gt;Z6740,Z6741,"")</f>
        <v/>
      </c>
      <c r="AB6741">
        <f>AB6740+IF(X6741="",0,IF(ISNA(MATCH(X6741,X$256:X6740,0)),1,0))</f>
        <v/>
      </c>
      <c r="AC6741">
        <f>IF(AB6741&gt;AB6740,AB6741,"")</f>
        <v/>
      </c>
    </row>
    <row r="6742">
      <c r="W6742" s="7" t="n"/>
      <c r="X6742" s="7" t="n"/>
      <c r="Z6742">
        <f>Z6741+IF(W6742="",0,IF(ISNA(MATCH(W6742,W$256:W6741,0)),1,0))</f>
        <v/>
      </c>
      <c r="AA6742">
        <f>IF(Z6742&gt;Z6741,Z6742,"")</f>
        <v/>
      </c>
      <c r="AB6742">
        <f>AB6741+IF(X6742="",0,IF(ISNA(MATCH(X6742,X$256:X6741,0)),1,0))</f>
        <v/>
      </c>
      <c r="AC6742">
        <f>IF(AB6742&gt;AB6741,AB6742,"")</f>
        <v/>
      </c>
    </row>
    <row r="6743">
      <c r="W6743" s="7" t="n"/>
      <c r="X6743" s="7" t="n"/>
      <c r="Z6743">
        <f>Z6742+IF(W6743="",0,IF(ISNA(MATCH(W6743,W$256:W6742,0)),1,0))</f>
        <v/>
      </c>
      <c r="AA6743">
        <f>IF(Z6743&gt;Z6742,Z6743,"")</f>
        <v/>
      </c>
      <c r="AB6743">
        <f>AB6742+IF(X6743="",0,IF(ISNA(MATCH(X6743,X$256:X6742,0)),1,0))</f>
        <v/>
      </c>
      <c r="AC6743">
        <f>IF(AB6743&gt;AB6742,AB6743,"")</f>
        <v/>
      </c>
    </row>
    <row r="6744">
      <c r="W6744" s="7" t="n"/>
      <c r="X6744" s="7" t="n"/>
      <c r="Z6744">
        <f>Z6743+IF(W6744="",0,IF(ISNA(MATCH(W6744,W$256:W6743,0)),1,0))</f>
        <v/>
      </c>
      <c r="AA6744">
        <f>IF(Z6744&gt;Z6743,Z6744,"")</f>
        <v/>
      </c>
      <c r="AB6744">
        <f>AB6743+IF(X6744="",0,IF(ISNA(MATCH(X6744,X$256:X6743,0)),1,0))</f>
        <v/>
      </c>
      <c r="AC6744">
        <f>IF(AB6744&gt;AB6743,AB6744,"")</f>
        <v/>
      </c>
    </row>
    <row r="6745">
      <c r="W6745" s="7" t="n"/>
      <c r="X6745" s="7" t="n"/>
      <c r="Z6745">
        <f>Z6744+IF(W6745="",0,IF(ISNA(MATCH(W6745,W$256:W6744,0)),1,0))</f>
        <v/>
      </c>
      <c r="AA6745">
        <f>IF(Z6745&gt;Z6744,Z6745,"")</f>
        <v/>
      </c>
      <c r="AB6745">
        <f>AB6744+IF(X6745="",0,IF(ISNA(MATCH(X6745,X$256:X6744,0)),1,0))</f>
        <v/>
      </c>
      <c r="AC6745">
        <f>IF(AB6745&gt;AB6744,AB6745,"")</f>
        <v/>
      </c>
    </row>
    <row r="6746">
      <c r="W6746" s="7" t="n"/>
      <c r="X6746" s="7" t="n"/>
      <c r="Z6746">
        <f>Z6745+IF(W6746="",0,IF(ISNA(MATCH(W6746,W$256:W6745,0)),1,0))</f>
        <v/>
      </c>
      <c r="AA6746">
        <f>IF(Z6746&gt;Z6745,Z6746,"")</f>
        <v/>
      </c>
      <c r="AB6746">
        <f>AB6745+IF(X6746="",0,IF(ISNA(MATCH(X6746,X$256:X6745,0)),1,0))</f>
        <v/>
      </c>
      <c r="AC6746">
        <f>IF(AB6746&gt;AB6745,AB6746,"")</f>
        <v/>
      </c>
    </row>
    <row r="6747">
      <c r="W6747" s="7" t="n"/>
      <c r="X6747" s="7" t="n"/>
      <c r="Z6747">
        <f>Z6746+IF(W6747="",0,IF(ISNA(MATCH(W6747,W$256:W6746,0)),1,0))</f>
        <v/>
      </c>
      <c r="AA6747">
        <f>IF(Z6747&gt;Z6746,Z6747,"")</f>
        <v/>
      </c>
      <c r="AB6747">
        <f>AB6746+IF(X6747="",0,IF(ISNA(MATCH(X6747,X$256:X6746,0)),1,0))</f>
        <v/>
      </c>
      <c r="AC6747">
        <f>IF(AB6747&gt;AB6746,AB6747,"")</f>
        <v/>
      </c>
    </row>
    <row r="6748">
      <c r="W6748" s="7" t="n"/>
      <c r="X6748" s="7" t="n"/>
      <c r="Z6748">
        <f>Z6747+IF(W6748="",0,IF(ISNA(MATCH(W6748,W$256:W6747,0)),1,0))</f>
        <v/>
      </c>
      <c r="AA6748">
        <f>IF(Z6748&gt;Z6747,Z6748,"")</f>
        <v/>
      </c>
      <c r="AB6748">
        <f>AB6747+IF(X6748="",0,IF(ISNA(MATCH(X6748,X$256:X6747,0)),1,0))</f>
        <v/>
      </c>
      <c r="AC6748">
        <f>IF(AB6748&gt;AB6747,AB6748,"")</f>
        <v/>
      </c>
    </row>
    <row r="6749">
      <c r="W6749" s="7" t="n"/>
      <c r="X6749" s="7" t="n"/>
      <c r="Z6749">
        <f>Z6748+IF(W6749="",0,IF(ISNA(MATCH(W6749,W$256:W6748,0)),1,0))</f>
        <v/>
      </c>
      <c r="AA6749">
        <f>IF(Z6749&gt;Z6748,Z6749,"")</f>
        <v/>
      </c>
      <c r="AB6749">
        <f>AB6748+IF(X6749="",0,IF(ISNA(MATCH(X6749,X$256:X6748,0)),1,0))</f>
        <v/>
      </c>
      <c r="AC6749">
        <f>IF(AB6749&gt;AB6748,AB6749,"")</f>
        <v/>
      </c>
    </row>
    <row r="6750">
      <c r="W6750" s="7" t="n"/>
      <c r="X6750" s="7" t="n"/>
      <c r="Z6750">
        <f>Z6749+IF(W6750="",0,IF(ISNA(MATCH(W6750,W$256:W6749,0)),1,0))</f>
        <v/>
      </c>
      <c r="AA6750">
        <f>IF(Z6750&gt;Z6749,Z6750,"")</f>
        <v/>
      </c>
      <c r="AB6750">
        <f>AB6749+IF(X6750="",0,IF(ISNA(MATCH(X6750,X$256:X6749,0)),1,0))</f>
        <v/>
      </c>
      <c r="AC6750">
        <f>IF(AB6750&gt;AB6749,AB6750,"")</f>
        <v/>
      </c>
    </row>
    <row r="6751">
      <c r="W6751" s="7" t="n"/>
      <c r="X6751" s="7" t="n"/>
      <c r="Z6751">
        <f>Z6750+IF(W6751="",0,IF(ISNA(MATCH(W6751,W$256:W6750,0)),1,0))</f>
        <v/>
      </c>
      <c r="AA6751">
        <f>IF(Z6751&gt;Z6750,Z6751,"")</f>
        <v/>
      </c>
      <c r="AB6751">
        <f>AB6750+IF(X6751="",0,IF(ISNA(MATCH(X6751,X$256:X6750,0)),1,0))</f>
        <v/>
      </c>
      <c r="AC6751">
        <f>IF(AB6751&gt;AB6750,AB6751,"")</f>
        <v/>
      </c>
    </row>
    <row r="6752">
      <c r="W6752" s="7" t="n"/>
      <c r="X6752" s="7" t="n"/>
      <c r="Z6752">
        <f>Z6751+IF(W6752="",0,IF(ISNA(MATCH(W6752,W$256:W6751,0)),1,0))</f>
        <v/>
      </c>
      <c r="AA6752">
        <f>IF(Z6752&gt;Z6751,Z6752,"")</f>
        <v/>
      </c>
      <c r="AB6752">
        <f>AB6751+IF(X6752="",0,IF(ISNA(MATCH(X6752,X$256:X6751,0)),1,0))</f>
        <v/>
      </c>
      <c r="AC6752">
        <f>IF(AB6752&gt;AB6751,AB6752,"")</f>
        <v/>
      </c>
    </row>
    <row r="6753">
      <c r="W6753" s="7" t="n"/>
      <c r="X6753" s="7" t="n"/>
      <c r="Z6753">
        <f>Z6752+IF(W6753="",0,IF(ISNA(MATCH(W6753,W$256:W6752,0)),1,0))</f>
        <v/>
      </c>
      <c r="AA6753">
        <f>IF(Z6753&gt;Z6752,Z6753,"")</f>
        <v/>
      </c>
      <c r="AB6753">
        <f>AB6752+IF(X6753="",0,IF(ISNA(MATCH(X6753,X$256:X6752,0)),1,0))</f>
        <v/>
      </c>
      <c r="AC6753">
        <f>IF(AB6753&gt;AB6752,AB6753,"")</f>
        <v/>
      </c>
    </row>
    <row r="6754">
      <c r="W6754" s="7" t="n"/>
      <c r="X6754" s="7" t="n"/>
      <c r="Z6754">
        <f>Z6753+IF(W6754="",0,IF(ISNA(MATCH(W6754,W$256:W6753,0)),1,0))</f>
        <v/>
      </c>
      <c r="AA6754">
        <f>IF(Z6754&gt;Z6753,Z6754,"")</f>
        <v/>
      </c>
      <c r="AB6754">
        <f>AB6753+IF(X6754="",0,IF(ISNA(MATCH(X6754,X$256:X6753,0)),1,0))</f>
        <v/>
      </c>
      <c r="AC6754">
        <f>IF(AB6754&gt;AB6753,AB6754,"")</f>
        <v/>
      </c>
    </row>
    <row r="6755">
      <c r="W6755" s="7" t="n"/>
      <c r="X6755" s="7" t="n"/>
      <c r="Z6755">
        <f>Z6754+IF(W6755="",0,IF(ISNA(MATCH(W6755,W$256:W6754,0)),1,0))</f>
        <v/>
      </c>
      <c r="AA6755">
        <f>IF(Z6755&gt;Z6754,Z6755,"")</f>
        <v/>
      </c>
      <c r="AB6755">
        <f>AB6754+IF(X6755="",0,IF(ISNA(MATCH(X6755,X$256:X6754,0)),1,0))</f>
        <v/>
      </c>
      <c r="AC6755">
        <f>IF(AB6755&gt;AB6754,AB6755,"")</f>
        <v/>
      </c>
    </row>
    <row r="6756">
      <c r="W6756" s="7" t="n"/>
      <c r="X6756" s="7" t="n"/>
      <c r="Z6756">
        <f>Z6755+IF(W6756="",0,IF(ISNA(MATCH(W6756,W$256:W6755,0)),1,0))</f>
        <v/>
      </c>
      <c r="AA6756">
        <f>IF(Z6756&gt;Z6755,Z6756,"")</f>
        <v/>
      </c>
      <c r="AB6756">
        <f>AB6755+IF(X6756="",0,IF(ISNA(MATCH(X6756,X$256:X6755,0)),1,0))</f>
        <v/>
      </c>
      <c r="AC6756">
        <f>IF(AB6756&gt;AB6755,AB6756,"")</f>
        <v/>
      </c>
    </row>
    <row r="6757">
      <c r="W6757" s="7" t="n"/>
      <c r="X6757" s="7" t="n"/>
      <c r="Z6757">
        <f>Z6756+IF(W6757="",0,IF(ISNA(MATCH(W6757,W$256:W6756,0)),1,0))</f>
        <v/>
      </c>
      <c r="AA6757">
        <f>IF(Z6757&gt;Z6756,Z6757,"")</f>
        <v/>
      </c>
      <c r="AB6757">
        <f>AB6756+IF(X6757="",0,IF(ISNA(MATCH(X6757,X$256:X6756,0)),1,0))</f>
        <v/>
      </c>
      <c r="AC6757">
        <f>IF(AB6757&gt;AB6756,AB6757,"")</f>
        <v/>
      </c>
    </row>
    <row r="6758">
      <c r="W6758" s="7" t="n"/>
      <c r="X6758" s="7" t="n"/>
      <c r="Z6758">
        <f>Z6757+IF(W6758="",0,IF(ISNA(MATCH(W6758,W$256:W6757,0)),1,0))</f>
        <v/>
      </c>
      <c r="AA6758">
        <f>IF(Z6758&gt;Z6757,Z6758,"")</f>
        <v/>
      </c>
      <c r="AB6758">
        <f>AB6757+IF(X6758="",0,IF(ISNA(MATCH(X6758,X$256:X6757,0)),1,0))</f>
        <v/>
      </c>
      <c r="AC6758">
        <f>IF(AB6758&gt;AB6757,AB6758,"")</f>
        <v/>
      </c>
    </row>
    <row r="6759">
      <c r="W6759" s="7" t="n"/>
      <c r="X6759" s="7" t="n"/>
      <c r="Z6759">
        <f>Z6758+IF(W6759="",0,IF(ISNA(MATCH(W6759,W$256:W6758,0)),1,0))</f>
        <v/>
      </c>
      <c r="AA6759">
        <f>IF(Z6759&gt;Z6758,Z6759,"")</f>
        <v/>
      </c>
      <c r="AB6759">
        <f>AB6758+IF(X6759="",0,IF(ISNA(MATCH(X6759,X$256:X6758,0)),1,0))</f>
        <v/>
      </c>
      <c r="AC6759">
        <f>IF(AB6759&gt;AB6758,AB6759,"")</f>
        <v/>
      </c>
    </row>
    <row r="6760">
      <c r="W6760" s="7" t="n"/>
      <c r="X6760" s="7" t="n"/>
      <c r="Z6760">
        <f>Z6759+IF(W6760="",0,IF(ISNA(MATCH(W6760,W$256:W6759,0)),1,0))</f>
        <v/>
      </c>
      <c r="AA6760">
        <f>IF(Z6760&gt;Z6759,Z6760,"")</f>
        <v/>
      </c>
      <c r="AB6760">
        <f>AB6759+IF(X6760="",0,IF(ISNA(MATCH(X6760,X$256:X6759,0)),1,0))</f>
        <v/>
      </c>
      <c r="AC6760">
        <f>IF(AB6760&gt;AB6759,AB6760,"")</f>
        <v/>
      </c>
    </row>
    <row r="6761">
      <c r="W6761" s="7" t="n"/>
      <c r="X6761" s="7" t="n"/>
      <c r="Z6761">
        <f>Z6760+IF(W6761="",0,IF(ISNA(MATCH(W6761,W$256:W6760,0)),1,0))</f>
        <v/>
      </c>
      <c r="AA6761">
        <f>IF(Z6761&gt;Z6760,Z6761,"")</f>
        <v/>
      </c>
      <c r="AB6761">
        <f>AB6760+IF(X6761="",0,IF(ISNA(MATCH(X6761,X$256:X6760,0)),1,0))</f>
        <v/>
      </c>
      <c r="AC6761">
        <f>IF(AB6761&gt;AB6760,AB6761,"")</f>
        <v/>
      </c>
    </row>
    <row r="6762">
      <c r="W6762" s="7" t="n"/>
      <c r="X6762" s="7" t="n"/>
      <c r="Z6762">
        <f>Z6761+IF(W6762="",0,IF(ISNA(MATCH(W6762,W$256:W6761,0)),1,0))</f>
        <v/>
      </c>
      <c r="AA6762">
        <f>IF(Z6762&gt;Z6761,Z6762,"")</f>
        <v/>
      </c>
      <c r="AB6762">
        <f>AB6761+IF(X6762="",0,IF(ISNA(MATCH(X6762,X$256:X6761,0)),1,0))</f>
        <v/>
      </c>
      <c r="AC6762">
        <f>IF(AB6762&gt;AB6761,AB6762,"")</f>
        <v/>
      </c>
    </row>
    <row r="6763">
      <c r="W6763" s="7" t="n"/>
      <c r="X6763" s="7" t="n"/>
      <c r="Z6763">
        <f>Z6762+IF(W6763="",0,IF(ISNA(MATCH(W6763,W$256:W6762,0)),1,0))</f>
        <v/>
      </c>
      <c r="AA6763">
        <f>IF(Z6763&gt;Z6762,Z6763,"")</f>
        <v/>
      </c>
      <c r="AB6763">
        <f>AB6762+IF(X6763="",0,IF(ISNA(MATCH(X6763,X$256:X6762,0)),1,0))</f>
        <v/>
      </c>
      <c r="AC6763">
        <f>IF(AB6763&gt;AB6762,AB6763,"")</f>
        <v/>
      </c>
    </row>
    <row r="6764">
      <c r="W6764" s="7" t="n"/>
      <c r="X6764" s="7" t="n"/>
      <c r="Z6764">
        <f>Z6763+IF(W6764="",0,IF(ISNA(MATCH(W6764,W$256:W6763,0)),1,0))</f>
        <v/>
      </c>
      <c r="AA6764">
        <f>IF(Z6764&gt;Z6763,Z6764,"")</f>
        <v/>
      </c>
      <c r="AB6764">
        <f>AB6763+IF(X6764="",0,IF(ISNA(MATCH(X6764,X$256:X6763,0)),1,0))</f>
        <v/>
      </c>
      <c r="AC6764">
        <f>IF(AB6764&gt;AB6763,AB6764,"")</f>
        <v/>
      </c>
    </row>
    <row r="6765">
      <c r="W6765" s="7" t="n"/>
      <c r="X6765" s="7" t="n"/>
      <c r="Z6765">
        <f>Z6764+IF(W6765="",0,IF(ISNA(MATCH(W6765,W$256:W6764,0)),1,0))</f>
        <v/>
      </c>
      <c r="AA6765">
        <f>IF(Z6765&gt;Z6764,Z6765,"")</f>
        <v/>
      </c>
      <c r="AB6765">
        <f>AB6764+IF(X6765="",0,IF(ISNA(MATCH(X6765,X$256:X6764,0)),1,0))</f>
        <v/>
      </c>
      <c r="AC6765">
        <f>IF(AB6765&gt;AB6764,AB6765,"")</f>
        <v/>
      </c>
    </row>
    <row r="6766">
      <c r="W6766" s="7" t="n"/>
      <c r="X6766" s="7" t="n"/>
      <c r="Z6766">
        <f>Z6765+IF(W6766="",0,IF(ISNA(MATCH(W6766,W$256:W6765,0)),1,0))</f>
        <v/>
      </c>
      <c r="AA6766">
        <f>IF(Z6766&gt;Z6765,Z6766,"")</f>
        <v/>
      </c>
      <c r="AB6766">
        <f>AB6765+IF(X6766="",0,IF(ISNA(MATCH(X6766,X$256:X6765,0)),1,0))</f>
        <v/>
      </c>
      <c r="AC6766">
        <f>IF(AB6766&gt;AB6765,AB6766,"")</f>
        <v/>
      </c>
    </row>
    <row r="6767">
      <c r="W6767" s="7" t="n"/>
      <c r="X6767" s="7" t="n"/>
      <c r="Z6767">
        <f>Z6766+IF(W6767="",0,IF(ISNA(MATCH(W6767,W$256:W6766,0)),1,0))</f>
        <v/>
      </c>
      <c r="AA6767">
        <f>IF(Z6767&gt;Z6766,Z6767,"")</f>
        <v/>
      </c>
      <c r="AB6767">
        <f>AB6766+IF(X6767="",0,IF(ISNA(MATCH(X6767,X$256:X6766,0)),1,0))</f>
        <v/>
      </c>
      <c r="AC6767">
        <f>IF(AB6767&gt;AB6766,AB6767,"")</f>
        <v/>
      </c>
    </row>
    <row r="6768">
      <c r="W6768" s="7" t="n"/>
      <c r="X6768" s="7" t="n"/>
      <c r="Z6768">
        <f>Z6767+IF(W6768="",0,IF(ISNA(MATCH(W6768,W$256:W6767,0)),1,0))</f>
        <v/>
      </c>
      <c r="AA6768">
        <f>IF(Z6768&gt;Z6767,Z6768,"")</f>
        <v/>
      </c>
      <c r="AB6768">
        <f>AB6767+IF(X6768="",0,IF(ISNA(MATCH(X6768,X$256:X6767,0)),1,0))</f>
        <v/>
      </c>
      <c r="AC6768">
        <f>IF(AB6768&gt;AB6767,AB6768,"")</f>
        <v/>
      </c>
    </row>
    <row r="6769">
      <c r="W6769" s="7" t="n"/>
      <c r="X6769" s="7" t="n"/>
      <c r="Z6769">
        <f>Z6768+IF(W6769="",0,IF(ISNA(MATCH(W6769,W$256:W6768,0)),1,0))</f>
        <v/>
      </c>
      <c r="AA6769">
        <f>IF(Z6769&gt;Z6768,Z6769,"")</f>
        <v/>
      </c>
      <c r="AB6769">
        <f>AB6768+IF(X6769="",0,IF(ISNA(MATCH(X6769,X$256:X6768,0)),1,0))</f>
        <v/>
      </c>
      <c r="AC6769">
        <f>IF(AB6769&gt;AB6768,AB6769,"")</f>
        <v/>
      </c>
    </row>
    <row r="6770">
      <c r="W6770" s="7" t="n"/>
      <c r="X6770" s="7" t="n"/>
      <c r="Z6770">
        <f>Z6769+IF(W6770="",0,IF(ISNA(MATCH(W6770,W$256:W6769,0)),1,0))</f>
        <v/>
      </c>
      <c r="AA6770">
        <f>IF(Z6770&gt;Z6769,Z6770,"")</f>
        <v/>
      </c>
      <c r="AB6770">
        <f>AB6769+IF(X6770="",0,IF(ISNA(MATCH(X6770,X$256:X6769,0)),1,0))</f>
        <v/>
      </c>
      <c r="AC6770">
        <f>IF(AB6770&gt;AB6769,AB6770,"")</f>
        <v/>
      </c>
    </row>
    <row r="6771">
      <c r="W6771" s="7" t="n"/>
      <c r="X6771" s="7" t="n"/>
      <c r="Z6771">
        <f>Z6770+IF(W6771="",0,IF(ISNA(MATCH(W6771,W$256:W6770,0)),1,0))</f>
        <v/>
      </c>
      <c r="AA6771">
        <f>IF(Z6771&gt;Z6770,Z6771,"")</f>
        <v/>
      </c>
      <c r="AB6771">
        <f>AB6770+IF(X6771="",0,IF(ISNA(MATCH(X6771,X$256:X6770,0)),1,0))</f>
        <v/>
      </c>
      <c r="AC6771">
        <f>IF(AB6771&gt;AB6770,AB6771,"")</f>
        <v/>
      </c>
    </row>
    <row r="6772">
      <c r="W6772" s="7" t="n"/>
      <c r="X6772" s="7" t="n"/>
      <c r="Z6772">
        <f>Z6771+IF(W6772="",0,IF(ISNA(MATCH(W6772,W$256:W6771,0)),1,0))</f>
        <v/>
      </c>
      <c r="AA6772">
        <f>IF(Z6772&gt;Z6771,Z6772,"")</f>
        <v/>
      </c>
      <c r="AB6772">
        <f>AB6771+IF(X6772="",0,IF(ISNA(MATCH(X6772,X$256:X6771,0)),1,0))</f>
        <v/>
      </c>
      <c r="AC6772">
        <f>IF(AB6772&gt;AB6771,AB6772,"")</f>
        <v/>
      </c>
    </row>
    <row r="6773">
      <c r="W6773" s="7" t="n"/>
      <c r="X6773" s="7" t="n"/>
      <c r="Z6773">
        <f>Z6772+IF(W6773="",0,IF(ISNA(MATCH(W6773,W$256:W6772,0)),1,0))</f>
        <v/>
      </c>
      <c r="AA6773">
        <f>IF(Z6773&gt;Z6772,Z6773,"")</f>
        <v/>
      </c>
      <c r="AB6773">
        <f>AB6772+IF(X6773="",0,IF(ISNA(MATCH(X6773,X$256:X6772,0)),1,0))</f>
        <v/>
      </c>
      <c r="AC6773">
        <f>IF(AB6773&gt;AB6772,AB6773,"")</f>
        <v/>
      </c>
    </row>
    <row r="6774">
      <c r="W6774" s="7" t="n"/>
      <c r="X6774" s="7" t="n"/>
      <c r="Z6774">
        <f>Z6773+IF(W6774="",0,IF(ISNA(MATCH(W6774,W$256:W6773,0)),1,0))</f>
        <v/>
      </c>
      <c r="AA6774">
        <f>IF(Z6774&gt;Z6773,Z6774,"")</f>
        <v/>
      </c>
      <c r="AB6774">
        <f>AB6773+IF(X6774="",0,IF(ISNA(MATCH(X6774,X$256:X6773,0)),1,0))</f>
        <v/>
      </c>
      <c r="AC6774">
        <f>IF(AB6774&gt;AB6773,AB6774,"")</f>
        <v/>
      </c>
    </row>
    <row r="6775">
      <c r="W6775" s="7" t="n"/>
      <c r="X6775" s="7" t="n"/>
      <c r="Z6775">
        <f>Z6774+IF(W6775="",0,IF(ISNA(MATCH(W6775,W$256:W6774,0)),1,0))</f>
        <v/>
      </c>
      <c r="AA6775">
        <f>IF(Z6775&gt;Z6774,Z6775,"")</f>
        <v/>
      </c>
      <c r="AB6775">
        <f>AB6774+IF(X6775="",0,IF(ISNA(MATCH(X6775,X$256:X6774,0)),1,0))</f>
        <v/>
      </c>
      <c r="AC6775">
        <f>IF(AB6775&gt;AB6774,AB6775,"")</f>
        <v/>
      </c>
    </row>
    <row r="6776">
      <c r="W6776" s="7" t="n"/>
      <c r="X6776" s="7" t="n"/>
      <c r="Z6776">
        <f>Z6775+IF(W6776="",0,IF(ISNA(MATCH(W6776,W$256:W6775,0)),1,0))</f>
        <v/>
      </c>
      <c r="AA6776">
        <f>IF(Z6776&gt;Z6775,Z6776,"")</f>
        <v/>
      </c>
      <c r="AB6776">
        <f>AB6775+IF(X6776="",0,IF(ISNA(MATCH(X6776,X$256:X6775,0)),1,0))</f>
        <v/>
      </c>
      <c r="AC6776">
        <f>IF(AB6776&gt;AB6775,AB6776,"")</f>
        <v/>
      </c>
    </row>
    <row r="6777">
      <c r="W6777" s="7" t="n"/>
      <c r="X6777" s="7" t="n"/>
      <c r="Z6777">
        <f>Z6776+IF(W6777="",0,IF(ISNA(MATCH(W6777,W$256:W6776,0)),1,0))</f>
        <v/>
      </c>
      <c r="AA6777">
        <f>IF(Z6777&gt;Z6776,Z6777,"")</f>
        <v/>
      </c>
      <c r="AB6777">
        <f>AB6776+IF(X6777="",0,IF(ISNA(MATCH(X6777,X$256:X6776,0)),1,0))</f>
        <v/>
      </c>
      <c r="AC6777">
        <f>IF(AB6777&gt;AB6776,AB6777,"")</f>
        <v/>
      </c>
    </row>
    <row r="6778">
      <c r="W6778" s="7" t="n"/>
      <c r="X6778" s="7" t="n"/>
      <c r="Z6778">
        <f>Z6777+IF(W6778="",0,IF(ISNA(MATCH(W6778,W$256:W6777,0)),1,0))</f>
        <v/>
      </c>
      <c r="AA6778">
        <f>IF(Z6778&gt;Z6777,Z6778,"")</f>
        <v/>
      </c>
      <c r="AB6778">
        <f>AB6777+IF(X6778="",0,IF(ISNA(MATCH(X6778,X$256:X6777,0)),1,0))</f>
        <v/>
      </c>
      <c r="AC6778">
        <f>IF(AB6778&gt;AB6777,AB6778,"")</f>
        <v/>
      </c>
    </row>
    <row r="6779">
      <c r="W6779" s="7" t="n"/>
      <c r="X6779" s="7" t="n"/>
      <c r="Z6779">
        <f>Z6778+IF(W6779="",0,IF(ISNA(MATCH(W6779,W$256:W6778,0)),1,0))</f>
        <v/>
      </c>
      <c r="AA6779">
        <f>IF(Z6779&gt;Z6778,Z6779,"")</f>
        <v/>
      </c>
      <c r="AB6779">
        <f>AB6778+IF(X6779="",0,IF(ISNA(MATCH(X6779,X$256:X6778,0)),1,0))</f>
        <v/>
      </c>
      <c r="AC6779">
        <f>IF(AB6779&gt;AB6778,AB6779,"")</f>
        <v/>
      </c>
    </row>
    <row r="6780">
      <c r="W6780" s="7" t="n"/>
      <c r="X6780" s="7" t="n"/>
      <c r="Z6780">
        <f>Z6779+IF(W6780="",0,IF(ISNA(MATCH(W6780,W$256:W6779,0)),1,0))</f>
        <v/>
      </c>
      <c r="AA6780">
        <f>IF(Z6780&gt;Z6779,Z6780,"")</f>
        <v/>
      </c>
      <c r="AB6780">
        <f>AB6779+IF(X6780="",0,IF(ISNA(MATCH(X6780,X$256:X6779,0)),1,0))</f>
        <v/>
      </c>
      <c r="AC6780">
        <f>IF(AB6780&gt;AB6779,AB6780,"")</f>
        <v/>
      </c>
    </row>
    <row r="6781">
      <c r="W6781" s="7" t="n"/>
      <c r="X6781" s="7" t="n"/>
      <c r="Z6781">
        <f>Z6780+IF(W6781="",0,IF(ISNA(MATCH(W6781,W$256:W6780,0)),1,0))</f>
        <v/>
      </c>
      <c r="AA6781">
        <f>IF(Z6781&gt;Z6780,Z6781,"")</f>
        <v/>
      </c>
      <c r="AB6781">
        <f>AB6780+IF(X6781="",0,IF(ISNA(MATCH(X6781,X$256:X6780,0)),1,0))</f>
        <v/>
      </c>
      <c r="AC6781">
        <f>IF(AB6781&gt;AB6780,AB6781,"")</f>
        <v/>
      </c>
    </row>
    <row r="6782">
      <c r="W6782" s="7" t="n"/>
      <c r="X6782" s="7" t="n"/>
      <c r="Z6782">
        <f>Z6781+IF(W6782="",0,IF(ISNA(MATCH(W6782,W$256:W6781,0)),1,0))</f>
        <v/>
      </c>
      <c r="AA6782">
        <f>IF(Z6782&gt;Z6781,Z6782,"")</f>
        <v/>
      </c>
      <c r="AB6782">
        <f>AB6781+IF(X6782="",0,IF(ISNA(MATCH(X6782,X$256:X6781,0)),1,0))</f>
        <v/>
      </c>
      <c r="AC6782">
        <f>IF(AB6782&gt;AB6781,AB6782,"")</f>
        <v/>
      </c>
    </row>
    <row r="6783">
      <c r="W6783" s="7" t="n"/>
      <c r="X6783" s="7" t="n"/>
      <c r="Z6783">
        <f>Z6782+IF(W6783="",0,IF(ISNA(MATCH(W6783,W$256:W6782,0)),1,0))</f>
        <v/>
      </c>
      <c r="AA6783">
        <f>IF(Z6783&gt;Z6782,Z6783,"")</f>
        <v/>
      </c>
      <c r="AB6783">
        <f>AB6782+IF(X6783="",0,IF(ISNA(MATCH(X6783,X$256:X6782,0)),1,0))</f>
        <v/>
      </c>
      <c r="AC6783">
        <f>IF(AB6783&gt;AB6782,AB6783,"")</f>
        <v/>
      </c>
    </row>
    <row r="6784">
      <c r="W6784" s="7" t="n"/>
      <c r="X6784" s="7" t="n"/>
      <c r="Z6784">
        <f>Z6783+IF(W6784="",0,IF(ISNA(MATCH(W6784,W$256:W6783,0)),1,0))</f>
        <v/>
      </c>
      <c r="AA6784">
        <f>IF(Z6784&gt;Z6783,Z6784,"")</f>
        <v/>
      </c>
      <c r="AB6784">
        <f>AB6783+IF(X6784="",0,IF(ISNA(MATCH(X6784,X$256:X6783,0)),1,0))</f>
        <v/>
      </c>
      <c r="AC6784">
        <f>IF(AB6784&gt;AB6783,AB6784,"")</f>
        <v/>
      </c>
    </row>
    <row r="6785">
      <c r="W6785" s="7" t="n"/>
      <c r="X6785" s="7" t="n"/>
      <c r="Z6785">
        <f>Z6784+IF(W6785="",0,IF(ISNA(MATCH(W6785,W$256:W6784,0)),1,0))</f>
        <v/>
      </c>
      <c r="AA6785">
        <f>IF(Z6785&gt;Z6784,Z6785,"")</f>
        <v/>
      </c>
      <c r="AB6785">
        <f>AB6784+IF(X6785="",0,IF(ISNA(MATCH(X6785,X$256:X6784,0)),1,0))</f>
        <v/>
      </c>
      <c r="AC6785">
        <f>IF(AB6785&gt;AB6784,AB6785,"")</f>
        <v/>
      </c>
    </row>
    <row r="6786">
      <c r="W6786" s="7" t="n"/>
      <c r="X6786" s="7" t="n"/>
      <c r="Z6786">
        <f>Z6785+IF(W6786="",0,IF(ISNA(MATCH(W6786,W$256:W6785,0)),1,0))</f>
        <v/>
      </c>
      <c r="AA6786">
        <f>IF(Z6786&gt;Z6785,Z6786,"")</f>
        <v/>
      </c>
      <c r="AB6786">
        <f>AB6785+IF(X6786="",0,IF(ISNA(MATCH(X6786,X$256:X6785,0)),1,0))</f>
        <v/>
      </c>
      <c r="AC6786">
        <f>IF(AB6786&gt;AB6785,AB6786,"")</f>
        <v/>
      </c>
    </row>
    <row r="6787">
      <c r="W6787" s="7" t="n"/>
      <c r="X6787" s="7" t="n"/>
      <c r="Z6787">
        <f>Z6786+IF(W6787="",0,IF(ISNA(MATCH(W6787,W$256:W6786,0)),1,0))</f>
        <v/>
      </c>
      <c r="AA6787">
        <f>IF(Z6787&gt;Z6786,Z6787,"")</f>
        <v/>
      </c>
      <c r="AB6787">
        <f>AB6786+IF(X6787="",0,IF(ISNA(MATCH(X6787,X$256:X6786,0)),1,0))</f>
        <v/>
      </c>
      <c r="AC6787">
        <f>IF(AB6787&gt;AB6786,AB6787,"")</f>
        <v/>
      </c>
    </row>
    <row r="6788">
      <c r="W6788" s="7" t="n"/>
      <c r="X6788" s="7" t="n"/>
      <c r="Z6788">
        <f>Z6787+IF(W6788="",0,IF(ISNA(MATCH(W6788,W$256:W6787,0)),1,0))</f>
        <v/>
      </c>
      <c r="AA6788">
        <f>IF(Z6788&gt;Z6787,Z6788,"")</f>
        <v/>
      </c>
      <c r="AB6788">
        <f>AB6787+IF(X6788="",0,IF(ISNA(MATCH(X6788,X$256:X6787,0)),1,0))</f>
        <v/>
      </c>
      <c r="AC6788">
        <f>IF(AB6788&gt;AB6787,AB6788,"")</f>
        <v/>
      </c>
    </row>
    <row r="6789">
      <c r="W6789" s="7" t="n"/>
      <c r="X6789" s="7" t="n"/>
      <c r="Z6789">
        <f>Z6788+IF(W6789="",0,IF(ISNA(MATCH(W6789,W$256:W6788,0)),1,0))</f>
        <v/>
      </c>
      <c r="AA6789">
        <f>IF(Z6789&gt;Z6788,Z6789,"")</f>
        <v/>
      </c>
      <c r="AB6789">
        <f>AB6788+IF(X6789="",0,IF(ISNA(MATCH(X6789,X$256:X6788,0)),1,0))</f>
        <v/>
      </c>
      <c r="AC6789">
        <f>IF(AB6789&gt;AB6788,AB6789,"")</f>
        <v/>
      </c>
    </row>
    <row r="6790">
      <c r="W6790" s="7" t="n"/>
      <c r="X6790" s="7" t="n"/>
      <c r="Z6790">
        <f>Z6789+IF(W6790="",0,IF(ISNA(MATCH(W6790,W$256:W6789,0)),1,0))</f>
        <v/>
      </c>
      <c r="AA6790">
        <f>IF(Z6790&gt;Z6789,Z6790,"")</f>
        <v/>
      </c>
      <c r="AB6790">
        <f>AB6789+IF(X6790="",0,IF(ISNA(MATCH(X6790,X$256:X6789,0)),1,0))</f>
        <v/>
      </c>
      <c r="AC6790">
        <f>IF(AB6790&gt;AB6789,AB6790,"")</f>
        <v/>
      </c>
    </row>
    <row r="6791">
      <c r="W6791" s="7" t="n"/>
      <c r="X6791" s="7" t="n"/>
      <c r="Z6791">
        <f>Z6790+IF(W6791="",0,IF(ISNA(MATCH(W6791,W$256:W6790,0)),1,0))</f>
        <v/>
      </c>
      <c r="AA6791">
        <f>IF(Z6791&gt;Z6790,Z6791,"")</f>
        <v/>
      </c>
      <c r="AB6791">
        <f>AB6790+IF(X6791="",0,IF(ISNA(MATCH(X6791,X$256:X6790,0)),1,0))</f>
        <v/>
      </c>
      <c r="AC6791">
        <f>IF(AB6791&gt;AB6790,AB6791,"")</f>
        <v/>
      </c>
    </row>
    <row r="6792">
      <c r="W6792" s="7" t="n"/>
      <c r="X6792" s="7" t="n"/>
      <c r="Z6792">
        <f>Z6791+IF(W6792="",0,IF(ISNA(MATCH(W6792,W$256:W6791,0)),1,0))</f>
        <v/>
      </c>
      <c r="AA6792">
        <f>IF(Z6792&gt;Z6791,Z6792,"")</f>
        <v/>
      </c>
      <c r="AB6792">
        <f>AB6791+IF(X6792="",0,IF(ISNA(MATCH(X6792,X$256:X6791,0)),1,0))</f>
        <v/>
      </c>
      <c r="AC6792">
        <f>IF(AB6792&gt;AB6791,AB6792,"")</f>
        <v/>
      </c>
    </row>
    <row r="6793">
      <c r="W6793" s="7" t="n"/>
      <c r="X6793" s="7" t="n"/>
      <c r="Z6793">
        <f>Z6792+IF(W6793="",0,IF(ISNA(MATCH(W6793,W$256:W6792,0)),1,0))</f>
        <v/>
      </c>
      <c r="AA6793">
        <f>IF(Z6793&gt;Z6792,Z6793,"")</f>
        <v/>
      </c>
      <c r="AB6793">
        <f>AB6792+IF(X6793="",0,IF(ISNA(MATCH(X6793,X$256:X6792,0)),1,0))</f>
        <v/>
      </c>
      <c r="AC6793">
        <f>IF(AB6793&gt;AB6792,AB6793,"")</f>
        <v/>
      </c>
    </row>
    <row r="6794">
      <c r="W6794" s="7" t="n"/>
      <c r="X6794" s="7" t="n"/>
      <c r="Z6794">
        <f>Z6793+IF(W6794="",0,IF(ISNA(MATCH(W6794,W$256:W6793,0)),1,0))</f>
        <v/>
      </c>
      <c r="AA6794">
        <f>IF(Z6794&gt;Z6793,Z6794,"")</f>
        <v/>
      </c>
      <c r="AB6794">
        <f>AB6793+IF(X6794="",0,IF(ISNA(MATCH(X6794,X$256:X6793,0)),1,0))</f>
        <v/>
      </c>
      <c r="AC6794">
        <f>IF(AB6794&gt;AB6793,AB6794,"")</f>
        <v/>
      </c>
    </row>
    <row r="6795">
      <c r="W6795" s="7" t="n"/>
      <c r="X6795" s="7" t="n"/>
      <c r="Z6795">
        <f>Z6794+IF(W6795="",0,IF(ISNA(MATCH(W6795,W$256:W6794,0)),1,0))</f>
        <v/>
      </c>
      <c r="AA6795">
        <f>IF(Z6795&gt;Z6794,Z6795,"")</f>
        <v/>
      </c>
      <c r="AB6795">
        <f>AB6794+IF(X6795="",0,IF(ISNA(MATCH(X6795,X$256:X6794,0)),1,0))</f>
        <v/>
      </c>
      <c r="AC6795">
        <f>IF(AB6795&gt;AB6794,AB6795,"")</f>
        <v/>
      </c>
    </row>
    <row r="6796">
      <c r="W6796" s="7" t="n"/>
      <c r="X6796" s="7" t="n"/>
      <c r="Z6796">
        <f>Z6795+IF(W6796="",0,IF(ISNA(MATCH(W6796,W$256:W6795,0)),1,0))</f>
        <v/>
      </c>
      <c r="AA6796">
        <f>IF(Z6796&gt;Z6795,Z6796,"")</f>
        <v/>
      </c>
      <c r="AB6796">
        <f>AB6795+IF(X6796="",0,IF(ISNA(MATCH(X6796,X$256:X6795,0)),1,0))</f>
        <v/>
      </c>
      <c r="AC6796">
        <f>IF(AB6796&gt;AB6795,AB6796,"")</f>
        <v/>
      </c>
    </row>
    <row r="6797">
      <c r="W6797" s="7" t="n"/>
      <c r="X6797" s="7" t="n"/>
      <c r="Z6797">
        <f>Z6796+IF(W6797="",0,IF(ISNA(MATCH(W6797,W$256:W6796,0)),1,0))</f>
        <v/>
      </c>
      <c r="AA6797">
        <f>IF(Z6797&gt;Z6796,Z6797,"")</f>
        <v/>
      </c>
      <c r="AB6797">
        <f>AB6796+IF(X6797="",0,IF(ISNA(MATCH(X6797,X$256:X6796,0)),1,0))</f>
        <v/>
      </c>
      <c r="AC6797">
        <f>IF(AB6797&gt;AB6796,AB6797,"")</f>
        <v/>
      </c>
    </row>
    <row r="6798">
      <c r="W6798" s="7" t="n"/>
      <c r="X6798" s="7" t="n"/>
      <c r="Z6798">
        <f>Z6797+IF(W6798="",0,IF(ISNA(MATCH(W6798,W$256:W6797,0)),1,0))</f>
        <v/>
      </c>
      <c r="AA6798">
        <f>IF(Z6798&gt;Z6797,Z6798,"")</f>
        <v/>
      </c>
      <c r="AB6798">
        <f>AB6797+IF(X6798="",0,IF(ISNA(MATCH(X6798,X$256:X6797,0)),1,0))</f>
        <v/>
      </c>
      <c r="AC6798">
        <f>IF(AB6798&gt;AB6797,AB6798,"")</f>
        <v/>
      </c>
    </row>
    <row r="6799">
      <c r="W6799" s="7" t="n"/>
      <c r="X6799" s="7" t="n"/>
      <c r="Z6799">
        <f>Z6798+IF(W6799="",0,IF(ISNA(MATCH(W6799,W$256:W6798,0)),1,0))</f>
        <v/>
      </c>
      <c r="AA6799">
        <f>IF(Z6799&gt;Z6798,Z6799,"")</f>
        <v/>
      </c>
      <c r="AB6799">
        <f>AB6798+IF(X6799="",0,IF(ISNA(MATCH(X6799,X$256:X6798,0)),1,0))</f>
        <v/>
      </c>
      <c r="AC6799">
        <f>IF(AB6799&gt;AB6798,AB6799,"")</f>
        <v/>
      </c>
    </row>
    <row r="6800">
      <c r="W6800" s="7" t="n"/>
      <c r="X6800" s="7" t="n"/>
      <c r="Z6800">
        <f>Z6799+IF(W6800="",0,IF(ISNA(MATCH(W6800,W$256:W6799,0)),1,0))</f>
        <v/>
      </c>
      <c r="AA6800">
        <f>IF(Z6800&gt;Z6799,Z6800,"")</f>
        <v/>
      </c>
      <c r="AB6800">
        <f>AB6799+IF(X6800="",0,IF(ISNA(MATCH(X6800,X$256:X6799,0)),1,0))</f>
        <v/>
      </c>
      <c r="AC6800">
        <f>IF(AB6800&gt;AB6799,AB6800,"")</f>
        <v/>
      </c>
    </row>
    <row r="6801">
      <c r="W6801" s="7" t="n"/>
      <c r="X6801" s="7" t="n"/>
      <c r="Z6801">
        <f>Z6800+IF(W6801="",0,IF(ISNA(MATCH(W6801,W$256:W6800,0)),1,0))</f>
        <v/>
      </c>
      <c r="AA6801">
        <f>IF(Z6801&gt;Z6800,Z6801,"")</f>
        <v/>
      </c>
      <c r="AB6801">
        <f>AB6800+IF(X6801="",0,IF(ISNA(MATCH(X6801,X$256:X6800,0)),1,0))</f>
        <v/>
      </c>
      <c r="AC6801">
        <f>IF(AB6801&gt;AB6800,AB6801,"")</f>
        <v/>
      </c>
    </row>
    <row r="6802">
      <c r="W6802" s="7" t="n"/>
      <c r="X6802" s="7" t="n"/>
      <c r="Z6802">
        <f>Z6801+IF(W6802="",0,IF(ISNA(MATCH(W6802,W$256:W6801,0)),1,0))</f>
        <v/>
      </c>
      <c r="AA6802">
        <f>IF(Z6802&gt;Z6801,Z6802,"")</f>
        <v/>
      </c>
      <c r="AB6802">
        <f>AB6801+IF(X6802="",0,IF(ISNA(MATCH(X6802,X$256:X6801,0)),1,0))</f>
        <v/>
      </c>
      <c r="AC6802">
        <f>IF(AB6802&gt;AB6801,AB6802,"")</f>
        <v/>
      </c>
    </row>
    <row r="6803">
      <c r="W6803" s="7" t="n"/>
      <c r="X6803" s="7" t="n"/>
      <c r="Z6803">
        <f>Z6802+IF(W6803="",0,IF(ISNA(MATCH(W6803,W$256:W6802,0)),1,0))</f>
        <v/>
      </c>
      <c r="AA6803">
        <f>IF(Z6803&gt;Z6802,Z6803,"")</f>
        <v/>
      </c>
      <c r="AB6803">
        <f>AB6802+IF(X6803="",0,IF(ISNA(MATCH(X6803,X$256:X6802,0)),1,0))</f>
        <v/>
      </c>
      <c r="AC6803">
        <f>IF(AB6803&gt;AB6802,AB6803,"")</f>
        <v/>
      </c>
    </row>
    <row r="6804">
      <c r="W6804" s="7" t="n"/>
      <c r="X6804" s="7" t="n"/>
      <c r="Z6804">
        <f>Z6803+IF(W6804="",0,IF(ISNA(MATCH(W6804,W$256:W6803,0)),1,0))</f>
        <v/>
      </c>
      <c r="AA6804">
        <f>IF(Z6804&gt;Z6803,Z6804,"")</f>
        <v/>
      </c>
      <c r="AB6804">
        <f>AB6803+IF(X6804="",0,IF(ISNA(MATCH(X6804,X$256:X6803,0)),1,0))</f>
        <v/>
      </c>
      <c r="AC6804">
        <f>IF(AB6804&gt;AB6803,AB6804,"")</f>
        <v/>
      </c>
    </row>
    <row r="6805">
      <c r="W6805" s="7" t="n"/>
      <c r="X6805" s="7" t="n"/>
      <c r="Z6805">
        <f>Z6804+IF(W6805="",0,IF(ISNA(MATCH(W6805,W$256:W6804,0)),1,0))</f>
        <v/>
      </c>
      <c r="AA6805">
        <f>IF(Z6805&gt;Z6804,Z6805,"")</f>
        <v/>
      </c>
      <c r="AB6805">
        <f>AB6804+IF(X6805="",0,IF(ISNA(MATCH(X6805,X$256:X6804,0)),1,0))</f>
        <v/>
      </c>
      <c r="AC6805">
        <f>IF(AB6805&gt;AB6804,AB6805,"")</f>
        <v/>
      </c>
    </row>
    <row r="6806">
      <c r="W6806" s="7" t="n"/>
      <c r="X6806" s="7" t="n"/>
      <c r="Z6806">
        <f>Z6805+IF(W6806="",0,IF(ISNA(MATCH(W6806,W$256:W6805,0)),1,0))</f>
        <v/>
      </c>
      <c r="AA6806">
        <f>IF(Z6806&gt;Z6805,Z6806,"")</f>
        <v/>
      </c>
      <c r="AB6806">
        <f>AB6805+IF(X6806="",0,IF(ISNA(MATCH(X6806,X$256:X6805,0)),1,0))</f>
        <v/>
      </c>
      <c r="AC6806">
        <f>IF(AB6806&gt;AB6805,AB6806,"")</f>
        <v/>
      </c>
    </row>
    <row r="6807">
      <c r="W6807" s="7" t="n"/>
      <c r="X6807" s="7" t="n"/>
      <c r="Z6807">
        <f>Z6806+IF(W6807="",0,IF(ISNA(MATCH(W6807,W$256:W6806,0)),1,0))</f>
        <v/>
      </c>
      <c r="AA6807">
        <f>IF(Z6807&gt;Z6806,Z6807,"")</f>
        <v/>
      </c>
      <c r="AB6807">
        <f>AB6806+IF(X6807="",0,IF(ISNA(MATCH(X6807,X$256:X6806,0)),1,0))</f>
        <v/>
      </c>
      <c r="AC6807">
        <f>IF(AB6807&gt;AB6806,AB6807,"")</f>
        <v/>
      </c>
    </row>
    <row r="6808">
      <c r="W6808" s="7" t="n"/>
      <c r="X6808" s="7" t="n"/>
      <c r="Z6808">
        <f>Z6807+IF(W6808="",0,IF(ISNA(MATCH(W6808,W$256:W6807,0)),1,0))</f>
        <v/>
      </c>
      <c r="AA6808">
        <f>IF(Z6808&gt;Z6807,Z6808,"")</f>
        <v/>
      </c>
      <c r="AB6808">
        <f>AB6807+IF(X6808="",0,IF(ISNA(MATCH(X6808,X$256:X6807,0)),1,0))</f>
        <v/>
      </c>
      <c r="AC6808">
        <f>IF(AB6808&gt;AB6807,AB6808,"")</f>
        <v/>
      </c>
    </row>
    <row r="6809">
      <c r="W6809" s="7" t="n"/>
      <c r="X6809" s="7" t="n"/>
      <c r="Z6809">
        <f>Z6808+IF(W6809="",0,IF(ISNA(MATCH(W6809,W$256:W6808,0)),1,0))</f>
        <v/>
      </c>
      <c r="AA6809">
        <f>IF(Z6809&gt;Z6808,Z6809,"")</f>
        <v/>
      </c>
      <c r="AB6809">
        <f>AB6808+IF(X6809="",0,IF(ISNA(MATCH(X6809,X$256:X6808,0)),1,0))</f>
        <v/>
      </c>
      <c r="AC6809">
        <f>IF(AB6809&gt;AB6808,AB6809,"")</f>
        <v/>
      </c>
    </row>
    <row r="6810">
      <c r="W6810" s="7" t="n"/>
      <c r="X6810" s="7" t="n"/>
      <c r="Z6810">
        <f>Z6809+IF(W6810="",0,IF(ISNA(MATCH(W6810,W$256:W6809,0)),1,0))</f>
        <v/>
      </c>
      <c r="AA6810">
        <f>IF(Z6810&gt;Z6809,Z6810,"")</f>
        <v/>
      </c>
      <c r="AB6810">
        <f>AB6809+IF(X6810="",0,IF(ISNA(MATCH(X6810,X$256:X6809,0)),1,0))</f>
        <v/>
      </c>
      <c r="AC6810">
        <f>IF(AB6810&gt;AB6809,AB6810,"")</f>
        <v/>
      </c>
    </row>
    <row r="6811">
      <c r="W6811" s="7" t="n"/>
      <c r="X6811" s="7" t="n"/>
      <c r="Z6811">
        <f>Z6810+IF(W6811="",0,IF(ISNA(MATCH(W6811,W$256:W6810,0)),1,0))</f>
        <v/>
      </c>
      <c r="AA6811">
        <f>IF(Z6811&gt;Z6810,Z6811,"")</f>
        <v/>
      </c>
      <c r="AB6811">
        <f>AB6810+IF(X6811="",0,IF(ISNA(MATCH(X6811,X$256:X6810,0)),1,0))</f>
        <v/>
      </c>
      <c r="AC6811">
        <f>IF(AB6811&gt;AB6810,AB6811,"")</f>
        <v/>
      </c>
    </row>
    <row r="6812">
      <c r="W6812" s="7" t="n"/>
      <c r="X6812" s="7" t="n"/>
      <c r="Z6812">
        <f>Z6811+IF(W6812="",0,IF(ISNA(MATCH(W6812,W$256:W6811,0)),1,0))</f>
        <v/>
      </c>
      <c r="AA6812">
        <f>IF(Z6812&gt;Z6811,Z6812,"")</f>
        <v/>
      </c>
      <c r="AB6812">
        <f>AB6811+IF(X6812="",0,IF(ISNA(MATCH(X6812,X$256:X6811,0)),1,0))</f>
        <v/>
      </c>
      <c r="AC6812">
        <f>IF(AB6812&gt;AB6811,AB6812,"")</f>
        <v/>
      </c>
    </row>
    <row r="6813">
      <c r="W6813" s="7" t="n"/>
      <c r="X6813" s="7" t="n"/>
      <c r="Z6813">
        <f>Z6812+IF(W6813="",0,IF(ISNA(MATCH(W6813,W$256:W6812,0)),1,0))</f>
        <v/>
      </c>
      <c r="AA6813">
        <f>IF(Z6813&gt;Z6812,Z6813,"")</f>
        <v/>
      </c>
      <c r="AB6813">
        <f>AB6812+IF(X6813="",0,IF(ISNA(MATCH(X6813,X$256:X6812,0)),1,0))</f>
        <v/>
      </c>
      <c r="AC6813">
        <f>IF(AB6813&gt;AB6812,AB6813,"")</f>
        <v/>
      </c>
    </row>
    <row r="6814">
      <c r="W6814" s="7" t="n"/>
      <c r="X6814" s="7" t="n"/>
      <c r="Z6814">
        <f>Z6813+IF(W6814="",0,IF(ISNA(MATCH(W6814,W$256:W6813,0)),1,0))</f>
        <v/>
      </c>
      <c r="AA6814">
        <f>IF(Z6814&gt;Z6813,Z6814,"")</f>
        <v/>
      </c>
      <c r="AB6814">
        <f>AB6813+IF(X6814="",0,IF(ISNA(MATCH(X6814,X$256:X6813,0)),1,0))</f>
        <v/>
      </c>
      <c r="AC6814">
        <f>IF(AB6814&gt;AB6813,AB6814,"")</f>
        <v/>
      </c>
    </row>
    <row r="6815">
      <c r="W6815" s="7" t="n"/>
      <c r="X6815" s="7" t="n"/>
      <c r="Z6815">
        <f>Z6814+IF(W6815="",0,IF(ISNA(MATCH(W6815,W$256:W6814,0)),1,0))</f>
        <v/>
      </c>
      <c r="AA6815">
        <f>IF(Z6815&gt;Z6814,Z6815,"")</f>
        <v/>
      </c>
      <c r="AB6815">
        <f>AB6814+IF(X6815="",0,IF(ISNA(MATCH(X6815,X$256:X6814,0)),1,0))</f>
        <v/>
      </c>
      <c r="AC6815">
        <f>IF(AB6815&gt;AB6814,AB6815,"")</f>
        <v/>
      </c>
    </row>
    <row r="6816">
      <c r="W6816" s="7" t="n"/>
      <c r="X6816" s="7" t="n"/>
      <c r="Z6816">
        <f>Z6815+IF(W6816="",0,IF(ISNA(MATCH(W6816,W$256:W6815,0)),1,0))</f>
        <v/>
      </c>
      <c r="AA6816">
        <f>IF(Z6816&gt;Z6815,Z6816,"")</f>
        <v/>
      </c>
      <c r="AB6816">
        <f>AB6815+IF(X6816="",0,IF(ISNA(MATCH(X6816,X$256:X6815,0)),1,0))</f>
        <v/>
      </c>
      <c r="AC6816">
        <f>IF(AB6816&gt;AB6815,AB6816,"")</f>
        <v/>
      </c>
    </row>
    <row r="6817">
      <c r="W6817" s="7" t="n"/>
      <c r="X6817" s="7" t="n"/>
      <c r="Z6817">
        <f>Z6816+IF(W6817="",0,IF(ISNA(MATCH(W6817,W$256:W6816,0)),1,0))</f>
        <v/>
      </c>
      <c r="AA6817">
        <f>IF(Z6817&gt;Z6816,Z6817,"")</f>
        <v/>
      </c>
      <c r="AB6817">
        <f>AB6816+IF(X6817="",0,IF(ISNA(MATCH(X6817,X$256:X6816,0)),1,0))</f>
        <v/>
      </c>
      <c r="AC6817">
        <f>IF(AB6817&gt;AB6816,AB6817,"")</f>
        <v/>
      </c>
    </row>
    <row r="6818">
      <c r="W6818" s="7" t="n"/>
      <c r="X6818" s="7" t="n"/>
      <c r="Z6818">
        <f>Z6817+IF(W6818="",0,IF(ISNA(MATCH(W6818,W$256:W6817,0)),1,0))</f>
        <v/>
      </c>
      <c r="AA6818">
        <f>IF(Z6818&gt;Z6817,Z6818,"")</f>
        <v/>
      </c>
      <c r="AB6818">
        <f>AB6817+IF(X6818="",0,IF(ISNA(MATCH(X6818,X$256:X6817,0)),1,0))</f>
        <v/>
      </c>
      <c r="AC6818">
        <f>IF(AB6818&gt;AB6817,AB6818,"")</f>
        <v/>
      </c>
    </row>
    <row r="6819">
      <c r="W6819" s="7" t="n"/>
      <c r="X6819" s="7" t="n"/>
      <c r="Z6819">
        <f>Z6818+IF(W6819="",0,IF(ISNA(MATCH(W6819,W$256:W6818,0)),1,0))</f>
        <v/>
      </c>
      <c r="AA6819">
        <f>IF(Z6819&gt;Z6818,Z6819,"")</f>
        <v/>
      </c>
      <c r="AB6819">
        <f>AB6818+IF(X6819="",0,IF(ISNA(MATCH(X6819,X$256:X6818,0)),1,0))</f>
        <v/>
      </c>
      <c r="AC6819">
        <f>IF(AB6819&gt;AB6818,AB6819,"")</f>
        <v/>
      </c>
    </row>
    <row r="6820">
      <c r="W6820" s="7" t="n"/>
      <c r="X6820" s="7" t="n"/>
      <c r="Z6820">
        <f>Z6819+IF(W6820="",0,IF(ISNA(MATCH(W6820,W$256:W6819,0)),1,0))</f>
        <v/>
      </c>
      <c r="AA6820">
        <f>IF(Z6820&gt;Z6819,Z6820,"")</f>
        <v/>
      </c>
      <c r="AB6820">
        <f>AB6819+IF(X6820="",0,IF(ISNA(MATCH(X6820,X$256:X6819,0)),1,0))</f>
        <v/>
      </c>
      <c r="AC6820">
        <f>IF(AB6820&gt;AB6819,AB6820,"")</f>
        <v/>
      </c>
    </row>
    <row r="6821">
      <c r="W6821" s="7" t="n"/>
      <c r="X6821" s="7" t="n"/>
      <c r="Z6821">
        <f>Z6820+IF(W6821="",0,IF(ISNA(MATCH(W6821,W$256:W6820,0)),1,0))</f>
        <v/>
      </c>
      <c r="AA6821">
        <f>IF(Z6821&gt;Z6820,Z6821,"")</f>
        <v/>
      </c>
      <c r="AB6821">
        <f>AB6820+IF(X6821="",0,IF(ISNA(MATCH(X6821,X$256:X6820,0)),1,0))</f>
        <v/>
      </c>
      <c r="AC6821">
        <f>IF(AB6821&gt;AB6820,AB6821,"")</f>
        <v/>
      </c>
    </row>
    <row r="6822">
      <c r="W6822" s="7" t="n"/>
      <c r="X6822" s="7" t="n"/>
      <c r="Z6822">
        <f>Z6821+IF(W6822="",0,IF(ISNA(MATCH(W6822,W$256:W6821,0)),1,0))</f>
        <v/>
      </c>
      <c r="AA6822">
        <f>IF(Z6822&gt;Z6821,Z6822,"")</f>
        <v/>
      </c>
      <c r="AB6822">
        <f>AB6821+IF(X6822="",0,IF(ISNA(MATCH(X6822,X$256:X6821,0)),1,0))</f>
        <v/>
      </c>
      <c r="AC6822">
        <f>IF(AB6822&gt;AB6821,AB6822,"")</f>
        <v/>
      </c>
    </row>
    <row r="6823">
      <c r="W6823" s="7" t="n"/>
      <c r="X6823" s="7" t="n"/>
      <c r="Z6823">
        <f>Z6822+IF(W6823="",0,IF(ISNA(MATCH(W6823,W$256:W6822,0)),1,0))</f>
        <v/>
      </c>
      <c r="AA6823">
        <f>IF(Z6823&gt;Z6822,Z6823,"")</f>
        <v/>
      </c>
      <c r="AB6823">
        <f>AB6822+IF(X6823="",0,IF(ISNA(MATCH(X6823,X$256:X6822,0)),1,0))</f>
        <v/>
      </c>
      <c r="AC6823">
        <f>IF(AB6823&gt;AB6822,AB6823,"")</f>
        <v/>
      </c>
    </row>
    <row r="6824">
      <c r="W6824" s="7" t="n"/>
      <c r="X6824" s="7" t="n"/>
      <c r="Z6824">
        <f>Z6823+IF(W6824="",0,IF(ISNA(MATCH(W6824,W$256:W6823,0)),1,0))</f>
        <v/>
      </c>
      <c r="AA6824">
        <f>IF(Z6824&gt;Z6823,Z6824,"")</f>
        <v/>
      </c>
      <c r="AB6824">
        <f>AB6823+IF(X6824="",0,IF(ISNA(MATCH(X6824,X$256:X6823,0)),1,0))</f>
        <v/>
      </c>
      <c r="AC6824">
        <f>IF(AB6824&gt;AB6823,AB6824,"")</f>
        <v/>
      </c>
    </row>
    <row r="6825">
      <c r="W6825" s="7" t="n"/>
      <c r="X6825" s="7" t="n"/>
      <c r="Z6825">
        <f>Z6824+IF(W6825="",0,IF(ISNA(MATCH(W6825,W$256:W6824,0)),1,0))</f>
        <v/>
      </c>
      <c r="AA6825">
        <f>IF(Z6825&gt;Z6824,Z6825,"")</f>
        <v/>
      </c>
      <c r="AB6825">
        <f>AB6824+IF(X6825="",0,IF(ISNA(MATCH(X6825,X$256:X6824,0)),1,0))</f>
        <v/>
      </c>
      <c r="AC6825">
        <f>IF(AB6825&gt;AB6824,AB6825,"")</f>
        <v/>
      </c>
    </row>
    <row r="6826">
      <c r="W6826" s="7" t="n"/>
      <c r="X6826" s="7" t="n"/>
      <c r="Z6826">
        <f>Z6825+IF(W6826="",0,IF(ISNA(MATCH(W6826,W$256:W6825,0)),1,0))</f>
        <v/>
      </c>
      <c r="AA6826">
        <f>IF(Z6826&gt;Z6825,Z6826,"")</f>
        <v/>
      </c>
      <c r="AB6826">
        <f>AB6825+IF(X6826="",0,IF(ISNA(MATCH(X6826,X$256:X6825,0)),1,0))</f>
        <v/>
      </c>
      <c r="AC6826">
        <f>IF(AB6826&gt;AB6825,AB6826,"")</f>
        <v/>
      </c>
    </row>
    <row r="6827">
      <c r="W6827" s="7" t="n"/>
      <c r="X6827" s="7" t="n"/>
      <c r="Z6827">
        <f>Z6826+IF(W6827="",0,IF(ISNA(MATCH(W6827,W$256:W6826,0)),1,0))</f>
        <v/>
      </c>
      <c r="AA6827">
        <f>IF(Z6827&gt;Z6826,Z6827,"")</f>
        <v/>
      </c>
      <c r="AB6827">
        <f>AB6826+IF(X6827="",0,IF(ISNA(MATCH(X6827,X$256:X6826,0)),1,0))</f>
        <v/>
      </c>
      <c r="AC6827">
        <f>IF(AB6827&gt;AB6826,AB6827,"")</f>
        <v/>
      </c>
    </row>
    <row r="6828">
      <c r="W6828" s="7" t="n"/>
      <c r="X6828" s="7" t="n"/>
      <c r="Z6828">
        <f>Z6827+IF(W6828="",0,IF(ISNA(MATCH(W6828,W$256:W6827,0)),1,0))</f>
        <v/>
      </c>
      <c r="AA6828">
        <f>IF(Z6828&gt;Z6827,Z6828,"")</f>
        <v/>
      </c>
      <c r="AB6828">
        <f>AB6827+IF(X6828="",0,IF(ISNA(MATCH(X6828,X$256:X6827,0)),1,0))</f>
        <v/>
      </c>
      <c r="AC6828">
        <f>IF(AB6828&gt;AB6827,AB6828,"")</f>
        <v/>
      </c>
    </row>
    <row r="6829">
      <c r="W6829" s="7" t="n"/>
      <c r="X6829" s="7" t="n"/>
      <c r="Z6829">
        <f>Z6828+IF(W6829="",0,IF(ISNA(MATCH(W6829,W$256:W6828,0)),1,0))</f>
        <v/>
      </c>
      <c r="AA6829">
        <f>IF(Z6829&gt;Z6828,Z6829,"")</f>
        <v/>
      </c>
      <c r="AB6829">
        <f>AB6828+IF(X6829="",0,IF(ISNA(MATCH(X6829,X$256:X6828,0)),1,0))</f>
        <v/>
      </c>
      <c r="AC6829">
        <f>IF(AB6829&gt;AB6828,AB6829,"")</f>
        <v/>
      </c>
    </row>
    <row r="6830">
      <c r="W6830" s="7" t="n"/>
      <c r="X6830" s="7" t="n"/>
      <c r="Z6830">
        <f>Z6829+IF(W6830="",0,IF(ISNA(MATCH(W6830,W$256:W6829,0)),1,0))</f>
        <v/>
      </c>
      <c r="AA6830">
        <f>IF(Z6830&gt;Z6829,Z6830,"")</f>
        <v/>
      </c>
      <c r="AB6830">
        <f>AB6829+IF(X6830="",0,IF(ISNA(MATCH(X6830,X$256:X6829,0)),1,0))</f>
        <v/>
      </c>
      <c r="AC6830">
        <f>IF(AB6830&gt;AB6829,AB6830,"")</f>
        <v/>
      </c>
    </row>
    <row r="6831">
      <c r="W6831" s="7" t="n"/>
      <c r="X6831" s="7" t="n"/>
      <c r="Z6831">
        <f>Z6830+IF(W6831="",0,IF(ISNA(MATCH(W6831,W$256:W6830,0)),1,0))</f>
        <v/>
      </c>
      <c r="AA6831">
        <f>IF(Z6831&gt;Z6830,Z6831,"")</f>
        <v/>
      </c>
      <c r="AB6831">
        <f>AB6830+IF(X6831="",0,IF(ISNA(MATCH(X6831,X$256:X6830,0)),1,0))</f>
        <v/>
      </c>
      <c r="AC6831">
        <f>IF(AB6831&gt;AB6830,AB6831,"")</f>
        <v/>
      </c>
    </row>
    <row r="6832">
      <c r="W6832" s="7" t="n"/>
      <c r="X6832" s="7" t="n"/>
      <c r="Z6832">
        <f>Z6831+IF(W6832="",0,IF(ISNA(MATCH(W6832,W$256:W6831,0)),1,0))</f>
        <v/>
      </c>
      <c r="AA6832">
        <f>IF(Z6832&gt;Z6831,Z6832,"")</f>
        <v/>
      </c>
      <c r="AB6832">
        <f>AB6831+IF(X6832="",0,IF(ISNA(MATCH(X6832,X$256:X6831,0)),1,0))</f>
        <v/>
      </c>
      <c r="AC6832">
        <f>IF(AB6832&gt;AB6831,AB6832,"")</f>
        <v/>
      </c>
    </row>
    <row r="6833">
      <c r="W6833" s="7" t="n"/>
      <c r="X6833" s="7" t="n"/>
      <c r="Z6833">
        <f>Z6832+IF(W6833="",0,IF(ISNA(MATCH(W6833,W$256:W6832,0)),1,0))</f>
        <v/>
      </c>
      <c r="AA6833">
        <f>IF(Z6833&gt;Z6832,Z6833,"")</f>
        <v/>
      </c>
      <c r="AB6833">
        <f>AB6832+IF(X6833="",0,IF(ISNA(MATCH(X6833,X$256:X6832,0)),1,0))</f>
        <v/>
      </c>
      <c r="AC6833">
        <f>IF(AB6833&gt;AB6832,AB6833,"")</f>
        <v/>
      </c>
    </row>
    <row r="6834">
      <c r="W6834" s="7" t="n"/>
      <c r="X6834" s="7" t="n"/>
      <c r="Z6834">
        <f>Z6833+IF(W6834="",0,IF(ISNA(MATCH(W6834,W$256:W6833,0)),1,0))</f>
        <v/>
      </c>
      <c r="AA6834">
        <f>IF(Z6834&gt;Z6833,Z6834,"")</f>
        <v/>
      </c>
      <c r="AB6834">
        <f>AB6833+IF(X6834="",0,IF(ISNA(MATCH(X6834,X$256:X6833,0)),1,0))</f>
        <v/>
      </c>
      <c r="AC6834">
        <f>IF(AB6834&gt;AB6833,AB6834,"")</f>
        <v/>
      </c>
    </row>
    <row r="6835">
      <c r="W6835" s="7" t="n"/>
      <c r="X6835" s="7" t="n"/>
      <c r="Z6835">
        <f>Z6834+IF(W6835="",0,IF(ISNA(MATCH(W6835,W$256:W6834,0)),1,0))</f>
        <v/>
      </c>
      <c r="AA6835">
        <f>IF(Z6835&gt;Z6834,Z6835,"")</f>
        <v/>
      </c>
      <c r="AB6835">
        <f>AB6834+IF(X6835="",0,IF(ISNA(MATCH(X6835,X$256:X6834,0)),1,0))</f>
        <v/>
      </c>
      <c r="AC6835">
        <f>IF(AB6835&gt;AB6834,AB6835,"")</f>
        <v/>
      </c>
    </row>
    <row r="6836">
      <c r="W6836" s="7" t="n"/>
      <c r="X6836" s="7" t="n"/>
      <c r="Z6836">
        <f>Z6835+IF(W6836="",0,IF(ISNA(MATCH(W6836,W$256:W6835,0)),1,0))</f>
        <v/>
      </c>
      <c r="AA6836">
        <f>IF(Z6836&gt;Z6835,Z6836,"")</f>
        <v/>
      </c>
      <c r="AB6836">
        <f>AB6835+IF(X6836="",0,IF(ISNA(MATCH(X6836,X$256:X6835,0)),1,0))</f>
        <v/>
      </c>
      <c r="AC6836">
        <f>IF(AB6836&gt;AB6835,AB6836,"")</f>
        <v/>
      </c>
    </row>
    <row r="6837">
      <c r="W6837" s="7" t="n"/>
      <c r="X6837" s="7" t="n"/>
      <c r="Z6837">
        <f>Z6836+IF(W6837="",0,IF(ISNA(MATCH(W6837,W$256:W6836,0)),1,0))</f>
        <v/>
      </c>
      <c r="AA6837">
        <f>IF(Z6837&gt;Z6836,Z6837,"")</f>
        <v/>
      </c>
      <c r="AB6837">
        <f>AB6836+IF(X6837="",0,IF(ISNA(MATCH(X6837,X$256:X6836,0)),1,0))</f>
        <v/>
      </c>
      <c r="AC6837">
        <f>IF(AB6837&gt;AB6836,AB6837,"")</f>
        <v/>
      </c>
    </row>
    <row r="6838">
      <c r="W6838" s="7" t="n"/>
      <c r="X6838" s="7" t="n"/>
      <c r="Z6838">
        <f>Z6837+IF(W6838="",0,IF(ISNA(MATCH(W6838,W$256:W6837,0)),1,0))</f>
        <v/>
      </c>
      <c r="AA6838">
        <f>IF(Z6838&gt;Z6837,Z6838,"")</f>
        <v/>
      </c>
      <c r="AB6838">
        <f>AB6837+IF(X6838="",0,IF(ISNA(MATCH(X6838,X$256:X6837,0)),1,0))</f>
        <v/>
      </c>
      <c r="AC6838">
        <f>IF(AB6838&gt;AB6837,AB6838,"")</f>
        <v/>
      </c>
    </row>
    <row r="6839">
      <c r="W6839" s="7" t="n"/>
      <c r="X6839" s="7" t="n"/>
      <c r="Z6839">
        <f>Z6838+IF(W6839="",0,IF(ISNA(MATCH(W6839,W$256:W6838,0)),1,0))</f>
        <v/>
      </c>
      <c r="AA6839">
        <f>IF(Z6839&gt;Z6838,Z6839,"")</f>
        <v/>
      </c>
      <c r="AB6839">
        <f>AB6838+IF(X6839="",0,IF(ISNA(MATCH(X6839,X$256:X6838,0)),1,0))</f>
        <v/>
      </c>
      <c r="AC6839">
        <f>IF(AB6839&gt;AB6838,AB6839,"")</f>
        <v/>
      </c>
    </row>
    <row r="6840">
      <c r="W6840" s="7" t="n"/>
      <c r="X6840" s="7" t="n"/>
      <c r="Z6840">
        <f>Z6839+IF(W6840="",0,IF(ISNA(MATCH(W6840,W$256:W6839,0)),1,0))</f>
        <v/>
      </c>
      <c r="AA6840">
        <f>IF(Z6840&gt;Z6839,Z6840,"")</f>
        <v/>
      </c>
      <c r="AB6840">
        <f>AB6839+IF(X6840="",0,IF(ISNA(MATCH(X6840,X$256:X6839,0)),1,0))</f>
        <v/>
      </c>
      <c r="AC6840">
        <f>IF(AB6840&gt;AB6839,AB6840,"")</f>
        <v/>
      </c>
    </row>
    <row r="6841">
      <c r="W6841" s="7" t="n"/>
      <c r="X6841" s="7" t="n"/>
      <c r="Z6841">
        <f>Z6840+IF(W6841="",0,IF(ISNA(MATCH(W6841,W$256:W6840,0)),1,0))</f>
        <v/>
      </c>
      <c r="AA6841">
        <f>IF(Z6841&gt;Z6840,Z6841,"")</f>
        <v/>
      </c>
      <c r="AB6841">
        <f>AB6840+IF(X6841="",0,IF(ISNA(MATCH(X6841,X$256:X6840,0)),1,0))</f>
        <v/>
      </c>
      <c r="AC6841">
        <f>IF(AB6841&gt;AB6840,AB6841,"")</f>
        <v/>
      </c>
    </row>
    <row r="6842">
      <c r="W6842" s="7" t="n"/>
      <c r="X6842" s="7" t="n"/>
      <c r="Z6842">
        <f>Z6841+IF(W6842="",0,IF(ISNA(MATCH(W6842,W$256:W6841,0)),1,0))</f>
        <v/>
      </c>
      <c r="AA6842">
        <f>IF(Z6842&gt;Z6841,Z6842,"")</f>
        <v/>
      </c>
      <c r="AB6842">
        <f>AB6841+IF(X6842="",0,IF(ISNA(MATCH(X6842,X$256:X6841,0)),1,0))</f>
        <v/>
      </c>
      <c r="AC6842">
        <f>IF(AB6842&gt;AB6841,AB6842,"")</f>
        <v/>
      </c>
    </row>
    <row r="6843">
      <c r="W6843" s="7" t="n"/>
      <c r="X6843" s="7" t="n"/>
      <c r="Z6843">
        <f>Z6842+IF(W6843="",0,IF(ISNA(MATCH(W6843,W$256:W6842,0)),1,0))</f>
        <v/>
      </c>
      <c r="AA6843">
        <f>IF(Z6843&gt;Z6842,Z6843,"")</f>
        <v/>
      </c>
      <c r="AB6843">
        <f>AB6842+IF(X6843="",0,IF(ISNA(MATCH(X6843,X$256:X6842,0)),1,0))</f>
        <v/>
      </c>
      <c r="AC6843">
        <f>IF(AB6843&gt;AB6842,AB6843,"")</f>
        <v/>
      </c>
    </row>
    <row r="6844">
      <c r="W6844" s="7" t="n"/>
      <c r="X6844" s="7" t="n"/>
      <c r="Z6844">
        <f>Z6843+IF(W6844="",0,IF(ISNA(MATCH(W6844,W$256:W6843,0)),1,0))</f>
        <v/>
      </c>
      <c r="AA6844">
        <f>IF(Z6844&gt;Z6843,Z6844,"")</f>
        <v/>
      </c>
      <c r="AB6844">
        <f>AB6843+IF(X6844="",0,IF(ISNA(MATCH(X6844,X$256:X6843,0)),1,0))</f>
        <v/>
      </c>
      <c r="AC6844">
        <f>IF(AB6844&gt;AB6843,AB6844,"")</f>
        <v/>
      </c>
    </row>
    <row r="6845">
      <c r="W6845" s="7" t="n"/>
      <c r="X6845" s="7" t="n"/>
      <c r="Z6845">
        <f>Z6844+IF(W6845="",0,IF(ISNA(MATCH(W6845,W$256:W6844,0)),1,0))</f>
        <v/>
      </c>
      <c r="AA6845">
        <f>IF(Z6845&gt;Z6844,Z6845,"")</f>
        <v/>
      </c>
      <c r="AB6845">
        <f>AB6844+IF(X6845="",0,IF(ISNA(MATCH(X6845,X$256:X6844,0)),1,0))</f>
        <v/>
      </c>
      <c r="AC6845">
        <f>IF(AB6845&gt;AB6844,AB6845,"")</f>
        <v/>
      </c>
    </row>
    <row r="6846">
      <c r="W6846" s="7" t="n"/>
      <c r="X6846" s="7" t="n"/>
      <c r="Z6846">
        <f>Z6845+IF(W6846="",0,IF(ISNA(MATCH(W6846,W$256:W6845,0)),1,0))</f>
        <v/>
      </c>
      <c r="AA6846">
        <f>IF(Z6846&gt;Z6845,Z6846,"")</f>
        <v/>
      </c>
      <c r="AB6846">
        <f>AB6845+IF(X6846="",0,IF(ISNA(MATCH(X6846,X$256:X6845,0)),1,0))</f>
        <v/>
      </c>
      <c r="AC6846">
        <f>IF(AB6846&gt;AB6845,AB6846,"")</f>
        <v/>
      </c>
    </row>
    <row r="6847">
      <c r="W6847" s="7" t="n"/>
      <c r="X6847" s="7" t="n"/>
      <c r="Z6847">
        <f>Z6846+IF(W6847="",0,IF(ISNA(MATCH(W6847,W$256:W6846,0)),1,0))</f>
        <v/>
      </c>
      <c r="AA6847">
        <f>IF(Z6847&gt;Z6846,Z6847,"")</f>
        <v/>
      </c>
      <c r="AB6847">
        <f>AB6846+IF(X6847="",0,IF(ISNA(MATCH(X6847,X$256:X6846,0)),1,0))</f>
        <v/>
      </c>
      <c r="AC6847">
        <f>IF(AB6847&gt;AB6846,AB6847,"")</f>
        <v/>
      </c>
    </row>
    <row r="6848">
      <c r="W6848" s="7" t="n"/>
      <c r="X6848" s="7" t="n"/>
      <c r="Z6848">
        <f>Z6847+IF(W6848="",0,IF(ISNA(MATCH(W6848,W$256:W6847,0)),1,0))</f>
        <v/>
      </c>
      <c r="AA6848">
        <f>IF(Z6848&gt;Z6847,Z6848,"")</f>
        <v/>
      </c>
      <c r="AB6848">
        <f>AB6847+IF(X6848="",0,IF(ISNA(MATCH(X6848,X$256:X6847,0)),1,0))</f>
        <v/>
      </c>
      <c r="AC6848">
        <f>IF(AB6848&gt;AB6847,AB6848,"")</f>
        <v/>
      </c>
    </row>
    <row r="6849">
      <c r="W6849" s="7" t="n"/>
      <c r="X6849" s="7" t="n"/>
      <c r="Z6849">
        <f>Z6848+IF(W6849="",0,IF(ISNA(MATCH(W6849,W$256:W6848,0)),1,0))</f>
        <v/>
      </c>
      <c r="AA6849">
        <f>IF(Z6849&gt;Z6848,Z6849,"")</f>
        <v/>
      </c>
      <c r="AB6849">
        <f>AB6848+IF(X6849="",0,IF(ISNA(MATCH(X6849,X$256:X6848,0)),1,0))</f>
        <v/>
      </c>
      <c r="AC6849">
        <f>IF(AB6849&gt;AB6848,AB6849,"")</f>
        <v/>
      </c>
    </row>
    <row r="6850">
      <c r="W6850" s="7" t="n"/>
      <c r="X6850" s="7" t="n"/>
      <c r="Z6850">
        <f>Z6849+IF(W6850="",0,IF(ISNA(MATCH(W6850,W$256:W6849,0)),1,0))</f>
        <v/>
      </c>
      <c r="AA6850">
        <f>IF(Z6850&gt;Z6849,Z6850,"")</f>
        <v/>
      </c>
      <c r="AB6850">
        <f>AB6849+IF(X6850="",0,IF(ISNA(MATCH(X6850,X$256:X6849,0)),1,0))</f>
        <v/>
      </c>
      <c r="AC6850">
        <f>IF(AB6850&gt;AB6849,AB6850,"")</f>
        <v/>
      </c>
    </row>
    <row r="6851">
      <c r="W6851" s="7" t="n"/>
      <c r="X6851" s="7" t="n"/>
      <c r="Z6851">
        <f>Z6850+IF(W6851="",0,IF(ISNA(MATCH(W6851,W$256:W6850,0)),1,0))</f>
        <v/>
      </c>
      <c r="AA6851">
        <f>IF(Z6851&gt;Z6850,Z6851,"")</f>
        <v/>
      </c>
      <c r="AB6851">
        <f>AB6850+IF(X6851="",0,IF(ISNA(MATCH(X6851,X$256:X6850,0)),1,0))</f>
        <v/>
      </c>
      <c r="AC6851">
        <f>IF(AB6851&gt;AB6850,AB6851,"")</f>
        <v/>
      </c>
    </row>
    <row r="6852">
      <c r="W6852" s="7" t="n"/>
      <c r="X6852" s="7" t="n"/>
      <c r="Z6852">
        <f>Z6851+IF(W6852="",0,IF(ISNA(MATCH(W6852,W$256:W6851,0)),1,0))</f>
        <v/>
      </c>
      <c r="AA6852">
        <f>IF(Z6852&gt;Z6851,Z6852,"")</f>
        <v/>
      </c>
      <c r="AB6852">
        <f>AB6851+IF(X6852="",0,IF(ISNA(MATCH(X6852,X$256:X6851,0)),1,0))</f>
        <v/>
      </c>
      <c r="AC6852">
        <f>IF(AB6852&gt;AB6851,AB6852,"")</f>
        <v/>
      </c>
    </row>
    <row r="6853">
      <c r="W6853" s="7" t="n"/>
      <c r="X6853" s="7" t="n"/>
      <c r="Z6853">
        <f>Z6852+IF(W6853="",0,IF(ISNA(MATCH(W6853,W$256:W6852,0)),1,0))</f>
        <v/>
      </c>
      <c r="AA6853">
        <f>IF(Z6853&gt;Z6852,Z6853,"")</f>
        <v/>
      </c>
      <c r="AB6853">
        <f>AB6852+IF(X6853="",0,IF(ISNA(MATCH(X6853,X$256:X6852,0)),1,0))</f>
        <v/>
      </c>
      <c r="AC6853">
        <f>IF(AB6853&gt;AB6852,AB6853,"")</f>
        <v/>
      </c>
    </row>
    <row r="6854">
      <c r="W6854" s="7" t="n"/>
      <c r="X6854" s="7" t="n"/>
      <c r="Z6854">
        <f>Z6853+IF(W6854="",0,IF(ISNA(MATCH(W6854,W$256:W6853,0)),1,0))</f>
        <v/>
      </c>
      <c r="AA6854">
        <f>IF(Z6854&gt;Z6853,Z6854,"")</f>
        <v/>
      </c>
      <c r="AB6854">
        <f>AB6853+IF(X6854="",0,IF(ISNA(MATCH(X6854,X$256:X6853,0)),1,0))</f>
        <v/>
      </c>
      <c r="AC6854">
        <f>IF(AB6854&gt;AB6853,AB6854,"")</f>
        <v/>
      </c>
    </row>
    <row r="6855">
      <c r="W6855" s="7" t="n"/>
      <c r="X6855" s="7" t="n"/>
      <c r="Z6855">
        <f>Z6854+IF(W6855="",0,IF(ISNA(MATCH(W6855,W$256:W6854,0)),1,0))</f>
        <v/>
      </c>
      <c r="AA6855">
        <f>IF(Z6855&gt;Z6854,Z6855,"")</f>
        <v/>
      </c>
      <c r="AB6855">
        <f>AB6854+IF(X6855="",0,IF(ISNA(MATCH(X6855,X$256:X6854,0)),1,0))</f>
        <v/>
      </c>
      <c r="AC6855">
        <f>IF(AB6855&gt;AB6854,AB6855,"")</f>
        <v/>
      </c>
    </row>
    <row r="6856">
      <c r="W6856" s="7" t="n"/>
      <c r="X6856" s="7" t="n"/>
      <c r="Z6856">
        <f>Z6855+IF(W6856="",0,IF(ISNA(MATCH(W6856,W$256:W6855,0)),1,0))</f>
        <v/>
      </c>
      <c r="AA6856">
        <f>IF(Z6856&gt;Z6855,Z6856,"")</f>
        <v/>
      </c>
      <c r="AB6856">
        <f>AB6855+IF(X6856="",0,IF(ISNA(MATCH(X6856,X$256:X6855,0)),1,0))</f>
        <v/>
      </c>
      <c r="AC6856">
        <f>IF(AB6856&gt;AB6855,AB6856,"")</f>
        <v/>
      </c>
    </row>
    <row r="6857">
      <c r="W6857" s="7" t="n"/>
      <c r="X6857" s="7" t="n"/>
      <c r="Z6857">
        <f>Z6856+IF(W6857="",0,IF(ISNA(MATCH(W6857,W$256:W6856,0)),1,0))</f>
        <v/>
      </c>
      <c r="AA6857">
        <f>IF(Z6857&gt;Z6856,Z6857,"")</f>
        <v/>
      </c>
      <c r="AB6857">
        <f>AB6856+IF(X6857="",0,IF(ISNA(MATCH(X6857,X$256:X6856,0)),1,0))</f>
        <v/>
      </c>
      <c r="AC6857">
        <f>IF(AB6857&gt;AB6856,AB6857,"")</f>
        <v/>
      </c>
    </row>
    <row r="6858">
      <c r="W6858" s="7" t="n"/>
      <c r="X6858" s="7" t="n"/>
      <c r="Z6858">
        <f>Z6857+IF(W6858="",0,IF(ISNA(MATCH(W6858,W$256:W6857,0)),1,0))</f>
        <v/>
      </c>
      <c r="AA6858">
        <f>IF(Z6858&gt;Z6857,Z6858,"")</f>
        <v/>
      </c>
      <c r="AB6858">
        <f>AB6857+IF(X6858="",0,IF(ISNA(MATCH(X6858,X$256:X6857,0)),1,0))</f>
        <v/>
      </c>
      <c r="AC6858">
        <f>IF(AB6858&gt;AB6857,AB6858,"")</f>
        <v/>
      </c>
    </row>
    <row r="6859">
      <c r="W6859" s="7" t="n"/>
      <c r="X6859" s="7" t="n"/>
      <c r="Z6859">
        <f>Z6858+IF(W6859="",0,IF(ISNA(MATCH(W6859,W$256:W6858,0)),1,0))</f>
        <v/>
      </c>
      <c r="AA6859">
        <f>IF(Z6859&gt;Z6858,Z6859,"")</f>
        <v/>
      </c>
      <c r="AB6859">
        <f>AB6858+IF(X6859="",0,IF(ISNA(MATCH(X6859,X$256:X6858,0)),1,0))</f>
        <v/>
      </c>
      <c r="AC6859">
        <f>IF(AB6859&gt;AB6858,AB6859,"")</f>
        <v/>
      </c>
    </row>
    <row r="6860">
      <c r="W6860" s="7" t="n"/>
      <c r="X6860" s="7" t="n"/>
      <c r="Z6860">
        <f>Z6859+IF(W6860="",0,IF(ISNA(MATCH(W6860,W$256:W6859,0)),1,0))</f>
        <v/>
      </c>
      <c r="AA6860">
        <f>IF(Z6860&gt;Z6859,Z6860,"")</f>
        <v/>
      </c>
      <c r="AB6860">
        <f>AB6859+IF(X6860="",0,IF(ISNA(MATCH(X6860,X$256:X6859,0)),1,0))</f>
        <v/>
      </c>
      <c r="AC6860">
        <f>IF(AB6860&gt;AB6859,AB6860,"")</f>
        <v/>
      </c>
    </row>
    <row r="6861">
      <c r="W6861" s="7" t="n"/>
      <c r="X6861" s="7" t="n"/>
      <c r="Z6861">
        <f>Z6860+IF(W6861="",0,IF(ISNA(MATCH(W6861,W$256:W6860,0)),1,0))</f>
        <v/>
      </c>
      <c r="AA6861">
        <f>IF(Z6861&gt;Z6860,Z6861,"")</f>
        <v/>
      </c>
      <c r="AB6861">
        <f>AB6860+IF(X6861="",0,IF(ISNA(MATCH(X6861,X$256:X6860,0)),1,0))</f>
        <v/>
      </c>
      <c r="AC6861">
        <f>IF(AB6861&gt;AB6860,AB6861,"")</f>
        <v/>
      </c>
    </row>
    <row r="6862">
      <c r="W6862" s="7" t="n"/>
      <c r="X6862" s="7" t="n"/>
      <c r="Z6862">
        <f>Z6861+IF(W6862="",0,IF(ISNA(MATCH(W6862,W$256:W6861,0)),1,0))</f>
        <v/>
      </c>
      <c r="AA6862">
        <f>IF(Z6862&gt;Z6861,Z6862,"")</f>
        <v/>
      </c>
      <c r="AB6862">
        <f>AB6861+IF(X6862="",0,IF(ISNA(MATCH(X6862,X$256:X6861,0)),1,0))</f>
        <v/>
      </c>
      <c r="AC6862">
        <f>IF(AB6862&gt;AB6861,AB6862,"")</f>
        <v/>
      </c>
    </row>
    <row r="6863">
      <c r="W6863" s="7" t="n"/>
      <c r="X6863" s="7" t="n"/>
      <c r="Z6863">
        <f>Z6862+IF(W6863="",0,IF(ISNA(MATCH(W6863,W$256:W6862,0)),1,0))</f>
        <v/>
      </c>
      <c r="AA6863">
        <f>IF(Z6863&gt;Z6862,Z6863,"")</f>
        <v/>
      </c>
      <c r="AB6863">
        <f>AB6862+IF(X6863="",0,IF(ISNA(MATCH(X6863,X$256:X6862,0)),1,0))</f>
        <v/>
      </c>
      <c r="AC6863">
        <f>IF(AB6863&gt;AB6862,AB6863,"")</f>
        <v/>
      </c>
    </row>
    <row r="6864">
      <c r="W6864" s="7" t="n"/>
      <c r="X6864" s="7" t="n"/>
      <c r="Z6864">
        <f>Z6863+IF(W6864="",0,IF(ISNA(MATCH(W6864,W$256:W6863,0)),1,0))</f>
        <v/>
      </c>
      <c r="AA6864">
        <f>IF(Z6864&gt;Z6863,Z6864,"")</f>
        <v/>
      </c>
      <c r="AB6864">
        <f>AB6863+IF(X6864="",0,IF(ISNA(MATCH(X6864,X$256:X6863,0)),1,0))</f>
        <v/>
      </c>
      <c r="AC6864">
        <f>IF(AB6864&gt;AB6863,AB6864,"")</f>
        <v/>
      </c>
    </row>
    <row r="6865">
      <c r="W6865" s="7" t="n"/>
      <c r="X6865" s="7" t="n"/>
      <c r="Z6865">
        <f>Z6864+IF(W6865="",0,IF(ISNA(MATCH(W6865,W$256:W6864,0)),1,0))</f>
        <v/>
      </c>
      <c r="AA6865">
        <f>IF(Z6865&gt;Z6864,Z6865,"")</f>
        <v/>
      </c>
      <c r="AB6865">
        <f>AB6864+IF(X6865="",0,IF(ISNA(MATCH(X6865,X$256:X6864,0)),1,0))</f>
        <v/>
      </c>
      <c r="AC6865">
        <f>IF(AB6865&gt;AB6864,AB6865,"")</f>
        <v/>
      </c>
    </row>
    <row r="6866">
      <c r="W6866" s="7" t="n"/>
      <c r="X6866" s="7" t="n"/>
      <c r="Z6866">
        <f>Z6865+IF(W6866="",0,IF(ISNA(MATCH(W6866,W$256:W6865,0)),1,0))</f>
        <v/>
      </c>
      <c r="AA6866">
        <f>IF(Z6866&gt;Z6865,Z6866,"")</f>
        <v/>
      </c>
      <c r="AB6866">
        <f>AB6865+IF(X6866="",0,IF(ISNA(MATCH(X6866,X$256:X6865,0)),1,0))</f>
        <v/>
      </c>
      <c r="AC6866">
        <f>IF(AB6866&gt;AB6865,AB6866,"")</f>
        <v/>
      </c>
    </row>
    <row r="6867">
      <c r="W6867" s="7" t="n"/>
      <c r="X6867" s="7" t="n"/>
      <c r="Z6867">
        <f>Z6866+IF(W6867="",0,IF(ISNA(MATCH(W6867,W$256:W6866,0)),1,0))</f>
        <v/>
      </c>
      <c r="AA6867">
        <f>IF(Z6867&gt;Z6866,Z6867,"")</f>
        <v/>
      </c>
      <c r="AB6867">
        <f>AB6866+IF(X6867="",0,IF(ISNA(MATCH(X6867,X$256:X6866,0)),1,0))</f>
        <v/>
      </c>
      <c r="AC6867">
        <f>IF(AB6867&gt;AB6866,AB6867,"")</f>
        <v/>
      </c>
    </row>
    <row r="6868">
      <c r="W6868" s="7" t="n"/>
      <c r="X6868" s="7" t="n"/>
      <c r="Z6868">
        <f>Z6867+IF(W6868="",0,IF(ISNA(MATCH(W6868,W$256:W6867,0)),1,0))</f>
        <v/>
      </c>
      <c r="AA6868">
        <f>IF(Z6868&gt;Z6867,Z6868,"")</f>
        <v/>
      </c>
      <c r="AB6868">
        <f>AB6867+IF(X6868="",0,IF(ISNA(MATCH(X6868,X$256:X6867,0)),1,0))</f>
        <v/>
      </c>
      <c r="AC6868">
        <f>IF(AB6868&gt;AB6867,AB6868,"")</f>
        <v/>
      </c>
    </row>
    <row r="6869">
      <c r="W6869" s="7" t="n"/>
      <c r="X6869" s="7" t="n"/>
      <c r="Z6869">
        <f>Z6868+IF(W6869="",0,IF(ISNA(MATCH(W6869,W$256:W6868,0)),1,0))</f>
        <v/>
      </c>
      <c r="AA6869">
        <f>IF(Z6869&gt;Z6868,Z6869,"")</f>
        <v/>
      </c>
      <c r="AB6869">
        <f>AB6868+IF(X6869="",0,IF(ISNA(MATCH(X6869,X$256:X6868,0)),1,0))</f>
        <v/>
      </c>
      <c r="AC6869">
        <f>IF(AB6869&gt;AB6868,AB6869,"")</f>
        <v/>
      </c>
    </row>
    <row r="6870">
      <c r="W6870" s="7" t="n"/>
      <c r="X6870" s="7" t="n"/>
      <c r="Z6870">
        <f>Z6869+IF(W6870="",0,IF(ISNA(MATCH(W6870,W$256:W6869,0)),1,0))</f>
        <v/>
      </c>
      <c r="AA6870">
        <f>IF(Z6870&gt;Z6869,Z6870,"")</f>
        <v/>
      </c>
      <c r="AB6870">
        <f>AB6869+IF(X6870="",0,IF(ISNA(MATCH(X6870,X$256:X6869,0)),1,0))</f>
        <v/>
      </c>
      <c r="AC6870">
        <f>IF(AB6870&gt;AB6869,AB6870,"")</f>
        <v/>
      </c>
    </row>
    <row r="6871">
      <c r="W6871" s="7" t="n"/>
      <c r="X6871" s="7" t="n"/>
      <c r="Z6871">
        <f>Z6870+IF(W6871="",0,IF(ISNA(MATCH(W6871,W$256:W6870,0)),1,0))</f>
        <v/>
      </c>
      <c r="AA6871">
        <f>IF(Z6871&gt;Z6870,Z6871,"")</f>
        <v/>
      </c>
      <c r="AB6871">
        <f>AB6870+IF(X6871="",0,IF(ISNA(MATCH(X6871,X$256:X6870,0)),1,0))</f>
        <v/>
      </c>
      <c r="AC6871">
        <f>IF(AB6871&gt;AB6870,AB6871,"")</f>
        <v/>
      </c>
    </row>
    <row r="6872">
      <c r="W6872" s="7" t="n"/>
      <c r="X6872" s="7" t="n"/>
      <c r="Z6872">
        <f>Z6871+IF(W6872="",0,IF(ISNA(MATCH(W6872,W$256:W6871,0)),1,0))</f>
        <v/>
      </c>
      <c r="AA6872">
        <f>IF(Z6872&gt;Z6871,Z6872,"")</f>
        <v/>
      </c>
      <c r="AB6872">
        <f>AB6871+IF(X6872="",0,IF(ISNA(MATCH(X6872,X$256:X6871,0)),1,0))</f>
        <v/>
      </c>
      <c r="AC6872">
        <f>IF(AB6872&gt;AB6871,AB6872,"")</f>
        <v/>
      </c>
    </row>
    <row r="6873">
      <c r="W6873" s="7" t="n"/>
      <c r="X6873" s="7" t="n"/>
      <c r="Z6873">
        <f>Z6872+IF(W6873="",0,IF(ISNA(MATCH(W6873,W$256:W6872,0)),1,0))</f>
        <v/>
      </c>
      <c r="AA6873">
        <f>IF(Z6873&gt;Z6872,Z6873,"")</f>
        <v/>
      </c>
      <c r="AB6873">
        <f>AB6872+IF(X6873="",0,IF(ISNA(MATCH(X6873,X$256:X6872,0)),1,0))</f>
        <v/>
      </c>
      <c r="AC6873">
        <f>IF(AB6873&gt;AB6872,AB6873,"")</f>
        <v/>
      </c>
    </row>
    <row r="6874">
      <c r="W6874" s="7" t="n"/>
      <c r="X6874" s="7" t="n"/>
      <c r="Z6874">
        <f>Z6873+IF(W6874="",0,IF(ISNA(MATCH(W6874,W$256:W6873,0)),1,0))</f>
        <v/>
      </c>
      <c r="AA6874">
        <f>IF(Z6874&gt;Z6873,Z6874,"")</f>
        <v/>
      </c>
      <c r="AB6874">
        <f>AB6873+IF(X6874="",0,IF(ISNA(MATCH(X6874,X$256:X6873,0)),1,0))</f>
        <v/>
      </c>
      <c r="AC6874">
        <f>IF(AB6874&gt;AB6873,AB6874,"")</f>
        <v/>
      </c>
    </row>
    <row r="6875">
      <c r="W6875" s="7" t="n"/>
      <c r="X6875" s="7" t="n"/>
      <c r="Z6875">
        <f>Z6874+IF(W6875="",0,IF(ISNA(MATCH(W6875,W$256:W6874,0)),1,0))</f>
        <v/>
      </c>
      <c r="AA6875">
        <f>IF(Z6875&gt;Z6874,Z6875,"")</f>
        <v/>
      </c>
      <c r="AB6875">
        <f>AB6874+IF(X6875="",0,IF(ISNA(MATCH(X6875,X$256:X6874,0)),1,0))</f>
        <v/>
      </c>
      <c r="AC6875">
        <f>IF(AB6875&gt;AB6874,AB6875,"")</f>
        <v/>
      </c>
    </row>
    <row r="6876">
      <c r="W6876" s="7" t="n"/>
      <c r="X6876" s="7" t="n"/>
      <c r="Z6876">
        <f>Z6875+IF(W6876="",0,IF(ISNA(MATCH(W6876,W$256:W6875,0)),1,0))</f>
        <v/>
      </c>
      <c r="AA6876">
        <f>IF(Z6876&gt;Z6875,Z6876,"")</f>
        <v/>
      </c>
      <c r="AB6876">
        <f>AB6875+IF(X6876="",0,IF(ISNA(MATCH(X6876,X$256:X6875,0)),1,0))</f>
        <v/>
      </c>
      <c r="AC6876">
        <f>IF(AB6876&gt;AB6875,AB6876,"")</f>
        <v/>
      </c>
    </row>
    <row r="6877">
      <c r="W6877" s="7" t="n"/>
      <c r="X6877" s="7" t="n"/>
      <c r="Z6877">
        <f>Z6876+IF(W6877="",0,IF(ISNA(MATCH(W6877,W$256:W6876,0)),1,0))</f>
        <v/>
      </c>
      <c r="AA6877">
        <f>IF(Z6877&gt;Z6876,Z6877,"")</f>
        <v/>
      </c>
      <c r="AB6877">
        <f>AB6876+IF(X6877="",0,IF(ISNA(MATCH(X6877,X$256:X6876,0)),1,0))</f>
        <v/>
      </c>
      <c r="AC6877">
        <f>IF(AB6877&gt;AB6876,AB6877,"")</f>
        <v/>
      </c>
    </row>
    <row r="6878">
      <c r="W6878" s="7" t="n"/>
      <c r="X6878" s="7" t="n"/>
      <c r="Z6878">
        <f>Z6877+IF(W6878="",0,IF(ISNA(MATCH(W6878,W$256:W6877,0)),1,0))</f>
        <v/>
      </c>
      <c r="AA6878">
        <f>IF(Z6878&gt;Z6877,Z6878,"")</f>
        <v/>
      </c>
      <c r="AB6878">
        <f>AB6877+IF(X6878="",0,IF(ISNA(MATCH(X6878,X$256:X6877,0)),1,0))</f>
        <v/>
      </c>
      <c r="AC6878">
        <f>IF(AB6878&gt;AB6877,AB6878,"")</f>
        <v/>
      </c>
    </row>
    <row r="6879">
      <c r="W6879" s="7" t="n"/>
      <c r="X6879" s="7" t="n"/>
      <c r="Z6879">
        <f>Z6878+IF(W6879="",0,IF(ISNA(MATCH(W6879,W$256:W6878,0)),1,0))</f>
        <v/>
      </c>
      <c r="AA6879">
        <f>IF(Z6879&gt;Z6878,Z6879,"")</f>
        <v/>
      </c>
      <c r="AB6879">
        <f>AB6878+IF(X6879="",0,IF(ISNA(MATCH(X6879,X$256:X6878,0)),1,0))</f>
        <v/>
      </c>
      <c r="AC6879">
        <f>IF(AB6879&gt;AB6878,AB6879,"")</f>
        <v/>
      </c>
    </row>
    <row r="6880">
      <c r="W6880" s="7" t="n"/>
      <c r="X6880" s="7" t="n"/>
      <c r="Z6880">
        <f>Z6879+IF(W6880="",0,IF(ISNA(MATCH(W6880,W$256:W6879,0)),1,0))</f>
        <v/>
      </c>
      <c r="AA6880">
        <f>IF(Z6880&gt;Z6879,Z6880,"")</f>
        <v/>
      </c>
      <c r="AB6880">
        <f>AB6879+IF(X6880="",0,IF(ISNA(MATCH(X6880,X$256:X6879,0)),1,0))</f>
        <v/>
      </c>
      <c r="AC6880">
        <f>IF(AB6880&gt;AB6879,AB6880,"")</f>
        <v/>
      </c>
    </row>
    <row r="6881">
      <c r="W6881" s="7" t="n"/>
      <c r="X6881" s="7" t="n"/>
      <c r="Z6881">
        <f>Z6880+IF(W6881="",0,IF(ISNA(MATCH(W6881,W$256:W6880,0)),1,0))</f>
        <v/>
      </c>
      <c r="AA6881">
        <f>IF(Z6881&gt;Z6880,Z6881,"")</f>
        <v/>
      </c>
      <c r="AB6881">
        <f>AB6880+IF(X6881="",0,IF(ISNA(MATCH(X6881,X$256:X6880,0)),1,0))</f>
        <v/>
      </c>
      <c r="AC6881">
        <f>IF(AB6881&gt;AB6880,AB6881,"")</f>
        <v/>
      </c>
    </row>
    <row r="6882">
      <c r="W6882" s="7" t="n"/>
      <c r="X6882" s="7" t="n"/>
      <c r="Z6882">
        <f>Z6881+IF(W6882="",0,IF(ISNA(MATCH(W6882,W$256:W6881,0)),1,0))</f>
        <v/>
      </c>
      <c r="AA6882">
        <f>IF(Z6882&gt;Z6881,Z6882,"")</f>
        <v/>
      </c>
      <c r="AB6882">
        <f>AB6881+IF(X6882="",0,IF(ISNA(MATCH(X6882,X$256:X6881,0)),1,0))</f>
        <v/>
      </c>
      <c r="AC6882">
        <f>IF(AB6882&gt;AB6881,AB6882,"")</f>
        <v/>
      </c>
    </row>
    <row r="6883">
      <c r="W6883" s="7" t="n"/>
      <c r="X6883" s="7" t="n"/>
      <c r="Z6883">
        <f>Z6882+IF(W6883="",0,IF(ISNA(MATCH(W6883,W$256:W6882,0)),1,0))</f>
        <v/>
      </c>
      <c r="AA6883">
        <f>IF(Z6883&gt;Z6882,Z6883,"")</f>
        <v/>
      </c>
      <c r="AB6883">
        <f>AB6882+IF(X6883="",0,IF(ISNA(MATCH(X6883,X$256:X6882,0)),1,0))</f>
        <v/>
      </c>
      <c r="AC6883">
        <f>IF(AB6883&gt;AB6882,AB6883,"")</f>
        <v/>
      </c>
    </row>
    <row r="6884">
      <c r="W6884" s="7" t="n"/>
      <c r="X6884" s="7" t="n"/>
      <c r="Z6884">
        <f>Z6883+IF(W6884="",0,IF(ISNA(MATCH(W6884,W$256:W6883,0)),1,0))</f>
        <v/>
      </c>
      <c r="AA6884">
        <f>IF(Z6884&gt;Z6883,Z6884,"")</f>
        <v/>
      </c>
      <c r="AB6884">
        <f>AB6883+IF(X6884="",0,IF(ISNA(MATCH(X6884,X$256:X6883,0)),1,0))</f>
        <v/>
      </c>
      <c r="AC6884">
        <f>IF(AB6884&gt;AB6883,AB6884,"")</f>
        <v/>
      </c>
    </row>
    <row r="6885">
      <c r="W6885" s="7" t="n"/>
      <c r="X6885" s="7" t="n"/>
      <c r="Z6885">
        <f>Z6884+IF(W6885="",0,IF(ISNA(MATCH(W6885,W$256:W6884,0)),1,0))</f>
        <v/>
      </c>
      <c r="AA6885">
        <f>IF(Z6885&gt;Z6884,Z6885,"")</f>
        <v/>
      </c>
      <c r="AB6885">
        <f>AB6884+IF(X6885="",0,IF(ISNA(MATCH(X6885,X$256:X6884,0)),1,0))</f>
        <v/>
      </c>
      <c r="AC6885">
        <f>IF(AB6885&gt;AB6884,AB6885,"")</f>
        <v/>
      </c>
    </row>
    <row r="6886">
      <c r="W6886" s="7" t="n"/>
      <c r="X6886" s="7" t="n"/>
      <c r="Z6886">
        <f>Z6885+IF(W6886="",0,IF(ISNA(MATCH(W6886,W$256:W6885,0)),1,0))</f>
        <v/>
      </c>
      <c r="AA6886">
        <f>IF(Z6886&gt;Z6885,Z6886,"")</f>
        <v/>
      </c>
      <c r="AB6886">
        <f>AB6885+IF(X6886="",0,IF(ISNA(MATCH(X6886,X$256:X6885,0)),1,0))</f>
        <v/>
      </c>
      <c r="AC6886">
        <f>IF(AB6886&gt;AB6885,AB6886,"")</f>
        <v/>
      </c>
    </row>
    <row r="6887">
      <c r="W6887" s="7" t="n"/>
      <c r="X6887" s="7" t="n"/>
      <c r="Z6887">
        <f>Z6886+IF(W6887="",0,IF(ISNA(MATCH(W6887,W$256:W6886,0)),1,0))</f>
        <v/>
      </c>
      <c r="AA6887">
        <f>IF(Z6887&gt;Z6886,Z6887,"")</f>
        <v/>
      </c>
      <c r="AB6887">
        <f>AB6886+IF(X6887="",0,IF(ISNA(MATCH(X6887,X$256:X6886,0)),1,0))</f>
        <v/>
      </c>
      <c r="AC6887">
        <f>IF(AB6887&gt;AB6886,AB6887,"")</f>
        <v/>
      </c>
    </row>
    <row r="6888">
      <c r="W6888" s="7" t="n"/>
      <c r="X6888" s="7" t="n"/>
      <c r="Z6888">
        <f>Z6887+IF(W6888="",0,IF(ISNA(MATCH(W6888,W$256:W6887,0)),1,0))</f>
        <v/>
      </c>
      <c r="AA6888">
        <f>IF(Z6888&gt;Z6887,Z6888,"")</f>
        <v/>
      </c>
      <c r="AB6888">
        <f>AB6887+IF(X6888="",0,IF(ISNA(MATCH(X6888,X$256:X6887,0)),1,0))</f>
        <v/>
      </c>
      <c r="AC6888">
        <f>IF(AB6888&gt;AB6887,AB6888,"")</f>
        <v/>
      </c>
    </row>
    <row r="6889">
      <c r="W6889" s="7" t="n"/>
      <c r="X6889" s="7" t="n"/>
      <c r="Z6889">
        <f>Z6888+IF(W6889="",0,IF(ISNA(MATCH(W6889,W$256:W6888,0)),1,0))</f>
        <v/>
      </c>
      <c r="AA6889">
        <f>IF(Z6889&gt;Z6888,Z6889,"")</f>
        <v/>
      </c>
      <c r="AB6889">
        <f>AB6888+IF(X6889="",0,IF(ISNA(MATCH(X6889,X$256:X6888,0)),1,0))</f>
        <v/>
      </c>
      <c r="AC6889">
        <f>IF(AB6889&gt;AB6888,AB6889,"")</f>
        <v/>
      </c>
    </row>
    <row r="6890">
      <c r="W6890" s="7" t="n"/>
      <c r="X6890" s="7" t="n"/>
      <c r="Z6890">
        <f>Z6889+IF(W6890="",0,IF(ISNA(MATCH(W6890,W$256:W6889,0)),1,0))</f>
        <v/>
      </c>
      <c r="AA6890">
        <f>IF(Z6890&gt;Z6889,Z6890,"")</f>
        <v/>
      </c>
      <c r="AB6890">
        <f>AB6889+IF(X6890="",0,IF(ISNA(MATCH(X6890,X$256:X6889,0)),1,0))</f>
        <v/>
      </c>
      <c r="AC6890">
        <f>IF(AB6890&gt;AB6889,AB6890,"")</f>
        <v/>
      </c>
    </row>
    <row r="6891">
      <c r="W6891" s="7" t="n"/>
      <c r="X6891" s="7" t="n"/>
      <c r="Z6891">
        <f>Z6890+IF(W6891="",0,IF(ISNA(MATCH(W6891,W$256:W6890,0)),1,0))</f>
        <v/>
      </c>
      <c r="AA6891">
        <f>IF(Z6891&gt;Z6890,Z6891,"")</f>
        <v/>
      </c>
      <c r="AB6891">
        <f>AB6890+IF(X6891="",0,IF(ISNA(MATCH(X6891,X$256:X6890,0)),1,0))</f>
        <v/>
      </c>
      <c r="AC6891">
        <f>IF(AB6891&gt;AB6890,AB6891,"")</f>
        <v/>
      </c>
    </row>
    <row r="6892">
      <c r="W6892" s="7" t="n"/>
      <c r="X6892" s="7" t="n"/>
      <c r="Z6892">
        <f>Z6891+IF(W6892="",0,IF(ISNA(MATCH(W6892,W$256:W6891,0)),1,0))</f>
        <v/>
      </c>
      <c r="AA6892">
        <f>IF(Z6892&gt;Z6891,Z6892,"")</f>
        <v/>
      </c>
      <c r="AB6892">
        <f>AB6891+IF(X6892="",0,IF(ISNA(MATCH(X6892,X$256:X6891,0)),1,0))</f>
        <v/>
      </c>
      <c r="AC6892">
        <f>IF(AB6892&gt;AB6891,AB6892,"")</f>
        <v/>
      </c>
    </row>
    <row r="6893">
      <c r="W6893" s="7" t="n"/>
      <c r="X6893" s="7" t="n"/>
      <c r="Z6893">
        <f>Z6892+IF(W6893="",0,IF(ISNA(MATCH(W6893,W$256:W6892,0)),1,0))</f>
        <v/>
      </c>
      <c r="AA6893">
        <f>IF(Z6893&gt;Z6892,Z6893,"")</f>
        <v/>
      </c>
      <c r="AB6893">
        <f>AB6892+IF(X6893="",0,IF(ISNA(MATCH(X6893,X$256:X6892,0)),1,0))</f>
        <v/>
      </c>
      <c r="AC6893">
        <f>IF(AB6893&gt;AB6892,AB6893,"")</f>
        <v/>
      </c>
    </row>
    <row r="6894">
      <c r="W6894" s="7" t="n"/>
      <c r="X6894" s="7" t="n"/>
      <c r="Z6894">
        <f>Z6893+IF(W6894="",0,IF(ISNA(MATCH(W6894,W$256:W6893,0)),1,0))</f>
        <v/>
      </c>
      <c r="AA6894">
        <f>IF(Z6894&gt;Z6893,Z6894,"")</f>
        <v/>
      </c>
      <c r="AB6894">
        <f>AB6893+IF(X6894="",0,IF(ISNA(MATCH(X6894,X$256:X6893,0)),1,0))</f>
        <v/>
      </c>
      <c r="AC6894">
        <f>IF(AB6894&gt;AB6893,AB6894,"")</f>
        <v/>
      </c>
    </row>
    <row r="6895">
      <c r="W6895" s="7" t="n"/>
      <c r="X6895" s="7" t="n"/>
      <c r="Z6895">
        <f>Z6894+IF(W6895="",0,IF(ISNA(MATCH(W6895,W$256:W6894,0)),1,0))</f>
        <v/>
      </c>
      <c r="AA6895">
        <f>IF(Z6895&gt;Z6894,Z6895,"")</f>
        <v/>
      </c>
      <c r="AB6895">
        <f>AB6894+IF(X6895="",0,IF(ISNA(MATCH(X6895,X$256:X6894,0)),1,0))</f>
        <v/>
      </c>
      <c r="AC6895">
        <f>IF(AB6895&gt;AB6894,AB6895,"")</f>
        <v/>
      </c>
    </row>
    <row r="6896">
      <c r="W6896" s="7" t="n"/>
      <c r="X6896" s="7" t="n"/>
      <c r="Z6896">
        <f>Z6895+IF(W6896="",0,IF(ISNA(MATCH(W6896,W$256:W6895,0)),1,0))</f>
        <v/>
      </c>
      <c r="AA6896">
        <f>IF(Z6896&gt;Z6895,Z6896,"")</f>
        <v/>
      </c>
      <c r="AB6896">
        <f>AB6895+IF(X6896="",0,IF(ISNA(MATCH(X6896,X$256:X6895,0)),1,0))</f>
        <v/>
      </c>
      <c r="AC6896">
        <f>IF(AB6896&gt;AB6895,AB6896,"")</f>
        <v/>
      </c>
    </row>
    <row r="6897">
      <c r="W6897" s="7" t="n"/>
      <c r="X6897" s="7" t="n"/>
      <c r="Z6897">
        <f>Z6896+IF(W6897="",0,IF(ISNA(MATCH(W6897,W$256:W6896,0)),1,0))</f>
        <v/>
      </c>
      <c r="AA6897">
        <f>IF(Z6897&gt;Z6896,Z6897,"")</f>
        <v/>
      </c>
      <c r="AB6897">
        <f>AB6896+IF(X6897="",0,IF(ISNA(MATCH(X6897,X$256:X6896,0)),1,0))</f>
        <v/>
      </c>
      <c r="AC6897">
        <f>IF(AB6897&gt;AB6896,AB6897,"")</f>
        <v/>
      </c>
    </row>
    <row r="6898">
      <c r="W6898" s="7" t="n"/>
      <c r="X6898" s="7" t="n"/>
      <c r="Z6898">
        <f>Z6897+IF(W6898="",0,IF(ISNA(MATCH(W6898,W$256:W6897,0)),1,0))</f>
        <v/>
      </c>
      <c r="AA6898">
        <f>IF(Z6898&gt;Z6897,Z6898,"")</f>
        <v/>
      </c>
      <c r="AB6898">
        <f>AB6897+IF(X6898="",0,IF(ISNA(MATCH(X6898,X$256:X6897,0)),1,0))</f>
        <v/>
      </c>
      <c r="AC6898">
        <f>IF(AB6898&gt;AB6897,AB6898,"")</f>
        <v/>
      </c>
    </row>
    <row r="6899">
      <c r="W6899" s="7" t="n"/>
      <c r="X6899" s="7" t="n"/>
      <c r="Z6899">
        <f>Z6898+IF(W6899="",0,IF(ISNA(MATCH(W6899,W$256:W6898,0)),1,0))</f>
        <v/>
      </c>
      <c r="AA6899">
        <f>IF(Z6899&gt;Z6898,Z6899,"")</f>
        <v/>
      </c>
      <c r="AB6899">
        <f>AB6898+IF(X6899="",0,IF(ISNA(MATCH(X6899,X$256:X6898,0)),1,0))</f>
        <v/>
      </c>
      <c r="AC6899">
        <f>IF(AB6899&gt;AB6898,AB6899,"")</f>
        <v/>
      </c>
    </row>
    <row r="6900">
      <c r="W6900" s="7" t="n"/>
      <c r="X6900" s="7" t="n"/>
      <c r="Z6900">
        <f>Z6899+IF(W6900="",0,IF(ISNA(MATCH(W6900,W$256:W6899,0)),1,0))</f>
        <v/>
      </c>
      <c r="AA6900">
        <f>IF(Z6900&gt;Z6899,Z6900,"")</f>
        <v/>
      </c>
      <c r="AB6900">
        <f>AB6899+IF(X6900="",0,IF(ISNA(MATCH(X6900,X$256:X6899,0)),1,0))</f>
        <v/>
      </c>
      <c r="AC6900">
        <f>IF(AB6900&gt;AB6899,AB6900,"")</f>
        <v/>
      </c>
    </row>
    <row r="6901">
      <c r="W6901" s="7" t="n"/>
      <c r="X6901" s="7" t="n"/>
      <c r="Z6901">
        <f>Z6900+IF(W6901="",0,IF(ISNA(MATCH(W6901,W$256:W6900,0)),1,0))</f>
        <v/>
      </c>
      <c r="AA6901">
        <f>IF(Z6901&gt;Z6900,Z6901,"")</f>
        <v/>
      </c>
      <c r="AB6901">
        <f>AB6900+IF(X6901="",0,IF(ISNA(MATCH(X6901,X$256:X6900,0)),1,0))</f>
        <v/>
      </c>
      <c r="AC6901">
        <f>IF(AB6901&gt;AB6900,AB6901,"")</f>
        <v/>
      </c>
    </row>
    <row r="6902">
      <c r="W6902" s="7" t="n"/>
      <c r="X6902" s="7" t="n"/>
      <c r="Z6902">
        <f>Z6901+IF(W6902="",0,IF(ISNA(MATCH(W6902,W$256:W6901,0)),1,0))</f>
        <v/>
      </c>
      <c r="AA6902">
        <f>IF(Z6902&gt;Z6901,Z6902,"")</f>
        <v/>
      </c>
      <c r="AB6902">
        <f>AB6901+IF(X6902="",0,IF(ISNA(MATCH(X6902,X$256:X6901,0)),1,0))</f>
        <v/>
      </c>
      <c r="AC6902">
        <f>IF(AB6902&gt;AB6901,AB6902,"")</f>
        <v/>
      </c>
    </row>
    <row r="6903">
      <c r="W6903" s="7" t="n"/>
      <c r="X6903" s="7" t="n"/>
      <c r="Z6903">
        <f>Z6902+IF(W6903="",0,IF(ISNA(MATCH(W6903,W$256:W6902,0)),1,0))</f>
        <v/>
      </c>
      <c r="AA6903">
        <f>IF(Z6903&gt;Z6902,Z6903,"")</f>
        <v/>
      </c>
      <c r="AB6903">
        <f>AB6902+IF(X6903="",0,IF(ISNA(MATCH(X6903,X$256:X6902,0)),1,0))</f>
        <v/>
      </c>
      <c r="AC6903">
        <f>IF(AB6903&gt;AB6902,AB6903,"")</f>
        <v/>
      </c>
    </row>
    <row r="6904">
      <c r="W6904" s="7" t="n"/>
      <c r="X6904" s="7" t="n"/>
      <c r="Z6904">
        <f>Z6903+IF(W6904="",0,IF(ISNA(MATCH(W6904,W$256:W6903,0)),1,0))</f>
        <v/>
      </c>
      <c r="AA6904">
        <f>IF(Z6904&gt;Z6903,Z6904,"")</f>
        <v/>
      </c>
      <c r="AB6904">
        <f>AB6903+IF(X6904="",0,IF(ISNA(MATCH(X6904,X$256:X6903,0)),1,0))</f>
        <v/>
      </c>
      <c r="AC6904">
        <f>IF(AB6904&gt;AB6903,AB6904,"")</f>
        <v/>
      </c>
    </row>
    <row r="6905">
      <c r="W6905" s="7" t="n"/>
      <c r="X6905" s="7" t="n"/>
      <c r="Z6905">
        <f>Z6904+IF(W6905="",0,IF(ISNA(MATCH(W6905,W$256:W6904,0)),1,0))</f>
        <v/>
      </c>
      <c r="AA6905">
        <f>IF(Z6905&gt;Z6904,Z6905,"")</f>
        <v/>
      </c>
      <c r="AB6905">
        <f>AB6904+IF(X6905="",0,IF(ISNA(MATCH(X6905,X$256:X6904,0)),1,0))</f>
        <v/>
      </c>
      <c r="AC6905">
        <f>IF(AB6905&gt;AB6904,AB6905,"")</f>
        <v/>
      </c>
    </row>
    <row r="6906">
      <c r="W6906" s="7" t="n"/>
      <c r="X6906" s="7" t="n"/>
      <c r="Z6906">
        <f>Z6905+IF(W6906="",0,IF(ISNA(MATCH(W6906,W$256:W6905,0)),1,0))</f>
        <v/>
      </c>
      <c r="AA6906">
        <f>IF(Z6906&gt;Z6905,Z6906,"")</f>
        <v/>
      </c>
      <c r="AB6906">
        <f>AB6905+IF(X6906="",0,IF(ISNA(MATCH(X6906,X$256:X6905,0)),1,0))</f>
        <v/>
      </c>
      <c r="AC6906">
        <f>IF(AB6906&gt;AB6905,AB6906,"")</f>
        <v/>
      </c>
    </row>
    <row r="6907">
      <c r="W6907" s="7" t="n"/>
      <c r="X6907" s="7" t="n"/>
      <c r="Z6907">
        <f>Z6906+IF(W6907="",0,IF(ISNA(MATCH(W6907,W$256:W6906,0)),1,0))</f>
        <v/>
      </c>
      <c r="AA6907">
        <f>IF(Z6907&gt;Z6906,Z6907,"")</f>
        <v/>
      </c>
      <c r="AB6907">
        <f>AB6906+IF(X6907="",0,IF(ISNA(MATCH(X6907,X$256:X6906,0)),1,0))</f>
        <v/>
      </c>
      <c r="AC6907">
        <f>IF(AB6907&gt;AB6906,AB6907,"")</f>
        <v/>
      </c>
    </row>
    <row r="6908">
      <c r="W6908" s="7" t="n"/>
      <c r="X6908" s="7" t="n"/>
      <c r="Z6908">
        <f>Z6907+IF(W6908="",0,IF(ISNA(MATCH(W6908,W$256:W6907,0)),1,0))</f>
        <v/>
      </c>
      <c r="AA6908">
        <f>IF(Z6908&gt;Z6907,Z6908,"")</f>
        <v/>
      </c>
      <c r="AB6908">
        <f>AB6907+IF(X6908="",0,IF(ISNA(MATCH(X6908,X$256:X6907,0)),1,0))</f>
        <v/>
      </c>
      <c r="AC6908">
        <f>IF(AB6908&gt;AB6907,AB6908,"")</f>
        <v/>
      </c>
    </row>
    <row r="6909">
      <c r="W6909" s="7" t="n"/>
      <c r="X6909" s="7" t="n"/>
      <c r="Z6909">
        <f>Z6908+IF(W6909="",0,IF(ISNA(MATCH(W6909,W$256:W6908,0)),1,0))</f>
        <v/>
      </c>
      <c r="AA6909">
        <f>IF(Z6909&gt;Z6908,Z6909,"")</f>
        <v/>
      </c>
      <c r="AB6909">
        <f>AB6908+IF(X6909="",0,IF(ISNA(MATCH(X6909,X$256:X6908,0)),1,0))</f>
        <v/>
      </c>
      <c r="AC6909">
        <f>IF(AB6909&gt;AB6908,AB6909,"")</f>
        <v/>
      </c>
    </row>
    <row r="6910">
      <c r="W6910" s="7" t="n"/>
      <c r="X6910" s="7" t="n"/>
      <c r="Z6910">
        <f>Z6909+IF(W6910="",0,IF(ISNA(MATCH(W6910,W$256:W6909,0)),1,0))</f>
        <v/>
      </c>
      <c r="AA6910">
        <f>IF(Z6910&gt;Z6909,Z6910,"")</f>
        <v/>
      </c>
      <c r="AB6910">
        <f>AB6909+IF(X6910="",0,IF(ISNA(MATCH(X6910,X$256:X6909,0)),1,0))</f>
        <v/>
      </c>
      <c r="AC6910">
        <f>IF(AB6910&gt;AB6909,AB6910,"")</f>
        <v/>
      </c>
    </row>
    <row r="6911">
      <c r="W6911" s="7" t="n"/>
      <c r="X6911" s="7" t="n"/>
      <c r="Z6911">
        <f>Z6910+IF(W6911="",0,IF(ISNA(MATCH(W6911,W$256:W6910,0)),1,0))</f>
        <v/>
      </c>
      <c r="AA6911">
        <f>IF(Z6911&gt;Z6910,Z6911,"")</f>
        <v/>
      </c>
      <c r="AB6911">
        <f>AB6910+IF(X6911="",0,IF(ISNA(MATCH(X6911,X$256:X6910,0)),1,0))</f>
        <v/>
      </c>
      <c r="AC6911">
        <f>IF(AB6911&gt;AB6910,AB6911,"")</f>
        <v/>
      </c>
    </row>
    <row r="6912">
      <c r="W6912" s="7" t="n"/>
      <c r="X6912" s="7" t="n"/>
      <c r="Z6912">
        <f>Z6911+IF(W6912="",0,IF(ISNA(MATCH(W6912,W$256:W6911,0)),1,0))</f>
        <v/>
      </c>
      <c r="AA6912">
        <f>IF(Z6912&gt;Z6911,Z6912,"")</f>
        <v/>
      </c>
      <c r="AB6912">
        <f>AB6911+IF(X6912="",0,IF(ISNA(MATCH(X6912,X$256:X6911,0)),1,0))</f>
        <v/>
      </c>
      <c r="AC6912">
        <f>IF(AB6912&gt;AB6911,AB6912,"")</f>
        <v/>
      </c>
    </row>
    <row r="6913">
      <c r="W6913" s="7" t="n"/>
      <c r="X6913" s="7" t="n"/>
      <c r="Z6913">
        <f>Z6912+IF(W6913="",0,IF(ISNA(MATCH(W6913,W$256:W6912,0)),1,0))</f>
        <v/>
      </c>
      <c r="AA6913">
        <f>IF(Z6913&gt;Z6912,Z6913,"")</f>
        <v/>
      </c>
      <c r="AB6913">
        <f>AB6912+IF(X6913="",0,IF(ISNA(MATCH(X6913,X$256:X6912,0)),1,0))</f>
        <v/>
      </c>
      <c r="AC6913">
        <f>IF(AB6913&gt;AB6912,AB6913,"")</f>
        <v/>
      </c>
    </row>
    <row r="6914">
      <c r="W6914" s="7" t="n"/>
      <c r="X6914" s="7" t="n"/>
      <c r="Z6914">
        <f>Z6913+IF(W6914="",0,IF(ISNA(MATCH(W6914,W$256:W6913,0)),1,0))</f>
        <v/>
      </c>
      <c r="AA6914">
        <f>IF(Z6914&gt;Z6913,Z6914,"")</f>
        <v/>
      </c>
      <c r="AB6914">
        <f>AB6913+IF(X6914="",0,IF(ISNA(MATCH(X6914,X$256:X6913,0)),1,0))</f>
        <v/>
      </c>
      <c r="AC6914">
        <f>IF(AB6914&gt;AB6913,AB6914,"")</f>
        <v/>
      </c>
    </row>
    <row r="6915">
      <c r="W6915" s="7" t="n"/>
      <c r="X6915" s="7" t="n"/>
      <c r="Z6915">
        <f>Z6914+IF(W6915="",0,IF(ISNA(MATCH(W6915,W$256:W6914,0)),1,0))</f>
        <v/>
      </c>
      <c r="AA6915">
        <f>IF(Z6915&gt;Z6914,Z6915,"")</f>
        <v/>
      </c>
      <c r="AB6915">
        <f>AB6914+IF(X6915="",0,IF(ISNA(MATCH(X6915,X$256:X6914,0)),1,0))</f>
        <v/>
      </c>
      <c r="AC6915">
        <f>IF(AB6915&gt;AB6914,AB6915,"")</f>
        <v/>
      </c>
    </row>
    <row r="6916">
      <c r="W6916" s="7" t="n"/>
      <c r="X6916" s="7" t="n"/>
      <c r="Z6916">
        <f>Z6915+IF(W6916="",0,IF(ISNA(MATCH(W6916,W$256:W6915,0)),1,0))</f>
        <v/>
      </c>
      <c r="AA6916">
        <f>IF(Z6916&gt;Z6915,Z6916,"")</f>
        <v/>
      </c>
      <c r="AB6916">
        <f>AB6915+IF(X6916="",0,IF(ISNA(MATCH(X6916,X$256:X6915,0)),1,0))</f>
        <v/>
      </c>
      <c r="AC6916">
        <f>IF(AB6916&gt;AB6915,AB6916,"")</f>
        <v/>
      </c>
    </row>
    <row r="6917">
      <c r="W6917" s="7" t="n"/>
      <c r="X6917" s="7" t="n"/>
      <c r="Z6917">
        <f>Z6916+IF(W6917="",0,IF(ISNA(MATCH(W6917,W$256:W6916,0)),1,0))</f>
        <v/>
      </c>
      <c r="AA6917">
        <f>IF(Z6917&gt;Z6916,Z6917,"")</f>
        <v/>
      </c>
      <c r="AB6917">
        <f>AB6916+IF(X6917="",0,IF(ISNA(MATCH(X6917,X$256:X6916,0)),1,0))</f>
        <v/>
      </c>
      <c r="AC6917">
        <f>IF(AB6917&gt;AB6916,AB6917,"")</f>
        <v/>
      </c>
    </row>
    <row r="6918">
      <c r="W6918" s="7" t="n"/>
      <c r="X6918" s="7" t="n"/>
      <c r="Z6918">
        <f>Z6917+IF(W6918="",0,IF(ISNA(MATCH(W6918,W$256:W6917,0)),1,0))</f>
        <v/>
      </c>
      <c r="AA6918">
        <f>IF(Z6918&gt;Z6917,Z6918,"")</f>
        <v/>
      </c>
      <c r="AB6918">
        <f>AB6917+IF(X6918="",0,IF(ISNA(MATCH(X6918,X$256:X6917,0)),1,0))</f>
        <v/>
      </c>
      <c r="AC6918">
        <f>IF(AB6918&gt;AB6917,AB6918,"")</f>
        <v/>
      </c>
    </row>
    <row r="6919">
      <c r="W6919" s="7" t="n"/>
      <c r="X6919" s="7" t="n"/>
      <c r="Z6919">
        <f>Z6918+IF(W6919="",0,IF(ISNA(MATCH(W6919,W$256:W6918,0)),1,0))</f>
        <v/>
      </c>
      <c r="AA6919">
        <f>IF(Z6919&gt;Z6918,Z6919,"")</f>
        <v/>
      </c>
      <c r="AB6919">
        <f>AB6918+IF(X6919="",0,IF(ISNA(MATCH(X6919,X$256:X6918,0)),1,0))</f>
        <v/>
      </c>
      <c r="AC6919">
        <f>IF(AB6919&gt;AB6918,AB6919,"")</f>
        <v/>
      </c>
    </row>
    <row r="6920">
      <c r="W6920" s="7" t="n"/>
      <c r="X6920" s="7" t="n"/>
      <c r="Z6920">
        <f>Z6919+IF(W6920="",0,IF(ISNA(MATCH(W6920,W$256:W6919,0)),1,0))</f>
        <v/>
      </c>
      <c r="AA6920">
        <f>IF(Z6920&gt;Z6919,Z6920,"")</f>
        <v/>
      </c>
      <c r="AB6920">
        <f>AB6919+IF(X6920="",0,IF(ISNA(MATCH(X6920,X$256:X6919,0)),1,0))</f>
        <v/>
      </c>
      <c r="AC6920">
        <f>IF(AB6920&gt;AB6919,AB6920,"")</f>
        <v/>
      </c>
    </row>
    <row r="6921">
      <c r="W6921" s="7" t="n"/>
      <c r="X6921" s="7" t="n"/>
      <c r="Z6921">
        <f>Z6920+IF(W6921="",0,IF(ISNA(MATCH(W6921,W$256:W6920,0)),1,0))</f>
        <v/>
      </c>
      <c r="AA6921">
        <f>IF(Z6921&gt;Z6920,Z6921,"")</f>
        <v/>
      </c>
      <c r="AB6921">
        <f>AB6920+IF(X6921="",0,IF(ISNA(MATCH(X6921,X$256:X6920,0)),1,0))</f>
        <v/>
      </c>
      <c r="AC6921">
        <f>IF(AB6921&gt;AB6920,AB6921,"")</f>
        <v/>
      </c>
    </row>
    <row r="6922">
      <c r="W6922" s="7" t="n"/>
      <c r="X6922" s="7" t="n"/>
      <c r="Z6922">
        <f>Z6921+IF(W6922="",0,IF(ISNA(MATCH(W6922,W$256:W6921,0)),1,0))</f>
        <v/>
      </c>
      <c r="AA6922">
        <f>IF(Z6922&gt;Z6921,Z6922,"")</f>
        <v/>
      </c>
      <c r="AB6922">
        <f>AB6921+IF(X6922="",0,IF(ISNA(MATCH(X6922,X$256:X6921,0)),1,0))</f>
        <v/>
      </c>
      <c r="AC6922">
        <f>IF(AB6922&gt;AB6921,AB6922,"")</f>
        <v/>
      </c>
    </row>
    <row r="6923">
      <c r="W6923" s="7" t="n"/>
      <c r="X6923" s="7" t="n"/>
      <c r="Z6923">
        <f>Z6922+IF(W6923="",0,IF(ISNA(MATCH(W6923,W$256:W6922,0)),1,0))</f>
        <v/>
      </c>
      <c r="AA6923">
        <f>IF(Z6923&gt;Z6922,Z6923,"")</f>
        <v/>
      </c>
      <c r="AB6923">
        <f>AB6922+IF(X6923="",0,IF(ISNA(MATCH(X6923,X$256:X6922,0)),1,0))</f>
        <v/>
      </c>
      <c r="AC6923">
        <f>IF(AB6923&gt;AB6922,AB6923,"")</f>
        <v/>
      </c>
    </row>
    <row r="6924">
      <c r="W6924" s="7" t="n"/>
      <c r="X6924" s="7" t="n"/>
      <c r="Z6924">
        <f>Z6923+IF(W6924="",0,IF(ISNA(MATCH(W6924,W$256:W6923,0)),1,0))</f>
        <v/>
      </c>
      <c r="AA6924">
        <f>IF(Z6924&gt;Z6923,Z6924,"")</f>
        <v/>
      </c>
      <c r="AB6924">
        <f>AB6923+IF(X6924="",0,IF(ISNA(MATCH(X6924,X$256:X6923,0)),1,0))</f>
        <v/>
      </c>
      <c r="AC6924">
        <f>IF(AB6924&gt;AB6923,AB6924,"")</f>
        <v/>
      </c>
    </row>
    <row r="6925">
      <c r="W6925" s="7" t="n"/>
      <c r="X6925" s="7" t="n"/>
      <c r="Z6925">
        <f>Z6924+IF(W6925="",0,IF(ISNA(MATCH(W6925,W$256:W6924,0)),1,0))</f>
        <v/>
      </c>
      <c r="AA6925">
        <f>IF(Z6925&gt;Z6924,Z6925,"")</f>
        <v/>
      </c>
      <c r="AB6925">
        <f>AB6924+IF(X6925="",0,IF(ISNA(MATCH(X6925,X$256:X6924,0)),1,0))</f>
        <v/>
      </c>
      <c r="AC6925">
        <f>IF(AB6925&gt;AB6924,AB6925,"")</f>
        <v/>
      </c>
    </row>
    <row r="6926">
      <c r="W6926" s="7" t="n"/>
      <c r="X6926" s="7" t="n"/>
      <c r="Z6926">
        <f>Z6925+IF(W6926="",0,IF(ISNA(MATCH(W6926,W$256:W6925,0)),1,0))</f>
        <v/>
      </c>
      <c r="AA6926">
        <f>IF(Z6926&gt;Z6925,Z6926,"")</f>
        <v/>
      </c>
      <c r="AB6926">
        <f>AB6925+IF(X6926="",0,IF(ISNA(MATCH(X6926,X$256:X6925,0)),1,0))</f>
        <v/>
      </c>
      <c r="AC6926">
        <f>IF(AB6926&gt;AB6925,AB6926,"")</f>
        <v/>
      </c>
    </row>
    <row r="6927">
      <c r="W6927" s="7" t="n"/>
      <c r="X6927" s="7" t="n"/>
      <c r="Z6927">
        <f>Z6926+IF(W6927="",0,IF(ISNA(MATCH(W6927,W$256:W6926,0)),1,0))</f>
        <v/>
      </c>
      <c r="AA6927">
        <f>IF(Z6927&gt;Z6926,Z6927,"")</f>
        <v/>
      </c>
      <c r="AB6927">
        <f>AB6926+IF(X6927="",0,IF(ISNA(MATCH(X6927,X$256:X6926,0)),1,0))</f>
        <v/>
      </c>
      <c r="AC6927">
        <f>IF(AB6927&gt;AB6926,AB6927,"")</f>
        <v/>
      </c>
    </row>
    <row r="6928">
      <c r="W6928" s="7" t="n"/>
      <c r="X6928" s="7" t="n"/>
      <c r="Z6928">
        <f>Z6927+IF(W6928="",0,IF(ISNA(MATCH(W6928,W$256:W6927,0)),1,0))</f>
        <v/>
      </c>
      <c r="AA6928">
        <f>IF(Z6928&gt;Z6927,Z6928,"")</f>
        <v/>
      </c>
      <c r="AB6928">
        <f>AB6927+IF(X6928="",0,IF(ISNA(MATCH(X6928,X$256:X6927,0)),1,0))</f>
        <v/>
      </c>
      <c r="AC6928">
        <f>IF(AB6928&gt;AB6927,AB6928,"")</f>
        <v/>
      </c>
    </row>
    <row r="6929">
      <c r="W6929" s="7" t="n"/>
      <c r="X6929" s="7" t="n"/>
      <c r="Z6929">
        <f>Z6928+IF(W6929="",0,IF(ISNA(MATCH(W6929,W$256:W6928,0)),1,0))</f>
        <v/>
      </c>
      <c r="AA6929">
        <f>IF(Z6929&gt;Z6928,Z6929,"")</f>
        <v/>
      </c>
      <c r="AB6929">
        <f>AB6928+IF(X6929="",0,IF(ISNA(MATCH(X6929,X$256:X6928,0)),1,0))</f>
        <v/>
      </c>
      <c r="AC6929">
        <f>IF(AB6929&gt;AB6928,AB6929,"")</f>
        <v/>
      </c>
    </row>
    <row r="6930">
      <c r="W6930" s="7" t="n"/>
      <c r="X6930" s="7" t="n"/>
      <c r="Z6930">
        <f>Z6929+IF(W6930="",0,IF(ISNA(MATCH(W6930,W$256:W6929,0)),1,0))</f>
        <v/>
      </c>
      <c r="AA6930">
        <f>IF(Z6930&gt;Z6929,Z6930,"")</f>
        <v/>
      </c>
      <c r="AB6930">
        <f>AB6929+IF(X6930="",0,IF(ISNA(MATCH(X6930,X$256:X6929,0)),1,0))</f>
        <v/>
      </c>
      <c r="AC6930">
        <f>IF(AB6930&gt;AB6929,AB6930,"")</f>
        <v/>
      </c>
    </row>
    <row r="6931">
      <c r="W6931" s="7" t="n"/>
      <c r="X6931" s="7" t="n"/>
      <c r="Z6931">
        <f>Z6930+IF(W6931="",0,IF(ISNA(MATCH(W6931,W$256:W6930,0)),1,0))</f>
        <v/>
      </c>
      <c r="AA6931">
        <f>IF(Z6931&gt;Z6930,Z6931,"")</f>
        <v/>
      </c>
      <c r="AB6931">
        <f>AB6930+IF(X6931="",0,IF(ISNA(MATCH(X6931,X$256:X6930,0)),1,0))</f>
        <v/>
      </c>
      <c r="AC6931">
        <f>IF(AB6931&gt;AB6930,AB6931,"")</f>
        <v/>
      </c>
    </row>
    <row r="6932">
      <c r="W6932" s="7" t="n"/>
      <c r="X6932" s="7" t="n"/>
      <c r="Z6932">
        <f>Z6931+IF(W6932="",0,IF(ISNA(MATCH(W6932,W$256:W6931,0)),1,0))</f>
        <v/>
      </c>
      <c r="AA6932">
        <f>IF(Z6932&gt;Z6931,Z6932,"")</f>
        <v/>
      </c>
      <c r="AB6932">
        <f>AB6931+IF(X6932="",0,IF(ISNA(MATCH(X6932,X$256:X6931,0)),1,0))</f>
        <v/>
      </c>
      <c r="AC6932">
        <f>IF(AB6932&gt;AB6931,AB6932,"")</f>
        <v/>
      </c>
    </row>
    <row r="6933">
      <c r="W6933" s="7" t="n"/>
      <c r="X6933" s="7" t="n"/>
      <c r="Z6933">
        <f>Z6932+IF(W6933="",0,IF(ISNA(MATCH(W6933,W$256:W6932,0)),1,0))</f>
        <v/>
      </c>
      <c r="AA6933">
        <f>IF(Z6933&gt;Z6932,Z6933,"")</f>
        <v/>
      </c>
      <c r="AB6933">
        <f>AB6932+IF(X6933="",0,IF(ISNA(MATCH(X6933,X$256:X6932,0)),1,0))</f>
        <v/>
      </c>
      <c r="AC6933">
        <f>IF(AB6933&gt;AB6932,AB6933,"")</f>
        <v/>
      </c>
    </row>
    <row r="6934">
      <c r="W6934" s="7" t="n"/>
      <c r="X6934" s="7" t="n"/>
      <c r="Z6934">
        <f>Z6933+IF(W6934="",0,IF(ISNA(MATCH(W6934,W$256:W6933,0)),1,0))</f>
        <v/>
      </c>
      <c r="AA6934">
        <f>IF(Z6934&gt;Z6933,Z6934,"")</f>
        <v/>
      </c>
      <c r="AB6934">
        <f>AB6933+IF(X6934="",0,IF(ISNA(MATCH(X6934,X$256:X6933,0)),1,0))</f>
        <v/>
      </c>
      <c r="AC6934">
        <f>IF(AB6934&gt;AB6933,AB6934,"")</f>
        <v/>
      </c>
    </row>
    <row r="6935">
      <c r="W6935" s="7" t="n"/>
      <c r="X6935" s="7" t="n"/>
      <c r="Z6935">
        <f>Z6934+IF(W6935="",0,IF(ISNA(MATCH(W6935,W$256:W6934,0)),1,0))</f>
        <v/>
      </c>
      <c r="AA6935">
        <f>IF(Z6935&gt;Z6934,Z6935,"")</f>
        <v/>
      </c>
      <c r="AB6935">
        <f>AB6934+IF(X6935="",0,IF(ISNA(MATCH(X6935,X$256:X6934,0)),1,0))</f>
        <v/>
      </c>
      <c r="AC6935">
        <f>IF(AB6935&gt;AB6934,AB6935,"")</f>
        <v/>
      </c>
    </row>
    <row r="6936">
      <c r="W6936" s="7" t="n"/>
      <c r="X6936" s="7" t="n"/>
      <c r="Z6936">
        <f>Z6935+IF(W6936="",0,IF(ISNA(MATCH(W6936,W$256:W6935,0)),1,0))</f>
        <v/>
      </c>
      <c r="AA6936">
        <f>IF(Z6936&gt;Z6935,Z6936,"")</f>
        <v/>
      </c>
      <c r="AB6936">
        <f>AB6935+IF(X6936="",0,IF(ISNA(MATCH(X6936,X$256:X6935,0)),1,0))</f>
        <v/>
      </c>
      <c r="AC6936">
        <f>IF(AB6936&gt;AB6935,AB6936,"")</f>
        <v/>
      </c>
    </row>
    <row r="6937">
      <c r="W6937" s="7" t="n"/>
      <c r="X6937" s="7" t="n"/>
      <c r="Z6937">
        <f>Z6936+IF(W6937="",0,IF(ISNA(MATCH(W6937,W$256:W6936,0)),1,0))</f>
        <v/>
      </c>
      <c r="AA6937">
        <f>IF(Z6937&gt;Z6936,Z6937,"")</f>
        <v/>
      </c>
      <c r="AB6937">
        <f>AB6936+IF(X6937="",0,IF(ISNA(MATCH(X6937,X$256:X6936,0)),1,0))</f>
        <v/>
      </c>
      <c r="AC6937">
        <f>IF(AB6937&gt;AB6936,AB6937,"")</f>
        <v/>
      </c>
    </row>
    <row r="6938">
      <c r="W6938" s="7" t="n"/>
      <c r="X6938" s="7" t="n"/>
      <c r="Z6938">
        <f>Z6937+IF(W6938="",0,IF(ISNA(MATCH(W6938,W$256:W6937,0)),1,0))</f>
        <v/>
      </c>
      <c r="AA6938">
        <f>IF(Z6938&gt;Z6937,Z6938,"")</f>
        <v/>
      </c>
      <c r="AB6938">
        <f>AB6937+IF(X6938="",0,IF(ISNA(MATCH(X6938,X$256:X6937,0)),1,0))</f>
        <v/>
      </c>
      <c r="AC6938">
        <f>IF(AB6938&gt;AB6937,AB6938,"")</f>
        <v/>
      </c>
    </row>
    <row r="6939">
      <c r="W6939" s="7" t="n"/>
      <c r="X6939" s="7" t="n"/>
      <c r="Z6939">
        <f>Z6938+IF(W6939="",0,IF(ISNA(MATCH(W6939,W$256:W6938,0)),1,0))</f>
        <v/>
      </c>
      <c r="AA6939">
        <f>IF(Z6939&gt;Z6938,Z6939,"")</f>
        <v/>
      </c>
      <c r="AB6939">
        <f>AB6938+IF(X6939="",0,IF(ISNA(MATCH(X6939,X$256:X6938,0)),1,0))</f>
        <v/>
      </c>
      <c r="AC6939">
        <f>IF(AB6939&gt;AB6938,AB6939,"")</f>
        <v/>
      </c>
    </row>
    <row r="6940">
      <c r="W6940" s="7" t="n"/>
      <c r="X6940" s="7" t="n"/>
      <c r="Z6940">
        <f>Z6939+IF(W6940="",0,IF(ISNA(MATCH(W6940,W$256:W6939,0)),1,0))</f>
        <v/>
      </c>
      <c r="AA6940">
        <f>IF(Z6940&gt;Z6939,Z6940,"")</f>
        <v/>
      </c>
      <c r="AB6940">
        <f>AB6939+IF(X6940="",0,IF(ISNA(MATCH(X6940,X$256:X6939,0)),1,0))</f>
        <v/>
      </c>
      <c r="AC6940">
        <f>IF(AB6940&gt;AB6939,AB6940,"")</f>
        <v/>
      </c>
    </row>
    <row r="6941">
      <c r="W6941" s="7" t="n"/>
      <c r="X6941" s="7" t="n"/>
      <c r="Z6941">
        <f>Z6940+IF(W6941="",0,IF(ISNA(MATCH(W6941,W$256:W6940,0)),1,0))</f>
        <v/>
      </c>
      <c r="AA6941">
        <f>IF(Z6941&gt;Z6940,Z6941,"")</f>
        <v/>
      </c>
      <c r="AB6941">
        <f>AB6940+IF(X6941="",0,IF(ISNA(MATCH(X6941,X$256:X6940,0)),1,0))</f>
        <v/>
      </c>
      <c r="AC6941">
        <f>IF(AB6941&gt;AB6940,AB6941,"")</f>
        <v/>
      </c>
    </row>
    <row r="6942">
      <c r="W6942" s="7" t="n"/>
      <c r="X6942" s="7" t="n"/>
      <c r="Z6942">
        <f>Z6941+IF(W6942="",0,IF(ISNA(MATCH(W6942,W$256:W6941,0)),1,0))</f>
        <v/>
      </c>
      <c r="AA6942">
        <f>IF(Z6942&gt;Z6941,Z6942,"")</f>
        <v/>
      </c>
      <c r="AB6942">
        <f>AB6941+IF(X6942="",0,IF(ISNA(MATCH(X6942,X$256:X6941,0)),1,0))</f>
        <v/>
      </c>
      <c r="AC6942">
        <f>IF(AB6942&gt;AB6941,AB6942,"")</f>
        <v/>
      </c>
    </row>
    <row r="6943">
      <c r="W6943" s="7" t="n"/>
      <c r="X6943" s="7" t="n"/>
      <c r="Z6943">
        <f>Z6942+IF(W6943="",0,IF(ISNA(MATCH(W6943,W$256:W6942,0)),1,0))</f>
        <v/>
      </c>
      <c r="AA6943">
        <f>IF(Z6943&gt;Z6942,Z6943,"")</f>
        <v/>
      </c>
      <c r="AB6943">
        <f>AB6942+IF(X6943="",0,IF(ISNA(MATCH(X6943,X$256:X6942,0)),1,0))</f>
        <v/>
      </c>
      <c r="AC6943">
        <f>IF(AB6943&gt;AB6942,AB6943,"")</f>
        <v/>
      </c>
    </row>
    <row r="6944">
      <c r="W6944" s="7" t="n"/>
      <c r="X6944" s="7" t="n"/>
      <c r="Z6944">
        <f>Z6943+IF(W6944="",0,IF(ISNA(MATCH(W6944,W$256:W6943,0)),1,0))</f>
        <v/>
      </c>
      <c r="AA6944">
        <f>IF(Z6944&gt;Z6943,Z6944,"")</f>
        <v/>
      </c>
      <c r="AB6944">
        <f>AB6943+IF(X6944="",0,IF(ISNA(MATCH(X6944,X$256:X6943,0)),1,0))</f>
        <v/>
      </c>
      <c r="AC6944">
        <f>IF(AB6944&gt;AB6943,AB6944,"")</f>
        <v/>
      </c>
    </row>
    <row r="6945">
      <c r="W6945" s="7" t="n"/>
      <c r="X6945" s="7" t="n"/>
      <c r="Z6945">
        <f>Z6944+IF(W6945="",0,IF(ISNA(MATCH(W6945,W$256:W6944,0)),1,0))</f>
        <v/>
      </c>
      <c r="AA6945">
        <f>IF(Z6945&gt;Z6944,Z6945,"")</f>
        <v/>
      </c>
      <c r="AB6945">
        <f>AB6944+IF(X6945="",0,IF(ISNA(MATCH(X6945,X$256:X6944,0)),1,0))</f>
        <v/>
      </c>
      <c r="AC6945">
        <f>IF(AB6945&gt;AB6944,AB6945,"")</f>
        <v/>
      </c>
    </row>
    <row r="6946">
      <c r="W6946" s="7" t="n"/>
      <c r="X6946" s="7" t="n"/>
      <c r="Z6946">
        <f>Z6945+IF(W6946="",0,IF(ISNA(MATCH(W6946,W$256:W6945,0)),1,0))</f>
        <v/>
      </c>
      <c r="AA6946">
        <f>IF(Z6946&gt;Z6945,Z6946,"")</f>
        <v/>
      </c>
      <c r="AB6946">
        <f>AB6945+IF(X6946="",0,IF(ISNA(MATCH(X6946,X$256:X6945,0)),1,0))</f>
        <v/>
      </c>
      <c r="AC6946">
        <f>IF(AB6946&gt;AB6945,AB6946,"")</f>
        <v/>
      </c>
    </row>
    <row r="6947">
      <c r="W6947" s="7" t="n"/>
      <c r="X6947" s="7" t="n"/>
      <c r="Z6947">
        <f>Z6946+IF(W6947="",0,IF(ISNA(MATCH(W6947,W$256:W6946,0)),1,0))</f>
        <v/>
      </c>
      <c r="AA6947">
        <f>IF(Z6947&gt;Z6946,Z6947,"")</f>
        <v/>
      </c>
      <c r="AB6947">
        <f>AB6946+IF(X6947="",0,IF(ISNA(MATCH(X6947,X$256:X6946,0)),1,0))</f>
        <v/>
      </c>
      <c r="AC6947">
        <f>IF(AB6947&gt;AB6946,AB6947,"")</f>
        <v/>
      </c>
    </row>
    <row r="6948">
      <c r="W6948" s="7" t="n"/>
      <c r="X6948" s="7" t="n"/>
      <c r="Z6948">
        <f>Z6947+IF(W6948="",0,IF(ISNA(MATCH(W6948,W$256:W6947,0)),1,0))</f>
        <v/>
      </c>
      <c r="AA6948">
        <f>IF(Z6948&gt;Z6947,Z6948,"")</f>
        <v/>
      </c>
      <c r="AB6948">
        <f>AB6947+IF(X6948="",0,IF(ISNA(MATCH(X6948,X$256:X6947,0)),1,0))</f>
        <v/>
      </c>
      <c r="AC6948">
        <f>IF(AB6948&gt;AB6947,AB6948,"")</f>
        <v/>
      </c>
    </row>
    <row r="6949">
      <c r="W6949" s="7" t="n"/>
      <c r="X6949" s="7" t="n"/>
      <c r="Z6949">
        <f>Z6948+IF(W6949="",0,IF(ISNA(MATCH(W6949,W$256:W6948,0)),1,0))</f>
        <v/>
      </c>
      <c r="AA6949">
        <f>IF(Z6949&gt;Z6948,Z6949,"")</f>
        <v/>
      </c>
      <c r="AB6949">
        <f>AB6948+IF(X6949="",0,IF(ISNA(MATCH(X6949,X$256:X6948,0)),1,0))</f>
        <v/>
      </c>
      <c r="AC6949">
        <f>IF(AB6949&gt;AB6948,AB6949,"")</f>
        <v/>
      </c>
    </row>
    <row r="6950">
      <c r="W6950" s="7" t="n"/>
      <c r="X6950" s="7" t="n"/>
      <c r="Z6950">
        <f>Z6949+IF(W6950="",0,IF(ISNA(MATCH(W6950,W$256:W6949,0)),1,0))</f>
        <v/>
      </c>
      <c r="AA6950">
        <f>IF(Z6950&gt;Z6949,Z6950,"")</f>
        <v/>
      </c>
      <c r="AB6950">
        <f>AB6949+IF(X6950="",0,IF(ISNA(MATCH(X6950,X$256:X6949,0)),1,0))</f>
        <v/>
      </c>
      <c r="AC6950">
        <f>IF(AB6950&gt;AB6949,AB6950,"")</f>
        <v/>
      </c>
    </row>
    <row r="6951">
      <c r="W6951" s="7" t="n"/>
      <c r="X6951" s="7" t="n"/>
      <c r="Z6951">
        <f>Z6950+IF(W6951="",0,IF(ISNA(MATCH(W6951,W$256:W6950,0)),1,0))</f>
        <v/>
      </c>
      <c r="AA6951">
        <f>IF(Z6951&gt;Z6950,Z6951,"")</f>
        <v/>
      </c>
      <c r="AB6951">
        <f>AB6950+IF(X6951="",0,IF(ISNA(MATCH(X6951,X$256:X6950,0)),1,0))</f>
        <v/>
      </c>
      <c r="AC6951">
        <f>IF(AB6951&gt;AB6950,AB6951,"")</f>
        <v/>
      </c>
    </row>
    <row r="6952">
      <c r="W6952" s="7" t="n"/>
      <c r="X6952" s="7" t="n"/>
      <c r="Z6952">
        <f>Z6951+IF(W6952="",0,IF(ISNA(MATCH(W6952,W$256:W6951,0)),1,0))</f>
        <v/>
      </c>
      <c r="AA6952">
        <f>IF(Z6952&gt;Z6951,Z6952,"")</f>
        <v/>
      </c>
      <c r="AB6952">
        <f>AB6951+IF(X6952="",0,IF(ISNA(MATCH(X6952,X$256:X6951,0)),1,0))</f>
        <v/>
      </c>
      <c r="AC6952">
        <f>IF(AB6952&gt;AB6951,AB6952,"")</f>
        <v/>
      </c>
    </row>
    <row r="6953">
      <c r="W6953" s="7" t="n"/>
      <c r="X6953" s="7" t="n"/>
      <c r="Z6953">
        <f>Z6952+IF(W6953="",0,IF(ISNA(MATCH(W6953,W$256:W6952,0)),1,0))</f>
        <v/>
      </c>
      <c r="AA6953">
        <f>IF(Z6953&gt;Z6952,Z6953,"")</f>
        <v/>
      </c>
      <c r="AB6953">
        <f>AB6952+IF(X6953="",0,IF(ISNA(MATCH(X6953,X$256:X6952,0)),1,0))</f>
        <v/>
      </c>
      <c r="AC6953">
        <f>IF(AB6953&gt;AB6952,AB6953,"")</f>
        <v/>
      </c>
    </row>
    <row r="6954">
      <c r="W6954" s="7" t="n"/>
      <c r="X6954" s="7" t="n"/>
      <c r="Z6954">
        <f>Z6953+IF(W6954="",0,IF(ISNA(MATCH(W6954,W$256:W6953,0)),1,0))</f>
        <v/>
      </c>
      <c r="AA6954">
        <f>IF(Z6954&gt;Z6953,Z6954,"")</f>
        <v/>
      </c>
      <c r="AB6954">
        <f>AB6953+IF(X6954="",0,IF(ISNA(MATCH(X6954,X$256:X6953,0)),1,0))</f>
        <v/>
      </c>
      <c r="AC6954">
        <f>IF(AB6954&gt;AB6953,AB6954,"")</f>
        <v/>
      </c>
    </row>
    <row r="6955">
      <c r="W6955" s="7" t="n"/>
      <c r="X6955" s="7" t="n"/>
      <c r="Z6955">
        <f>Z6954+IF(W6955="",0,IF(ISNA(MATCH(W6955,W$256:W6954,0)),1,0))</f>
        <v/>
      </c>
      <c r="AA6955">
        <f>IF(Z6955&gt;Z6954,Z6955,"")</f>
        <v/>
      </c>
      <c r="AB6955">
        <f>AB6954+IF(X6955="",0,IF(ISNA(MATCH(X6955,X$256:X6954,0)),1,0))</f>
        <v/>
      </c>
      <c r="AC6955">
        <f>IF(AB6955&gt;AB6954,AB6955,"")</f>
        <v/>
      </c>
    </row>
    <row r="6956">
      <c r="W6956" s="7" t="n"/>
      <c r="X6956" s="7" t="n"/>
      <c r="Z6956">
        <f>Z6955+IF(W6956="",0,IF(ISNA(MATCH(W6956,W$256:W6955,0)),1,0))</f>
        <v/>
      </c>
      <c r="AA6956">
        <f>IF(Z6956&gt;Z6955,Z6956,"")</f>
        <v/>
      </c>
      <c r="AB6956">
        <f>AB6955+IF(X6956="",0,IF(ISNA(MATCH(X6956,X$256:X6955,0)),1,0))</f>
        <v/>
      </c>
      <c r="AC6956">
        <f>IF(AB6956&gt;AB6955,AB6956,"")</f>
        <v/>
      </c>
    </row>
    <row r="6957">
      <c r="W6957" s="7" t="n"/>
      <c r="X6957" s="7" t="n"/>
      <c r="Z6957">
        <f>Z6956+IF(W6957="",0,IF(ISNA(MATCH(W6957,W$256:W6956,0)),1,0))</f>
        <v/>
      </c>
      <c r="AA6957">
        <f>IF(Z6957&gt;Z6956,Z6957,"")</f>
        <v/>
      </c>
      <c r="AB6957">
        <f>AB6956+IF(X6957="",0,IF(ISNA(MATCH(X6957,X$256:X6956,0)),1,0))</f>
        <v/>
      </c>
      <c r="AC6957">
        <f>IF(AB6957&gt;AB6956,AB6957,"")</f>
        <v/>
      </c>
    </row>
    <row r="6958">
      <c r="W6958" s="7" t="n"/>
      <c r="X6958" s="7" t="n"/>
      <c r="Z6958">
        <f>Z6957+IF(W6958="",0,IF(ISNA(MATCH(W6958,W$256:W6957,0)),1,0))</f>
        <v/>
      </c>
      <c r="AA6958">
        <f>IF(Z6958&gt;Z6957,Z6958,"")</f>
        <v/>
      </c>
      <c r="AB6958">
        <f>AB6957+IF(X6958="",0,IF(ISNA(MATCH(X6958,X$256:X6957,0)),1,0))</f>
        <v/>
      </c>
      <c r="AC6958">
        <f>IF(AB6958&gt;AB6957,AB6958,"")</f>
        <v/>
      </c>
    </row>
    <row r="6959">
      <c r="W6959" s="7" t="n"/>
      <c r="X6959" s="7" t="n"/>
      <c r="Z6959">
        <f>Z6958+IF(W6959="",0,IF(ISNA(MATCH(W6959,W$256:W6958,0)),1,0))</f>
        <v/>
      </c>
      <c r="AA6959">
        <f>IF(Z6959&gt;Z6958,Z6959,"")</f>
        <v/>
      </c>
      <c r="AB6959">
        <f>AB6958+IF(X6959="",0,IF(ISNA(MATCH(X6959,X$256:X6958,0)),1,0))</f>
        <v/>
      </c>
      <c r="AC6959">
        <f>IF(AB6959&gt;AB6958,AB6959,"")</f>
        <v/>
      </c>
    </row>
    <row r="6960">
      <c r="W6960" s="7" t="n"/>
      <c r="X6960" s="7" t="n"/>
      <c r="Z6960">
        <f>Z6959+IF(W6960="",0,IF(ISNA(MATCH(W6960,W$256:W6959,0)),1,0))</f>
        <v/>
      </c>
      <c r="AA6960">
        <f>IF(Z6960&gt;Z6959,Z6960,"")</f>
        <v/>
      </c>
      <c r="AB6960">
        <f>AB6959+IF(X6960="",0,IF(ISNA(MATCH(X6960,X$256:X6959,0)),1,0))</f>
        <v/>
      </c>
      <c r="AC6960">
        <f>IF(AB6960&gt;AB6959,AB6960,"")</f>
        <v/>
      </c>
    </row>
    <row r="6961">
      <c r="W6961" s="7" t="n"/>
      <c r="X6961" s="7" t="n"/>
      <c r="Z6961">
        <f>Z6960+IF(W6961="",0,IF(ISNA(MATCH(W6961,W$256:W6960,0)),1,0))</f>
        <v/>
      </c>
      <c r="AA6961">
        <f>IF(Z6961&gt;Z6960,Z6961,"")</f>
        <v/>
      </c>
      <c r="AB6961">
        <f>AB6960+IF(X6961="",0,IF(ISNA(MATCH(X6961,X$256:X6960,0)),1,0))</f>
        <v/>
      </c>
      <c r="AC6961">
        <f>IF(AB6961&gt;AB6960,AB6961,"")</f>
        <v/>
      </c>
    </row>
    <row r="6962">
      <c r="W6962" s="7" t="n"/>
      <c r="X6962" s="7" t="n"/>
      <c r="Z6962">
        <f>Z6961+IF(W6962="",0,IF(ISNA(MATCH(W6962,W$256:W6961,0)),1,0))</f>
        <v/>
      </c>
      <c r="AA6962">
        <f>IF(Z6962&gt;Z6961,Z6962,"")</f>
        <v/>
      </c>
      <c r="AB6962">
        <f>AB6961+IF(X6962="",0,IF(ISNA(MATCH(X6962,X$256:X6961,0)),1,0))</f>
        <v/>
      </c>
      <c r="AC6962">
        <f>IF(AB6962&gt;AB6961,AB6962,"")</f>
        <v/>
      </c>
    </row>
    <row r="6963">
      <c r="W6963" s="7" t="n"/>
      <c r="X6963" s="7" t="n"/>
      <c r="Z6963">
        <f>Z6962+IF(W6963="",0,IF(ISNA(MATCH(W6963,W$256:W6962,0)),1,0))</f>
        <v/>
      </c>
      <c r="AA6963">
        <f>IF(Z6963&gt;Z6962,Z6963,"")</f>
        <v/>
      </c>
      <c r="AB6963">
        <f>AB6962+IF(X6963="",0,IF(ISNA(MATCH(X6963,X$256:X6962,0)),1,0))</f>
        <v/>
      </c>
      <c r="AC6963">
        <f>IF(AB6963&gt;AB6962,AB6963,"")</f>
        <v/>
      </c>
    </row>
    <row r="6964">
      <c r="W6964" s="7" t="n"/>
      <c r="X6964" s="7" t="n"/>
      <c r="Z6964">
        <f>Z6963+IF(W6964="",0,IF(ISNA(MATCH(W6964,W$256:W6963,0)),1,0))</f>
        <v/>
      </c>
      <c r="AA6964">
        <f>IF(Z6964&gt;Z6963,Z6964,"")</f>
        <v/>
      </c>
      <c r="AB6964">
        <f>AB6963+IF(X6964="",0,IF(ISNA(MATCH(X6964,X$256:X6963,0)),1,0))</f>
        <v/>
      </c>
      <c r="AC6964">
        <f>IF(AB6964&gt;AB6963,AB6964,"")</f>
        <v/>
      </c>
    </row>
    <row r="6965">
      <c r="W6965" s="7" t="n"/>
      <c r="X6965" s="7" t="n"/>
      <c r="Z6965">
        <f>Z6964+IF(W6965="",0,IF(ISNA(MATCH(W6965,W$256:W6964,0)),1,0))</f>
        <v/>
      </c>
      <c r="AA6965">
        <f>IF(Z6965&gt;Z6964,Z6965,"")</f>
        <v/>
      </c>
      <c r="AB6965">
        <f>AB6964+IF(X6965="",0,IF(ISNA(MATCH(X6965,X$256:X6964,0)),1,0))</f>
        <v/>
      </c>
      <c r="AC6965">
        <f>IF(AB6965&gt;AB6964,AB6965,"")</f>
        <v/>
      </c>
    </row>
    <row r="6966">
      <c r="W6966" s="7" t="n"/>
      <c r="X6966" s="7" t="n"/>
      <c r="Z6966">
        <f>Z6965+IF(W6966="",0,IF(ISNA(MATCH(W6966,W$256:W6965,0)),1,0))</f>
        <v/>
      </c>
      <c r="AA6966">
        <f>IF(Z6966&gt;Z6965,Z6966,"")</f>
        <v/>
      </c>
      <c r="AB6966">
        <f>AB6965+IF(X6966="",0,IF(ISNA(MATCH(X6966,X$256:X6965,0)),1,0))</f>
        <v/>
      </c>
      <c r="AC6966">
        <f>IF(AB6966&gt;AB6965,AB6966,"")</f>
        <v/>
      </c>
    </row>
    <row r="6967">
      <c r="W6967" s="7" t="n"/>
      <c r="X6967" s="7" t="n"/>
      <c r="Z6967">
        <f>Z6966+IF(W6967="",0,IF(ISNA(MATCH(W6967,W$256:W6966,0)),1,0))</f>
        <v/>
      </c>
      <c r="AA6967">
        <f>IF(Z6967&gt;Z6966,Z6967,"")</f>
        <v/>
      </c>
      <c r="AB6967">
        <f>AB6966+IF(X6967="",0,IF(ISNA(MATCH(X6967,X$256:X6966,0)),1,0))</f>
        <v/>
      </c>
      <c r="AC6967">
        <f>IF(AB6967&gt;AB6966,AB6967,"")</f>
        <v/>
      </c>
    </row>
    <row r="6968">
      <c r="W6968" s="7" t="n"/>
      <c r="X6968" s="7" t="n"/>
      <c r="Z6968">
        <f>Z6967+IF(W6968="",0,IF(ISNA(MATCH(W6968,W$256:W6967,0)),1,0))</f>
        <v/>
      </c>
      <c r="AA6968">
        <f>IF(Z6968&gt;Z6967,Z6968,"")</f>
        <v/>
      </c>
      <c r="AB6968">
        <f>AB6967+IF(X6968="",0,IF(ISNA(MATCH(X6968,X$256:X6967,0)),1,0))</f>
        <v/>
      </c>
      <c r="AC6968">
        <f>IF(AB6968&gt;AB6967,AB6968,"")</f>
        <v/>
      </c>
    </row>
    <row r="6969">
      <c r="W6969" s="7" t="n"/>
      <c r="X6969" s="7" t="n"/>
      <c r="Z6969">
        <f>Z6968+IF(W6969="",0,IF(ISNA(MATCH(W6969,W$256:W6968,0)),1,0))</f>
        <v/>
      </c>
      <c r="AA6969">
        <f>IF(Z6969&gt;Z6968,Z6969,"")</f>
        <v/>
      </c>
      <c r="AB6969">
        <f>AB6968+IF(X6969="",0,IF(ISNA(MATCH(X6969,X$256:X6968,0)),1,0))</f>
        <v/>
      </c>
      <c r="AC6969">
        <f>IF(AB6969&gt;AB6968,AB6969,"")</f>
        <v/>
      </c>
    </row>
    <row r="6970">
      <c r="W6970" s="7" t="n"/>
      <c r="X6970" s="7" t="n"/>
      <c r="Z6970">
        <f>Z6969+IF(W6970="",0,IF(ISNA(MATCH(W6970,W$256:W6969,0)),1,0))</f>
        <v/>
      </c>
      <c r="AA6970">
        <f>IF(Z6970&gt;Z6969,Z6970,"")</f>
        <v/>
      </c>
      <c r="AB6970">
        <f>AB6969+IF(X6970="",0,IF(ISNA(MATCH(X6970,X$256:X6969,0)),1,0))</f>
        <v/>
      </c>
      <c r="AC6970">
        <f>IF(AB6970&gt;AB6969,AB6970,"")</f>
        <v/>
      </c>
    </row>
    <row r="6971">
      <c r="W6971" s="7" t="n"/>
      <c r="X6971" s="7" t="n"/>
      <c r="Z6971">
        <f>Z6970+IF(W6971="",0,IF(ISNA(MATCH(W6971,W$256:W6970,0)),1,0))</f>
        <v/>
      </c>
      <c r="AA6971">
        <f>IF(Z6971&gt;Z6970,Z6971,"")</f>
        <v/>
      </c>
      <c r="AB6971">
        <f>AB6970+IF(X6971="",0,IF(ISNA(MATCH(X6971,X$256:X6970,0)),1,0))</f>
        <v/>
      </c>
      <c r="AC6971">
        <f>IF(AB6971&gt;AB6970,AB6971,"")</f>
        <v/>
      </c>
    </row>
    <row r="6972">
      <c r="W6972" s="7" t="n"/>
      <c r="X6972" s="7" t="n"/>
      <c r="Z6972">
        <f>Z6971+IF(W6972="",0,IF(ISNA(MATCH(W6972,W$256:W6971,0)),1,0))</f>
        <v/>
      </c>
      <c r="AA6972">
        <f>IF(Z6972&gt;Z6971,Z6972,"")</f>
        <v/>
      </c>
      <c r="AB6972">
        <f>AB6971+IF(X6972="",0,IF(ISNA(MATCH(X6972,X$256:X6971,0)),1,0))</f>
        <v/>
      </c>
      <c r="AC6972">
        <f>IF(AB6972&gt;AB6971,AB6972,"")</f>
        <v/>
      </c>
    </row>
    <row r="6973">
      <c r="W6973" s="7" t="n"/>
      <c r="X6973" s="7" t="n"/>
      <c r="Z6973">
        <f>Z6972+IF(W6973="",0,IF(ISNA(MATCH(W6973,W$256:W6972,0)),1,0))</f>
        <v/>
      </c>
      <c r="AA6973">
        <f>IF(Z6973&gt;Z6972,Z6973,"")</f>
        <v/>
      </c>
      <c r="AB6973">
        <f>AB6972+IF(X6973="",0,IF(ISNA(MATCH(X6973,X$256:X6972,0)),1,0))</f>
        <v/>
      </c>
      <c r="AC6973">
        <f>IF(AB6973&gt;AB6972,AB6973,"")</f>
        <v/>
      </c>
    </row>
    <row r="6974">
      <c r="W6974" s="7" t="n"/>
      <c r="X6974" s="7" t="n"/>
      <c r="Z6974">
        <f>Z6973+IF(W6974="",0,IF(ISNA(MATCH(W6974,W$256:W6973,0)),1,0))</f>
        <v/>
      </c>
      <c r="AA6974">
        <f>IF(Z6974&gt;Z6973,Z6974,"")</f>
        <v/>
      </c>
      <c r="AB6974">
        <f>AB6973+IF(X6974="",0,IF(ISNA(MATCH(X6974,X$256:X6973,0)),1,0))</f>
        <v/>
      </c>
      <c r="AC6974">
        <f>IF(AB6974&gt;AB6973,AB6974,"")</f>
        <v/>
      </c>
    </row>
    <row r="6975">
      <c r="W6975" s="7" t="n"/>
      <c r="X6975" s="7" t="n"/>
      <c r="Z6975">
        <f>Z6974+IF(W6975="",0,IF(ISNA(MATCH(W6975,W$256:W6974,0)),1,0))</f>
        <v/>
      </c>
      <c r="AA6975">
        <f>IF(Z6975&gt;Z6974,Z6975,"")</f>
        <v/>
      </c>
      <c r="AB6975">
        <f>AB6974+IF(X6975="",0,IF(ISNA(MATCH(X6975,X$256:X6974,0)),1,0))</f>
        <v/>
      </c>
      <c r="AC6975">
        <f>IF(AB6975&gt;AB6974,AB6975,"")</f>
        <v/>
      </c>
    </row>
    <row r="6976">
      <c r="W6976" s="7" t="n"/>
      <c r="X6976" s="7" t="n"/>
      <c r="Z6976">
        <f>Z6975+IF(W6976="",0,IF(ISNA(MATCH(W6976,W$256:W6975,0)),1,0))</f>
        <v/>
      </c>
      <c r="AA6976">
        <f>IF(Z6976&gt;Z6975,Z6976,"")</f>
        <v/>
      </c>
      <c r="AB6976">
        <f>AB6975+IF(X6976="",0,IF(ISNA(MATCH(X6976,X$256:X6975,0)),1,0))</f>
        <v/>
      </c>
      <c r="AC6976">
        <f>IF(AB6976&gt;AB6975,AB6976,"")</f>
        <v/>
      </c>
    </row>
    <row r="6977">
      <c r="W6977" s="7" t="n"/>
      <c r="X6977" s="7" t="n"/>
      <c r="Z6977">
        <f>Z6976+IF(W6977="",0,IF(ISNA(MATCH(W6977,W$256:W6976,0)),1,0))</f>
        <v/>
      </c>
      <c r="AA6977">
        <f>IF(Z6977&gt;Z6976,Z6977,"")</f>
        <v/>
      </c>
      <c r="AB6977">
        <f>AB6976+IF(X6977="",0,IF(ISNA(MATCH(X6977,X$256:X6976,0)),1,0))</f>
        <v/>
      </c>
      <c r="AC6977">
        <f>IF(AB6977&gt;AB6976,AB6977,"")</f>
        <v/>
      </c>
    </row>
    <row r="6978">
      <c r="W6978" s="7" t="n"/>
      <c r="X6978" s="7" t="n"/>
      <c r="Z6978">
        <f>Z6977+IF(W6978="",0,IF(ISNA(MATCH(W6978,W$256:W6977,0)),1,0))</f>
        <v/>
      </c>
      <c r="AA6978">
        <f>IF(Z6978&gt;Z6977,Z6978,"")</f>
        <v/>
      </c>
      <c r="AB6978">
        <f>AB6977+IF(X6978="",0,IF(ISNA(MATCH(X6978,X$256:X6977,0)),1,0))</f>
        <v/>
      </c>
      <c r="AC6978">
        <f>IF(AB6978&gt;AB6977,AB6978,"")</f>
        <v/>
      </c>
    </row>
    <row r="6979">
      <c r="W6979" s="7" t="n"/>
      <c r="X6979" s="7" t="n"/>
      <c r="Z6979">
        <f>Z6978+IF(W6979="",0,IF(ISNA(MATCH(W6979,W$256:W6978,0)),1,0))</f>
        <v/>
      </c>
      <c r="AA6979">
        <f>IF(Z6979&gt;Z6978,Z6979,"")</f>
        <v/>
      </c>
      <c r="AB6979">
        <f>AB6978+IF(X6979="",0,IF(ISNA(MATCH(X6979,X$256:X6978,0)),1,0))</f>
        <v/>
      </c>
      <c r="AC6979">
        <f>IF(AB6979&gt;AB6978,AB6979,"")</f>
        <v/>
      </c>
    </row>
    <row r="6980">
      <c r="W6980" s="7" t="n"/>
      <c r="X6980" s="7" t="n"/>
      <c r="Z6980">
        <f>Z6979+IF(W6980="",0,IF(ISNA(MATCH(W6980,W$256:W6979,0)),1,0))</f>
        <v/>
      </c>
      <c r="AA6980">
        <f>IF(Z6980&gt;Z6979,Z6980,"")</f>
        <v/>
      </c>
      <c r="AB6980">
        <f>AB6979+IF(X6980="",0,IF(ISNA(MATCH(X6980,X$256:X6979,0)),1,0))</f>
        <v/>
      </c>
      <c r="AC6980">
        <f>IF(AB6980&gt;AB6979,AB6980,"")</f>
        <v/>
      </c>
    </row>
    <row r="6981">
      <c r="W6981" s="7" t="n"/>
      <c r="X6981" s="7" t="n"/>
      <c r="Z6981">
        <f>Z6980+IF(W6981="",0,IF(ISNA(MATCH(W6981,W$256:W6980,0)),1,0))</f>
        <v/>
      </c>
      <c r="AA6981">
        <f>IF(Z6981&gt;Z6980,Z6981,"")</f>
        <v/>
      </c>
      <c r="AB6981">
        <f>AB6980+IF(X6981="",0,IF(ISNA(MATCH(X6981,X$256:X6980,0)),1,0))</f>
        <v/>
      </c>
      <c r="AC6981">
        <f>IF(AB6981&gt;AB6980,AB6981,"")</f>
        <v/>
      </c>
    </row>
    <row r="6982">
      <c r="W6982" s="7" t="n"/>
      <c r="X6982" s="7" t="n"/>
      <c r="Z6982">
        <f>Z6981+IF(W6982="",0,IF(ISNA(MATCH(W6982,W$256:W6981,0)),1,0))</f>
        <v/>
      </c>
      <c r="AA6982">
        <f>IF(Z6982&gt;Z6981,Z6982,"")</f>
        <v/>
      </c>
      <c r="AB6982">
        <f>AB6981+IF(X6982="",0,IF(ISNA(MATCH(X6982,X$256:X6981,0)),1,0))</f>
        <v/>
      </c>
      <c r="AC6982">
        <f>IF(AB6982&gt;AB6981,AB6982,"")</f>
        <v/>
      </c>
    </row>
    <row r="6983">
      <c r="W6983" s="7" t="n"/>
      <c r="X6983" s="7" t="n"/>
      <c r="Z6983">
        <f>Z6982+IF(W6983="",0,IF(ISNA(MATCH(W6983,W$256:W6982,0)),1,0))</f>
        <v/>
      </c>
      <c r="AA6983">
        <f>IF(Z6983&gt;Z6982,Z6983,"")</f>
        <v/>
      </c>
      <c r="AB6983">
        <f>AB6982+IF(X6983="",0,IF(ISNA(MATCH(X6983,X$256:X6982,0)),1,0))</f>
        <v/>
      </c>
      <c r="AC6983">
        <f>IF(AB6983&gt;AB6982,AB6983,"")</f>
        <v/>
      </c>
    </row>
    <row r="6984">
      <c r="W6984" s="7" t="n"/>
      <c r="X6984" s="7" t="n"/>
      <c r="Z6984">
        <f>Z6983+IF(W6984="",0,IF(ISNA(MATCH(W6984,W$256:W6983,0)),1,0))</f>
        <v/>
      </c>
      <c r="AA6984">
        <f>IF(Z6984&gt;Z6983,Z6984,"")</f>
        <v/>
      </c>
      <c r="AB6984">
        <f>AB6983+IF(X6984="",0,IF(ISNA(MATCH(X6984,X$256:X6983,0)),1,0))</f>
        <v/>
      </c>
      <c r="AC6984">
        <f>IF(AB6984&gt;AB6983,AB6984,"")</f>
        <v/>
      </c>
    </row>
    <row r="6985">
      <c r="W6985" s="7" t="n"/>
      <c r="X6985" s="7" t="n"/>
      <c r="Z6985">
        <f>Z6984+IF(W6985="",0,IF(ISNA(MATCH(W6985,W$256:W6984,0)),1,0))</f>
        <v/>
      </c>
      <c r="AA6985">
        <f>IF(Z6985&gt;Z6984,Z6985,"")</f>
        <v/>
      </c>
      <c r="AB6985">
        <f>AB6984+IF(X6985="",0,IF(ISNA(MATCH(X6985,X$256:X6984,0)),1,0))</f>
        <v/>
      </c>
      <c r="AC6985">
        <f>IF(AB6985&gt;AB6984,AB6985,"")</f>
        <v/>
      </c>
    </row>
    <row r="6986">
      <c r="W6986" s="7" t="n"/>
      <c r="X6986" s="7" t="n"/>
      <c r="Z6986">
        <f>Z6985+IF(W6986="",0,IF(ISNA(MATCH(W6986,W$256:W6985,0)),1,0))</f>
        <v/>
      </c>
      <c r="AA6986">
        <f>IF(Z6986&gt;Z6985,Z6986,"")</f>
        <v/>
      </c>
      <c r="AB6986">
        <f>AB6985+IF(X6986="",0,IF(ISNA(MATCH(X6986,X$256:X6985,0)),1,0))</f>
        <v/>
      </c>
      <c r="AC6986">
        <f>IF(AB6986&gt;AB6985,AB6986,"")</f>
        <v/>
      </c>
    </row>
    <row r="6987">
      <c r="W6987" s="7" t="n"/>
      <c r="X6987" s="7" t="n"/>
      <c r="Z6987">
        <f>Z6986+IF(W6987="",0,IF(ISNA(MATCH(W6987,W$256:W6986,0)),1,0))</f>
        <v/>
      </c>
      <c r="AA6987">
        <f>IF(Z6987&gt;Z6986,Z6987,"")</f>
        <v/>
      </c>
      <c r="AB6987">
        <f>AB6986+IF(X6987="",0,IF(ISNA(MATCH(X6987,X$256:X6986,0)),1,0))</f>
        <v/>
      </c>
      <c r="AC6987">
        <f>IF(AB6987&gt;AB6986,AB6987,"")</f>
        <v/>
      </c>
    </row>
    <row r="6988">
      <c r="W6988" s="7" t="n"/>
      <c r="X6988" s="7" t="n"/>
      <c r="Z6988">
        <f>Z6987+IF(W6988="",0,IF(ISNA(MATCH(W6988,W$256:W6987,0)),1,0))</f>
        <v/>
      </c>
      <c r="AA6988">
        <f>IF(Z6988&gt;Z6987,Z6988,"")</f>
        <v/>
      </c>
      <c r="AB6988">
        <f>AB6987+IF(X6988="",0,IF(ISNA(MATCH(X6988,X$256:X6987,0)),1,0))</f>
        <v/>
      </c>
      <c r="AC6988">
        <f>IF(AB6988&gt;AB6987,AB6988,"")</f>
        <v/>
      </c>
    </row>
    <row r="6989">
      <c r="W6989" s="7" t="n"/>
      <c r="X6989" s="7" t="n"/>
      <c r="Z6989">
        <f>Z6988+IF(W6989="",0,IF(ISNA(MATCH(W6989,W$256:W6988,0)),1,0))</f>
        <v/>
      </c>
      <c r="AA6989">
        <f>IF(Z6989&gt;Z6988,Z6989,"")</f>
        <v/>
      </c>
      <c r="AB6989">
        <f>AB6988+IF(X6989="",0,IF(ISNA(MATCH(X6989,X$256:X6988,0)),1,0))</f>
        <v/>
      </c>
      <c r="AC6989">
        <f>IF(AB6989&gt;AB6988,AB6989,"")</f>
        <v/>
      </c>
    </row>
    <row r="6990">
      <c r="W6990" s="7" t="n"/>
      <c r="X6990" s="7" t="n"/>
      <c r="Z6990">
        <f>Z6989+IF(W6990="",0,IF(ISNA(MATCH(W6990,W$256:W6989,0)),1,0))</f>
        <v/>
      </c>
      <c r="AA6990">
        <f>IF(Z6990&gt;Z6989,Z6990,"")</f>
        <v/>
      </c>
      <c r="AB6990">
        <f>AB6989+IF(X6990="",0,IF(ISNA(MATCH(X6990,X$256:X6989,0)),1,0))</f>
        <v/>
      </c>
      <c r="AC6990">
        <f>IF(AB6990&gt;AB6989,AB6990,"")</f>
        <v/>
      </c>
    </row>
    <row r="6991">
      <c r="W6991" s="7" t="n"/>
      <c r="X6991" s="7" t="n"/>
      <c r="Z6991">
        <f>Z6990+IF(W6991="",0,IF(ISNA(MATCH(W6991,W$256:W6990,0)),1,0))</f>
        <v/>
      </c>
      <c r="AA6991">
        <f>IF(Z6991&gt;Z6990,Z6991,"")</f>
        <v/>
      </c>
      <c r="AB6991">
        <f>AB6990+IF(X6991="",0,IF(ISNA(MATCH(X6991,X$256:X6990,0)),1,0))</f>
        <v/>
      </c>
      <c r="AC6991">
        <f>IF(AB6991&gt;AB6990,AB6991,"")</f>
        <v/>
      </c>
    </row>
    <row r="6992">
      <c r="W6992" s="7" t="n"/>
      <c r="X6992" s="7" t="n"/>
      <c r="Z6992">
        <f>Z6991+IF(W6992="",0,IF(ISNA(MATCH(W6992,W$256:W6991,0)),1,0))</f>
        <v/>
      </c>
      <c r="AA6992">
        <f>IF(Z6992&gt;Z6991,Z6992,"")</f>
        <v/>
      </c>
      <c r="AB6992">
        <f>AB6991+IF(X6992="",0,IF(ISNA(MATCH(X6992,X$256:X6991,0)),1,0))</f>
        <v/>
      </c>
      <c r="AC6992">
        <f>IF(AB6992&gt;AB6991,AB6992,"")</f>
        <v/>
      </c>
    </row>
    <row r="6993">
      <c r="W6993" s="7" t="n"/>
      <c r="X6993" s="7" t="n"/>
      <c r="Z6993">
        <f>Z6992+IF(W6993="",0,IF(ISNA(MATCH(W6993,W$256:W6992,0)),1,0))</f>
        <v/>
      </c>
      <c r="AA6993">
        <f>IF(Z6993&gt;Z6992,Z6993,"")</f>
        <v/>
      </c>
      <c r="AB6993">
        <f>AB6992+IF(X6993="",0,IF(ISNA(MATCH(X6993,X$256:X6992,0)),1,0))</f>
        <v/>
      </c>
      <c r="AC6993">
        <f>IF(AB6993&gt;AB6992,AB6993,"")</f>
        <v/>
      </c>
    </row>
    <row r="6994">
      <c r="W6994" s="7" t="n"/>
      <c r="X6994" s="7" t="n"/>
      <c r="Z6994">
        <f>Z6993+IF(W6994="",0,IF(ISNA(MATCH(W6994,W$256:W6993,0)),1,0))</f>
        <v/>
      </c>
      <c r="AA6994">
        <f>IF(Z6994&gt;Z6993,Z6994,"")</f>
        <v/>
      </c>
      <c r="AB6994">
        <f>AB6993+IF(X6994="",0,IF(ISNA(MATCH(X6994,X$256:X6993,0)),1,0))</f>
        <v/>
      </c>
      <c r="AC6994">
        <f>IF(AB6994&gt;AB6993,AB6994,"")</f>
        <v/>
      </c>
    </row>
    <row r="6995">
      <c r="W6995" s="7" t="n"/>
      <c r="X6995" s="7" t="n"/>
      <c r="Z6995">
        <f>Z6994+IF(W6995="",0,IF(ISNA(MATCH(W6995,W$256:W6994,0)),1,0))</f>
        <v/>
      </c>
      <c r="AA6995">
        <f>IF(Z6995&gt;Z6994,Z6995,"")</f>
        <v/>
      </c>
      <c r="AB6995">
        <f>AB6994+IF(X6995="",0,IF(ISNA(MATCH(X6995,X$256:X6994,0)),1,0))</f>
        <v/>
      </c>
      <c r="AC6995">
        <f>IF(AB6995&gt;AB6994,AB6995,"")</f>
        <v/>
      </c>
    </row>
    <row r="6996">
      <c r="W6996" s="7" t="n"/>
      <c r="X6996" s="7" t="n"/>
      <c r="Z6996">
        <f>Z6995+IF(W6996="",0,IF(ISNA(MATCH(W6996,W$256:W6995,0)),1,0))</f>
        <v/>
      </c>
      <c r="AA6996">
        <f>IF(Z6996&gt;Z6995,Z6996,"")</f>
        <v/>
      </c>
      <c r="AB6996">
        <f>AB6995+IF(X6996="",0,IF(ISNA(MATCH(X6996,X$256:X6995,0)),1,0))</f>
        <v/>
      </c>
      <c r="AC6996">
        <f>IF(AB6996&gt;AB6995,AB6996,"")</f>
        <v/>
      </c>
    </row>
    <row r="6997">
      <c r="W6997" s="7" t="n"/>
      <c r="X6997" s="7" t="n"/>
      <c r="Z6997">
        <f>Z6996+IF(W6997="",0,IF(ISNA(MATCH(W6997,W$256:W6996,0)),1,0))</f>
        <v/>
      </c>
      <c r="AA6997">
        <f>IF(Z6997&gt;Z6996,Z6997,"")</f>
        <v/>
      </c>
      <c r="AB6997">
        <f>AB6996+IF(X6997="",0,IF(ISNA(MATCH(X6997,X$256:X6996,0)),1,0))</f>
        <v/>
      </c>
      <c r="AC6997">
        <f>IF(AB6997&gt;AB6996,AB6997,"")</f>
        <v/>
      </c>
    </row>
    <row r="6998">
      <c r="W6998" s="7" t="n"/>
      <c r="X6998" s="7" t="n"/>
      <c r="Z6998">
        <f>Z6997+IF(W6998="",0,IF(ISNA(MATCH(W6998,W$256:W6997,0)),1,0))</f>
        <v/>
      </c>
      <c r="AA6998">
        <f>IF(Z6998&gt;Z6997,Z6998,"")</f>
        <v/>
      </c>
      <c r="AB6998">
        <f>AB6997+IF(X6998="",0,IF(ISNA(MATCH(X6998,X$256:X6997,0)),1,0))</f>
        <v/>
      </c>
      <c r="AC6998">
        <f>IF(AB6998&gt;AB6997,AB6998,"")</f>
        <v/>
      </c>
    </row>
    <row r="6999">
      <c r="W6999" s="7" t="n"/>
      <c r="X6999" s="7" t="n"/>
      <c r="Z6999">
        <f>Z6998+IF(W6999="",0,IF(ISNA(MATCH(W6999,W$256:W6998,0)),1,0))</f>
        <v/>
      </c>
      <c r="AA6999">
        <f>IF(Z6999&gt;Z6998,Z6999,"")</f>
        <v/>
      </c>
      <c r="AB6999">
        <f>AB6998+IF(X6999="",0,IF(ISNA(MATCH(X6999,X$256:X6998,0)),1,0))</f>
        <v/>
      </c>
      <c r="AC6999">
        <f>IF(AB6999&gt;AB6998,AB6999,"")</f>
        <v/>
      </c>
    </row>
    <row r="7000">
      <c r="W7000" s="7" t="n"/>
      <c r="X7000" s="7" t="n"/>
      <c r="Z7000">
        <f>Z6999+IF(W7000="",0,IF(ISNA(MATCH(W7000,W$256:W6999,0)),1,0))</f>
        <v/>
      </c>
      <c r="AA7000">
        <f>IF(Z7000&gt;Z6999,Z7000,"")</f>
        <v/>
      </c>
      <c r="AB7000">
        <f>AB6999+IF(X7000="",0,IF(ISNA(MATCH(X7000,X$256:X6999,0)),1,0))</f>
        <v/>
      </c>
      <c r="AC7000">
        <f>IF(AB7000&gt;AB6999,AB7000,"")</f>
        <v/>
      </c>
    </row>
    <row r="7001">
      <c r="W7001" s="7" t="n"/>
      <c r="X7001" s="7" t="n"/>
      <c r="Z7001">
        <f>Z7000+IF(W7001="",0,IF(ISNA(MATCH(W7001,W$256:W7000,0)),1,0))</f>
        <v/>
      </c>
      <c r="AA7001">
        <f>IF(Z7001&gt;Z7000,Z7001,"")</f>
        <v/>
      </c>
      <c r="AB7001">
        <f>AB7000+IF(X7001="",0,IF(ISNA(MATCH(X7001,X$256:X7000,0)),1,0))</f>
        <v/>
      </c>
      <c r="AC7001">
        <f>IF(AB7001&gt;AB7000,AB7001,"")</f>
        <v/>
      </c>
    </row>
    <row r="7002">
      <c r="W7002" s="7" t="n"/>
      <c r="X7002" s="7" t="n"/>
      <c r="Z7002">
        <f>Z7001+IF(W7002="",0,IF(ISNA(MATCH(W7002,W$256:W7001,0)),1,0))</f>
        <v/>
      </c>
      <c r="AA7002">
        <f>IF(Z7002&gt;Z7001,Z7002,"")</f>
        <v/>
      </c>
      <c r="AB7002">
        <f>AB7001+IF(X7002="",0,IF(ISNA(MATCH(X7002,X$256:X7001,0)),1,0))</f>
        <v/>
      </c>
      <c r="AC7002">
        <f>IF(AB7002&gt;AB7001,AB7002,"")</f>
        <v/>
      </c>
    </row>
    <row r="7003">
      <c r="W7003" s="7" t="n"/>
      <c r="X7003" s="7" t="n"/>
      <c r="Z7003">
        <f>Z7002+IF(W7003="",0,IF(ISNA(MATCH(W7003,W$256:W7002,0)),1,0))</f>
        <v/>
      </c>
      <c r="AA7003">
        <f>IF(Z7003&gt;Z7002,Z7003,"")</f>
        <v/>
      </c>
      <c r="AB7003">
        <f>AB7002+IF(X7003="",0,IF(ISNA(MATCH(X7003,X$256:X7002,0)),1,0))</f>
        <v/>
      </c>
      <c r="AC7003">
        <f>IF(AB7003&gt;AB7002,AB7003,"")</f>
        <v/>
      </c>
    </row>
    <row r="7004">
      <c r="W7004" s="7" t="n"/>
      <c r="X7004" s="7" t="n"/>
      <c r="Z7004">
        <f>Z7003+IF(W7004="",0,IF(ISNA(MATCH(W7004,W$256:W7003,0)),1,0))</f>
        <v/>
      </c>
      <c r="AA7004">
        <f>IF(Z7004&gt;Z7003,Z7004,"")</f>
        <v/>
      </c>
      <c r="AB7004">
        <f>AB7003+IF(X7004="",0,IF(ISNA(MATCH(X7004,X$256:X7003,0)),1,0))</f>
        <v/>
      </c>
      <c r="AC7004">
        <f>IF(AB7004&gt;AB7003,AB7004,"")</f>
        <v/>
      </c>
    </row>
    <row r="7005">
      <c r="W7005" s="7" t="n"/>
      <c r="X7005" s="7" t="n"/>
      <c r="Z7005">
        <f>Z7004+IF(W7005="",0,IF(ISNA(MATCH(W7005,W$256:W7004,0)),1,0))</f>
        <v/>
      </c>
      <c r="AA7005">
        <f>IF(Z7005&gt;Z7004,Z7005,"")</f>
        <v/>
      </c>
      <c r="AB7005">
        <f>AB7004+IF(X7005="",0,IF(ISNA(MATCH(X7005,X$256:X7004,0)),1,0))</f>
        <v/>
      </c>
      <c r="AC7005">
        <f>IF(AB7005&gt;AB7004,AB7005,"")</f>
        <v/>
      </c>
    </row>
    <row r="7006">
      <c r="W7006" s="7" t="n"/>
      <c r="X7006" s="7" t="n"/>
      <c r="Z7006">
        <f>Z7005+IF(W7006="",0,IF(ISNA(MATCH(W7006,W$256:W7005,0)),1,0))</f>
        <v/>
      </c>
      <c r="AA7006">
        <f>IF(Z7006&gt;Z7005,Z7006,"")</f>
        <v/>
      </c>
      <c r="AB7006">
        <f>AB7005+IF(X7006="",0,IF(ISNA(MATCH(X7006,X$256:X7005,0)),1,0))</f>
        <v/>
      </c>
      <c r="AC7006">
        <f>IF(AB7006&gt;AB7005,AB7006,"")</f>
        <v/>
      </c>
    </row>
    <row r="7007">
      <c r="W7007" s="7" t="n"/>
      <c r="X7007" s="7" t="n"/>
      <c r="Z7007">
        <f>Z7006+IF(W7007="",0,IF(ISNA(MATCH(W7007,W$256:W7006,0)),1,0))</f>
        <v/>
      </c>
      <c r="AA7007">
        <f>IF(Z7007&gt;Z7006,Z7007,"")</f>
        <v/>
      </c>
      <c r="AB7007">
        <f>AB7006+IF(X7007="",0,IF(ISNA(MATCH(X7007,X$256:X7006,0)),1,0))</f>
        <v/>
      </c>
      <c r="AC7007">
        <f>IF(AB7007&gt;AB7006,AB7007,"")</f>
        <v/>
      </c>
    </row>
    <row r="7008">
      <c r="W7008" s="7" t="n"/>
      <c r="X7008" s="7" t="n"/>
      <c r="Z7008">
        <f>Z7007+IF(W7008="",0,IF(ISNA(MATCH(W7008,W$256:W7007,0)),1,0))</f>
        <v/>
      </c>
      <c r="AA7008">
        <f>IF(Z7008&gt;Z7007,Z7008,"")</f>
        <v/>
      </c>
      <c r="AB7008">
        <f>AB7007+IF(X7008="",0,IF(ISNA(MATCH(X7008,X$256:X7007,0)),1,0))</f>
        <v/>
      </c>
      <c r="AC7008">
        <f>IF(AB7008&gt;AB7007,AB7008,"")</f>
        <v/>
      </c>
    </row>
    <row r="7009">
      <c r="W7009" s="7" t="n"/>
      <c r="X7009" s="7" t="n"/>
      <c r="Z7009">
        <f>Z7008+IF(W7009="",0,IF(ISNA(MATCH(W7009,W$256:W7008,0)),1,0))</f>
        <v/>
      </c>
      <c r="AA7009">
        <f>IF(Z7009&gt;Z7008,Z7009,"")</f>
        <v/>
      </c>
      <c r="AB7009">
        <f>AB7008+IF(X7009="",0,IF(ISNA(MATCH(X7009,X$256:X7008,0)),1,0))</f>
        <v/>
      </c>
      <c r="AC7009">
        <f>IF(AB7009&gt;AB7008,AB7009,"")</f>
        <v/>
      </c>
    </row>
    <row r="7010">
      <c r="W7010" s="7" t="n"/>
      <c r="X7010" s="7" t="n"/>
      <c r="Z7010">
        <f>Z7009+IF(W7010="",0,IF(ISNA(MATCH(W7010,W$256:W7009,0)),1,0))</f>
        <v/>
      </c>
      <c r="AA7010">
        <f>IF(Z7010&gt;Z7009,Z7010,"")</f>
        <v/>
      </c>
      <c r="AB7010">
        <f>AB7009+IF(X7010="",0,IF(ISNA(MATCH(X7010,X$256:X7009,0)),1,0))</f>
        <v/>
      </c>
      <c r="AC7010">
        <f>IF(AB7010&gt;AB7009,AB7010,"")</f>
        <v/>
      </c>
    </row>
    <row r="7011">
      <c r="W7011" s="7" t="n"/>
      <c r="X7011" s="7" t="n"/>
      <c r="Z7011">
        <f>Z7010+IF(W7011="",0,IF(ISNA(MATCH(W7011,W$256:W7010,0)),1,0))</f>
        <v/>
      </c>
      <c r="AA7011">
        <f>IF(Z7011&gt;Z7010,Z7011,"")</f>
        <v/>
      </c>
      <c r="AB7011">
        <f>AB7010+IF(X7011="",0,IF(ISNA(MATCH(X7011,X$256:X7010,0)),1,0))</f>
        <v/>
      </c>
      <c r="AC7011">
        <f>IF(AB7011&gt;AB7010,AB7011,"")</f>
        <v/>
      </c>
    </row>
    <row r="7012">
      <c r="W7012" s="7" t="n"/>
      <c r="X7012" s="7" t="n"/>
      <c r="Z7012">
        <f>Z7011+IF(W7012="",0,IF(ISNA(MATCH(W7012,W$256:W7011,0)),1,0))</f>
        <v/>
      </c>
      <c r="AA7012">
        <f>IF(Z7012&gt;Z7011,Z7012,"")</f>
        <v/>
      </c>
      <c r="AB7012">
        <f>AB7011+IF(X7012="",0,IF(ISNA(MATCH(X7012,X$256:X7011,0)),1,0))</f>
        <v/>
      </c>
      <c r="AC7012">
        <f>IF(AB7012&gt;AB7011,AB7012,"")</f>
        <v/>
      </c>
    </row>
    <row r="7013">
      <c r="W7013" s="7" t="n"/>
      <c r="X7013" s="7" t="n"/>
      <c r="Z7013">
        <f>Z7012+IF(W7013="",0,IF(ISNA(MATCH(W7013,W$256:W7012,0)),1,0))</f>
        <v/>
      </c>
      <c r="AA7013">
        <f>IF(Z7013&gt;Z7012,Z7013,"")</f>
        <v/>
      </c>
      <c r="AB7013">
        <f>AB7012+IF(X7013="",0,IF(ISNA(MATCH(X7013,X$256:X7012,0)),1,0))</f>
        <v/>
      </c>
      <c r="AC7013">
        <f>IF(AB7013&gt;AB7012,AB7013,"")</f>
        <v/>
      </c>
    </row>
    <row r="7014">
      <c r="W7014" s="7" t="n"/>
      <c r="X7014" s="7" t="n"/>
      <c r="Z7014">
        <f>Z7013+IF(W7014="",0,IF(ISNA(MATCH(W7014,W$256:W7013,0)),1,0))</f>
        <v/>
      </c>
      <c r="AA7014">
        <f>IF(Z7014&gt;Z7013,Z7014,"")</f>
        <v/>
      </c>
      <c r="AB7014">
        <f>AB7013+IF(X7014="",0,IF(ISNA(MATCH(X7014,X$256:X7013,0)),1,0))</f>
        <v/>
      </c>
      <c r="AC7014">
        <f>IF(AB7014&gt;AB7013,AB7014,"")</f>
        <v/>
      </c>
    </row>
    <row r="7015">
      <c r="W7015" s="7" t="n"/>
      <c r="X7015" s="7" t="n"/>
      <c r="Z7015">
        <f>Z7014+IF(W7015="",0,IF(ISNA(MATCH(W7015,W$256:W7014,0)),1,0))</f>
        <v/>
      </c>
      <c r="AA7015">
        <f>IF(Z7015&gt;Z7014,Z7015,"")</f>
        <v/>
      </c>
      <c r="AB7015">
        <f>AB7014+IF(X7015="",0,IF(ISNA(MATCH(X7015,X$256:X7014,0)),1,0))</f>
        <v/>
      </c>
      <c r="AC7015">
        <f>IF(AB7015&gt;AB7014,AB7015,"")</f>
        <v/>
      </c>
    </row>
    <row r="7016">
      <c r="W7016" s="7" t="n"/>
      <c r="X7016" s="7" t="n"/>
      <c r="Z7016">
        <f>Z7015+IF(W7016="",0,IF(ISNA(MATCH(W7016,W$256:W7015,0)),1,0))</f>
        <v/>
      </c>
      <c r="AA7016">
        <f>IF(Z7016&gt;Z7015,Z7016,"")</f>
        <v/>
      </c>
      <c r="AB7016">
        <f>AB7015+IF(X7016="",0,IF(ISNA(MATCH(X7016,X$256:X7015,0)),1,0))</f>
        <v/>
      </c>
      <c r="AC7016">
        <f>IF(AB7016&gt;AB7015,AB7016,"")</f>
        <v/>
      </c>
    </row>
    <row r="7017">
      <c r="W7017" s="7" t="n"/>
      <c r="X7017" s="7" t="n"/>
      <c r="Z7017">
        <f>Z7016+IF(W7017="",0,IF(ISNA(MATCH(W7017,W$256:W7016,0)),1,0))</f>
        <v/>
      </c>
      <c r="AA7017">
        <f>IF(Z7017&gt;Z7016,Z7017,"")</f>
        <v/>
      </c>
      <c r="AB7017">
        <f>AB7016+IF(X7017="",0,IF(ISNA(MATCH(X7017,X$256:X7016,0)),1,0))</f>
        <v/>
      </c>
      <c r="AC7017">
        <f>IF(AB7017&gt;AB7016,AB7017,"")</f>
        <v/>
      </c>
    </row>
    <row r="7018">
      <c r="W7018" s="7" t="n"/>
      <c r="X7018" s="7" t="n"/>
      <c r="Z7018">
        <f>Z7017+IF(W7018="",0,IF(ISNA(MATCH(W7018,W$256:W7017,0)),1,0))</f>
        <v/>
      </c>
      <c r="AA7018">
        <f>IF(Z7018&gt;Z7017,Z7018,"")</f>
        <v/>
      </c>
      <c r="AB7018">
        <f>AB7017+IF(X7018="",0,IF(ISNA(MATCH(X7018,X$256:X7017,0)),1,0))</f>
        <v/>
      </c>
      <c r="AC7018">
        <f>IF(AB7018&gt;AB7017,AB7018,"")</f>
        <v/>
      </c>
    </row>
    <row r="7019">
      <c r="W7019" s="7" t="n"/>
      <c r="X7019" s="7" t="n"/>
      <c r="Z7019">
        <f>Z7018+IF(W7019="",0,IF(ISNA(MATCH(W7019,W$256:W7018,0)),1,0))</f>
        <v/>
      </c>
      <c r="AA7019">
        <f>IF(Z7019&gt;Z7018,Z7019,"")</f>
        <v/>
      </c>
      <c r="AB7019">
        <f>AB7018+IF(X7019="",0,IF(ISNA(MATCH(X7019,X$256:X7018,0)),1,0))</f>
        <v/>
      </c>
      <c r="AC7019">
        <f>IF(AB7019&gt;AB7018,AB7019,"")</f>
        <v/>
      </c>
    </row>
    <row r="7020">
      <c r="W7020" s="7" t="n"/>
      <c r="X7020" s="7" t="n"/>
      <c r="Z7020">
        <f>Z7019+IF(W7020="",0,IF(ISNA(MATCH(W7020,W$256:W7019,0)),1,0))</f>
        <v/>
      </c>
      <c r="AA7020">
        <f>IF(Z7020&gt;Z7019,Z7020,"")</f>
        <v/>
      </c>
      <c r="AB7020">
        <f>AB7019+IF(X7020="",0,IF(ISNA(MATCH(X7020,X$256:X7019,0)),1,0))</f>
        <v/>
      </c>
      <c r="AC7020">
        <f>IF(AB7020&gt;AB7019,AB7020,"")</f>
        <v/>
      </c>
    </row>
    <row r="7021">
      <c r="W7021" s="7" t="n"/>
      <c r="X7021" s="7" t="n"/>
      <c r="Z7021">
        <f>Z7020+IF(W7021="",0,IF(ISNA(MATCH(W7021,W$256:W7020,0)),1,0))</f>
        <v/>
      </c>
      <c r="AA7021">
        <f>IF(Z7021&gt;Z7020,Z7021,"")</f>
        <v/>
      </c>
      <c r="AB7021">
        <f>AB7020+IF(X7021="",0,IF(ISNA(MATCH(X7021,X$256:X7020,0)),1,0))</f>
        <v/>
      </c>
      <c r="AC7021">
        <f>IF(AB7021&gt;AB7020,AB7021,"")</f>
        <v/>
      </c>
    </row>
    <row r="7022">
      <c r="W7022" s="7" t="n"/>
      <c r="X7022" s="7" t="n"/>
      <c r="Z7022">
        <f>Z7021+IF(W7022="",0,IF(ISNA(MATCH(W7022,W$256:W7021,0)),1,0))</f>
        <v/>
      </c>
      <c r="AA7022">
        <f>IF(Z7022&gt;Z7021,Z7022,"")</f>
        <v/>
      </c>
      <c r="AB7022">
        <f>AB7021+IF(X7022="",0,IF(ISNA(MATCH(X7022,X$256:X7021,0)),1,0))</f>
        <v/>
      </c>
      <c r="AC7022">
        <f>IF(AB7022&gt;AB7021,AB7022,"")</f>
        <v/>
      </c>
    </row>
    <row r="7023">
      <c r="W7023" s="7" t="n"/>
      <c r="X7023" s="7" t="n"/>
      <c r="Z7023">
        <f>Z7022+IF(W7023="",0,IF(ISNA(MATCH(W7023,W$256:W7022,0)),1,0))</f>
        <v/>
      </c>
      <c r="AA7023">
        <f>IF(Z7023&gt;Z7022,Z7023,"")</f>
        <v/>
      </c>
      <c r="AB7023">
        <f>AB7022+IF(X7023="",0,IF(ISNA(MATCH(X7023,X$256:X7022,0)),1,0))</f>
        <v/>
      </c>
      <c r="AC7023">
        <f>IF(AB7023&gt;AB7022,AB7023,"")</f>
        <v/>
      </c>
    </row>
    <row r="7024">
      <c r="W7024" s="7" t="n"/>
      <c r="X7024" s="7" t="n"/>
      <c r="Z7024">
        <f>Z7023+IF(W7024="",0,IF(ISNA(MATCH(W7024,W$256:W7023,0)),1,0))</f>
        <v/>
      </c>
      <c r="AA7024">
        <f>IF(Z7024&gt;Z7023,Z7024,"")</f>
        <v/>
      </c>
      <c r="AB7024">
        <f>AB7023+IF(X7024="",0,IF(ISNA(MATCH(X7024,X$256:X7023,0)),1,0))</f>
        <v/>
      </c>
      <c r="AC7024">
        <f>IF(AB7024&gt;AB7023,AB7024,"")</f>
        <v/>
      </c>
    </row>
    <row r="7025">
      <c r="W7025" s="7" t="n"/>
      <c r="X7025" s="7" t="n"/>
      <c r="Z7025">
        <f>Z7024+IF(W7025="",0,IF(ISNA(MATCH(W7025,W$256:W7024,0)),1,0))</f>
        <v/>
      </c>
      <c r="AA7025">
        <f>IF(Z7025&gt;Z7024,Z7025,"")</f>
        <v/>
      </c>
      <c r="AB7025">
        <f>AB7024+IF(X7025="",0,IF(ISNA(MATCH(X7025,X$256:X7024,0)),1,0))</f>
        <v/>
      </c>
      <c r="AC7025">
        <f>IF(AB7025&gt;AB7024,AB7025,"")</f>
        <v/>
      </c>
    </row>
    <row r="7026">
      <c r="W7026" s="7" t="n"/>
      <c r="X7026" s="7" t="n"/>
      <c r="Z7026">
        <f>Z7025+IF(W7026="",0,IF(ISNA(MATCH(W7026,W$256:W7025,0)),1,0))</f>
        <v/>
      </c>
      <c r="AA7026">
        <f>IF(Z7026&gt;Z7025,Z7026,"")</f>
        <v/>
      </c>
      <c r="AB7026">
        <f>AB7025+IF(X7026="",0,IF(ISNA(MATCH(X7026,X$256:X7025,0)),1,0))</f>
        <v/>
      </c>
      <c r="AC7026">
        <f>IF(AB7026&gt;AB7025,AB7026,"")</f>
        <v/>
      </c>
    </row>
    <row r="7027">
      <c r="W7027" s="7" t="n"/>
      <c r="X7027" s="7" t="n"/>
      <c r="Z7027">
        <f>Z7026+IF(W7027="",0,IF(ISNA(MATCH(W7027,W$256:W7026,0)),1,0))</f>
        <v/>
      </c>
      <c r="AA7027">
        <f>IF(Z7027&gt;Z7026,Z7027,"")</f>
        <v/>
      </c>
      <c r="AB7027">
        <f>AB7026+IF(X7027="",0,IF(ISNA(MATCH(X7027,X$256:X7026,0)),1,0))</f>
        <v/>
      </c>
      <c r="AC7027">
        <f>IF(AB7027&gt;AB7026,AB7027,"")</f>
        <v/>
      </c>
    </row>
    <row r="7028">
      <c r="W7028" s="7" t="n"/>
      <c r="X7028" s="7" t="n"/>
      <c r="Z7028">
        <f>Z7027+IF(W7028="",0,IF(ISNA(MATCH(W7028,W$256:W7027,0)),1,0))</f>
        <v/>
      </c>
      <c r="AA7028">
        <f>IF(Z7028&gt;Z7027,Z7028,"")</f>
        <v/>
      </c>
      <c r="AB7028">
        <f>AB7027+IF(X7028="",0,IF(ISNA(MATCH(X7028,X$256:X7027,0)),1,0))</f>
        <v/>
      </c>
      <c r="AC7028">
        <f>IF(AB7028&gt;AB7027,AB7028,"")</f>
        <v/>
      </c>
    </row>
    <row r="7029">
      <c r="W7029" s="7" t="n"/>
      <c r="X7029" s="7" t="n"/>
      <c r="Z7029">
        <f>Z7028+IF(W7029="",0,IF(ISNA(MATCH(W7029,W$256:W7028,0)),1,0))</f>
        <v/>
      </c>
      <c r="AA7029">
        <f>IF(Z7029&gt;Z7028,Z7029,"")</f>
        <v/>
      </c>
      <c r="AB7029">
        <f>AB7028+IF(X7029="",0,IF(ISNA(MATCH(X7029,X$256:X7028,0)),1,0))</f>
        <v/>
      </c>
      <c r="AC7029">
        <f>IF(AB7029&gt;AB7028,AB7029,"")</f>
        <v/>
      </c>
    </row>
    <row r="7030">
      <c r="W7030" s="7" t="n"/>
      <c r="X7030" s="7" t="n"/>
      <c r="Z7030">
        <f>Z7029+IF(W7030="",0,IF(ISNA(MATCH(W7030,W$256:W7029,0)),1,0))</f>
        <v/>
      </c>
      <c r="AA7030">
        <f>IF(Z7030&gt;Z7029,Z7030,"")</f>
        <v/>
      </c>
      <c r="AB7030">
        <f>AB7029+IF(X7030="",0,IF(ISNA(MATCH(X7030,X$256:X7029,0)),1,0))</f>
        <v/>
      </c>
      <c r="AC7030">
        <f>IF(AB7030&gt;AB7029,AB7030,"")</f>
        <v/>
      </c>
    </row>
    <row r="7031">
      <c r="W7031" s="7" t="n"/>
      <c r="X7031" s="7" t="n"/>
      <c r="Z7031">
        <f>Z7030+IF(W7031="",0,IF(ISNA(MATCH(W7031,W$256:W7030,0)),1,0))</f>
        <v/>
      </c>
      <c r="AA7031">
        <f>IF(Z7031&gt;Z7030,Z7031,"")</f>
        <v/>
      </c>
      <c r="AB7031">
        <f>AB7030+IF(X7031="",0,IF(ISNA(MATCH(X7031,X$256:X7030,0)),1,0))</f>
        <v/>
      </c>
      <c r="AC7031">
        <f>IF(AB7031&gt;AB7030,AB7031,"")</f>
        <v/>
      </c>
    </row>
    <row r="7032">
      <c r="W7032" s="7" t="n"/>
      <c r="X7032" s="7" t="n"/>
      <c r="Z7032">
        <f>Z7031+IF(W7032="",0,IF(ISNA(MATCH(W7032,W$256:W7031,0)),1,0))</f>
        <v/>
      </c>
      <c r="AA7032">
        <f>IF(Z7032&gt;Z7031,Z7032,"")</f>
        <v/>
      </c>
      <c r="AB7032">
        <f>AB7031+IF(X7032="",0,IF(ISNA(MATCH(X7032,X$256:X7031,0)),1,0))</f>
        <v/>
      </c>
      <c r="AC7032">
        <f>IF(AB7032&gt;AB7031,AB7032,"")</f>
        <v/>
      </c>
    </row>
    <row r="7033">
      <c r="W7033" s="7" t="n"/>
      <c r="X7033" s="7" t="n"/>
      <c r="Z7033">
        <f>Z7032+IF(W7033="",0,IF(ISNA(MATCH(W7033,W$256:W7032,0)),1,0))</f>
        <v/>
      </c>
      <c r="AA7033">
        <f>IF(Z7033&gt;Z7032,Z7033,"")</f>
        <v/>
      </c>
      <c r="AB7033">
        <f>AB7032+IF(X7033="",0,IF(ISNA(MATCH(X7033,X$256:X7032,0)),1,0))</f>
        <v/>
      </c>
      <c r="AC7033">
        <f>IF(AB7033&gt;AB7032,AB7033,"")</f>
        <v/>
      </c>
    </row>
    <row r="7034">
      <c r="W7034" s="7" t="n"/>
      <c r="X7034" s="7" t="n"/>
      <c r="Z7034">
        <f>Z7033+IF(W7034="",0,IF(ISNA(MATCH(W7034,W$256:W7033,0)),1,0))</f>
        <v/>
      </c>
      <c r="AA7034">
        <f>IF(Z7034&gt;Z7033,Z7034,"")</f>
        <v/>
      </c>
      <c r="AB7034">
        <f>AB7033+IF(X7034="",0,IF(ISNA(MATCH(X7034,X$256:X7033,0)),1,0))</f>
        <v/>
      </c>
      <c r="AC7034">
        <f>IF(AB7034&gt;AB7033,AB7034,"")</f>
        <v/>
      </c>
    </row>
    <row r="7035">
      <c r="W7035" s="7" t="n"/>
      <c r="X7035" s="7" t="n"/>
      <c r="Z7035">
        <f>Z7034+IF(W7035="",0,IF(ISNA(MATCH(W7035,W$256:W7034,0)),1,0))</f>
        <v/>
      </c>
      <c r="AA7035">
        <f>IF(Z7035&gt;Z7034,Z7035,"")</f>
        <v/>
      </c>
      <c r="AB7035">
        <f>AB7034+IF(X7035="",0,IF(ISNA(MATCH(X7035,X$256:X7034,0)),1,0))</f>
        <v/>
      </c>
      <c r="AC7035">
        <f>IF(AB7035&gt;AB7034,AB7035,"")</f>
        <v/>
      </c>
    </row>
    <row r="7036">
      <c r="W7036" s="7" t="n"/>
      <c r="X7036" s="7" t="n"/>
      <c r="Z7036">
        <f>Z7035+IF(W7036="",0,IF(ISNA(MATCH(W7036,W$256:W7035,0)),1,0))</f>
        <v/>
      </c>
      <c r="AA7036">
        <f>IF(Z7036&gt;Z7035,Z7036,"")</f>
        <v/>
      </c>
      <c r="AB7036">
        <f>AB7035+IF(X7036="",0,IF(ISNA(MATCH(X7036,X$256:X7035,0)),1,0))</f>
        <v/>
      </c>
      <c r="AC7036">
        <f>IF(AB7036&gt;AB7035,AB7036,"")</f>
        <v/>
      </c>
    </row>
    <row r="7037">
      <c r="W7037" s="7" t="n"/>
      <c r="X7037" s="7" t="n"/>
      <c r="Z7037">
        <f>Z7036+IF(W7037="",0,IF(ISNA(MATCH(W7037,W$256:W7036,0)),1,0))</f>
        <v/>
      </c>
      <c r="AA7037">
        <f>IF(Z7037&gt;Z7036,Z7037,"")</f>
        <v/>
      </c>
      <c r="AB7037">
        <f>AB7036+IF(X7037="",0,IF(ISNA(MATCH(X7037,X$256:X7036,0)),1,0))</f>
        <v/>
      </c>
      <c r="AC7037">
        <f>IF(AB7037&gt;AB7036,AB7037,"")</f>
        <v/>
      </c>
    </row>
    <row r="7038">
      <c r="W7038" s="7" t="n"/>
      <c r="X7038" s="7" t="n"/>
      <c r="Z7038">
        <f>Z7037+IF(W7038="",0,IF(ISNA(MATCH(W7038,W$256:W7037,0)),1,0))</f>
        <v/>
      </c>
      <c r="AA7038">
        <f>IF(Z7038&gt;Z7037,Z7038,"")</f>
        <v/>
      </c>
      <c r="AB7038">
        <f>AB7037+IF(X7038="",0,IF(ISNA(MATCH(X7038,X$256:X7037,0)),1,0))</f>
        <v/>
      </c>
      <c r="AC7038">
        <f>IF(AB7038&gt;AB7037,AB7038,"")</f>
        <v/>
      </c>
    </row>
    <row r="7039">
      <c r="W7039" s="7" t="n"/>
      <c r="X7039" s="7" t="n"/>
      <c r="Z7039">
        <f>Z7038+IF(W7039="",0,IF(ISNA(MATCH(W7039,W$256:W7038,0)),1,0))</f>
        <v/>
      </c>
      <c r="AA7039">
        <f>IF(Z7039&gt;Z7038,Z7039,"")</f>
        <v/>
      </c>
      <c r="AB7039">
        <f>AB7038+IF(X7039="",0,IF(ISNA(MATCH(X7039,X$256:X7038,0)),1,0))</f>
        <v/>
      </c>
      <c r="AC7039">
        <f>IF(AB7039&gt;AB7038,AB7039,"")</f>
        <v/>
      </c>
    </row>
    <row r="7040">
      <c r="W7040" s="7" t="n"/>
      <c r="X7040" s="7" t="n"/>
      <c r="Z7040">
        <f>Z7039+IF(W7040="",0,IF(ISNA(MATCH(W7040,W$256:W7039,0)),1,0))</f>
        <v/>
      </c>
      <c r="AA7040">
        <f>IF(Z7040&gt;Z7039,Z7040,"")</f>
        <v/>
      </c>
      <c r="AB7040">
        <f>AB7039+IF(X7040="",0,IF(ISNA(MATCH(X7040,X$256:X7039,0)),1,0))</f>
        <v/>
      </c>
      <c r="AC7040">
        <f>IF(AB7040&gt;AB7039,AB7040,"")</f>
        <v/>
      </c>
    </row>
    <row r="7041">
      <c r="W7041" s="7" t="n"/>
      <c r="X7041" s="7" t="n"/>
      <c r="Z7041">
        <f>Z7040+IF(W7041="",0,IF(ISNA(MATCH(W7041,W$256:W7040,0)),1,0))</f>
        <v/>
      </c>
      <c r="AA7041">
        <f>IF(Z7041&gt;Z7040,Z7041,"")</f>
        <v/>
      </c>
      <c r="AB7041">
        <f>AB7040+IF(X7041="",0,IF(ISNA(MATCH(X7041,X$256:X7040,0)),1,0))</f>
        <v/>
      </c>
      <c r="AC7041">
        <f>IF(AB7041&gt;AB7040,AB7041,"")</f>
        <v/>
      </c>
    </row>
    <row r="7042">
      <c r="W7042" s="7" t="n"/>
      <c r="X7042" s="7" t="n"/>
      <c r="Z7042">
        <f>Z7041+IF(W7042="",0,IF(ISNA(MATCH(W7042,W$256:W7041,0)),1,0))</f>
        <v/>
      </c>
      <c r="AA7042">
        <f>IF(Z7042&gt;Z7041,Z7042,"")</f>
        <v/>
      </c>
      <c r="AB7042">
        <f>AB7041+IF(X7042="",0,IF(ISNA(MATCH(X7042,X$256:X7041,0)),1,0))</f>
        <v/>
      </c>
      <c r="AC7042">
        <f>IF(AB7042&gt;AB7041,AB7042,"")</f>
        <v/>
      </c>
    </row>
    <row r="7043">
      <c r="W7043" s="7" t="n"/>
      <c r="X7043" s="7" t="n"/>
      <c r="Z7043">
        <f>Z7042+IF(W7043="",0,IF(ISNA(MATCH(W7043,W$256:W7042,0)),1,0))</f>
        <v/>
      </c>
      <c r="AA7043">
        <f>IF(Z7043&gt;Z7042,Z7043,"")</f>
        <v/>
      </c>
      <c r="AB7043">
        <f>AB7042+IF(X7043="",0,IF(ISNA(MATCH(X7043,X$256:X7042,0)),1,0))</f>
        <v/>
      </c>
      <c r="AC7043">
        <f>IF(AB7043&gt;AB7042,AB7043,"")</f>
        <v/>
      </c>
    </row>
    <row r="7044">
      <c r="W7044" s="7" t="n"/>
      <c r="X7044" s="7" t="n"/>
      <c r="Z7044">
        <f>Z7043+IF(W7044="",0,IF(ISNA(MATCH(W7044,W$256:W7043,0)),1,0))</f>
        <v/>
      </c>
      <c r="AA7044">
        <f>IF(Z7044&gt;Z7043,Z7044,"")</f>
        <v/>
      </c>
      <c r="AB7044">
        <f>AB7043+IF(X7044="",0,IF(ISNA(MATCH(X7044,X$256:X7043,0)),1,0))</f>
        <v/>
      </c>
      <c r="AC7044">
        <f>IF(AB7044&gt;AB7043,AB7044,"")</f>
        <v/>
      </c>
    </row>
    <row r="7045">
      <c r="W7045" s="7" t="n"/>
      <c r="X7045" s="7" t="n"/>
      <c r="Z7045">
        <f>Z7044+IF(W7045="",0,IF(ISNA(MATCH(W7045,W$256:W7044,0)),1,0))</f>
        <v/>
      </c>
      <c r="AA7045">
        <f>IF(Z7045&gt;Z7044,Z7045,"")</f>
        <v/>
      </c>
      <c r="AB7045">
        <f>AB7044+IF(X7045="",0,IF(ISNA(MATCH(X7045,X$256:X7044,0)),1,0))</f>
        <v/>
      </c>
      <c r="AC7045">
        <f>IF(AB7045&gt;AB7044,AB7045,"")</f>
        <v/>
      </c>
    </row>
    <row r="7046">
      <c r="W7046" s="7" t="n"/>
      <c r="X7046" s="7" t="n"/>
      <c r="Z7046">
        <f>Z7045+IF(W7046="",0,IF(ISNA(MATCH(W7046,W$256:W7045,0)),1,0))</f>
        <v/>
      </c>
      <c r="AA7046">
        <f>IF(Z7046&gt;Z7045,Z7046,"")</f>
        <v/>
      </c>
      <c r="AB7046">
        <f>AB7045+IF(X7046="",0,IF(ISNA(MATCH(X7046,X$256:X7045,0)),1,0))</f>
        <v/>
      </c>
      <c r="AC7046">
        <f>IF(AB7046&gt;AB7045,AB7046,"")</f>
        <v/>
      </c>
    </row>
    <row r="7047">
      <c r="W7047" s="7" t="n"/>
      <c r="X7047" s="7" t="n"/>
      <c r="Z7047">
        <f>Z7046+IF(W7047="",0,IF(ISNA(MATCH(W7047,W$256:W7046,0)),1,0))</f>
        <v/>
      </c>
      <c r="AA7047">
        <f>IF(Z7047&gt;Z7046,Z7047,"")</f>
        <v/>
      </c>
      <c r="AB7047">
        <f>AB7046+IF(X7047="",0,IF(ISNA(MATCH(X7047,X$256:X7046,0)),1,0))</f>
        <v/>
      </c>
      <c r="AC7047">
        <f>IF(AB7047&gt;AB7046,AB7047,"")</f>
        <v/>
      </c>
    </row>
    <row r="7048">
      <c r="W7048" s="7" t="n"/>
      <c r="X7048" s="7" t="n"/>
      <c r="Z7048">
        <f>Z7047+IF(W7048="",0,IF(ISNA(MATCH(W7048,W$256:W7047,0)),1,0))</f>
        <v/>
      </c>
      <c r="AA7048">
        <f>IF(Z7048&gt;Z7047,Z7048,"")</f>
        <v/>
      </c>
      <c r="AB7048">
        <f>AB7047+IF(X7048="",0,IF(ISNA(MATCH(X7048,X$256:X7047,0)),1,0))</f>
        <v/>
      </c>
      <c r="AC7048">
        <f>IF(AB7048&gt;AB7047,AB7048,"")</f>
        <v/>
      </c>
    </row>
    <row r="7049">
      <c r="W7049" s="7" t="n"/>
      <c r="X7049" s="7" t="n"/>
      <c r="Z7049">
        <f>Z7048+IF(W7049="",0,IF(ISNA(MATCH(W7049,W$256:W7048,0)),1,0))</f>
        <v/>
      </c>
      <c r="AA7049">
        <f>IF(Z7049&gt;Z7048,Z7049,"")</f>
        <v/>
      </c>
      <c r="AB7049">
        <f>AB7048+IF(X7049="",0,IF(ISNA(MATCH(X7049,X$256:X7048,0)),1,0))</f>
        <v/>
      </c>
      <c r="AC7049">
        <f>IF(AB7049&gt;AB7048,AB7049,"")</f>
        <v/>
      </c>
    </row>
    <row r="7050">
      <c r="W7050" s="7" t="n"/>
      <c r="X7050" s="7" t="n"/>
      <c r="Z7050">
        <f>Z7049+IF(W7050="",0,IF(ISNA(MATCH(W7050,W$256:W7049,0)),1,0))</f>
        <v/>
      </c>
      <c r="AA7050">
        <f>IF(Z7050&gt;Z7049,Z7050,"")</f>
        <v/>
      </c>
      <c r="AB7050">
        <f>AB7049+IF(X7050="",0,IF(ISNA(MATCH(X7050,X$256:X7049,0)),1,0))</f>
        <v/>
      </c>
      <c r="AC7050">
        <f>IF(AB7050&gt;AB7049,AB7050,"")</f>
        <v/>
      </c>
    </row>
    <row r="7051">
      <c r="W7051" s="7" t="n"/>
      <c r="X7051" s="7" t="n"/>
      <c r="Z7051">
        <f>Z7050+IF(W7051="",0,IF(ISNA(MATCH(W7051,W$256:W7050,0)),1,0))</f>
        <v/>
      </c>
      <c r="AA7051">
        <f>IF(Z7051&gt;Z7050,Z7051,"")</f>
        <v/>
      </c>
      <c r="AB7051">
        <f>AB7050+IF(X7051="",0,IF(ISNA(MATCH(X7051,X$256:X7050,0)),1,0))</f>
        <v/>
      </c>
      <c r="AC7051">
        <f>IF(AB7051&gt;AB7050,AB7051,"")</f>
        <v/>
      </c>
    </row>
    <row r="7052">
      <c r="W7052" s="7" t="n"/>
      <c r="X7052" s="7" t="n"/>
      <c r="Z7052">
        <f>Z7051+IF(W7052="",0,IF(ISNA(MATCH(W7052,W$256:W7051,0)),1,0))</f>
        <v/>
      </c>
      <c r="AA7052">
        <f>IF(Z7052&gt;Z7051,Z7052,"")</f>
        <v/>
      </c>
      <c r="AB7052">
        <f>AB7051+IF(X7052="",0,IF(ISNA(MATCH(X7052,X$256:X7051,0)),1,0))</f>
        <v/>
      </c>
      <c r="AC7052">
        <f>IF(AB7052&gt;AB7051,AB7052,"")</f>
        <v/>
      </c>
    </row>
    <row r="7053">
      <c r="W7053" s="7" t="n"/>
      <c r="X7053" s="7" t="n"/>
      <c r="Z7053">
        <f>Z7052+IF(W7053="",0,IF(ISNA(MATCH(W7053,W$256:W7052,0)),1,0))</f>
        <v/>
      </c>
      <c r="AA7053">
        <f>IF(Z7053&gt;Z7052,Z7053,"")</f>
        <v/>
      </c>
      <c r="AB7053">
        <f>AB7052+IF(X7053="",0,IF(ISNA(MATCH(X7053,X$256:X7052,0)),1,0))</f>
        <v/>
      </c>
      <c r="AC7053">
        <f>IF(AB7053&gt;AB7052,AB7053,"")</f>
        <v/>
      </c>
    </row>
    <row r="7054">
      <c r="W7054" s="7" t="n"/>
      <c r="X7054" s="7" t="n"/>
      <c r="Z7054">
        <f>Z7053+IF(W7054="",0,IF(ISNA(MATCH(W7054,W$256:W7053,0)),1,0))</f>
        <v/>
      </c>
      <c r="AA7054">
        <f>IF(Z7054&gt;Z7053,Z7054,"")</f>
        <v/>
      </c>
      <c r="AB7054">
        <f>AB7053+IF(X7054="",0,IF(ISNA(MATCH(X7054,X$256:X7053,0)),1,0))</f>
        <v/>
      </c>
      <c r="AC7054">
        <f>IF(AB7054&gt;AB7053,AB7054,"")</f>
        <v/>
      </c>
    </row>
    <row r="7055">
      <c r="W7055" s="7" t="n"/>
      <c r="X7055" s="7" t="n"/>
      <c r="Z7055">
        <f>Z7054+IF(W7055="",0,IF(ISNA(MATCH(W7055,W$256:W7054,0)),1,0))</f>
        <v/>
      </c>
      <c r="AA7055">
        <f>IF(Z7055&gt;Z7054,Z7055,"")</f>
        <v/>
      </c>
      <c r="AB7055">
        <f>AB7054+IF(X7055="",0,IF(ISNA(MATCH(X7055,X$256:X7054,0)),1,0))</f>
        <v/>
      </c>
      <c r="AC7055">
        <f>IF(AB7055&gt;AB7054,AB7055,"")</f>
        <v/>
      </c>
    </row>
    <row r="7056">
      <c r="W7056" s="7" t="n"/>
      <c r="X7056" s="7" t="n"/>
      <c r="Z7056">
        <f>Z7055+IF(W7056="",0,IF(ISNA(MATCH(W7056,W$256:W7055,0)),1,0))</f>
        <v/>
      </c>
      <c r="AA7056">
        <f>IF(Z7056&gt;Z7055,Z7056,"")</f>
        <v/>
      </c>
      <c r="AB7056">
        <f>AB7055+IF(X7056="",0,IF(ISNA(MATCH(X7056,X$256:X7055,0)),1,0))</f>
        <v/>
      </c>
      <c r="AC7056">
        <f>IF(AB7056&gt;AB7055,AB7056,"")</f>
        <v/>
      </c>
    </row>
    <row r="7057">
      <c r="W7057" s="7" t="n"/>
      <c r="X7057" s="7" t="n"/>
      <c r="Z7057">
        <f>Z7056+IF(W7057="",0,IF(ISNA(MATCH(W7057,W$256:W7056,0)),1,0))</f>
        <v/>
      </c>
      <c r="AA7057">
        <f>IF(Z7057&gt;Z7056,Z7057,"")</f>
        <v/>
      </c>
      <c r="AB7057">
        <f>AB7056+IF(X7057="",0,IF(ISNA(MATCH(X7057,X$256:X7056,0)),1,0))</f>
        <v/>
      </c>
      <c r="AC7057">
        <f>IF(AB7057&gt;AB7056,AB7057,"")</f>
        <v/>
      </c>
    </row>
    <row r="7058">
      <c r="W7058" s="7" t="n"/>
      <c r="X7058" s="7" t="n"/>
      <c r="Z7058">
        <f>Z7057+IF(W7058="",0,IF(ISNA(MATCH(W7058,W$256:W7057,0)),1,0))</f>
        <v/>
      </c>
      <c r="AA7058">
        <f>IF(Z7058&gt;Z7057,Z7058,"")</f>
        <v/>
      </c>
      <c r="AB7058">
        <f>AB7057+IF(X7058="",0,IF(ISNA(MATCH(X7058,X$256:X7057,0)),1,0))</f>
        <v/>
      </c>
      <c r="AC7058">
        <f>IF(AB7058&gt;AB7057,AB7058,"")</f>
        <v/>
      </c>
    </row>
    <row r="7059">
      <c r="W7059" s="7" t="n"/>
      <c r="X7059" s="7" t="n"/>
      <c r="Z7059">
        <f>Z7058+IF(W7059="",0,IF(ISNA(MATCH(W7059,W$256:W7058,0)),1,0))</f>
        <v/>
      </c>
      <c r="AA7059">
        <f>IF(Z7059&gt;Z7058,Z7059,"")</f>
        <v/>
      </c>
      <c r="AB7059">
        <f>AB7058+IF(X7059="",0,IF(ISNA(MATCH(X7059,X$256:X7058,0)),1,0))</f>
        <v/>
      </c>
      <c r="AC7059">
        <f>IF(AB7059&gt;AB7058,AB7059,"")</f>
        <v/>
      </c>
    </row>
    <row r="7060">
      <c r="W7060" s="7" t="n"/>
      <c r="X7060" s="7" t="n"/>
      <c r="Z7060">
        <f>Z7059+IF(W7060="",0,IF(ISNA(MATCH(W7060,W$256:W7059,0)),1,0))</f>
        <v/>
      </c>
      <c r="AA7060">
        <f>IF(Z7060&gt;Z7059,Z7060,"")</f>
        <v/>
      </c>
      <c r="AB7060">
        <f>AB7059+IF(X7060="",0,IF(ISNA(MATCH(X7060,X$256:X7059,0)),1,0))</f>
        <v/>
      </c>
      <c r="AC7060">
        <f>IF(AB7060&gt;AB7059,AB7060,"")</f>
        <v/>
      </c>
    </row>
    <row r="7061">
      <c r="W7061" s="7" t="n"/>
      <c r="X7061" s="7" t="n"/>
      <c r="Z7061">
        <f>Z7060+IF(W7061="",0,IF(ISNA(MATCH(W7061,W$256:W7060,0)),1,0))</f>
        <v/>
      </c>
      <c r="AA7061">
        <f>IF(Z7061&gt;Z7060,Z7061,"")</f>
        <v/>
      </c>
      <c r="AB7061">
        <f>AB7060+IF(X7061="",0,IF(ISNA(MATCH(X7061,X$256:X7060,0)),1,0))</f>
        <v/>
      </c>
      <c r="AC7061">
        <f>IF(AB7061&gt;AB7060,AB7061,"")</f>
        <v/>
      </c>
    </row>
    <row r="7062">
      <c r="W7062" s="7" t="n"/>
      <c r="X7062" s="7" t="n"/>
      <c r="Z7062">
        <f>Z7061+IF(W7062="",0,IF(ISNA(MATCH(W7062,W$256:W7061,0)),1,0))</f>
        <v/>
      </c>
      <c r="AA7062">
        <f>IF(Z7062&gt;Z7061,Z7062,"")</f>
        <v/>
      </c>
      <c r="AB7062">
        <f>AB7061+IF(X7062="",0,IF(ISNA(MATCH(X7062,X$256:X7061,0)),1,0))</f>
        <v/>
      </c>
      <c r="AC7062">
        <f>IF(AB7062&gt;AB7061,AB7062,"")</f>
        <v/>
      </c>
    </row>
    <row r="7063">
      <c r="W7063" s="7" t="n"/>
      <c r="X7063" s="7" t="n"/>
      <c r="Z7063">
        <f>Z7062+IF(W7063="",0,IF(ISNA(MATCH(W7063,W$256:W7062,0)),1,0))</f>
        <v/>
      </c>
      <c r="AA7063">
        <f>IF(Z7063&gt;Z7062,Z7063,"")</f>
        <v/>
      </c>
      <c r="AB7063">
        <f>AB7062+IF(X7063="",0,IF(ISNA(MATCH(X7063,X$256:X7062,0)),1,0))</f>
        <v/>
      </c>
      <c r="AC7063">
        <f>IF(AB7063&gt;AB7062,AB7063,"")</f>
        <v/>
      </c>
    </row>
    <row r="7064">
      <c r="W7064" s="7" t="n"/>
      <c r="X7064" s="7" t="n"/>
      <c r="Z7064">
        <f>Z7063+IF(W7064="",0,IF(ISNA(MATCH(W7064,W$256:W7063,0)),1,0))</f>
        <v/>
      </c>
      <c r="AA7064">
        <f>IF(Z7064&gt;Z7063,Z7064,"")</f>
        <v/>
      </c>
      <c r="AB7064">
        <f>AB7063+IF(X7064="",0,IF(ISNA(MATCH(X7064,X$256:X7063,0)),1,0))</f>
        <v/>
      </c>
      <c r="AC7064">
        <f>IF(AB7064&gt;AB7063,AB7064,"")</f>
        <v/>
      </c>
    </row>
    <row r="7065">
      <c r="W7065" s="7" t="n"/>
      <c r="X7065" s="7" t="n"/>
      <c r="Z7065">
        <f>Z7064+IF(W7065="",0,IF(ISNA(MATCH(W7065,W$256:W7064,0)),1,0))</f>
        <v/>
      </c>
      <c r="AA7065">
        <f>IF(Z7065&gt;Z7064,Z7065,"")</f>
        <v/>
      </c>
      <c r="AB7065">
        <f>AB7064+IF(X7065="",0,IF(ISNA(MATCH(X7065,X$256:X7064,0)),1,0))</f>
        <v/>
      </c>
      <c r="AC7065">
        <f>IF(AB7065&gt;AB7064,AB7065,"")</f>
        <v/>
      </c>
    </row>
    <row r="7066">
      <c r="W7066" s="7" t="n"/>
      <c r="X7066" s="7" t="n"/>
      <c r="Z7066">
        <f>Z7065+IF(W7066="",0,IF(ISNA(MATCH(W7066,W$256:W7065,0)),1,0))</f>
        <v/>
      </c>
      <c r="AA7066">
        <f>IF(Z7066&gt;Z7065,Z7066,"")</f>
        <v/>
      </c>
      <c r="AB7066">
        <f>AB7065+IF(X7066="",0,IF(ISNA(MATCH(X7066,X$256:X7065,0)),1,0))</f>
        <v/>
      </c>
      <c r="AC7066">
        <f>IF(AB7066&gt;AB7065,AB7066,"")</f>
        <v/>
      </c>
    </row>
    <row r="7067">
      <c r="W7067" s="7" t="n"/>
      <c r="X7067" s="7" t="n"/>
      <c r="Z7067">
        <f>Z7066+IF(W7067="",0,IF(ISNA(MATCH(W7067,W$256:W7066,0)),1,0))</f>
        <v/>
      </c>
      <c r="AA7067">
        <f>IF(Z7067&gt;Z7066,Z7067,"")</f>
        <v/>
      </c>
      <c r="AB7067">
        <f>AB7066+IF(X7067="",0,IF(ISNA(MATCH(X7067,X$256:X7066,0)),1,0))</f>
        <v/>
      </c>
      <c r="AC7067">
        <f>IF(AB7067&gt;AB7066,AB7067,"")</f>
        <v/>
      </c>
    </row>
    <row r="7068">
      <c r="W7068" s="7" t="n"/>
      <c r="X7068" s="7" t="n"/>
      <c r="Z7068">
        <f>Z7067+IF(W7068="",0,IF(ISNA(MATCH(W7068,W$256:W7067,0)),1,0))</f>
        <v/>
      </c>
      <c r="AA7068">
        <f>IF(Z7068&gt;Z7067,Z7068,"")</f>
        <v/>
      </c>
      <c r="AB7068">
        <f>AB7067+IF(X7068="",0,IF(ISNA(MATCH(X7068,X$256:X7067,0)),1,0))</f>
        <v/>
      </c>
      <c r="AC7068">
        <f>IF(AB7068&gt;AB7067,AB7068,"")</f>
        <v/>
      </c>
    </row>
    <row r="7069">
      <c r="W7069" s="7" t="n"/>
      <c r="X7069" s="7" t="n"/>
      <c r="Z7069">
        <f>Z7068+IF(W7069="",0,IF(ISNA(MATCH(W7069,W$256:W7068,0)),1,0))</f>
        <v/>
      </c>
      <c r="AA7069">
        <f>IF(Z7069&gt;Z7068,Z7069,"")</f>
        <v/>
      </c>
      <c r="AB7069">
        <f>AB7068+IF(X7069="",0,IF(ISNA(MATCH(X7069,X$256:X7068,0)),1,0))</f>
        <v/>
      </c>
      <c r="AC7069">
        <f>IF(AB7069&gt;AB7068,AB7069,"")</f>
        <v/>
      </c>
    </row>
    <row r="7070">
      <c r="W7070" s="7" t="n"/>
      <c r="X7070" s="7" t="n"/>
      <c r="Z7070">
        <f>Z7069+IF(W7070="",0,IF(ISNA(MATCH(W7070,W$256:W7069,0)),1,0))</f>
        <v/>
      </c>
      <c r="AA7070">
        <f>IF(Z7070&gt;Z7069,Z7070,"")</f>
        <v/>
      </c>
      <c r="AB7070">
        <f>AB7069+IF(X7070="",0,IF(ISNA(MATCH(X7070,X$256:X7069,0)),1,0))</f>
        <v/>
      </c>
      <c r="AC7070">
        <f>IF(AB7070&gt;AB7069,AB7070,"")</f>
        <v/>
      </c>
    </row>
    <row r="7071">
      <c r="W7071" s="7" t="n"/>
      <c r="X7071" s="7" t="n"/>
      <c r="Z7071">
        <f>Z7070+IF(W7071="",0,IF(ISNA(MATCH(W7071,W$256:W7070,0)),1,0))</f>
        <v/>
      </c>
      <c r="AA7071">
        <f>IF(Z7071&gt;Z7070,Z7071,"")</f>
        <v/>
      </c>
      <c r="AB7071">
        <f>AB7070+IF(X7071="",0,IF(ISNA(MATCH(X7071,X$256:X7070,0)),1,0))</f>
        <v/>
      </c>
      <c r="AC7071">
        <f>IF(AB7071&gt;AB7070,AB7071,"")</f>
        <v/>
      </c>
    </row>
    <row r="7072">
      <c r="W7072" s="7" t="n"/>
      <c r="X7072" s="7" t="n"/>
      <c r="Z7072">
        <f>Z7071+IF(W7072="",0,IF(ISNA(MATCH(W7072,W$256:W7071,0)),1,0))</f>
        <v/>
      </c>
      <c r="AA7072">
        <f>IF(Z7072&gt;Z7071,Z7072,"")</f>
        <v/>
      </c>
      <c r="AB7072">
        <f>AB7071+IF(X7072="",0,IF(ISNA(MATCH(X7072,X$256:X7071,0)),1,0))</f>
        <v/>
      </c>
      <c r="AC7072">
        <f>IF(AB7072&gt;AB7071,AB7072,"")</f>
        <v/>
      </c>
    </row>
    <row r="7073">
      <c r="W7073" s="7" t="n"/>
      <c r="X7073" s="7" t="n"/>
      <c r="Z7073">
        <f>Z7072+IF(W7073="",0,IF(ISNA(MATCH(W7073,W$256:W7072,0)),1,0))</f>
        <v/>
      </c>
      <c r="AA7073">
        <f>IF(Z7073&gt;Z7072,Z7073,"")</f>
        <v/>
      </c>
      <c r="AB7073">
        <f>AB7072+IF(X7073="",0,IF(ISNA(MATCH(X7073,X$256:X7072,0)),1,0))</f>
        <v/>
      </c>
      <c r="AC7073">
        <f>IF(AB7073&gt;AB7072,AB7073,"")</f>
        <v/>
      </c>
    </row>
    <row r="7074">
      <c r="W7074" s="7" t="n"/>
      <c r="X7074" s="7" t="n"/>
      <c r="Z7074">
        <f>Z7073+IF(W7074="",0,IF(ISNA(MATCH(W7074,W$256:W7073,0)),1,0))</f>
        <v/>
      </c>
      <c r="AA7074">
        <f>IF(Z7074&gt;Z7073,Z7074,"")</f>
        <v/>
      </c>
      <c r="AB7074">
        <f>AB7073+IF(X7074="",0,IF(ISNA(MATCH(X7074,X$256:X7073,0)),1,0))</f>
        <v/>
      </c>
      <c r="AC7074">
        <f>IF(AB7074&gt;AB7073,AB7074,"")</f>
        <v/>
      </c>
    </row>
    <row r="7075">
      <c r="W7075" s="7" t="n"/>
      <c r="X7075" s="7" t="n"/>
      <c r="Z7075">
        <f>Z7074+IF(W7075="",0,IF(ISNA(MATCH(W7075,W$256:W7074,0)),1,0))</f>
        <v/>
      </c>
      <c r="AA7075">
        <f>IF(Z7075&gt;Z7074,Z7075,"")</f>
        <v/>
      </c>
      <c r="AB7075">
        <f>AB7074+IF(X7075="",0,IF(ISNA(MATCH(X7075,X$256:X7074,0)),1,0))</f>
        <v/>
      </c>
      <c r="AC7075">
        <f>IF(AB7075&gt;AB7074,AB7075,"")</f>
        <v/>
      </c>
    </row>
    <row r="7076">
      <c r="W7076" s="7" t="n"/>
      <c r="X7076" s="7" t="n"/>
      <c r="Z7076">
        <f>Z7075+IF(W7076="",0,IF(ISNA(MATCH(W7076,W$256:W7075,0)),1,0))</f>
        <v/>
      </c>
      <c r="AA7076">
        <f>IF(Z7076&gt;Z7075,Z7076,"")</f>
        <v/>
      </c>
      <c r="AB7076">
        <f>AB7075+IF(X7076="",0,IF(ISNA(MATCH(X7076,X$256:X7075,0)),1,0))</f>
        <v/>
      </c>
      <c r="AC7076">
        <f>IF(AB7076&gt;AB7075,AB7076,"")</f>
        <v/>
      </c>
    </row>
    <row r="7077">
      <c r="W7077" s="7" t="n"/>
      <c r="X7077" s="7" t="n"/>
      <c r="Z7077">
        <f>Z7076+IF(W7077="",0,IF(ISNA(MATCH(W7077,W$256:W7076,0)),1,0))</f>
        <v/>
      </c>
      <c r="AA7077">
        <f>IF(Z7077&gt;Z7076,Z7077,"")</f>
        <v/>
      </c>
      <c r="AB7077">
        <f>AB7076+IF(X7077="",0,IF(ISNA(MATCH(X7077,X$256:X7076,0)),1,0))</f>
        <v/>
      </c>
      <c r="AC7077">
        <f>IF(AB7077&gt;AB7076,AB7077,"")</f>
        <v/>
      </c>
    </row>
    <row r="7078">
      <c r="W7078" s="7" t="n"/>
      <c r="X7078" s="7" t="n"/>
      <c r="Z7078">
        <f>Z7077+IF(W7078="",0,IF(ISNA(MATCH(W7078,W$256:W7077,0)),1,0))</f>
        <v/>
      </c>
      <c r="AA7078">
        <f>IF(Z7078&gt;Z7077,Z7078,"")</f>
        <v/>
      </c>
      <c r="AB7078">
        <f>AB7077+IF(X7078="",0,IF(ISNA(MATCH(X7078,X$256:X7077,0)),1,0))</f>
        <v/>
      </c>
      <c r="AC7078">
        <f>IF(AB7078&gt;AB7077,AB7078,"")</f>
        <v/>
      </c>
    </row>
    <row r="7079">
      <c r="W7079" s="7" t="n"/>
      <c r="X7079" s="7" t="n"/>
      <c r="Z7079">
        <f>Z7078+IF(W7079="",0,IF(ISNA(MATCH(W7079,W$256:W7078,0)),1,0))</f>
        <v/>
      </c>
      <c r="AA7079">
        <f>IF(Z7079&gt;Z7078,Z7079,"")</f>
        <v/>
      </c>
      <c r="AB7079">
        <f>AB7078+IF(X7079="",0,IF(ISNA(MATCH(X7079,X$256:X7078,0)),1,0))</f>
        <v/>
      </c>
      <c r="AC7079">
        <f>IF(AB7079&gt;AB7078,AB7079,"")</f>
        <v/>
      </c>
    </row>
    <row r="7080">
      <c r="W7080" s="7" t="n"/>
      <c r="X7080" s="7" t="n"/>
      <c r="Z7080">
        <f>Z7079+IF(W7080="",0,IF(ISNA(MATCH(W7080,W$256:W7079,0)),1,0))</f>
        <v/>
      </c>
      <c r="AA7080">
        <f>IF(Z7080&gt;Z7079,Z7080,"")</f>
        <v/>
      </c>
      <c r="AB7080">
        <f>AB7079+IF(X7080="",0,IF(ISNA(MATCH(X7080,X$256:X7079,0)),1,0))</f>
        <v/>
      </c>
      <c r="AC7080">
        <f>IF(AB7080&gt;AB7079,AB7080,"")</f>
        <v/>
      </c>
    </row>
    <row r="7081">
      <c r="W7081" s="7" t="n"/>
      <c r="X7081" s="7" t="n"/>
      <c r="Z7081">
        <f>Z7080+IF(W7081="",0,IF(ISNA(MATCH(W7081,W$256:W7080,0)),1,0))</f>
        <v/>
      </c>
      <c r="AA7081">
        <f>IF(Z7081&gt;Z7080,Z7081,"")</f>
        <v/>
      </c>
      <c r="AB7081">
        <f>AB7080+IF(X7081="",0,IF(ISNA(MATCH(X7081,X$256:X7080,0)),1,0))</f>
        <v/>
      </c>
      <c r="AC7081">
        <f>IF(AB7081&gt;AB7080,AB7081,"")</f>
        <v/>
      </c>
    </row>
    <row r="7082">
      <c r="W7082" s="7" t="n"/>
      <c r="X7082" s="7" t="n"/>
      <c r="Z7082">
        <f>Z7081+IF(W7082="",0,IF(ISNA(MATCH(W7082,W$256:W7081,0)),1,0))</f>
        <v/>
      </c>
      <c r="AA7082">
        <f>IF(Z7082&gt;Z7081,Z7082,"")</f>
        <v/>
      </c>
      <c r="AB7082">
        <f>AB7081+IF(X7082="",0,IF(ISNA(MATCH(X7082,X$256:X7081,0)),1,0))</f>
        <v/>
      </c>
      <c r="AC7082">
        <f>IF(AB7082&gt;AB7081,AB7082,"")</f>
        <v/>
      </c>
    </row>
    <row r="7083">
      <c r="W7083" s="7" t="n"/>
      <c r="X7083" s="7" t="n"/>
      <c r="Z7083">
        <f>Z7082+IF(W7083="",0,IF(ISNA(MATCH(W7083,W$256:W7082,0)),1,0))</f>
        <v/>
      </c>
      <c r="AA7083">
        <f>IF(Z7083&gt;Z7082,Z7083,"")</f>
        <v/>
      </c>
      <c r="AB7083">
        <f>AB7082+IF(X7083="",0,IF(ISNA(MATCH(X7083,X$256:X7082,0)),1,0))</f>
        <v/>
      </c>
      <c r="AC7083">
        <f>IF(AB7083&gt;AB7082,AB7083,"")</f>
        <v/>
      </c>
    </row>
    <row r="7084">
      <c r="W7084" s="7" t="n"/>
      <c r="X7084" s="7" t="n"/>
      <c r="Z7084">
        <f>Z7083+IF(W7084="",0,IF(ISNA(MATCH(W7084,W$256:W7083,0)),1,0))</f>
        <v/>
      </c>
      <c r="AA7084">
        <f>IF(Z7084&gt;Z7083,Z7084,"")</f>
        <v/>
      </c>
      <c r="AB7084">
        <f>AB7083+IF(X7084="",0,IF(ISNA(MATCH(X7084,X$256:X7083,0)),1,0))</f>
        <v/>
      </c>
      <c r="AC7084">
        <f>IF(AB7084&gt;AB7083,AB7084,"")</f>
        <v/>
      </c>
    </row>
    <row r="7085">
      <c r="W7085" s="7" t="n"/>
      <c r="X7085" s="7" t="n"/>
      <c r="Z7085">
        <f>Z7084+IF(W7085="",0,IF(ISNA(MATCH(W7085,W$256:W7084,0)),1,0))</f>
        <v/>
      </c>
      <c r="AA7085">
        <f>IF(Z7085&gt;Z7084,Z7085,"")</f>
        <v/>
      </c>
      <c r="AB7085">
        <f>AB7084+IF(X7085="",0,IF(ISNA(MATCH(X7085,X$256:X7084,0)),1,0))</f>
        <v/>
      </c>
      <c r="AC7085">
        <f>IF(AB7085&gt;AB7084,AB7085,"")</f>
        <v/>
      </c>
    </row>
    <row r="7086">
      <c r="W7086" s="7" t="n"/>
      <c r="X7086" s="7" t="n"/>
      <c r="Z7086">
        <f>Z7085+IF(W7086="",0,IF(ISNA(MATCH(W7086,W$256:W7085,0)),1,0))</f>
        <v/>
      </c>
      <c r="AA7086">
        <f>IF(Z7086&gt;Z7085,Z7086,"")</f>
        <v/>
      </c>
      <c r="AB7086">
        <f>AB7085+IF(X7086="",0,IF(ISNA(MATCH(X7086,X$256:X7085,0)),1,0))</f>
        <v/>
      </c>
      <c r="AC7086">
        <f>IF(AB7086&gt;AB7085,AB7086,"")</f>
        <v/>
      </c>
    </row>
    <row r="7087">
      <c r="W7087" s="7" t="n"/>
      <c r="X7087" s="7" t="n"/>
      <c r="Z7087">
        <f>Z7086+IF(W7087="",0,IF(ISNA(MATCH(W7087,W$256:W7086,0)),1,0))</f>
        <v/>
      </c>
      <c r="AA7087">
        <f>IF(Z7087&gt;Z7086,Z7087,"")</f>
        <v/>
      </c>
      <c r="AB7087">
        <f>AB7086+IF(X7087="",0,IF(ISNA(MATCH(X7087,X$256:X7086,0)),1,0))</f>
        <v/>
      </c>
      <c r="AC7087">
        <f>IF(AB7087&gt;AB7086,AB7087,"")</f>
        <v/>
      </c>
    </row>
    <row r="7088">
      <c r="W7088" s="7" t="n"/>
      <c r="X7088" s="7" t="n"/>
      <c r="Z7088">
        <f>Z7087+IF(W7088="",0,IF(ISNA(MATCH(W7088,W$256:W7087,0)),1,0))</f>
        <v/>
      </c>
      <c r="AA7088">
        <f>IF(Z7088&gt;Z7087,Z7088,"")</f>
        <v/>
      </c>
      <c r="AB7088">
        <f>AB7087+IF(X7088="",0,IF(ISNA(MATCH(X7088,X$256:X7087,0)),1,0))</f>
        <v/>
      </c>
      <c r="AC7088">
        <f>IF(AB7088&gt;AB7087,AB7088,"")</f>
        <v/>
      </c>
    </row>
    <row r="7089">
      <c r="W7089" s="7" t="n"/>
      <c r="X7089" s="7" t="n"/>
      <c r="Z7089">
        <f>Z7088+IF(W7089="",0,IF(ISNA(MATCH(W7089,W$256:W7088,0)),1,0))</f>
        <v/>
      </c>
      <c r="AA7089">
        <f>IF(Z7089&gt;Z7088,Z7089,"")</f>
        <v/>
      </c>
      <c r="AB7089">
        <f>AB7088+IF(X7089="",0,IF(ISNA(MATCH(X7089,X$256:X7088,0)),1,0))</f>
        <v/>
      </c>
      <c r="AC7089">
        <f>IF(AB7089&gt;AB7088,AB7089,"")</f>
        <v/>
      </c>
    </row>
    <row r="7090">
      <c r="W7090" s="7" t="n"/>
      <c r="X7090" s="7" t="n"/>
      <c r="Z7090">
        <f>Z7089+IF(W7090="",0,IF(ISNA(MATCH(W7090,W$256:W7089,0)),1,0))</f>
        <v/>
      </c>
      <c r="AA7090">
        <f>IF(Z7090&gt;Z7089,Z7090,"")</f>
        <v/>
      </c>
      <c r="AB7090">
        <f>AB7089+IF(X7090="",0,IF(ISNA(MATCH(X7090,X$256:X7089,0)),1,0))</f>
        <v/>
      </c>
      <c r="AC7090">
        <f>IF(AB7090&gt;AB7089,AB7090,"")</f>
        <v/>
      </c>
    </row>
    <row r="7091">
      <c r="W7091" s="7" t="n"/>
      <c r="X7091" s="7" t="n"/>
      <c r="Z7091">
        <f>Z7090+IF(W7091="",0,IF(ISNA(MATCH(W7091,W$256:W7090,0)),1,0))</f>
        <v/>
      </c>
      <c r="AA7091">
        <f>IF(Z7091&gt;Z7090,Z7091,"")</f>
        <v/>
      </c>
      <c r="AB7091">
        <f>AB7090+IF(X7091="",0,IF(ISNA(MATCH(X7091,X$256:X7090,0)),1,0))</f>
        <v/>
      </c>
      <c r="AC7091">
        <f>IF(AB7091&gt;AB7090,AB7091,"")</f>
        <v/>
      </c>
    </row>
    <row r="7092">
      <c r="W7092" s="7" t="n"/>
      <c r="X7092" s="7" t="n"/>
      <c r="Z7092">
        <f>Z7091+IF(W7092="",0,IF(ISNA(MATCH(W7092,W$256:W7091,0)),1,0))</f>
        <v/>
      </c>
      <c r="AA7092">
        <f>IF(Z7092&gt;Z7091,Z7092,"")</f>
        <v/>
      </c>
      <c r="AB7092">
        <f>AB7091+IF(X7092="",0,IF(ISNA(MATCH(X7092,X$256:X7091,0)),1,0))</f>
        <v/>
      </c>
      <c r="AC7092">
        <f>IF(AB7092&gt;AB7091,AB7092,"")</f>
        <v/>
      </c>
    </row>
    <row r="7093">
      <c r="W7093" s="7" t="n"/>
      <c r="X7093" s="7" t="n"/>
      <c r="Z7093">
        <f>Z7092+IF(W7093="",0,IF(ISNA(MATCH(W7093,W$256:W7092,0)),1,0))</f>
        <v/>
      </c>
      <c r="AA7093">
        <f>IF(Z7093&gt;Z7092,Z7093,"")</f>
        <v/>
      </c>
      <c r="AB7093">
        <f>AB7092+IF(X7093="",0,IF(ISNA(MATCH(X7093,X$256:X7092,0)),1,0))</f>
        <v/>
      </c>
      <c r="AC7093">
        <f>IF(AB7093&gt;AB7092,AB7093,"")</f>
        <v/>
      </c>
    </row>
    <row r="7094">
      <c r="W7094" s="7" t="n"/>
      <c r="X7094" s="7" t="n"/>
      <c r="Z7094">
        <f>Z7093+IF(W7094="",0,IF(ISNA(MATCH(W7094,W$256:W7093,0)),1,0))</f>
        <v/>
      </c>
      <c r="AA7094">
        <f>IF(Z7094&gt;Z7093,Z7094,"")</f>
        <v/>
      </c>
      <c r="AB7094">
        <f>AB7093+IF(X7094="",0,IF(ISNA(MATCH(X7094,X$256:X7093,0)),1,0))</f>
        <v/>
      </c>
      <c r="AC7094">
        <f>IF(AB7094&gt;AB7093,AB7094,"")</f>
        <v/>
      </c>
    </row>
    <row r="7095">
      <c r="W7095" s="7" t="n"/>
      <c r="X7095" s="7" t="n"/>
      <c r="Z7095">
        <f>Z7094+IF(W7095="",0,IF(ISNA(MATCH(W7095,W$256:W7094,0)),1,0))</f>
        <v/>
      </c>
      <c r="AA7095">
        <f>IF(Z7095&gt;Z7094,Z7095,"")</f>
        <v/>
      </c>
      <c r="AB7095">
        <f>AB7094+IF(X7095="",0,IF(ISNA(MATCH(X7095,X$256:X7094,0)),1,0))</f>
        <v/>
      </c>
      <c r="AC7095">
        <f>IF(AB7095&gt;AB7094,AB7095,"")</f>
        <v/>
      </c>
    </row>
    <row r="7096">
      <c r="W7096" s="7" t="n"/>
      <c r="X7096" s="7" t="n"/>
      <c r="Z7096">
        <f>Z7095+IF(W7096="",0,IF(ISNA(MATCH(W7096,W$256:W7095,0)),1,0))</f>
        <v/>
      </c>
      <c r="AA7096">
        <f>IF(Z7096&gt;Z7095,Z7096,"")</f>
        <v/>
      </c>
      <c r="AB7096">
        <f>AB7095+IF(X7096="",0,IF(ISNA(MATCH(X7096,X$256:X7095,0)),1,0))</f>
        <v/>
      </c>
      <c r="AC7096">
        <f>IF(AB7096&gt;AB7095,AB7096,"")</f>
        <v/>
      </c>
    </row>
    <row r="7097">
      <c r="W7097" s="7" t="n"/>
      <c r="X7097" s="7" t="n"/>
      <c r="Z7097">
        <f>Z7096+IF(W7097="",0,IF(ISNA(MATCH(W7097,W$256:W7096,0)),1,0))</f>
        <v/>
      </c>
      <c r="AA7097">
        <f>IF(Z7097&gt;Z7096,Z7097,"")</f>
        <v/>
      </c>
      <c r="AB7097">
        <f>AB7096+IF(X7097="",0,IF(ISNA(MATCH(X7097,X$256:X7096,0)),1,0))</f>
        <v/>
      </c>
      <c r="AC7097">
        <f>IF(AB7097&gt;AB7096,AB7097,"")</f>
        <v/>
      </c>
    </row>
    <row r="7098">
      <c r="W7098" s="7" t="n"/>
      <c r="X7098" s="7" t="n"/>
      <c r="Z7098">
        <f>Z7097+IF(W7098="",0,IF(ISNA(MATCH(W7098,W$256:W7097,0)),1,0))</f>
        <v/>
      </c>
      <c r="AA7098">
        <f>IF(Z7098&gt;Z7097,Z7098,"")</f>
        <v/>
      </c>
      <c r="AB7098">
        <f>AB7097+IF(X7098="",0,IF(ISNA(MATCH(X7098,X$256:X7097,0)),1,0))</f>
        <v/>
      </c>
      <c r="AC7098">
        <f>IF(AB7098&gt;AB7097,AB7098,"")</f>
        <v/>
      </c>
    </row>
    <row r="7099">
      <c r="W7099" s="7" t="n"/>
      <c r="X7099" s="7" t="n"/>
      <c r="Z7099">
        <f>Z7098+IF(W7099="",0,IF(ISNA(MATCH(W7099,W$256:W7098,0)),1,0))</f>
        <v/>
      </c>
      <c r="AA7099">
        <f>IF(Z7099&gt;Z7098,Z7099,"")</f>
        <v/>
      </c>
      <c r="AB7099">
        <f>AB7098+IF(X7099="",0,IF(ISNA(MATCH(X7099,X$256:X7098,0)),1,0))</f>
        <v/>
      </c>
      <c r="AC7099">
        <f>IF(AB7099&gt;AB7098,AB7099,"")</f>
        <v/>
      </c>
    </row>
    <row r="7100">
      <c r="W7100" s="7" t="n"/>
      <c r="X7100" s="7" t="n"/>
      <c r="Z7100">
        <f>Z7099+IF(W7100="",0,IF(ISNA(MATCH(W7100,W$256:W7099,0)),1,0))</f>
        <v/>
      </c>
      <c r="AA7100">
        <f>IF(Z7100&gt;Z7099,Z7100,"")</f>
        <v/>
      </c>
      <c r="AB7100">
        <f>AB7099+IF(X7100="",0,IF(ISNA(MATCH(X7100,X$256:X7099,0)),1,0))</f>
        <v/>
      </c>
      <c r="AC7100">
        <f>IF(AB7100&gt;AB7099,AB7100,"")</f>
        <v/>
      </c>
    </row>
    <row r="7101">
      <c r="W7101" s="7" t="n"/>
      <c r="X7101" s="7" t="n"/>
      <c r="Z7101">
        <f>Z7100+IF(W7101="",0,IF(ISNA(MATCH(W7101,W$256:W7100,0)),1,0))</f>
        <v/>
      </c>
      <c r="AA7101">
        <f>IF(Z7101&gt;Z7100,Z7101,"")</f>
        <v/>
      </c>
      <c r="AB7101">
        <f>AB7100+IF(X7101="",0,IF(ISNA(MATCH(X7101,X$256:X7100,0)),1,0))</f>
        <v/>
      </c>
      <c r="AC7101">
        <f>IF(AB7101&gt;AB7100,AB7101,"")</f>
        <v/>
      </c>
    </row>
    <row r="7102">
      <c r="W7102" s="7" t="n"/>
      <c r="X7102" s="7" t="n"/>
      <c r="Z7102">
        <f>Z7101+IF(W7102="",0,IF(ISNA(MATCH(W7102,W$256:W7101,0)),1,0))</f>
        <v/>
      </c>
      <c r="AA7102">
        <f>IF(Z7102&gt;Z7101,Z7102,"")</f>
        <v/>
      </c>
      <c r="AB7102">
        <f>AB7101+IF(X7102="",0,IF(ISNA(MATCH(X7102,X$256:X7101,0)),1,0))</f>
        <v/>
      </c>
      <c r="AC7102">
        <f>IF(AB7102&gt;AB7101,AB7102,"")</f>
        <v/>
      </c>
    </row>
    <row r="7103">
      <c r="W7103" s="7" t="n"/>
      <c r="X7103" s="7" t="n"/>
      <c r="Z7103">
        <f>Z7102+IF(W7103="",0,IF(ISNA(MATCH(W7103,W$256:W7102,0)),1,0))</f>
        <v/>
      </c>
      <c r="AA7103">
        <f>IF(Z7103&gt;Z7102,Z7103,"")</f>
        <v/>
      </c>
      <c r="AB7103">
        <f>AB7102+IF(X7103="",0,IF(ISNA(MATCH(X7103,X$256:X7102,0)),1,0))</f>
        <v/>
      </c>
      <c r="AC7103">
        <f>IF(AB7103&gt;AB7102,AB7103,"")</f>
        <v/>
      </c>
    </row>
    <row r="7104">
      <c r="W7104" s="7" t="n"/>
      <c r="X7104" s="7" t="n"/>
      <c r="Z7104">
        <f>Z7103+IF(W7104="",0,IF(ISNA(MATCH(W7104,W$256:W7103,0)),1,0))</f>
        <v/>
      </c>
      <c r="AA7104">
        <f>IF(Z7104&gt;Z7103,Z7104,"")</f>
        <v/>
      </c>
      <c r="AB7104">
        <f>AB7103+IF(X7104="",0,IF(ISNA(MATCH(X7104,X$256:X7103,0)),1,0))</f>
        <v/>
      </c>
      <c r="AC7104">
        <f>IF(AB7104&gt;AB7103,AB7104,"")</f>
        <v/>
      </c>
    </row>
    <row r="7105">
      <c r="W7105" s="7" t="n"/>
      <c r="X7105" s="7" t="n"/>
      <c r="Z7105">
        <f>Z7104+IF(W7105="",0,IF(ISNA(MATCH(W7105,W$256:W7104,0)),1,0))</f>
        <v/>
      </c>
      <c r="AA7105">
        <f>IF(Z7105&gt;Z7104,Z7105,"")</f>
        <v/>
      </c>
      <c r="AB7105">
        <f>AB7104+IF(X7105="",0,IF(ISNA(MATCH(X7105,X$256:X7104,0)),1,0))</f>
        <v/>
      </c>
      <c r="AC7105">
        <f>IF(AB7105&gt;AB7104,AB7105,"")</f>
        <v/>
      </c>
    </row>
    <row r="7106">
      <c r="W7106" s="7" t="n"/>
      <c r="X7106" s="7" t="n"/>
      <c r="Z7106">
        <f>Z7105+IF(W7106="",0,IF(ISNA(MATCH(W7106,W$256:W7105,0)),1,0))</f>
        <v/>
      </c>
      <c r="AA7106">
        <f>IF(Z7106&gt;Z7105,Z7106,"")</f>
        <v/>
      </c>
      <c r="AB7106">
        <f>AB7105+IF(X7106="",0,IF(ISNA(MATCH(X7106,X$256:X7105,0)),1,0))</f>
        <v/>
      </c>
      <c r="AC7106">
        <f>IF(AB7106&gt;AB7105,AB7106,"")</f>
        <v/>
      </c>
    </row>
    <row r="7107">
      <c r="W7107" s="7" t="n"/>
      <c r="X7107" s="7" t="n"/>
      <c r="Z7107">
        <f>Z7106+IF(W7107="",0,IF(ISNA(MATCH(W7107,W$256:W7106,0)),1,0))</f>
        <v/>
      </c>
      <c r="AA7107">
        <f>IF(Z7107&gt;Z7106,Z7107,"")</f>
        <v/>
      </c>
      <c r="AB7107">
        <f>AB7106+IF(X7107="",0,IF(ISNA(MATCH(X7107,X$256:X7106,0)),1,0))</f>
        <v/>
      </c>
      <c r="AC7107">
        <f>IF(AB7107&gt;AB7106,AB7107,"")</f>
        <v/>
      </c>
    </row>
    <row r="7108">
      <c r="W7108" s="7" t="n"/>
      <c r="X7108" s="7" t="n"/>
      <c r="Z7108">
        <f>Z7107+IF(W7108="",0,IF(ISNA(MATCH(W7108,W$256:W7107,0)),1,0))</f>
        <v/>
      </c>
      <c r="AA7108">
        <f>IF(Z7108&gt;Z7107,Z7108,"")</f>
        <v/>
      </c>
      <c r="AB7108">
        <f>AB7107+IF(X7108="",0,IF(ISNA(MATCH(X7108,X$256:X7107,0)),1,0))</f>
        <v/>
      </c>
      <c r="AC7108">
        <f>IF(AB7108&gt;AB7107,AB7108,"")</f>
        <v/>
      </c>
    </row>
    <row r="7109">
      <c r="W7109" s="7" t="n"/>
      <c r="X7109" s="7" t="n"/>
      <c r="Z7109">
        <f>Z7108+IF(W7109="",0,IF(ISNA(MATCH(W7109,W$256:W7108,0)),1,0))</f>
        <v/>
      </c>
      <c r="AA7109">
        <f>IF(Z7109&gt;Z7108,Z7109,"")</f>
        <v/>
      </c>
      <c r="AB7109">
        <f>AB7108+IF(X7109="",0,IF(ISNA(MATCH(X7109,X$256:X7108,0)),1,0))</f>
        <v/>
      </c>
      <c r="AC7109">
        <f>IF(AB7109&gt;AB7108,AB7109,"")</f>
        <v/>
      </c>
    </row>
    <row r="7110">
      <c r="W7110" s="7" t="n"/>
      <c r="X7110" s="7" t="n"/>
      <c r="Z7110">
        <f>Z7109+IF(W7110="",0,IF(ISNA(MATCH(W7110,W$256:W7109,0)),1,0))</f>
        <v/>
      </c>
      <c r="AA7110">
        <f>IF(Z7110&gt;Z7109,Z7110,"")</f>
        <v/>
      </c>
      <c r="AB7110">
        <f>AB7109+IF(X7110="",0,IF(ISNA(MATCH(X7110,X$256:X7109,0)),1,0))</f>
        <v/>
      </c>
      <c r="AC7110">
        <f>IF(AB7110&gt;AB7109,AB7110,"")</f>
        <v/>
      </c>
    </row>
    <row r="7111">
      <c r="W7111" s="7" t="n"/>
      <c r="X7111" s="7" t="n"/>
      <c r="Z7111">
        <f>Z7110+IF(W7111="",0,IF(ISNA(MATCH(W7111,W$256:W7110,0)),1,0))</f>
        <v/>
      </c>
      <c r="AA7111">
        <f>IF(Z7111&gt;Z7110,Z7111,"")</f>
        <v/>
      </c>
      <c r="AB7111">
        <f>AB7110+IF(X7111="",0,IF(ISNA(MATCH(X7111,X$256:X7110,0)),1,0))</f>
        <v/>
      </c>
      <c r="AC7111">
        <f>IF(AB7111&gt;AB7110,AB7111,"")</f>
        <v/>
      </c>
    </row>
    <row r="7112">
      <c r="W7112" s="7" t="n"/>
      <c r="X7112" s="7" t="n"/>
      <c r="Z7112">
        <f>Z7111+IF(W7112="",0,IF(ISNA(MATCH(W7112,W$256:W7111,0)),1,0))</f>
        <v/>
      </c>
      <c r="AA7112">
        <f>IF(Z7112&gt;Z7111,Z7112,"")</f>
        <v/>
      </c>
      <c r="AB7112">
        <f>AB7111+IF(X7112="",0,IF(ISNA(MATCH(X7112,X$256:X7111,0)),1,0))</f>
        <v/>
      </c>
      <c r="AC7112">
        <f>IF(AB7112&gt;AB7111,AB7112,"")</f>
        <v/>
      </c>
    </row>
    <row r="7113">
      <c r="W7113" s="7" t="n"/>
      <c r="X7113" s="7" t="n"/>
      <c r="Z7113">
        <f>Z7112+IF(W7113="",0,IF(ISNA(MATCH(W7113,W$256:W7112,0)),1,0))</f>
        <v/>
      </c>
      <c r="AA7113">
        <f>IF(Z7113&gt;Z7112,Z7113,"")</f>
        <v/>
      </c>
      <c r="AB7113">
        <f>AB7112+IF(X7113="",0,IF(ISNA(MATCH(X7113,X$256:X7112,0)),1,0))</f>
        <v/>
      </c>
      <c r="AC7113">
        <f>IF(AB7113&gt;AB7112,AB7113,"")</f>
        <v/>
      </c>
    </row>
    <row r="7114">
      <c r="W7114" s="7" t="n"/>
      <c r="X7114" s="7" t="n"/>
      <c r="Z7114">
        <f>Z7113+IF(W7114="",0,IF(ISNA(MATCH(W7114,W$256:W7113,0)),1,0))</f>
        <v/>
      </c>
      <c r="AA7114">
        <f>IF(Z7114&gt;Z7113,Z7114,"")</f>
        <v/>
      </c>
      <c r="AB7114">
        <f>AB7113+IF(X7114="",0,IF(ISNA(MATCH(X7114,X$256:X7113,0)),1,0))</f>
        <v/>
      </c>
      <c r="AC7114">
        <f>IF(AB7114&gt;AB7113,AB7114,"")</f>
        <v/>
      </c>
    </row>
    <row r="7115">
      <c r="W7115" s="7" t="n"/>
      <c r="X7115" s="7" t="n"/>
      <c r="Z7115">
        <f>Z7114+IF(W7115="",0,IF(ISNA(MATCH(W7115,W$256:W7114,0)),1,0))</f>
        <v/>
      </c>
      <c r="AA7115">
        <f>IF(Z7115&gt;Z7114,Z7115,"")</f>
        <v/>
      </c>
      <c r="AB7115">
        <f>AB7114+IF(X7115="",0,IF(ISNA(MATCH(X7115,X$256:X7114,0)),1,0))</f>
        <v/>
      </c>
      <c r="AC7115">
        <f>IF(AB7115&gt;AB7114,AB7115,"")</f>
        <v/>
      </c>
    </row>
    <row r="7116">
      <c r="W7116" s="7" t="n"/>
      <c r="X7116" s="7" t="n"/>
      <c r="Z7116">
        <f>Z7115+IF(W7116="",0,IF(ISNA(MATCH(W7116,W$256:W7115,0)),1,0))</f>
        <v/>
      </c>
      <c r="AA7116">
        <f>IF(Z7116&gt;Z7115,Z7116,"")</f>
        <v/>
      </c>
      <c r="AB7116">
        <f>AB7115+IF(X7116="",0,IF(ISNA(MATCH(X7116,X$256:X7115,0)),1,0))</f>
        <v/>
      </c>
      <c r="AC7116">
        <f>IF(AB7116&gt;AB7115,AB7116,"")</f>
        <v/>
      </c>
    </row>
    <row r="7117">
      <c r="W7117" s="7" t="n"/>
      <c r="X7117" s="7" t="n"/>
      <c r="Z7117">
        <f>Z7116+IF(W7117="",0,IF(ISNA(MATCH(W7117,W$256:W7116,0)),1,0))</f>
        <v/>
      </c>
      <c r="AA7117">
        <f>IF(Z7117&gt;Z7116,Z7117,"")</f>
        <v/>
      </c>
      <c r="AB7117">
        <f>AB7116+IF(X7117="",0,IF(ISNA(MATCH(X7117,X$256:X7116,0)),1,0))</f>
        <v/>
      </c>
      <c r="AC7117">
        <f>IF(AB7117&gt;AB7116,AB7117,"")</f>
        <v/>
      </c>
    </row>
    <row r="7118">
      <c r="W7118" s="7" t="n"/>
      <c r="X7118" s="7" t="n"/>
      <c r="Z7118">
        <f>Z7117+IF(W7118="",0,IF(ISNA(MATCH(W7118,W$256:W7117,0)),1,0))</f>
        <v/>
      </c>
      <c r="AA7118">
        <f>IF(Z7118&gt;Z7117,Z7118,"")</f>
        <v/>
      </c>
      <c r="AB7118">
        <f>AB7117+IF(X7118="",0,IF(ISNA(MATCH(X7118,X$256:X7117,0)),1,0))</f>
        <v/>
      </c>
      <c r="AC7118">
        <f>IF(AB7118&gt;AB7117,AB7118,"")</f>
        <v/>
      </c>
    </row>
    <row r="7119">
      <c r="W7119" s="7" t="n"/>
      <c r="X7119" s="7" t="n"/>
      <c r="Z7119">
        <f>Z7118+IF(W7119="",0,IF(ISNA(MATCH(W7119,W$256:W7118,0)),1,0))</f>
        <v/>
      </c>
      <c r="AA7119">
        <f>IF(Z7119&gt;Z7118,Z7119,"")</f>
        <v/>
      </c>
      <c r="AB7119">
        <f>AB7118+IF(X7119="",0,IF(ISNA(MATCH(X7119,X$256:X7118,0)),1,0))</f>
        <v/>
      </c>
      <c r="AC7119">
        <f>IF(AB7119&gt;AB7118,AB7119,"")</f>
        <v/>
      </c>
    </row>
    <row r="7120">
      <c r="W7120" s="7" t="n"/>
      <c r="X7120" s="7" t="n"/>
      <c r="Z7120">
        <f>Z7119+IF(W7120="",0,IF(ISNA(MATCH(W7120,W$256:W7119,0)),1,0))</f>
        <v/>
      </c>
      <c r="AA7120">
        <f>IF(Z7120&gt;Z7119,Z7120,"")</f>
        <v/>
      </c>
      <c r="AB7120">
        <f>AB7119+IF(X7120="",0,IF(ISNA(MATCH(X7120,X$256:X7119,0)),1,0))</f>
        <v/>
      </c>
      <c r="AC7120">
        <f>IF(AB7120&gt;AB7119,AB7120,"")</f>
        <v/>
      </c>
    </row>
    <row r="7121">
      <c r="W7121" s="7" t="n"/>
      <c r="X7121" s="7" t="n"/>
      <c r="Z7121">
        <f>Z7120+IF(W7121="",0,IF(ISNA(MATCH(W7121,W$256:W7120,0)),1,0))</f>
        <v/>
      </c>
      <c r="AA7121">
        <f>IF(Z7121&gt;Z7120,Z7121,"")</f>
        <v/>
      </c>
      <c r="AB7121">
        <f>AB7120+IF(X7121="",0,IF(ISNA(MATCH(X7121,X$256:X7120,0)),1,0))</f>
        <v/>
      </c>
      <c r="AC7121">
        <f>IF(AB7121&gt;AB7120,AB7121,"")</f>
        <v/>
      </c>
    </row>
    <row r="7122">
      <c r="W7122" s="7" t="n"/>
      <c r="X7122" s="7" t="n"/>
      <c r="Z7122">
        <f>Z7121+IF(W7122="",0,IF(ISNA(MATCH(W7122,W$256:W7121,0)),1,0))</f>
        <v/>
      </c>
      <c r="AA7122">
        <f>IF(Z7122&gt;Z7121,Z7122,"")</f>
        <v/>
      </c>
      <c r="AB7122">
        <f>AB7121+IF(X7122="",0,IF(ISNA(MATCH(X7122,X$256:X7121,0)),1,0))</f>
        <v/>
      </c>
      <c r="AC7122">
        <f>IF(AB7122&gt;AB7121,AB7122,"")</f>
        <v/>
      </c>
    </row>
    <row r="7123">
      <c r="W7123" s="7" t="n"/>
      <c r="X7123" s="7" t="n"/>
      <c r="Z7123">
        <f>Z7122+IF(W7123="",0,IF(ISNA(MATCH(W7123,W$256:W7122,0)),1,0))</f>
        <v/>
      </c>
      <c r="AA7123">
        <f>IF(Z7123&gt;Z7122,Z7123,"")</f>
        <v/>
      </c>
      <c r="AB7123">
        <f>AB7122+IF(X7123="",0,IF(ISNA(MATCH(X7123,X$256:X7122,0)),1,0))</f>
        <v/>
      </c>
      <c r="AC7123">
        <f>IF(AB7123&gt;AB7122,AB7123,"")</f>
        <v/>
      </c>
    </row>
    <row r="7124">
      <c r="W7124" s="7" t="n"/>
      <c r="X7124" s="7" t="n"/>
      <c r="Z7124">
        <f>Z7123+IF(W7124="",0,IF(ISNA(MATCH(W7124,W$256:W7123,0)),1,0))</f>
        <v/>
      </c>
      <c r="AA7124">
        <f>IF(Z7124&gt;Z7123,Z7124,"")</f>
        <v/>
      </c>
      <c r="AB7124">
        <f>AB7123+IF(X7124="",0,IF(ISNA(MATCH(X7124,X$256:X7123,0)),1,0))</f>
        <v/>
      </c>
      <c r="AC7124">
        <f>IF(AB7124&gt;AB7123,AB7124,"")</f>
        <v/>
      </c>
    </row>
    <row r="7125">
      <c r="W7125" s="7" t="n"/>
      <c r="X7125" s="7" t="n"/>
      <c r="Z7125">
        <f>Z7124+IF(W7125="",0,IF(ISNA(MATCH(W7125,W$256:W7124,0)),1,0))</f>
        <v/>
      </c>
      <c r="AA7125">
        <f>IF(Z7125&gt;Z7124,Z7125,"")</f>
        <v/>
      </c>
      <c r="AB7125">
        <f>AB7124+IF(X7125="",0,IF(ISNA(MATCH(X7125,X$256:X7124,0)),1,0))</f>
        <v/>
      </c>
      <c r="AC7125">
        <f>IF(AB7125&gt;AB7124,AB7125,"")</f>
        <v/>
      </c>
    </row>
    <row r="7126">
      <c r="W7126" s="7" t="n"/>
      <c r="X7126" s="7" t="n"/>
      <c r="Z7126">
        <f>Z7125+IF(W7126="",0,IF(ISNA(MATCH(W7126,W$256:W7125,0)),1,0))</f>
        <v/>
      </c>
      <c r="AA7126">
        <f>IF(Z7126&gt;Z7125,Z7126,"")</f>
        <v/>
      </c>
      <c r="AB7126">
        <f>AB7125+IF(X7126="",0,IF(ISNA(MATCH(X7126,X$256:X7125,0)),1,0))</f>
        <v/>
      </c>
      <c r="AC7126">
        <f>IF(AB7126&gt;AB7125,AB7126,"")</f>
        <v/>
      </c>
    </row>
    <row r="7127">
      <c r="W7127" s="7" t="n"/>
      <c r="X7127" s="7" t="n"/>
      <c r="Z7127">
        <f>Z7126+IF(W7127="",0,IF(ISNA(MATCH(W7127,W$256:W7126,0)),1,0))</f>
        <v/>
      </c>
      <c r="AA7127">
        <f>IF(Z7127&gt;Z7126,Z7127,"")</f>
        <v/>
      </c>
      <c r="AB7127">
        <f>AB7126+IF(X7127="",0,IF(ISNA(MATCH(X7127,X$256:X7126,0)),1,0))</f>
        <v/>
      </c>
      <c r="AC7127">
        <f>IF(AB7127&gt;AB7126,AB7127,"")</f>
        <v/>
      </c>
    </row>
    <row r="7128">
      <c r="W7128" s="7" t="n"/>
      <c r="X7128" s="7" t="n"/>
      <c r="Z7128">
        <f>Z7127+IF(W7128="",0,IF(ISNA(MATCH(W7128,W$256:W7127,0)),1,0))</f>
        <v/>
      </c>
      <c r="AA7128">
        <f>IF(Z7128&gt;Z7127,Z7128,"")</f>
        <v/>
      </c>
      <c r="AB7128">
        <f>AB7127+IF(X7128="",0,IF(ISNA(MATCH(X7128,X$256:X7127,0)),1,0))</f>
        <v/>
      </c>
      <c r="AC7128">
        <f>IF(AB7128&gt;AB7127,AB7128,"")</f>
        <v/>
      </c>
    </row>
    <row r="7129">
      <c r="W7129" s="7" t="n"/>
      <c r="X7129" s="7" t="n"/>
      <c r="Z7129">
        <f>Z7128+IF(W7129="",0,IF(ISNA(MATCH(W7129,W$256:W7128,0)),1,0))</f>
        <v/>
      </c>
      <c r="AA7129">
        <f>IF(Z7129&gt;Z7128,Z7129,"")</f>
        <v/>
      </c>
      <c r="AB7129">
        <f>AB7128+IF(X7129="",0,IF(ISNA(MATCH(X7129,X$256:X7128,0)),1,0))</f>
        <v/>
      </c>
      <c r="AC7129">
        <f>IF(AB7129&gt;AB7128,AB7129,"")</f>
        <v/>
      </c>
    </row>
    <row r="7130">
      <c r="W7130" s="7" t="n"/>
      <c r="X7130" s="7" t="n"/>
      <c r="Z7130">
        <f>Z7129+IF(W7130="",0,IF(ISNA(MATCH(W7130,W$256:W7129,0)),1,0))</f>
        <v/>
      </c>
      <c r="AA7130">
        <f>IF(Z7130&gt;Z7129,Z7130,"")</f>
        <v/>
      </c>
      <c r="AB7130">
        <f>AB7129+IF(X7130="",0,IF(ISNA(MATCH(X7130,X$256:X7129,0)),1,0))</f>
        <v/>
      </c>
      <c r="AC7130">
        <f>IF(AB7130&gt;AB7129,AB7130,"")</f>
        <v/>
      </c>
    </row>
    <row r="7131">
      <c r="W7131" s="7" t="n"/>
      <c r="X7131" s="7" t="n"/>
      <c r="Z7131">
        <f>Z7130+IF(W7131="",0,IF(ISNA(MATCH(W7131,W$256:W7130,0)),1,0))</f>
        <v/>
      </c>
      <c r="AA7131">
        <f>IF(Z7131&gt;Z7130,Z7131,"")</f>
        <v/>
      </c>
      <c r="AB7131">
        <f>AB7130+IF(X7131="",0,IF(ISNA(MATCH(X7131,X$256:X7130,0)),1,0))</f>
        <v/>
      </c>
      <c r="AC7131">
        <f>IF(AB7131&gt;AB7130,AB7131,"")</f>
        <v/>
      </c>
    </row>
    <row r="7132">
      <c r="W7132" s="7" t="n"/>
      <c r="X7132" s="7" t="n"/>
      <c r="Z7132">
        <f>Z7131+IF(W7132="",0,IF(ISNA(MATCH(W7132,W$256:W7131,0)),1,0))</f>
        <v/>
      </c>
      <c r="AA7132">
        <f>IF(Z7132&gt;Z7131,Z7132,"")</f>
        <v/>
      </c>
      <c r="AB7132">
        <f>AB7131+IF(X7132="",0,IF(ISNA(MATCH(X7132,X$256:X7131,0)),1,0))</f>
        <v/>
      </c>
      <c r="AC7132">
        <f>IF(AB7132&gt;AB7131,AB7132,"")</f>
        <v/>
      </c>
    </row>
    <row r="7133">
      <c r="W7133" s="7" t="n"/>
      <c r="X7133" s="7" t="n"/>
      <c r="Z7133">
        <f>Z7132+IF(W7133="",0,IF(ISNA(MATCH(W7133,W$256:W7132,0)),1,0))</f>
        <v/>
      </c>
      <c r="AA7133">
        <f>IF(Z7133&gt;Z7132,Z7133,"")</f>
        <v/>
      </c>
      <c r="AB7133">
        <f>AB7132+IF(X7133="",0,IF(ISNA(MATCH(X7133,X$256:X7132,0)),1,0))</f>
        <v/>
      </c>
      <c r="AC7133">
        <f>IF(AB7133&gt;AB7132,AB7133,"")</f>
        <v/>
      </c>
    </row>
    <row r="7134">
      <c r="W7134" s="7" t="n"/>
      <c r="X7134" s="7" t="n"/>
      <c r="Z7134">
        <f>Z7133+IF(W7134="",0,IF(ISNA(MATCH(W7134,W$256:W7133,0)),1,0))</f>
        <v/>
      </c>
      <c r="AA7134">
        <f>IF(Z7134&gt;Z7133,Z7134,"")</f>
        <v/>
      </c>
      <c r="AB7134">
        <f>AB7133+IF(X7134="",0,IF(ISNA(MATCH(X7134,X$256:X7133,0)),1,0))</f>
        <v/>
      </c>
      <c r="AC7134">
        <f>IF(AB7134&gt;AB7133,AB7134,"")</f>
        <v/>
      </c>
    </row>
    <row r="7135">
      <c r="W7135" s="7" t="n"/>
      <c r="X7135" s="7" t="n"/>
      <c r="Z7135">
        <f>Z7134+IF(W7135="",0,IF(ISNA(MATCH(W7135,W$256:W7134,0)),1,0))</f>
        <v/>
      </c>
      <c r="AA7135">
        <f>IF(Z7135&gt;Z7134,Z7135,"")</f>
        <v/>
      </c>
      <c r="AB7135">
        <f>AB7134+IF(X7135="",0,IF(ISNA(MATCH(X7135,X$256:X7134,0)),1,0))</f>
        <v/>
      </c>
      <c r="AC7135">
        <f>IF(AB7135&gt;AB7134,AB7135,"")</f>
        <v/>
      </c>
    </row>
    <row r="7136">
      <c r="W7136" s="7" t="n"/>
      <c r="X7136" s="7" t="n"/>
      <c r="Z7136">
        <f>Z7135+IF(W7136="",0,IF(ISNA(MATCH(W7136,W$256:W7135,0)),1,0))</f>
        <v/>
      </c>
      <c r="AA7136">
        <f>IF(Z7136&gt;Z7135,Z7136,"")</f>
        <v/>
      </c>
      <c r="AB7136">
        <f>AB7135+IF(X7136="",0,IF(ISNA(MATCH(X7136,X$256:X7135,0)),1,0))</f>
        <v/>
      </c>
      <c r="AC7136">
        <f>IF(AB7136&gt;AB7135,AB7136,"")</f>
        <v/>
      </c>
    </row>
    <row r="7137">
      <c r="W7137" s="7" t="n"/>
      <c r="X7137" s="7" t="n"/>
      <c r="Z7137">
        <f>Z7136+IF(W7137="",0,IF(ISNA(MATCH(W7137,W$256:W7136,0)),1,0))</f>
        <v/>
      </c>
      <c r="AA7137">
        <f>IF(Z7137&gt;Z7136,Z7137,"")</f>
        <v/>
      </c>
      <c r="AB7137">
        <f>AB7136+IF(X7137="",0,IF(ISNA(MATCH(X7137,X$256:X7136,0)),1,0))</f>
        <v/>
      </c>
      <c r="AC7137">
        <f>IF(AB7137&gt;AB7136,AB7137,"")</f>
        <v/>
      </c>
    </row>
    <row r="7138">
      <c r="W7138" s="7" t="n"/>
      <c r="X7138" s="7" t="n"/>
      <c r="Z7138">
        <f>Z7137+IF(W7138="",0,IF(ISNA(MATCH(W7138,W$256:W7137,0)),1,0))</f>
        <v/>
      </c>
      <c r="AA7138">
        <f>IF(Z7138&gt;Z7137,Z7138,"")</f>
        <v/>
      </c>
      <c r="AB7138">
        <f>AB7137+IF(X7138="",0,IF(ISNA(MATCH(X7138,X$256:X7137,0)),1,0))</f>
        <v/>
      </c>
      <c r="AC7138">
        <f>IF(AB7138&gt;AB7137,AB7138,"")</f>
        <v/>
      </c>
    </row>
    <row r="7139">
      <c r="W7139" s="7" t="n"/>
      <c r="X7139" s="7" t="n"/>
      <c r="Z7139">
        <f>Z7138+IF(W7139="",0,IF(ISNA(MATCH(W7139,W$256:W7138,0)),1,0))</f>
        <v/>
      </c>
      <c r="AA7139">
        <f>IF(Z7139&gt;Z7138,Z7139,"")</f>
        <v/>
      </c>
      <c r="AB7139">
        <f>AB7138+IF(X7139="",0,IF(ISNA(MATCH(X7139,X$256:X7138,0)),1,0))</f>
        <v/>
      </c>
      <c r="AC7139">
        <f>IF(AB7139&gt;AB7138,AB7139,"")</f>
        <v/>
      </c>
    </row>
    <row r="7140">
      <c r="W7140" s="7" t="n"/>
      <c r="X7140" s="7" t="n"/>
      <c r="Z7140">
        <f>Z7139+IF(W7140="",0,IF(ISNA(MATCH(W7140,W$256:W7139,0)),1,0))</f>
        <v/>
      </c>
      <c r="AA7140">
        <f>IF(Z7140&gt;Z7139,Z7140,"")</f>
        <v/>
      </c>
      <c r="AB7140">
        <f>AB7139+IF(X7140="",0,IF(ISNA(MATCH(X7140,X$256:X7139,0)),1,0))</f>
        <v/>
      </c>
      <c r="AC7140">
        <f>IF(AB7140&gt;AB7139,AB7140,"")</f>
        <v/>
      </c>
    </row>
    <row r="7141">
      <c r="W7141" s="7" t="n"/>
      <c r="X7141" s="7" t="n"/>
      <c r="Z7141">
        <f>Z7140+IF(W7141="",0,IF(ISNA(MATCH(W7141,W$256:W7140,0)),1,0))</f>
        <v/>
      </c>
      <c r="AA7141">
        <f>IF(Z7141&gt;Z7140,Z7141,"")</f>
        <v/>
      </c>
      <c r="AB7141">
        <f>AB7140+IF(X7141="",0,IF(ISNA(MATCH(X7141,X$256:X7140,0)),1,0))</f>
        <v/>
      </c>
      <c r="AC7141">
        <f>IF(AB7141&gt;AB7140,AB7141,"")</f>
        <v/>
      </c>
    </row>
    <row r="7142">
      <c r="W7142" s="7" t="n"/>
      <c r="X7142" s="7" t="n"/>
      <c r="Z7142">
        <f>Z7141+IF(W7142="",0,IF(ISNA(MATCH(W7142,W$256:W7141,0)),1,0))</f>
        <v/>
      </c>
      <c r="AA7142">
        <f>IF(Z7142&gt;Z7141,Z7142,"")</f>
        <v/>
      </c>
      <c r="AB7142">
        <f>AB7141+IF(X7142="",0,IF(ISNA(MATCH(X7142,X$256:X7141,0)),1,0))</f>
        <v/>
      </c>
      <c r="AC7142">
        <f>IF(AB7142&gt;AB7141,AB7142,"")</f>
        <v/>
      </c>
    </row>
    <row r="7143">
      <c r="W7143" s="7" t="n"/>
      <c r="X7143" s="7" t="n"/>
      <c r="Z7143">
        <f>Z7142+IF(W7143="",0,IF(ISNA(MATCH(W7143,W$256:W7142,0)),1,0))</f>
        <v/>
      </c>
      <c r="AA7143">
        <f>IF(Z7143&gt;Z7142,Z7143,"")</f>
        <v/>
      </c>
      <c r="AB7143">
        <f>AB7142+IF(X7143="",0,IF(ISNA(MATCH(X7143,X$256:X7142,0)),1,0))</f>
        <v/>
      </c>
      <c r="AC7143">
        <f>IF(AB7143&gt;AB7142,AB7143,"")</f>
        <v/>
      </c>
    </row>
    <row r="7144">
      <c r="W7144" s="7" t="n"/>
      <c r="X7144" s="7" t="n"/>
      <c r="Z7144">
        <f>Z7143+IF(W7144="",0,IF(ISNA(MATCH(W7144,W$256:W7143,0)),1,0))</f>
        <v/>
      </c>
      <c r="AA7144">
        <f>IF(Z7144&gt;Z7143,Z7144,"")</f>
        <v/>
      </c>
      <c r="AB7144">
        <f>AB7143+IF(X7144="",0,IF(ISNA(MATCH(X7144,X$256:X7143,0)),1,0))</f>
        <v/>
      </c>
      <c r="AC7144">
        <f>IF(AB7144&gt;AB7143,AB7144,"")</f>
        <v/>
      </c>
    </row>
    <row r="7145">
      <c r="W7145" s="7" t="n"/>
      <c r="X7145" s="7" t="n"/>
      <c r="Z7145">
        <f>Z7144+IF(W7145="",0,IF(ISNA(MATCH(W7145,W$256:W7144,0)),1,0))</f>
        <v/>
      </c>
      <c r="AA7145">
        <f>IF(Z7145&gt;Z7144,Z7145,"")</f>
        <v/>
      </c>
      <c r="AB7145">
        <f>AB7144+IF(X7145="",0,IF(ISNA(MATCH(X7145,X$256:X7144,0)),1,0))</f>
        <v/>
      </c>
      <c r="AC7145">
        <f>IF(AB7145&gt;AB7144,AB7145,"")</f>
        <v/>
      </c>
    </row>
    <row r="7146">
      <c r="W7146" s="7" t="n"/>
      <c r="X7146" s="7" t="n"/>
      <c r="Z7146">
        <f>Z7145+IF(W7146="",0,IF(ISNA(MATCH(W7146,W$256:W7145,0)),1,0))</f>
        <v/>
      </c>
      <c r="AA7146">
        <f>IF(Z7146&gt;Z7145,Z7146,"")</f>
        <v/>
      </c>
      <c r="AB7146">
        <f>AB7145+IF(X7146="",0,IF(ISNA(MATCH(X7146,X$256:X7145,0)),1,0))</f>
        <v/>
      </c>
      <c r="AC7146">
        <f>IF(AB7146&gt;AB7145,AB7146,"")</f>
        <v/>
      </c>
    </row>
    <row r="7147">
      <c r="W7147" s="7" t="n"/>
      <c r="X7147" s="7" t="n"/>
      <c r="Z7147">
        <f>Z7146+IF(W7147="",0,IF(ISNA(MATCH(W7147,W$256:W7146,0)),1,0))</f>
        <v/>
      </c>
      <c r="AA7147">
        <f>IF(Z7147&gt;Z7146,Z7147,"")</f>
        <v/>
      </c>
      <c r="AB7147">
        <f>AB7146+IF(X7147="",0,IF(ISNA(MATCH(X7147,X$256:X7146,0)),1,0))</f>
        <v/>
      </c>
      <c r="AC7147">
        <f>IF(AB7147&gt;AB7146,AB7147,"")</f>
        <v/>
      </c>
    </row>
    <row r="7148">
      <c r="W7148" s="7" t="n"/>
      <c r="X7148" s="7" t="n"/>
      <c r="Z7148">
        <f>Z7147+IF(W7148="",0,IF(ISNA(MATCH(W7148,W$256:W7147,0)),1,0))</f>
        <v/>
      </c>
      <c r="AA7148">
        <f>IF(Z7148&gt;Z7147,Z7148,"")</f>
        <v/>
      </c>
      <c r="AB7148">
        <f>AB7147+IF(X7148="",0,IF(ISNA(MATCH(X7148,X$256:X7147,0)),1,0))</f>
        <v/>
      </c>
      <c r="AC7148">
        <f>IF(AB7148&gt;AB7147,AB7148,"")</f>
        <v/>
      </c>
    </row>
    <row r="7149">
      <c r="W7149" s="7" t="n"/>
      <c r="X7149" s="7" t="n"/>
      <c r="Z7149">
        <f>Z7148+IF(W7149="",0,IF(ISNA(MATCH(W7149,W$256:W7148,0)),1,0))</f>
        <v/>
      </c>
      <c r="AA7149">
        <f>IF(Z7149&gt;Z7148,Z7149,"")</f>
        <v/>
      </c>
      <c r="AB7149">
        <f>AB7148+IF(X7149="",0,IF(ISNA(MATCH(X7149,X$256:X7148,0)),1,0))</f>
        <v/>
      </c>
      <c r="AC7149">
        <f>IF(AB7149&gt;AB7148,AB7149,"")</f>
        <v/>
      </c>
    </row>
    <row r="7150">
      <c r="W7150" s="7" t="n"/>
      <c r="X7150" s="7" t="n"/>
      <c r="Z7150">
        <f>Z7149+IF(W7150="",0,IF(ISNA(MATCH(W7150,W$256:W7149,0)),1,0))</f>
        <v/>
      </c>
      <c r="AA7150">
        <f>IF(Z7150&gt;Z7149,Z7150,"")</f>
        <v/>
      </c>
      <c r="AB7150">
        <f>AB7149+IF(X7150="",0,IF(ISNA(MATCH(X7150,X$256:X7149,0)),1,0))</f>
        <v/>
      </c>
      <c r="AC7150">
        <f>IF(AB7150&gt;AB7149,AB7150,"")</f>
        <v/>
      </c>
    </row>
    <row r="7151">
      <c r="W7151" s="7" t="n"/>
      <c r="X7151" s="7" t="n"/>
      <c r="Z7151">
        <f>Z7150+IF(W7151="",0,IF(ISNA(MATCH(W7151,W$256:W7150,0)),1,0))</f>
        <v/>
      </c>
      <c r="AA7151">
        <f>IF(Z7151&gt;Z7150,Z7151,"")</f>
        <v/>
      </c>
      <c r="AB7151">
        <f>AB7150+IF(X7151="",0,IF(ISNA(MATCH(X7151,X$256:X7150,0)),1,0))</f>
        <v/>
      </c>
      <c r="AC7151">
        <f>IF(AB7151&gt;AB7150,AB7151,"")</f>
        <v/>
      </c>
    </row>
    <row r="7152">
      <c r="W7152" s="7" t="n"/>
      <c r="X7152" s="7" t="n"/>
      <c r="Z7152">
        <f>Z7151+IF(W7152="",0,IF(ISNA(MATCH(W7152,W$256:W7151,0)),1,0))</f>
        <v/>
      </c>
      <c r="AA7152">
        <f>IF(Z7152&gt;Z7151,Z7152,"")</f>
        <v/>
      </c>
      <c r="AB7152">
        <f>AB7151+IF(X7152="",0,IF(ISNA(MATCH(X7152,X$256:X7151,0)),1,0))</f>
        <v/>
      </c>
      <c r="AC7152">
        <f>IF(AB7152&gt;AB7151,AB7152,"")</f>
        <v/>
      </c>
    </row>
    <row r="7153">
      <c r="W7153" s="7" t="n"/>
      <c r="X7153" s="7" t="n"/>
      <c r="Z7153">
        <f>Z7152+IF(W7153="",0,IF(ISNA(MATCH(W7153,W$256:W7152,0)),1,0))</f>
        <v/>
      </c>
      <c r="AA7153">
        <f>IF(Z7153&gt;Z7152,Z7153,"")</f>
        <v/>
      </c>
      <c r="AB7153">
        <f>AB7152+IF(X7153="",0,IF(ISNA(MATCH(X7153,X$256:X7152,0)),1,0))</f>
        <v/>
      </c>
      <c r="AC7153">
        <f>IF(AB7153&gt;AB7152,AB7153,"")</f>
        <v/>
      </c>
    </row>
    <row r="7154">
      <c r="W7154" s="7" t="n"/>
      <c r="X7154" s="7" t="n"/>
      <c r="Z7154">
        <f>Z7153+IF(W7154="",0,IF(ISNA(MATCH(W7154,W$256:W7153,0)),1,0))</f>
        <v/>
      </c>
      <c r="AA7154">
        <f>IF(Z7154&gt;Z7153,Z7154,"")</f>
        <v/>
      </c>
      <c r="AB7154">
        <f>AB7153+IF(X7154="",0,IF(ISNA(MATCH(X7154,X$256:X7153,0)),1,0))</f>
        <v/>
      </c>
      <c r="AC7154">
        <f>IF(AB7154&gt;AB7153,AB7154,"")</f>
        <v/>
      </c>
    </row>
    <row r="7155">
      <c r="W7155" s="7" t="n"/>
      <c r="X7155" s="7" t="n"/>
      <c r="Z7155">
        <f>Z7154+IF(W7155="",0,IF(ISNA(MATCH(W7155,W$256:W7154,0)),1,0))</f>
        <v/>
      </c>
      <c r="AA7155">
        <f>IF(Z7155&gt;Z7154,Z7155,"")</f>
        <v/>
      </c>
      <c r="AB7155">
        <f>AB7154+IF(X7155="",0,IF(ISNA(MATCH(X7155,X$256:X7154,0)),1,0))</f>
        <v/>
      </c>
      <c r="AC7155">
        <f>IF(AB7155&gt;AB7154,AB7155,"")</f>
        <v/>
      </c>
    </row>
    <row r="7156">
      <c r="W7156" s="7" t="n"/>
      <c r="X7156" s="7" t="n"/>
      <c r="Z7156">
        <f>Z7155+IF(W7156="",0,IF(ISNA(MATCH(W7156,W$256:W7155,0)),1,0))</f>
        <v/>
      </c>
      <c r="AA7156">
        <f>IF(Z7156&gt;Z7155,Z7156,"")</f>
        <v/>
      </c>
      <c r="AB7156">
        <f>AB7155+IF(X7156="",0,IF(ISNA(MATCH(X7156,X$256:X7155,0)),1,0))</f>
        <v/>
      </c>
      <c r="AC7156">
        <f>IF(AB7156&gt;AB7155,AB7156,"")</f>
        <v/>
      </c>
    </row>
    <row r="7157">
      <c r="W7157" s="7" t="n"/>
      <c r="X7157" s="7" t="n"/>
      <c r="Z7157">
        <f>Z7156+IF(W7157="",0,IF(ISNA(MATCH(W7157,W$256:W7156,0)),1,0))</f>
        <v/>
      </c>
      <c r="AA7157">
        <f>IF(Z7157&gt;Z7156,Z7157,"")</f>
        <v/>
      </c>
      <c r="AB7157">
        <f>AB7156+IF(X7157="",0,IF(ISNA(MATCH(X7157,X$256:X7156,0)),1,0))</f>
        <v/>
      </c>
      <c r="AC7157">
        <f>IF(AB7157&gt;AB7156,AB7157,"")</f>
        <v/>
      </c>
    </row>
    <row r="7158">
      <c r="W7158" s="7" t="n"/>
      <c r="X7158" s="7" t="n"/>
      <c r="Z7158">
        <f>Z7157+IF(W7158="",0,IF(ISNA(MATCH(W7158,W$256:W7157,0)),1,0))</f>
        <v/>
      </c>
      <c r="AA7158">
        <f>IF(Z7158&gt;Z7157,Z7158,"")</f>
        <v/>
      </c>
      <c r="AB7158">
        <f>AB7157+IF(X7158="",0,IF(ISNA(MATCH(X7158,X$256:X7157,0)),1,0))</f>
        <v/>
      </c>
      <c r="AC7158">
        <f>IF(AB7158&gt;AB7157,AB7158,"")</f>
        <v/>
      </c>
    </row>
    <row r="7159">
      <c r="W7159" s="7" t="n"/>
      <c r="X7159" s="7" t="n"/>
      <c r="Z7159">
        <f>Z7158+IF(W7159="",0,IF(ISNA(MATCH(W7159,W$256:W7158,0)),1,0))</f>
        <v/>
      </c>
      <c r="AA7159">
        <f>IF(Z7159&gt;Z7158,Z7159,"")</f>
        <v/>
      </c>
      <c r="AB7159">
        <f>AB7158+IF(X7159="",0,IF(ISNA(MATCH(X7159,X$256:X7158,0)),1,0))</f>
        <v/>
      </c>
      <c r="AC7159">
        <f>IF(AB7159&gt;AB7158,AB7159,"")</f>
        <v/>
      </c>
    </row>
    <row r="7160">
      <c r="W7160" s="7" t="n"/>
      <c r="X7160" s="7" t="n"/>
      <c r="Z7160">
        <f>Z7159+IF(W7160="",0,IF(ISNA(MATCH(W7160,W$256:W7159,0)),1,0))</f>
        <v/>
      </c>
      <c r="AA7160">
        <f>IF(Z7160&gt;Z7159,Z7160,"")</f>
        <v/>
      </c>
      <c r="AB7160">
        <f>AB7159+IF(X7160="",0,IF(ISNA(MATCH(X7160,X$256:X7159,0)),1,0))</f>
        <v/>
      </c>
      <c r="AC7160">
        <f>IF(AB7160&gt;AB7159,AB7160,"")</f>
        <v/>
      </c>
    </row>
    <row r="7161">
      <c r="W7161" s="7" t="n"/>
      <c r="X7161" s="7" t="n"/>
      <c r="Z7161">
        <f>Z7160+IF(W7161="",0,IF(ISNA(MATCH(W7161,W$256:W7160,0)),1,0))</f>
        <v/>
      </c>
      <c r="AA7161">
        <f>IF(Z7161&gt;Z7160,Z7161,"")</f>
        <v/>
      </c>
      <c r="AB7161">
        <f>AB7160+IF(X7161="",0,IF(ISNA(MATCH(X7161,X$256:X7160,0)),1,0))</f>
        <v/>
      </c>
      <c r="AC7161">
        <f>IF(AB7161&gt;AB7160,AB7161,"")</f>
        <v/>
      </c>
    </row>
    <row r="7162">
      <c r="W7162" s="7" t="n"/>
      <c r="X7162" s="7" t="n"/>
      <c r="Z7162">
        <f>Z7161+IF(W7162="",0,IF(ISNA(MATCH(W7162,W$256:W7161,0)),1,0))</f>
        <v/>
      </c>
      <c r="AA7162">
        <f>IF(Z7162&gt;Z7161,Z7162,"")</f>
        <v/>
      </c>
      <c r="AB7162">
        <f>AB7161+IF(X7162="",0,IF(ISNA(MATCH(X7162,X$256:X7161,0)),1,0))</f>
        <v/>
      </c>
      <c r="AC7162">
        <f>IF(AB7162&gt;AB7161,AB7162,"")</f>
        <v/>
      </c>
    </row>
    <row r="7163">
      <c r="W7163" s="7" t="n"/>
      <c r="X7163" s="7" t="n"/>
      <c r="Z7163">
        <f>Z7162+IF(W7163="",0,IF(ISNA(MATCH(W7163,W$256:W7162,0)),1,0))</f>
        <v/>
      </c>
      <c r="AA7163">
        <f>IF(Z7163&gt;Z7162,Z7163,"")</f>
        <v/>
      </c>
      <c r="AB7163">
        <f>AB7162+IF(X7163="",0,IF(ISNA(MATCH(X7163,X$256:X7162,0)),1,0))</f>
        <v/>
      </c>
      <c r="AC7163">
        <f>IF(AB7163&gt;AB7162,AB7163,"")</f>
        <v/>
      </c>
    </row>
    <row r="7164">
      <c r="W7164" s="7" t="n"/>
      <c r="X7164" s="7" t="n"/>
      <c r="Z7164">
        <f>Z7163+IF(W7164="",0,IF(ISNA(MATCH(W7164,W$256:W7163,0)),1,0))</f>
        <v/>
      </c>
      <c r="AA7164">
        <f>IF(Z7164&gt;Z7163,Z7164,"")</f>
        <v/>
      </c>
      <c r="AB7164">
        <f>AB7163+IF(X7164="",0,IF(ISNA(MATCH(X7164,X$256:X7163,0)),1,0))</f>
        <v/>
      </c>
      <c r="AC7164">
        <f>IF(AB7164&gt;AB7163,AB7164,"")</f>
        <v/>
      </c>
    </row>
    <row r="7165">
      <c r="W7165" s="7" t="n"/>
      <c r="X7165" s="7" t="n"/>
      <c r="Z7165">
        <f>Z7164+IF(W7165="",0,IF(ISNA(MATCH(W7165,W$256:W7164,0)),1,0))</f>
        <v/>
      </c>
      <c r="AA7165">
        <f>IF(Z7165&gt;Z7164,Z7165,"")</f>
        <v/>
      </c>
      <c r="AB7165">
        <f>AB7164+IF(X7165="",0,IF(ISNA(MATCH(X7165,X$256:X7164,0)),1,0))</f>
        <v/>
      </c>
      <c r="AC7165">
        <f>IF(AB7165&gt;AB7164,AB7165,"")</f>
        <v/>
      </c>
    </row>
    <row r="7166">
      <c r="W7166" s="7" t="n"/>
      <c r="X7166" s="7" t="n"/>
      <c r="Z7166">
        <f>Z7165+IF(W7166="",0,IF(ISNA(MATCH(W7166,W$256:W7165,0)),1,0))</f>
        <v/>
      </c>
      <c r="AA7166">
        <f>IF(Z7166&gt;Z7165,Z7166,"")</f>
        <v/>
      </c>
      <c r="AB7166">
        <f>AB7165+IF(X7166="",0,IF(ISNA(MATCH(X7166,X$256:X7165,0)),1,0))</f>
        <v/>
      </c>
      <c r="AC7166">
        <f>IF(AB7166&gt;AB7165,AB7166,"")</f>
        <v/>
      </c>
    </row>
    <row r="7167">
      <c r="W7167" s="7" t="n"/>
      <c r="X7167" s="7" t="n"/>
      <c r="Z7167">
        <f>Z7166+IF(W7167="",0,IF(ISNA(MATCH(W7167,W$256:W7166,0)),1,0))</f>
        <v/>
      </c>
      <c r="AA7167">
        <f>IF(Z7167&gt;Z7166,Z7167,"")</f>
        <v/>
      </c>
      <c r="AB7167">
        <f>AB7166+IF(X7167="",0,IF(ISNA(MATCH(X7167,X$256:X7166,0)),1,0))</f>
        <v/>
      </c>
      <c r="AC7167">
        <f>IF(AB7167&gt;AB7166,AB7167,"")</f>
        <v/>
      </c>
    </row>
    <row r="7168">
      <c r="W7168" s="7" t="n"/>
      <c r="X7168" s="7" t="n"/>
      <c r="Z7168">
        <f>Z7167+IF(W7168="",0,IF(ISNA(MATCH(W7168,W$256:W7167,0)),1,0))</f>
        <v/>
      </c>
      <c r="AA7168">
        <f>IF(Z7168&gt;Z7167,Z7168,"")</f>
        <v/>
      </c>
      <c r="AB7168">
        <f>AB7167+IF(X7168="",0,IF(ISNA(MATCH(X7168,X$256:X7167,0)),1,0))</f>
        <v/>
      </c>
      <c r="AC7168">
        <f>IF(AB7168&gt;AB7167,AB7168,"")</f>
        <v/>
      </c>
    </row>
    <row r="7169">
      <c r="W7169" s="7" t="n"/>
      <c r="X7169" s="7" t="n"/>
      <c r="Z7169">
        <f>Z7168+IF(W7169="",0,IF(ISNA(MATCH(W7169,W$256:W7168,0)),1,0))</f>
        <v/>
      </c>
      <c r="AA7169">
        <f>IF(Z7169&gt;Z7168,Z7169,"")</f>
        <v/>
      </c>
      <c r="AB7169">
        <f>AB7168+IF(X7169="",0,IF(ISNA(MATCH(X7169,X$256:X7168,0)),1,0))</f>
        <v/>
      </c>
      <c r="AC7169">
        <f>IF(AB7169&gt;AB7168,AB7169,"")</f>
        <v/>
      </c>
    </row>
    <row r="7170">
      <c r="W7170" s="7" t="n"/>
      <c r="X7170" s="7" t="n"/>
      <c r="Z7170">
        <f>Z7169+IF(W7170="",0,IF(ISNA(MATCH(W7170,W$256:W7169,0)),1,0))</f>
        <v/>
      </c>
      <c r="AA7170">
        <f>IF(Z7170&gt;Z7169,Z7170,"")</f>
        <v/>
      </c>
      <c r="AB7170">
        <f>AB7169+IF(X7170="",0,IF(ISNA(MATCH(X7170,X$256:X7169,0)),1,0))</f>
        <v/>
      </c>
      <c r="AC7170">
        <f>IF(AB7170&gt;AB7169,AB7170,"")</f>
        <v/>
      </c>
    </row>
    <row r="7171">
      <c r="W7171" s="7" t="n"/>
      <c r="X7171" s="7" t="n"/>
      <c r="Z7171">
        <f>Z7170+IF(W7171="",0,IF(ISNA(MATCH(W7171,W$256:W7170,0)),1,0))</f>
        <v/>
      </c>
      <c r="AA7171">
        <f>IF(Z7171&gt;Z7170,Z7171,"")</f>
        <v/>
      </c>
      <c r="AB7171">
        <f>AB7170+IF(X7171="",0,IF(ISNA(MATCH(X7171,X$256:X7170,0)),1,0))</f>
        <v/>
      </c>
      <c r="AC7171">
        <f>IF(AB7171&gt;AB7170,AB7171,"")</f>
        <v/>
      </c>
    </row>
    <row r="7172">
      <c r="W7172" s="7" t="n"/>
      <c r="X7172" s="7" t="n"/>
      <c r="Z7172">
        <f>Z7171+IF(W7172="",0,IF(ISNA(MATCH(W7172,W$256:W7171,0)),1,0))</f>
        <v/>
      </c>
      <c r="AA7172">
        <f>IF(Z7172&gt;Z7171,Z7172,"")</f>
        <v/>
      </c>
      <c r="AB7172">
        <f>AB7171+IF(X7172="",0,IF(ISNA(MATCH(X7172,X$256:X7171,0)),1,0))</f>
        <v/>
      </c>
      <c r="AC7172">
        <f>IF(AB7172&gt;AB7171,AB7172,"")</f>
        <v/>
      </c>
    </row>
    <row r="7173">
      <c r="W7173" s="7" t="n"/>
      <c r="X7173" s="7" t="n"/>
      <c r="Z7173">
        <f>Z7172+IF(W7173="",0,IF(ISNA(MATCH(W7173,W$256:W7172,0)),1,0))</f>
        <v/>
      </c>
      <c r="AA7173">
        <f>IF(Z7173&gt;Z7172,Z7173,"")</f>
        <v/>
      </c>
      <c r="AB7173">
        <f>AB7172+IF(X7173="",0,IF(ISNA(MATCH(X7173,X$256:X7172,0)),1,0))</f>
        <v/>
      </c>
      <c r="AC7173">
        <f>IF(AB7173&gt;AB7172,AB7173,"")</f>
        <v/>
      </c>
    </row>
    <row r="7174">
      <c r="W7174" s="7" t="n"/>
      <c r="X7174" s="7" t="n"/>
      <c r="Z7174">
        <f>Z7173+IF(W7174="",0,IF(ISNA(MATCH(W7174,W$256:W7173,0)),1,0))</f>
        <v/>
      </c>
      <c r="AA7174">
        <f>IF(Z7174&gt;Z7173,Z7174,"")</f>
        <v/>
      </c>
      <c r="AB7174">
        <f>AB7173+IF(X7174="",0,IF(ISNA(MATCH(X7174,X$256:X7173,0)),1,0))</f>
        <v/>
      </c>
      <c r="AC7174">
        <f>IF(AB7174&gt;AB7173,AB7174,"")</f>
        <v/>
      </c>
    </row>
    <row r="7175">
      <c r="W7175" s="7" t="n"/>
      <c r="X7175" s="7" t="n"/>
      <c r="Z7175">
        <f>Z7174+IF(W7175="",0,IF(ISNA(MATCH(W7175,W$256:W7174,0)),1,0))</f>
        <v/>
      </c>
      <c r="AA7175">
        <f>IF(Z7175&gt;Z7174,Z7175,"")</f>
        <v/>
      </c>
      <c r="AB7175">
        <f>AB7174+IF(X7175="",0,IF(ISNA(MATCH(X7175,X$256:X7174,0)),1,0))</f>
        <v/>
      </c>
      <c r="AC7175">
        <f>IF(AB7175&gt;AB7174,AB7175,"")</f>
        <v/>
      </c>
    </row>
    <row r="7176">
      <c r="W7176" s="7" t="n"/>
      <c r="X7176" s="7" t="n"/>
      <c r="Z7176">
        <f>Z7175+IF(W7176="",0,IF(ISNA(MATCH(W7176,W$256:W7175,0)),1,0))</f>
        <v/>
      </c>
      <c r="AA7176">
        <f>IF(Z7176&gt;Z7175,Z7176,"")</f>
        <v/>
      </c>
      <c r="AB7176">
        <f>AB7175+IF(X7176="",0,IF(ISNA(MATCH(X7176,X$256:X7175,0)),1,0))</f>
        <v/>
      </c>
      <c r="AC7176">
        <f>IF(AB7176&gt;AB7175,AB7176,"")</f>
        <v/>
      </c>
    </row>
    <row r="7177">
      <c r="W7177" s="7" t="n"/>
      <c r="X7177" s="7" t="n"/>
      <c r="Z7177">
        <f>Z7176+IF(W7177="",0,IF(ISNA(MATCH(W7177,W$256:W7176,0)),1,0))</f>
        <v/>
      </c>
      <c r="AA7177">
        <f>IF(Z7177&gt;Z7176,Z7177,"")</f>
        <v/>
      </c>
      <c r="AB7177">
        <f>AB7176+IF(X7177="",0,IF(ISNA(MATCH(X7177,X$256:X7176,0)),1,0))</f>
        <v/>
      </c>
      <c r="AC7177">
        <f>IF(AB7177&gt;AB7176,AB7177,"")</f>
        <v/>
      </c>
    </row>
    <row r="7178">
      <c r="W7178" s="7" t="n"/>
      <c r="X7178" s="7" t="n"/>
      <c r="Z7178">
        <f>Z7177+IF(W7178="",0,IF(ISNA(MATCH(W7178,W$256:W7177,0)),1,0))</f>
        <v/>
      </c>
      <c r="AA7178">
        <f>IF(Z7178&gt;Z7177,Z7178,"")</f>
        <v/>
      </c>
      <c r="AB7178">
        <f>AB7177+IF(X7178="",0,IF(ISNA(MATCH(X7178,X$256:X7177,0)),1,0))</f>
        <v/>
      </c>
      <c r="AC7178">
        <f>IF(AB7178&gt;AB7177,AB7178,"")</f>
        <v/>
      </c>
    </row>
    <row r="7179">
      <c r="W7179" s="7" t="n"/>
      <c r="X7179" s="7" t="n"/>
      <c r="Z7179">
        <f>Z7178+IF(W7179="",0,IF(ISNA(MATCH(W7179,W$256:W7178,0)),1,0))</f>
        <v/>
      </c>
      <c r="AA7179">
        <f>IF(Z7179&gt;Z7178,Z7179,"")</f>
        <v/>
      </c>
      <c r="AB7179">
        <f>AB7178+IF(X7179="",0,IF(ISNA(MATCH(X7179,X$256:X7178,0)),1,0))</f>
        <v/>
      </c>
      <c r="AC7179">
        <f>IF(AB7179&gt;AB7178,AB7179,"")</f>
        <v/>
      </c>
    </row>
    <row r="7180">
      <c r="W7180" s="7" t="n"/>
      <c r="X7180" s="7" t="n"/>
      <c r="Z7180">
        <f>Z7179+IF(W7180="",0,IF(ISNA(MATCH(W7180,W$256:W7179,0)),1,0))</f>
        <v/>
      </c>
      <c r="AA7180">
        <f>IF(Z7180&gt;Z7179,Z7180,"")</f>
        <v/>
      </c>
      <c r="AB7180">
        <f>AB7179+IF(X7180="",0,IF(ISNA(MATCH(X7180,X$256:X7179,0)),1,0))</f>
        <v/>
      </c>
      <c r="AC7180">
        <f>IF(AB7180&gt;AB7179,AB7180,"")</f>
        <v/>
      </c>
    </row>
    <row r="7181">
      <c r="W7181" s="7" t="n"/>
      <c r="X7181" s="7" t="n"/>
      <c r="Z7181">
        <f>Z7180+IF(W7181="",0,IF(ISNA(MATCH(W7181,W$256:W7180,0)),1,0))</f>
        <v/>
      </c>
      <c r="AA7181">
        <f>IF(Z7181&gt;Z7180,Z7181,"")</f>
        <v/>
      </c>
      <c r="AB7181">
        <f>AB7180+IF(X7181="",0,IF(ISNA(MATCH(X7181,X$256:X7180,0)),1,0))</f>
        <v/>
      </c>
      <c r="AC7181">
        <f>IF(AB7181&gt;AB7180,AB7181,"")</f>
        <v/>
      </c>
    </row>
    <row r="7182">
      <c r="W7182" s="7" t="n"/>
      <c r="X7182" s="7" t="n"/>
      <c r="Z7182">
        <f>Z7181+IF(W7182="",0,IF(ISNA(MATCH(W7182,W$256:W7181,0)),1,0))</f>
        <v/>
      </c>
      <c r="AA7182">
        <f>IF(Z7182&gt;Z7181,Z7182,"")</f>
        <v/>
      </c>
      <c r="AB7182">
        <f>AB7181+IF(X7182="",0,IF(ISNA(MATCH(X7182,X$256:X7181,0)),1,0))</f>
        <v/>
      </c>
      <c r="AC7182">
        <f>IF(AB7182&gt;AB7181,AB7182,"")</f>
        <v/>
      </c>
    </row>
    <row r="7183">
      <c r="W7183" s="7" t="n"/>
      <c r="X7183" s="7" t="n"/>
      <c r="Z7183">
        <f>Z7182+IF(W7183="",0,IF(ISNA(MATCH(W7183,W$256:W7182,0)),1,0))</f>
        <v/>
      </c>
      <c r="AA7183">
        <f>IF(Z7183&gt;Z7182,Z7183,"")</f>
        <v/>
      </c>
      <c r="AB7183">
        <f>AB7182+IF(X7183="",0,IF(ISNA(MATCH(X7183,X$256:X7182,0)),1,0))</f>
        <v/>
      </c>
      <c r="AC7183">
        <f>IF(AB7183&gt;AB7182,AB7183,"")</f>
        <v/>
      </c>
    </row>
    <row r="7184">
      <c r="W7184" s="7" t="n"/>
      <c r="X7184" s="7" t="n"/>
      <c r="Z7184">
        <f>Z7183+IF(W7184="",0,IF(ISNA(MATCH(W7184,W$256:W7183,0)),1,0))</f>
        <v/>
      </c>
      <c r="AA7184">
        <f>IF(Z7184&gt;Z7183,Z7184,"")</f>
        <v/>
      </c>
      <c r="AB7184">
        <f>AB7183+IF(X7184="",0,IF(ISNA(MATCH(X7184,X$256:X7183,0)),1,0))</f>
        <v/>
      </c>
      <c r="AC7184">
        <f>IF(AB7184&gt;AB7183,AB7184,"")</f>
        <v/>
      </c>
    </row>
    <row r="7185">
      <c r="W7185" s="7" t="n"/>
      <c r="X7185" s="7" t="n"/>
      <c r="Z7185">
        <f>Z7184+IF(W7185="",0,IF(ISNA(MATCH(W7185,W$256:W7184,0)),1,0))</f>
        <v/>
      </c>
      <c r="AA7185">
        <f>IF(Z7185&gt;Z7184,Z7185,"")</f>
        <v/>
      </c>
      <c r="AB7185">
        <f>AB7184+IF(X7185="",0,IF(ISNA(MATCH(X7185,X$256:X7184,0)),1,0))</f>
        <v/>
      </c>
      <c r="AC7185">
        <f>IF(AB7185&gt;AB7184,AB7185,"")</f>
        <v/>
      </c>
    </row>
    <row r="7186">
      <c r="W7186" s="7" t="n"/>
      <c r="X7186" s="7" t="n"/>
      <c r="Z7186">
        <f>Z7185+IF(W7186="",0,IF(ISNA(MATCH(W7186,W$256:W7185,0)),1,0))</f>
        <v/>
      </c>
      <c r="AA7186">
        <f>IF(Z7186&gt;Z7185,Z7186,"")</f>
        <v/>
      </c>
      <c r="AB7186">
        <f>AB7185+IF(X7186="",0,IF(ISNA(MATCH(X7186,X$256:X7185,0)),1,0))</f>
        <v/>
      </c>
      <c r="AC7186">
        <f>IF(AB7186&gt;AB7185,AB7186,"")</f>
        <v/>
      </c>
    </row>
    <row r="7187">
      <c r="W7187" s="7" t="n"/>
      <c r="X7187" s="7" t="n"/>
      <c r="Z7187">
        <f>Z7186+IF(W7187="",0,IF(ISNA(MATCH(W7187,W$256:W7186,0)),1,0))</f>
        <v/>
      </c>
      <c r="AA7187">
        <f>IF(Z7187&gt;Z7186,Z7187,"")</f>
        <v/>
      </c>
      <c r="AB7187">
        <f>AB7186+IF(X7187="",0,IF(ISNA(MATCH(X7187,X$256:X7186,0)),1,0))</f>
        <v/>
      </c>
      <c r="AC7187">
        <f>IF(AB7187&gt;AB7186,AB7187,"")</f>
        <v/>
      </c>
    </row>
    <row r="7188">
      <c r="W7188" s="7" t="n"/>
      <c r="X7188" s="7" t="n"/>
      <c r="Z7188">
        <f>Z7187+IF(W7188="",0,IF(ISNA(MATCH(W7188,W$256:W7187,0)),1,0))</f>
        <v/>
      </c>
      <c r="AA7188">
        <f>IF(Z7188&gt;Z7187,Z7188,"")</f>
        <v/>
      </c>
      <c r="AB7188">
        <f>AB7187+IF(X7188="",0,IF(ISNA(MATCH(X7188,X$256:X7187,0)),1,0))</f>
        <v/>
      </c>
      <c r="AC7188">
        <f>IF(AB7188&gt;AB7187,AB7188,"")</f>
        <v/>
      </c>
    </row>
    <row r="7189">
      <c r="W7189" s="7" t="n"/>
      <c r="X7189" s="7" t="n"/>
      <c r="Z7189">
        <f>Z7188+IF(W7189="",0,IF(ISNA(MATCH(W7189,W$256:W7188,0)),1,0))</f>
        <v/>
      </c>
      <c r="AA7189">
        <f>IF(Z7189&gt;Z7188,Z7189,"")</f>
        <v/>
      </c>
      <c r="AB7189">
        <f>AB7188+IF(X7189="",0,IF(ISNA(MATCH(X7189,X$256:X7188,0)),1,0))</f>
        <v/>
      </c>
      <c r="AC7189">
        <f>IF(AB7189&gt;AB7188,AB7189,"")</f>
        <v/>
      </c>
    </row>
    <row r="7190">
      <c r="W7190" s="7" t="n"/>
      <c r="X7190" s="7" t="n"/>
      <c r="Z7190">
        <f>Z7189+IF(W7190="",0,IF(ISNA(MATCH(W7190,W$256:W7189,0)),1,0))</f>
        <v/>
      </c>
      <c r="AA7190">
        <f>IF(Z7190&gt;Z7189,Z7190,"")</f>
        <v/>
      </c>
      <c r="AB7190">
        <f>AB7189+IF(X7190="",0,IF(ISNA(MATCH(X7190,X$256:X7189,0)),1,0))</f>
        <v/>
      </c>
      <c r="AC7190">
        <f>IF(AB7190&gt;AB7189,AB7190,"")</f>
        <v/>
      </c>
    </row>
    <row r="7191">
      <c r="W7191" s="7" t="n"/>
      <c r="X7191" s="7" t="n"/>
      <c r="Z7191">
        <f>Z7190+IF(W7191="",0,IF(ISNA(MATCH(W7191,W$256:W7190,0)),1,0))</f>
        <v/>
      </c>
      <c r="AA7191">
        <f>IF(Z7191&gt;Z7190,Z7191,"")</f>
        <v/>
      </c>
      <c r="AB7191">
        <f>AB7190+IF(X7191="",0,IF(ISNA(MATCH(X7191,X$256:X7190,0)),1,0))</f>
        <v/>
      </c>
      <c r="AC7191">
        <f>IF(AB7191&gt;AB7190,AB7191,"")</f>
        <v/>
      </c>
    </row>
    <row r="7192">
      <c r="W7192" s="7" t="n"/>
      <c r="X7192" s="7" t="n"/>
      <c r="Z7192">
        <f>Z7191+IF(W7192="",0,IF(ISNA(MATCH(W7192,W$256:W7191,0)),1,0))</f>
        <v/>
      </c>
      <c r="AA7192">
        <f>IF(Z7192&gt;Z7191,Z7192,"")</f>
        <v/>
      </c>
      <c r="AB7192">
        <f>AB7191+IF(X7192="",0,IF(ISNA(MATCH(X7192,X$256:X7191,0)),1,0))</f>
        <v/>
      </c>
      <c r="AC7192">
        <f>IF(AB7192&gt;AB7191,AB7192,"")</f>
        <v/>
      </c>
    </row>
    <row r="7193">
      <c r="W7193" s="7" t="n"/>
      <c r="X7193" s="7" t="n"/>
      <c r="Z7193">
        <f>Z7192+IF(W7193="",0,IF(ISNA(MATCH(W7193,W$256:W7192,0)),1,0))</f>
        <v/>
      </c>
      <c r="AA7193">
        <f>IF(Z7193&gt;Z7192,Z7193,"")</f>
        <v/>
      </c>
      <c r="AB7193">
        <f>AB7192+IF(X7193="",0,IF(ISNA(MATCH(X7193,X$256:X7192,0)),1,0))</f>
        <v/>
      </c>
      <c r="AC7193">
        <f>IF(AB7193&gt;AB7192,AB7193,"")</f>
        <v/>
      </c>
    </row>
    <row r="7194">
      <c r="W7194" s="7" t="n"/>
      <c r="X7194" s="7" t="n"/>
      <c r="Z7194">
        <f>Z7193+IF(W7194="",0,IF(ISNA(MATCH(W7194,W$256:W7193,0)),1,0))</f>
        <v/>
      </c>
      <c r="AA7194">
        <f>IF(Z7194&gt;Z7193,Z7194,"")</f>
        <v/>
      </c>
      <c r="AB7194">
        <f>AB7193+IF(X7194="",0,IF(ISNA(MATCH(X7194,X$256:X7193,0)),1,0))</f>
        <v/>
      </c>
      <c r="AC7194">
        <f>IF(AB7194&gt;AB7193,AB7194,"")</f>
        <v/>
      </c>
    </row>
    <row r="7195">
      <c r="W7195" s="7" t="n"/>
      <c r="X7195" s="7" t="n"/>
      <c r="Z7195">
        <f>Z7194+IF(W7195="",0,IF(ISNA(MATCH(W7195,W$256:W7194,0)),1,0))</f>
        <v/>
      </c>
      <c r="AA7195">
        <f>IF(Z7195&gt;Z7194,Z7195,"")</f>
        <v/>
      </c>
      <c r="AB7195">
        <f>AB7194+IF(X7195="",0,IF(ISNA(MATCH(X7195,X$256:X7194,0)),1,0))</f>
        <v/>
      </c>
      <c r="AC7195">
        <f>IF(AB7195&gt;AB7194,AB7195,"")</f>
        <v/>
      </c>
    </row>
    <row r="7196">
      <c r="W7196" s="7" t="n"/>
      <c r="X7196" s="7" t="n"/>
      <c r="Z7196">
        <f>Z7195+IF(W7196="",0,IF(ISNA(MATCH(W7196,W$256:W7195,0)),1,0))</f>
        <v/>
      </c>
      <c r="AA7196">
        <f>IF(Z7196&gt;Z7195,Z7196,"")</f>
        <v/>
      </c>
      <c r="AB7196">
        <f>AB7195+IF(X7196="",0,IF(ISNA(MATCH(X7196,X$256:X7195,0)),1,0))</f>
        <v/>
      </c>
      <c r="AC7196">
        <f>IF(AB7196&gt;AB7195,AB7196,"")</f>
        <v/>
      </c>
    </row>
    <row r="7197">
      <c r="W7197" s="7" t="n"/>
      <c r="X7197" s="7" t="n"/>
      <c r="Z7197">
        <f>Z7196+IF(W7197="",0,IF(ISNA(MATCH(W7197,W$256:W7196,0)),1,0))</f>
        <v/>
      </c>
      <c r="AA7197">
        <f>IF(Z7197&gt;Z7196,Z7197,"")</f>
        <v/>
      </c>
      <c r="AB7197">
        <f>AB7196+IF(X7197="",0,IF(ISNA(MATCH(X7197,X$256:X7196,0)),1,0))</f>
        <v/>
      </c>
      <c r="AC7197">
        <f>IF(AB7197&gt;AB7196,AB7197,"")</f>
        <v/>
      </c>
    </row>
    <row r="7198">
      <c r="W7198" s="7" t="n"/>
      <c r="X7198" s="7" t="n"/>
      <c r="Z7198">
        <f>Z7197+IF(W7198="",0,IF(ISNA(MATCH(W7198,W$256:W7197,0)),1,0))</f>
        <v/>
      </c>
      <c r="AA7198">
        <f>IF(Z7198&gt;Z7197,Z7198,"")</f>
        <v/>
      </c>
      <c r="AB7198">
        <f>AB7197+IF(X7198="",0,IF(ISNA(MATCH(X7198,X$256:X7197,0)),1,0))</f>
        <v/>
      </c>
      <c r="AC7198">
        <f>IF(AB7198&gt;AB7197,AB7198,"")</f>
        <v/>
      </c>
    </row>
    <row r="7199">
      <c r="W7199" s="7" t="n"/>
      <c r="X7199" s="7" t="n"/>
      <c r="Z7199">
        <f>Z7198+IF(W7199="",0,IF(ISNA(MATCH(W7199,W$256:W7198,0)),1,0))</f>
        <v/>
      </c>
      <c r="AA7199">
        <f>IF(Z7199&gt;Z7198,Z7199,"")</f>
        <v/>
      </c>
      <c r="AB7199">
        <f>AB7198+IF(X7199="",0,IF(ISNA(MATCH(X7199,X$256:X7198,0)),1,0))</f>
        <v/>
      </c>
      <c r="AC7199">
        <f>IF(AB7199&gt;AB7198,AB7199,"")</f>
        <v/>
      </c>
    </row>
    <row r="7200">
      <c r="W7200" s="7" t="n"/>
      <c r="X7200" s="7" t="n"/>
      <c r="Z7200">
        <f>Z7199+IF(W7200="",0,IF(ISNA(MATCH(W7200,W$256:W7199,0)),1,0))</f>
        <v/>
      </c>
      <c r="AA7200">
        <f>IF(Z7200&gt;Z7199,Z7200,"")</f>
        <v/>
      </c>
      <c r="AB7200">
        <f>AB7199+IF(X7200="",0,IF(ISNA(MATCH(X7200,X$256:X7199,0)),1,0))</f>
        <v/>
      </c>
      <c r="AC7200">
        <f>IF(AB7200&gt;AB7199,AB7200,"")</f>
        <v/>
      </c>
    </row>
    <row r="7201">
      <c r="W7201" s="7" t="n"/>
      <c r="X7201" s="7" t="n"/>
      <c r="Z7201">
        <f>Z7200+IF(W7201="",0,IF(ISNA(MATCH(W7201,W$256:W7200,0)),1,0))</f>
        <v/>
      </c>
      <c r="AA7201">
        <f>IF(Z7201&gt;Z7200,Z7201,"")</f>
        <v/>
      </c>
      <c r="AB7201">
        <f>AB7200+IF(X7201="",0,IF(ISNA(MATCH(X7201,X$256:X7200,0)),1,0))</f>
        <v/>
      </c>
      <c r="AC7201">
        <f>IF(AB7201&gt;AB7200,AB7201,"")</f>
        <v/>
      </c>
    </row>
    <row r="7202">
      <c r="W7202" s="7" t="n"/>
      <c r="X7202" s="7" t="n"/>
      <c r="Z7202">
        <f>Z7201+IF(W7202="",0,IF(ISNA(MATCH(W7202,W$256:W7201,0)),1,0))</f>
        <v/>
      </c>
      <c r="AA7202">
        <f>IF(Z7202&gt;Z7201,Z7202,"")</f>
        <v/>
      </c>
      <c r="AB7202">
        <f>AB7201+IF(X7202="",0,IF(ISNA(MATCH(X7202,X$256:X7201,0)),1,0))</f>
        <v/>
      </c>
      <c r="AC7202">
        <f>IF(AB7202&gt;AB7201,AB7202,"")</f>
        <v/>
      </c>
    </row>
    <row r="7203">
      <c r="W7203" s="7" t="n"/>
      <c r="X7203" s="7" t="n"/>
      <c r="Z7203">
        <f>Z7202+IF(W7203="",0,IF(ISNA(MATCH(W7203,W$256:W7202,0)),1,0))</f>
        <v/>
      </c>
      <c r="AA7203">
        <f>IF(Z7203&gt;Z7202,Z7203,"")</f>
        <v/>
      </c>
      <c r="AB7203">
        <f>AB7202+IF(X7203="",0,IF(ISNA(MATCH(X7203,X$256:X7202,0)),1,0))</f>
        <v/>
      </c>
      <c r="AC7203">
        <f>IF(AB7203&gt;AB7202,AB7203,"")</f>
        <v/>
      </c>
    </row>
    <row r="7204">
      <c r="W7204" s="7" t="n"/>
      <c r="X7204" s="7" t="n"/>
      <c r="Z7204">
        <f>Z7203+IF(W7204="",0,IF(ISNA(MATCH(W7204,W$256:W7203,0)),1,0))</f>
        <v/>
      </c>
      <c r="AA7204">
        <f>IF(Z7204&gt;Z7203,Z7204,"")</f>
        <v/>
      </c>
      <c r="AB7204">
        <f>AB7203+IF(X7204="",0,IF(ISNA(MATCH(X7204,X$256:X7203,0)),1,0))</f>
        <v/>
      </c>
      <c r="AC7204">
        <f>IF(AB7204&gt;AB7203,AB7204,"")</f>
        <v/>
      </c>
    </row>
    <row r="7205">
      <c r="W7205" s="7" t="n"/>
      <c r="X7205" s="7" t="n"/>
      <c r="Z7205">
        <f>Z7204+IF(W7205="",0,IF(ISNA(MATCH(W7205,W$256:W7204,0)),1,0))</f>
        <v/>
      </c>
      <c r="AA7205">
        <f>IF(Z7205&gt;Z7204,Z7205,"")</f>
        <v/>
      </c>
      <c r="AB7205">
        <f>AB7204+IF(X7205="",0,IF(ISNA(MATCH(X7205,X$256:X7204,0)),1,0))</f>
        <v/>
      </c>
      <c r="AC7205">
        <f>IF(AB7205&gt;AB7204,AB7205,"")</f>
        <v/>
      </c>
    </row>
    <row r="7206">
      <c r="W7206" s="7" t="n"/>
      <c r="X7206" s="7" t="n"/>
      <c r="Z7206">
        <f>Z7205+IF(W7206="",0,IF(ISNA(MATCH(W7206,W$256:W7205,0)),1,0))</f>
        <v/>
      </c>
      <c r="AA7206">
        <f>IF(Z7206&gt;Z7205,Z7206,"")</f>
        <v/>
      </c>
      <c r="AB7206">
        <f>AB7205+IF(X7206="",0,IF(ISNA(MATCH(X7206,X$256:X7205,0)),1,0))</f>
        <v/>
      </c>
      <c r="AC7206">
        <f>IF(AB7206&gt;AB7205,AB7206,"")</f>
        <v/>
      </c>
    </row>
    <row r="7207">
      <c r="W7207" s="7" t="n"/>
      <c r="X7207" s="7" t="n"/>
      <c r="Z7207">
        <f>Z7206+IF(W7207="",0,IF(ISNA(MATCH(W7207,W$256:W7206,0)),1,0))</f>
        <v/>
      </c>
      <c r="AA7207">
        <f>IF(Z7207&gt;Z7206,Z7207,"")</f>
        <v/>
      </c>
      <c r="AB7207">
        <f>AB7206+IF(X7207="",0,IF(ISNA(MATCH(X7207,X$256:X7206,0)),1,0))</f>
        <v/>
      </c>
      <c r="AC7207">
        <f>IF(AB7207&gt;AB7206,AB7207,"")</f>
        <v/>
      </c>
    </row>
    <row r="7208">
      <c r="W7208" s="7" t="n"/>
      <c r="X7208" s="7" t="n"/>
      <c r="Z7208">
        <f>Z7207+IF(W7208="",0,IF(ISNA(MATCH(W7208,W$256:W7207,0)),1,0))</f>
        <v/>
      </c>
      <c r="AA7208">
        <f>IF(Z7208&gt;Z7207,Z7208,"")</f>
        <v/>
      </c>
      <c r="AB7208">
        <f>AB7207+IF(X7208="",0,IF(ISNA(MATCH(X7208,X$256:X7207,0)),1,0))</f>
        <v/>
      </c>
      <c r="AC7208">
        <f>IF(AB7208&gt;AB7207,AB7208,"")</f>
        <v/>
      </c>
    </row>
    <row r="7209">
      <c r="W7209" s="7" t="n"/>
      <c r="X7209" s="7" t="n"/>
      <c r="Z7209">
        <f>Z7208+IF(W7209="",0,IF(ISNA(MATCH(W7209,W$256:W7208,0)),1,0))</f>
        <v/>
      </c>
      <c r="AA7209">
        <f>IF(Z7209&gt;Z7208,Z7209,"")</f>
        <v/>
      </c>
      <c r="AB7209">
        <f>AB7208+IF(X7209="",0,IF(ISNA(MATCH(X7209,X$256:X7208,0)),1,0))</f>
        <v/>
      </c>
      <c r="AC7209">
        <f>IF(AB7209&gt;AB7208,AB7209,"")</f>
        <v/>
      </c>
    </row>
    <row r="7210">
      <c r="W7210" s="7" t="n"/>
      <c r="X7210" s="7" t="n"/>
      <c r="Z7210">
        <f>Z7209+IF(W7210="",0,IF(ISNA(MATCH(W7210,W$256:W7209,0)),1,0))</f>
        <v/>
      </c>
      <c r="AA7210">
        <f>IF(Z7210&gt;Z7209,Z7210,"")</f>
        <v/>
      </c>
      <c r="AB7210">
        <f>AB7209+IF(X7210="",0,IF(ISNA(MATCH(X7210,X$256:X7209,0)),1,0))</f>
        <v/>
      </c>
      <c r="AC7210">
        <f>IF(AB7210&gt;AB7209,AB7210,"")</f>
        <v/>
      </c>
    </row>
    <row r="7211">
      <c r="W7211" s="7" t="n"/>
      <c r="X7211" s="7" t="n"/>
      <c r="Z7211">
        <f>Z7210+IF(W7211="",0,IF(ISNA(MATCH(W7211,W$256:W7210,0)),1,0))</f>
        <v/>
      </c>
      <c r="AA7211">
        <f>IF(Z7211&gt;Z7210,Z7211,"")</f>
        <v/>
      </c>
      <c r="AB7211">
        <f>AB7210+IF(X7211="",0,IF(ISNA(MATCH(X7211,X$256:X7210,0)),1,0))</f>
        <v/>
      </c>
      <c r="AC7211">
        <f>IF(AB7211&gt;AB7210,AB7211,"")</f>
        <v/>
      </c>
    </row>
    <row r="7212">
      <c r="W7212" s="7" t="n"/>
      <c r="X7212" s="7" t="n"/>
      <c r="Z7212">
        <f>Z7211+IF(W7212="",0,IF(ISNA(MATCH(W7212,W$256:W7211,0)),1,0))</f>
        <v/>
      </c>
      <c r="AA7212">
        <f>IF(Z7212&gt;Z7211,Z7212,"")</f>
        <v/>
      </c>
      <c r="AB7212">
        <f>AB7211+IF(X7212="",0,IF(ISNA(MATCH(X7212,X$256:X7211,0)),1,0))</f>
        <v/>
      </c>
      <c r="AC7212">
        <f>IF(AB7212&gt;AB7211,AB7212,"")</f>
        <v/>
      </c>
    </row>
    <row r="7213">
      <c r="W7213" s="7" t="n"/>
      <c r="X7213" s="7" t="n"/>
      <c r="Z7213">
        <f>Z7212+IF(W7213="",0,IF(ISNA(MATCH(W7213,W$256:W7212,0)),1,0))</f>
        <v/>
      </c>
      <c r="AA7213">
        <f>IF(Z7213&gt;Z7212,Z7213,"")</f>
        <v/>
      </c>
      <c r="AB7213">
        <f>AB7212+IF(X7213="",0,IF(ISNA(MATCH(X7213,X$256:X7212,0)),1,0))</f>
        <v/>
      </c>
      <c r="AC7213">
        <f>IF(AB7213&gt;AB7212,AB7213,"")</f>
        <v/>
      </c>
    </row>
    <row r="7214">
      <c r="W7214" s="7" t="n"/>
      <c r="X7214" s="7" t="n"/>
      <c r="Z7214">
        <f>Z7213+IF(W7214="",0,IF(ISNA(MATCH(W7214,W$256:W7213,0)),1,0))</f>
        <v/>
      </c>
      <c r="AA7214">
        <f>IF(Z7214&gt;Z7213,Z7214,"")</f>
        <v/>
      </c>
      <c r="AB7214">
        <f>AB7213+IF(X7214="",0,IF(ISNA(MATCH(X7214,X$256:X7213,0)),1,0))</f>
        <v/>
      </c>
      <c r="AC7214">
        <f>IF(AB7214&gt;AB7213,AB7214,"")</f>
        <v/>
      </c>
    </row>
    <row r="7215">
      <c r="W7215" s="7" t="n"/>
      <c r="X7215" s="7" t="n"/>
      <c r="Z7215">
        <f>Z7214+IF(W7215="",0,IF(ISNA(MATCH(W7215,W$256:W7214,0)),1,0))</f>
        <v/>
      </c>
      <c r="AA7215">
        <f>IF(Z7215&gt;Z7214,Z7215,"")</f>
        <v/>
      </c>
      <c r="AB7215">
        <f>AB7214+IF(X7215="",0,IF(ISNA(MATCH(X7215,X$256:X7214,0)),1,0))</f>
        <v/>
      </c>
      <c r="AC7215">
        <f>IF(AB7215&gt;AB7214,AB7215,"")</f>
        <v/>
      </c>
    </row>
    <row r="7216">
      <c r="W7216" s="7" t="n"/>
      <c r="X7216" s="7" t="n"/>
      <c r="Z7216">
        <f>Z7215+IF(W7216="",0,IF(ISNA(MATCH(W7216,W$256:W7215,0)),1,0))</f>
        <v/>
      </c>
      <c r="AA7216">
        <f>IF(Z7216&gt;Z7215,Z7216,"")</f>
        <v/>
      </c>
      <c r="AB7216">
        <f>AB7215+IF(X7216="",0,IF(ISNA(MATCH(X7216,X$256:X7215,0)),1,0))</f>
        <v/>
      </c>
      <c r="AC7216">
        <f>IF(AB7216&gt;AB7215,AB7216,"")</f>
        <v/>
      </c>
    </row>
    <row r="7217">
      <c r="W7217" s="7" t="n"/>
      <c r="X7217" s="7" t="n"/>
      <c r="Z7217">
        <f>Z7216+IF(W7217="",0,IF(ISNA(MATCH(W7217,W$256:W7216,0)),1,0))</f>
        <v/>
      </c>
      <c r="AA7217">
        <f>IF(Z7217&gt;Z7216,Z7217,"")</f>
        <v/>
      </c>
      <c r="AB7217">
        <f>AB7216+IF(X7217="",0,IF(ISNA(MATCH(X7217,X$256:X7216,0)),1,0))</f>
        <v/>
      </c>
      <c r="AC7217">
        <f>IF(AB7217&gt;AB7216,AB7217,"")</f>
        <v/>
      </c>
    </row>
    <row r="7218">
      <c r="W7218" s="7" t="n"/>
      <c r="X7218" s="7" t="n"/>
      <c r="Z7218">
        <f>Z7217+IF(W7218="",0,IF(ISNA(MATCH(W7218,W$256:W7217,0)),1,0))</f>
        <v/>
      </c>
      <c r="AA7218">
        <f>IF(Z7218&gt;Z7217,Z7218,"")</f>
        <v/>
      </c>
      <c r="AB7218">
        <f>AB7217+IF(X7218="",0,IF(ISNA(MATCH(X7218,X$256:X7217,0)),1,0))</f>
        <v/>
      </c>
      <c r="AC7218">
        <f>IF(AB7218&gt;AB7217,AB7218,"")</f>
        <v/>
      </c>
    </row>
    <row r="7219">
      <c r="W7219" s="7" t="n"/>
      <c r="X7219" s="7" t="n"/>
      <c r="Z7219">
        <f>Z7218+IF(W7219="",0,IF(ISNA(MATCH(W7219,W$256:W7218,0)),1,0))</f>
        <v/>
      </c>
      <c r="AA7219">
        <f>IF(Z7219&gt;Z7218,Z7219,"")</f>
        <v/>
      </c>
      <c r="AB7219">
        <f>AB7218+IF(X7219="",0,IF(ISNA(MATCH(X7219,X$256:X7218,0)),1,0))</f>
        <v/>
      </c>
      <c r="AC7219">
        <f>IF(AB7219&gt;AB7218,AB7219,"")</f>
        <v/>
      </c>
    </row>
    <row r="7220">
      <c r="W7220" s="7" t="n"/>
      <c r="X7220" s="7" t="n"/>
      <c r="Z7220">
        <f>Z7219+IF(W7220="",0,IF(ISNA(MATCH(W7220,W$256:W7219,0)),1,0))</f>
        <v/>
      </c>
      <c r="AA7220">
        <f>IF(Z7220&gt;Z7219,Z7220,"")</f>
        <v/>
      </c>
      <c r="AB7220">
        <f>AB7219+IF(X7220="",0,IF(ISNA(MATCH(X7220,X$256:X7219,0)),1,0))</f>
        <v/>
      </c>
      <c r="AC7220">
        <f>IF(AB7220&gt;AB7219,AB7220,"")</f>
        <v/>
      </c>
    </row>
    <row r="7221">
      <c r="W7221" s="7" t="n"/>
      <c r="X7221" s="7" t="n"/>
      <c r="Z7221">
        <f>Z7220+IF(W7221="",0,IF(ISNA(MATCH(W7221,W$256:W7220,0)),1,0))</f>
        <v/>
      </c>
      <c r="AA7221">
        <f>IF(Z7221&gt;Z7220,Z7221,"")</f>
        <v/>
      </c>
      <c r="AB7221">
        <f>AB7220+IF(X7221="",0,IF(ISNA(MATCH(X7221,X$256:X7220,0)),1,0))</f>
        <v/>
      </c>
      <c r="AC7221">
        <f>IF(AB7221&gt;AB7220,AB7221,"")</f>
        <v/>
      </c>
    </row>
    <row r="7222">
      <c r="W7222" s="7" t="n"/>
      <c r="X7222" s="7" t="n"/>
      <c r="Z7222">
        <f>Z7221+IF(W7222="",0,IF(ISNA(MATCH(W7222,W$256:W7221,0)),1,0))</f>
        <v/>
      </c>
      <c r="AA7222">
        <f>IF(Z7222&gt;Z7221,Z7222,"")</f>
        <v/>
      </c>
      <c r="AB7222">
        <f>AB7221+IF(X7222="",0,IF(ISNA(MATCH(X7222,X$256:X7221,0)),1,0))</f>
        <v/>
      </c>
      <c r="AC7222">
        <f>IF(AB7222&gt;AB7221,AB7222,"")</f>
        <v/>
      </c>
    </row>
    <row r="7223">
      <c r="W7223" s="7" t="n"/>
      <c r="X7223" s="7" t="n"/>
      <c r="Z7223">
        <f>Z7222+IF(W7223="",0,IF(ISNA(MATCH(W7223,W$256:W7222,0)),1,0))</f>
        <v/>
      </c>
      <c r="AA7223">
        <f>IF(Z7223&gt;Z7222,Z7223,"")</f>
        <v/>
      </c>
      <c r="AB7223">
        <f>AB7222+IF(X7223="",0,IF(ISNA(MATCH(X7223,X$256:X7222,0)),1,0))</f>
        <v/>
      </c>
      <c r="AC7223">
        <f>IF(AB7223&gt;AB7222,AB7223,"")</f>
        <v/>
      </c>
    </row>
    <row r="7224">
      <c r="W7224" s="7" t="n"/>
      <c r="X7224" s="7" t="n"/>
      <c r="Z7224">
        <f>Z7223+IF(W7224="",0,IF(ISNA(MATCH(W7224,W$256:W7223,0)),1,0))</f>
        <v/>
      </c>
      <c r="AA7224">
        <f>IF(Z7224&gt;Z7223,Z7224,"")</f>
        <v/>
      </c>
      <c r="AB7224">
        <f>AB7223+IF(X7224="",0,IF(ISNA(MATCH(X7224,X$256:X7223,0)),1,0))</f>
        <v/>
      </c>
      <c r="AC7224">
        <f>IF(AB7224&gt;AB7223,AB7224,"")</f>
        <v/>
      </c>
    </row>
    <row r="7225">
      <c r="W7225" s="7" t="n"/>
      <c r="X7225" s="7" t="n"/>
      <c r="Z7225">
        <f>Z7224+IF(W7225="",0,IF(ISNA(MATCH(W7225,W$256:W7224,0)),1,0))</f>
        <v/>
      </c>
      <c r="AA7225">
        <f>IF(Z7225&gt;Z7224,Z7225,"")</f>
        <v/>
      </c>
      <c r="AB7225">
        <f>AB7224+IF(X7225="",0,IF(ISNA(MATCH(X7225,X$256:X7224,0)),1,0))</f>
        <v/>
      </c>
      <c r="AC7225">
        <f>IF(AB7225&gt;AB7224,AB7225,"")</f>
        <v/>
      </c>
    </row>
    <row r="7226">
      <c r="W7226" s="7" t="n"/>
      <c r="X7226" s="7" t="n"/>
      <c r="Z7226">
        <f>Z7225+IF(W7226="",0,IF(ISNA(MATCH(W7226,W$256:W7225,0)),1,0))</f>
        <v/>
      </c>
      <c r="AA7226">
        <f>IF(Z7226&gt;Z7225,Z7226,"")</f>
        <v/>
      </c>
      <c r="AB7226">
        <f>AB7225+IF(X7226="",0,IF(ISNA(MATCH(X7226,X$256:X7225,0)),1,0))</f>
        <v/>
      </c>
      <c r="AC7226">
        <f>IF(AB7226&gt;AB7225,AB7226,"")</f>
        <v/>
      </c>
    </row>
    <row r="7227">
      <c r="W7227" s="7" t="n"/>
      <c r="X7227" s="7" t="n"/>
      <c r="Z7227">
        <f>Z7226+IF(W7227="",0,IF(ISNA(MATCH(W7227,W$256:W7226,0)),1,0))</f>
        <v/>
      </c>
      <c r="AA7227">
        <f>IF(Z7227&gt;Z7226,Z7227,"")</f>
        <v/>
      </c>
      <c r="AB7227">
        <f>AB7226+IF(X7227="",0,IF(ISNA(MATCH(X7227,X$256:X7226,0)),1,0))</f>
        <v/>
      </c>
      <c r="AC7227">
        <f>IF(AB7227&gt;AB7226,AB7227,"")</f>
        <v/>
      </c>
    </row>
    <row r="7228">
      <c r="W7228" s="7" t="n"/>
      <c r="X7228" s="7" t="n"/>
      <c r="Z7228">
        <f>Z7227+IF(W7228="",0,IF(ISNA(MATCH(W7228,W$256:W7227,0)),1,0))</f>
        <v/>
      </c>
      <c r="AA7228">
        <f>IF(Z7228&gt;Z7227,Z7228,"")</f>
        <v/>
      </c>
      <c r="AB7228">
        <f>AB7227+IF(X7228="",0,IF(ISNA(MATCH(X7228,X$256:X7227,0)),1,0))</f>
        <v/>
      </c>
      <c r="AC7228">
        <f>IF(AB7228&gt;AB7227,AB7228,"")</f>
        <v/>
      </c>
    </row>
    <row r="7229">
      <c r="W7229" s="7" t="n"/>
      <c r="X7229" s="7" t="n"/>
      <c r="Z7229">
        <f>Z7228+IF(W7229="",0,IF(ISNA(MATCH(W7229,W$256:W7228,0)),1,0))</f>
        <v/>
      </c>
      <c r="AA7229">
        <f>IF(Z7229&gt;Z7228,Z7229,"")</f>
        <v/>
      </c>
      <c r="AB7229">
        <f>AB7228+IF(X7229="",0,IF(ISNA(MATCH(X7229,X$256:X7228,0)),1,0))</f>
        <v/>
      </c>
      <c r="AC7229">
        <f>IF(AB7229&gt;AB7228,AB7229,"")</f>
        <v/>
      </c>
    </row>
    <row r="7230">
      <c r="W7230" s="7" t="n"/>
      <c r="X7230" s="7" t="n"/>
      <c r="Z7230">
        <f>Z7229+IF(W7230="",0,IF(ISNA(MATCH(W7230,W$256:W7229,0)),1,0))</f>
        <v/>
      </c>
      <c r="AA7230">
        <f>IF(Z7230&gt;Z7229,Z7230,"")</f>
        <v/>
      </c>
      <c r="AB7230">
        <f>AB7229+IF(X7230="",0,IF(ISNA(MATCH(X7230,X$256:X7229,0)),1,0))</f>
        <v/>
      </c>
      <c r="AC7230">
        <f>IF(AB7230&gt;AB7229,AB7230,"")</f>
        <v/>
      </c>
    </row>
    <row r="7231">
      <c r="W7231" s="7" t="n"/>
      <c r="X7231" s="7" t="n"/>
      <c r="Z7231">
        <f>Z7230+IF(W7231="",0,IF(ISNA(MATCH(W7231,W$256:W7230,0)),1,0))</f>
        <v/>
      </c>
      <c r="AA7231">
        <f>IF(Z7231&gt;Z7230,Z7231,"")</f>
        <v/>
      </c>
      <c r="AB7231">
        <f>AB7230+IF(X7231="",0,IF(ISNA(MATCH(X7231,X$256:X7230,0)),1,0))</f>
        <v/>
      </c>
      <c r="AC7231">
        <f>IF(AB7231&gt;AB7230,AB7231,"")</f>
        <v/>
      </c>
    </row>
    <row r="7232">
      <c r="W7232" s="7" t="n"/>
      <c r="X7232" s="7" t="n"/>
      <c r="Z7232">
        <f>Z7231+IF(W7232="",0,IF(ISNA(MATCH(W7232,W$256:W7231,0)),1,0))</f>
        <v/>
      </c>
      <c r="AA7232">
        <f>IF(Z7232&gt;Z7231,Z7232,"")</f>
        <v/>
      </c>
      <c r="AB7232">
        <f>AB7231+IF(X7232="",0,IF(ISNA(MATCH(X7232,X$256:X7231,0)),1,0))</f>
        <v/>
      </c>
      <c r="AC7232">
        <f>IF(AB7232&gt;AB7231,AB7232,"")</f>
        <v/>
      </c>
    </row>
    <row r="7233">
      <c r="W7233" s="7" t="n"/>
      <c r="X7233" s="7" t="n"/>
      <c r="Z7233">
        <f>Z7232+IF(W7233="",0,IF(ISNA(MATCH(W7233,W$256:W7232,0)),1,0))</f>
        <v/>
      </c>
      <c r="AA7233">
        <f>IF(Z7233&gt;Z7232,Z7233,"")</f>
        <v/>
      </c>
      <c r="AB7233">
        <f>AB7232+IF(X7233="",0,IF(ISNA(MATCH(X7233,X$256:X7232,0)),1,0))</f>
        <v/>
      </c>
      <c r="AC7233">
        <f>IF(AB7233&gt;AB7232,AB7233,"")</f>
        <v/>
      </c>
    </row>
    <row r="7234">
      <c r="W7234" s="7" t="n"/>
      <c r="X7234" s="7" t="n"/>
      <c r="Z7234">
        <f>Z7233+IF(W7234="",0,IF(ISNA(MATCH(W7234,W$256:W7233,0)),1,0))</f>
        <v/>
      </c>
      <c r="AA7234">
        <f>IF(Z7234&gt;Z7233,Z7234,"")</f>
        <v/>
      </c>
      <c r="AB7234">
        <f>AB7233+IF(X7234="",0,IF(ISNA(MATCH(X7234,X$256:X7233,0)),1,0))</f>
        <v/>
      </c>
      <c r="AC7234">
        <f>IF(AB7234&gt;AB7233,AB7234,"")</f>
        <v/>
      </c>
    </row>
    <row r="7235">
      <c r="W7235" s="7" t="n"/>
      <c r="X7235" s="7" t="n"/>
      <c r="Z7235">
        <f>Z7234+IF(W7235="",0,IF(ISNA(MATCH(W7235,W$256:W7234,0)),1,0))</f>
        <v/>
      </c>
      <c r="AA7235">
        <f>IF(Z7235&gt;Z7234,Z7235,"")</f>
        <v/>
      </c>
      <c r="AB7235">
        <f>AB7234+IF(X7235="",0,IF(ISNA(MATCH(X7235,X$256:X7234,0)),1,0))</f>
        <v/>
      </c>
      <c r="AC7235">
        <f>IF(AB7235&gt;AB7234,AB7235,"")</f>
        <v/>
      </c>
    </row>
    <row r="7236">
      <c r="W7236" s="7" t="n"/>
      <c r="X7236" s="7" t="n"/>
      <c r="Z7236">
        <f>Z7235+IF(W7236="",0,IF(ISNA(MATCH(W7236,W$256:W7235,0)),1,0))</f>
        <v/>
      </c>
      <c r="AA7236">
        <f>IF(Z7236&gt;Z7235,Z7236,"")</f>
        <v/>
      </c>
      <c r="AB7236">
        <f>AB7235+IF(X7236="",0,IF(ISNA(MATCH(X7236,X$256:X7235,0)),1,0))</f>
        <v/>
      </c>
      <c r="AC7236">
        <f>IF(AB7236&gt;AB7235,AB7236,"")</f>
        <v/>
      </c>
    </row>
    <row r="7237">
      <c r="W7237" s="7" t="n"/>
      <c r="X7237" s="7" t="n"/>
      <c r="Z7237">
        <f>Z7236+IF(W7237="",0,IF(ISNA(MATCH(W7237,W$256:W7236,0)),1,0))</f>
        <v/>
      </c>
      <c r="AA7237">
        <f>IF(Z7237&gt;Z7236,Z7237,"")</f>
        <v/>
      </c>
      <c r="AB7237">
        <f>AB7236+IF(X7237="",0,IF(ISNA(MATCH(X7237,X$256:X7236,0)),1,0))</f>
        <v/>
      </c>
      <c r="AC7237">
        <f>IF(AB7237&gt;AB7236,AB7237,"")</f>
        <v/>
      </c>
    </row>
    <row r="7238">
      <c r="W7238" s="7" t="n"/>
      <c r="X7238" s="7" t="n"/>
      <c r="Z7238">
        <f>Z7237+IF(W7238="",0,IF(ISNA(MATCH(W7238,W$256:W7237,0)),1,0))</f>
        <v/>
      </c>
      <c r="AA7238">
        <f>IF(Z7238&gt;Z7237,Z7238,"")</f>
        <v/>
      </c>
      <c r="AB7238">
        <f>AB7237+IF(X7238="",0,IF(ISNA(MATCH(X7238,X$256:X7237,0)),1,0))</f>
        <v/>
      </c>
      <c r="AC7238">
        <f>IF(AB7238&gt;AB7237,AB7238,"")</f>
        <v/>
      </c>
    </row>
    <row r="7239">
      <c r="W7239" s="7" t="n"/>
      <c r="X7239" s="7" t="n"/>
      <c r="Z7239">
        <f>Z7238+IF(W7239="",0,IF(ISNA(MATCH(W7239,W$256:W7238,0)),1,0))</f>
        <v/>
      </c>
      <c r="AA7239">
        <f>IF(Z7239&gt;Z7238,Z7239,"")</f>
        <v/>
      </c>
      <c r="AB7239">
        <f>AB7238+IF(X7239="",0,IF(ISNA(MATCH(X7239,X$256:X7238,0)),1,0))</f>
        <v/>
      </c>
      <c r="AC7239">
        <f>IF(AB7239&gt;AB7238,AB7239,"")</f>
        <v/>
      </c>
    </row>
    <row r="7240">
      <c r="W7240" s="7" t="n"/>
      <c r="X7240" s="7" t="n"/>
      <c r="Z7240">
        <f>Z7239+IF(W7240="",0,IF(ISNA(MATCH(W7240,W$256:W7239,0)),1,0))</f>
        <v/>
      </c>
      <c r="AA7240">
        <f>IF(Z7240&gt;Z7239,Z7240,"")</f>
        <v/>
      </c>
      <c r="AB7240">
        <f>AB7239+IF(X7240="",0,IF(ISNA(MATCH(X7240,X$256:X7239,0)),1,0))</f>
        <v/>
      </c>
      <c r="AC7240">
        <f>IF(AB7240&gt;AB7239,AB7240,"")</f>
        <v/>
      </c>
    </row>
    <row r="7241">
      <c r="W7241" s="7" t="n"/>
      <c r="X7241" s="7" t="n"/>
      <c r="Z7241">
        <f>Z7240+IF(W7241="",0,IF(ISNA(MATCH(W7241,W$256:W7240,0)),1,0))</f>
        <v/>
      </c>
      <c r="AA7241">
        <f>IF(Z7241&gt;Z7240,Z7241,"")</f>
        <v/>
      </c>
      <c r="AB7241">
        <f>AB7240+IF(X7241="",0,IF(ISNA(MATCH(X7241,X$256:X7240,0)),1,0))</f>
        <v/>
      </c>
      <c r="AC7241">
        <f>IF(AB7241&gt;AB7240,AB7241,"")</f>
        <v/>
      </c>
    </row>
    <row r="7242">
      <c r="W7242" s="7" t="n"/>
      <c r="X7242" s="7" t="n"/>
      <c r="Z7242">
        <f>Z7241+IF(W7242="",0,IF(ISNA(MATCH(W7242,W$256:W7241,0)),1,0))</f>
        <v/>
      </c>
      <c r="AA7242">
        <f>IF(Z7242&gt;Z7241,Z7242,"")</f>
        <v/>
      </c>
      <c r="AB7242">
        <f>AB7241+IF(X7242="",0,IF(ISNA(MATCH(X7242,X$256:X7241,0)),1,0))</f>
        <v/>
      </c>
      <c r="AC7242">
        <f>IF(AB7242&gt;AB7241,AB7242,"")</f>
        <v/>
      </c>
    </row>
    <row r="7243">
      <c r="W7243" s="7" t="n"/>
      <c r="X7243" s="7" t="n"/>
      <c r="Z7243">
        <f>Z7242+IF(W7243="",0,IF(ISNA(MATCH(W7243,W$256:W7242,0)),1,0))</f>
        <v/>
      </c>
      <c r="AA7243">
        <f>IF(Z7243&gt;Z7242,Z7243,"")</f>
        <v/>
      </c>
      <c r="AB7243">
        <f>AB7242+IF(X7243="",0,IF(ISNA(MATCH(X7243,X$256:X7242,0)),1,0))</f>
        <v/>
      </c>
      <c r="AC7243">
        <f>IF(AB7243&gt;AB7242,AB7243,"")</f>
        <v/>
      </c>
    </row>
    <row r="7244">
      <c r="W7244" s="7" t="n"/>
      <c r="X7244" s="7" t="n"/>
      <c r="Z7244">
        <f>Z7243+IF(W7244="",0,IF(ISNA(MATCH(W7244,W$256:W7243,0)),1,0))</f>
        <v/>
      </c>
      <c r="AA7244">
        <f>IF(Z7244&gt;Z7243,Z7244,"")</f>
        <v/>
      </c>
      <c r="AB7244">
        <f>AB7243+IF(X7244="",0,IF(ISNA(MATCH(X7244,X$256:X7243,0)),1,0))</f>
        <v/>
      </c>
      <c r="AC7244">
        <f>IF(AB7244&gt;AB7243,AB7244,"")</f>
        <v/>
      </c>
    </row>
    <row r="7245">
      <c r="W7245" s="7" t="n"/>
      <c r="X7245" s="7" t="n"/>
      <c r="Z7245">
        <f>Z7244+IF(W7245="",0,IF(ISNA(MATCH(W7245,W$256:W7244,0)),1,0))</f>
        <v/>
      </c>
      <c r="AA7245">
        <f>IF(Z7245&gt;Z7244,Z7245,"")</f>
        <v/>
      </c>
      <c r="AB7245">
        <f>AB7244+IF(X7245="",0,IF(ISNA(MATCH(X7245,X$256:X7244,0)),1,0))</f>
        <v/>
      </c>
      <c r="AC7245">
        <f>IF(AB7245&gt;AB7244,AB7245,"")</f>
        <v/>
      </c>
    </row>
    <row r="7246">
      <c r="W7246" s="7" t="n"/>
      <c r="X7246" s="7" t="n"/>
      <c r="Z7246">
        <f>Z7245+IF(W7246="",0,IF(ISNA(MATCH(W7246,W$256:W7245,0)),1,0))</f>
        <v/>
      </c>
      <c r="AA7246">
        <f>IF(Z7246&gt;Z7245,Z7246,"")</f>
        <v/>
      </c>
      <c r="AB7246">
        <f>AB7245+IF(X7246="",0,IF(ISNA(MATCH(X7246,X$256:X7245,0)),1,0))</f>
        <v/>
      </c>
      <c r="AC7246">
        <f>IF(AB7246&gt;AB7245,AB7246,"")</f>
        <v/>
      </c>
    </row>
    <row r="7247">
      <c r="W7247" s="7" t="n"/>
      <c r="X7247" s="7" t="n"/>
      <c r="Z7247">
        <f>Z7246+IF(W7247="",0,IF(ISNA(MATCH(W7247,W$256:W7246,0)),1,0))</f>
        <v/>
      </c>
      <c r="AA7247">
        <f>IF(Z7247&gt;Z7246,Z7247,"")</f>
        <v/>
      </c>
      <c r="AB7247">
        <f>AB7246+IF(X7247="",0,IF(ISNA(MATCH(X7247,X$256:X7246,0)),1,0))</f>
        <v/>
      </c>
      <c r="AC7247">
        <f>IF(AB7247&gt;AB7246,AB7247,"")</f>
        <v/>
      </c>
    </row>
    <row r="7248">
      <c r="W7248" s="7" t="n"/>
      <c r="X7248" s="7" t="n"/>
      <c r="Z7248">
        <f>Z7247+IF(W7248="",0,IF(ISNA(MATCH(W7248,W$256:W7247,0)),1,0))</f>
        <v/>
      </c>
      <c r="AA7248">
        <f>IF(Z7248&gt;Z7247,Z7248,"")</f>
        <v/>
      </c>
      <c r="AB7248">
        <f>AB7247+IF(X7248="",0,IF(ISNA(MATCH(X7248,X$256:X7247,0)),1,0))</f>
        <v/>
      </c>
      <c r="AC7248">
        <f>IF(AB7248&gt;AB7247,AB7248,"")</f>
        <v/>
      </c>
    </row>
    <row r="7249">
      <c r="W7249" s="7" t="n"/>
      <c r="X7249" s="7" t="n"/>
      <c r="Z7249">
        <f>Z7248+IF(W7249="",0,IF(ISNA(MATCH(W7249,W$256:W7248,0)),1,0))</f>
        <v/>
      </c>
      <c r="AA7249">
        <f>IF(Z7249&gt;Z7248,Z7249,"")</f>
        <v/>
      </c>
      <c r="AB7249">
        <f>AB7248+IF(X7249="",0,IF(ISNA(MATCH(X7249,X$256:X7248,0)),1,0))</f>
        <v/>
      </c>
      <c r="AC7249">
        <f>IF(AB7249&gt;AB7248,AB7249,"")</f>
        <v/>
      </c>
    </row>
    <row r="7250">
      <c r="W7250" s="7" t="n"/>
      <c r="X7250" s="7" t="n"/>
      <c r="Z7250">
        <f>Z7249+IF(W7250="",0,IF(ISNA(MATCH(W7250,W$256:W7249,0)),1,0))</f>
        <v/>
      </c>
      <c r="AA7250">
        <f>IF(Z7250&gt;Z7249,Z7250,"")</f>
        <v/>
      </c>
      <c r="AB7250">
        <f>AB7249+IF(X7250="",0,IF(ISNA(MATCH(X7250,X$256:X7249,0)),1,0))</f>
        <v/>
      </c>
      <c r="AC7250">
        <f>IF(AB7250&gt;AB7249,AB7250,"")</f>
        <v/>
      </c>
    </row>
    <row r="7251">
      <c r="W7251" s="7" t="n"/>
      <c r="X7251" s="7" t="n"/>
      <c r="Z7251">
        <f>Z7250+IF(W7251="",0,IF(ISNA(MATCH(W7251,W$256:W7250,0)),1,0))</f>
        <v/>
      </c>
      <c r="AA7251">
        <f>IF(Z7251&gt;Z7250,Z7251,"")</f>
        <v/>
      </c>
      <c r="AB7251">
        <f>AB7250+IF(X7251="",0,IF(ISNA(MATCH(X7251,X$256:X7250,0)),1,0))</f>
        <v/>
      </c>
      <c r="AC7251">
        <f>IF(AB7251&gt;AB7250,AB7251,"")</f>
        <v/>
      </c>
    </row>
    <row r="7252">
      <c r="W7252" s="7" t="n"/>
      <c r="X7252" s="7" t="n"/>
      <c r="Z7252">
        <f>Z7251+IF(W7252="",0,IF(ISNA(MATCH(W7252,W$256:W7251,0)),1,0))</f>
        <v/>
      </c>
      <c r="AA7252">
        <f>IF(Z7252&gt;Z7251,Z7252,"")</f>
        <v/>
      </c>
      <c r="AB7252">
        <f>AB7251+IF(X7252="",0,IF(ISNA(MATCH(X7252,X$256:X7251,0)),1,0))</f>
        <v/>
      </c>
      <c r="AC7252">
        <f>IF(AB7252&gt;AB7251,AB7252,"")</f>
        <v/>
      </c>
    </row>
    <row r="7253">
      <c r="W7253" s="7" t="n"/>
      <c r="X7253" s="7" t="n"/>
      <c r="Z7253">
        <f>Z7252+IF(W7253="",0,IF(ISNA(MATCH(W7253,W$256:W7252,0)),1,0))</f>
        <v/>
      </c>
      <c r="AA7253">
        <f>IF(Z7253&gt;Z7252,Z7253,"")</f>
        <v/>
      </c>
      <c r="AB7253">
        <f>AB7252+IF(X7253="",0,IF(ISNA(MATCH(X7253,X$256:X7252,0)),1,0))</f>
        <v/>
      </c>
      <c r="AC7253">
        <f>IF(AB7253&gt;AB7252,AB7253,"")</f>
        <v/>
      </c>
    </row>
    <row r="7254">
      <c r="W7254" s="7" t="n"/>
      <c r="X7254" s="7" t="n"/>
      <c r="Z7254">
        <f>Z7253+IF(W7254="",0,IF(ISNA(MATCH(W7254,W$256:W7253,0)),1,0))</f>
        <v/>
      </c>
      <c r="AA7254">
        <f>IF(Z7254&gt;Z7253,Z7254,"")</f>
        <v/>
      </c>
      <c r="AB7254">
        <f>AB7253+IF(X7254="",0,IF(ISNA(MATCH(X7254,X$256:X7253,0)),1,0))</f>
        <v/>
      </c>
      <c r="AC7254">
        <f>IF(AB7254&gt;AB7253,AB7254,"")</f>
        <v/>
      </c>
    </row>
    <row r="7255">
      <c r="W7255" s="7" t="n"/>
      <c r="X7255" s="7" t="n"/>
      <c r="Z7255">
        <f>Z7254+IF(W7255="",0,IF(ISNA(MATCH(W7255,W$256:W7254,0)),1,0))</f>
        <v/>
      </c>
      <c r="AA7255">
        <f>IF(Z7255&gt;Z7254,Z7255,"")</f>
        <v/>
      </c>
      <c r="AB7255">
        <f>AB7254+IF(X7255="",0,IF(ISNA(MATCH(X7255,X$256:X7254,0)),1,0))</f>
        <v/>
      </c>
      <c r="AC7255">
        <f>IF(AB7255&gt;AB7254,AB7255,"")</f>
        <v/>
      </c>
    </row>
    <row r="7256">
      <c r="W7256" s="7" t="n"/>
      <c r="X7256" s="7" t="n"/>
      <c r="Z7256">
        <f>Z7255+IF(W7256="",0,IF(ISNA(MATCH(W7256,W$256:W7255,0)),1,0))</f>
        <v/>
      </c>
      <c r="AA7256">
        <f>IF(Z7256&gt;Z7255,Z7256,"")</f>
        <v/>
      </c>
      <c r="AB7256">
        <f>AB7255+IF(X7256="",0,IF(ISNA(MATCH(X7256,X$256:X7255,0)),1,0))</f>
        <v/>
      </c>
      <c r="AC7256">
        <f>IF(AB7256&gt;AB7255,AB7256,"")</f>
        <v/>
      </c>
    </row>
    <row r="7257">
      <c r="W7257" s="7" t="n"/>
      <c r="X7257" s="7" t="n"/>
      <c r="Z7257">
        <f>Z7256+IF(W7257="",0,IF(ISNA(MATCH(W7257,W$256:W7256,0)),1,0))</f>
        <v/>
      </c>
      <c r="AA7257">
        <f>IF(Z7257&gt;Z7256,Z7257,"")</f>
        <v/>
      </c>
      <c r="AB7257">
        <f>AB7256+IF(X7257="",0,IF(ISNA(MATCH(X7257,X$256:X7256,0)),1,0))</f>
        <v/>
      </c>
      <c r="AC7257">
        <f>IF(AB7257&gt;AB7256,AB7257,"")</f>
        <v/>
      </c>
    </row>
    <row r="7258">
      <c r="W7258" s="7" t="n"/>
      <c r="X7258" s="7" t="n"/>
      <c r="Z7258">
        <f>Z7257+IF(W7258="",0,IF(ISNA(MATCH(W7258,W$256:W7257,0)),1,0))</f>
        <v/>
      </c>
      <c r="AA7258">
        <f>IF(Z7258&gt;Z7257,Z7258,"")</f>
        <v/>
      </c>
      <c r="AB7258">
        <f>AB7257+IF(X7258="",0,IF(ISNA(MATCH(X7258,X$256:X7257,0)),1,0))</f>
        <v/>
      </c>
      <c r="AC7258">
        <f>IF(AB7258&gt;AB7257,AB7258,"")</f>
        <v/>
      </c>
    </row>
    <row r="7259">
      <c r="W7259" s="7" t="n"/>
      <c r="X7259" s="7" t="n"/>
      <c r="Z7259">
        <f>Z7258+IF(W7259="",0,IF(ISNA(MATCH(W7259,W$256:W7258,0)),1,0))</f>
        <v/>
      </c>
      <c r="AA7259">
        <f>IF(Z7259&gt;Z7258,Z7259,"")</f>
        <v/>
      </c>
      <c r="AB7259">
        <f>AB7258+IF(X7259="",0,IF(ISNA(MATCH(X7259,X$256:X7258,0)),1,0))</f>
        <v/>
      </c>
      <c r="AC7259">
        <f>IF(AB7259&gt;AB7258,AB7259,"")</f>
        <v/>
      </c>
    </row>
    <row r="7260">
      <c r="W7260" s="7" t="n"/>
      <c r="X7260" s="7" t="n"/>
      <c r="Z7260">
        <f>Z7259+IF(W7260="",0,IF(ISNA(MATCH(W7260,W$256:W7259,0)),1,0))</f>
        <v/>
      </c>
      <c r="AA7260">
        <f>IF(Z7260&gt;Z7259,Z7260,"")</f>
        <v/>
      </c>
      <c r="AB7260">
        <f>AB7259+IF(X7260="",0,IF(ISNA(MATCH(X7260,X$256:X7259,0)),1,0))</f>
        <v/>
      </c>
      <c r="AC7260">
        <f>IF(AB7260&gt;AB7259,AB7260,"")</f>
        <v/>
      </c>
    </row>
    <row r="7261">
      <c r="W7261" s="7" t="n"/>
      <c r="X7261" s="7" t="n"/>
      <c r="Z7261">
        <f>Z7260+IF(W7261="",0,IF(ISNA(MATCH(W7261,W$256:W7260,0)),1,0))</f>
        <v/>
      </c>
      <c r="AA7261">
        <f>IF(Z7261&gt;Z7260,Z7261,"")</f>
        <v/>
      </c>
      <c r="AB7261">
        <f>AB7260+IF(X7261="",0,IF(ISNA(MATCH(X7261,X$256:X7260,0)),1,0))</f>
        <v/>
      </c>
      <c r="AC7261">
        <f>IF(AB7261&gt;AB7260,AB7261,"")</f>
        <v/>
      </c>
    </row>
    <row r="7262">
      <c r="W7262" s="7" t="n"/>
      <c r="X7262" s="7" t="n"/>
      <c r="Z7262">
        <f>Z7261+IF(W7262="",0,IF(ISNA(MATCH(W7262,W$256:W7261,0)),1,0))</f>
        <v/>
      </c>
      <c r="AA7262">
        <f>IF(Z7262&gt;Z7261,Z7262,"")</f>
        <v/>
      </c>
      <c r="AB7262">
        <f>AB7261+IF(X7262="",0,IF(ISNA(MATCH(X7262,X$256:X7261,0)),1,0))</f>
        <v/>
      </c>
      <c r="AC7262">
        <f>IF(AB7262&gt;AB7261,AB7262,"")</f>
        <v/>
      </c>
    </row>
    <row r="7263">
      <c r="W7263" s="7" t="n"/>
      <c r="X7263" s="7" t="n"/>
      <c r="Z7263">
        <f>Z7262+IF(W7263="",0,IF(ISNA(MATCH(W7263,W$256:W7262,0)),1,0))</f>
        <v/>
      </c>
      <c r="AA7263">
        <f>IF(Z7263&gt;Z7262,Z7263,"")</f>
        <v/>
      </c>
      <c r="AB7263">
        <f>AB7262+IF(X7263="",0,IF(ISNA(MATCH(X7263,X$256:X7262,0)),1,0))</f>
        <v/>
      </c>
      <c r="AC7263">
        <f>IF(AB7263&gt;AB7262,AB7263,"")</f>
        <v/>
      </c>
    </row>
    <row r="7264">
      <c r="W7264" s="7" t="n"/>
      <c r="X7264" s="7" t="n"/>
      <c r="Z7264">
        <f>Z7263+IF(W7264="",0,IF(ISNA(MATCH(W7264,W$256:W7263,0)),1,0))</f>
        <v/>
      </c>
      <c r="AA7264">
        <f>IF(Z7264&gt;Z7263,Z7264,"")</f>
        <v/>
      </c>
      <c r="AB7264">
        <f>AB7263+IF(X7264="",0,IF(ISNA(MATCH(X7264,X$256:X7263,0)),1,0))</f>
        <v/>
      </c>
      <c r="AC7264">
        <f>IF(AB7264&gt;AB7263,AB7264,"")</f>
        <v/>
      </c>
    </row>
    <row r="7265">
      <c r="W7265" s="7" t="n"/>
      <c r="X7265" s="7" t="n"/>
      <c r="Z7265">
        <f>Z7264+IF(W7265="",0,IF(ISNA(MATCH(W7265,W$256:W7264,0)),1,0))</f>
        <v/>
      </c>
      <c r="AA7265">
        <f>IF(Z7265&gt;Z7264,Z7265,"")</f>
        <v/>
      </c>
      <c r="AB7265">
        <f>AB7264+IF(X7265="",0,IF(ISNA(MATCH(X7265,X$256:X7264,0)),1,0))</f>
        <v/>
      </c>
      <c r="AC7265">
        <f>IF(AB7265&gt;AB7264,AB7265,"")</f>
        <v/>
      </c>
    </row>
    <row r="7266">
      <c r="W7266" s="7" t="n"/>
      <c r="X7266" s="7" t="n"/>
      <c r="Z7266">
        <f>Z7265+IF(W7266="",0,IF(ISNA(MATCH(W7266,W$256:W7265,0)),1,0))</f>
        <v/>
      </c>
      <c r="AA7266">
        <f>IF(Z7266&gt;Z7265,Z7266,"")</f>
        <v/>
      </c>
      <c r="AB7266">
        <f>AB7265+IF(X7266="",0,IF(ISNA(MATCH(X7266,X$256:X7265,0)),1,0))</f>
        <v/>
      </c>
      <c r="AC7266">
        <f>IF(AB7266&gt;AB7265,AB7266,"")</f>
        <v/>
      </c>
    </row>
    <row r="7267">
      <c r="W7267" s="7" t="n"/>
      <c r="X7267" s="7" t="n"/>
      <c r="Z7267">
        <f>Z7266+IF(W7267="",0,IF(ISNA(MATCH(W7267,W$256:W7266,0)),1,0))</f>
        <v/>
      </c>
      <c r="AA7267">
        <f>IF(Z7267&gt;Z7266,Z7267,"")</f>
        <v/>
      </c>
      <c r="AB7267">
        <f>AB7266+IF(X7267="",0,IF(ISNA(MATCH(X7267,X$256:X7266,0)),1,0))</f>
        <v/>
      </c>
      <c r="AC7267">
        <f>IF(AB7267&gt;AB7266,AB7267,"")</f>
        <v/>
      </c>
    </row>
    <row r="7268">
      <c r="W7268" s="7" t="n"/>
      <c r="X7268" s="7" t="n"/>
      <c r="Z7268">
        <f>Z7267+IF(W7268="",0,IF(ISNA(MATCH(W7268,W$256:W7267,0)),1,0))</f>
        <v/>
      </c>
      <c r="AA7268">
        <f>IF(Z7268&gt;Z7267,Z7268,"")</f>
        <v/>
      </c>
      <c r="AB7268">
        <f>AB7267+IF(X7268="",0,IF(ISNA(MATCH(X7268,X$256:X7267,0)),1,0))</f>
        <v/>
      </c>
      <c r="AC7268">
        <f>IF(AB7268&gt;AB7267,AB7268,"")</f>
        <v/>
      </c>
    </row>
    <row r="7269">
      <c r="W7269" s="7" t="n"/>
      <c r="X7269" s="7" t="n"/>
      <c r="Z7269">
        <f>Z7268+IF(W7269="",0,IF(ISNA(MATCH(W7269,W$256:W7268,0)),1,0))</f>
        <v/>
      </c>
      <c r="AA7269">
        <f>IF(Z7269&gt;Z7268,Z7269,"")</f>
        <v/>
      </c>
      <c r="AB7269">
        <f>AB7268+IF(X7269="",0,IF(ISNA(MATCH(X7269,X$256:X7268,0)),1,0))</f>
        <v/>
      </c>
      <c r="AC7269">
        <f>IF(AB7269&gt;AB7268,AB7269,"")</f>
        <v/>
      </c>
    </row>
    <row r="7270">
      <c r="W7270" s="7" t="n"/>
      <c r="X7270" s="7" t="n"/>
      <c r="Z7270">
        <f>Z7269+IF(W7270="",0,IF(ISNA(MATCH(W7270,W$256:W7269,0)),1,0))</f>
        <v/>
      </c>
      <c r="AA7270">
        <f>IF(Z7270&gt;Z7269,Z7270,"")</f>
        <v/>
      </c>
      <c r="AB7270">
        <f>AB7269+IF(X7270="",0,IF(ISNA(MATCH(X7270,X$256:X7269,0)),1,0))</f>
        <v/>
      </c>
      <c r="AC7270">
        <f>IF(AB7270&gt;AB7269,AB7270,"")</f>
        <v/>
      </c>
    </row>
    <row r="7271">
      <c r="W7271" s="7" t="n"/>
      <c r="X7271" s="7" t="n"/>
      <c r="Z7271">
        <f>Z7270+IF(W7271="",0,IF(ISNA(MATCH(W7271,W$256:W7270,0)),1,0))</f>
        <v/>
      </c>
      <c r="AA7271">
        <f>IF(Z7271&gt;Z7270,Z7271,"")</f>
        <v/>
      </c>
      <c r="AB7271">
        <f>AB7270+IF(X7271="",0,IF(ISNA(MATCH(X7271,X$256:X7270,0)),1,0))</f>
        <v/>
      </c>
      <c r="AC7271">
        <f>IF(AB7271&gt;AB7270,AB7271,"")</f>
        <v/>
      </c>
    </row>
    <row r="7272">
      <c r="W7272" s="7" t="n"/>
      <c r="X7272" s="7" t="n"/>
      <c r="Z7272">
        <f>Z7271+IF(W7272="",0,IF(ISNA(MATCH(W7272,W$256:W7271,0)),1,0))</f>
        <v/>
      </c>
      <c r="AA7272">
        <f>IF(Z7272&gt;Z7271,Z7272,"")</f>
        <v/>
      </c>
      <c r="AB7272">
        <f>AB7271+IF(X7272="",0,IF(ISNA(MATCH(X7272,X$256:X7271,0)),1,0))</f>
        <v/>
      </c>
      <c r="AC7272">
        <f>IF(AB7272&gt;AB7271,AB7272,"")</f>
        <v/>
      </c>
    </row>
    <row r="7273">
      <c r="W7273" s="7" t="n"/>
      <c r="X7273" s="7" t="n"/>
      <c r="Z7273">
        <f>Z7272+IF(W7273="",0,IF(ISNA(MATCH(W7273,W$256:W7272,0)),1,0))</f>
        <v/>
      </c>
      <c r="AA7273">
        <f>IF(Z7273&gt;Z7272,Z7273,"")</f>
        <v/>
      </c>
      <c r="AB7273">
        <f>AB7272+IF(X7273="",0,IF(ISNA(MATCH(X7273,X$256:X7272,0)),1,0))</f>
        <v/>
      </c>
      <c r="AC7273">
        <f>IF(AB7273&gt;AB7272,AB7273,"")</f>
        <v/>
      </c>
    </row>
    <row r="7274">
      <c r="W7274" s="7" t="n"/>
      <c r="X7274" s="7" t="n"/>
      <c r="Z7274">
        <f>Z7273+IF(W7274="",0,IF(ISNA(MATCH(W7274,W$256:W7273,0)),1,0))</f>
        <v/>
      </c>
      <c r="AA7274">
        <f>IF(Z7274&gt;Z7273,Z7274,"")</f>
        <v/>
      </c>
      <c r="AB7274">
        <f>AB7273+IF(X7274="",0,IF(ISNA(MATCH(X7274,X$256:X7273,0)),1,0))</f>
        <v/>
      </c>
      <c r="AC7274">
        <f>IF(AB7274&gt;AB7273,AB7274,"")</f>
        <v/>
      </c>
    </row>
    <row r="7275">
      <c r="W7275" s="7" t="n"/>
      <c r="X7275" s="7" t="n"/>
      <c r="Z7275">
        <f>Z7274+IF(W7275="",0,IF(ISNA(MATCH(W7275,W$256:W7274,0)),1,0))</f>
        <v/>
      </c>
      <c r="AA7275">
        <f>IF(Z7275&gt;Z7274,Z7275,"")</f>
        <v/>
      </c>
      <c r="AB7275">
        <f>AB7274+IF(X7275="",0,IF(ISNA(MATCH(X7275,X$256:X7274,0)),1,0))</f>
        <v/>
      </c>
      <c r="AC7275">
        <f>IF(AB7275&gt;AB7274,AB7275,"")</f>
        <v/>
      </c>
    </row>
    <row r="7276">
      <c r="W7276" s="7" t="n"/>
      <c r="X7276" s="7" t="n"/>
      <c r="Z7276">
        <f>Z7275+IF(W7276="",0,IF(ISNA(MATCH(W7276,W$256:W7275,0)),1,0))</f>
        <v/>
      </c>
      <c r="AA7276">
        <f>IF(Z7276&gt;Z7275,Z7276,"")</f>
        <v/>
      </c>
      <c r="AB7276">
        <f>AB7275+IF(X7276="",0,IF(ISNA(MATCH(X7276,X$256:X7275,0)),1,0))</f>
        <v/>
      </c>
      <c r="AC7276">
        <f>IF(AB7276&gt;AB7275,AB7276,"")</f>
        <v/>
      </c>
    </row>
    <row r="7277">
      <c r="W7277" s="7" t="n"/>
      <c r="X7277" s="7" t="n"/>
      <c r="Z7277">
        <f>Z7276+IF(W7277="",0,IF(ISNA(MATCH(W7277,W$256:W7276,0)),1,0))</f>
        <v/>
      </c>
      <c r="AA7277">
        <f>IF(Z7277&gt;Z7276,Z7277,"")</f>
        <v/>
      </c>
      <c r="AB7277">
        <f>AB7276+IF(X7277="",0,IF(ISNA(MATCH(X7277,X$256:X7276,0)),1,0))</f>
        <v/>
      </c>
      <c r="AC7277">
        <f>IF(AB7277&gt;AB7276,AB7277,"")</f>
        <v/>
      </c>
    </row>
    <row r="7278">
      <c r="W7278" s="7" t="n"/>
      <c r="X7278" s="7" t="n"/>
      <c r="Z7278">
        <f>Z7277+IF(W7278="",0,IF(ISNA(MATCH(W7278,W$256:W7277,0)),1,0))</f>
        <v/>
      </c>
      <c r="AA7278">
        <f>IF(Z7278&gt;Z7277,Z7278,"")</f>
        <v/>
      </c>
      <c r="AB7278">
        <f>AB7277+IF(X7278="",0,IF(ISNA(MATCH(X7278,X$256:X7277,0)),1,0))</f>
        <v/>
      </c>
      <c r="AC7278">
        <f>IF(AB7278&gt;AB7277,AB7278,"")</f>
        <v/>
      </c>
    </row>
    <row r="7279">
      <c r="W7279" s="7" t="n"/>
      <c r="X7279" s="7" t="n"/>
      <c r="Z7279">
        <f>Z7278+IF(W7279="",0,IF(ISNA(MATCH(W7279,W$256:W7278,0)),1,0))</f>
        <v/>
      </c>
      <c r="AA7279">
        <f>IF(Z7279&gt;Z7278,Z7279,"")</f>
        <v/>
      </c>
      <c r="AB7279">
        <f>AB7278+IF(X7279="",0,IF(ISNA(MATCH(X7279,X$256:X7278,0)),1,0))</f>
        <v/>
      </c>
      <c r="AC7279">
        <f>IF(AB7279&gt;AB7278,AB7279,"")</f>
        <v/>
      </c>
    </row>
    <row r="7280">
      <c r="W7280" s="7" t="n"/>
      <c r="X7280" s="7" t="n"/>
      <c r="Z7280">
        <f>Z7279+IF(W7280="",0,IF(ISNA(MATCH(W7280,W$256:W7279,0)),1,0))</f>
        <v/>
      </c>
      <c r="AA7280">
        <f>IF(Z7280&gt;Z7279,Z7280,"")</f>
        <v/>
      </c>
      <c r="AB7280">
        <f>AB7279+IF(X7280="",0,IF(ISNA(MATCH(X7280,X$256:X7279,0)),1,0))</f>
        <v/>
      </c>
      <c r="AC7280">
        <f>IF(AB7280&gt;AB7279,AB7280,"")</f>
        <v/>
      </c>
    </row>
    <row r="7281">
      <c r="W7281" s="7" t="n"/>
      <c r="X7281" s="7" t="n"/>
      <c r="Z7281">
        <f>Z7280+IF(W7281="",0,IF(ISNA(MATCH(W7281,W$256:W7280,0)),1,0))</f>
        <v/>
      </c>
      <c r="AA7281">
        <f>IF(Z7281&gt;Z7280,Z7281,"")</f>
        <v/>
      </c>
      <c r="AB7281">
        <f>AB7280+IF(X7281="",0,IF(ISNA(MATCH(X7281,X$256:X7280,0)),1,0))</f>
        <v/>
      </c>
      <c r="AC7281">
        <f>IF(AB7281&gt;AB7280,AB7281,"")</f>
        <v/>
      </c>
    </row>
    <row r="7282">
      <c r="W7282" s="7" t="n"/>
      <c r="X7282" s="7" t="n"/>
      <c r="Z7282">
        <f>Z7281+IF(W7282="",0,IF(ISNA(MATCH(W7282,W$256:W7281,0)),1,0))</f>
        <v/>
      </c>
      <c r="AA7282">
        <f>IF(Z7282&gt;Z7281,Z7282,"")</f>
        <v/>
      </c>
      <c r="AB7282">
        <f>AB7281+IF(X7282="",0,IF(ISNA(MATCH(X7282,X$256:X7281,0)),1,0))</f>
        <v/>
      </c>
      <c r="AC7282">
        <f>IF(AB7282&gt;AB7281,AB7282,"")</f>
        <v/>
      </c>
    </row>
    <row r="7283">
      <c r="W7283" s="7" t="n"/>
      <c r="X7283" s="7" t="n"/>
      <c r="Z7283">
        <f>Z7282+IF(W7283="",0,IF(ISNA(MATCH(W7283,W$256:W7282,0)),1,0))</f>
        <v/>
      </c>
      <c r="AA7283">
        <f>IF(Z7283&gt;Z7282,Z7283,"")</f>
        <v/>
      </c>
      <c r="AB7283">
        <f>AB7282+IF(X7283="",0,IF(ISNA(MATCH(X7283,X$256:X7282,0)),1,0))</f>
        <v/>
      </c>
      <c r="AC7283">
        <f>IF(AB7283&gt;AB7282,AB7283,"")</f>
        <v/>
      </c>
    </row>
    <row r="7284">
      <c r="W7284" s="7" t="n"/>
      <c r="X7284" s="7" t="n"/>
      <c r="Z7284">
        <f>Z7283+IF(W7284="",0,IF(ISNA(MATCH(W7284,W$256:W7283,0)),1,0))</f>
        <v/>
      </c>
      <c r="AA7284">
        <f>IF(Z7284&gt;Z7283,Z7284,"")</f>
        <v/>
      </c>
      <c r="AB7284">
        <f>AB7283+IF(X7284="",0,IF(ISNA(MATCH(X7284,X$256:X7283,0)),1,0))</f>
        <v/>
      </c>
      <c r="AC7284">
        <f>IF(AB7284&gt;AB7283,AB7284,"")</f>
        <v/>
      </c>
    </row>
    <row r="7285">
      <c r="W7285" s="7" t="n"/>
      <c r="X7285" s="7" t="n"/>
      <c r="Z7285">
        <f>Z7284+IF(W7285="",0,IF(ISNA(MATCH(W7285,W$256:W7284,0)),1,0))</f>
        <v/>
      </c>
      <c r="AA7285">
        <f>IF(Z7285&gt;Z7284,Z7285,"")</f>
        <v/>
      </c>
      <c r="AB7285">
        <f>AB7284+IF(X7285="",0,IF(ISNA(MATCH(X7285,X$256:X7284,0)),1,0))</f>
        <v/>
      </c>
      <c r="AC7285">
        <f>IF(AB7285&gt;AB7284,AB7285,"")</f>
        <v/>
      </c>
    </row>
    <row r="7286">
      <c r="W7286" s="7" t="n"/>
      <c r="X7286" s="7" t="n"/>
      <c r="Z7286">
        <f>Z7285+IF(W7286="",0,IF(ISNA(MATCH(W7286,W$256:W7285,0)),1,0))</f>
        <v/>
      </c>
      <c r="AA7286">
        <f>IF(Z7286&gt;Z7285,Z7286,"")</f>
        <v/>
      </c>
      <c r="AB7286">
        <f>AB7285+IF(X7286="",0,IF(ISNA(MATCH(X7286,X$256:X7285,0)),1,0))</f>
        <v/>
      </c>
      <c r="AC7286">
        <f>IF(AB7286&gt;AB7285,AB7286,"")</f>
        <v/>
      </c>
    </row>
    <row r="7287">
      <c r="W7287" s="7" t="n"/>
      <c r="X7287" s="7" t="n"/>
      <c r="Z7287">
        <f>Z7286+IF(W7287="",0,IF(ISNA(MATCH(W7287,W$256:W7286,0)),1,0))</f>
        <v/>
      </c>
      <c r="AA7287">
        <f>IF(Z7287&gt;Z7286,Z7287,"")</f>
        <v/>
      </c>
      <c r="AB7287">
        <f>AB7286+IF(X7287="",0,IF(ISNA(MATCH(X7287,X$256:X7286,0)),1,0))</f>
        <v/>
      </c>
      <c r="AC7287">
        <f>IF(AB7287&gt;AB7286,AB7287,"")</f>
        <v/>
      </c>
    </row>
    <row r="7288">
      <c r="W7288" s="7" t="n"/>
      <c r="X7288" s="7" t="n"/>
      <c r="Z7288">
        <f>Z7287+IF(W7288="",0,IF(ISNA(MATCH(W7288,W$256:W7287,0)),1,0))</f>
        <v/>
      </c>
      <c r="AA7288">
        <f>IF(Z7288&gt;Z7287,Z7288,"")</f>
        <v/>
      </c>
      <c r="AB7288">
        <f>AB7287+IF(X7288="",0,IF(ISNA(MATCH(X7288,X$256:X7287,0)),1,0))</f>
        <v/>
      </c>
      <c r="AC7288">
        <f>IF(AB7288&gt;AB7287,AB7288,"")</f>
        <v/>
      </c>
    </row>
    <row r="7289">
      <c r="W7289" s="7" t="n"/>
      <c r="X7289" s="7" t="n"/>
      <c r="Z7289">
        <f>Z7288+IF(W7289="",0,IF(ISNA(MATCH(W7289,W$256:W7288,0)),1,0))</f>
        <v/>
      </c>
      <c r="AA7289">
        <f>IF(Z7289&gt;Z7288,Z7289,"")</f>
        <v/>
      </c>
      <c r="AB7289">
        <f>AB7288+IF(X7289="",0,IF(ISNA(MATCH(X7289,X$256:X7288,0)),1,0))</f>
        <v/>
      </c>
      <c r="AC7289">
        <f>IF(AB7289&gt;AB7288,AB7289,"")</f>
        <v/>
      </c>
    </row>
    <row r="7290">
      <c r="W7290" s="7" t="n"/>
      <c r="X7290" s="7" t="n"/>
      <c r="Z7290">
        <f>Z7289+IF(W7290="",0,IF(ISNA(MATCH(W7290,W$256:W7289,0)),1,0))</f>
        <v/>
      </c>
      <c r="AA7290">
        <f>IF(Z7290&gt;Z7289,Z7290,"")</f>
        <v/>
      </c>
      <c r="AB7290">
        <f>AB7289+IF(X7290="",0,IF(ISNA(MATCH(X7290,X$256:X7289,0)),1,0))</f>
        <v/>
      </c>
      <c r="AC7290">
        <f>IF(AB7290&gt;AB7289,AB7290,"")</f>
        <v/>
      </c>
    </row>
    <row r="7291">
      <c r="W7291" s="7" t="n"/>
      <c r="X7291" s="7" t="n"/>
      <c r="Z7291">
        <f>Z7290+IF(W7291="",0,IF(ISNA(MATCH(W7291,W$256:W7290,0)),1,0))</f>
        <v/>
      </c>
      <c r="AA7291">
        <f>IF(Z7291&gt;Z7290,Z7291,"")</f>
        <v/>
      </c>
      <c r="AB7291">
        <f>AB7290+IF(X7291="",0,IF(ISNA(MATCH(X7291,X$256:X7290,0)),1,0))</f>
        <v/>
      </c>
      <c r="AC7291">
        <f>IF(AB7291&gt;AB7290,AB7291,"")</f>
        <v/>
      </c>
    </row>
    <row r="7292">
      <c r="W7292" s="7" t="n"/>
      <c r="X7292" s="7" t="n"/>
      <c r="Z7292">
        <f>Z7291+IF(W7292="",0,IF(ISNA(MATCH(W7292,W$256:W7291,0)),1,0))</f>
        <v/>
      </c>
      <c r="AA7292">
        <f>IF(Z7292&gt;Z7291,Z7292,"")</f>
        <v/>
      </c>
      <c r="AB7292">
        <f>AB7291+IF(X7292="",0,IF(ISNA(MATCH(X7292,X$256:X7291,0)),1,0))</f>
        <v/>
      </c>
      <c r="AC7292">
        <f>IF(AB7292&gt;AB7291,AB7292,"")</f>
        <v/>
      </c>
    </row>
    <row r="7293">
      <c r="W7293" s="7" t="n"/>
      <c r="X7293" s="7" t="n"/>
      <c r="Z7293">
        <f>Z7292+IF(W7293="",0,IF(ISNA(MATCH(W7293,W$256:W7292,0)),1,0))</f>
        <v/>
      </c>
      <c r="AA7293">
        <f>IF(Z7293&gt;Z7292,Z7293,"")</f>
        <v/>
      </c>
      <c r="AB7293">
        <f>AB7292+IF(X7293="",0,IF(ISNA(MATCH(X7293,X$256:X7292,0)),1,0))</f>
        <v/>
      </c>
      <c r="AC7293">
        <f>IF(AB7293&gt;AB7292,AB7293,"")</f>
        <v/>
      </c>
    </row>
    <row r="7294">
      <c r="W7294" s="7" t="n"/>
      <c r="X7294" s="7" t="n"/>
      <c r="Z7294">
        <f>Z7293+IF(W7294="",0,IF(ISNA(MATCH(W7294,W$256:W7293,0)),1,0))</f>
        <v/>
      </c>
      <c r="AA7294">
        <f>IF(Z7294&gt;Z7293,Z7294,"")</f>
        <v/>
      </c>
      <c r="AB7294">
        <f>AB7293+IF(X7294="",0,IF(ISNA(MATCH(X7294,X$256:X7293,0)),1,0))</f>
        <v/>
      </c>
      <c r="AC7294">
        <f>IF(AB7294&gt;AB7293,AB7294,"")</f>
        <v/>
      </c>
    </row>
    <row r="7295">
      <c r="W7295" s="7" t="n"/>
      <c r="X7295" s="7" t="n"/>
      <c r="Z7295">
        <f>Z7294+IF(W7295="",0,IF(ISNA(MATCH(W7295,W$256:W7294,0)),1,0))</f>
        <v/>
      </c>
      <c r="AA7295">
        <f>IF(Z7295&gt;Z7294,Z7295,"")</f>
        <v/>
      </c>
      <c r="AB7295">
        <f>AB7294+IF(X7295="",0,IF(ISNA(MATCH(X7295,X$256:X7294,0)),1,0))</f>
        <v/>
      </c>
      <c r="AC7295">
        <f>IF(AB7295&gt;AB7294,AB7295,"")</f>
        <v/>
      </c>
    </row>
    <row r="7296">
      <c r="W7296" s="7" t="n"/>
      <c r="X7296" s="7" t="n"/>
      <c r="Z7296">
        <f>Z7295+IF(W7296="",0,IF(ISNA(MATCH(W7296,W$256:W7295,0)),1,0))</f>
        <v/>
      </c>
      <c r="AA7296">
        <f>IF(Z7296&gt;Z7295,Z7296,"")</f>
        <v/>
      </c>
      <c r="AB7296">
        <f>AB7295+IF(X7296="",0,IF(ISNA(MATCH(X7296,X$256:X7295,0)),1,0))</f>
        <v/>
      </c>
      <c r="AC7296">
        <f>IF(AB7296&gt;AB7295,AB7296,"")</f>
        <v/>
      </c>
    </row>
    <row r="7297">
      <c r="W7297" s="7" t="n"/>
      <c r="X7297" s="7" t="n"/>
      <c r="Z7297">
        <f>Z7296+IF(W7297="",0,IF(ISNA(MATCH(W7297,W$256:W7296,0)),1,0))</f>
        <v/>
      </c>
      <c r="AA7297">
        <f>IF(Z7297&gt;Z7296,Z7297,"")</f>
        <v/>
      </c>
      <c r="AB7297">
        <f>AB7296+IF(X7297="",0,IF(ISNA(MATCH(X7297,X$256:X7296,0)),1,0))</f>
        <v/>
      </c>
      <c r="AC7297">
        <f>IF(AB7297&gt;AB7296,AB7297,"")</f>
        <v/>
      </c>
    </row>
    <row r="7298">
      <c r="W7298" s="7" t="n"/>
      <c r="X7298" s="7" t="n"/>
      <c r="Z7298">
        <f>Z7297+IF(W7298="",0,IF(ISNA(MATCH(W7298,W$256:W7297,0)),1,0))</f>
        <v/>
      </c>
      <c r="AA7298">
        <f>IF(Z7298&gt;Z7297,Z7298,"")</f>
        <v/>
      </c>
      <c r="AB7298">
        <f>AB7297+IF(X7298="",0,IF(ISNA(MATCH(X7298,X$256:X7297,0)),1,0))</f>
        <v/>
      </c>
      <c r="AC7298">
        <f>IF(AB7298&gt;AB7297,AB7298,"")</f>
        <v/>
      </c>
    </row>
    <row r="7299">
      <c r="W7299" s="7" t="n"/>
      <c r="X7299" s="7" t="n"/>
      <c r="Z7299">
        <f>Z7298+IF(W7299="",0,IF(ISNA(MATCH(W7299,W$256:W7298,0)),1,0))</f>
        <v/>
      </c>
      <c r="AA7299">
        <f>IF(Z7299&gt;Z7298,Z7299,"")</f>
        <v/>
      </c>
      <c r="AB7299">
        <f>AB7298+IF(X7299="",0,IF(ISNA(MATCH(X7299,X$256:X7298,0)),1,0))</f>
        <v/>
      </c>
      <c r="AC7299">
        <f>IF(AB7299&gt;AB7298,AB7299,"")</f>
        <v/>
      </c>
    </row>
    <row r="7300">
      <c r="W7300" s="7" t="n"/>
      <c r="X7300" s="7" t="n"/>
      <c r="Z7300">
        <f>Z7299+IF(W7300="",0,IF(ISNA(MATCH(W7300,W$256:W7299,0)),1,0))</f>
        <v/>
      </c>
      <c r="AA7300">
        <f>IF(Z7300&gt;Z7299,Z7300,"")</f>
        <v/>
      </c>
      <c r="AB7300">
        <f>AB7299+IF(X7300="",0,IF(ISNA(MATCH(X7300,X$256:X7299,0)),1,0))</f>
        <v/>
      </c>
      <c r="AC7300">
        <f>IF(AB7300&gt;AB7299,AB7300,"")</f>
        <v/>
      </c>
    </row>
    <row r="7301">
      <c r="W7301" s="7" t="n"/>
      <c r="X7301" s="7" t="n"/>
      <c r="Z7301">
        <f>Z7300+IF(W7301="",0,IF(ISNA(MATCH(W7301,W$256:W7300,0)),1,0))</f>
        <v/>
      </c>
      <c r="AA7301">
        <f>IF(Z7301&gt;Z7300,Z7301,"")</f>
        <v/>
      </c>
      <c r="AB7301">
        <f>AB7300+IF(X7301="",0,IF(ISNA(MATCH(X7301,X$256:X7300,0)),1,0))</f>
        <v/>
      </c>
      <c r="AC7301">
        <f>IF(AB7301&gt;AB7300,AB7301,"")</f>
        <v/>
      </c>
    </row>
    <row r="7302">
      <c r="W7302" s="7" t="n"/>
      <c r="X7302" s="7" t="n"/>
      <c r="Z7302">
        <f>Z7301+IF(W7302="",0,IF(ISNA(MATCH(W7302,W$256:W7301,0)),1,0))</f>
        <v/>
      </c>
      <c r="AA7302">
        <f>IF(Z7302&gt;Z7301,Z7302,"")</f>
        <v/>
      </c>
      <c r="AB7302">
        <f>AB7301+IF(X7302="",0,IF(ISNA(MATCH(X7302,X$256:X7301,0)),1,0))</f>
        <v/>
      </c>
      <c r="AC7302">
        <f>IF(AB7302&gt;AB7301,AB7302,"")</f>
        <v/>
      </c>
    </row>
    <row r="7303">
      <c r="W7303" s="7" t="n"/>
      <c r="X7303" s="7" t="n"/>
      <c r="Z7303">
        <f>Z7302+IF(W7303="",0,IF(ISNA(MATCH(W7303,W$256:W7302,0)),1,0))</f>
        <v/>
      </c>
      <c r="AA7303">
        <f>IF(Z7303&gt;Z7302,Z7303,"")</f>
        <v/>
      </c>
      <c r="AB7303">
        <f>AB7302+IF(X7303="",0,IF(ISNA(MATCH(X7303,X$256:X7302,0)),1,0))</f>
        <v/>
      </c>
      <c r="AC7303">
        <f>IF(AB7303&gt;AB7302,AB7303,"")</f>
        <v/>
      </c>
    </row>
    <row r="7304">
      <c r="W7304" s="7" t="n"/>
      <c r="X7304" s="7" t="n"/>
      <c r="Z7304">
        <f>Z7303+IF(W7304="",0,IF(ISNA(MATCH(W7304,W$256:W7303,0)),1,0))</f>
        <v/>
      </c>
      <c r="AA7304">
        <f>IF(Z7304&gt;Z7303,Z7304,"")</f>
        <v/>
      </c>
      <c r="AB7304">
        <f>AB7303+IF(X7304="",0,IF(ISNA(MATCH(X7304,X$256:X7303,0)),1,0))</f>
        <v/>
      </c>
      <c r="AC7304">
        <f>IF(AB7304&gt;AB7303,AB7304,"")</f>
        <v/>
      </c>
    </row>
    <row r="7305">
      <c r="W7305" s="7" t="n"/>
      <c r="X7305" s="7" t="n"/>
      <c r="Z7305">
        <f>Z7304+IF(W7305="",0,IF(ISNA(MATCH(W7305,W$256:W7304,0)),1,0))</f>
        <v/>
      </c>
      <c r="AA7305">
        <f>IF(Z7305&gt;Z7304,Z7305,"")</f>
        <v/>
      </c>
      <c r="AB7305">
        <f>AB7304+IF(X7305="",0,IF(ISNA(MATCH(X7305,X$256:X7304,0)),1,0))</f>
        <v/>
      </c>
      <c r="AC7305">
        <f>IF(AB7305&gt;AB7304,AB7305,"")</f>
        <v/>
      </c>
    </row>
    <row r="7306">
      <c r="W7306" s="7" t="n"/>
      <c r="X7306" s="7" t="n"/>
      <c r="Z7306">
        <f>Z7305+IF(W7306="",0,IF(ISNA(MATCH(W7306,W$256:W7305,0)),1,0))</f>
        <v/>
      </c>
      <c r="AA7306">
        <f>IF(Z7306&gt;Z7305,Z7306,"")</f>
        <v/>
      </c>
      <c r="AB7306">
        <f>AB7305+IF(X7306="",0,IF(ISNA(MATCH(X7306,X$256:X7305,0)),1,0))</f>
        <v/>
      </c>
      <c r="AC7306">
        <f>IF(AB7306&gt;AB7305,AB7306,"")</f>
        <v/>
      </c>
    </row>
    <row r="7307">
      <c r="W7307" s="7" t="n"/>
      <c r="X7307" s="7" t="n"/>
      <c r="Z7307">
        <f>Z7306+IF(W7307="",0,IF(ISNA(MATCH(W7307,W$256:W7306,0)),1,0))</f>
        <v/>
      </c>
      <c r="AA7307">
        <f>IF(Z7307&gt;Z7306,Z7307,"")</f>
        <v/>
      </c>
      <c r="AB7307">
        <f>AB7306+IF(X7307="",0,IF(ISNA(MATCH(X7307,X$256:X7306,0)),1,0))</f>
        <v/>
      </c>
      <c r="AC7307">
        <f>IF(AB7307&gt;AB7306,AB7307,"")</f>
        <v/>
      </c>
    </row>
    <row r="7308">
      <c r="W7308" s="7" t="n"/>
      <c r="X7308" s="7" t="n"/>
      <c r="Z7308">
        <f>Z7307+IF(W7308="",0,IF(ISNA(MATCH(W7308,W$256:W7307,0)),1,0))</f>
        <v/>
      </c>
      <c r="AA7308">
        <f>IF(Z7308&gt;Z7307,Z7308,"")</f>
        <v/>
      </c>
      <c r="AB7308">
        <f>AB7307+IF(X7308="",0,IF(ISNA(MATCH(X7308,X$256:X7307,0)),1,0))</f>
        <v/>
      </c>
      <c r="AC7308">
        <f>IF(AB7308&gt;AB7307,AB7308,"")</f>
        <v/>
      </c>
    </row>
    <row r="7309">
      <c r="W7309" s="7" t="n"/>
      <c r="X7309" s="7" t="n"/>
      <c r="Z7309">
        <f>Z7308+IF(W7309="",0,IF(ISNA(MATCH(W7309,W$256:W7308,0)),1,0))</f>
        <v/>
      </c>
      <c r="AA7309">
        <f>IF(Z7309&gt;Z7308,Z7309,"")</f>
        <v/>
      </c>
      <c r="AB7309">
        <f>AB7308+IF(X7309="",0,IF(ISNA(MATCH(X7309,X$256:X7308,0)),1,0))</f>
        <v/>
      </c>
      <c r="AC7309">
        <f>IF(AB7309&gt;AB7308,AB7309,"")</f>
        <v/>
      </c>
    </row>
    <row r="7310">
      <c r="W7310" s="7" t="n"/>
      <c r="X7310" s="7" t="n"/>
      <c r="Z7310">
        <f>Z7309+IF(W7310="",0,IF(ISNA(MATCH(W7310,W$256:W7309,0)),1,0))</f>
        <v/>
      </c>
      <c r="AA7310">
        <f>IF(Z7310&gt;Z7309,Z7310,"")</f>
        <v/>
      </c>
      <c r="AB7310">
        <f>AB7309+IF(X7310="",0,IF(ISNA(MATCH(X7310,X$256:X7309,0)),1,0))</f>
        <v/>
      </c>
      <c r="AC7310">
        <f>IF(AB7310&gt;AB7309,AB7310,"")</f>
        <v/>
      </c>
    </row>
    <row r="7311">
      <c r="W7311" s="7" t="n"/>
      <c r="X7311" s="7" t="n"/>
      <c r="Z7311">
        <f>Z7310+IF(W7311="",0,IF(ISNA(MATCH(W7311,W$256:W7310,0)),1,0))</f>
        <v/>
      </c>
      <c r="AA7311">
        <f>IF(Z7311&gt;Z7310,Z7311,"")</f>
        <v/>
      </c>
      <c r="AB7311">
        <f>AB7310+IF(X7311="",0,IF(ISNA(MATCH(X7311,X$256:X7310,0)),1,0))</f>
        <v/>
      </c>
      <c r="AC7311">
        <f>IF(AB7311&gt;AB7310,AB7311,"")</f>
        <v/>
      </c>
    </row>
    <row r="7312">
      <c r="W7312" s="7" t="n"/>
      <c r="X7312" s="7" t="n"/>
      <c r="Z7312">
        <f>Z7311+IF(W7312="",0,IF(ISNA(MATCH(W7312,W$256:W7311,0)),1,0))</f>
        <v/>
      </c>
      <c r="AA7312">
        <f>IF(Z7312&gt;Z7311,Z7312,"")</f>
        <v/>
      </c>
      <c r="AB7312">
        <f>AB7311+IF(X7312="",0,IF(ISNA(MATCH(X7312,X$256:X7311,0)),1,0))</f>
        <v/>
      </c>
      <c r="AC7312">
        <f>IF(AB7312&gt;AB7311,AB7312,"")</f>
        <v/>
      </c>
    </row>
    <row r="7313">
      <c r="W7313" s="7" t="n"/>
      <c r="X7313" s="7" t="n"/>
      <c r="Z7313">
        <f>Z7312+IF(W7313="",0,IF(ISNA(MATCH(W7313,W$256:W7312,0)),1,0))</f>
        <v/>
      </c>
      <c r="AA7313">
        <f>IF(Z7313&gt;Z7312,Z7313,"")</f>
        <v/>
      </c>
      <c r="AB7313">
        <f>AB7312+IF(X7313="",0,IF(ISNA(MATCH(X7313,X$256:X7312,0)),1,0))</f>
        <v/>
      </c>
      <c r="AC7313">
        <f>IF(AB7313&gt;AB7312,AB7313,"")</f>
        <v/>
      </c>
    </row>
    <row r="7314">
      <c r="W7314" s="7" t="n"/>
      <c r="X7314" s="7" t="n"/>
      <c r="Z7314">
        <f>Z7313+IF(W7314="",0,IF(ISNA(MATCH(W7314,W$256:W7313,0)),1,0))</f>
        <v/>
      </c>
      <c r="AA7314">
        <f>IF(Z7314&gt;Z7313,Z7314,"")</f>
        <v/>
      </c>
      <c r="AB7314">
        <f>AB7313+IF(X7314="",0,IF(ISNA(MATCH(X7314,X$256:X7313,0)),1,0))</f>
        <v/>
      </c>
      <c r="AC7314">
        <f>IF(AB7314&gt;AB7313,AB7314,"")</f>
        <v/>
      </c>
    </row>
    <row r="7315">
      <c r="W7315" s="7" t="n"/>
      <c r="X7315" s="7" t="n"/>
      <c r="Z7315">
        <f>Z7314+IF(W7315="",0,IF(ISNA(MATCH(W7315,W$256:W7314,0)),1,0))</f>
        <v/>
      </c>
      <c r="AA7315">
        <f>IF(Z7315&gt;Z7314,Z7315,"")</f>
        <v/>
      </c>
      <c r="AB7315">
        <f>AB7314+IF(X7315="",0,IF(ISNA(MATCH(X7315,X$256:X7314,0)),1,0))</f>
        <v/>
      </c>
      <c r="AC7315">
        <f>IF(AB7315&gt;AB7314,AB7315,"")</f>
        <v/>
      </c>
    </row>
    <row r="7316">
      <c r="W7316" s="7" t="n"/>
      <c r="X7316" s="7" t="n"/>
      <c r="Z7316">
        <f>Z7315+IF(W7316="",0,IF(ISNA(MATCH(W7316,W$256:W7315,0)),1,0))</f>
        <v/>
      </c>
      <c r="AA7316">
        <f>IF(Z7316&gt;Z7315,Z7316,"")</f>
        <v/>
      </c>
      <c r="AB7316">
        <f>AB7315+IF(X7316="",0,IF(ISNA(MATCH(X7316,X$256:X7315,0)),1,0))</f>
        <v/>
      </c>
      <c r="AC7316">
        <f>IF(AB7316&gt;AB7315,AB7316,"")</f>
        <v/>
      </c>
    </row>
    <row r="7317">
      <c r="W7317" s="7" t="n"/>
      <c r="X7317" s="7" t="n"/>
      <c r="Z7317">
        <f>Z7316+IF(W7317="",0,IF(ISNA(MATCH(W7317,W$256:W7316,0)),1,0))</f>
        <v/>
      </c>
      <c r="AA7317">
        <f>IF(Z7317&gt;Z7316,Z7317,"")</f>
        <v/>
      </c>
      <c r="AB7317">
        <f>AB7316+IF(X7317="",0,IF(ISNA(MATCH(X7317,X$256:X7316,0)),1,0))</f>
        <v/>
      </c>
      <c r="AC7317">
        <f>IF(AB7317&gt;AB7316,AB7317,"")</f>
        <v/>
      </c>
    </row>
    <row r="7318">
      <c r="W7318" s="7" t="n"/>
      <c r="X7318" s="7" t="n"/>
      <c r="Z7318">
        <f>Z7317+IF(W7318="",0,IF(ISNA(MATCH(W7318,W$256:W7317,0)),1,0))</f>
        <v/>
      </c>
      <c r="AA7318">
        <f>IF(Z7318&gt;Z7317,Z7318,"")</f>
        <v/>
      </c>
      <c r="AB7318">
        <f>AB7317+IF(X7318="",0,IF(ISNA(MATCH(X7318,X$256:X7317,0)),1,0))</f>
        <v/>
      </c>
      <c r="AC7318">
        <f>IF(AB7318&gt;AB7317,AB7318,"")</f>
        <v/>
      </c>
    </row>
    <row r="7319">
      <c r="W7319" s="7" t="n"/>
      <c r="X7319" s="7" t="n"/>
      <c r="Z7319">
        <f>Z7318+IF(W7319="",0,IF(ISNA(MATCH(W7319,W$256:W7318,0)),1,0))</f>
        <v/>
      </c>
      <c r="AA7319">
        <f>IF(Z7319&gt;Z7318,Z7319,"")</f>
        <v/>
      </c>
      <c r="AB7319">
        <f>AB7318+IF(X7319="",0,IF(ISNA(MATCH(X7319,X$256:X7318,0)),1,0))</f>
        <v/>
      </c>
      <c r="AC7319">
        <f>IF(AB7319&gt;AB7318,AB7319,"")</f>
        <v/>
      </c>
    </row>
    <row r="7320">
      <c r="W7320" s="7" t="n"/>
      <c r="X7320" s="7" t="n"/>
      <c r="Z7320">
        <f>Z7319+IF(W7320="",0,IF(ISNA(MATCH(W7320,W$256:W7319,0)),1,0))</f>
        <v/>
      </c>
      <c r="AA7320">
        <f>IF(Z7320&gt;Z7319,Z7320,"")</f>
        <v/>
      </c>
      <c r="AB7320">
        <f>AB7319+IF(X7320="",0,IF(ISNA(MATCH(X7320,X$256:X7319,0)),1,0))</f>
        <v/>
      </c>
      <c r="AC7320">
        <f>IF(AB7320&gt;AB7319,AB7320,"")</f>
        <v/>
      </c>
    </row>
    <row r="7321">
      <c r="W7321" s="7" t="n"/>
      <c r="X7321" s="7" t="n"/>
      <c r="Z7321">
        <f>Z7320+IF(W7321="",0,IF(ISNA(MATCH(W7321,W$256:W7320,0)),1,0))</f>
        <v/>
      </c>
      <c r="AA7321">
        <f>IF(Z7321&gt;Z7320,Z7321,"")</f>
        <v/>
      </c>
      <c r="AB7321">
        <f>AB7320+IF(X7321="",0,IF(ISNA(MATCH(X7321,X$256:X7320,0)),1,0))</f>
        <v/>
      </c>
      <c r="AC7321">
        <f>IF(AB7321&gt;AB7320,AB7321,"")</f>
        <v/>
      </c>
    </row>
    <row r="7322">
      <c r="W7322" s="7" t="n"/>
      <c r="X7322" s="7" t="n"/>
      <c r="Z7322">
        <f>Z7321+IF(W7322="",0,IF(ISNA(MATCH(W7322,W$256:W7321,0)),1,0))</f>
        <v/>
      </c>
      <c r="AA7322">
        <f>IF(Z7322&gt;Z7321,Z7322,"")</f>
        <v/>
      </c>
      <c r="AB7322">
        <f>AB7321+IF(X7322="",0,IF(ISNA(MATCH(X7322,X$256:X7321,0)),1,0))</f>
        <v/>
      </c>
      <c r="AC7322">
        <f>IF(AB7322&gt;AB7321,AB7322,"")</f>
        <v/>
      </c>
    </row>
    <row r="7323">
      <c r="W7323" s="7" t="n"/>
      <c r="X7323" s="7" t="n"/>
      <c r="Z7323">
        <f>Z7322+IF(W7323="",0,IF(ISNA(MATCH(W7323,W$256:W7322,0)),1,0))</f>
        <v/>
      </c>
      <c r="AA7323">
        <f>IF(Z7323&gt;Z7322,Z7323,"")</f>
        <v/>
      </c>
      <c r="AB7323">
        <f>AB7322+IF(X7323="",0,IF(ISNA(MATCH(X7323,X$256:X7322,0)),1,0))</f>
        <v/>
      </c>
      <c r="AC7323">
        <f>IF(AB7323&gt;AB7322,AB7323,"")</f>
        <v/>
      </c>
    </row>
    <row r="7324">
      <c r="W7324" s="7" t="n"/>
      <c r="X7324" s="7" t="n"/>
      <c r="Z7324">
        <f>Z7323+IF(W7324="",0,IF(ISNA(MATCH(W7324,W$256:W7323,0)),1,0))</f>
        <v/>
      </c>
      <c r="AA7324">
        <f>IF(Z7324&gt;Z7323,Z7324,"")</f>
        <v/>
      </c>
      <c r="AB7324">
        <f>AB7323+IF(X7324="",0,IF(ISNA(MATCH(X7324,X$256:X7323,0)),1,0))</f>
        <v/>
      </c>
      <c r="AC7324">
        <f>IF(AB7324&gt;AB7323,AB7324,"")</f>
        <v/>
      </c>
    </row>
    <row r="7325">
      <c r="W7325" s="7" t="n"/>
      <c r="X7325" s="7" t="n"/>
      <c r="Z7325">
        <f>Z7324+IF(W7325="",0,IF(ISNA(MATCH(W7325,W$256:W7324,0)),1,0))</f>
        <v/>
      </c>
      <c r="AA7325">
        <f>IF(Z7325&gt;Z7324,Z7325,"")</f>
        <v/>
      </c>
      <c r="AB7325">
        <f>AB7324+IF(X7325="",0,IF(ISNA(MATCH(X7325,X$256:X7324,0)),1,0))</f>
        <v/>
      </c>
      <c r="AC7325">
        <f>IF(AB7325&gt;AB7324,AB7325,"")</f>
        <v/>
      </c>
    </row>
    <row r="7326">
      <c r="W7326" s="7" t="n"/>
      <c r="X7326" s="7" t="n"/>
      <c r="Z7326">
        <f>Z7325+IF(W7326="",0,IF(ISNA(MATCH(W7326,W$256:W7325,0)),1,0))</f>
        <v/>
      </c>
      <c r="AA7326">
        <f>IF(Z7326&gt;Z7325,Z7326,"")</f>
        <v/>
      </c>
      <c r="AB7326">
        <f>AB7325+IF(X7326="",0,IF(ISNA(MATCH(X7326,X$256:X7325,0)),1,0))</f>
        <v/>
      </c>
      <c r="AC7326">
        <f>IF(AB7326&gt;AB7325,AB7326,"")</f>
        <v/>
      </c>
    </row>
    <row r="7327">
      <c r="W7327" s="7" t="n"/>
      <c r="X7327" s="7" t="n"/>
      <c r="Z7327">
        <f>Z7326+IF(W7327="",0,IF(ISNA(MATCH(W7327,W$256:W7326,0)),1,0))</f>
        <v/>
      </c>
      <c r="AA7327">
        <f>IF(Z7327&gt;Z7326,Z7327,"")</f>
        <v/>
      </c>
      <c r="AB7327">
        <f>AB7326+IF(X7327="",0,IF(ISNA(MATCH(X7327,X$256:X7326,0)),1,0))</f>
        <v/>
      </c>
      <c r="AC7327">
        <f>IF(AB7327&gt;AB7326,AB7327,"")</f>
        <v/>
      </c>
    </row>
    <row r="7328">
      <c r="W7328" s="7" t="n"/>
      <c r="X7328" s="7" t="n"/>
      <c r="Z7328">
        <f>Z7327+IF(W7328="",0,IF(ISNA(MATCH(W7328,W$256:W7327,0)),1,0))</f>
        <v/>
      </c>
      <c r="AA7328">
        <f>IF(Z7328&gt;Z7327,Z7328,"")</f>
        <v/>
      </c>
      <c r="AB7328">
        <f>AB7327+IF(X7328="",0,IF(ISNA(MATCH(X7328,X$256:X7327,0)),1,0))</f>
        <v/>
      </c>
      <c r="AC7328">
        <f>IF(AB7328&gt;AB7327,AB7328,"")</f>
        <v/>
      </c>
    </row>
    <row r="7329">
      <c r="W7329" s="7" t="n"/>
      <c r="X7329" s="7" t="n"/>
      <c r="Z7329">
        <f>Z7328+IF(W7329="",0,IF(ISNA(MATCH(W7329,W$256:W7328,0)),1,0))</f>
        <v/>
      </c>
      <c r="AA7329">
        <f>IF(Z7329&gt;Z7328,Z7329,"")</f>
        <v/>
      </c>
      <c r="AB7329">
        <f>AB7328+IF(X7329="",0,IF(ISNA(MATCH(X7329,X$256:X7328,0)),1,0))</f>
        <v/>
      </c>
      <c r="AC7329">
        <f>IF(AB7329&gt;AB7328,AB7329,"")</f>
        <v/>
      </c>
    </row>
    <row r="7330">
      <c r="W7330" s="7" t="n"/>
      <c r="X7330" s="7" t="n"/>
      <c r="Z7330">
        <f>Z7329+IF(W7330="",0,IF(ISNA(MATCH(W7330,W$256:W7329,0)),1,0))</f>
        <v/>
      </c>
      <c r="AA7330">
        <f>IF(Z7330&gt;Z7329,Z7330,"")</f>
        <v/>
      </c>
      <c r="AB7330">
        <f>AB7329+IF(X7330="",0,IF(ISNA(MATCH(X7330,X$256:X7329,0)),1,0))</f>
        <v/>
      </c>
      <c r="AC7330">
        <f>IF(AB7330&gt;AB7329,AB7330,"")</f>
        <v/>
      </c>
    </row>
    <row r="7331">
      <c r="W7331" s="7" t="n"/>
      <c r="X7331" s="7" t="n"/>
      <c r="Z7331">
        <f>Z7330+IF(W7331="",0,IF(ISNA(MATCH(W7331,W$256:W7330,0)),1,0))</f>
        <v/>
      </c>
      <c r="AA7331">
        <f>IF(Z7331&gt;Z7330,Z7331,"")</f>
        <v/>
      </c>
      <c r="AB7331">
        <f>AB7330+IF(X7331="",0,IF(ISNA(MATCH(X7331,X$256:X7330,0)),1,0))</f>
        <v/>
      </c>
      <c r="AC7331">
        <f>IF(AB7331&gt;AB7330,AB7331,"")</f>
        <v/>
      </c>
    </row>
    <row r="7332">
      <c r="W7332" s="7" t="n"/>
      <c r="X7332" s="7" t="n"/>
      <c r="Z7332">
        <f>Z7331+IF(W7332="",0,IF(ISNA(MATCH(W7332,W$256:W7331,0)),1,0))</f>
        <v/>
      </c>
      <c r="AA7332">
        <f>IF(Z7332&gt;Z7331,Z7332,"")</f>
        <v/>
      </c>
      <c r="AB7332">
        <f>AB7331+IF(X7332="",0,IF(ISNA(MATCH(X7332,X$256:X7331,0)),1,0))</f>
        <v/>
      </c>
      <c r="AC7332">
        <f>IF(AB7332&gt;AB7331,AB7332,"")</f>
        <v/>
      </c>
    </row>
    <row r="7333">
      <c r="W7333" s="7" t="n"/>
      <c r="X7333" s="7" t="n"/>
      <c r="Z7333">
        <f>Z7332+IF(W7333="",0,IF(ISNA(MATCH(W7333,W$256:W7332,0)),1,0))</f>
        <v/>
      </c>
      <c r="AA7333">
        <f>IF(Z7333&gt;Z7332,Z7333,"")</f>
        <v/>
      </c>
      <c r="AB7333">
        <f>AB7332+IF(X7333="",0,IF(ISNA(MATCH(X7333,X$256:X7332,0)),1,0))</f>
        <v/>
      </c>
      <c r="AC7333">
        <f>IF(AB7333&gt;AB7332,AB7333,"")</f>
        <v/>
      </c>
    </row>
    <row r="7334">
      <c r="W7334" s="7" t="n"/>
      <c r="X7334" s="7" t="n"/>
      <c r="Z7334">
        <f>Z7333+IF(W7334="",0,IF(ISNA(MATCH(W7334,W$256:W7333,0)),1,0))</f>
        <v/>
      </c>
      <c r="AA7334">
        <f>IF(Z7334&gt;Z7333,Z7334,"")</f>
        <v/>
      </c>
      <c r="AB7334">
        <f>AB7333+IF(X7334="",0,IF(ISNA(MATCH(X7334,X$256:X7333,0)),1,0))</f>
        <v/>
      </c>
      <c r="AC7334">
        <f>IF(AB7334&gt;AB7333,AB7334,"")</f>
        <v/>
      </c>
    </row>
    <row r="7335">
      <c r="W7335" s="7" t="n"/>
      <c r="X7335" s="7" t="n"/>
      <c r="Z7335">
        <f>Z7334+IF(W7335="",0,IF(ISNA(MATCH(W7335,W$256:W7334,0)),1,0))</f>
        <v/>
      </c>
      <c r="AA7335">
        <f>IF(Z7335&gt;Z7334,Z7335,"")</f>
        <v/>
      </c>
      <c r="AB7335">
        <f>AB7334+IF(X7335="",0,IF(ISNA(MATCH(X7335,X$256:X7334,0)),1,0))</f>
        <v/>
      </c>
      <c r="AC7335">
        <f>IF(AB7335&gt;AB7334,AB7335,"")</f>
        <v/>
      </c>
    </row>
    <row r="7336">
      <c r="W7336" s="7" t="n"/>
      <c r="X7336" s="7" t="n"/>
      <c r="Z7336">
        <f>Z7335+IF(W7336="",0,IF(ISNA(MATCH(W7336,W$256:W7335,0)),1,0))</f>
        <v/>
      </c>
      <c r="AA7336">
        <f>IF(Z7336&gt;Z7335,Z7336,"")</f>
        <v/>
      </c>
      <c r="AB7336">
        <f>AB7335+IF(X7336="",0,IF(ISNA(MATCH(X7336,X$256:X7335,0)),1,0))</f>
        <v/>
      </c>
      <c r="AC7336">
        <f>IF(AB7336&gt;AB7335,AB7336,"")</f>
        <v/>
      </c>
    </row>
    <row r="7337">
      <c r="W7337" s="7" t="n"/>
      <c r="X7337" s="7" t="n"/>
      <c r="Z7337">
        <f>Z7336+IF(W7337="",0,IF(ISNA(MATCH(W7337,W$256:W7336,0)),1,0))</f>
        <v/>
      </c>
      <c r="AA7337">
        <f>IF(Z7337&gt;Z7336,Z7337,"")</f>
        <v/>
      </c>
      <c r="AB7337">
        <f>AB7336+IF(X7337="",0,IF(ISNA(MATCH(X7337,X$256:X7336,0)),1,0))</f>
        <v/>
      </c>
      <c r="AC7337">
        <f>IF(AB7337&gt;AB7336,AB7337,"")</f>
        <v/>
      </c>
    </row>
    <row r="7338">
      <c r="W7338" s="7" t="n"/>
      <c r="X7338" s="7" t="n"/>
      <c r="Z7338">
        <f>Z7337+IF(W7338="",0,IF(ISNA(MATCH(W7338,W$256:W7337,0)),1,0))</f>
        <v/>
      </c>
      <c r="AA7338">
        <f>IF(Z7338&gt;Z7337,Z7338,"")</f>
        <v/>
      </c>
      <c r="AB7338">
        <f>AB7337+IF(X7338="",0,IF(ISNA(MATCH(X7338,X$256:X7337,0)),1,0))</f>
        <v/>
      </c>
      <c r="AC7338">
        <f>IF(AB7338&gt;AB7337,AB7338,"")</f>
        <v/>
      </c>
    </row>
    <row r="7339">
      <c r="W7339" s="7" t="n"/>
      <c r="X7339" s="7" t="n"/>
      <c r="Z7339">
        <f>Z7338+IF(W7339="",0,IF(ISNA(MATCH(W7339,W$256:W7338,0)),1,0))</f>
        <v/>
      </c>
      <c r="AA7339">
        <f>IF(Z7339&gt;Z7338,Z7339,"")</f>
        <v/>
      </c>
      <c r="AB7339">
        <f>AB7338+IF(X7339="",0,IF(ISNA(MATCH(X7339,X$256:X7338,0)),1,0))</f>
        <v/>
      </c>
      <c r="AC7339">
        <f>IF(AB7339&gt;AB7338,AB7339,"")</f>
        <v/>
      </c>
    </row>
    <row r="7340">
      <c r="W7340" s="7" t="n"/>
      <c r="X7340" s="7" t="n"/>
      <c r="Z7340">
        <f>Z7339+IF(W7340="",0,IF(ISNA(MATCH(W7340,W$256:W7339,0)),1,0))</f>
        <v/>
      </c>
      <c r="AA7340">
        <f>IF(Z7340&gt;Z7339,Z7340,"")</f>
        <v/>
      </c>
      <c r="AB7340">
        <f>AB7339+IF(X7340="",0,IF(ISNA(MATCH(X7340,X$256:X7339,0)),1,0))</f>
        <v/>
      </c>
      <c r="AC7340">
        <f>IF(AB7340&gt;AB7339,AB7340,"")</f>
        <v/>
      </c>
    </row>
    <row r="7341">
      <c r="W7341" s="7" t="n"/>
      <c r="X7341" s="7" t="n"/>
      <c r="Z7341">
        <f>Z7340+IF(W7341="",0,IF(ISNA(MATCH(W7341,W$256:W7340,0)),1,0))</f>
        <v/>
      </c>
      <c r="AA7341">
        <f>IF(Z7341&gt;Z7340,Z7341,"")</f>
        <v/>
      </c>
      <c r="AB7341">
        <f>AB7340+IF(X7341="",0,IF(ISNA(MATCH(X7341,X$256:X7340,0)),1,0))</f>
        <v/>
      </c>
      <c r="AC7341">
        <f>IF(AB7341&gt;AB7340,AB7341,"")</f>
        <v/>
      </c>
    </row>
    <row r="7342">
      <c r="W7342" s="7" t="n"/>
      <c r="X7342" s="7" t="n"/>
      <c r="Z7342">
        <f>Z7341+IF(W7342="",0,IF(ISNA(MATCH(W7342,W$256:W7341,0)),1,0))</f>
        <v/>
      </c>
      <c r="AA7342">
        <f>IF(Z7342&gt;Z7341,Z7342,"")</f>
        <v/>
      </c>
      <c r="AB7342">
        <f>AB7341+IF(X7342="",0,IF(ISNA(MATCH(X7342,X$256:X7341,0)),1,0))</f>
        <v/>
      </c>
      <c r="AC7342">
        <f>IF(AB7342&gt;AB7341,AB7342,"")</f>
        <v/>
      </c>
    </row>
    <row r="7343">
      <c r="W7343" s="7" t="n"/>
      <c r="X7343" s="7" t="n"/>
      <c r="Z7343">
        <f>Z7342+IF(W7343="",0,IF(ISNA(MATCH(W7343,W$256:W7342,0)),1,0))</f>
        <v/>
      </c>
      <c r="AA7343">
        <f>IF(Z7343&gt;Z7342,Z7343,"")</f>
        <v/>
      </c>
      <c r="AB7343">
        <f>AB7342+IF(X7343="",0,IF(ISNA(MATCH(X7343,X$256:X7342,0)),1,0))</f>
        <v/>
      </c>
      <c r="AC7343">
        <f>IF(AB7343&gt;AB7342,AB7343,"")</f>
        <v/>
      </c>
    </row>
    <row r="7344">
      <c r="W7344" s="7" t="n"/>
      <c r="X7344" s="7" t="n"/>
      <c r="Z7344">
        <f>Z7343+IF(W7344="",0,IF(ISNA(MATCH(W7344,W$256:W7343,0)),1,0))</f>
        <v/>
      </c>
      <c r="AA7344">
        <f>IF(Z7344&gt;Z7343,Z7344,"")</f>
        <v/>
      </c>
      <c r="AB7344">
        <f>AB7343+IF(X7344="",0,IF(ISNA(MATCH(X7344,X$256:X7343,0)),1,0))</f>
        <v/>
      </c>
      <c r="AC7344">
        <f>IF(AB7344&gt;AB7343,AB7344,"")</f>
        <v/>
      </c>
    </row>
    <row r="7345">
      <c r="W7345" s="7" t="n"/>
      <c r="X7345" s="7" t="n"/>
      <c r="Z7345">
        <f>Z7344+IF(W7345="",0,IF(ISNA(MATCH(W7345,W$256:W7344,0)),1,0))</f>
        <v/>
      </c>
      <c r="AA7345">
        <f>IF(Z7345&gt;Z7344,Z7345,"")</f>
        <v/>
      </c>
      <c r="AB7345">
        <f>AB7344+IF(X7345="",0,IF(ISNA(MATCH(X7345,X$256:X7344,0)),1,0))</f>
        <v/>
      </c>
      <c r="AC7345">
        <f>IF(AB7345&gt;AB7344,AB7345,"")</f>
        <v/>
      </c>
    </row>
    <row r="7346">
      <c r="W7346" s="7" t="n"/>
      <c r="X7346" s="7" t="n"/>
      <c r="Z7346">
        <f>Z7345+IF(W7346="",0,IF(ISNA(MATCH(W7346,W$256:W7345,0)),1,0))</f>
        <v/>
      </c>
      <c r="AA7346">
        <f>IF(Z7346&gt;Z7345,Z7346,"")</f>
        <v/>
      </c>
      <c r="AB7346">
        <f>AB7345+IF(X7346="",0,IF(ISNA(MATCH(X7346,X$256:X7345,0)),1,0))</f>
        <v/>
      </c>
      <c r="AC7346">
        <f>IF(AB7346&gt;AB7345,AB7346,"")</f>
        <v/>
      </c>
    </row>
    <row r="7347">
      <c r="W7347" s="7" t="n"/>
      <c r="X7347" s="7" t="n"/>
      <c r="Z7347">
        <f>Z7346+IF(W7347="",0,IF(ISNA(MATCH(W7347,W$256:W7346,0)),1,0))</f>
        <v/>
      </c>
      <c r="AA7347">
        <f>IF(Z7347&gt;Z7346,Z7347,"")</f>
        <v/>
      </c>
      <c r="AB7347">
        <f>AB7346+IF(X7347="",0,IF(ISNA(MATCH(X7347,X$256:X7346,0)),1,0))</f>
        <v/>
      </c>
      <c r="AC7347">
        <f>IF(AB7347&gt;AB7346,AB7347,"")</f>
        <v/>
      </c>
    </row>
    <row r="7348">
      <c r="W7348" s="7" t="n"/>
      <c r="X7348" s="7" t="n"/>
      <c r="Z7348">
        <f>Z7347+IF(W7348="",0,IF(ISNA(MATCH(W7348,W$256:W7347,0)),1,0))</f>
        <v/>
      </c>
      <c r="AA7348">
        <f>IF(Z7348&gt;Z7347,Z7348,"")</f>
        <v/>
      </c>
      <c r="AB7348">
        <f>AB7347+IF(X7348="",0,IF(ISNA(MATCH(X7348,X$256:X7347,0)),1,0))</f>
        <v/>
      </c>
      <c r="AC7348">
        <f>IF(AB7348&gt;AB7347,AB7348,"")</f>
        <v/>
      </c>
    </row>
    <row r="7349">
      <c r="W7349" s="7" t="n"/>
      <c r="X7349" s="7" t="n"/>
      <c r="Z7349">
        <f>Z7348+IF(W7349="",0,IF(ISNA(MATCH(W7349,W$256:W7348,0)),1,0))</f>
        <v/>
      </c>
      <c r="AA7349">
        <f>IF(Z7349&gt;Z7348,Z7349,"")</f>
        <v/>
      </c>
      <c r="AB7349">
        <f>AB7348+IF(X7349="",0,IF(ISNA(MATCH(X7349,X$256:X7348,0)),1,0))</f>
        <v/>
      </c>
      <c r="AC7349">
        <f>IF(AB7349&gt;AB7348,AB7349,"")</f>
        <v/>
      </c>
    </row>
    <row r="7350">
      <c r="W7350" s="7" t="n"/>
      <c r="X7350" s="7" t="n"/>
      <c r="Z7350">
        <f>Z7349+IF(W7350="",0,IF(ISNA(MATCH(W7350,W$256:W7349,0)),1,0))</f>
        <v/>
      </c>
      <c r="AA7350">
        <f>IF(Z7350&gt;Z7349,Z7350,"")</f>
        <v/>
      </c>
      <c r="AB7350">
        <f>AB7349+IF(X7350="",0,IF(ISNA(MATCH(X7350,X$256:X7349,0)),1,0))</f>
        <v/>
      </c>
      <c r="AC7350">
        <f>IF(AB7350&gt;AB7349,AB7350,"")</f>
        <v/>
      </c>
    </row>
    <row r="7351">
      <c r="W7351" s="7" t="n"/>
      <c r="X7351" s="7" t="n"/>
      <c r="Z7351">
        <f>Z7350+IF(W7351="",0,IF(ISNA(MATCH(W7351,W$256:W7350,0)),1,0))</f>
        <v/>
      </c>
      <c r="AA7351">
        <f>IF(Z7351&gt;Z7350,Z7351,"")</f>
        <v/>
      </c>
      <c r="AB7351">
        <f>AB7350+IF(X7351="",0,IF(ISNA(MATCH(X7351,X$256:X7350,0)),1,0))</f>
        <v/>
      </c>
      <c r="AC7351">
        <f>IF(AB7351&gt;AB7350,AB7351,"")</f>
        <v/>
      </c>
    </row>
    <row r="7352">
      <c r="W7352" s="7" t="n"/>
      <c r="X7352" s="7" t="n"/>
      <c r="Z7352">
        <f>Z7351+IF(W7352="",0,IF(ISNA(MATCH(W7352,W$256:W7351,0)),1,0))</f>
        <v/>
      </c>
      <c r="AA7352">
        <f>IF(Z7352&gt;Z7351,Z7352,"")</f>
        <v/>
      </c>
      <c r="AB7352">
        <f>AB7351+IF(X7352="",0,IF(ISNA(MATCH(X7352,X$256:X7351,0)),1,0))</f>
        <v/>
      </c>
      <c r="AC7352">
        <f>IF(AB7352&gt;AB7351,AB7352,"")</f>
        <v/>
      </c>
    </row>
    <row r="7353">
      <c r="W7353" s="7" t="n"/>
      <c r="X7353" s="7" t="n"/>
      <c r="Z7353">
        <f>Z7352+IF(W7353="",0,IF(ISNA(MATCH(W7353,W$256:W7352,0)),1,0))</f>
        <v/>
      </c>
      <c r="AA7353">
        <f>IF(Z7353&gt;Z7352,Z7353,"")</f>
        <v/>
      </c>
      <c r="AB7353">
        <f>AB7352+IF(X7353="",0,IF(ISNA(MATCH(X7353,X$256:X7352,0)),1,0))</f>
        <v/>
      </c>
      <c r="AC7353">
        <f>IF(AB7353&gt;AB7352,AB7353,"")</f>
        <v/>
      </c>
    </row>
    <row r="7354">
      <c r="W7354" s="7" t="n"/>
      <c r="X7354" s="7" t="n"/>
      <c r="Z7354">
        <f>Z7353+IF(W7354="",0,IF(ISNA(MATCH(W7354,W$256:W7353,0)),1,0))</f>
        <v/>
      </c>
      <c r="AA7354">
        <f>IF(Z7354&gt;Z7353,Z7354,"")</f>
        <v/>
      </c>
      <c r="AB7354">
        <f>AB7353+IF(X7354="",0,IF(ISNA(MATCH(X7354,X$256:X7353,0)),1,0))</f>
        <v/>
      </c>
      <c r="AC7354">
        <f>IF(AB7354&gt;AB7353,AB7354,"")</f>
        <v/>
      </c>
    </row>
    <row r="7355">
      <c r="W7355" s="7" t="n"/>
      <c r="X7355" s="7" t="n"/>
      <c r="Z7355">
        <f>Z7354+IF(W7355="",0,IF(ISNA(MATCH(W7355,W$256:W7354,0)),1,0))</f>
        <v/>
      </c>
      <c r="AA7355">
        <f>IF(Z7355&gt;Z7354,Z7355,"")</f>
        <v/>
      </c>
      <c r="AB7355">
        <f>AB7354+IF(X7355="",0,IF(ISNA(MATCH(X7355,X$256:X7354,0)),1,0))</f>
        <v/>
      </c>
      <c r="AC7355">
        <f>IF(AB7355&gt;AB7354,AB7355,"")</f>
        <v/>
      </c>
    </row>
    <row r="7356">
      <c r="W7356" s="7" t="n"/>
      <c r="X7356" s="7" t="n"/>
      <c r="Z7356">
        <f>Z7355+IF(W7356="",0,IF(ISNA(MATCH(W7356,W$256:W7355,0)),1,0))</f>
        <v/>
      </c>
      <c r="AA7356">
        <f>IF(Z7356&gt;Z7355,Z7356,"")</f>
        <v/>
      </c>
      <c r="AB7356">
        <f>AB7355+IF(X7356="",0,IF(ISNA(MATCH(X7356,X$256:X7355,0)),1,0))</f>
        <v/>
      </c>
      <c r="AC7356">
        <f>IF(AB7356&gt;AB7355,AB7356,"")</f>
        <v/>
      </c>
    </row>
    <row r="7357">
      <c r="W7357" s="7" t="n"/>
      <c r="X7357" s="7" t="n"/>
      <c r="Z7357">
        <f>Z7356+IF(W7357="",0,IF(ISNA(MATCH(W7357,W$256:W7356,0)),1,0))</f>
        <v/>
      </c>
      <c r="AA7357">
        <f>IF(Z7357&gt;Z7356,Z7357,"")</f>
        <v/>
      </c>
      <c r="AB7357">
        <f>AB7356+IF(X7357="",0,IF(ISNA(MATCH(X7357,X$256:X7356,0)),1,0))</f>
        <v/>
      </c>
      <c r="AC7357">
        <f>IF(AB7357&gt;AB7356,AB7357,"")</f>
        <v/>
      </c>
    </row>
    <row r="7358">
      <c r="W7358" s="7" t="n"/>
      <c r="X7358" s="7" t="n"/>
      <c r="Z7358">
        <f>Z7357+IF(W7358="",0,IF(ISNA(MATCH(W7358,W$256:W7357,0)),1,0))</f>
        <v/>
      </c>
      <c r="AA7358">
        <f>IF(Z7358&gt;Z7357,Z7358,"")</f>
        <v/>
      </c>
      <c r="AB7358">
        <f>AB7357+IF(X7358="",0,IF(ISNA(MATCH(X7358,X$256:X7357,0)),1,0))</f>
        <v/>
      </c>
      <c r="AC7358">
        <f>IF(AB7358&gt;AB7357,AB7358,"")</f>
        <v/>
      </c>
    </row>
    <row r="7359">
      <c r="W7359" s="7" t="n"/>
      <c r="X7359" s="7" t="n"/>
      <c r="Z7359">
        <f>Z7358+IF(W7359="",0,IF(ISNA(MATCH(W7359,W$256:W7358,0)),1,0))</f>
        <v/>
      </c>
      <c r="AA7359">
        <f>IF(Z7359&gt;Z7358,Z7359,"")</f>
        <v/>
      </c>
      <c r="AB7359">
        <f>AB7358+IF(X7359="",0,IF(ISNA(MATCH(X7359,X$256:X7358,0)),1,0))</f>
        <v/>
      </c>
      <c r="AC7359">
        <f>IF(AB7359&gt;AB7358,AB7359,"")</f>
        <v/>
      </c>
    </row>
    <row r="7360">
      <c r="W7360" s="7" t="n"/>
      <c r="X7360" s="7" t="n"/>
      <c r="Z7360">
        <f>Z7359+IF(W7360="",0,IF(ISNA(MATCH(W7360,W$256:W7359,0)),1,0))</f>
        <v/>
      </c>
      <c r="AA7360">
        <f>IF(Z7360&gt;Z7359,Z7360,"")</f>
        <v/>
      </c>
      <c r="AB7360">
        <f>AB7359+IF(X7360="",0,IF(ISNA(MATCH(X7360,X$256:X7359,0)),1,0))</f>
        <v/>
      </c>
      <c r="AC7360">
        <f>IF(AB7360&gt;AB7359,AB7360,"")</f>
        <v/>
      </c>
    </row>
    <row r="7361">
      <c r="W7361" s="7" t="n"/>
      <c r="X7361" s="7" t="n"/>
      <c r="Z7361">
        <f>Z7360+IF(W7361="",0,IF(ISNA(MATCH(W7361,W$256:W7360,0)),1,0))</f>
        <v/>
      </c>
      <c r="AA7361">
        <f>IF(Z7361&gt;Z7360,Z7361,"")</f>
        <v/>
      </c>
      <c r="AB7361">
        <f>AB7360+IF(X7361="",0,IF(ISNA(MATCH(X7361,X$256:X7360,0)),1,0))</f>
        <v/>
      </c>
      <c r="AC7361">
        <f>IF(AB7361&gt;AB7360,AB7361,"")</f>
        <v/>
      </c>
    </row>
    <row r="7362">
      <c r="W7362" s="7" t="n"/>
      <c r="X7362" s="7" t="n"/>
      <c r="Z7362">
        <f>Z7361+IF(W7362="",0,IF(ISNA(MATCH(W7362,W$256:W7361,0)),1,0))</f>
        <v/>
      </c>
      <c r="AA7362">
        <f>IF(Z7362&gt;Z7361,Z7362,"")</f>
        <v/>
      </c>
      <c r="AB7362">
        <f>AB7361+IF(X7362="",0,IF(ISNA(MATCH(X7362,X$256:X7361,0)),1,0))</f>
        <v/>
      </c>
      <c r="AC7362">
        <f>IF(AB7362&gt;AB7361,AB7362,"")</f>
        <v/>
      </c>
    </row>
    <row r="7363">
      <c r="W7363" s="7" t="n"/>
      <c r="X7363" s="7" t="n"/>
      <c r="Z7363">
        <f>Z7362+IF(W7363="",0,IF(ISNA(MATCH(W7363,W$256:W7362,0)),1,0))</f>
        <v/>
      </c>
      <c r="AA7363">
        <f>IF(Z7363&gt;Z7362,Z7363,"")</f>
        <v/>
      </c>
      <c r="AB7363">
        <f>AB7362+IF(X7363="",0,IF(ISNA(MATCH(X7363,X$256:X7362,0)),1,0))</f>
        <v/>
      </c>
      <c r="AC7363">
        <f>IF(AB7363&gt;AB7362,AB7363,"")</f>
        <v/>
      </c>
    </row>
    <row r="7364">
      <c r="W7364" s="7" t="n"/>
      <c r="X7364" s="7" t="n"/>
      <c r="Z7364">
        <f>Z7363+IF(W7364="",0,IF(ISNA(MATCH(W7364,W$256:W7363,0)),1,0))</f>
        <v/>
      </c>
      <c r="AA7364">
        <f>IF(Z7364&gt;Z7363,Z7364,"")</f>
        <v/>
      </c>
      <c r="AB7364">
        <f>AB7363+IF(X7364="",0,IF(ISNA(MATCH(X7364,X$256:X7363,0)),1,0))</f>
        <v/>
      </c>
      <c r="AC7364">
        <f>IF(AB7364&gt;AB7363,AB7364,"")</f>
        <v/>
      </c>
    </row>
    <row r="7365">
      <c r="W7365" s="7" t="n"/>
      <c r="X7365" s="7" t="n"/>
      <c r="Z7365">
        <f>Z7364+IF(W7365="",0,IF(ISNA(MATCH(W7365,W$256:W7364,0)),1,0))</f>
        <v/>
      </c>
      <c r="AA7365">
        <f>IF(Z7365&gt;Z7364,Z7365,"")</f>
        <v/>
      </c>
      <c r="AB7365">
        <f>AB7364+IF(X7365="",0,IF(ISNA(MATCH(X7365,X$256:X7364,0)),1,0))</f>
        <v/>
      </c>
      <c r="AC7365">
        <f>IF(AB7365&gt;AB7364,AB7365,"")</f>
        <v/>
      </c>
    </row>
    <row r="7366">
      <c r="W7366" s="7" t="n"/>
      <c r="X7366" s="7" t="n"/>
      <c r="Z7366">
        <f>Z7365+IF(W7366="",0,IF(ISNA(MATCH(W7366,W$256:W7365,0)),1,0))</f>
        <v/>
      </c>
      <c r="AA7366">
        <f>IF(Z7366&gt;Z7365,Z7366,"")</f>
        <v/>
      </c>
      <c r="AB7366">
        <f>AB7365+IF(X7366="",0,IF(ISNA(MATCH(X7366,X$256:X7365,0)),1,0))</f>
        <v/>
      </c>
      <c r="AC7366">
        <f>IF(AB7366&gt;AB7365,AB7366,"")</f>
        <v/>
      </c>
    </row>
    <row r="7367">
      <c r="W7367" s="7" t="n"/>
      <c r="X7367" s="7" t="n"/>
      <c r="Z7367">
        <f>Z7366+IF(W7367="",0,IF(ISNA(MATCH(W7367,W$256:W7366,0)),1,0))</f>
        <v/>
      </c>
      <c r="AA7367">
        <f>IF(Z7367&gt;Z7366,Z7367,"")</f>
        <v/>
      </c>
      <c r="AB7367">
        <f>AB7366+IF(X7367="",0,IF(ISNA(MATCH(X7367,X$256:X7366,0)),1,0))</f>
        <v/>
      </c>
      <c r="AC7367">
        <f>IF(AB7367&gt;AB7366,AB7367,"")</f>
        <v/>
      </c>
    </row>
    <row r="7368">
      <c r="W7368" s="7" t="n"/>
      <c r="X7368" s="7" t="n"/>
      <c r="Z7368">
        <f>Z7367+IF(W7368="",0,IF(ISNA(MATCH(W7368,W$256:W7367,0)),1,0))</f>
        <v/>
      </c>
      <c r="AA7368">
        <f>IF(Z7368&gt;Z7367,Z7368,"")</f>
        <v/>
      </c>
      <c r="AB7368">
        <f>AB7367+IF(X7368="",0,IF(ISNA(MATCH(X7368,X$256:X7367,0)),1,0))</f>
        <v/>
      </c>
      <c r="AC7368">
        <f>IF(AB7368&gt;AB7367,AB7368,"")</f>
        <v/>
      </c>
    </row>
    <row r="7369">
      <c r="W7369" s="7" t="n"/>
      <c r="X7369" s="7" t="n"/>
      <c r="Z7369">
        <f>Z7368+IF(W7369="",0,IF(ISNA(MATCH(W7369,W$256:W7368,0)),1,0))</f>
        <v/>
      </c>
      <c r="AA7369">
        <f>IF(Z7369&gt;Z7368,Z7369,"")</f>
        <v/>
      </c>
      <c r="AB7369">
        <f>AB7368+IF(X7369="",0,IF(ISNA(MATCH(X7369,X$256:X7368,0)),1,0))</f>
        <v/>
      </c>
      <c r="AC7369">
        <f>IF(AB7369&gt;AB7368,AB7369,"")</f>
        <v/>
      </c>
    </row>
    <row r="7370">
      <c r="W7370" s="7" t="n"/>
      <c r="X7370" s="7" t="n"/>
      <c r="Z7370">
        <f>Z7369+IF(W7370="",0,IF(ISNA(MATCH(W7370,W$256:W7369,0)),1,0))</f>
        <v/>
      </c>
      <c r="AA7370">
        <f>IF(Z7370&gt;Z7369,Z7370,"")</f>
        <v/>
      </c>
      <c r="AB7370">
        <f>AB7369+IF(X7370="",0,IF(ISNA(MATCH(X7370,X$256:X7369,0)),1,0))</f>
        <v/>
      </c>
      <c r="AC7370">
        <f>IF(AB7370&gt;AB7369,AB7370,"")</f>
        <v/>
      </c>
    </row>
    <row r="7371">
      <c r="W7371" s="7" t="n"/>
      <c r="X7371" s="7" t="n"/>
      <c r="Z7371">
        <f>Z7370+IF(W7371="",0,IF(ISNA(MATCH(W7371,W$256:W7370,0)),1,0))</f>
        <v/>
      </c>
      <c r="AA7371">
        <f>IF(Z7371&gt;Z7370,Z7371,"")</f>
        <v/>
      </c>
      <c r="AB7371">
        <f>AB7370+IF(X7371="",0,IF(ISNA(MATCH(X7371,X$256:X7370,0)),1,0))</f>
        <v/>
      </c>
      <c r="AC7371">
        <f>IF(AB7371&gt;AB7370,AB7371,"")</f>
        <v/>
      </c>
    </row>
    <row r="7372">
      <c r="W7372" s="7" t="n"/>
      <c r="X7372" s="7" t="n"/>
      <c r="Z7372">
        <f>Z7371+IF(W7372="",0,IF(ISNA(MATCH(W7372,W$256:W7371,0)),1,0))</f>
        <v/>
      </c>
      <c r="AA7372">
        <f>IF(Z7372&gt;Z7371,Z7372,"")</f>
        <v/>
      </c>
      <c r="AB7372">
        <f>AB7371+IF(X7372="",0,IF(ISNA(MATCH(X7372,X$256:X7371,0)),1,0))</f>
        <v/>
      </c>
      <c r="AC7372">
        <f>IF(AB7372&gt;AB7371,AB7372,"")</f>
        <v/>
      </c>
    </row>
    <row r="7373">
      <c r="W7373" s="7" t="n"/>
      <c r="X7373" s="7" t="n"/>
      <c r="Z7373">
        <f>Z7372+IF(W7373="",0,IF(ISNA(MATCH(W7373,W$256:W7372,0)),1,0))</f>
        <v/>
      </c>
      <c r="AA7373">
        <f>IF(Z7373&gt;Z7372,Z7373,"")</f>
        <v/>
      </c>
      <c r="AB7373">
        <f>AB7372+IF(X7373="",0,IF(ISNA(MATCH(X7373,X$256:X7372,0)),1,0))</f>
        <v/>
      </c>
      <c r="AC7373">
        <f>IF(AB7373&gt;AB7372,AB7373,"")</f>
        <v/>
      </c>
    </row>
    <row r="7374">
      <c r="W7374" s="7" t="n"/>
      <c r="X7374" s="7" t="n"/>
      <c r="Z7374">
        <f>Z7373+IF(W7374="",0,IF(ISNA(MATCH(W7374,W$256:W7373,0)),1,0))</f>
        <v/>
      </c>
      <c r="AA7374">
        <f>IF(Z7374&gt;Z7373,Z7374,"")</f>
        <v/>
      </c>
      <c r="AB7374">
        <f>AB7373+IF(X7374="",0,IF(ISNA(MATCH(X7374,X$256:X7373,0)),1,0))</f>
        <v/>
      </c>
      <c r="AC7374">
        <f>IF(AB7374&gt;AB7373,AB7374,"")</f>
        <v/>
      </c>
    </row>
    <row r="7375">
      <c r="W7375" s="7" t="n"/>
      <c r="X7375" s="7" t="n"/>
      <c r="Z7375">
        <f>Z7374+IF(W7375="",0,IF(ISNA(MATCH(W7375,W$256:W7374,0)),1,0))</f>
        <v/>
      </c>
      <c r="AA7375">
        <f>IF(Z7375&gt;Z7374,Z7375,"")</f>
        <v/>
      </c>
      <c r="AB7375">
        <f>AB7374+IF(X7375="",0,IF(ISNA(MATCH(X7375,X$256:X7374,0)),1,0))</f>
        <v/>
      </c>
      <c r="AC7375">
        <f>IF(AB7375&gt;AB7374,AB7375,"")</f>
        <v/>
      </c>
    </row>
    <row r="7376">
      <c r="W7376" s="7" t="n"/>
      <c r="X7376" s="7" t="n"/>
      <c r="Z7376">
        <f>Z7375+IF(W7376="",0,IF(ISNA(MATCH(W7376,W$256:W7375,0)),1,0))</f>
        <v/>
      </c>
      <c r="AA7376">
        <f>IF(Z7376&gt;Z7375,Z7376,"")</f>
        <v/>
      </c>
      <c r="AB7376">
        <f>AB7375+IF(X7376="",0,IF(ISNA(MATCH(X7376,X$256:X7375,0)),1,0))</f>
        <v/>
      </c>
      <c r="AC7376">
        <f>IF(AB7376&gt;AB7375,AB7376,"")</f>
        <v/>
      </c>
    </row>
    <row r="7377">
      <c r="W7377" s="7" t="n"/>
      <c r="X7377" s="7" t="n"/>
      <c r="Z7377">
        <f>Z7376+IF(W7377="",0,IF(ISNA(MATCH(W7377,W$256:W7376,0)),1,0))</f>
        <v/>
      </c>
      <c r="AA7377">
        <f>IF(Z7377&gt;Z7376,Z7377,"")</f>
        <v/>
      </c>
      <c r="AB7377">
        <f>AB7376+IF(X7377="",0,IF(ISNA(MATCH(X7377,X$256:X7376,0)),1,0))</f>
        <v/>
      </c>
      <c r="AC7377">
        <f>IF(AB7377&gt;AB7376,AB7377,"")</f>
        <v/>
      </c>
    </row>
    <row r="7378">
      <c r="W7378" s="7" t="n"/>
      <c r="X7378" s="7" t="n"/>
      <c r="Z7378">
        <f>Z7377+IF(W7378="",0,IF(ISNA(MATCH(W7378,W$256:W7377,0)),1,0))</f>
        <v/>
      </c>
      <c r="AA7378">
        <f>IF(Z7378&gt;Z7377,Z7378,"")</f>
        <v/>
      </c>
      <c r="AB7378">
        <f>AB7377+IF(X7378="",0,IF(ISNA(MATCH(X7378,X$256:X7377,0)),1,0))</f>
        <v/>
      </c>
      <c r="AC7378">
        <f>IF(AB7378&gt;AB7377,AB7378,"")</f>
        <v/>
      </c>
    </row>
    <row r="7379">
      <c r="W7379" s="7" t="n"/>
      <c r="X7379" s="7" t="n"/>
      <c r="Z7379">
        <f>Z7378+IF(W7379="",0,IF(ISNA(MATCH(W7379,W$256:W7378,0)),1,0))</f>
        <v/>
      </c>
      <c r="AA7379">
        <f>IF(Z7379&gt;Z7378,Z7379,"")</f>
        <v/>
      </c>
      <c r="AB7379">
        <f>AB7378+IF(X7379="",0,IF(ISNA(MATCH(X7379,X$256:X7378,0)),1,0))</f>
        <v/>
      </c>
      <c r="AC7379">
        <f>IF(AB7379&gt;AB7378,AB7379,"")</f>
        <v/>
      </c>
    </row>
    <row r="7380">
      <c r="W7380" s="7" t="n"/>
      <c r="X7380" s="7" t="n"/>
      <c r="Z7380">
        <f>Z7379+IF(W7380="",0,IF(ISNA(MATCH(W7380,W$256:W7379,0)),1,0))</f>
        <v/>
      </c>
      <c r="AA7380">
        <f>IF(Z7380&gt;Z7379,Z7380,"")</f>
        <v/>
      </c>
      <c r="AB7380">
        <f>AB7379+IF(X7380="",0,IF(ISNA(MATCH(X7380,X$256:X7379,0)),1,0))</f>
        <v/>
      </c>
      <c r="AC7380">
        <f>IF(AB7380&gt;AB7379,AB7380,"")</f>
        <v/>
      </c>
    </row>
    <row r="7381">
      <c r="W7381" s="7" t="n"/>
      <c r="X7381" s="7" t="n"/>
      <c r="Z7381">
        <f>Z7380+IF(W7381="",0,IF(ISNA(MATCH(W7381,W$256:W7380,0)),1,0))</f>
        <v/>
      </c>
      <c r="AA7381">
        <f>IF(Z7381&gt;Z7380,Z7381,"")</f>
        <v/>
      </c>
      <c r="AB7381">
        <f>AB7380+IF(X7381="",0,IF(ISNA(MATCH(X7381,X$256:X7380,0)),1,0))</f>
        <v/>
      </c>
      <c r="AC7381">
        <f>IF(AB7381&gt;AB7380,AB7381,"")</f>
        <v/>
      </c>
    </row>
    <row r="7382">
      <c r="W7382" s="7" t="n"/>
      <c r="X7382" s="7" t="n"/>
      <c r="Z7382">
        <f>Z7381+IF(W7382="",0,IF(ISNA(MATCH(W7382,W$256:W7381,0)),1,0))</f>
        <v/>
      </c>
      <c r="AA7382">
        <f>IF(Z7382&gt;Z7381,Z7382,"")</f>
        <v/>
      </c>
      <c r="AB7382">
        <f>AB7381+IF(X7382="",0,IF(ISNA(MATCH(X7382,X$256:X7381,0)),1,0))</f>
        <v/>
      </c>
      <c r="AC7382">
        <f>IF(AB7382&gt;AB7381,AB7382,"")</f>
        <v/>
      </c>
    </row>
    <row r="7383">
      <c r="W7383" s="7" t="n"/>
      <c r="X7383" s="7" t="n"/>
      <c r="Z7383">
        <f>Z7382+IF(W7383="",0,IF(ISNA(MATCH(W7383,W$256:W7382,0)),1,0))</f>
        <v/>
      </c>
      <c r="AA7383">
        <f>IF(Z7383&gt;Z7382,Z7383,"")</f>
        <v/>
      </c>
      <c r="AB7383">
        <f>AB7382+IF(X7383="",0,IF(ISNA(MATCH(X7383,X$256:X7382,0)),1,0))</f>
        <v/>
      </c>
      <c r="AC7383">
        <f>IF(AB7383&gt;AB7382,AB7383,"")</f>
        <v/>
      </c>
    </row>
    <row r="7384">
      <c r="W7384" s="7" t="n"/>
      <c r="X7384" s="7" t="n"/>
      <c r="Z7384">
        <f>Z7383+IF(W7384="",0,IF(ISNA(MATCH(W7384,W$256:W7383,0)),1,0))</f>
        <v/>
      </c>
      <c r="AA7384">
        <f>IF(Z7384&gt;Z7383,Z7384,"")</f>
        <v/>
      </c>
      <c r="AB7384">
        <f>AB7383+IF(X7384="",0,IF(ISNA(MATCH(X7384,X$256:X7383,0)),1,0))</f>
        <v/>
      </c>
      <c r="AC7384">
        <f>IF(AB7384&gt;AB7383,AB7384,"")</f>
        <v/>
      </c>
    </row>
    <row r="7385">
      <c r="W7385" s="7" t="n"/>
      <c r="X7385" s="7" t="n"/>
      <c r="Z7385">
        <f>Z7384+IF(W7385="",0,IF(ISNA(MATCH(W7385,W$256:W7384,0)),1,0))</f>
        <v/>
      </c>
      <c r="AA7385">
        <f>IF(Z7385&gt;Z7384,Z7385,"")</f>
        <v/>
      </c>
      <c r="AB7385">
        <f>AB7384+IF(X7385="",0,IF(ISNA(MATCH(X7385,X$256:X7384,0)),1,0))</f>
        <v/>
      </c>
      <c r="AC7385">
        <f>IF(AB7385&gt;AB7384,AB7385,"")</f>
        <v/>
      </c>
    </row>
    <row r="7386">
      <c r="W7386" s="7" t="n"/>
      <c r="X7386" s="7" t="n"/>
      <c r="Z7386">
        <f>Z7385+IF(W7386="",0,IF(ISNA(MATCH(W7386,W$256:W7385,0)),1,0))</f>
        <v/>
      </c>
      <c r="AA7386">
        <f>IF(Z7386&gt;Z7385,Z7386,"")</f>
        <v/>
      </c>
      <c r="AB7386">
        <f>AB7385+IF(X7386="",0,IF(ISNA(MATCH(X7386,X$256:X7385,0)),1,0))</f>
        <v/>
      </c>
      <c r="AC7386">
        <f>IF(AB7386&gt;AB7385,AB7386,"")</f>
        <v/>
      </c>
    </row>
    <row r="7387">
      <c r="W7387" s="7" t="n"/>
      <c r="X7387" s="7" t="n"/>
      <c r="Z7387">
        <f>Z7386+IF(W7387="",0,IF(ISNA(MATCH(W7387,W$256:W7386,0)),1,0))</f>
        <v/>
      </c>
      <c r="AA7387">
        <f>IF(Z7387&gt;Z7386,Z7387,"")</f>
        <v/>
      </c>
      <c r="AB7387">
        <f>AB7386+IF(X7387="",0,IF(ISNA(MATCH(X7387,X$256:X7386,0)),1,0))</f>
        <v/>
      </c>
      <c r="AC7387">
        <f>IF(AB7387&gt;AB7386,AB7387,"")</f>
        <v/>
      </c>
    </row>
    <row r="7388">
      <c r="W7388" s="7" t="n"/>
      <c r="X7388" s="7" t="n"/>
      <c r="Z7388">
        <f>Z7387+IF(W7388="",0,IF(ISNA(MATCH(W7388,W$256:W7387,0)),1,0))</f>
        <v/>
      </c>
      <c r="AA7388">
        <f>IF(Z7388&gt;Z7387,Z7388,"")</f>
        <v/>
      </c>
      <c r="AB7388">
        <f>AB7387+IF(X7388="",0,IF(ISNA(MATCH(X7388,X$256:X7387,0)),1,0))</f>
        <v/>
      </c>
      <c r="AC7388">
        <f>IF(AB7388&gt;AB7387,AB7388,"")</f>
        <v/>
      </c>
    </row>
    <row r="7389">
      <c r="W7389" s="7" t="n"/>
      <c r="X7389" s="7" t="n"/>
      <c r="Z7389">
        <f>Z7388+IF(W7389="",0,IF(ISNA(MATCH(W7389,W$256:W7388,0)),1,0))</f>
        <v/>
      </c>
      <c r="AA7389">
        <f>IF(Z7389&gt;Z7388,Z7389,"")</f>
        <v/>
      </c>
      <c r="AB7389">
        <f>AB7388+IF(X7389="",0,IF(ISNA(MATCH(X7389,X$256:X7388,0)),1,0))</f>
        <v/>
      </c>
      <c r="AC7389">
        <f>IF(AB7389&gt;AB7388,AB7389,"")</f>
        <v/>
      </c>
    </row>
    <row r="7390">
      <c r="W7390" s="7" t="n"/>
      <c r="X7390" s="7" t="n"/>
      <c r="Z7390">
        <f>Z7389+IF(W7390="",0,IF(ISNA(MATCH(W7390,W$256:W7389,0)),1,0))</f>
        <v/>
      </c>
      <c r="AA7390">
        <f>IF(Z7390&gt;Z7389,Z7390,"")</f>
        <v/>
      </c>
      <c r="AB7390">
        <f>AB7389+IF(X7390="",0,IF(ISNA(MATCH(X7390,X$256:X7389,0)),1,0))</f>
        <v/>
      </c>
      <c r="AC7390">
        <f>IF(AB7390&gt;AB7389,AB7390,"")</f>
        <v/>
      </c>
    </row>
    <row r="7391">
      <c r="W7391" s="7" t="n"/>
      <c r="X7391" s="7" t="n"/>
      <c r="Z7391">
        <f>Z7390+IF(W7391="",0,IF(ISNA(MATCH(W7391,W$256:W7390,0)),1,0))</f>
        <v/>
      </c>
      <c r="AA7391">
        <f>IF(Z7391&gt;Z7390,Z7391,"")</f>
        <v/>
      </c>
      <c r="AB7391">
        <f>AB7390+IF(X7391="",0,IF(ISNA(MATCH(X7391,X$256:X7390,0)),1,0))</f>
        <v/>
      </c>
      <c r="AC7391">
        <f>IF(AB7391&gt;AB7390,AB7391,"")</f>
        <v/>
      </c>
    </row>
    <row r="7392">
      <c r="W7392" s="7" t="n"/>
      <c r="X7392" s="7" t="n"/>
      <c r="Z7392">
        <f>Z7391+IF(W7392="",0,IF(ISNA(MATCH(W7392,W$256:W7391,0)),1,0))</f>
        <v/>
      </c>
      <c r="AA7392">
        <f>IF(Z7392&gt;Z7391,Z7392,"")</f>
        <v/>
      </c>
      <c r="AB7392">
        <f>AB7391+IF(X7392="",0,IF(ISNA(MATCH(X7392,X$256:X7391,0)),1,0))</f>
        <v/>
      </c>
      <c r="AC7392">
        <f>IF(AB7392&gt;AB7391,AB7392,"")</f>
        <v/>
      </c>
    </row>
    <row r="7393">
      <c r="W7393" s="7" t="n"/>
      <c r="X7393" s="7" t="n"/>
      <c r="Z7393">
        <f>Z7392+IF(W7393="",0,IF(ISNA(MATCH(W7393,W$256:W7392,0)),1,0))</f>
        <v/>
      </c>
      <c r="AA7393">
        <f>IF(Z7393&gt;Z7392,Z7393,"")</f>
        <v/>
      </c>
      <c r="AB7393">
        <f>AB7392+IF(X7393="",0,IF(ISNA(MATCH(X7393,X$256:X7392,0)),1,0))</f>
        <v/>
      </c>
      <c r="AC7393">
        <f>IF(AB7393&gt;AB7392,AB7393,"")</f>
        <v/>
      </c>
    </row>
    <row r="7394">
      <c r="W7394" s="7" t="n"/>
      <c r="X7394" s="7" t="n"/>
      <c r="Z7394">
        <f>Z7393+IF(W7394="",0,IF(ISNA(MATCH(W7394,W$256:W7393,0)),1,0))</f>
        <v/>
      </c>
      <c r="AA7394">
        <f>IF(Z7394&gt;Z7393,Z7394,"")</f>
        <v/>
      </c>
      <c r="AB7394">
        <f>AB7393+IF(X7394="",0,IF(ISNA(MATCH(X7394,X$256:X7393,0)),1,0))</f>
        <v/>
      </c>
      <c r="AC7394">
        <f>IF(AB7394&gt;AB7393,AB7394,"")</f>
        <v/>
      </c>
    </row>
    <row r="7395">
      <c r="W7395" s="7" t="n"/>
      <c r="X7395" s="7" t="n"/>
      <c r="Z7395">
        <f>Z7394+IF(W7395="",0,IF(ISNA(MATCH(W7395,W$256:W7394,0)),1,0))</f>
        <v/>
      </c>
      <c r="AA7395">
        <f>IF(Z7395&gt;Z7394,Z7395,"")</f>
        <v/>
      </c>
      <c r="AB7395">
        <f>AB7394+IF(X7395="",0,IF(ISNA(MATCH(X7395,X$256:X7394,0)),1,0))</f>
        <v/>
      </c>
      <c r="AC7395">
        <f>IF(AB7395&gt;AB7394,AB7395,"")</f>
        <v/>
      </c>
    </row>
    <row r="7396">
      <c r="W7396" s="7" t="n"/>
      <c r="X7396" s="7" t="n"/>
      <c r="Z7396">
        <f>Z7395+IF(W7396="",0,IF(ISNA(MATCH(W7396,W$256:W7395,0)),1,0))</f>
        <v/>
      </c>
      <c r="AA7396">
        <f>IF(Z7396&gt;Z7395,Z7396,"")</f>
        <v/>
      </c>
      <c r="AB7396">
        <f>AB7395+IF(X7396="",0,IF(ISNA(MATCH(X7396,X$256:X7395,0)),1,0))</f>
        <v/>
      </c>
      <c r="AC7396">
        <f>IF(AB7396&gt;AB7395,AB7396,"")</f>
        <v/>
      </c>
    </row>
    <row r="7397">
      <c r="W7397" s="7" t="n"/>
      <c r="X7397" s="7" t="n"/>
      <c r="Z7397">
        <f>Z7396+IF(W7397="",0,IF(ISNA(MATCH(W7397,W$256:W7396,0)),1,0))</f>
        <v/>
      </c>
      <c r="AA7397">
        <f>IF(Z7397&gt;Z7396,Z7397,"")</f>
        <v/>
      </c>
      <c r="AB7397">
        <f>AB7396+IF(X7397="",0,IF(ISNA(MATCH(X7397,X$256:X7396,0)),1,0))</f>
        <v/>
      </c>
      <c r="AC7397">
        <f>IF(AB7397&gt;AB7396,AB7397,"")</f>
        <v/>
      </c>
    </row>
    <row r="7398">
      <c r="W7398" s="7" t="n"/>
      <c r="X7398" s="7" t="n"/>
      <c r="Z7398">
        <f>Z7397+IF(W7398="",0,IF(ISNA(MATCH(W7398,W$256:W7397,0)),1,0))</f>
        <v/>
      </c>
      <c r="AA7398">
        <f>IF(Z7398&gt;Z7397,Z7398,"")</f>
        <v/>
      </c>
      <c r="AB7398">
        <f>AB7397+IF(X7398="",0,IF(ISNA(MATCH(X7398,X$256:X7397,0)),1,0))</f>
        <v/>
      </c>
      <c r="AC7398">
        <f>IF(AB7398&gt;AB7397,AB7398,"")</f>
        <v/>
      </c>
    </row>
    <row r="7399">
      <c r="W7399" s="7" t="n"/>
      <c r="X7399" s="7" t="n"/>
      <c r="Z7399">
        <f>Z7398+IF(W7399="",0,IF(ISNA(MATCH(W7399,W$256:W7398,0)),1,0))</f>
        <v/>
      </c>
      <c r="AA7399">
        <f>IF(Z7399&gt;Z7398,Z7399,"")</f>
        <v/>
      </c>
      <c r="AB7399">
        <f>AB7398+IF(X7399="",0,IF(ISNA(MATCH(X7399,X$256:X7398,0)),1,0))</f>
        <v/>
      </c>
      <c r="AC7399">
        <f>IF(AB7399&gt;AB7398,AB7399,"")</f>
        <v/>
      </c>
    </row>
    <row r="7400">
      <c r="W7400" s="7" t="n"/>
      <c r="X7400" s="7" t="n"/>
      <c r="Z7400">
        <f>Z7399+IF(W7400="",0,IF(ISNA(MATCH(W7400,W$256:W7399,0)),1,0))</f>
        <v/>
      </c>
      <c r="AA7400">
        <f>IF(Z7400&gt;Z7399,Z7400,"")</f>
        <v/>
      </c>
      <c r="AB7400">
        <f>AB7399+IF(X7400="",0,IF(ISNA(MATCH(X7400,X$256:X7399,0)),1,0))</f>
        <v/>
      </c>
      <c r="AC7400">
        <f>IF(AB7400&gt;AB7399,AB7400,"")</f>
        <v/>
      </c>
    </row>
    <row r="7401">
      <c r="W7401" s="7" t="n"/>
      <c r="X7401" s="7" t="n"/>
      <c r="Z7401">
        <f>Z7400+IF(W7401="",0,IF(ISNA(MATCH(W7401,W$256:W7400,0)),1,0))</f>
        <v/>
      </c>
      <c r="AA7401">
        <f>IF(Z7401&gt;Z7400,Z7401,"")</f>
        <v/>
      </c>
      <c r="AB7401">
        <f>AB7400+IF(X7401="",0,IF(ISNA(MATCH(X7401,X$256:X7400,0)),1,0))</f>
        <v/>
      </c>
      <c r="AC7401">
        <f>IF(AB7401&gt;AB7400,AB7401,"")</f>
        <v/>
      </c>
    </row>
    <row r="7402">
      <c r="W7402" s="7" t="n"/>
      <c r="X7402" s="7" t="n"/>
      <c r="Z7402">
        <f>Z7401+IF(W7402="",0,IF(ISNA(MATCH(W7402,W$256:W7401,0)),1,0))</f>
        <v/>
      </c>
      <c r="AA7402">
        <f>IF(Z7402&gt;Z7401,Z7402,"")</f>
        <v/>
      </c>
      <c r="AB7402">
        <f>AB7401+IF(X7402="",0,IF(ISNA(MATCH(X7402,X$256:X7401,0)),1,0))</f>
        <v/>
      </c>
      <c r="AC7402">
        <f>IF(AB7402&gt;AB7401,AB7402,"")</f>
        <v/>
      </c>
    </row>
    <row r="7403">
      <c r="W7403" s="7" t="n"/>
      <c r="X7403" s="7" t="n"/>
      <c r="Z7403">
        <f>Z7402+IF(W7403="",0,IF(ISNA(MATCH(W7403,W$256:W7402,0)),1,0))</f>
        <v/>
      </c>
      <c r="AA7403">
        <f>IF(Z7403&gt;Z7402,Z7403,"")</f>
        <v/>
      </c>
      <c r="AB7403">
        <f>AB7402+IF(X7403="",0,IF(ISNA(MATCH(X7403,X$256:X7402,0)),1,0))</f>
        <v/>
      </c>
      <c r="AC7403">
        <f>IF(AB7403&gt;AB7402,AB7403,"")</f>
        <v/>
      </c>
    </row>
    <row r="7404">
      <c r="W7404" s="7" t="n"/>
      <c r="X7404" s="7" t="n"/>
      <c r="Z7404">
        <f>Z7403+IF(W7404="",0,IF(ISNA(MATCH(W7404,W$256:W7403,0)),1,0))</f>
        <v/>
      </c>
      <c r="AA7404">
        <f>IF(Z7404&gt;Z7403,Z7404,"")</f>
        <v/>
      </c>
      <c r="AB7404">
        <f>AB7403+IF(X7404="",0,IF(ISNA(MATCH(X7404,X$256:X7403,0)),1,0))</f>
        <v/>
      </c>
      <c r="AC7404">
        <f>IF(AB7404&gt;AB7403,AB7404,"")</f>
        <v/>
      </c>
    </row>
    <row r="7405">
      <c r="W7405" s="7" t="n"/>
      <c r="X7405" s="7" t="n"/>
      <c r="Z7405">
        <f>Z7404+IF(W7405="",0,IF(ISNA(MATCH(W7405,W$256:W7404,0)),1,0))</f>
        <v/>
      </c>
      <c r="AA7405">
        <f>IF(Z7405&gt;Z7404,Z7405,"")</f>
        <v/>
      </c>
      <c r="AB7405">
        <f>AB7404+IF(X7405="",0,IF(ISNA(MATCH(X7405,X$256:X7404,0)),1,0))</f>
        <v/>
      </c>
      <c r="AC7405">
        <f>IF(AB7405&gt;AB7404,AB7405,"")</f>
        <v/>
      </c>
    </row>
    <row r="7406">
      <c r="W7406" s="7" t="n"/>
      <c r="X7406" s="7" t="n"/>
      <c r="Z7406">
        <f>Z7405+IF(W7406="",0,IF(ISNA(MATCH(W7406,W$256:W7405,0)),1,0))</f>
        <v/>
      </c>
      <c r="AA7406">
        <f>IF(Z7406&gt;Z7405,Z7406,"")</f>
        <v/>
      </c>
      <c r="AB7406">
        <f>AB7405+IF(X7406="",0,IF(ISNA(MATCH(X7406,X$256:X7405,0)),1,0))</f>
        <v/>
      </c>
      <c r="AC7406">
        <f>IF(AB7406&gt;AB7405,AB7406,"")</f>
        <v/>
      </c>
    </row>
    <row r="7407">
      <c r="W7407" s="7" t="n"/>
      <c r="X7407" s="7" t="n"/>
      <c r="Z7407">
        <f>Z7406+IF(W7407="",0,IF(ISNA(MATCH(W7407,W$256:W7406,0)),1,0))</f>
        <v/>
      </c>
      <c r="AA7407">
        <f>IF(Z7407&gt;Z7406,Z7407,"")</f>
        <v/>
      </c>
      <c r="AB7407">
        <f>AB7406+IF(X7407="",0,IF(ISNA(MATCH(X7407,X$256:X7406,0)),1,0))</f>
        <v/>
      </c>
      <c r="AC7407">
        <f>IF(AB7407&gt;AB7406,AB7407,"")</f>
        <v/>
      </c>
    </row>
    <row r="7408">
      <c r="W7408" s="7" t="n"/>
      <c r="X7408" s="7" t="n"/>
      <c r="Z7408">
        <f>Z7407+IF(W7408="",0,IF(ISNA(MATCH(W7408,W$256:W7407,0)),1,0))</f>
        <v/>
      </c>
      <c r="AA7408">
        <f>IF(Z7408&gt;Z7407,Z7408,"")</f>
        <v/>
      </c>
      <c r="AB7408">
        <f>AB7407+IF(X7408="",0,IF(ISNA(MATCH(X7408,X$256:X7407,0)),1,0))</f>
        <v/>
      </c>
      <c r="AC7408">
        <f>IF(AB7408&gt;AB7407,AB7408,"")</f>
        <v/>
      </c>
    </row>
    <row r="7409">
      <c r="W7409" s="7" t="n"/>
      <c r="X7409" s="7" t="n"/>
      <c r="Z7409">
        <f>Z7408+IF(W7409="",0,IF(ISNA(MATCH(W7409,W$256:W7408,0)),1,0))</f>
        <v/>
      </c>
      <c r="AA7409">
        <f>IF(Z7409&gt;Z7408,Z7409,"")</f>
        <v/>
      </c>
      <c r="AB7409">
        <f>AB7408+IF(X7409="",0,IF(ISNA(MATCH(X7409,X$256:X7408,0)),1,0))</f>
        <v/>
      </c>
      <c r="AC7409">
        <f>IF(AB7409&gt;AB7408,AB7409,"")</f>
        <v/>
      </c>
    </row>
    <row r="7410">
      <c r="W7410" s="7" t="n"/>
      <c r="X7410" s="7" t="n"/>
      <c r="Z7410">
        <f>Z7409+IF(W7410="",0,IF(ISNA(MATCH(W7410,W$256:W7409,0)),1,0))</f>
        <v/>
      </c>
      <c r="AA7410">
        <f>IF(Z7410&gt;Z7409,Z7410,"")</f>
        <v/>
      </c>
      <c r="AB7410">
        <f>AB7409+IF(X7410="",0,IF(ISNA(MATCH(X7410,X$256:X7409,0)),1,0))</f>
        <v/>
      </c>
      <c r="AC7410">
        <f>IF(AB7410&gt;AB7409,AB7410,"")</f>
        <v/>
      </c>
    </row>
    <row r="7411">
      <c r="W7411" s="7" t="n"/>
      <c r="X7411" s="7" t="n"/>
      <c r="Z7411">
        <f>Z7410+IF(W7411="",0,IF(ISNA(MATCH(W7411,W$256:W7410,0)),1,0))</f>
        <v/>
      </c>
      <c r="AA7411">
        <f>IF(Z7411&gt;Z7410,Z7411,"")</f>
        <v/>
      </c>
      <c r="AB7411">
        <f>AB7410+IF(X7411="",0,IF(ISNA(MATCH(X7411,X$256:X7410,0)),1,0))</f>
        <v/>
      </c>
      <c r="AC7411">
        <f>IF(AB7411&gt;AB7410,AB7411,"")</f>
        <v/>
      </c>
    </row>
    <row r="7412">
      <c r="W7412" s="7" t="n"/>
      <c r="X7412" s="7" t="n"/>
      <c r="Z7412">
        <f>Z7411+IF(W7412="",0,IF(ISNA(MATCH(W7412,W$256:W7411,0)),1,0))</f>
        <v/>
      </c>
      <c r="AA7412">
        <f>IF(Z7412&gt;Z7411,Z7412,"")</f>
        <v/>
      </c>
      <c r="AB7412">
        <f>AB7411+IF(X7412="",0,IF(ISNA(MATCH(X7412,X$256:X7411,0)),1,0))</f>
        <v/>
      </c>
      <c r="AC7412">
        <f>IF(AB7412&gt;AB7411,AB7412,"")</f>
        <v/>
      </c>
    </row>
    <row r="7413">
      <c r="W7413" s="7" t="n"/>
      <c r="X7413" s="7" t="n"/>
      <c r="Z7413">
        <f>Z7412+IF(W7413="",0,IF(ISNA(MATCH(W7413,W$256:W7412,0)),1,0))</f>
        <v/>
      </c>
      <c r="AA7413">
        <f>IF(Z7413&gt;Z7412,Z7413,"")</f>
        <v/>
      </c>
      <c r="AB7413">
        <f>AB7412+IF(X7413="",0,IF(ISNA(MATCH(X7413,X$256:X7412,0)),1,0))</f>
        <v/>
      </c>
      <c r="AC7413">
        <f>IF(AB7413&gt;AB7412,AB7413,"")</f>
        <v/>
      </c>
    </row>
    <row r="7414">
      <c r="W7414" s="7" t="n"/>
      <c r="X7414" s="7" t="n"/>
      <c r="Z7414">
        <f>Z7413+IF(W7414="",0,IF(ISNA(MATCH(W7414,W$256:W7413,0)),1,0))</f>
        <v/>
      </c>
      <c r="AA7414">
        <f>IF(Z7414&gt;Z7413,Z7414,"")</f>
        <v/>
      </c>
      <c r="AB7414">
        <f>AB7413+IF(X7414="",0,IF(ISNA(MATCH(X7414,X$256:X7413,0)),1,0))</f>
        <v/>
      </c>
      <c r="AC7414">
        <f>IF(AB7414&gt;AB7413,AB7414,"")</f>
        <v/>
      </c>
    </row>
    <row r="7415">
      <c r="W7415" s="7" t="n"/>
      <c r="X7415" s="7" t="n"/>
      <c r="Z7415">
        <f>Z7414+IF(W7415="",0,IF(ISNA(MATCH(W7415,W$256:W7414,0)),1,0))</f>
        <v/>
      </c>
      <c r="AA7415">
        <f>IF(Z7415&gt;Z7414,Z7415,"")</f>
        <v/>
      </c>
      <c r="AB7415">
        <f>AB7414+IF(X7415="",0,IF(ISNA(MATCH(X7415,X$256:X7414,0)),1,0))</f>
        <v/>
      </c>
      <c r="AC7415">
        <f>IF(AB7415&gt;AB7414,AB7415,"")</f>
        <v/>
      </c>
    </row>
    <row r="7416">
      <c r="W7416" s="7" t="n"/>
      <c r="X7416" s="7" t="n"/>
      <c r="Z7416">
        <f>Z7415+IF(W7416="",0,IF(ISNA(MATCH(W7416,W$256:W7415,0)),1,0))</f>
        <v/>
      </c>
      <c r="AA7416">
        <f>IF(Z7416&gt;Z7415,Z7416,"")</f>
        <v/>
      </c>
      <c r="AB7416">
        <f>AB7415+IF(X7416="",0,IF(ISNA(MATCH(X7416,X$256:X7415,0)),1,0))</f>
        <v/>
      </c>
      <c r="AC7416">
        <f>IF(AB7416&gt;AB7415,AB7416,"")</f>
        <v/>
      </c>
    </row>
    <row r="7417">
      <c r="W7417" s="7" t="n"/>
      <c r="X7417" s="7" t="n"/>
      <c r="Z7417">
        <f>Z7416+IF(W7417="",0,IF(ISNA(MATCH(W7417,W$256:W7416,0)),1,0))</f>
        <v/>
      </c>
      <c r="AA7417">
        <f>IF(Z7417&gt;Z7416,Z7417,"")</f>
        <v/>
      </c>
      <c r="AB7417">
        <f>AB7416+IF(X7417="",0,IF(ISNA(MATCH(X7417,X$256:X7416,0)),1,0))</f>
        <v/>
      </c>
      <c r="AC7417">
        <f>IF(AB7417&gt;AB7416,AB7417,"")</f>
        <v/>
      </c>
    </row>
    <row r="7418">
      <c r="W7418" s="7" t="n"/>
      <c r="X7418" s="7" t="n"/>
      <c r="Z7418">
        <f>Z7417+IF(W7418="",0,IF(ISNA(MATCH(W7418,W$256:W7417,0)),1,0))</f>
        <v/>
      </c>
      <c r="AA7418">
        <f>IF(Z7418&gt;Z7417,Z7418,"")</f>
        <v/>
      </c>
      <c r="AB7418">
        <f>AB7417+IF(X7418="",0,IF(ISNA(MATCH(X7418,X$256:X7417,0)),1,0))</f>
        <v/>
      </c>
      <c r="AC7418">
        <f>IF(AB7418&gt;AB7417,AB7418,"")</f>
        <v/>
      </c>
    </row>
    <row r="7419">
      <c r="W7419" s="7" t="n"/>
      <c r="X7419" s="7" t="n"/>
      <c r="Z7419">
        <f>Z7418+IF(W7419="",0,IF(ISNA(MATCH(W7419,W$256:W7418,0)),1,0))</f>
        <v/>
      </c>
      <c r="AA7419">
        <f>IF(Z7419&gt;Z7418,Z7419,"")</f>
        <v/>
      </c>
      <c r="AB7419">
        <f>AB7418+IF(X7419="",0,IF(ISNA(MATCH(X7419,X$256:X7418,0)),1,0))</f>
        <v/>
      </c>
      <c r="AC7419">
        <f>IF(AB7419&gt;AB7418,AB7419,"")</f>
        <v/>
      </c>
    </row>
    <row r="7420">
      <c r="W7420" s="7" t="n"/>
      <c r="X7420" s="7" t="n"/>
      <c r="Z7420">
        <f>Z7419+IF(W7420="",0,IF(ISNA(MATCH(W7420,W$256:W7419,0)),1,0))</f>
        <v/>
      </c>
      <c r="AA7420">
        <f>IF(Z7420&gt;Z7419,Z7420,"")</f>
        <v/>
      </c>
      <c r="AB7420">
        <f>AB7419+IF(X7420="",0,IF(ISNA(MATCH(X7420,X$256:X7419,0)),1,0))</f>
        <v/>
      </c>
      <c r="AC7420">
        <f>IF(AB7420&gt;AB7419,AB7420,"")</f>
        <v/>
      </c>
    </row>
    <row r="7421">
      <c r="W7421" s="7" t="n"/>
      <c r="X7421" s="7" t="n"/>
      <c r="Z7421">
        <f>Z7420+IF(W7421="",0,IF(ISNA(MATCH(W7421,W$256:W7420,0)),1,0))</f>
        <v/>
      </c>
      <c r="AA7421">
        <f>IF(Z7421&gt;Z7420,Z7421,"")</f>
        <v/>
      </c>
      <c r="AB7421">
        <f>AB7420+IF(X7421="",0,IF(ISNA(MATCH(X7421,X$256:X7420,0)),1,0))</f>
        <v/>
      </c>
      <c r="AC7421">
        <f>IF(AB7421&gt;AB7420,AB7421,"")</f>
        <v/>
      </c>
    </row>
    <row r="7422">
      <c r="W7422" s="7" t="n"/>
      <c r="X7422" s="7" t="n"/>
      <c r="Z7422">
        <f>Z7421+IF(W7422="",0,IF(ISNA(MATCH(W7422,W$256:W7421,0)),1,0))</f>
        <v/>
      </c>
      <c r="AA7422">
        <f>IF(Z7422&gt;Z7421,Z7422,"")</f>
        <v/>
      </c>
      <c r="AB7422">
        <f>AB7421+IF(X7422="",0,IF(ISNA(MATCH(X7422,X$256:X7421,0)),1,0))</f>
        <v/>
      </c>
      <c r="AC7422">
        <f>IF(AB7422&gt;AB7421,AB7422,"")</f>
        <v/>
      </c>
    </row>
    <row r="7423">
      <c r="W7423" s="7" t="n"/>
      <c r="X7423" s="7" t="n"/>
      <c r="Z7423">
        <f>Z7422+IF(W7423="",0,IF(ISNA(MATCH(W7423,W$256:W7422,0)),1,0))</f>
        <v/>
      </c>
      <c r="AA7423">
        <f>IF(Z7423&gt;Z7422,Z7423,"")</f>
        <v/>
      </c>
      <c r="AB7423">
        <f>AB7422+IF(X7423="",0,IF(ISNA(MATCH(X7423,X$256:X7422,0)),1,0))</f>
        <v/>
      </c>
      <c r="AC7423">
        <f>IF(AB7423&gt;AB7422,AB7423,"")</f>
        <v/>
      </c>
    </row>
    <row r="7424">
      <c r="W7424" s="7" t="n"/>
      <c r="X7424" s="7" t="n"/>
      <c r="Z7424">
        <f>Z7423+IF(W7424="",0,IF(ISNA(MATCH(W7424,W$256:W7423,0)),1,0))</f>
        <v/>
      </c>
      <c r="AA7424">
        <f>IF(Z7424&gt;Z7423,Z7424,"")</f>
        <v/>
      </c>
      <c r="AB7424">
        <f>AB7423+IF(X7424="",0,IF(ISNA(MATCH(X7424,X$256:X7423,0)),1,0))</f>
        <v/>
      </c>
      <c r="AC7424">
        <f>IF(AB7424&gt;AB7423,AB7424,"")</f>
        <v/>
      </c>
    </row>
    <row r="7425">
      <c r="W7425" s="7" t="n"/>
      <c r="X7425" s="7" t="n"/>
      <c r="Z7425">
        <f>Z7424+IF(W7425="",0,IF(ISNA(MATCH(W7425,W$256:W7424,0)),1,0))</f>
        <v/>
      </c>
      <c r="AA7425">
        <f>IF(Z7425&gt;Z7424,Z7425,"")</f>
        <v/>
      </c>
      <c r="AB7425">
        <f>AB7424+IF(X7425="",0,IF(ISNA(MATCH(X7425,X$256:X7424,0)),1,0))</f>
        <v/>
      </c>
      <c r="AC7425">
        <f>IF(AB7425&gt;AB7424,AB7425,"")</f>
        <v/>
      </c>
    </row>
    <row r="7426">
      <c r="W7426" s="7" t="n"/>
      <c r="X7426" s="7" t="n"/>
      <c r="Z7426">
        <f>Z7425+IF(W7426="",0,IF(ISNA(MATCH(W7426,W$256:W7425,0)),1,0))</f>
        <v/>
      </c>
      <c r="AA7426">
        <f>IF(Z7426&gt;Z7425,Z7426,"")</f>
        <v/>
      </c>
      <c r="AB7426">
        <f>AB7425+IF(X7426="",0,IF(ISNA(MATCH(X7426,X$256:X7425,0)),1,0))</f>
        <v/>
      </c>
      <c r="AC7426">
        <f>IF(AB7426&gt;AB7425,AB7426,"")</f>
        <v/>
      </c>
    </row>
    <row r="7427">
      <c r="W7427" s="7" t="n"/>
      <c r="X7427" s="7" t="n"/>
      <c r="Z7427">
        <f>Z7426+IF(W7427="",0,IF(ISNA(MATCH(W7427,W$256:W7426,0)),1,0))</f>
        <v/>
      </c>
      <c r="AA7427">
        <f>IF(Z7427&gt;Z7426,Z7427,"")</f>
        <v/>
      </c>
      <c r="AB7427">
        <f>AB7426+IF(X7427="",0,IF(ISNA(MATCH(X7427,X$256:X7426,0)),1,0))</f>
        <v/>
      </c>
      <c r="AC7427">
        <f>IF(AB7427&gt;AB7426,AB7427,"")</f>
        <v/>
      </c>
    </row>
    <row r="7428">
      <c r="W7428" s="7" t="n"/>
      <c r="X7428" s="7" t="n"/>
      <c r="Z7428">
        <f>Z7427+IF(W7428="",0,IF(ISNA(MATCH(W7428,W$256:W7427,0)),1,0))</f>
        <v/>
      </c>
      <c r="AA7428">
        <f>IF(Z7428&gt;Z7427,Z7428,"")</f>
        <v/>
      </c>
      <c r="AB7428">
        <f>AB7427+IF(X7428="",0,IF(ISNA(MATCH(X7428,X$256:X7427,0)),1,0))</f>
        <v/>
      </c>
      <c r="AC7428">
        <f>IF(AB7428&gt;AB7427,AB7428,"")</f>
        <v/>
      </c>
    </row>
    <row r="7429">
      <c r="W7429" s="7" t="n"/>
      <c r="X7429" s="7" t="n"/>
      <c r="Z7429">
        <f>Z7428+IF(W7429="",0,IF(ISNA(MATCH(W7429,W$256:W7428,0)),1,0))</f>
        <v/>
      </c>
      <c r="AA7429">
        <f>IF(Z7429&gt;Z7428,Z7429,"")</f>
        <v/>
      </c>
      <c r="AB7429">
        <f>AB7428+IF(X7429="",0,IF(ISNA(MATCH(X7429,X$256:X7428,0)),1,0))</f>
        <v/>
      </c>
      <c r="AC7429">
        <f>IF(AB7429&gt;AB7428,AB7429,"")</f>
        <v/>
      </c>
    </row>
    <row r="7430">
      <c r="W7430" s="7" t="n"/>
      <c r="X7430" s="7" t="n"/>
      <c r="Z7430">
        <f>Z7429+IF(W7430="",0,IF(ISNA(MATCH(W7430,W$256:W7429,0)),1,0))</f>
        <v/>
      </c>
      <c r="AA7430">
        <f>IF(Z7430&gt;Z7429,Z7430,"")</f>
        <v/>
      </c>
      <c r="AB7430">
        <f>AB7429+IF(X7430="",0,IF(ISNA(MATCH(X7430,X$256:X7429,0)),1,0))</f>
        <v/>
      </c>
      <c r="AC7430">
        <f>IF(AB7430&gt;AB7429,AB7430,"")</f>
        <v/>
      </c>
    </row>
    <row r="7431">
      <c r="W7431" s="7" t="n"/>
      <c r="X7431" s="7" t="n"/>
      <c r="Z7431">
        <f>Z7430+IF(W7431="",0,IF(ISNA(MATCH(W7431,W$256:W7430,0)),1,0))</f>
        <v/>
      </c>
      <c r="AA7431">
        <f>IF(Z7431&gt;Z7430,Z7431,"")</f>
        <v/>
      </c>
      <c r="AB7431">
        <f>AB7430+IF(X7431="",0,IF(ISNA(MATCH(X7431,X$256:X7430,0)),1,0))</f>
        <v/>
      </c>
      <c r="AC7431">
        <f>IF(AB7431&gt;AB7430,AB7431,"")</f>
        <v/>
      </c>
    </row>
    <row r="7432">
      <c r="W7432" s="7" t="n"/>
      <c r="X7432" s="7" t="n"/>
      <c r="Z7432">
        <f>Z7431+IF(W7432="",0,IF(ISNA(MATCH(W7432,W$256:W7431,0)),1,0))</f>
        <v/>
      </c>
      <c r="AA7432">
        <f>IF(Z7432&gt;Z7431,Z7432,"")</f>
        <v/>
      </c>
      <c r="AB7432">
        <f>AB7431+IF(X7432="",0,IF(ISNA(MATCH(X7432,X$256:X7431,0)),1,0))</f>
        <v/>
      </c>
      <c r="AC7432">
        <f>IF(AB7432&gt;AB7431,AB7432,"")</f>
        <v/>
      </c>
    </row>
    <row r="7433">
      <c r="W7433" s="7" t="n"/>
      <c r="X7433" s="7" t="n"/>
      <c r="Z7433">
        <f>Z7432+IF(W7433="",0,IF(ISNA(MATCH(W7433,W$256:W7432,0)),1,0))</f>
        <v/>
      </c>
      <c r="AA7433">
        <f>IF(Z7433&gt;Z7432,Z7433,"")</f>
        <v/>
      </c>
      <c r="AB7433">
        <f>AB7432+IF(X7433="",0,IF(ISNA(MATCH(X7433,X$256:X7432,0)),1,0))</f>
        <v/>
      </c>
      <c r="AC7433">
        <f>IF(AB7433&gt;AB7432,AB7433,"")</f>
        <v/>
      </c>
    </row>
    <row r="7434">
      <c r="W7434" s="7" t="n"/>
      <c r="X7434" s="7" t="n"/>
      <c r="Z7434">
        <f>Z7433+IF(W7434="",0,IF(ISNA(MATCH(W7434,W$256:W7433,0)),1,0))</f>
        <v/>
      </c>
      <c r="AA7434">
        <f>IF(Z7434&gt;Z7433,Z7434,"")</f>
        <v/>
      </c>
      <c r="AB7434">
        <f>AB7433+IF(X7434="",0,IF(ISNA(MATCH(X7434,X$256:X7433,0)),1,0))</f>
        <v/>
      </c>
      <c r="AC7434">
        <f>IF(AB7434&gt;AB7433,AB7434,"")</f>
        <v/>
      </c>
    </row>
    <row r="7435">
      <c r="W7435" s="7" t="n"/>
      <c r="X7435" s="7" t="n"/>
      <c r="Z7435">
        <f>Z7434+IF(W7435="",0,IF(ISNA(MATCH(W7435,W$256:W7434,0)),1,0))</f>
        <v/>
      </c>
      <c r="AA7435">
        <f>IF(Z7435&gt;Z7434,Z7435,"")</f>
        <v/>
      </c>
      <c r="AB7435">
        <f>AB7434+IF(X7435="",0,IF(ISNA(MATCH(X7435,X$256:X7434,0)),1,0))</f>
        <v/>
      </c>
      <c r="AC7435">
        <f>IF(AB7435&gt;AB7434,AB7435,"")</f>
        <v/>
      </c>
    </row>
    <row r="7436">
      <c r="W7436" s="7" t="n"/>
      <c r="X7436" s="7" t="n"/>
      <c r="Z7436">
        <f>Z7435+IF(W7436="",0,IF(ISNA(MATCH(W7436,W$256:W7435,0)),1,0))</f>
        <v/>
      </c>
      <c r="AA7436">
        <f>IF(Z7436&gt;Z7435,Z7436,"")</f>
        <v/>
      </c>
      <c r="AB7436">
        <f>AB7435+IF(X7436="",0,IF(ISNA(MATCH(X7436,X$256:X7435,0)),1,0))</f>
        <v/>
      </c>
      <c r="AC7436">
        <f>IF(AB7436&gt;AB7435,AB7436,"")</f>
        <v/>
      </c>
    </row>
    <row r="7437">
      <c r="W7437" s="7" t="n"/>
      <c r="X7437" s="7" t="n"/>
      <c r="Z7437">
        <f>Z7436+IF(W7437="",0,IF(ISNA(MATCH(W7437,W$256:W7436,0)),1,0))</f>
        <v/>
      </c>
      <c r="AA7437">
        <f>IF(Z7437&gt;Z7436,Z7437,"")</f>
        <v/>
      </c>
      <c r="AB7437">
        <f>AB7436+IF(X7437="",0,IF(ISNA(MATCH(X7437,X$256:X7436,0)),1,0))</f>
        <v/>
      </c>
      <c r="AC7437">
        <f>IF(AB7437&gt;AB7436,AB7437,"")</f>
        <v/>
      </c>
    </row>
    <row r="7438">
      <c r="W7438" s="7" t="n"/>
      <c r="X7438" s="7" t="n"/>
      <c r="Z7438">
        <f>Z7437+IF(W7438="",0,IF(ISNA(MATCH(W7438,W$256:W7437,0)),1,0))</f>
        <v/>
      </c>
      <c r="AA7438">
        <f>IF(Z7438&gt;Z7437,Z7438,"")</f>
        <v/>
      </c>
      <c r="AB7438">
        <f>AB7437+IF(X7438="",0,IF(ISNA(MATCH(X7438,X$256:X7437,0)),1,0))</f>
        <v/>
      </c>
      <c r="AC7438">
        <f>IF(AB7438&gt;AB7437,AB7438,"")</f>
        <v/>
      </c>
    </row>
    <row r="7439">
      <c r="W7439" s="7" t="n"/>
      <c r="X7439" s="7" t="n"/>
      <c r="Z7439">
        <f>Z7438+IF(W7439="",0,IF(ISNA(MATCH(W7439,W$256:W7438,0)),1,0))</f>
        <v/>
      </c>
      <c r="AA7439">
        <f>IF(Z7439&gt;Z7438,Z7439,"")</f>
        <v/>
      </c>
      <c r="AB7439">
        <f>AB7438+IF(X7439="",0,IF(ISNA(MATCH(X7439,X$256:X7438,0)),1,0))</f>
        <v/>
      </c>
      <c r="AC7439">
        <f>IF(AB7439&gt;AB7438,AB7439,"")</f>
        <v/>
      </c>
    </row>
    <row r="7440">
      <c r="W7440" s="7" t="n"/>
      <c r="X7440" s="7" t="n"/>
      <c r="Z7440">
        <f>Z7439+IF(W7440="",0,IF(ISNA(MATCH(W7440,W$256:W7439,0)),1,0))</f>
        <v/>
      </c>
      <c r="AA7440">
        <f>IF(Z7440&gt;Z7439,Z7440,"")</f>
        <v/>
      </c>
      <c r="AB7440">
        <f>AB7439+IF(X7440="",0,IF(ISNA(MATCH(X7440,X$256:X7439,0)),1,0))</f>
        <v/>
      </c>
      <c r="AC7440">
        <f>IF(AB7440&gt;AB7439,AB7440,"")</f>
        <v/>
      </c>
    </row>
    <row r="7441">
      <c r="W7441" s="7" t="n"/>
      <c r="X7441" s="7" t="n"/>
      <c r="Z7441">
        <f>Z7440+IF(W7441="",0,IF(ISNA(MATCH(W7441,W$256:W7440,0)),1,0))</f>
        <v/>
      </c>
      <c r="AA7441">
        <f>IF(Z7441&gt;Z7440,Z7441,"")</f>
        <v/>
      </c>
      <c r="AB7441">
        <f>AB7440+IF(X7441="",0,IF(ISNA(MATCH(X7441,X$256:X7440,0)),1,0))</f>
        <v/>
      </c>
      <c r="AC7441">
        <f>IF(AB7441&gt;AB7440,AB7441,"")</f>
        <v/>
      </c>
    </row>
    <row r="7442">
      <c r="W7442" s="7" t="n"/>
      <c r="X7442" s="7" t="n"/>
      <c r="Z7442">
        <f>Z7441+IF(W7442="",0,IF(ISNA(MATCH(W7442,W$256:W7441,0)),1,0))</f>
        <v/>
      </c>
      <c r="AA7442">
        <f>IF(Z7442&gt;Z7441,Z7442,"")</f>
        <v/>
      </c>
      <c r="AB7442">
        <f>AB7441+IF(X7442="",0,IF(ISNA(MATCH(X7442,X$256:X7441,0)),1,0))</f>
        <v/>
      </c>
      <c r="AC7442">
        <f>IF(AB7442&gt;AB7441,AB7442,"")</f>
        <v/>
      </c>
    </row>
    <row r="7443">
      <c r="W7443" s="7" t="n"/>
      <c r="X7443" s="7" t="n"/>
      <c r="Z7443">
        <f>Z7442+IF(W7443="",0,IF(ISNA(MATCH(W7443,W$256:W7442,0)),1,0))</f>
        <v/>
      </c>
      <c r="AA7443">
        <f>IF(Z7443&gt;Z7442,Z7443,"")</f>
        <v/>
      </c>
      <c r="AB7443">
        <f>AB7442+IF(X7443="",0,IF(ISNA(MATCH(X7443,X$256:X7442,0)),1,0))</f>
        <v/>
      </c>
      <c r="AC7443">
        <f>IF(AB7443&gt;AB7442,AB7443,"")</f>
        <v/>
      </c>
    </row>
    <row r="7444">
      <c r="W7444" s="7" t="n"/>
      <c r="X7444" s="7" t="n"/>
      <c r="Z7444">
        <f>Z7443+IF(W7444="",0,IF(ISNA(MATCH(W7444,W$256:W7443,0)),1,0))</f>
        <v/>
      </c>
      <c r="AA7444">
        <f>IF(Z7444&gt;Z7443,Z7444,"")</f>
        <v/>
      </c>
      <c r="AB7444">
        <f>AB7443+IF(X7444="",0,IF(ISNA(MATCH(X7444,X$256:X7443,0)),1,0))</f>
        <v/>
      </c>
      <c r="AC7444">
        <f>IF(AB7444&gt;AB7443,AB7444,"")</f>
        <v/>
      </c>
    </row>
    <row r="7445">
      <c r="W7445" s="7" t="n"/>
      <c r="X7445" s="7" t="n"/>
      <c r="Z7445">
        <f>Z7444+IF(W7445="",0,IF(ISNA(MATCH(W7445,W$256:W7444,0)),1,0))</f>
        <v/>
      </c>
      <c r="AA7445">
        <f>IF(Z7445&gt;Z7444,Z7445,"")</f>
        <v/>
      </c>
      <c r="AB7445">
        <f>AB7444+IF(X7445="",0,IF(ISNA(MATCH(X7445,X$256:X7444,0)),1,0))</f>
        <v/>
      </c>
      <c r="AC7445">
        <f>IF(AB7445&gt;AB7444,AB7445,"")</f>
        <v/>
      </c>
    </row>
    <row r="7446">
      <c r="W7446" s="7" t="n"/>
      <c r="X7446" s="7" t="n"/>
      <c r="Z7446">
        <f>Z7445+IF(W7446="",0,IF(ISNA(MATCH(W7446,W$256:W7445,0)),1,0))</f>
        <v/>
      </c>
      <c r="AA7446">
        <f>IF(Z7446&gt;Z7445,Z7446,"")</f>
        <v/>
      </c>
      <c r="AB7446">
        <f>AB7445+IF(X7446="",0,IF(ISNA(MATCH(X7446,X$256:X7445,0)),1,0))</f>
        <v/>
      </c>
      <c r="AC7446">
        <f>IF(AB7446&gt;AB7445,AB7446,"")</f>
        <v/>
      </c>
    </row>
    <row r="7447">
      <c r="W7447" s="7" t="n"/>
      <c r="X7447" s="7" t="n"/>
      <c r="Z7447">
        <f>Z7446+IF(W7447="",0,IF(ISNA(MATCH(W7447,W$256:W7446,0)),1,0))</f>
        <v/>
      </c>
      <c r="AA7447">
        <f>IF(Z7447&gt;Z7446,Z7447,"")</f>
        <v/>
      </c>
      <c r="AB7447">
        <f>AB7446+IF(X7447="",0,IF(ISNA(MATCH(X7447,X$256:X7446,0)),1,0))</f>
        <v/>
      </c>
      <c r="AC7447">
        <f>IF(AB7447&gt;AB7446,AB7447,"")</f>
        <v/>
      </c>
    </row>
    <row r="7448">
      <c r="W7448" s="7" t="n"/>
      <c r="X7448" s="7" t="n"/>
      <c r="Z7448">
        <f>Z7447+IF(W7448="",0,IF(ISNA(MATCH(W7448,W$256:W7447,0)),1,0))</f>
        <v/>
      </c>
      <c r="AA7448">
        <f>IF(Z7448&gt;Z7447,Z7448,"")</f>
        <v/>
      </c>
      <c r="AB7448">
        <f>AB7447+IF(X7448="",0,IF(ISNA(MATCH(X7448,X$256:X7447,0)),1,0))</f>
        <v/>
      </c>
      <c r="AC7448">
        <f>IF(AB7448&gt;AB7447,AB7448,"")</f>
        <v/>
      </c>
    </row>
    <row r="7449">
      <c r="W7449" s="7" t="n"/>
      <c r="X7449" s="7" t="n"/>
      <c r="Z7449">
        <f>Z7448+IF(W7449="",0,IF(ISNA(MATCH(W7449,W$256:W7448,0)),1,0))</f>
        <v/>
      </c>
      <c r="AA7449">
        <f>IF(Z7449&gt;Z7448,Z7449,"")</f>
        <v/>
      </c>
      <c r="AB7449">
        <f>AB7448+IF(X7449="",0,IF(ISNA(MATCH(X7449,X$256:X7448,0)),1,0))</f>
        <v/>
      </c>
      <c r="AC7449">
        <f>IF(AB7449&gt;AB7448,AB7449,"")</f>
        <v/>
      </c>
    </row>
    <row r="7450">
      <c r="W7450" s="7" t="n"/>
      <c r="X7450" s="7" t="n"/>
      <c r="Z7450">
        <f>Z7449+IF(W7450="",0,IF(ISNA(MATCH(W7450,W$256:W7449,0)),1,0))</f>
        <v/>
      </c>
      <c r="AA7450">
        <f>IF(Z7450&gt;Z7449,Z7450,"")</f>
        <v/>
      </c>
      <c r="AB7450">
        <f>AB7449+IF(X7450="",0,IF(ISNA(MATCH(X7450,X$256:X7449,0)),1,0))</f>
        <v/>
      </c>
      <c r="AC7450">
        <f>IF(AB7450&gt;AB7449,AB7450,"")</f>
        <v/>
      </c>
    </row>
    <row r="7451">
      <c r="W7451" s="7" t="n"/>
      <c r="X7451" s="7" t="n"/>
      <c r="Z7451">
        <f>Z7450+IF(W7451="",0,IF(ISNA(MATCH(W7451,W$256:W7450,0)),1,0))</f>
        <v/>
      </c>
      <c r="AA7451">
        <f>IF(Z7451&gt;Z7450,Z7451,"")</f>
        <v/>
      </c>
      <c r="AB7451">
        <f>AB7450+IF(X7451="",0,IF(ISNA(MATCH(X7451,X$256:X7450,0)),1,0))</f>
        <v/>
      </c>
      <c r="AC7451">
        <f>IF(AB7451&gt;AB7450,AB7451,"")</f>
        <v/>
      </c>
    </row>
    <row r="7452">
      <c r="W7452" s="7" t="n"/>
      <c r="X7452" s="7" t="n"/>
      <c r="Z7452">
        <f>Z7451+IF(W7452="",0,IF(ISNA(MATCH(W7452,W$256:W7451,0)),1,0))</f>
        <v/>
      </c>
      <c r="AA7452">
        <f>IF(Z7452&gt;Z7451,Z7452,"")</f>
        <v/>
      </c>
      <c r="AB7452">
        <f>AB7451+IF(X7452="",0,IF(ISNA(MATCH(X7452,X$256:X7451,0)),1,0))</f>
        <v/>
      </c>
      <c r="AC7452">
        <f>IF(AB7452&gt;AB7451,AB7452,"")</f>
        <v/>
      </c>
    </row>
    <row r="7453">
      <c r="W7453" s="7" t="n"/>
      <c r="X7453" s="7" t="n"/>
      <c r="Z7453">
        <f>Z7452+IF(W7453="",0,IF(ISNA(MATCH(W7453,W$256:W7452,0)),1,0))</f>
        <v/>
      </c>
      <c r="AA7453">
        <f>IF(Z7453&gt;Z7452,Z7453,"")</f>
        <v/>
      </c>
      <c r="AB7453">
        <f>AB7452+IF(X7453="",0,IF(ISNA(MATCH(X7453,X$256:X7452,0)),1,0))</f>
        <v/>
      </c>
      <c r="AC7453">
        <f>IF(AB7453&gt;AB7452,AB7453,"")</f>
        <v/>
      </c>
    </row>
    <row r="7454">
      <c r="W7454" s="7" t="n"/>
      <c r="X7454" s="7" t="n"/>
      <c r="Z7454">
        <f>Z7453+IF(W7454="",0,IF(ISNA(MATCH(W7454,W$256:W7453,0)),1,0))</f>
        <v/>
      </c>
      <c r="AA7454">
        <f>IF(Z7454&gt;Z7453,Z7454,"")</f>
        <v/>
      </c>
      <c r="AB7454">
        <f>AB7453+IF(X7454="",0,IF(ISNA(MATCH(X7454,X$256:X7453,0)),1,0))</f>
        <v/>
      </c>
      <c r="AC7454">
        <f>IF(AB7454&gt;AB7453,AB7454,"")</f>
        <v/>
      </c>
    </row>
    <row r="7455">
      <c r="W7455" s="7" t="n"/>
      <c r="X7455" s="7" t="n"/>
      <c r="Z7455">
        <f>Z7454+IF(W7455="",0,IF(ISNA(MATCH(W7455,W$256:W7454,0)),1,0))</f>
        <v/>
      </c>
      <c r="AA7455">
        <f>IF(Z7455&gt;Z7454,Z7455,"")</f>
        <v/>
      </c>
      <c r="AB7455">
        <f>AB7454+IF(X7455="",0,IF(ISNA(MATCH(X7455,X$256:X7454,0)),1,0))</f>
        <v/>
      </c>
      <c r="AC7455">
        <f>IF(AB7455&gt;AB7454,AB7455,"")</f>
        <v/>
      </c>
    </row>
    <row r="7456">
      <c r="W7456" s="7" t="n"/>
      <c r="X7456" s="7" t="n"/>
      <c r="Z7456">
        <f>Z7455+IF(W7456="",0,IF(ISNA(MATCH(W7456,W$256:W7455,0)),1,0))</f>
        <v/>
      </c>
      <c r="AA7456">
        <f>IF(Z7456&gt;Z7455,Z7456,"")</f>
        <v/>
      </c>
      <c r="AB7456">
        <f>AB7455+IF(X7456="",0,IF(ISNA(MATCH(X7456,X$256:X7455,0)),1,0))</f>
        <v/>
      </c>
      <c r="AC7456">
        <f>IF(AB7456&gt;AB7455,AB7456,"")</f>
        <v/>
      </c>
    </row>
    <row r="7457">
      <c r="W7457" s="7" t="n"/>
      <c r="X7457" s="7" t="n"/>
      <c r="Z7457">
        <f>Z7456+IF(W7457="",0,IF(ISNA(MATCH(W7457,W$256:W7456,0)),1,0))</f>
        <v/>
      </c>
      <c r="AA7457">
        <f>IF(Z7457&gt;Z7456,Z7457,"")</f>
        <v/>
      </c>
      <c r="AB7457">
        <f>AB7456+IF(X7457="",0,IF(ISNA(MATCH(X7457,X$256:X7456,0)),1,0))</f>
        <v/>
      </c>
      <c r="AC7457">
        <f>IF(AB7457&gt;AB7456,AB7457,"")</f>
        <v/>
      </c>
    </row>
    <row r="7458">
      <c r="W7458" s="7" t="n"/>
      <c r="X7458" s="7" t="n"/>
      <c r="Z7458">
        <f>Z7457+IF(W7458="",0,IF(ISNA(MATCH(W7458,W$256:W7457,0)),1,0))</f>
        <v/>
      </c>
      <c r="AA7458">
        <f>IF(Z7458&gt;Z7457,Z7458,"")</f>
        <v/>
      </c>
      <c r="AB7458">
        <f>AB7457+IF(X7458="",0,IF(ISNA(MATCH(X7458,X$256:X7457,0)),1,0))</f>
        <v/>
      </c>
      <c r="AC7458">
        <f>IF(AB7458&gt;AB7457,AB7458,"")</f>
        <v/>
      </c>
    </row>
    <row r="7459">
      <c r="W7459" s="7" t="n"/>
      <c r="X7459" s="7" t="n"/>
      <c r="Z7459">
        <f>Z7458+IF(W7459="",0,IF(ISNA(MATCH(W7459,W$256:W7458,0)),1,0))</f>
        <v/>
      </c>
      <c r="AA7459">
        <f>IF(Z7459&gt;Z7458,Z7459,"")</f>
        <v/>
      </c>
      <c r="AB7459">
        <f>AB7458+IF(X7459="",0,IF(ISNA(MATCH(X7459,X$256:X7458,0)),1,0))</f>
        <v/>
      </c>
      <c r="AC7459">
        <f>IF(AB7459&gt;AB7458,AB7459,"")</f>
        <v/>
      </c>
    </row>
    <row r="7460">
      <c r="W7460" s="7" t="n"/>
      <c r="X7460" s="7" t="n"/>
      <c r="Z7460">
        <f>Z7459+IF(W7460="",0,IF(ISNA(MATCH(W7460,W$256:W7459,0)),1,0))</f>
        <v/>
      </c>
      <c r="AA7460">
        <f>IF(Z7460&gt;Z7459,Z7460,"")</f>
        <v/>
      </c>
      <c r="AB7460">
        <f>AB7459+IF(X7460="",0,IF(ISNA(MATCH(X7460,X$256:X7459,0)),1,0))</f>
        <v/>
      </c>
      <c r="AC7460">
        <f>IF(AB7460&gt;AB7459,AB7460,"")</f>
        <v/>
      </c>
    </row>
    <row r="7461">
      <c r="W7461" s="7" t="n"/>
      <c r="X7461" s="7" t="n"/>
      <c r="Z7461">
        <f>Z7460+IF(W7461="",0,IF(ISNA(MATCH(W7461,W$256:W7460,0)),1,0))</f>
        <v/>
      </c>
      <c r="AA7461">
        <f>IF(Z7461&gt;Z7460,Z7461,"")</f>
        <v/>
      </c>
      <c r="AB7461">
        <f>AB7460+IF(X7461="",0,IF(ISNA(MATCH(X7461,X$256:X7460,0)),1,0))</f>
        <v/>
      </c>
      <c r="AC7461">
        <f>IF(AB7461&gt;AB7460,AB7461,"")</f>
        <v/>
      </c>
    </row>
    <row r="7462">
      <c r="W7462" s="7" t="n"/>
      <c r="X7462" s="7" t="n"/>
      <c r="Z7462">
        <f>Z7461+IF(W7462="",0,IF(ISNA(MATCH(W7462,W$256:W7461,0)),1,0))</f>
        <v/>
      </c>
      <c r="AA7462">
        <f>IF(Z7462&gt;Z7461,Z7462,"")</f>
        <v/>
      </c>
      <c r="AB7462">
        <f>AB7461+IF(X7462="",0,IF(ISNA(MATCH(X7462,X$256:X7461,0)),1,0))</f>
        <v/>
      </c>
      <c r="AC7462">
        <f>IF(AB7462&gt;AB7461,AB7462,"")</f>
        <v/>
      </c>
    </row>
    <row r="7463">
      <c r="W7463" s="7" t="n"/>
      <c r="X7463" s="7" t="n"/>
      <c r="Z7463">
        <f>Z7462+IF(W7463="",0,IF(ISNA(MATCH(W7463,W$256:W7462,0)),1,0))</f>
        <v/>
      </c>
      <c r="AA7463">
        <f>IF(Z7463&gt;Z7462,Z7463,"")</f>
        <v/>
      </c>
      <c r="AB7463">
        <f>AB7462+IF(X7463="",0,IF(ISNA(MATCH(X7463,X$256:X7462,0)),1,0))</f>
        <v/>
      </c>
      <c r="AC7463">
        <f>IF(AB7463&gt;AB7462,AB7463,"")</f>
        <v/>
      </c>
    </row>
    <row r="7464">
      <c r="W7464" s="7" t="n"/>
      <c r="X7464" s="7" t="n"/>
      <c r="Z7464">
        <f>Z7463+IF(W7464="",0,IF(ISNA(MATCH(W7464,W$256:W7463,0)),1,0))</f>
        <v/>
      </c>
      <c r="AA7464">
        <f>IF(Z7464&gt;Z7463,Z7464,"")</f>
        <v/>
      </c>
      <c r="AB7464">
        <f>AB7463+IF(X7464="",0,IF(ISNA(MATCH(X7464,X$256:X7463,0)),1,0))</f>
        <v/>
      </c>
      <c r="AC7464">
        <f>IF(AB7464&gt;AB7463,AB7464,"")</f>
        <v/>
      </c>
    </row>
    <row r="7465">
      <c r="W7465" s="7" t="n"/>
      <c r="X7465" s="7" t="n"/>
      <c r="Z7465">
        <f>Z7464+IF(W7465="",0,IF(ISNA(MATCH(W7465,W$256:W7464,0)),1,0))</f>
        <v/>
      </c>
      <c r="AA7465">
        <f>IF(Z7465&gt;Z7464,Z7465,"")</f>
        <v/>
      </c>
      <c r="AB7465">
        <f>AB7464+IF(X7465="",0,IF(ISNA(MATCH(X7465,X$256:X7464,0)),1,0))</f>
        <v/>
      </c>
      <c r="AC7465">
        <f>IF(AB7465&gt;AB7464,AB7465,"")</f>
        <v/>
      </c>
    </row>
    <row r="7466">
      <c r="W7466" s="7" t="n"/>
      <c r="X7466" s="7" t="n"/>
      <c r="Z7466">
        <f>Z7465+IF(W7466="",0,IF(ISNA(MATCH(W7466,W$256:W7465,0)),1,0))</f>
        <v/>
      </c>
      <c r="AA7466">
        <f>IF(Z7466&gt;Z7465,Z7466,"")</f>
        <v/>
      </c>
      <c r="AB7466">
        <f>AB7465+IF(X7466="",0,IF(ISNA(MATCH(X7466,X$256:X7465,0)),1,0))</f>
        <v/>
      </c>
      <c r="AC7466">
        <f>IF(AB7466&gt;AB7465,AB7466,"")</f>
        <v/>
      </c>
    </row>
    <row r="7467">
      <c r="W7467" s="7" t="n"/>
      <c r="X7467" s="7" t="n"/>
      <c r="Z7467">
        <f>Z7466+IF(W7467="",0,IF(ISNA(MATCH(W7467,W$256:W7466,0)),1,0))</f>
        <v/>
      </c>
      <c r="AA7467">
        <f>IF(Z7467&gt;Z7466,Z7467,"")</f>
        <v/>
      </c>
      <c r="AB7467">
        <f>AB7466+IF(X7467="",0,IF(ISNA(MATCH(X7467,X$256:X7466,0)),1,0))</f>
        <v/>
      </c>
      <c r="AC7467">
        <f>IF(AB7467&gt;AB7466,AB7467,"")</f>
        <v/>
      </c>
    </row>
    <row r="7468">
      <c r="W7468" s="7" t="n"/>
      <c r="X7468" s="7" t="n"/>
      <c r="Z7468">
        <f>Z7467+IF(W7468="",0,IF(ISNA(MATCH(W7468,W$256:W7467,0)),1,0))</f>
        <v/>
      </c>
      <c r="AA7468">
        <f>IF(Z7468&gt;Z7467,Z7468,"")</f>
        <v/>
      </c>
      <c r="AB7468">
        <f>AB7467+IF(X7468="",0,IF(ISNA(MATCH(X7468,X$256:X7467,0)),1,0))</f>
        <v/>
      </c>
      <c r="AC7468">
        <f>IF(AB7468&gt;AB7467,AB7468,"")</f>
        <v/>
      </c>
    </row>
    <row r="7469">
      <c r="W7469" s="7" t="n"/>
      <c r="X7469" s="7" t="n"/>
      <c r="Z7469">
        <f>Z7468+IF(W7469="",0,IF(ISNA(MATCH(W7469,W$256:W7468,0)),1,0))</f>
        <v/>
      </c>
      <c r="AA7469">
        <f>IF(Z7469&gt;Z7468,Z7469,"")</f>
        <v/>
      </c>
      <c r="AB7469">
        <f>AB7468+IF(X7469="",0,IF(ISNA(MATCH(X7469,X$256:X7468,0)),1,0))</f>
        <v/>
      </c>
      <c r="AC7469">
        <f>IF(AB7469&gt;AB7468,AB7469,"")</f>
        <v/>
      </c>
    </row>
    <row r="7470">
      <c r="W7470" s="7" t="n"/>
      <c r="X7470" s="7" t="n"/>
      <c r="Z7470">
        <f>Z7469+IF(W7470="",0,IF(ISNA(MATCH(W7470,W$256:W7469,0)),1,0))</f>
        <v/>
      </c>
      <c r="AA7470">
        <f>IF(Z7470&gt;Z7469,Z7470,"")</f>
        <v/>
      </c>
      <c r="AB7470">
        <f>AB7469+IF(X7470="",0,IF(ISNA(MATCH(X7470,X$256:X7469,0)),1,0))</f>
        <v/>
      </c>
      <c r="AC7470">
        <f>IF(AB7470&gt;AB7469,AB7470,"")</f>
        <v/>
      </c>
    </row>
    <row r="7471">
      <c r="W7471" s="7" t="n"/>
      <c r="X7471" s="7" t="n"/>
      <c r="Z7471">
        <f>Z7470+IF(W7471="",0,IF(ISNA(MATCH(W7471,W$256:W7470,0)),1,0))</f>
        <v/>
      </c>
      <c r="AA7471">
        <f>IF(Z7471&gt;Z7470,Z7471,"")</f>
        <v/>
      </c>
      <c r="AB7471">
        <f>AB7470+IF(X7471="",0,IF(ISNA(MATCH(X7471,X$256:X7470,0)),1,0))</f>
        <v/>
      </c>
      <c r="AC7471">
        <f>IF(AB7471&gt;AB7470,AB7471,"")</f>
        <v/>
      </c>
    </row>
    <row r="7472">
      <c r="W7472" s="7" t="n"/>
      <c r="X7472" s="7" t="n"/>
      <c r="Z7472">
        <f>Z7471+IF(W7472="",0,IF(ISNA(MATCH(W7472,W$256:W7471,0)),1,0))</f>
        <v/>
      </c>
      <c r="AA7472">
        <f>IF(Z7472&gt;Z7471,Z7472,"")</f>
        <v/>
      </c>
      <c r="AB7472">
        <f>AB7471+IF(X7472="",0,IF(ISNA(MATCH(X7472,X$256:X7471,0)),1,0))</f>
        <v/>
      </c>
      <c r="AC7472">
        <f>IF(AB7472&gt;AB7471,AB7472,"")</f>
        <v/>
      </c>
    </row>
    <row r="7473">
      <c r="W7473" s="7" t="n"/>
      <c r="X7473" s="7" t="n"/>
      <c r="Z7473">
        <f>Z7472+IF(W7473="",0,IF(ISNA(MATCH(W7473,W$256:W7472,0)),1,0))</f>
        <v/>
      </c>
      <c r="AA7473">
        <f>IF(Z7473&gt;Z7472,Z7473,"")</f>
        <v/>
      </c>
      <c r="AB7473">
        <f>AB7472+IF(X7473="",0,IF(ISNA(MATCH(X7473,X$256:X7472,0)),1,0))</f>
        <v/>
      </c>
      <c r="AC7473">
        <f>IF(AB7473&gt;AB7472,AB7473,"")</f>
        <v/>
      </c>
    </row>
    <row r="7474">
      <c r="W7474" s="7" t="n"/>
      <c r="X7474" s="7" t="n"/>
      <c r="Z7474">
        <f>Z7473+IF(W7474="",0,IF(ISNA(MATCH(W7474,W$256:W7473,0)),1,0))</f>
        <v/>
      </c>
      <c r="AA7474">
        <f>IF(Z7474&gt;Z7473,Z7474,"")</f>
        <v/>
      </c>
      <c r="AB7474">
        <f>AB7473+IF(X7474="",0,IF(ISNA(MATCH(X7474,X$256:X7473,0)),1,0))</f>
        <v/>
      </c>
      <c r="AC7474">
        <f>IF(AB7474&gt;AB7473,AB7474,"")</f>
        <v/>
      </c>
    </row>
    <row r="7475">
      <c r="W7475" s="7" t="n"/>
      <c r="X7475" s="7" t="n"/>
      <c r="Z7475">
        <f>Z7474+IF(W7475="",0,IF(ISNA(MATCH(W7475,W$256:W7474,0)),1,0))</f>
        <v/>
      </c>
      <c r="AA7475">
        <f>IF(Z7475&gt;Z7474,Z7475,"")</f>
        <v/>
      </c>
      <c r="AB7475">
        <f>AB7474+IF(X7475="",0,IF(ISNA(MATCH(X7475,X$256:X7474,0)),1,0))</f>
        <v/>
      </c>
      <c r="AC7475">
        <f>IF(AB7475&gt;AB7474,AB7475,"")</f>
        <v/>
      </c>
    </row>
    <row r="7476">
      <c r="W7476" s="7" t="n"/>
      <c r="X7476" s="7" t="n"/>
      <c r="Z7476">
        <f>Z7475+IF(W7476="",0,IF(ISNA(MATCH(W7476,W$256:W7475,0)),1,0))</f>
        <v/>
      </c>
      <c r="AA7476">
        <f>IF(Z7476&gt;Z7475,Z7476,"")</f>
        <v/>
      </c>
      <c r="AB7476">
        <f>AB7475+IF(X7476="",0,IF(ISNA(MATCH(X7476,X$256:X7475,0)),1,0))</f>
        <v/>
      </c>
      <c r="AC7476">
        <f>IF(AB7476&gt;AB7475,AB7476,"")</f>
        <v/>
      </c>
    </row>
    <row r="7477">
      <c r="W7477" s="7" t="n"/>
      <c r="X7477" s="7" t="n"/>
      <c r="Z7477">
        <f>Z7476+IF(W7477="",0,IF(ISNA(MATCH(W7477,W$256:W7476,0)),1,0))</f>
        <v/>
      </c>
      <c r="AA7477">
        <f>IF(Z7477&gt;Z7476,Z7477,"")</f>
        <v/>
      </c>
      <c r="AB7477">
        <f>AB7476+IF(X7477="",0,IF(ISNA(MATCH(X7477,X$256:X7476,0)),1,0))</f>
        <v/>
      </c>
      <c r="AC7477">
        <f>IF(AB7477&gt;AB7476,AB7477,"")</f>
        <v/>
      </c>
    </row>
    <row r="7478">
      <c r="W7478" s="7" t="n"/>
      <c r="X7478" s="7" t="n"/>
      <c r="Z7478">
        <f>Z7477+IF(W7478="",0,IF(ISNA(MATCH(W7478,W$256:W7477,0)),1,0))</f>
        <v/>
      </c>
      <c r="AA7478">
        <f>IF(Z7478&gt;Z7477,Z7478,"")</f>
        <v/>
      </c>
      <c r="AB7478">
        <f>AB7477+IF(X7478="",0,IF(ISNA(MATCH(X7478,X$256:X7477,0)),1,0))</f>
        <v/>
      </c>
      <c r="AC7478">
        <f>IF(AB7478&gt;AB7477,AB7478,"")</f>
        <v/>
      </c>
    </row>
    <row r="7479">
      <c r="W7479" s="7" t="n"/>
      <c r="X7479" s="7" t="n"/>
      <c r="Z7479">
        <f>Z7478+IF(W7479="",0,IF(ISNA(MATCH(W7479,W$256:W7478,0)),1,0))</f>
        <v/>
      </c>
      <c r="AA7479">
        <f>IF(Z7479&gt;Z7478,Z7479,"")</f>
        <v/>
      </c>
      <c r="AB7479">
        <f>AB7478+IF(X7479="",0,IF(ISNA(MATCH(X7479,X$256:X7478,0)),1,0))</f>
        <v/>
      </c>
      <c r="AC7479">
        <f>IF(AB7479&gt;AB7478,AB7479,"")</f>
        <v/>
      </c>
    </row>
    <row r="7480">
      <c r="W7480" s="7" t="n"/>
      <c r="X7480" s="7" t="n"/>
      <c r="Z7480">
        <f>Z7479+IF(W7480="",0,IF(ISNA(MATCH(W7480,W$256:W7479,0)),1,0))</f>
        <v/>
      </c>
      <c r="AA7480">
        <f>IF(Z7480&gt;Z7479,Z7480,"")</f>
        <v/>
      </c>
      <c r="AB7480">
        <f>AB7479+IF(X7480="",0,IF(ISNA(MATCH(X7480,X$256:X7479,0)),1,0))</f>
        <v/>
      </c>
      <c r="AC7480">
        <f>IF(AB7480&gt;AB7479,AB7480,"")</f>
        <v/>
      </c>
    </row>
    <row r="7481">
      <c r="W7481" s="7" t="n"/>
      <c r="X7481" s="7" t="n"/>
      <c r="Z7481">
        <f>Z7480+IF(W7481="",0,IF(ISNA(MATCH(W7481,W$256:W7480,0)),1,0))</f>
        <v/>
      </c>
      <c r="AA7481">
        <f>IF(Z7481&gt;Z7480,Z7481,"")</f>
        <v/>
      </c>
      <c r="AB7481">
        <f>AB7480+IF(X7481="",0,IF(ISNA(MATCH(X7481,X$256:X7480,0)),1,0))</f>
        <v/>
      </c>
      <c r="AC7481">
        <f>IF(AB7481&gt;AB7480,AB7481,"")</f>
        <v/>
      </c>
    </row>
    <row r="7482">
      <c r="W7482" s="7" t="n"/>
      <c r="X7482" s="7" t="n"/>
      <c r="Z7482">
        <f>Z7481+IF(W7482="",0,IF(ISNA(MATCH(W7482,W$256:W7481,0)),1,0))</f>
        <v/>
      </c>
      <c r="AA7482">
        <f>IF(Z7482&gt;Z7481,Z7482,"")</f>
        <v/>
      </c>
      <c r="AB7482">
        <f>AB7481+IF(X7482="",0,IF(ISNA(MATCH(X7482,X$256:X7481,0)),1,0))</f>
        <v/>
      </c>
      <c r="AC7482">
        <f>IF(AB7482&gt;AB7481,AB7482,"")</f>
        <v/>
      </c>
    </row>
    <row r="7483">
      <c r="W7483" s="7" t="n"/>
      <c r="X7483" s="7" t="n"/>
      <c r="Z7483">
        <f>Z7482+IF(W7483="",0,IF(ISNA(MATCH(W7483,W$256:W7482,0)),1,0))</f>
        <v/>
      </c>
      <c r="AA7483">
        <f>IF(Z7483&gt;Z7482,Z7483,"")</f>
        <v/>
      </c>
      <c r="AB7483">
        <f>AB7482+IF(X7483="",0,IF(ISNA(MATCH(X7483,X$256:X7482,0)),1,0))</f>
        <v/>
      </c>
      <c r="AC7483">
        <f>IF(AB7483&gt;AB7482,AB7483,"")</f>
        <v/>
      </c>
    </row>
    <row r="7484">
      <c r="W7484" s="7" t="n"/>
      <c r="X7484" s="7" t="n"/>
      <c r="Z7484">
        <f>Z7483+IF(W7484="",0,IF(ISNA(MATCH(W7484,W$256:W7483,0)),1,0))</f>
        <v/>
      </c>
      <c r="AA7484">
        <f>IF(Z7484&gt;Z7483,Z7484,"")</f>
        <v/>
      </c>
      <c r="AB7484">
        <f>AB7483+IF(X7484="",0,IF(ISNA(MATCH(X7484,X$256:X7483,0)),1,0))</f>
        <v/>
      </c>
      <c r="AC7484">
        <f>IF(AB7484&gt;AB7483,AB7484,"")</f>
        <v/>
      </c>
    </row>
    <row r="7485">
      <c r="W7485" s="7" t="n"/>
      <c r="X7485" s="7" t="n"/>
      <c r="Z7485">
        <f>Z7484+IF(W7485="",0,IF(ISNA(MATCH(W7485,W$256:W7484,0)),1,0))</f>
        <v/>
      </c>
      <c r="AA7485">
        <f>IF(Z7485&gt;Z7484,Z7485,"")</f>
        <v/>
      </c>
      <c r="AB7485">
        <f>AB7484+IF(X7485="",0,IF(ISNA(MATCH(X7485,X$256:X7484,0)),1,0))</f>
        <v/>
      </c>
      <c r="AC7485">
        <f>IF(AB7485&gt;AB7484,AB7485,"")</f>
        <v/>
      </c>
    </row>
    <row r="7486">
      <c r="W7486" s="7" t="n"/>
      <c r="X7486" s="7" t="n"/>
      <c r="Z7486">
        <f>Z7485+IF(W7486="",0,IF(ISNA(MATCH(W7486,W$256:W7485,0)),1,0))</f>
        <v/>
      </c>
      <c r="AA7486">
        <f>IF(Z7486&gt;Z7485,Z7486,"")</f>
        <v/>
      </c>
      <c r="AB7486">
        <f>AB7485+IF(X7486="",0,IF(ISNA(MATCH(X7486,X$256:X7485,0)),1,0))</f>
        <v/>
      </c>
      <c r="AC7486">
        <f>IF(AB7486&gt;AB7485,AB7486,"")</f>
        <v/>
      </c>
    </row>
    <row r="7487">
      <c r="W7487" s="7" t="n"/>
      <c r="X7487" s="7" t="n"/>
      <c r="Z7487">
        <f>Z7486+IF(W7487="",0,IF(ISNA(MATCH(W7487,W$256:W7486,0)),1,0))</f>
        <v/>
      </c>
      <c r="AA7487">
        <f>IF(Z7487&gt;Z7486,Z7487,"")</f>
        <v/>
      </c>
      <c r="AB7487">
        <f>AB7486+IF(X7487="",0,IF(ISNA(MATCH(X7487,X$256:X7486,0)),1,0))</f>
        <v/>
      </c>
      <c r="AC7487">
        <f>IF(AB7487&gt;AB7486,AB7487,"")</f>
        <v/>
      </c>
    </row>
    <row r="7488">
      <c r="W7488" s="7" t="n"/>
      <c r="X7488" s="7" t="n"/>
      <c r="Z7488">
        <f>Z7487+IF(W7488="",0,IF(ISNA(MATCH(W7488,W$256:W7487,0)),1,0))</f>
        <v/>
      </c>
      <c r="AA7488">
        <f>IF(Z7488&gt;Z7487,Z7488,"")</f>
        <v/>
      </c>
      <c r="AB7488">
        <f>AB7487+IF(X7488="",0,IF(ISNA(MATCH(X7488,X$256:X7487,0)),1,0))</f>
        <v/>
      </c>
      <c r="AC7488">
        <f>IF(AB7488&gt;AB7487,AB7488,"")</f>
        <v/>
      </c>
    </row>
    <row r="7489">
      <c r="W7489" s="7" t="n"/>
      <c r="X7489" s="7" t="n"/>
      <c r="Z7489">
        <f>Z7488+IF(W7489="",0,IF(ISNA(MATCH(W7489,W$256:W7488,0)),1,0))</f>
        <v/>
      </c>
      <c r="AA7489">
        <f>IF(Z7489&gt;Z7488,Z7489,"")</f>
        <v/>
      </c>
      <c r="AB7489">
        <f>AB7488+IF(X7489="",0,IF(ISNA(MATCH(X7489,X$256:X7488,0)),1,0))</f>
        <v/>
      </c>
      <c r="AC7489">
        <f>IF(AB7489&gt;AB7488,AB7489,"")</f>
        <v/>
      </c>
    </row>
    <row r="7490">
      <c r="W7490" s="7" t="n"/>
      <c r="X7490" s="7" t="n"/>
      <c r="Z7490">
        <f>Z7489+IF(W7490="",0,IF(ISNA(MATCH(W7490,W$256:W7489,0)),1,0))</f>
        <v/>
      </c>
      <c r="AA7490">
        <f>IF(Z7490&gt;Z7489,Z7490,"")</f>
        <v/>
      </c>
      <c r="AB7490">
        <f>AB7489+IF(X7490="",0,IF(ISNA(MATCH(X7490,X$256:X7489,0)),1,0))</f>
        <v/>
      </c>
      <c r="AC7490">
        <f>IF(AB7490&gt;AB7489,AB7490,"")</f>
        <v/>
      </c>
    </row>
    <row r="7491">
      <c r="W7491" s="7" t="n"/>
      <c r="X7491" s="7" t="n"/>
      <c r="Z7491">
        <f>Z7490+IF(W7491="",0,IF(ISNA(MATCH(W7491,W$256:W7490,0)),1,0))</f>
        <v/>
      </c>
      <c r="AA7491">
        <f>IF(Z7491&gt;Z7490,Z7491,"")</f>
        <v/>
      </c>
      <c r="AB7491">
        <f>AB7490+IF(X7491="",0,IF(ISNA(MATCH(X7491,X$256:X7490,0)),1,0))</f>
        <v/>
      </c>
      <c r="AC7491">
        <f>IF(AB7491&gt;AB7490,AB7491,"")</f>
        <v/>
      </c>
    </row>
    <row r="7492">
      <c r="W7492" s="7" t="n"/>
      <c r="X7492" s="7" t="n"/>
      <c r="Z7492">
        <f>Z7491+IF(W7492="",0,IF(ISNA(MATCH(W7492,W$256:W7491,0)),1,0))</f>
        <v/>
      </c>
      <c r="AA7492">
        <f>IF(Z7492&gt;Z7491,Z7492,"")</f>
        <v/>
      </c>
      <c r="AB7492">
        <f>AB7491+IF(X7492="",0,IF(ISNA(MATCH(X7492,X$256:X7491,0)),1,0))</f>
        <v/>
      </c>
      <c r="AC7492">
        <f>IF(AB7492&gt;AB7491,AB7492,"")</f>
        <v/>
      </c>
    </row>
    <row r="7493">
      <c r="W7493" s="7" t="n"/>
      <c r="X7493" s="7" t="n"/>
      <c r="Z7493">
        <f>Z7492+IF(W7493="",0,IF(ISNA(MATCH(W7493,W$256:W7492,0)),1,0))</f>
        <v/>
      </c>
      <c r="AA7493">
        <f>IF(Z7493&gt;Z7492,Z7493,"")</f>
        <v/>
      </c>
      <c r="AB7493">
        <f>AB7492+IF(X7493="",0,IF(ISNA(MATCH(X7493,X$256:X7492,0)),1,0))</f>
        <v/>
      </c>
      <c r="AC7493">
        <f>IF(AB7493&gt;AB7492,AB7493,"")</f>
        <v/>
      </c>
    </row>
    <row r="7494">
      <c r="W7494" s="7" t="n"/>
      <c r="X7494" s="7" t="n"/>
      <c r="Z7494">
        <f>Z7493+IF(W7494="",0,IF(ISNA(MATCH(W7494,W$256:W7493,0)),1,0))</f>
        <v/>
      </c>
      <c r="AA7494">
        <f>IF(Z7494&gt;Z7493,Z7494,"")</f>
        <v/>
      </c>
      <c r="AB7494">
        <f>AB7493+IF(X7494="",0,IF(ISNA(MATCH(X7494,X$256:X7493,0)),1,0))</f>
        <v/>
      </c>
      <c r="AC7494">
        <f>IF(AB7494&gt;AB7493,AB7494,"")</f>
        <v/>
      </c>
    </row>
    <row r="7495">
      <c r="W7495" s="7" t="n"/>
      <c r="X7495" s="7" t="n"/>
      <c r="Z7495">
        <f>Z7494+IF(W7495="",0,IF(ISNA(MATCH(W7495,W$256:W7494,0)),1,0))</f>
        <v/>
      </c>
      <c r="AA7495">
        <f>IF(Z7495&gt;Z7494,Z7495,"")</f>
        <v/>
      </c>
      <c r="AB7495">
        <f>AB7494+IF(X7495="",0,IF(ISNA(MATCH(X7495,X$256:X7494,0)),1,0))</f>
        <v/>
      </c>
      <c r="AC7495">
        <f>IF(AB7495&gt;AB7494,AB7495,"")</f>
        <v/>
      </c>
    </row>
    <row r="7496">
      <c r="W7496" s="7" t="n"/>
      <c r="X7496" s="7" t="n"/>
      <c r="Z7496">
        <f>Z7495+IF(W7496="",0,IF(ISNA(MATCH(W7496,W$256:W7495,0)),1,0))</f>
        <v/>
      </c>
      <c r="AA7496">
        <f>IF(Z7496&gt;Z7495,Z7496,"")</f>
        <v/>
      </c>
      <c r="AB7496">
        <f>AB7495+IF(X7496="",0,IF(ISNA(MATCH(X7496,X$256:X7495,0)),1,0))</f>
        <v/>
      </c>
      <c r="AC7496">
        <f>IF(AB7496&gt;AB7495,AB7496,"")</f>
        <v/>
      </c>
    </row>
    <row r="7497">
      <c r="W7497" s="7" t="n"/>
      <c r="X7497" s="7" t="n"/>
      <c r="Z7497">
        <f>Z7496+IF(W7497="",0,IF(ISNA(MATCH(W7497,W$256:W7496,0)),1,0))</f>
        <v/>
      </c>
      <c r="AA7497">
        <f>IF(Z7497&gt;Z7496,Z7497,"")</f>
        <v/>
      </c>
      <c r="AB7497">
        <f>AB7496+IF(X7497="",0,IF(ISNA(MATCH(X7497,X$256:X7496,0)),1,0))</f>
        <v/>
      </c>
      <c r="AC7497">
        <f>IF(AB7497&gt;AB7496,AB7497,"")</f>
        <v/>
      </c>
    </row>
    <row r="7498">
      <c r="W7498" s="7" t="n"/>
      <c r="X7498" s="7" t="n"/>
      <c r="Z7498">
        <f>Z7497+IF(W7498="",0,IF(ISNA(MATCH(W7498,W$256:W7497,0)),1,0))</f>
        <v/>
      </c>
      <c r="AA7498">
        <f>IF(Z7498&gt;Z7497,Z7498,"")</f>
        <v/>
      </c>
      <c r="AB7498">
        <f>AB7497+IF(X7498="",0,IF(ISNA(MATCH(X7498,X$256:X7497,0)),1,0))</f>
        <v/>
      </c>
      <c r="AC7498">
        <f>IF(AB7498&gt;AB7497,AB7498,"")</f>
        <v/>
      </c>
    </row>
    <row r="7499">
      <c r="W7499" s="7" t="n"/>
      <c r="X7499" s="7" t="n"/>
      <c r="Z7499">
        <f>Z7498+IF(W7499="",0,IF(ISNA(MATCH(W7499,W$256:W7498,0)),1,0))</f>
        <v/>
      </c>
      <c r="AA7499">
        <f>IF(Z7499&gt;Z7498,Z7499,"")</f>
        <v/>
      </c>
      <c r="AB7499">
        <f>AB7498+IF(X7499="",0,IF(ISNA(MATCH(X7499,X$256:X7498,0)),1,0))</f>
        <v/>
      </c>
      <c r="AC7499">
        <f>IF(AB7499&gt;AB7498,AB7499,"")</f>
        <v/>
      </c>
    </row>
    <row r="7500">
      <c r="W7500" s="7" t="n"/>
      <c r="X7500" s="7" t="n"/>
      <c r="Z7500">
        <f>Z7499+IF(W7500="",0,IF(ISNA(MATCH(W7500,W$256:W7499,0)),1,0))</f>
        <v/>
      </c>
      <c r="AA7500">
        <f>IF(Z7500&gt;Z7499,Z7500,"")</f>
        <v/>
      </c>
      <c r="AB7500">
        <f>AB7499+IF(X7500="",0,IF(ISNA(MATCH(X7500,X$256:X7499,0)),1,0))</f>
        <v/>
      </c>
      <c r="AC7500">
        <f>IF(AB7500&gt;AB7499,AB7500,"")</f>
        <v/>
      </c>
    </row>
    <row r="7501">
      <c r="W7501" s="7" t="n"/>
      <c r="X7501" s="7" t="n"/>
      <c r="Z7501">
        <f>Z7500+IF(W7501="",0,IF(ISNA(MATCH(W7501,W$256:W7500,0)),1,0))</f>
        <v/>
      </c>
      <c r="AA7501">
        <f>IF(Z7501&gt;Z7500,Z7501,"")</f>
        <v/>
      </c>
      <c r="AB7501">
        <f>AB7500+IF(X7501="",0,IF(ISNA(MATCH(X7501,X$256:X7500,0)),1,0))</f>
        <v/>
      </c>
      <c r="AC7501">
        <f>IF(AB7501&gt;AB7500,AB7501,"")</f>
        <v/>
      </c>
    </row>
    <row r="7502">
      <c r="W7502" s="7" t="n"/>
      <c r="X7502" s="7" t="n"/>
      <c r="Z7502">
        <f>Z7501+IF(W7502="",0,IF(ISNA(MATCH(W7502,W$256:W7501,0)),1,0))</f>
        <v/>
      </c>
      <c r="AA7502">
        <f>IF(Z7502&gt;Z7501,Z7502,"")</f>
        <v/>
      </c>
      <c r="AB7502">
        <f>AB7501+IF(X7502="",0,IF(ISNA(MATCH(X7502,X$256:X7501,0)),1,0))</f>
        <v/>
      </c>
      <c r="AC7502">
        <f>IF(AB7502&gt;AB7501,AB7502,"")</f>
        <v/>
      </c>
    </row>
    <row r="7503">
      <c r="W7503" s="7" t="n"/>
      <c r="X7503" s="7" t="n"/>
      <c r="Z7503">
        <f>Z7502+IF(W7503="",0,IF(ISNA(MATCH(W7503,W$256:W7502,0)),1,0))</f>
        <v/>
      </c>
      <c r="AA7503">
        <f>IF(Z7503&gt;Z7502,Z7503,"")</f>
        <v/>
      </c>
      <c r="AB7503">
        <f>AB7502+IF(X7503="",0,IF(ISNA(MATCH(X7503,X$256:X7502,0)),1,0))</f>
        <v/>
      </c>
      <c r="AC7503">
        <f>IF(AB7503&gt;AB7502,AB7503,"")</f>
        <v/>
      </c>
    </row>
    <row r="7504">
      <c r="W7504" s="7" t="n"/>
      <c r="X7504" s="7" t="n"/>
      <c r="Z7504">
        <f>Z7503+IF(W7504="",0,IF(ISNA(MATCH(W7504,W$256:W7503,0)),1,0))</f>
        <v/>
      </c>
      <c r="AA7504">
        <f>IF(Z7504&gt;Z7503,Z7504,"")</f>
        <v/>
      </c>
      <c r="AB7504">
        <f>AB7503+IF(X7504="",0,IF(ISNA(MATCH(X7504,X$256:X7503,0)),1,0))</f>
        <v/>
      </c>
      <c r="AC7504">
        <f>IF(AB7504&gt;AB7503,AB7504,"")</f>
        <v/>
      </c>
    </row>
    <row r="7505">
      <c r="W7505" s="7" t="n"/>
      <c r="X7505" s="7" t="n"/>
      <c r="Z7505">
        <f>Z7504+IF(W7505="",0,IF(ISNA(MATCH(W7505,W$256:W7504,0)),1,0))</f>
        <v/>
      </c>
      <c r="AA7505">
        <f>IF(Z7505&gt;Z7504,Z7505,"")</f>
        <v/>
      </c>
      <c r="AB7505">
        <f>AB7504+IF(X7505="",0,IF(ISNA(MATCH(X7505,X$256:X7504,0)),1,0))</f>
        <v/>
      </c>
      <c r="AC7505">
        <f>IF(AB7505&gt;AB7504,AB7505,"")</f>
        <v/>
      </c>
    </row>
    <row r="7506">
      <c r="W7506" s="7" t="n"/>
      <c r="X7506" s="7" t="n"/>
      <c r="Z7506">
        <f>Z7505+IF(W7506="",0,IF(ISNA(MATCH(W7506,W$256:W7505,0)),1,0))</f>
        <v/>
      </c>
      <c r="AA7506">
        <f>IF(Z7506&gt;Z7505,Z7506,"")</f>
        <v/>
      </c>
      <c r="AB7506">
        <f>AB7505+IF(X7506="",0,IF(ISNA(MATCH(X7506,X$256:X7505,0)),1,0))</f>
        <v/>
      </c>
      <c r="AC7506">
        <f>IF(AB7506&gt;AB7505,AB7506,"")</f>
        <v/>
      </c>
    </row>
    <row r="7507">
      <c r="W7507" s="7" t="n"/>
      <c r="X7507" s="7" t="n"/>
      <c r="Z7507">
        <f>Z7506+IF(W7507="",0,IF(ISNA(MATCH(W7507,W$256:W7506,0)),1,0))</f>
        <v/>
      </c>
      <c r="AA7507">
        <f>IF(Z7507&gt;Z7506,Z7507,"")</f>
        <v/>
      </c>
      <c r="AB7507">
        <f>AB7506+IF(X7507="",0,IF(ISNA(MATCH(X7507,X$256:X7506,0)),1,0))</f>
        <v/>
      </c>
      <c r="AC7507">
        <f>IF(AB7507&gt;AB7506,AB7507,"")</f>
        <v/>
      </c>
    </row>
    <row r="7508">
      <c r="W7508" s="7" t="n"/>
      <c r="X7508" s="7" t="n"/>
      <c r="Z7508">
        <f>Z7507+IF(W7508="",0,IF(ISNA(MATCH(W7508,W$256:W7507,0)),1,0))</f>
        <v/>
      </c>
      <c r="AA7508">
        <f>IF(Z7508&gt;Z7507,Z7508,"")</f>
        <v/>
      </c>
      <c r="AB7508">
        <f>AB7507+IF(X7508="",0,IF(ISNA(MATCH(X7508,X$256:X7507,0)),1,0))</f>
        <v/>
      </c>
      <c r="AC7508">
        <f>IF(AB7508&gt;AB7507,AB7508,"")</f>
        <v/>
      </c>
    </row>
    <row r="7509">
      <c r="W7509" s="7" t="n"/>
      <c r="X7509" s="7" t="n"/>
      <c r="Z7509">
        <f>Z7508+IF(W7509="",0,IF(ISNA(MATCH(W7509,W$256:W7508,0)),1,0))</f>
        <v/>
      </c>
      <c r="AA7509">
        <f>IF(Z7509&gt;Z7508,Z7509,"")</f>
        <v/>
      </c>
      <c r="AB7509">
        <f>AB7508+IF(X7509="",0,IF(ISNA(MATCH(X7509,X$256:X7508,0)),1,0))</f>
        <v/>
      </c>
      <c r="AC7509">
        <f>IF(AB7509&gt;AB7508,AB7509,"")</f>
        <v/>
      </c>
    </row>
    <row r="7510">
      <c r="W7510" s="7" t="n"/>
      <c r="X7510" s="7" t="n"/>
      <c r="Z7510">
        <f>Z7509+IF(W7510="",0,IF(ISNA(MATCH(W7510,W$256:W7509,0)),1,0))</f>
        <v/>
      </c>
      <c r="AA7510">
        <f>IF(Z7510&gt;Z7509,Z7510,"")</f>
        <v/>
      </c>
      <c r="AB7510">
        <f>AB7509+IF(X7510="",0,IF(ISNA(MATCH(X7510,X$256:X7509,0)),1,0))</f>
        <v/>
      </c>
      <c r="AC7510">
        <f>IF(AB7510&gt;AB7509,AB7510,"")</f>
        <v/>
      </c>
    </row>
    <row r="7511">
      <c r="W7511" s="7" t="n"/>
      <c r="X7511" s="7" t="n"/>
      <c r="Z7511">
        <f>Z7510+IF(W7511="",0,IF(ISNA(MATCH(W7511,W$256:W7510,0)),1,0))</f>
        <v/>
      </c>
      <c r="AA7511">
        <f>IF(Z7511&gt;Z7510,Z7511,"")</f>
        <v/>
      </c>
      <c r="AB7511">
        <f>AB7510+IF(X7511="",0,IF(ISNA(MATCH(X7511,X$256:X7510,0)),1,0))</f>
        <v/>
      </c>
      <c r="AC7511">
        <f>IF(AB7511&gt;AB7510,AB7511,"")</f>
        <v/>
      </c>
    </row>
    <row r="7512">
      <c r="W7512" s="7" t="n"/>
      <c r="X7512" s="7" t="n"/>
      <c r="Z7512">
        <f>Z7511+IF(W7512="",0,IF(ISNA(MATCH(W7512,W$256:W7511,0)),1,0))</f>
        <v/>
      </c>
      <c r="AA7512">
        <f>IF(Z7512&gt;Z7511,Z7512,"")</f>
        <v/>
      </c>
      <c r="AB7512">
        <f>AB7511+IF(X7512="",0,IF(ISNA(MATCH(X7512,X$256:X7511,0)),1,0))</f>
        <v/>
      </c>
      <c r="AC7512">
        <f>IF(AB7512&gt;AB7511,AB7512,"")</f>
        <v/>
      </c>
    </row>
    <row r="7513">
      <c r="W7513" s="7" t="n"/>
      <c r="X7513" s="7" t="n"/>
      <c r="Z7513">
        <f>Z7512+IF(W7513="",0,IF(ISNA(MATCH(W7513,W$256:W7512,0)),1,0))</f>
        <v/>
      </c>
      <c r="AA7513">
        <f>IF(Z7513&gt;Z7512,Z7513,"")</f>
        <v/>
      </c>
      <c r="AB7513">
        <f>AB7512+IF(X7513="",0,IF(ISNA(MATCH(X7513,X$256:X7512,0)),1,0))</f>
        <v/>
      </c>
      <c r="AC7513">
        <f>IF(AB7513&gt;AB7512,AB7513,"")</f>
        <v/>
      </c>
    </row>
    <row r="7514">
      <c r="W7514" s="7" t="n"/>
      <c r="X7514" s="7" t="n"/>
      <c r="Z7514">
        <f>Z7513+IF(W7514="",0,IF(ISNA(MATCH(W7514,W$256:W7513,0)),1,0))</f>
        <v/>
      </c>
      <c r="AA7514">
        <f>IF(Z7514&gt;Z7513,Z7514,"")</f>
        <v/>
      </c>
      <c r="AB7514">
        <f>AB7513+IF(X7514="",0,IF(ISNA(MATCH(X7514,X$256:X7513,0)),1,0))</f>
        <v/>
      </c>
      <c r="AC7514">
        <f>IF(AB7514&gt;AB7513,AB7514,"")</f>
        <v/>
      </c>
    </row>
    <row r="7515">
      <c r="W7515" s="7" t="n"/>
      <c r="X7515" s="7" t="n"/>
      <c r="Z7515">
        <f>Z7514+IF(W7515="",0,IF(ISNA(MATCH(W7515,W$256:W7514,0)),1,0))</f>
        <v/>
      </c>
      <c r="AA7515">
        <f>IF(Z7515&gt;Z7514,Z7515,"")</f>
        <v/>
      </c>
      <c r="AB7515">
        <f>AB7514+IF(X7515="",0,IF(ISNA(MATCH(X7515,X$256:X7514,0)),1,0))</f>
        <v/>
      </c>
      <c r="AC7515">
        <f>IF(AB7515&gt;AB7514,AB7515,"")</f>
        <v/>
      </c>
    </row>
    <row r="7516">
      <c r="W7516" s="7" t="n"/>
      <c r="X7516" s="7" t="n"/>
      <c r="Z7516">
        <f>Z7515+IF(W7516="",0,IF(ISNA(MATCH(W7516,W$256:W7515,0)),1,0))</f>
        <v/>
      </c>
      <c r="AA7516">
        <f>IF(Z7516&gt;Z7515,Z7516,"")</f>
        <v/>
      </c>
      <c r="AB7516">
        <f>AB7515+IF(X7516="",0,IF(ISNA(MATCH(X7516,X$256:X7515,0)),1,0))</f>
        <v/>
      </c>
      <c r="AC7516">
        <f>IF(AB7516&gt;AB7515,AB7516,"")</f>
        <v/>
      </c>
    </row>
    <row r="7517">
      <c r="W7517" s="7" t="n"/>
      <c r="X7517" s="7" t="n"/>
      <c r="Z7517">
        <f>Z7516+IF(W7517="",0,IF(ISNA(MATCH(W7517,W$256:W7516,0)),1,0))</f>
        <v/>
      </c>
      <c r="AA7517">
        <f>IF(Z7517&gt;Z7516,Z7517,"")</f>
        <v/>
      </c>
      <c r="AB7517">
        <f>AB7516+IF(X7517="",0,IF(ISNA(MATCH(X7517,X$256:X7516,0)),1,0))</f>
        <v/>
      </c>
      <c r="AC7517">
        <f>IF(AB7517&gt;AB7516,AB7517,"")</f>
        <v/>
      </c>
    </row>
    <row r="7518">
      <c r="W7518" s="7" t="n"/>
      <c r="X7518" s="7" t="n"/>
      <c r="Z7518">
        <f>Z7517+IF(W7518="",0,IF(ISNA(MATCH(W7518,W$256:W7517,0)),1,0))</f>
        <v/>
      </c>
      <c r="AA7518">
        <f>IF(Z7518&gt;Z7517,Z7518,"")</f>
        <v/>
      </c>
      <c r="AB7518">
        <f>AB7517+IF(X7518="",0,IF(ISNA(MATCH(X7518,X$256:X7517,0)),1,0))</f>
        <v/>
      </c>
      <c r="AC7518">
        <f>IF(AB7518&gt;AB7517,AB7518,"")</f>
        <v/>
      </c>
    </row>
    <row r="7519">
      <c r="W7519" s="7" t="n"/>
      <c r="X7519" s="7" t="n"/>
      <c r="Z7519">
        <f>Z7518+IF(W7519="",0,IF(ISNA(MATCH(W7519,W$256:W7518,0)),1,0))</f>
        <v/>
      </c>
      <c r="AA7519">
        <f>IF(Z7519&gt;Z7518,Z7519,"")</f>
        <v/>
      </c>
      <c r="AB7519">
        <f>AB7518+IF(X7519="",0,IF(ISNA(MATCH(X7519,X$256:X7518,0)),1,0))</f>
        <v/>
      </c>
      <c r="AC7519">
        <f>IF(AB7519&gt;AB7518,AB7519,"")</f>
        <v/>
      </c>
    </row>
    <row r="7520">
      <c r="W7520" s="7" t="n"/>
      <c r="X7520" s="7" t="n"/>
      <c r="Z7520">
        <f>Z7519+IF(W7520="",0,IF(ISNA(MATCH(W7520,W$256:W7519,0)),1,0))</f>
        <v/>
      </c>
      <c r="AA7520">
        <f>IF(Z7520&gt;Z7519,Z7520,"")</f>
        <v/>
      </c>
      <c r="AB7520">
        <f>AB7519+IF(X7520="",0,IF(ISNA(MATCH(X7520,X$256:X7519,0)),1,0))</f>
        <v/>
      </c>
      <c r="AC7520">
        <f>IF(AB7520&gt;AB7519,AB7520,"")</f>
        <v/>
      </c>
    </row>
    <row r="7521">
      <c r="W7521" s="7" t="n"/>
      <c r="X7521" s="7" t="n"/>
      <c r="Z7521">
        <f>Z7520+IF(W7521="",0,IF(ISNA(MATCH(W7521,W$256:W7520,0)),1,0))</f>
        <v/>
      </c>
      <c r="AA7521">
        <f>IF(Z7521&gt;Z7520,Z7521,"")</f>
        <v/>
      </c>
      <c r="AB7521">
        <f>AB7520+IF(X7521="",0,IF(ISNA(MATCH(X7521,X$256:X7520,0)),1,0))</f>
        <v/>
      </c>
      <c r="AC7521">
        <f>IF(AB7521&gt;AB7520,AB7521,"")</f>
        <v/>
      </c>
    </row>
    <row r="7522">
      <c r="W7522" s="7" t="n"/>
      <c r="X7522" s="7" t="n"/>
      <c r="Z7522">
        <f>Z7521+IF(W7522="",0,IF(ISNA(MATCH(W7522,W$256:W7521,0)),1,0))</f>
        <v/>
      </c>
      <c r="AA7522">
        <f>IF(Z7522&gt;Z7521,Z7522,"")</f>
        <v/>
      </c>
      <c r="AB7522">
        <f>AB7521+IF(X7522="",0,IF(ISNA(MATCH(X7522,X$256:X7521,0)),1,0))</f>
        <v/>
      </c>
      <c r="AC7522">
        <f>IF(AB7522&gt;AB7521,AB7522,"")</f>
        <v/>
      </c>
    </row>
    <row r="7523">
      <c r="W7523" s="7" t="n"/>
      <c r="X7523" s="7" t="n"/>
      <c r="Z7523">
        <f>Z7522+IF(W7523="",0,IF(ISNA(MATCH(W7523,W$256:W7522,0)),1,0))</f>
        <v/>
      </c>
      <c r="AA7523">
        <f>IF(Z7523&gt;Z7522,Z7523,"")</f>
        <v/>
      </c>
      <c r="AB7523">
        <f>AB7522+IF(X7523="",0,IF(ISNA(MATCH(X7523,X$256:X7522,0)),1,0))</f>
        <v/>
      </c>
      <c r="AC7523">
        <f>IF(AB7523&gt;AB7522,AB7523,"")</f>
        <v/>
      </c>
    </row>
    <row r="7524">
      <c r="W7524" s="7" t="n"/>
      <c r="X7524" s="7" t="n"/>
      <c r="Z7524">
        <f>Z7523+IF(W7524="",0,IF(ISNA(MATCH(W7524,W$256:W7523,0)),1,0))</f>
        <v/>
      </c>
      <c r="AA7524">
        <f>IF(Z7524&gt;Z7523,Z7524,"")</f>
        <v/>
      </c>
      <c r="AB7524">
        <f>AB7523+IF(X7524="",0,IF(ISNA(MATCH(X7524,X$256:X7523,0)),1,0))</f>
        <v/>
      </c>
      <c r="AC7524">
        <f>IF(AB7524&gt;AB7523,AB7524,"")</f>
        <v/>
      </c>
    </row>
    <row r="7525">
      <c r="W7525" s="7" t="n"/>
      <c r="X7525" s="7" t="n"/>
      <c r="Z7525">
        <f>Z7524+IF(W7525="",0,IF(ISNA(MATCH(W7525,W$256:W7524,0)),1,0))</f>
        <v/>
      </c>
      <c r="AA7525">
        <f>IF(Z7525&gt;Z7524,Z7525,"")</f>
        <v/>
      </c>
      <c r="AB7525">
        <f>AB7524+IF(X7525="",0,IF(ISNA(MATCH(X7525,X$256:X7524,0)),1,0))</f>
        <v/>
      </c>
      <c r="AC7525">
        <f>IF(AB7525&gt;AB7524,AB7525,"")</f>
        <v/>
      </c>
    </row>
    <row r="7526">
      <c r="W7526" s="7" t="n"/>
      <c r="X7526" s="7" t="n"/>
      <c r="Z7526">
        <f>Z7525+IF(W7526="",0,IF(ISNA(MATCH(W7526,W$256:W7525,0)),1,0))</f>
        <v/>
      </c>
      <c r="AA7526">
        <f>IF(Z7526&gt;Z7525,Z7526,"")</f>
        <v/>
      </c>
      <c r="AB7526">
        <f>AB7525+IF(X7526="",0,IF(ISNA(MATCH(X7526,X$256:X7525,0)),1,0))</f>
        <v/>
      </c>
      <c r="AC7526">
        <f>IF(AB7526&gt;AB7525,AB7526,"")</f>
        <v/>
      </c>
    </row>
    <row r="7527">
      <c r="W7527" s="7" t="n"/>
      <c r="X7527" s="7" t="n"/>
      <c r="Z7527">
        <f>Z7526+IF(W7527="",0,IF(ISNA(MATCH(W7527,W$256:W7526,0)),1,0))</f>
        <v/>
      </c>
      <c r="AA7527">
        <f>IF(Z7527&gt;Z7526,Z7527,"")</f>
        <v/>
      </c>
      <c r="AB7527">
        <f>AB7526+IF(X7527="",0,IF(ISNA(MATCH(X7527,X$256:X7526,0)),1,0))</f>
        <v/>
      </c>
      <c r="AC7527">
        <f>IF(AB7527&gt;AB7526,AB7527,"")</f>
        <v/>
      </c>
    </row>
    <row r="7528">
      <c r="W7528" s="7" t="n"/>
      <c r="X7528" s="7" t="n"/>
      <c r="Z7528">
        <f>Z7527+IF(W7528="",0,IF(ISNA(MATCH(W7528,W$256:W7527,0)),1,0))</f>
        <v/>
      </c>
      <c r="AA7528">
        <f>IF(Z7528&gt;Z7527,Z7528,"")</f>
        <v/>
      </c>
      <c r="AB7528">
        <f>AB7527+IF(X7528="",0,IF(ISNA(MATCH(X7528,X$256:X7527,0)),1,0))</f>
        <v/>
      </c>
      <c r="AC7528">
        <f>IF(AB7528&gt;AB7527,AB7528,"")</f>
        <v/>
      </c>
    </row>
    <row r="7529">
      <c r="W7529" s="7" t="n"/>
      <c r="X7529" s="7" t="n"/>
      <c r="Z7529">
        <f>Z7528+IF(W7529="",0,IF(ISNA(MATCH(W7529,W$256:W7528,0)),1,0))</f>
        <v/>
      </c>
      <c r="AA7529">
        <f>IF(Z7529&gt;Z7528,Z7529,"")</f>
        <v/>
      </c>
      <c r="AB7529">
        <f>AB7528+IF(X7529="",0,IF(ISNA(MATCH(X7529,X$256:X7528,0)),1,0))</f>
        <v/>
      </c>
      <c r="AC7529">
        <f>IF(AB7529&gt;AB7528,AB7529,"")</f>
        <v/>
      </c>
    </row>
    <row r="7530">
      <c r="W7530" s="7" t="n"/>
      <c r="X7530" s="7" t="n"/>
      <c r="Z7530">
        <f>Z7529+IF(W7530="",0,IF(ISNA(MATCH(W7530,W$256:W7529,0)),1,0))</f>
        <v/>
      </c>
      <c r="AA7530">
        <f>IF(Z7530&gt;Z7529,Z7530,"")</f>
        <v/>
      </c>
      <c r="AB7530">
        <f>AB7529+IF(X7530="",0,IF(ISNA(MATCH(X7530,X$256:X7529,0)),1,0))</f>
        <v/>
      </c>
      <c r="AC7530">
        <f>IF(AB7530&gt;AB7529,AB7530,"")</f>
        <v/>
      </c>
    </row>
    <row r="7531">
      <c r="W7531" s="7" t="n"/>
      <c r="X7531" s="7" t="n"/>
      <c r="Z7531">
        <f>Z7530+IF(W7531="",0,IF(ISNA(MATCH(W7531,W$256:W7530,0)),1,0))</f>
        <v/>
      </c>
      <c r="AA7531">
        <f>IF(Z7531&gt;Z7530,Z7531,"")</f>
        <v/>
      </c>
      <c r="AB7531">
        <f>AB7530+IF(X7531="",0,IF(ISNA(MATCH(X7531,X$256:X7530,0)),1,0))</f>
        <v/>
      </c>
      <c r="AC7531">
        <f>IF(AB7531&gt;AB7530,AB7531,"")</f>
        <v/>
      </c>
    </row>
    <row r="7532">
      <c r="W7532" s="7" t="n"/>
      <c r="X7532" s="7" t="n"/>
      <c r="Z7532">
        <f>Z7531+IF(W7532="",0,IF(ISNA(MATCH(W7532,W$256:W7531,0)),1,0))</f>
        <v/>
      </c>
      <c r="AA7532">
        <f>IF(Z7532&gt;Z7531,Z7532,"")</f>
        <v/>
      </c>
      <c r="AB7532">
        <f>AB7531+IF(X7532="",0,IF(ISNA(MATCH(X7532,X$256:X7531,0)),1,0))</f>
        <v/>
      </c>
      <c r="AC7532">
        <f>IF(AB7532&gt;AB7531,AB7532,"")</f>
        <v/>
      </c>
    </row>
    <row r="7533">
      <c r="W7533" s="7" t="n"/>
      <c r="X7533" s="7" t="n"/>
      <c r="Z7533">
        <f>Z7532+IF(W7533="",0,IF(ISNA(MATCH(W7533,W$256:W7532,0)),1,0))</f>
        <v/>
      </c>
      <c r="AA7533">
        <f>IF(Z7533&gt;Z7532,Z7533,"")</f>
        <v/>
      </c>
      <c r="AB7533">
        <f>AB7532+IF(X7533="",0,IF(ISNA(MATCH(X7533,X$256:X7532,0)),1,0))</f>
        <v/>
      </c>
      <c r="AC7533">
        <f>IF(AB7533&gt;AB7532,AB7533,"")</f>
        <v/>
      </c>
    </row>
    <row r="7534">
      <c r="W7534" s="7" t="n"/>
      <c r="X7534" s="7" t="n"/>
      <c r="Z7534">
        <f>Z7533+IF(W7534="",0,IF(ISNA(MATCH(W7534,W$256:W7533,0)),1,0))</f>
        <v/>
      </c>
      <c r="AA7534">
        <f>IF(Z7534&gt;Z7533,Z7534,"")</f>
        <v/>
      </c>
      <c r="AB7534">
        <f>AB7533+IF(X7534="",0,IF(ISNA(MATCH(X7534,X$256:X7533,0)),1,0))</f>
        <v/>
      </c>
      <c r="AC7534">
        <f>IF(AB7534&gt;AB7533,AB7534,"")</f>
        <v/>
      </c>
    </row>
    <row r="7535">
      <c r="W7535" s="7" t="n"/>
      <c r="X7535" s="7" t="n"/>
      <c r="Z7535">
        <f>Z7534+IF(W7535="",0,IF(ISNA(MATCH(W7535,W$256:W7534,0)),1,0))</f>
        <v/>
      </c>
      <c r="AA7535">
        <f>IF(Z7535&gt;Z7534,Z7535,"")</f>
        <v/>
      </c>
      <c r="AB7535">
        <f>AB7534+IF(X7535="",0,IF(ISNA(MATCH(X7535,X$256:X7534,0)),1,0))</f>
        <v/>
      </c>
      <c r="AC7535">
        <f>IF(AB7535&gt;AB7534,AB7535,"")</f>
        <v/>
      </c>
    </row>
    <row r="7536">
      <c r="W7536" s="7" t="n"/>
      <c r="X7536" s="7" t="n"/>
      <c r="Z7536">
        <f>Z7535+IF(W7536="",0,IF(ISNA(MATCH(W7536,W$256:W7535,0)),1,0))</f>
        <v/>
      </c>
      <c r="AA7536">
        <f>IF(Z7536&gt;Z7535,Z7536,"")</f>
        <v/>
      </c>
      <c r="AB7536">
        <f>AB7535+IF(X7536="",0,IF(ISNA(MATCH(X7536,X$256:X7535,0)),1,0))</f>
        <v/>
      </c>
      <c r="AC7536">
        <f>IF(AB7536&gt;AB7535,AB7536,"")</f>
        <v/>
      </c>
    </row>
    <row r="7537">
      <c r="W7537" s="7" t="n"/>
      <c r="X7537" s="7" t="n"/>
      <c r="Z7537">
        <f>Z7536+IF(W7537="",0,IF(ISNA(MATCH(W7537,W$256:W7536,0)),1,0))</f>
        <v/>
      </c>
      <c r="AA7537">
        <f>IF(Z7537&gt;Z7536,Z7537,"")</f>
        <v/>
      </c>
      <c r="AB7537">
        <f>AB7536+IF(X7537="",0,IF(ISNA(MATCH(X7537,X$256:X7536,0)),1,0))</f>
        <v/>
      </c>
      <c r="AC7537">
        <f>IF(AB7537&gt;AB7536,AB7537,"")</f>
        <v/>
      </c>
    </row>
    <row r="7538">
      <c r="W7538" s="7" t="n"/>
      <c r="X7538" s="7" t="n"/>
      <c r="Z7538">
        <f>Z7537+IF(W7538="",0,IF(ISNA(MATCH(W7538,W$256:W7537,0)),1,0))</f>
        <v/>
      </c>
      <c r="AA7538">
        <f>IF(Z7538&gt;Z7537,Z7538,"")</f>
        <v/>
      </c>
      <c r="AB7538">
        <f>AB7537+IF(X7538="",0,IF(ISNA(MATCH(X7538,X$256:X7537,0)),1,0))</f>
        <v/>
      </c>
      <c r="AC7538">
        <f>IF(AB7538&gt;AB7537,AB7538,"")</f>
        <v/>
      </c>
    </row>
    <row r="7539">
      <c r="W7539" s="7" t="n"/>
      <c r="X7539" s="7" t="n"/>
      <c r="Z7539">
        <f>Z7538+IF(W7539="",0,IF(ISNA(MATCH(W7539,W$256:W7538,0)),1,0))</f>
        <v/>
      </c>
      <c r="AA7539">
        <f>IF(Z7539&gt;Z7538,Z7539,"")</f>
        <v/>
      </c>
      <c r="AB7539">
        <f>AB7538+IF(X7539="",0,IF(ISNA(MATCH(X7539,X$256:X7538,0)),1,0))</f>
        <v/>
      </c>
      <c r="AC7539">
        <f>IF(AB7539&gt;AB7538,AB7539,"")</f>
        <v/>
      </c>
    </row>
    <row r="7540">
      <c r="W7540" s="7" t="n"/>
      <c r="X7540" s="7" t="n"/>
      <c r="Z7540">
        <f>Z7539+IF(W7540="",0,IF(ISNA(MATCH(W7540,W$256:W7539,0)),1,0))</f>
        <v/>
      </c>
      <c r="AA7540">
        <f>IF(Z7540&gt;Z7539,Z7540,"")</f>
        <v/>
      </c>
      <c r="AB7540">
        <f>AB7539+IF(X7540="",0,IF(ISNA(MATCH(X7540,X$256:X7539,0)),1,0))</f>
        <v/>
      </c>
      <c r="AC7540">
        <f>IF(AB7540&gt;AB7539,AB7540,"")</f>
        <v/>
      </c>
    </row>
    <row r="7541">
      <c r="W7541" s="7" t="n"/>
      <c r="X7541" s="7" t="n"/>
      <c r="Z7541">
        <f>Z7540+IF(W7541="",0,IF(ISNA(MATCH(W7541,W$256:W7540,0)),1,0))</f>
        <v/>
      </c>
      <c r="AA7541">
        <f>IF(Z7541&gt;Z7540,Z7541,"")</f>
        <v/>
      </c>
      <c r="AB7541">
        <f>AB7540+IF(X7541="",0,IF(ISNA(MATCH(X7541,X$256:X7540,0)),1,0))</f>
        <v/>
      </c>
      <c r="AC7541">
        <f>IF(AB7541&gt;AB7540,AB7541,"")</f>
        <v/>
      </c>
    </row>
    <row r="7542">
      <c r="W7542" s="7" t="n"/>
      <c r="X7542" s="7" t="n"/>
      <c r="Z7542">
        <f>Z7541+IF(W7542="",0,IF(ISNA(MATCH(W7542,W$256:W7541,0)),1,0))</f>
        <v/>
      </c>
      <c r="AA7542">
        <f>IF(Z7542&gt;Z7541,Z7542,"")</f>
        <v/>
      </c>
      <c r="AB7542">
        <f>AB7541+IF(X7542="",0,IF(ISNA(MATCH(X7542,X$256:X7541,0)),1,0))</f>
        <v/>
      </c>
      <c r="AC7542">
        <f>IF(AB7542&gt;AB7541,AB7542,"")</f>
        <v/>
      </c>
    </row>
    <row r="7543">
      <c r="W7543" s="7" t="n"/>
      <c r="X7543" s="7" t="n"/>
      <c r="Z7543">
        <f>Z7542+IF(W7543="",0,IF(ISNA(MATCH(W7543,W$256:W7542,0)),1,0))</f>
        <v/>
      </c>
      <c r="AA7543">
        <f>IF(Z7543&gt;Z7542,Z7543,"")</f>
        <v/>
      </c>
      <c r="AB7543">
        <f>AB7542+IF(X7543="",0,IF(ISNA(MATCH(X7543,X$256:X7542,0)),1,0))</f>
        <v/>
      </c>
      <c r="AC7543">
        <f>IF(AB7543&gt;AB7542,AB7543,"")</f>
        <v/>
      </c>
    </row>
    <row r="7544">
      <c r="W7544" s="7" t="n"/>
      <c r="X7544" s="7" t="n"/>
      <c r="Z7544">
        <f>Z7543+IF(W7544="",0,IF(ISNA(MATCH(W7544,W$256:W7543,0)),1,0))</f>
        <v/>
      </c>
      <c r="AA7544">
        <f>IF(Z7544&gt;Z7543,Z7544,"")</f>
        <v/>
      </c>
      <c r="AB7544">
        <f>AB7543+IF(X7544="",0,IF(ISNA(MATCH(X7544,X$256:X7543,0)),1,0))</f>
        <v/>
      </c>
      <c r="AC7544">
        <f>IF(AB7544&gt;AB7543,AB7544,"")</f>
        <v/>
      </c>
    </row>
    <row r="7545">
      <c r="W7545" s="7" t="n"/>
      <c r="X7545" s="7" t="n"/>
      <c r="Z7545">
        <f>Z7544+IF(W7545="",0,IF(ISNA(MATCH(W7545,W$256:W7544,0)),1,0))</f>
        <v/>
      </c>
      <c r="AA7545">
        <f>IF(Z7545&gt;Z7544,Z7545,"")</f>
        <v/>
      </c>
      <c r="AB7545">
        <f>AB7544+IF(X7545="",0,IF(ISNA(MATCH(X7545,X$256:X7544,0)),1,0))</f>
        <v/>
      </c>
      <c r="AC7545">
        <f>IF(AB7545&gt;AB7544,AB7545,"")</f>
        <v/>
      </c>
    </row>
    <row r="7546">
      <c r="W7546" s="7" t="n"/>
      <c r="X7546" s="7" t="n"/>
      <c r="Z7546">
        <f>Z7545+IF(W7546="",0,IF(ISNA(MATCH(W7546,W$256:W7545,0)),1,0))</f>
        <v/>
      </c>
      <c r="AA7546">
        <f>IF(Z7546&gt;Z7545,Z7546,"")</f>
        <v/>
      </c>
      <c r="AB7546">
        <f>AB7545+IF(X7546="",0,IF(ISNA(MATCH(X7546,X$256:X7545,0)),1,0))</f>
        <v/>
      </c>
      <c r="AC7546">
        <f>IF(AB7546&gt;AB7545,AB7546,"")</f>
        <v/>
      </c>
    </row>
    <row r="7547">
      <c r="W7547" s="7" t="n"/>
      <c r="X7547" s="7" t="n"/>
      <c r="Z7547">
        <f>Z7546+IF(W7547="",0,IF(ISNA(MATCH(W7547,W$256:W7546,0)),1,0))</f>
        <v/>
      </c>
      <c r="AA7547">
        <f>IF(Z7547&gt;Z7546,Z7547,"")</f>
        <v/>
      </c>
      <c r="AB7547">
        <f>AB7546+IF(X7547="",0,IF(ISNA(MATCH(X7547,X$256:X7546,0)),1,0))</f>
        <v/>
      </c>
      <c r="AC7547">
        <f>IF(AB7547&gt;AB7546,AB7547,"")</f>
        <v/>
      </c>
    </row>
    <row r="7548">
      <c r="W7548" s="7" t="n"/>
      <c r="X7548" s="7" t="n"/>
      <c r="Z7548">
        <f>Z7547+IF(W7548="",0,IF(ISNA(MATCH(W7548,W$256:W7547,0)),1,0))</f>
        <v/>
      </c>
      <c r="AA7548">
        <f>IF(Z7548&gt;Z7547,Z7548,"")</f>
        <v/>
      </c>
      <c r="AB7548">
        <f>AB7547+IF(X7548="",0,IF(ISNA(MATCH(X7548,X$256:X7547,0)),1,0))</f>
        <v/>
      </c>
      <c r="AC7548">
        <f>IF(AB7548&gt;AB7547,AB7548,"")</f>
        <v/>
      </c>
    </row>
    <row r="7549">
      <c r="W7549" s="7" t="n"/>
      <c r="X7549" s="7" t="n"/>
      <c r="Z7549">
        <f>Z7548+IF(W7549="",0,IF(ISNA(MATCH(W7549,W$256:W7548,0)),1,0))</f>
        <v/>
      </c>
      <c r="AA7549">
        <f>IF(Z7549&gt;Z7548,Z7549,"")</f>
        <v/>
      </c>
      <c r="AB7549">
        <f>AB7548+IF(X7549="",0,IF(ISNA(MATCH(X7549,X$256:X7548,0)),1,0))</f>
        <v/>
      </c>
      <c r="AC7549">
        <f>IF(AB7549&gt;AB7548,AB7549,"")</f>
        <v/>
      </c>
    </row>
    <row r="7550">
      <c r="W7550" s="7" t="n"/>
      <c r="X7550" s="7" t="n"/>
      <c r="Z7550">
        <f>Z7549+IF(W7550="",0,IF(ISNA(MATCH(W7550,W$256:W7549,0)),1,0))</f>
        <v/>
      </c>
      <c r="AA7550">
        <f>IF(Z7550&gt;Z7549,Z7550,"")</f>
        <v/>
      </c>
      <c r="AB7550">
        <f>AB7549+IF(X7550="",0,IF(ISNA(MATCH(X7550,X$256:X7549,0)),1,0))</f>
        <v/>
      </c>
      <c r="AC7550">
        <f>IF(AB7550&gt;AB7549,AB7550,"")</f>
        <v/>
      </c>
    </row>
    <row r="7551">
      <c r="W7551" s="7" t="n"/>
      <c r="X7551" s="7" t="n"/>
      <c r="Z7551">
        <f>Z7550+IF(W7551="",0,IF(ISNA(MATCH(W7551,W$256:W7550,0)),1,0))</f>
        <v/>
      </c>
      <c r="AA7551">
        <f>IF(Z7551&gt;Z7550,Z7551,"")</f>
        <v/>
      </c>
      <c r="AB7551">
        <f>AB7550+IF(X7551="",0,IF(ISNA(MATCH(X7551,X$256:X7550,0)),1,0))</f>
        <v/>
      </c>
      <c r="AC7551">
        <f>IF(AB7551&gt;AB7550,AB7551,"")</f>
        <v/>
      </c>
    </row>
    <row r="7552">
      <c r="W7552" s="7" t="n"/>
      <c r="X7552" s="7" t="n"/>
      <c r="Z7552">
        <f>Z7551+IF(W7552="",0,IF(ISNA(MATCH(W7552,W$256:W7551,0)),1,0))</f>
        <v/>
      </c>
      <c r="AA7552">
        <f>IF(Z7552&gt;Z7551,Z7552,"")</f>
        <v/>
      </c>
      <c r="AB7552">
        <f>AB7551+IF(X7552="",0,IF(ISNA(MATCH(X7552,X$256:X7551,0)),1,0))</f>
        <v/>
      </c>
      <c r="AC7552">
        <f>IF(AB7552&gt;AB7551,AB7552,"")</f>
        <v/>
      </c>
    </row>
    <row r="7553">
      <c r="W7553" s="7" t="n"/>
      <c r="X7553" s="7" t="n"/>
      <c r="Z7553">
        <f>Z7552+IF(W7553="",0,IF(ISNA(MATCH(W7553,W$256:W7552,0)),1,0))</f>
        <v/>
      </c>
      <c r="AA7553">
        <f>IF(Z7553&gt;Z7552,Z7553,"")</f>
        <v/>
      </c>
      <c r="AB7553">
        <f>AB7552+IF(X7553="",0,IF(ISNA(MATCH(X7553,X$256:X7552,0)),1,0))</f>
        <v/>
      </c>
      <c r="AC7553">
        <f>IF(AB7553&gt;AB7552,AB7553,"")</f>
        <v/>
      </c>
    </row>
    <row r="7554">
      <c r="W7554" s="7" t="n"/>
      <c r="X7554" s="7" t="n"/>
      <c r="Z7554">
        <f>Z7553+IF(W7554="",0,IF(ISNA(MATCH(W7554,W$256:W7553,0)),1,0))</f>
        <v/>
      </c>
      <c r="AA7554">
        <f>IF(Z7554&gt;Z7553,Z7554,"")</f>
        <v/>
      </c>
      <c r="AB7554">
        <f>AB7553+IF(X7554="",0,IF(ISNA(MATCH(X7554,X$256:X7553,0)),1,0))</f>
        <v/>
      </c>
      <c r="AC7554">
        <f>IF(AB7554&gt;AB7553,AB7554,"")</f>
        <v/>
      </c>
    </row>
    <row r="7555">
      <c r="W7555" s="7" t="n"/>
      <c r="X7555" s="7" t="n"/>
      <c r="Z7555">
        <f>Z7554+IF(W7555="",0,IF(ISNA(MATCH(W7555,W$256:W7554,0)),1,0))</f>
        <v/>
      </c>
      <c r="AA7555">
        <f>IF(Z7555&gt;Z7554,Z7555,"")</f>
        <v/>
      </c>
      <c r="AB7555">
        <f>AB7554+IF(X7555="",0,IF(ISNA(MATCH(X7555,X$256:X7554,0)),1,0))</f>
        <v/>
      </c>
      <c r="AC7555">
        <f>IF(AB7555&gt;AB7554,AB7555,"")</f>
        <v/>
      </c>
    </row>
    <row r="7556">
      <c r="W7556" s="7" t="n"/>
      <c r="X7556" s="7" t="n"/>
      <c r="Z7556">
        <f>Z7555+IF(W7556="",0,IF(ISNA(MATCH(W7556,W$256:W7555,0)),1,0))</f>
        <v/>
      </c>
      <c r="AA7556">
        <f>IF(Z7556&gt;Z7555,Z7556,"")</f>
        <v/>
      </c>
      <c r="AB7556">
        <f>AB7555+IF(X7556="",0,IF(ISNA(MATCH(X7556,X$256:X7555,0)),1,0))</f>
        <v/>
      </c>
      <c r="AC7556">
        <f>IF(AB7556&gt;AB7555,AB7556,"")</f>
        <v/>
      </c>
    </row>
    <row r="7557">
      <c r="W7557" s="7" t="n"/>
      <c r="X7557" s="7" t="n"/>
      <c r="Z7557">
        <f>Z7556+IF(W7557="",0,IF(ISNA(MATCH(W7557,W$256:W7556,0)),1,0))</f>
        <v/>
      </c>
      <c r="AA7557">
        <f>IF(Z7557&gt;Z7556,Z7557,"")</f>
        <v/>
      </c>
      <c r="AB7557">
        <f>AB7556+IF(X7557="",0,IF(ISNA(MATCH(X7557,X$256:X7556,0)),1,0))</f>
        <v/>
      </c>
      <c r="AC7557">
        <f>IF(AB7557&gt;AB7556,AB7557,"")</f>
        <v/>
      </c>
    </row>
    <row r="7558">
      <c r="W7558" s="7" t="n"/>
      <c r="X7558" s="7" t="n"/>
      <c r="Z7558">
        <f>Z7557+IF(W7558="",0,IF(ISNA(MATCH(W7558,W$256:W7557,0)),1,0))</f>
        <v/>
      </c>
      <c r="AA7558">
        <f>IF(Z7558&gt;Z7557,Z7558,"")</f>
        <v/>
      </c>
      <c r="AB7558">
        <f>AB7557+IF(X7558="",0,IF(ISNA(MATCH(X7558,X$256:X7557,0)),1,0))</f>
        <v/>
      </c>
      <c r="AC7558">
        <f>IF(AB7558&gt;AB7557,AB7558,"")</f>
        <v/>
      </c>
    </row>
    <row r="7559">
      <c r="W7559" s="7" t="n"/>
      <c r="X7559" s="7" t="n"/>
      <c r="Z7559">
        <f>Z7558+IF(W7559="",0,IF(ISNA(MATCH(W7559,W$256:W7558,0)),1,0))</f>
        <v/>
      </c>
      <c r="AA7559">
        <f>IF(Z7559&gt;Z7558,Z7559,"")</f>
        <v/>
      </c>
      <c r="AB7559">
        <f>AB7558+IF(X7559="",0,IF(ISNA(MATCH(X7559,X$256:X7558,0)),1,0))</f>
        <v/>
      </c>
      <c r="AC7559">
        <f>IF(AB7559&gt;AB7558,AB7559,"")</f>
        <v/>
      </c>
    </row>
    <row r="7560">
      <c r="W7560" s="7" t="n"/>
      <c r="X7560" s="7" t="n"/>
      <c r="Z7560">
        <f>Z7559+IF(W7560="",0,IF(ISNA(MATCH(W7560,W$256:W7559,0)),1,0))</f>
        <v/>
      </c>
      <c r="AA7560">
        <f>IF(Z7560&gt;Z7559,Z7560,"")</f>
        <v/>
      </c>
      <c r="AB7560">
        <f>AB7559+IF(X7560="",0,IF(ISNA(MATCH(X7560,X$256:X7559,0)),1,0))</f>
        <v/>
      </c>
      <c r="AC7560">
        <f>IF(AB7560&gt;AB7559,AB7560,"")</f>
        <v/>
      </c>
    </row>
    <row r="7561">
      <c r="W7561" s="7" t="n"/>
      <c r="X7561" s="7" t="n"/>
      <c r="Z7561">
        <f>Z7560+IF(W7561="",0,IF(ISNA(MATCH(W7561,W$256:W7560,0)),1,0))</f>
        <v/>
      </c>
      <c r="AA7561">
        <f>IF(Z7561&gt;Z7560,Z7561,"")</f>
        <v/>
      </c>
      <c r="AB7561">
        <f>AB7560+IF(X7561="",0,IF(ISNA(MATCH(X7561,X$256:X7560,0)),1,0))</f>
        <v/>
      </c>
      <c r="AC7561">
        <f>IF(AB7561&gt;AB7560,AB7561,"")</f>
        <v/>
      </c>
    </row>
    <row r="7562">
      <c r="W7562" s="7" t="n"/>
      <c r="X7562" s="7" t="n"/>
      <c r="Z7562">
        <f>Z7561+IF(W7562="",0,IF(ISNA(MATCH(W7562,W$256:W7561,0)),1,0))</f>
        <v/>
      </c>
      <c r="AA7562">
        <f>IF(Z7562&gt;Z7561,Z7562,"")</f>
        <v/>
      </c>
      <c r="AB7562">
        <f>AB7561+IF(X7562="",0,IF(ISNA(MATCH(X7562,X$256:X7561,0)),1,0))</f>
        <v/>
      </c>
      <c r="AC7562">
        <f>IF(AB7562&gt;AB7561,AB7562,"")</f>
        <v/>
      </c>
    </row>
    <row r="7563">
      <c r="W7563" s="7" t="n"/>
      <c r="X7563" s="7" t="n"/>
      <c r="Z7563">
        <f>Z7562+IF(W7563="",0,IF(ISNA(MATCH(W7563,W$256:W7562,0)),1,0))</f>
        <v/>
      </c>
      <c r="AA7563">
        <f>IF(Z7563&gt;Z7562,Z7563,"")</f>
        <v/>
      </c>
      <c r="AB7563">
        <f>AB7562+IF(X7563="",0,IF(ISNA(MATCH(X7563,X$256:X7562,0)),1,0))</f>
        <v/>
      </c>
      <c r="AC7563">
        <f>IF(AB7563&gt;AB7562,AB7563,"")</f>
        <v/>
      </c>
    </row>
    <row r="7564">
      <c r="W7564" s="7" t="n"/>
      <c r="X7564" s="7" t="n"/>
      <c r="Z7564">
        <f>Z7563+IF(W7564="",0,IF(ISNA(MATCH(W7564,W$256:W7563,0)),1,0))</f>
        <v/>
      </c>
      <c r="AA7564">
        <f>IF(Z7564&gt;Z7563,Z7564,"")</f>
        <v/>
      </c>
      <c r="AB7564">
        <f>AB7563+IF(X7564="",0,IF(ISNA(MATCH(X7564,X$256:X7563,0)),1,0))</f>
        <v/>
      </c>
      <c r="AC7564">
        <f>IF(AB7564&gt;AB7563,AB7564,"")</f>
        <v/>
      </c>
    </row>
    <row r="7565">
      <c r="W7565" s="7" t="n"/>
      <c r="X7565" s="7" t="n"/>
      <c r="Z7565">
        <f>Z7564+IF(W7565="",0,IF(ISNA(MATCH(W7565,W$256:W7564,0)),1,0))</f>
        <v/>
      </c>
      <c r="AA7565">
        <f>IF(Z7565&gt;Z7564,Z7565,"")</f>
        <v/>
      </c>
      <c r="AB7565">
        <f>AB7564+IF(X7565="",0,IF(ISNA(MATCH(X7565,X$256:X7564,0)),1,0))</f>
        <v/>
      </c>
      <c r="AC7565">
        <f>IF(AB7565&gt;AB7564,AB7565,"")</f>
        <v/>
      </c>
    </row>
    <row r="7566">
      <c r="W7566" s="7" t="n"/>
      <c r="X7566" s="7" t="n"/>
      <c r="Z7566">
        <f>Z7565+IF(W7566="",0,IF(ISNA(MATCH(W7566,W$256:W7565,0)),1,0))</f>
        <v/>
      </c>
      <c r="AA7566">
        <f>IF(Z7566&gt;Z7565,Z7566,"")</f>
        <v/>
      </c>
      <c r="AB7566">
        <f>AB7565+IF(X7566="",0,IF(ISNA(MATCH(X7566,X$256:X7565,0)),1,0))</f>
        <v/>
      </c>
      <c r="AC7566">
        <f>IF(AB7566&gt;AB7565,AB7566,"")</f>
        <v/>
      </c>
    </row>
    <row r="7567">
      <c r="W7567" s="7" t="n"/>
      <c r="X7567" s="7" t="n"/>
      <c r="Z7567">
        <f>Z7566+IF(W7567="",0,IF(ISNA(MATCH(W7567,W$256:W7566,0)),1,0))</f>
        <v/>
      </c>
      <c r="AA7567">
        <f>IF(Z7567&gt;Z7566,Z7567,"")</f>
        <v/>
      </c>
      <c r="AB7567">
        <f>AB7566+IF(X7567="",0,IF(ISNA(MATCH(X7567,X$256:X7566,0)),1,0))</f>
        <v/>
      </c>
      <c r="AC7567">
        <f>IF(AB7567&gt;AB7566,AB7567,"")</f>
        <v/>
      </c>
    </row>
    <row r="7568">
      <c r="W7568" s="7" t="n"/>
      <c r="X7568" s="7" t="n"/>
      <c r="Z7568">
        <f>Z7567+IF(W7568="",0,IF(ISNA(MATCH(W7568,W$256:W7567,0)),1,0))</f>
        <v/>
      </c>
      <c r="AA7568">
        <f>IF(Z7568&gt;Z7567,Z7568,"")</f>
        <v/>
      </c>
      <c r="AB7568">
        <f>AB7567+IF(X7568="",0,IF(ISNA(MATCH(X7568,X$256:X7567,0)),1,0))</f>
        <v/>
      </c>
      <c r="AC7568">
        <f>IF(AB7568&gt;AB7567,AB7568,"")</f>
        <v/>
      </c>
    </row>
    <row r="7569">
      <c r="W7569" s="7" t="n"/>
      <c r="X7569" s="7" t="n"/>
      <c r="Z7569">
        <f>Z7568+IF(W7569="",0,IF(ISNA(MATCH(W7569,W$256:W7568,0)),1,0))</f>
        <v/>
      </c>
      <c r="AA7569">
        <f>IF(Z7569&gt;Z7568,Z7569,"")</f>
        <v/>
      </c>
      <c r="AB7569">
        <f>AB7568+IF(X7569="",0,IF(ISNA(MATCH(X7569,X$256:X7568,0)),1,0))</f>
        <v/>
      </c>
      <c r="AC7569">
        <f>IF(AB7569&gt;AB7568,AB7569,"")</f>
        <v/>
      </c>
    </row>
    <row r="7570">
      <c r="W7570" s="7" t="n"/>
      <c r="X7570" s="7" t="n"/>
      <c r="Z7570">
        <f>Z7569+IF(W7570="",0,IF(ISNA(MATCH(W7570,W$256:W7569,0)),1,0))</f>
        <v/>
      </c>
      <c r="AA7570">
        <f>IF(Z7570&gt;Z7569,Z7570,"")</f>
        <v/>
      </c>
      <c r="AB7570">
        <f>AB7569+IF(X7570="",0,IF(ISNA(MATCH(X7570,X$256:X7569,0)),1,0))</f>
        <v/>
      </c>
      <c r="AC7570">
        <f>IF(AB7570&gt;AB7569,AB7570,"")</f>
        <v/>
      </c>
    </row>
    <row r="7571">
      <c r="W7571" s="7" t="n"/>
      <c r="X7571" s="7" t="n"/>
      <c r="Z7571">
        <f>Z7570+IF(W7571="",0,IF(ISNA(MATCH(W7571,W$256:W7570,0)),1,0))</f>
        <v/>
      </c>
      <c r="AA7571">
        <f>IF(Z7571&gt;Z7570,Z7571,"")</f>
        <v/>
      </c>
      <c r="AB7571">
        <f>AB7570+IF(X7571="",0,IF(ISNA(MATCH(X7571,X$256:X7570,0)),1,0))</f>
        <v/>
      </c>
      <c r="AC7571">
        <f>IF(AB7571&gt;AB7570,AB7571,"")</f>
        <v/>
      </c>
    </row>
    <row r="7572">
      <c r="W7572" s="7" t="n"/>
      <c r="X7572" s="7" t="n"/>
      <c r="Z7572">
        <f>Z7571+IF(W7572="",0,IF(ISNA(MATCH(W7572,W$256:W7571,0)),1,0))</f>
        <v/>
      </c>
      <c r="AA7572">
        <f>IF(Z7572&gt;Z7571,Z7572,"")</f>
        <v/>
      </c>
      <c r="AB7572">
        <f>AB7571+IF(X7572="",0,IF(ISNA(MATCH(X7572,X$256:X7571,0)),1,0))</f>
        <v/>
      </c>
      <c r="AC7572">
        <f>IF(AB7572&gt;AB7571,AB7572,"")</f>
        <v/>
      </c>
    </row>
    <row r="7573">
      <c r="W7573" s="7" t="n"/>
      <c r="X7573" s="7" t="n"/>
      <c r="Z7573">
        <f>Z7572+IF(W7573="",0,IF(ISNA(MATCH(W7573,W$256:W7572,0)),1,0))</f>
        <v/>
      </c>
      <c r="AA7573">
        <f>IF(Z7573&gt;Z7572,Z7573,"")</f>
        <v/>
      </c>
      <c r="AB7573">
        <f>AB7572+IF(X7573="",0,IF(ISNA(MATCH(X7573,X$256:X7572,0)),1,0))</f>
        <v/>
      </c>
      <c r="AC7573">
        <f>IF(AB7573&gt;AB7572,AB7573,"")</f>
        <v/>
      </c>
    </row>
    <row r="7574">
      <c r="W7574" s="7" t="n"/>
      <c r="X7574" s="7" t="n"/>
      <c r="Z7574">
        <f>Z7573+IF(W7574="",0,IF(ISNA(MATCH(W7574,W$256:W7573,0)),1,0))</f>
        <v/>
      </c>
      <c r="AA7574">
        <f>IF(Z7574&gt;Z7573,Z7574,"")</f>
        <v/>
      </c>
      <c r="AB7574">
        <f>AB7573+IF(X7574="",0,IF(ISNA(MATCH(X7574,X$256:X7573,0)),1,0))</f>
        <v/>
      </c>
      <c r="AC7574">
        <f>IF(AB7574&gt;AB7573,AB7574,"")</f>
        <v/>
      </c>
    </row>
    <row r="7575">
      <c r="W7575" s="7" t="n"/>
      <c r="X7575" s="7" t="n"/>
      <c r="Z7575">
        <f>Z7574+IF(W7575="",0,IF(ISNA(MATCH(W7575,W$256:W7574,0)),1,0))</f>
        <v/>
      </c>
      <c r="AA7575">
        <f>IF(Z7575&gt;Z7574,Z7575,"")</f>
        <v/>
      </c>
      <c r="AB7575">
        <f>AB7574+IF(X7575="",0,IF(ISNA(MATCH(X7575,X$256:X7574,0)),1,0))</f>
        <v/>
      </c>
      <c r="AC7575">
        <f>IF(AB7575&gt;AB7574,AB7575,"")</f>
        <v/>
      </c>
    </row>
    <row r="7576">
      <c r="W7576" s="7" t="n"/>
      <c r="X7576" s="7" t="n"/>
      <c r="Z7576">
        <f>Z7575+IF(W7576="",0,IF(ISNA(MATCH(W7576,W$256:W7575,0)),1,0))</f>
        <v/>
      </c>
      <c r="AA7576">
        <f>IF(Z7576&gt;Z7575,Z7576,"")</f>
        <v/>
      </c>
      <c r="AB7576">
        <f>AB7575+IF(X7576="",0,IF(ISNA(MATCH(X7576,X$256:X7575,0)),1,0))</f>
        <v/>
      </c>
      <c r="AC7576">
        <f>IF(AB7576&gt;AB7575,AB7576,"")</f>
        <v/>
      </c>
    </row>
    <row r="7577">
      <c r="W7577" s="7" t="n"/>
      <c r="X7577" s="7" t="n"/>
      <c r="Z7577">
        <f>Z7576+IF(W7577="",0,IF(ISNA(MATCH(W7577,W$256:W7576,0)),1,0))</f>
        <v/>
      </c>
      <c r="AA7577">
        <f>IF(Z7577&gt;Z7576,Z7577,"")</f>
        <v/>
      </c>
      <c r="AB7577">
        <f>AB7576+IF(X7577="",0,IF(ISNA(MATCH(X7577,X$256:X7576,0)),1,0))</f>
        <v/>
      </c>
      <c r="AC7577">
        <f>IF(AB7577&gt;AB7576,AB7577,"")</f>
        <v/>
      </c>
    </row>
    <row r="7578">
      <c r="W7578" s="7" t="n"/>
      <c r="X7578" s="7" t="n"/>
      <c r="Z7578">
        <f>Z7577+IF(W7578="",0,IF(ISNA(MATCH(W7578,W$256:W7577,0)),1,0))</f>
        <v/>
      </c>
      <c r="AA7578">
        <f>IF(Z7578&gt;Z7577,Z7578,"")</f>
        <v/>
      </c>
      <c r="AB7578">
        <f>AB7577+IF(X7578="",0,IF(ISNA(MATCH(X7578,X$256:X7577,0)),1,0))</f>
        <v/>
      </c>
      <c r="AC7578">
        <f>IF(AB7578&gt;AB7577,AB7578,"")</f>
        <v/>
      </c>
    </row>
    <row r="7579">
      <c r="W7579" s="7" t="n"/>
      <c r="X7579" s="7" t="n"/>
      <c r="Z7579">
        <f>Z7578+IF(W7579="",0,IF(ISNA(MATCH(W7579,W$256:W7578,0)),1,0))</f>
        <v/>
      </c>
      <c r="AA7579">
        <f>IF(Z7579&gt;Z7578,Z7579,"")</f>
        <v/>
      </c>
      <c r="AB7579">
        <f>AB7578+IF(X7579="",0,IF(ISNA(MATCH(X7579,X$256:X7578,0)),1,0))</f>
        <v/>
      </c>
      <c r="AC7579">
        <f>IF(AB7579&gt;AB7578,AB7579,"")</f>
        <v/>
      </c>
    </row>
    <row r="7580">
      <c r="W7580" s="7" t="n"/>
      <c r="X7580" s="7" t="n"/>
      <c r="Z7580">
        <f>Z7579+IF(W7580="",0,IF(ISNA(MATCH(W7580,W$256:W7579,0)),1,0))</f>
        <v/>
      </c>
      <c r="AA7580">
        <f>IF(Z7580&gt;Z7579,Z7580,"")</f>
        <v/>
      </c>
      <c r="AB7580">
        <f>AB7579+IF(X7580="",0,IF(ISNA(MATCH(X7580,X$256:X7579,0)),1,0))</f>
        <v/>
      </c>
      <c r="AC7580">
        <f>IF(AB7580&gt;AB7579,AB7580,"")</f>
        <v/>
      </c>
    </row>
    <row r="7581">
      <c r="W7581" s="7" t="n"/>
      <c r="X7581" s="7" t="n"/>
      <c r="Z7581">
        <f>Z7580+IF(W7581="",0,IF(ISNA(MATCH(W7581,W$256:W7580,0)),1,0))</f>
        <v/>
      </c>
      <c r="AA7581">
        <f>IF(Z7581&gt;Z7580,Z7581,"")</f>
        <v/>
      </c>
      <c r="AB7581">
        <f>AB7580+IF(X7581="",0,IF(ISNA(MATCH(X7581,X$256:X7580,0)),1,0))</f>
        <v/>
      </c>
      <c r="AC7581">
        <f>IF(AB7581&gt;AB7580,AB7581,"")</f>
        <v/>
      </c>
    </row>
    <row r="7582">
      <c r="W7582" s="7" t="n"/>
      <c r="X7582" s="7" t="n"/>
      <c r="Z7582">
        <f>Z7581+IF(W7582="",0,IF(ISNA(MATCH(W7582,W$256:W7581,0)),1,0))</f>
        <v/>
      </c>
      <c r="AA7582">
        <f>IF(Z7582&gt;Z7581,Z7582,"")</f>
        <v/>
      </c>
      <c r="AB7582">
        <f>AB7581+IF(X7582="",0,IF(ISNA(MATCH(X7582,X$256:X7581,0)),1,0))</f>
        <v/>
      </c>
      <c r="AC7582">
        <f>IF(AB7582&gt;AB7581,AB7582,"")</f>
        <v/>
      </c>
    </row>
    <row r="7583">
      <c r="W7583" s="7" t="n"/>
      <c r="X7583" s="7" t="n"/>
      <c r="Z7583">
        <f>Z7582+IF(W7583="",0,IF(ISNA(MATCH(W7583,W$256:W7582,0)),1,0))</f>
        <v/>
      </c>
      <c r="AA7583">
        <f>IF(Z7583&gt;Z7582,Z7583,"")</f>
        <v/>
      </c>
      <c r="AB7583">
        <f>AB7582+IF(X7583="",0,IF(ISNA(MATCH(X7583,X$256:X7582,0)),1,0))</f>
        <v/>
      </c>
      <c r="AC7583">
        <f>IF(AB7583&gt;AB7582,AB7583,"")</f>
        <v/>
      </c>
    </row>
    <row r="7584">
      <c r="W7584" s="7" t="n"/>
      <c r="X7584" s="7" t="n"/>
      <c r="Z7584">
        <f>Z7583+IF(W7584="",0,IF(ISNA(MATCH(W7584,W$256:W7583,0)),1,0))</f>
        <v/>
      </c>
      <c r="AA7584">
        <f>IF(Z7584&gt;Z7583,Z7584,"")</f>
        <v/>
      </c>
      <c r="AB7584">
        <f>AB7583+IF(X7584="",0,IF(ISNA(MATCH(X7584,X$256:X7583,0)),1,0))</f>
        <v/>
      </c>
      <c r="AC7584">
        <f>IF(AB7584&gt;AB7583,AB7584,"")</f>
        <v/>
      </c>
    </row>
    <row r="7585">
      <c r="W7585" s="7" t="n"/>
      <c r="X7585" s="7" t="n"/>
      <c r="Z7585">
        <f>Z7584+IF(W7585="",0,IF(ISNA(MATCH(W7585,W$256:W7584,0)),1,0))</f>
        <v/>
      </c>
      <c r="AA7585">
        <f>IF(Z7585&gt;Z7584,Z7585,"")</f>
        <v/>
      </c>
      <c r="AB7585">
        <f>AB7584+IF(X7585="",0,IF(ISNA(MATCH(X7585,X$256:X7584,0)),1,0))</f>
        <v/>
      </c>
      <c r="AC7585">
        <f>IF(AB7585&gt;AB7584,AB7585,"")</f>
        <v/>
      </c>
    </row>
    <row r="7586">
      <c r="W7586" s="7" t="n"/>
      <c r="X7586" s="7" t="n"/>
      <c r="Z7586">
        <f>Z7585+IF(W7586="",0,IF(ISNA(MATCH(W7586,W$256:W7585,0)),1,0))</f>
        <v/>
      </c>
      <c r="AA7586">
        <f>IF(Z7586&gt;Z7585,Z7586,"")</f>
        <v/>
      </c>
      <c r="AB7586">
        <f>AB7585+IF(X7586="",0,IF(ISNA(MATCH(X7586,X$256:X7585,0)),1,0))</f>
        <v/>
      </c>
      <c r="AC7586">
        <f>IF(AB7586&gt;AB7585,AB7586,"")</f>
        <v/>
      </c>
    </row>
    <row r="7587">
      <c r="W7587" s="7" t="n"/>
      <c r="X7587" s="7" t="n"/>
      <c r="Z7587">
        <f>Z7586+IF(W7587="",0,IF(ISNA(MATCH(W7587,W$256:W7586,0)),1,0))</f>
        <v/>
      </c>
      <c r="AA7587">
        <f>IF(Z7587&gt;Z7586,Z7587,"")</f>
        <v/>
      </c>
      <c r="AB7587">
        <f>AB7586+IF(X7587="",0,IF(ISNA(MATCH(X7587,X$256:X7586,0)),1,0))</f>
        <v/>
      </c>
      <c r="AC7587">
        <f>IF(AB7587&gt;AB7586,AB7587,"")</f>
        <v/>
      </c>
    </row>
    <row r="7588">
      <c r="W7588" s="7" t="n"/>
      <c r="X7588" s="7" t="n"/>
      <c r="Z7588">
        <f>Z7587+IF(W7588="",0,IF(ISNA(MATCH(W7588,W$256:W7587,0)),1,0))</f>
        <v/>
      </c>
      <c r="AA7588">
        <f>IF(Z7588&gt;Z7587,Z7588,"")</f>
        <v/>
      </c>
      <c r="AB7588">
        <f>AB7587+IF(X7588="",0,IF(ISNA(MATCH(X7588,X$256:X7587,0)),1,0))</f>
        <v/>
      </c>
      <c r="AC7588">
        <f>IF(AB7588&gt;AB7587,AB7588,"")</f>
        <v/>
      </c>
    </row>
    <row r="7589">
      <c r="W7589" s="7" t="n"/>
      <c r="X7589" s="7" t="n"/>
      <c r="Z7589">
        <f>Z7588+IF(W7589="",0,IF(ISNA(MATCH(W7589,W$256:W7588,0)),1,0))</f>
        <v/>
      </c>
      <c r="AA7589">
        <f>IF(Z7589&gt;Z7588,Z7589,"")</f>
        <v/>
      </c>
      <c r="AB7589">
        <f>AB7588+IF(X7589="",0,IF(ISNA(MATCH(X7589,X$256:X7588,0)),1,0))</f>
        <v/>
      </c>
      <c r="AC7589">
        <f>IF(AB7589&gt;AB7588,AB7589,"")</f>
        <v/>
      </c>
    </row>
    <row r="7590">
      <c r="W7590" s="7" t="n"/>
      <c r="X7590" s="7" t="n"/>
      <c r="Z7590">
        <f>Z7589+IF(W7590="",0,IF(ISNA(MATCH(W7590,W$256:W7589,0)),1,0))</f>
        <v/>
      </c>
      <c r="AA7590">
        <f>IF(Z7590&gt;Z7589,Z7590,"")</f>
        <v/>
      </c>
      <c r="AB7590">
        <f>AB7589+IF(X7590="",0,IF(ISNA(MATCH(X7590,X$256:X7589,0)),1,0))</f>
        <v/>
      </c>
      <c r="AC7590">
        <f>IF(AB7590&gt;AB7589,AB7590,"")</f>
        <v/>
      </c>
    </row>
    <row r="7591">
      <c r="W7591" s="7" t="n"/>
      <c r="X7591" s="7" t="n"/>
      <c r="Z7591">
        <f>Z7590+IF(W7591="",0,IF(ISNA(MATCH(W7591,W$256:W7590,0)),1,0))</f>
        <v/>
      </c>
      <c r="AA7591">
        <f>IF(Z7591&gt;Z7590,Z7591,"")</f>
        <v/>
      </c>
      <c r="AB7591">
        <f>AB7590+IF(X7591="",0,IF(ISNA(MATCH(X7591,X$256:X7590,0)),1,0))</f>
        <v/>
      </c>
      <c r="AC7591">
        <f>IF(AB7591&gt;AB7590,AB7591,"")</f>
        <v/>
      </c>
    </row>
    <row r="7592">
      <c r="W7592" s="7" t="n"/>
      <c r="X7592" s="7" t="n"/>
      <c r="Z7592">
        <f>Z7591+IF(W7592="",0,IF(ISNA(MATCH(W7592,W$256:W7591,0)),1,0))</f>
        <v/>
      </c>
      <c r="AA7592">
        <f>IF(Z7592&gt;Z7591,Z7592,"")</f>
        <v/>
      </c>
      <c r="AB7592">
        <f>AB7591+IF(X7592="",0,IF(ISNA(MATCH(X7592,X$256:X7591,0)),1,0))</f>
        <v/>
      </c>
      <c r="AC7592">
        <f>IF(AB7592&gt;AB7591,AB7592,"")</f>
        <v/>
      </c>
    </row>
    <row r="7593">
      <c r="W7593" s="7" t="n"/>
      <c r="X7593" s="7" t="n"/>
      <c r="Z7593">
        <f>Z7592+IF(W7593="",0,IF(ISNA(MATCH(W7593,W$256:W7592,0)),1,0))</f>
        <v/>
      </c>
      <c r="AA7593">
        <f>IF(Z7593&gt;Z7592,Z7593,"")</f>
        <v/>
      </c>
      <c r="AB7593">
        <f>AB7592+IF(X7593="",0,IF(ISNA(MATCH(X7593,X$256:X7592,0)),1,0))</f>
        <v/>
      </c>
      <c r="AC7593">
        <f>IF(AB7593&gt;AB7592,AB7593,"")</f>
        <v/>
      </c>
    </row>
    <row r="7594">
      <c r="W7594" s="7" t="n"/>
      <c r="X7594" s="7" t="n"/>
      <c r="Z7594">
        <f>Z7593+IF(W7594="",0,IF(ISNA(MATCH(W7594,W$256:W7593,0)),1,0))</f>
        <v/>
      </c>
      <c r="AA7594">
        <f>IF(Z7594&gt;Z7593,Z7594,"")</f>
        <v/>
      </c>
      <c r="AB7594">
        <f>AB7593+IF(X7594="",0,IF(ISNA(MATCH(X7594,X$256:X7593,0)),1,0))</f>
        <v/>
      </c>
      <c r="AC7594">
        <f>IF(AB7594&gt;AB7593,AB7594,"")</f>
        <v/>
      </c>
    </row>
    <row r="7595">
      <c r="W7595" s="7" t="n"/>
      <c r="X7595" s="7" t="n"/>
      <c r="Z7595">
        <f>Z7594+IF(W7595="",0,IF(ISNA(MATCH(W7595,W$256:W7594,0)),1,0))</f>
        <v/>
      </c>
      <c r="AA7595">
        <f>IF(Z7595&gt;Z7594,Z7595,"")</f>
        <v/>
      </c>
      <c r="AB7595">
        <f>AB7594+IF(X7595="",0,IF(ISNA(MATCH(X7595,X$256:X7594,0)),1,0))</f>
        <v/>
      </c>
      <c r="AC7595">
        <f>IF(AB7595&gt;AB7594,AB7595,"")</f>
        <v/>
      </c>
    </row>
    <row r="7596">
      <c r="W7596" s="7" t="n"/>
      <c r="X7596" s="7" t="n"/>
      <c r="Z7596">
        <f>Z7595+IF(W7596="",0,IF(ISNA(MATCH(W7596,W$256:W7595,0)),1,0))</f>
        <v/>
      </c>
      <c r="AA7596">
        <f>IF(Z7596&gt;Z7595,Z7596,"")</f>
        <v/>
      </c>
      <c r="AB7596">
        <f>AB7595+IF(X7596="",0,IF(ISNA(MATCH(X7596,X$256:X7595,0)),1,0))</f>
        <v/>
      </c>
      <c r="AC7596">
        <f>IF(AB7596&gt;AB7595,AB7596,"")</f>
        <v/>
      </c>
    </row>
    <row r="7597">
      <c r="W7597" s="7" t="n"/>
      <c r="X7597" s="7" t="n"/>
      <c r="Z7597">
        <f>Z7596+IF(W7597="",0,IF(ISNA(MATCH(W7597,W$256:W7596,0)),1,0))</f>
        <v/>
      </c>
      <c r="AA7597">
        <f>IF(Z7597&gt;Z7596,Z7597,"")</f>
        <v/>
      </c>
      <c r="AB7597">
        <f>AB7596+IF(X7597="",0,IF(ISNA(MATCH(X7597,X$256:X7596,0)),1,0))</f>
        <v/>
      </c>
      <c r="AC7597">
        <f>IF(AB7597&gt;AB7596,AB7597,"")</f>
        <v/>
      </c>
    </row>
    <row r="7598">
      <c r="W7598" s="7" t="n"/>
      <c r="X7598" s="7" t="n"/>
      <c r="Z7598">
        <f>Z7597+IF(W7598="",0,IF(ISNA(MATCH(W7598,W$256:W7597,0)),1,0))</f>
        <v/>
      </c>
      <c r="AA7598">
        <f>IF(Z7598&gt;Z7597,Z7598,"")</f>
        <v/>
      </c>
      <c r="AB7598">
        <f>AB7597+IF(X7598="",0,IF(ISNA(MATCH(X7598,X$256:X7597,0)),1,0))</f>
        <v/>
      </c>
      <c r="AC7598">
        <f>IF(AB7598&gt;AB7597,AB7598,"")</f>
        <v/>
      </c>
    </row>
    <row r="7599">
      <c r="W7599" s="7" t="n"/>
      <c r="X7599" s="7" t="n"/>
      <c r="Z7599">
        <f>Z7598+IF(W7599="",0,IF(ISNA(MATCH(W7599,W$256:W7598,0)),1,0))</f>
        <v/>
      </c>
      <c r="AA7599">
        <f>IF(Z7599&gt;Z7598,Z7599,"")</f>
        <v/>
      </c>
      <c r="AB7599">
        <f>AB7598+IF(X7599="",0,IF(ISNA(MATCH(X7599,X$256:X7598,0)),1,0))</f>
        <v/>
      </c>
      <c r="AC7599">
        <f>IF(AB7599&gt;AB7598,AB7599,"")</f>
        <v/>
      </c>
    </row>
    <row r="7600">
      <c r="W7600" s="7" t="n"/>
      <c r="X7600" s="7" t="n"/>
      <c r="Z7600">
        <f>Z7599+IF(W7600="",0,IF(ISNA(MATCH(W7600,W$256:W7599,0)),1,0))</f>
        <v/>
      </c>
      <c r="AA7600">
        <f>IF(Z7600&gt;Z7599,Z7600,"")</f>
        <v/>
      </c>
      <c r="AB7600">
        <f>AB7599+IF(X7600="",0,IF(ISNA(MATCH(X7600,X$256:X7599,0)),1,0))</f>
        <v/>
      </c>
      <c r="AC7600">
        <f>IF(AB7600&gt;AB7599,AB7600,"")</f>
        <v/>
      </c>
    </row>
    <row r="7601">
      <c r="W7601" s="7" t="n"/>
      <c r="X7601" s="7" t="n"/>
      <c r="Z7601">
        <f>Z7600+IF(W7601="",0,IF(ISNA(MATCH(W7601,W$256:W7600,0)),1,0))</f>
        <v/>
      </c>
      <c r="AA7601">
        <f>IF(Z7601&gt;Z7600,Z7601,"")</f>
        <v/>
      </c>
      <c r="AB7601">
        <f>AB7600+IF(X7601="",0,IF(ISNA(MATCH(X7601,X$256:X7600,0)),1,0))</f>
        <v/>
      </c>
      <c r="AC7601">
        <f>IF(AB7601&gt;AB7600,AB7601,"")</f>
        <v/>
      </c>
    </row>
    <row r="7602">
      <c r="W7602" s="7" t="n"/>
      <c r="X7602" s="7" t="n"/>
      <c r="Z7602">
        <f>Z7601+IF(W7602="",0,IF(ISNA(MATCH(W7602,W$256:W7601,0)),1,0))</f>
        <v/>
      </c>
      <c r="AA7602">
        <f>IF(Z7602&gt;Z7601,Z7602,"")</f>
        <v/>
      </c>
      <c r="AB7602">
        <f>AB7601+IF(X7602="",0,IF(ISNA(MATCH(X7602,X$256:X7601,0)),1,0))</f>
        <v/>
      </c>
      <c r="AC7602">
        <f>IF(AB7602&gt;AB7601,AB7602,"")</f>
        <v/>
      </c>
    </row>
    <row r="7603">
      <c r="W7603" s="7" t="n"/>
      <c r="X7603" s="7" t="n"/>
      <c r="Z7603">
        <f>Z7602+IF(W7603="",0,IF(ISNA(MATCH(W7603,W$256:W7602,0)),1,0))</f>
        <v/>
      </c>
      <c r="AA7603">
        <f>IF(Z7603&gt;Z7602,Z7603,"")</f>
        <v/>
      </c>
      <c r="AB7603">
        <f>AB7602+IF(X7603="",0,IF(ISNA(MATCH(X7603,X$256:X7602,0)),1,0))</f>
        <v/>
      </c>
      <c r="AC7603">
        <f>IF(AB7603&gt;AB7602,AB7603,"")</f>
        <v/>
      </c>
    </row>
    <row r="7604">
      <c r="W7604" s="7" t="n"/>
      <c r="X7604" s="7" t="n"/>
      <c r="Z7604">
        <f>Z7603+IF(W7604="",0,IF(ISNA(MATCH(W7604,W$256:W7603,0)),1,0))</f>
        <v/>
      </c>
      <c r="AA7604">
        <f>IF(Z7604&gt;Z7603,Z7604,"")</f>
        <v/>
      </c>
      <c r="AB7604">
        <f>AB7603+IF(X7604="",0,IF(ISNA(MATCH(X7604,X$256:X7603,0)),1,0))</f>
        <v/>
      </c>
      <c r="AC7604">
        <f>IF(AB7604&gt;AB7603,AB7604,"")</f>
        <v/>
      </c>
    </row>
    <row r="7605">
      <c r="W7605" s="7" t="n"/>
      <c r="X7605" s="7" t="n"/>
      <c r="Z7605">
        <f>Z7604+IF(W7605="",0,IF(ISNA(MATCH(W7605,W$256:W7604,0)),1,0))</f>
        <v/>
      </c>
      <c r="AA7605">
        <f>IF(Z7605&gt;Z7604,Z7605,"")</f>
        <v/>
      </c>
      <c r="AB7605">
        <f>AB7604+IF(X7605="",0,IF(ISNA(MATCH(X7605,X$256:X7604,0)),1,0))</f>
        <v/>
      </c>
      <c r="AC7605">
        <f>IF(AB7605&gt;AB7604,AB7605,"")</f>
        <v/>
      </c>
    </row>
    <row r="7606">
      <c r="W7606" s="7" t="n"/>
      <c r="X7606" s="7" t="n"/>
      <c r="Z7606">
        <f>Z7605+IF(W7606="",0,IF(ISNA(MATCH(W7606,W$256:W7605,0)),1,0))</f>
        <v/>
      </c>
      <c r="AA7606">
        <f>IF(Z7606&gt;Z7605,Z7606,"")</f>
        <v/>
      </c>
      <c r="AB7606">
        <f>AB7605+IF(X7606="",0,IF(ISNA(MATCH(X7606,X$256:X7605,0)),1,0))</f>
        <v/>
      </c>
      <c r="AC7606">
        <f>IF(AB7606&gt;AB7605,AB7606,"")</f>
        <v/>
      </c>
    </row>
    <row r="7607">
      <c r="W7607" s="7" t="n"/>
      <c r="X7607" s="7" t="n"/>
      <c r="Z7607">
        <f>Z7606+IF(W7607="",0,IF(ISNA(MATCH(W7607,W$256:W7606,0)),1,0))</f>
        <v/>
      </c>
      <c r="AA7607">
        <f>IF(Z7607&gt;Z7606,Z7607,"")</f>
        <v/>
      </c>
      <c r="AB7607">
        <f>AB7606+IF(X7607="",0,IF(ISNA(MATCH(X7607,X$256:X7606,0)),1,0))</f>
        <v/>
      </c>
      <c r="AC7607">
        <f>IF(AB7607&gt;AB7606,AB7607,"")</f>
        <v/>
      </c>
    </row>
    <row r="7608">
      <c r="W7608" s="7" t="n"/>
      <c r="X7608" s="7" t="n"/>
      <c r="Z7608">
        <f>Z7607+IF(W7608="",0,IF(ISNA(MATCH(W7608,W$256:W7607,0)),1,0))</f>
        <v/>
      </c>
      <c r="AA7608">
        <f>IF(Z7608&gt;Z7607,Z7608,"")</f>
        <v/>
      </c>
      <c r="AB7608">
        <f>AB7607+IF(X7608="",0,IF(ISNA(MATCH(X7608,X$256:X7607,0)),1,0))</f>
        <v/>
      </c>
      <c r="AC7608">
        <f>IF(AB7608&gt;AB7607,AB7608,"")</f>
        <v/>
      </c>
    </row>
    <row r="7609">
      <c r="W7609" s="7" t="n"/>
      <c r="X7609" s="7" t="n"/>
      <c r="Z7609">
        <f>Z7608+IF(W7609="",0,IF(ISNA(MATCH(W7609,W$256:W7608,0)),1,0))</f>
        <v/>
      </c>
      <c r="AA7609">
        <f>IF(Z7609&gt;Z7608,Z7609,"")</f>
        <v/>
      </c>
      <c r="AB7609">
        <f>AB7608+IF(X7609="",0,IF(ISNA(MATCH(X7609,X$256:X7608,0)),1,0))</f>
        <v/>
      </c>
      <c r="AC7609">
        <f>IF(AB7609&gt;AB7608,AB7609,"")</f>
        <v/>
      </c>
    </row>
    <row r="7610">
      <c r="W7610" s="7" t="n"/>
      <c r="X7610" s="7" t="n"/>
      <c r="Z7610">
        <f>Z7609+IF(W7610="",0,IF(ISNA(MATCH(W7610,W$256:W7609,0)),1,0))</f>
        <v/>
      </c>
      <c r="AA7610">
        <f>IF(Z7610&gt;Z7609,Z7610,"")</f>
        <v/>
      </c>
      <c r="AB7610">
        <f>AB7609+IF(X7610="",0,IF(ISNA(MATCH(X7610,X$256:X7609,0)),1,0))</f>
        <v/>
      </c>
      <c r="AC7610">
        <f>IF(AB7610&gt;AB7609,AB7610,"")</f>
        <v/>
      </c>
    </row>
    <row r="7611">
      <c r="W7611" s="7" t="n"/>
      <c r="X7611" s="7" t="n"/>
      <c r="Z7611">
        <f>Z7610+IF(W7611="",0,IF(ISNA(MATCH(W7611,W$256:W7610,0)),1,0))</f>
        <v/>
      </c>
      <c r="AA7611">
        <f>IF(Z7611&gt;Z7610,Z7611,"")</f>
        <v/>
      </c>
      <c r="AB7611">
        <f>AB7610+IF(X7611="",0,IF(ISNA(MATCH(X7611,X$256:X7610,0)),1,0))</f>
        <v/>
      </c>
      <c r="AC7611">
        <f>IF(AB7611&gt;AB7610,AB7611,"")</f>
        <v/>
      </c>
    </row>
    <row r="7612">
      <c r="W7612" s="7" t="n"/>
      <c r="X7612" s="7" t="n"/>
      <c r="Z7612">
        <f>Z7611+IF(W7612="",0,IF(ISNA(MATCH(W7612,W$256:W7611,0)),1,0))</f>
        <v/>
      </c>
      <c r="AA7612">
        <f>IF(Z7612&gt;Z7611,Z7612,"")</f>
        <v/>
      </c>
      <c r="AB7612">
        <f>AB7611+IF(X7612="",0,IF(ISNA(MATCH(X7612,X$256:X7611,0)),1,0))</f>
        <v/>
      </c>
      <c r="AC7612">
        <f>IF(AB7612&gt;AB7611,AB7612,"")</f>
        <v/>
      </c>
    </row>
    <row r="7613">
      <c r="W7613" s="7" t="n"/>
      <c r="X7613" s="7" t="n"/>
      <c r="Z7613">
        <f>Z7612+IF(W7613="",0,IF(ISNA(MATCH(W7613,W$256:W7612,0)),1,0))</f>
        <v/>
      </c>
      <c r="AA7613">
        <f>IF(Z7613&gt;Z7612,Z7613,"")</f>
        <v/>
      </c>
      <c r="AB7613">
        <f>AB7612+IF(X7613="",0,IF(ISNA(MATCH(X7613,X$256:X7612,0)),1,0))</f>
        <v/>
      </c>
      <c r="AC7613">
        <f>IF(AB7613&gt;AB7612,AB7613,"")</f>
        <v/>
      </c>
    </row>
    <row r="7614">
      <c r="W7614" s="7" t="n"/>
      <c r="X7614" s="7" t="n"/>
      <c r="Z7614">
        <f>Z7613+IF(W7614="",0,IF(ISNA(MATCH(W7614,W$256:W7613,0)),1,0))</f>
        <v/>
      </c>
      <c r="AA7614">
        <f>IF(Z7614&gt;Z7613,Z7614,"")</f>
        <v/>
      </c>
      <c r="AB7614">
        <f>AB7613+IF(X7614="",0,IF(ISNA(MATCH(X7614,X$256:X7613,0)),1,0))</f>
        <v/>
      </c>
      <c r="AC7614">
        <f>IF(AB7614&gt;AB7613,AB7614,"")</f>
        <v/>
      </c>
    </row>
    <row r="7615">
      <c r="W7615" s="7" t="n"/>
      <c r="X7615" s="7" t="n"/>
      <c r="Z7615">
        <f>Z7614+IF(W7615="",0,IF(ISNA(MATCH(W7615,W$256:W7614,0)),1,0))</f>
        <v/>
      </c>
      <c r="AA7615">
        <f>IF(Z7615&gt;Z7614,Z7615,"")</f>
        <v/>
      </c>
      <c r="AB7615">
        <f>AB7614+IF(X7615="",0,IF(ISNA(MATCH(X7615,X$256:X7614,0)),1,0))</f>
        <v/>
      </c>
      <c r="AC7615">
        <f>IF(AB7615&gt;AB7614,AB7615,"")</f>
        <v/>
      </c>
    </row>
    <row r="7616">
      <c r="W7616" s="7" t="n"/>
      <c r="X7616" s="7" t="n"/>
      <c r="Z7616">
        <f>Z7615+IF(W7616="",0,IF(ISNA(MATCH(W7616,W$256:W7615,0)),1,0))</f>
        <v/>
      </c>
      <c r="AA7616">
        <f>IF(Z7616&gt;Z7615,Z7616,"")</f>
        <v/>
      </c>
      <c r="AB7616">
        <f>AB7615+IF(X7616="",0,IF(ISNA(MATCH(X7616,X$256:X7615,0)),1,0))</f>
        <v/>
      </c>
      <c r="AC7616">
        <f>IF(AB7616&gt;AB7615,AB7616,"")</f>
        <v/>
      </c>
    </row>
    <row r="7617">
      <c r="W7617" s="7" t="n"/>
      <c r="X7617" s="7" t="n"/>
      <c r="Z7617">
        <f>Z7616+IF(W7617="",0,IF(ISNA(MATCH(W7617,W$256:W7616,0)),1,0))</f>
        <v/>
      </c>
      <c r="AA7617">
        <f>IF(Z7617&gt;Z7616,Z7617,"")</f>
        <v/>
      </c>
      <c r="AB7617">
        <f>AB7616+IF(X7617="",0,IF(ISNA(MATCH(X7617,X$256:X7616,0)),1,0))</f>
        <v/>
      </c>
      <c r="AC7617">
        <f>IF(AB7617&gt;AB7616,AB7617,"")</f>
        <v/>
      </c>
    </row>
    <row r="7618">
      <c r="W7618" s="7" t="n"/>
      <c r="X7618" s="7" t="n"/>
      <c r="Z7618">
        <f>Z7617+IF(W7618="",0,IF(ISNA(MATCH(W7618,W$256:W7617,0)),1,0))</f>
        <v/>
      </c>
      <c r="AA7618">
        <f>IF(Z7618&gt;Z7617,Z7618,"")</f>
        <v/>
      </c>
      <c r="AB7618">
        <f>AB7617+IF(X7618="",0,IF(ISNA(MATCH(X7618,X$256:X7617,0)),1,0))</f>
        <v/>
      </c>
      <c r="AC7618">
        <f>IF(AB7618&gt;AB7617,AB7618,"")</f>
        <v/>
      </c>
    </row>
    <row r="7619">
      <c r="W7619" s="7" t="n"/>
      <c r="X7619" s="7" t="n"/>
      <c r="Z7619">
        <f>Z7618+IF(W7619="",0,IF(ISNA(MATCH(W7619,W$256:W7618,0)),1,0))</f>
        <v/>
      </c>
      <c r="AA7619">
        <f>IF(Z7619&gt;Z7618,Z7619,"")</f>
        <v/>
      </c>
      <c r="AB7619">
        <f>AB7618+IF(X7619="",0,IF(ISNA(MATCH(X7619,X$256:X7618,0)),1,0))</f>
        <v/>
      </c>
      <c r="AC7619">
        <f>IF(AB7619&gt;AB7618,AB7619,"")</f>
        <v/>
      </c>
    </row>
    <row r="7620">
      <c r="W7620" s="7" t="n"/>
      <c r="X7620" s="7" t="n"/>
      <c r="Z7620">
        <f>Z7619+IF(W7620="",0,IF(ISNA(MATCH(W7620,W$256:W7619,0)),1,0))</f>
        <v/>
      </c>
      <c r="AA7620">
        <f>IF(Z7620&gt;Z7619,Z7620,"")</f>
        <v/>
      </c>
      <c r="AB7620">
        <f>AB7619+IF(X7620="",0,IF(ISNA(MATCH(X7620,X$256:X7619,0)),1,0))</f>
        <v/>
      </c>
      <c r="AC7620">
        <f>IF(AB7620&gt;AB7619,AB7620,"")</f>
        <v/>
      </c>
    </row>
    <row r="7621">
      <c r="W7621" s="7" t="n"/>
      <c r="X7621" s="7" t="n"/>
      <c r="Z7621">
        <f>Z7620+IF(W7621="",0,IF(ISNA(MATCH(W7621,W$256:W7620,0)),1,0))</f>
        <v/>
      </c>
      <c r="AA7621">
        <f>IF(Z7621&gt;Z7620,Z7621,"")</f>
        <v/>
      </c>
      <c r="AB7621">
        <f>AB7620+IF(X7621="",0,IF(ISNA(MATCH(X7621,X$256:X7620,0)),1,0))</f>
        <v/>
      </c>
      <c r="AC7621">
        <f>IF(AB7621&gt;AB7620,AB7621,"")</f>
        <v/>
      </c>
    </row>
    <row r="7622">
      <c r="W7622" s="7" t="n"/>
      <c r="X7622" s="7" t="n"/>
      <c r="Z7622">
        <f>Z7621+IF(W7622="",0,IF(ISNA(MATCH(W7622,W$256:W7621,0)),1,0))</f>
        <v/>
      </c>
      <c r="AA7622">
        <f>IF(Z7622&gt;Z7621,Z7622,"")</f>
        <v/>
      </c>
      <c r="AB7622">
        <f>AB7621+IF(X7622="",0,IF(ISNA(MATCH(X7622,X$256:X7621,0)),1,0))</f>
        <v/>
      </c>
      <c r="AC7622">
        <f>IF(AB7622&gt;AB7621,AB7622,"")</f>
        <v/>
      </c>
    </row>
    <row r="7623">
      <c r="W7623" s="7" t="n"/>
      <c r="X7623" s="7" t="n"/>
      <c r="Z7623">
        <f>Z7622+IF(W7623="",0,IF(ISNA(MATCH(W7623,W$256:W7622,0)),1,0))</f>
        <v/>
      </c>
      <c r="AA7623">
        <f>IF(Z7623&gt;Z7622,Z7623,"")</f>
        <v/>
      </c>
      <c r="AB7623">
        <f>AB7622+IF(X7623="",0,IF(ISNA(MATCH(X7623,X$256:X7622,0)),1,0))</f>
        <v/>
      </c>
      <c r="AC7623">
        <f>IF(AB7623&gt;AB7622,AB7623,"")</f>
        <v/>
      </c>
    </row>
    <row r="7624">
      <c r="W7624" s="7" t="n"/>
      <c r="X7624" s="7" t="n"/>
      <c r="Z7624">
        <f>Z7623+IF(W7624="",0,IF(ISNA(MATCH(W7624,W$256:W7623,0)),1,0))</f>
        <v/>
      </c>
      <c r="AA7624">
        <f>IF(Z7624&gt;Z7623,Z7624,"")</f>
        <v/>
      </c>
      <c r="AB7624">
        <f>AB7623+IF(X7624="",0,IF(ISNA(MATCH(X7624,X$256:X7623,0)),1,0))</f>
        <v/>
      </c>
      <c r="AC7624">
        <f>IF(AB7624&gt;AB7623,AB7624,"")</f>
        <v/>
      </c>
    </row>
    <row r="7625">
      <c r="W7625" s="7" t="n"/>
      <c r="X7625" s="7" t="n"/>
      <c r="Z7625">
        <f>Z7624+IF(W7625="",0,IF(ISNA(MATCH(W7625,W$256:W7624,0)),1,0))</f>
        <v/>
      </c>
      <c r="AA7625">
        <f>IF(Z7625&gt;Z7624,Z7625,"")</f>
        <v/>
      </c>
      <c r="AB7625">
        <f>AB7624+IF(X7625="",0,IF(ISNA(MATCH(X7625,X$256:X7624,0)),1,0))</f>
        <v/>
      </c>
      <c r="AC7625">
        <f>IF(AB7625&gt;AB7624,AB7625,"")</f>
        <v/>
      </c>
    </row>
    <row r="7626">
      <c r="W7626" s="7" t="n"/>
      <c r="X7626" s="7" t="n"/>
      <c r="Z7626">
        <f>Z7625+IF(W7626="",0,IF(ISNA(MATCH(W7626,W$256:W7625,0)),1,0))</f>
        <v/>
      </c>
      <c r="AA7626">
        <f>IF(Z7626&gt;Z7625,Z7626,"")</f>
        <v/>
      </c>
      <c r="AB7626">
        <f>AB7625+IF(X7626="",0,IF(ISNA(MATCH(X7626,X$256:X7625,0)),1,0))</f>
        <v/>
      </c>
      <c r="AC7626">
        <f>IF(AB7626&gt;AB7625,AB7626,"")</f>
        <v/>
      </c>
    </row>
    <row r="7627">
      <c r="W7627" s="7" t="n"/>
      <c r="X7627" s="7" t="n"/>
      <c r="Z7627">
        <f>Z7626+IF(W7627="",0,IF(ISNA(MATCH(W7627,W$256:W7626,0)),1,0))</f>
        <v/>
      </c>
      <c r="AA7627">
        <f>IF(Z7627&gt;Z7626,Z7627,"")</f>
        <v/>
      </c>
      <c r="AB7627">
        <f>AB7626+IF(X7627="",0,IF(ISNA(MATCH(X7627,X$256:X7626,0)),1,0))</f>
        <v/>
      </c>
      <c r="AC7627">
        <f>IF(AB7627&gt;AB7626,AB7627,"")</f>
        <v/>
      </c>
    </row>
    <row r="7628">
      <c r="W7628" s="7" t="n"/>
      <c r="X7628" s="7" t="n"/>
      <c r="Z7628">
        <f>Z7627+IF(W7628="",0,IF(ISNA(MATCH(W7628,W$256:W7627,0)),1,0))</f>
        <v/>
      </c>
      <c r="AA7628">
        <f>IF(Z7628&gt;Z7627,Z7628,"")</f>
        <v/>
      </c>
      <c r="AB7628">
        <f>AB7627+IF(X7628="",0,IF(ISNA(MATCH(X7628,X$256:X7627,0)),1,0))</f>
        <v/>
      </c>
      <c r="AC7628">
        <f>IF(AB7628&gt;AB7627,AB7628,"")</f>
        <v/>
      </c>
    </row>
    <row r="7629">
      <c r="W7629" s="7" t="n"/>
      <c r="X7629" s="7" t="n"/>
      <c r="Z7629">
        <f>Z7628+IF(W7629="",0,IF(ISNA(MATCH(W7629,W$256:W7628,0)),1,0))</f>
        <v/>
      </c>
      <c r="AA7629">
        <f>IF(Z7629&gt;Z7628,Z7629,"")</f>
        <v/>
      </c>
      <c r="AB7629">
        <f>AB7628+IF(X7629="",0,IF(ISNA(MATCH(X7629,X$256:X7628,0)),1,0))</f>
        <v/>
      </c>
      <c r="AC7629">
        <f>IF(AB7629&gt;AB7628,AB7629,"")</f>
        <v/>
      </c>
    </row>
    <row r="7630">
      <c r="W7630" s="7" t="n"/>
      <c r="X7630" s="7" t="n"/>
      <c r="Z7630">
        <f>Z7629+IF(W7630="",0,IF(ISNA(MATCH(W7630,W$256:W7629,0)),1,0))</f>
        <v/>
      </c>
      <c r="AA7630">
        <f>IF(Z7630&gt;Z7629,Z7630,"")</f>
        <v/>
      </c>
      <c r="AB7630">
        <f>AB7629+IF(X7630="",0,IF(ISNA(MATCH(X7630,X$256:X7629,0)),1,0))</f>
        <v/>
      </c>
      <c r="AC7630">
        <f>IF(AB7630&gt;AB7629,AB7630,"")</f>
        <v/>
      </c>
    </row>
    <row r="7631">
      <c r="W7631" s="7" t="n"/>
      <c r="X7631" s="7" t="n"/>
      <c r="Z7631">
        <f>Z7630+IF(W7631="",0,IF(ISNA(MATCH(W7631,W$256:W7630,0)),1,0))</f>
        <v/>
      </c>
      <c r="AA7631">
        <f>IF(Z7631&gt;Z7630,Z7631,"")</f>
        <v/>
      </c>
      <c r="AB7631">
        <f>AB7630+IF(X7631="",0,IF(ISNA(MATCH(X7631,X$256:X7630,0)),1,0))</f>
        <v/>
      </c>
      <c r="AC7631">
        <f>IF(AB7631&gt;AB7630,AB7631,"")</f>
        <v/>
      </c>
    </row>
    <row r="7632">
      <c r="W7632" s="7" t="n"/>
      <c r="X7632" s="7" t="n"/>
      <c r="Z7632">
        <f>Z7631+IF(W7632="",0,IF(ISNA(MATCH(W7632,W$256:W7631,0)),1,0))</f>
        <v/>
      </c>
      <c r="AA7632">
        <f>IF(Z7632&gt;Z7631,Z7632,"")</f>
        <v/>
      </c>
      <c r="AB7632">
        <f>AB7631+IF(X7632="",0,IF(ISNA(MATCH(X7632,X$256:X7631,0)),1,0))</f>
        <v/>
      </c>
      <c r="AC7632">
        <f>IF(AB7632&gt;AB7631,AB7632,"")</f>
        <v/>
      </c>
    </row>
    <row r="7633">
      <c r="W7633" s="7" t="n"/>
      <c r="X7633" s="7" t="n"/>
      <c r="Z7633">
        <f>Z7632+IF(W7633="",0,IF(ISNA(MATCH(W7633,W$256:W7632,0)),1,0))</f>
        <v/>
      </c>
      <c r="AA7633">
        <f>IF(Z7633&gt;Z7632,Z7633,"")</f>
        <v/>
      </c>
      <c r="AB7633">
        <f>AB7632+IF(X7633="",0,IF(ISNA(MATCH(X7633,X$256:X7632,0)),1,0))</f>
        <v/>
      </c>
      <c r="AC7633">
        <f>IF(AB7633&gt;AB7632,AB7633,"")</f>
        <v/>
      </c>
    </row>
    <row r="7634">
      <c r="W7634" s="7" t="n"/>
      <c r="X7634" s="7" t="n"/>
      <c r="Z7634">
        <f>Z7633+IF(W7634="",0,IF(ISNA(MATCH(W7634,W$256:W7633,0)),1,0))</f>
        <v/>
      </c>
      <c r="AA7634">
        <f>IF(Z7634&gt;Z7633,Z7634,"")</f>
        <v/>
      </c>
      <c r="AB7634">
        <f>AB7633+IF(X7634="",0,IF(ISNA(MATCH(X7634,X$256:X7633,0)),1,0))</f>
        <v/>
      </c>
      <c r="AC7634">
        <f>IF(AB7634&gt;AB7633,AB7634,"")</f>
        <v/>
      </c>
    </row>
    <row r="7635">
      <c r="W7635" s="7" t="n"/>
      <c r="X7635" s="7" t="n"/>
      <c r="Z7635">
        <f>Z7634+IF(W7635="",0,IF(ISNA(MATCH(W7635,W$256:W7634,0)),1,0))</f>
        <v/>
      </c>
      <c r="AA7635">
        <f>IF(Z7635&gt;Z7634,Z7635,"")</f>
        <v/>
      </c>
      <c r="AB7635">
        <f>AB7634+IF(X7635="",0,IF(ISNA(MATCH(X7635,X$256:X7634,0)),1,0))</f>
        <v/>
      </c>
      <c r="AC7635">
        <f>IF(AB7635&gt;AB7634,AB7635,"")</f>
        <v/>
      </c>
    </row>
    <row r="7636">
      <c r="W7636" s="7" t="n"/>
      <c r="X7636" s="7" t="n"/>
      <c r="Z7636">
        <f>Z7635+IF(W7636="",0,IF(ISNA(MATCH(W7636,W$256:W7635,0)),1,0))</f>
        <v/>
      </c>
      <c r="AA7636">
        <f>IF(Z7636&gt;Z7635,Z7636,"")</f>
        <v/>
      </c>
      <c r="AB7636">
        <f>AB7635+IF(X7636="",0,IF(ISNA(MATCH(X7636,X$256:X7635,0)),1,0))</f>
        <v/>
      </c>
      <c r="AC7636">
        <f>IF(AB7636&gt;AB7635,AB7636,"")</f>
        <v/>
      </c>
    </row>
    <row r="7637">
      <c r="W7637" s="7" t="n"/>
      <c r="X7637" s="7" t="n"/>
      <c r="Z7637">
        <f>Z7636+IF(W7637="",0,IF(ISNA(MATCH(W7637,W$256:W7636,0)),1,0))</f>
        <v/>
      </c>
      <c r="AA7637">
        <f>IF(Z7637&gt;Z7636,Z7637,"")</f>
        <v/>
      </c>
      <c r="AB7637">
        <f>AB7636+IF(X7637="",0,IF(ISNA(MATCH(X7637,X$256:X7636,0)),1,0))</f>
        <v/>
      </c>
      <c r="AC7637">
        <f>IF(AB7637&gt;AB7636,AB7637,"")</f>
        <v/>
      </c>
    </row>
    <row r="7638">
      <c r="W7638" s="7" t="n"/>
      <c r="X7638" s="7" t="n"/>
      <c r="Z7638">
        <f>Z7637+IF(W7638="",0,IF(ISNA(MATCH(W7638,W$256:W7637,0)),1,0))</f>
        <v/>
      </c>
      <c r="AA7638">
        <f>IF(Z7638&gt;Z7637,Z7638,"")</f>
        <v/>
      </c>
      <c r="AB7638">
        <f>AB7637+IF(X7638="",0,IF(ISNA(MATCH(X7638,X$256:X7637,0)),1,0))</f>
        <v/>
      </c>
      <c r="AC7638">
        <f>IF(AB7638&gt;AB7637,AB7638,"")</f>
        <v/>
      </c>
    </row>
    <row r="7639">
      <c r="W7639" s="7" t="n"/>
      <c r="X7639" s="7" t="n"/>
      <c r="Z7639">
        <f>Z7638+IF(W7639="",0,IF(ISNA(MATCH(W7639,W$256:W7638,0)),1,0))</f>
        <v/>
      </c>
      <c r="AA7639">
        <f>IF(Z7639&gt;Z7638,Z7639,"")</f>
        <v/>
      </c>
      <c r="AB7639">
        <f>AB7638+IF(X7639="",0,IF(ISNA(MATCH(X7639,X$256:X7638,0)),1,0))</f>
        <v/>
      </c>
      <c r="AC7639">
        <f>IF(AB7639&gt;AB7638,AB7639,"")</f>
        <v/>
      </c>
    </row>
    <row r="7640">
      <c r="W7640" s="7" t="n"/>
      <c r="X7640" s="7" t="n"/>
      <c r="Z7640">
        <f>Z7639+IF(W7640="",0,IF(ISNA(MATCH(W7640,W$256:W7639,0)),1,0))</f>
        <v/>
      </c>
      <c r="AA7640">
        <f>IF(Z7640&gt;Z7639,Z7640,"")</f>
        <v/>
      </c>
      <c r="AB7640">
        <f>AB7639+IF(X7640="",0,IF(ISNA(MATCH(X7640,X$256:X7639,0)),1,0))</f>
        <v/>
      </c>
      <c r="AC7640">
        <f>IF(AB7640&gt;AB7639,AB7640,"")</f>
        <v/>
      </c>
    </row>
    <row r="7641">
      <c r="W7641" s="7" t="n"/>
      <c r="X7641" s="7" t="n"/>
      <c r="Z7641">
        <f>Z7640+IF(W7641="",0,IF(ISNA(MATCH(W7641,W$256:W7640,0)),1,0))</f>
        <v/>
      </c>
      <c r="AA7641">
        <f>IF(Z7641&gt;Z7640,Z7641,"")</f>
        <v/>
      </c>
      <c r="AB7641">
        <f>AB7640+IF(X7641="",0,IF(ISNA(MATCH(X7641,X$256:X7640,0)),1,0))</f>
        <v/>
      </c>
      <c r="AC7641">
        <f>IF(AB7641&gt;AB7640,AB7641,"")</f>
        <v/>
      </c>
    </row>
    <row r="7642">
      <c r="W7642" s="7" t="n"/>
      <c r="X7642" s="7" t="n"/>
      <c r="Z7642">
        <f>Z7641+IF(W7642="",0,IF(ISNA(MATCH(W7642,W$256:W7641,0)),1,0))</f>
        <v/>
      </c>
      <c r="AA7642">
        <f>IF(Z7642&gt;Z7641,Z7642,"")</f>
        <v/>
      </c>
      <c r="AB7642">
        <f>AB7641+IF(X7642="",0,IF(ISNA(MATCH(X7642,X$256:X7641,0)),1,0))</f>
        <v/>
      </c>
      <c r="AC7642">
        <f>IF(AB7642&gt;AB7641,AB7642,"")</f>
        <v/>
      </c>
    </row>
    <row r="7643">
      <c r="W7643" s="7" t="n"/>
      <c r="X7643" s="7" t="n"/>
      <c r="Z7643">
        <f>Z7642+IF(W7643="",0,IF(ISNA(MATCH(W7643,W$256:W7642,0)),1,0))</f>
        <v/>
      </c>
      <c r="AA7643">
        <f>IF(Z7643&gt;Z7642,Z7643,"")</f>
        <v/>
      </c>
      <c r="AB7643">
        <f>AB7642+IF(X7643="",0,IF(ISNA(MATCH(X7643,X$256:X7642,0)),1,0))</f>
        <v/>
      </c>
      <c r="AC7643">
        <f>IF(AB7643&gt;AB7642,AB7643,"")</f>
        <v/>
      </c>
    </row>
    <row r="7644">
      <c r="W7644" s="7" t="n"/>
      <c r="X7644" s="7" t="n"/>
      <c r="Z7644">
        <f>Z7643+IF(W7644="",0,IF(ISNA(MATCH(W7644,W$256:W7643,0)),1,0))</f>
        <v/>
      </c>
      <c r="AA7644">
        <f>IF(Z7644&gt;Z7643,Z7644,"")</f>
        <v/>
      </c>
      <c r="AB7644">
        <f>AB7643+IF(X7644="",0,IF(ISNA(MATCH(X7644,X$256:X7643,0)),1,0))</f>
        <v/>
      </c>
      <c r="AC7644">
        <f>IF(AB7644&gt;AB7643,AB7644,"")</f>
        <v/>
      </c>
    </row>
    <row r="7645">
      <c r="W7645" s="7" t="n"/>
      <c r="X7645" s="7" t="n"/>
      <c r="Z7645">
        <f>Z7644+IF(W7645="",0,IF(ISNA(MATCH(W7645,W$256:W7644,0)),1,0))</f>
        <v/>
      </c>
      <c r="AA7645">
        <f>IF(Z7645&gt;Z7644,Z7645,"")</f>
        <v/>
      </c>
      <c r="AB7645">
        <f>AB7644+IF(X7645="",0,IF(ISNA(MATCH(X7645,X$256:X7644,0)),1,0))</f>
        <v/>
      </c>
      <c r="AC7645">
        <f>IF(AB7645&gt;AB7644,AB7645,"")</f>
        <v/>
      </c>
    </row>
    <row r="7646">
      <c r="W7646" s="7" t="n"/>
      <c r="X7646" s="7" t="n"/>
      <c r="Z7646">
        <f>Z7645+IF(W7646="",0,IF(ISNA(MATCH(W7646,W$256:W7645,0)),1,0))</f>
        <v/>
      </c>
      <c r="AA7646">
        <f>IF(Z7646&gt;Z7645,Z7646,"")</f>
        <v/>
      </c>
      <c r="AB7646">
        <f>AB7645+IF(X7646="",0,IF(ISNA(MATCH(X7646,X$256:X7645,0)),1,0))</f>
        <v/>
      </c>
      <c r="AC7646">
        <f>IF(AB7646&gt;AB7645,AB7646,"")</f>
        <v/>
      </c>
    </row>
    <row r="7647">
      <c r="W7647" s="7" t="n"/>
      <c r="X7647" s="7" t="n"/>
      <c r="Z7647">
        <f>Z7646+IF(W7647="",0,IF(ISNA(MATCH(W7647,W$256:W7646,0)),1,0))</f>
        <v/>
      </c>
      <c r="AA7647">
        <f>IF(Z7647&gt;Z7646,Z7647,"")</f>
        <v/>
      </c>
      <c r="AB7647">
        <f>AB7646+IF(X7647="",0,IF(ISNA(MATCH(X7647,X$256:X7646,0)),1,0))</f>
        <v/>
      </c>
      <c r="AC7647">
        <f>IF(AB7647&gt;AB7646,AB7647,"")</f>
        <v/>
      </c>
    </row>
    <row r="7648">
      <c r="W7648" s="7" t="n"/>
      <c r="X7648" s="7" t="n"/>
      <c r="Z7648">
        <f>Z7647+IF(W7648="",0,IF(ISNA(MATCH(W7648,W$256:W7647,0)),1,0))</f>
        <v/>
      </c>
      <c r="AA7648">
        <f>IF(Z7648&gt;Z7647,Z7648,"")</f>
        <v/>
      </c>
      <c r="AB7648">
        <f>AB7647+IF(X7648="",0,IF(ISNA(MATCH(X7648,X$256:X7647,0)),1,0))</f>
        <v/>
      </c>
      <c r="AC7648">
        <f>IF(AB7648&gt;AB7647,AB7648,"")</f>
        <v/>
      </c>
    </row>
    <row r="7649">
      <c r="W7649" s="7" t="n"/>
      <c r="X7649" s="7" t="n"/>
      <c r="Z7649">
        <f>Z7648+IF(W7649="",0,IF(ISNA(MATCH(W7649,W$256:W7648,0)),1,0))</f>
        <v/>
      </c>
      <c r="AA7649">
        <f>IF(Z7649&gt;Z7648,Z7649,"")</f>
        <v/>
      </c>
      <c r="AB7649">
        <f>AB7648+IF(X7649="",0,IF(ISNA(MATCH(X7649,X$256:X7648,0)),1,0))</f>
        <v/>
      </c>
      <c r="AC7649">
        <f>IF(AB7649&gt;AB7648,AB7649,"")</f>
        <v/>
      </c>
    </row>
    <row r="7650">
      <c r="W7650" s="7" t="n"/>
      <c r="X7650" s="7" t="n"/>
      <c r="Z7650">
        <f>Z7649+IF(W7650="",0,IF(ISNA(MATCH(W7650,W$256:W7649,0)),1,0))</f>
        <v/>
      </c>
      <c r="AA7650">
        <f>IF(Z7650&gt;Z7649,Z7650,"")</f>
        <v/>
      </c>
      <c r="AB7650">
        <f>AB7649+IF(X7650="",0,IF(ISNA(MATCH(X7650,X$256:X7649,0)),1,0))</f>
        <v/>
      </c>
      <c r="AC7650">
        <f>IF(AB7650&gt;AB7649,AB7650,"")</f>
        <v/>
      </c>
    </row>
    <row r="7651">
      <c r="W7651" s="7" t="n"/>
      <c r="X7651" s="7" t="n"/>
      <c r="Z7651">
        <f>Z7650+IF(W7651="",0,IF(ISNA(MATCH(W7651,W$256:W7650,0)),1,0))</f>
        <v/>
      </c>
      <c r="AA7651">
        <f>IF(Z7651&gt;Z7650,Z7651,"")</f>
        <v/>
      </c>
      <c r="AB7651">
        <f>AB7650+IF(X7651="",0,IF(ISNA(MATCH(X7651,X$256:X7650,0)),1,0))</f>
        <v/>
      </c>
      <c r="AC7651">
        <f>IF(AB7651&gt;AB7650,AB7651,"")</f>
        <v/>
      </c>
    </row>
    <row r="7652">
      <c r="W7652" s="7" t="n"/>
      <c r="X7652" s="7" t="n"/>
      <c r="Z7652">
        <f>Z7651+IF(W7652="",0,IF(ISNA(MATCH(W7652,W$256:W7651,0)),1,0))</f>
        <v/>
      </c>
      <c r="AA7652">
        <f>IF(Z7652&gt;Z7651,Z7652,"")</f>
        <v/>
      </c>
      <c r="AB7652">
        <f>AB7651+IF(X7652="",0,IF(ISNA(MATCH(X7652,X$256:X7651,0)),1,0))</f>
        <v/>
      </c>
      <c r="AC7652">
        <f>IF(AB7652&gt;AB7651,AB7652,"")</f>
        <v/>
      </c>
    </row>
    <row r="7653">
      <c r="W7653" s="7" t="n"/>
      <c r="X7653" s="7" t="n"/>
      <c r="Z7653">
        <f>Z7652+IF(W7653="",0,IF(ISNA(MATCH(W7653,W$256:W7652,0)),1,0))</f>
        <v/>
      </c>
      <c r="AA7653">
        <f>IF(Z7653&gt;Z7652,Z7653,"")</f>
        <v/>
      </c>
      <c r="AB7653">
        <f>AB7652+IF(X7653="",0,IF(ISNA(MATCH(X7653,X$256:X7652,0)),1,0))</f>
        <v/>
      </c>
      <c r="AC7653">
        <f>IF(AB7653&gt;AB7652,AB7653,"")</f>
        <v/>
      </c>
    </row>
    <row r="7654">
      <c r="W7654" s="7" t="n"/>
      <c r="X7654" s="7" t="n"/>
      <c r="Z7654">
        <f>Z7653+IF(W7654="",0,IF(ISNA(MATCH(W7654,W$256:W7653,0)),1,0))</f>
        <v/>
      </c>
      <c r="AA7654">
        <f>IF(Z7654&gt;Z7653,Z7654,"")</f>
        <v/>
      </c>
      <c r="AB7654">
        <f>AB7653+IF(X7654="",0,IF(ISNA(MATCH(X7654,X$256:X7653,0)),1,0))</f>
        <v/>
      </c>
      <c r="AC7654">
        <f>IF(AB7654&gt;AB7653,AB7654,"")</f>
        <v/>
      </c>
    </row>
    <row r="7655">
      <c r="W7655" s="7" t="n"/>
      <c r="X7655" s="7" t="n"/>
      <c r="Z7655">
        <f>Z7654+IF(W7655="",0,IF(ISNA(MATCH(W7655,W$256:W7654,0)),1,0))</f>
        <v/>
      </c>
      <c r="AA7655">
        <f>IF(Z7655&gt;Z7654,Z7655,"")</f>
        <v/>
      </c>
      <c r="AB7655">
        <f>AB7654+IF(X7655="",0,IF(ISNA(MATCH(X7655,X$256:X7654,0)),1,0))</f>
        <v/>
      </c>
      <c r="AC7655">
        <f>IF(AB7655&gt;AB7654,AB7655,"")</f>
        <v/>
      </c>
    </row>
    <row r="7656">
      <c r="W7656" s="7" t="n"/>
      <c r="X7656" s="7" t="n"/>
      <c r="Z7656">
        <f>Z7655+IF(W7656="",0,IF(ISNA(MATCH(W7656,W$256:W7655,0)),1,0))</f>
        <v/>
      </c>
      <c r="AA7656">
        <f>IF(Z7656&gt;Z7655,Z7656,"")</f>
        <v/>
      </c>
      <c r="AB7656">
        <f>AB7655+IF(X7656="",0,IF(ISNA(MATCH(X7656,X$256:X7655,0)),1,0))</f>
        <v/>
      </c>
      <c r="AC7656">
        <f>IF(AB7656&gt;AB7655,AB7656,"")</f>
        <v/>
      </c>
    </row>
    <row r="7657">
      <c r="W7657" s="7" t="n"/>
      <c r="X7657" s="7" t="n"/>
      <c r="Z7657">
        <f>Z7656+IF(W7657="",0,IF(ISNA(MATCH(W7657,W$256:W7656,0)),1,0))</f>
        <v/>
      </c>
      <c r="AA7657">
        <f>IF(Z7657&gt;Z7656,Z7657,"")</f>
        <v/>
      </c>
      <c r="AB7657">
        <f>AB7656+IF(X7657="",0,IF(ISNA(MATCH(X7657,X$256:X7656,0)),1,0))</f>
        <v/>
      </c>
      <c r="AC7657">
        <f>IF(AB7657&gt;AB7656,AB7657,"")</f>
        <v/>
      </c>
    </row>
    <row r="7658">
      <c r="W7658" s="7" t="n"/>
      <c r="X7658" s="7" t="n"/>
      <c r="Z7658">
        <f>Z7657+IF(W7658="",0,IF(ISNA(MATCH(W7658,W$256:W7657,0)),1,0))</f>
        <v/>
      </c>
      <c r="AA7658">
        <f>IF(Z7658&gt;Z7657,Z7658,"")</f>
        <v/>
      </c>
      <c r="AB7658">
        <f>AB7657+IF(X7658="",0,IF(ISNA(MATCH(X7658,X$256:X7657,0)),1,0))</f>
        <v/>
      </c>
      <c r="AC7658">
        <f>IF(AB7658&gt;AB7657,AB7658,"")</f>
        <v/>
      </c>
    </row>
    <row r="7659">
      <c r="W7659" s="7" t="n"/>
      <c r="X7659" s="7" t="n"/>
      <c r="Z7659">
        <f>Z7658+IF(W7659="",0,IF(ISNA(MATCH(W7659,W$256:W7658,0)),1,0))</f>
        <v/>
      </c>
      <c r="AA7659">
        <f>IF(Z7659&gt;Z7658,Z7659,"")</f>
        <v/>
      </c>
      <c r="AB7659">
        <f>AB7658+IF(X7659="",0,IF(ISNA(MATCH(X7659,X$256:X7658,0)),1,0))</f>
        <v/>
      </c>
      <c r="AC7659">
        <f>IF(AB7659&gt;AB7658,AB7659,"")</f>
        <v/>
      </c>
    </row>
    <row r="7660">
      <c r="W7660" s="7" t="n"/>
      <c r="X7660" s="7" t="n"/>
      <c r="Z7660">
        <f>Z7659+IF(W7660="",0,IF(ISNA(MATCH(W7660,W$256:W7659,0)),1,0))</f>
        <v/>
      </c>
      <c r="AA7660">
        <f>IF(Z7660&gt;Z7659,Z7660,"")</f>
        <v/>
      </c>
      <c r="AB7660">
        <f>AB7659+IF(X7660="",0,IF(ISNA(MATCH(X7660,X$256:X7659,0)),1,0))</f>
        <v/>
      </c>
      <c r="AC7660">
        <f>IF(AB7660&gt;AB7659,AB7660,"")</f>
        <v/>
      </c>
    </row>
    <row r="7661">
      <c r="W7661" s="7" t="n"/>
      <c r="X7661" s="7" t="n"/>
      <c r="Z7661">
        <f>Z7660+IF(W7661="",0,IF(ISNA(MATCH(W7661,W$256:W7660,0)),1,0))</f>
        <v/>
      </c>
      <c r="AA7661">
        <f>IF(Z7661&gt;Z7660,Z7661,"")</f>
        <v/>
      </c>
      <c r="AB7661">
        <f>AB7660+IF(X7661="",0,IF(ISNA(MATCH(X7661,X$256:X7660,0)),1,0))</f>
        <v/>
      </c>
      <c r="AC7661">
        <f>IF(AB7661&gt;AB7660,AB7661,"")</f>
        <v/>
      </c>
    </row>
    <row r="7662">
      <c r="W7662" s="7" t="n"/>
      <c r="X7662" s="7" t="n"/>
      <c r="Z7662">
        <f>Z7661+IF(W7662="",0,IF(ISNA(MATCH(W7662,W$256:W7661,0)),1,0))</f>
        <v/>
      </c>
      <c r="AA7662">
        <f>IF(Z7662&gt;Z7661,Z7662,"")</f>
        <v/>
      </c>
      <c r="AB7662">
        <f>AB7661+IF(X7662="",0,IF(ISNA(MATCH(X7662,X$256:X7661,0)),1,0))</f>
        <v/>
      </c>
      <c r="AC7662">
        <f>IF(AB7662&gt;AB7661,AB7662,"")</f>
        <v/>
      </c>
    </row>
    <row r="7663">
      <c r="W7663" s="7" t="n"/>
      <c r="X7663" s="7" t="n"/>
      <c r="Z7663">
        <f>Z7662+IF(W7663="",0,IF(ISNA(MATCH(W7663,W$256:W7662,0)),1,0))</f>
        <v/>
      </c>
      <c r="AA7663">
        <f>IF(Z7663&gt;Z7662,Z7663,"")</f>
        <v/>
      </c>
      <c r="AB7663">
        <f>AB7662+IF(X7663="",0,IF(ISNA(MATCH(X7663,X$256:X7662,0)),1,0))</f>
        <v/>
      </c>
      <c r="AC7663">
        <f>IF(AB7663&gt;AB7662,AB7663,"")</f>
        <v/>
      </c>
    </row>
    <row r="7664">
      <c r="W7664" s="7" t="n"/>
      <c r="X7664" s="7" t="n"/>
      <c r="Z7664">
        <f>Z7663+IF(W7664="",0,IF(ISNA(MATCH(W7664,W$256:W7663,0)),1,0))</f>
        <v/>
      </c>
      <c r="AA7664">
        <f>IF(Z7664&gt;Z7663,Z7664,"")</f>
        <v/>
      </c>
      <c r="AB7664">
        <f>AB7663+IF(X7664="",0,IF(ISNA(MATCH(X7664,X$256:X7663,0)),1,0))</f>
        <v/>
      </c>
      <c r="AC7664">
        <f>IF(AB7664&gt;AB7663,AB7664,"")</f>
        <v/>
      </c>
    </row>
    <row r="7665">
      <c r="W7665" s="7" t="n"/>
      <c r="X7665" s="7" t="n"/>
      <c r="Z7665">
        <f>Z7664+IF(W7665="",0,IF(ISNA(MATCH(W7665,W$256:W7664,0)),1,0))</f>
        <v/>
      </c>
      <c r="AA7665">
        <f>IF(Z7665&gt;Z7664,Z7665,"")</f>
        <v/>
      </c>
      <c r="AB7665">
        <f>AB7664+IF(X7665="",0,IF(ISNA(MATCH(X7665,X$256:X7664,0)),1,0))</f>
        <v/>
      </c>
      <c r="AC7665">
        <f>IF(AB7665&gt;AB7664,AB7665,"")</f>
        <v/>
      </c>
    </row>
    <row r="7666">
      <c r="W7666" s="7" t="n"/>
      <c r="X7666" s="7" t="n"/>
      <c r="Z7666">
        <f>Z7665+IF(W7666="",0,IF(ISNA(MATCH(W7666,W$256:W7665,0)),1,0))</f>
        <v/>
      </c>
      <c r="AA7666">
        <f>IF(Z7666&gt;Z7665,Z7666,"")</f>
        <v/>
      </c>
      <c r="AB7666">
        <f>AB7665+IF(X7666="",0,IF(ISNA(MATCH(X7666,X$256:X7665,0)),1,0))</f>
        <v/>
      </c>
      <c r="AC7666">
        <f>IF(AB7666&gt;AB7665,AB7666,"")</f>
        <v/>
      </c>
    </row>
    <row r="7667">
      <c r="W7667" s="7" t="n"/>
      <c r="X7667" s="7" t="n"/>
      <c r="Z7667">
        <f>Z7666+IF(W7667="",0,IF(ISNA(MATCH(W7667,W$256:W7666,0)),1,0))</f>
        <v/>
      </c>
      <c r="AA7667">
        <f>IF(Z7667&gt;Z7666,Z7667,"")</f>
        <v/>
      </c>
      <c r="AB7667">
        <f>AB7666+IF(X7667="",0,IF(ISNA(MATCH(X7667,X$256:X7666,0)),1,0))</f>
        <v/>
      </c>
      <c r="AC7667">
        <f>IF(AB7667&gt;AB7666,AB7667,"")</f>
        <v/>
      </c>
    </row>
    <row r="7668">
      <c r="W7668" s="7" t="n"/>
      <c r="X7668" s="7" t="n"/>
      <c r="Z7668">
        <f>Z7667+IF(W7668="",0,IF(ISNA(MATCH(W7668,W$256:W7667,0)),1,0))</f>
        <v/>
      </c>
      <c r="AA7668">
        <f>IF(Z7668&gt;Z7667,Z7668,"")</f>
        <v/>
      </c>
      <c r="AB7668">
        <f>AB7667+IF(X7668="",0,IF(ISNA(MATCH(X7668,X$256:X7667,0)),1,0))</f>
        <v/>
      </c>
      <c r="AC7668">
        <f>IF(AB7668&gt;AB7667,AB7668,"")</f>
        <v/>
      </c>
    </row>
    <row r="7669">
      <c r="W7669" s="7" t="n"/>
      <c r="X7669" s="7" t="n"/>
      <c r="Z7669">
        <f>Z7668+IF(W7669="",0,IF(ISNA(MATCH(W7669,W$256:W7668,0)),1,0))</f>
        <v/>
      </c>
      <c r="AA7669">
        <f>IF(Z7669&gt;Z7668,Z7669,"")</f>
        <v/>
      </c>
      <c r="AB7669">
        <f>AB7668+IF(X7669="",0,IF(ISNA(MATCH(X7669,X$256:X7668,0)),1,0))</f>
        <v/>
      </c>
      <c r="AC7669">
        <f>IF(AB7669&gt;AB7668,AB7669,"")</f>
        <v/>
      </c>
    </row>
    <row r="7670">
      <c r="W7670" s="7" t="n"/>
      <c r="X7670" s="7" t="n"/>
      <c r="Z7670">
        <f>Z7669+IF(W7670="",0,IF(ISNA(MATCH(W7670,W$256:W7669,0)),1,0))</f>
        <v/>
      </c>
      <c r="AA7670">
        <f>IF(Z7670&gt;Z7669,Z7670,"")</f>
        <v/>
      </c>
      <c r="AB7670">
        <f>AB7669+IF(X7670="",0,IF(ISNA(MATCH(X7670,X$256:X7669,0)),1,0))</f>
        <v/>
      </c>
      <c r="AC7670">
        <f>IF(AB7670&gt;AB7669,AB7670,"")</f>
        <v/>
      </c>
    </row>
    <row r="7671">
      <c r="W7671" s="7" t="n"/>
      <c r="X7671" s="7" t="n"/>
      <c r="Z7671">
        <f>Z7670+IF(W7671="",0,IF(ISNA(MATCH(W7671,W$256:W7670,0)),1,0))</f>
        <v/>
      </c>
      <c r="AA7671">
        <f>IF(Z7671&gt;Z7670,Z7671,"")</f>
        <v/>
      </c>
      <c r="AB7671">
        <f>AB7670+IF(X7671="",0,IF(ISNA(MATCH(X7671,X$256:X7670,0)),1,0))</f>
        <v/>
      </c>
      <c r="AC7671">
        <f>IF(AB7671&gt;AB7670,AB7671,"")</f>
        <v/>
      </c>
    </row>
    <row r="7672">
      <c r="W7672" s="7" t="n"/>
      <c r="X7672" s="7" t="n"/>
      <c r="Z7672">
        <f>Z7671+IF(W7672="",0,IF(ISNA(MATCH(W7672,W$256:W7671,0)),1,0))</f>
        <v/>
      </c>
      <c r="AA7672">
        <f>IF(Z7672&gt;Z7671,Z7672,"")</f>
        <v/>
      </c>
      <c r="AB7672">
        <f>AB7671+IF(X7672="",0,IF(ISNA(MATCH(X7672,X$256:X7671,0)),1,0))</f>
        <v/>
      </c>
      <c r="AC7672">
        <f>IF(AB7672&gt;AB7671,AB7672,"")</f>
        <v/>
      </c>
    </row>
    <row r="7673">
      <c r="W7673" s="7" t="n"/>
      <c r="X7673" s="7" t="n"/>
      <c r="Z7673">
        <f>Z7672+IF(W7673="",0,IF(ISNA(MATCH(W7673,W$256:W7672,0)),1,0))</f>
        <v/>
      </c>
      <c r="AA7673">
        <f>IF(Z7673&gt;Z7672,Z7673,"")</f>
        <v/>
      </c>
      <c r="AB7673">
        <f>AB7672+IF(X7673="",0,IF(ISNA(MATCH(X7673,X$256:X7672,0)),1,0))</f>
        <v/>
      </c>
      <c r="AC7673">
        <f>IF(AB7673&gt;AB7672,AB7673,"")</f>
        <v/>
      </c>
    </row>
    <row r="7674">
      <c r="W7674" s="7" t="n"/>
      <c r="X7674" s="7" t="n"/>
      <c r="Z7674">
        <f>Z7673+IF(W7674="",0,IF(ISNA(MATCH(W7674,W$256:W7673,0)),1,0))</f>
        <v/>
      </c>
      <c r="AA7674">
        <f>IF(Z7674&gt;Z7673,Z7674,"")</f>
        <v/>
      </c>
      <c r="AB7674">
        <f>AB7673+IF(X7674="",0,IF(ISNA(MATCH(X7674,X$256:X7673,0)),1,0))</f>
        <v/>
      </c>
      <c r="AC7674">
        <f>IF(AB7674&gt;AB7673,AB7674,"")</f>
        <v/>
      </c>
    </row>
    <row r="7675">
      <c r="W7675" s="7" t="n"/>
      <c r="X7675" s="7" t="n"/>
      <c r="Z7675">
        <f>Z7674+IF(W7675="",0,IF(ISNA(MATCH(W7675,W$256:W7674,0)),1,0))</f>
        <v/>
      </c>
      <c r="AA7675">
        <f>IF(Z7675&gt;Z7674,Z7675,"")</f>
        <v/>
      </c>
      <c r="AB7675">
        <f>AB7674+IF(X7675="",0,IF(ISNA(MATCH(X7675,X$256:X7674,0)),1,0))</f>
        <v/>
      </c>
      <c r="AC7675">
        <f>IF(AB7675&gt;AB7674,AB7675,"")</f>
        <v/>
      </c>
    </row>
    <row r="7676">
      <c r="W7676" s="7" t="n"/>
      <c r="X7676" s="7" t="n"/>
      <c r="Z7676">
        <f>Z7675+IF(W7676="",0,IF(ISNA(MATCH(W7676,W$256:W7675,0)),1,0))</f>
        <v/>
      </c>
      <c r="AA7676">
        <f>IF(Z7676&gt;Z7675,Z7676,"")</f>
        <v/>
      </c>
      <c r="AB7676">
        <f>AB7675+IF(X7676="",0,IF(ISNA(MATCH(X7676,X$256:X7675,0)),1,0))</f>
        <v/>
      </c>
      <c r="AC7676">
        <f>IF(AB7676&gt;AB7675,AB7676,"")</f>
        <v/>
      </c>
    </row>
    <row r="7677">
      <c r="W7677" s="7" t="n"/>
      <c r="X7677" s="7" t="n"/>
      <c r="Z7677">
        <f>Z7676+IF(W7677="",0,IF(ISNA(MATCH(W7677,W$256:W7676,0)),1,0))</f>
        <v/>
      </c>
      <c r="AA7677">
        <f>IF(Z7677&gt;Z7676,Z7677,"")</f>
        <v/>
      </c>
      <c r="AB7677">
        <f>AB7676+IF(X7677="",0,IF(ISNA(MATCH(X7677,X$256:X7676,0)),1,0))</f>
        <v/>
      </c>
      <c r="AC7677">
        <f>IF(AB7677&gt;AB7676,AB7677,"")</f>
        <v/>
      </c>
    </row>
    <row r="7678">
      <c r="W7678" s="7" t="n"/>
      <c r="X7678" s="7" t="n"/>
      <c r="Z7678">
        <f>Z7677+IF(W7678="",0,IF(ISNA(MATCH(W7678,W$256:W7677,0)),1,0))</f>
        <v/>
      </c>
      <c r="AA7678">
        <f>IF(Z7678&gt;Z7677,Z7678,"")</f>
        <v/>
      </c>
      <c r="AB7678">
        <f>AB7677+IF(X7678="",0,IF(ISNA(MATCH(X7678,X$256:X7677,0)),1,0))</f>
        <v/>
      </c>
      <c r="AC7678">
        <f>IF(AB7678&gt;AB7677,AB7678,"")</f>
        <v/>
      </c>
    </row>
    <row r="7679">
      <c r="W7679" s="7" t="n"/>
      <c r="X7679" s="7" t="n"/>
      <c r="Z7679">
        <f>Z7678+IF(W7679="",0,IF(ISNA(MATCH(W7679,W$256:W7678,0)),1,0))</f>
        <v/>
      </c>
      <c r="AA7679">
        <f>IF(Z7679&gt;Z7678,Z7679,"")</f>
        <v/>
      </c>
      <c r="AB7679">
        <f>AB7678+IF(X7679="",0,IF(ISNA(MATCH(X7679,X$256:X7678,0)),1,0))</f>
        <v/>
      </c>
      <c r="AC7679">
        <f>IF(AB7679&gt;AB7678,AB7679,"")</f>
        <v/>
      </c>
    </row>
    <row r="7680">
      <c r="W7680" s="7" t="n"/>
      <c r="X7680" s="7" t="n"/>
      <c r="Z7680">
        <f>Z7679+IF(W7680="",0,IF(ISNA(MATCH(W7680,W$256:W7679,0)),1,0))</f>
        <v/>
      </c>
      <c r="AA7680">
        <f>IF(Z7680&gt;Z7679,Z7680,"")</f>
        <v/>
      </c>
      <c r="AB7680">
        <f>AB7679+IF(X7680="",0,IF(ISNA(MATCH(X7680,X$256:X7679,0)),1,0))</f>
        <v/>
      </c>
      <c r="AC7680">
        <f>IF(AB7680&gt;AB7679,AB7680,"")</f>
        <v/>
      </c>
    </row>
    <row r="7681">
      <c r="W7681" s="7" t="n"/>
      <c r="X7681" s="7" t="n"/>
      <c r="Z7681">
        <f>Z7680+IF(W7681="",0,IF(ISNA(MATCH(W7681,W$256:W7680,0)),1,0))</f>
        <v/>
      </c>
      <c r="AA7681">
        <f>IF(Z7681&gt;Z7680,Z7681,"")</f>
        <v/>
      </c>
      <c r="AB7681">
        <f>AB7680+IF(X7681="",0,IF(ISNA(MATCH(X7681,X$256:X7680,0)),1,0))</f>
        <v/>
      </c>
      <c r="AC7681">
        <f>IF(AB7681&gt;AB7680,AB7681,"")</f>
        <v/>
      </c>
    </row>
    <row r="7682">
      <c r="W7682" s="7" t="n"/>
      <c r="X7682" s="7" t="n"/>
      <c r="Z7682">
        <f>Z7681+IF(W7682="",0,IF(ISNA(MATCH(W7682,W$256:W7681,0)),1,0))</f>
        <v/>
      </c>
      <c r="AA7682">
        <f>IF(Z7682&gt;Z7681,Z7682,"")</f>
        <v/>
      </c>
      <c r="AB7682">
        <f>AB7681+IF(X7682="",0,IF(ISNA(MATCH(X7682,X$256:X7681,0)),1,0))</f>
        <v/>
      </c>
      <c r="AC7682">
        <f>IF(AB7682&gt;AB7681,AB7682,"")</f>
        <v/>
      </c>
    </row>
    <row r="7683">
      <c r="W7683" s="7" t="n"/>
      <c r="X7683" s="7" t="n"/>
      <c r="Z7683">
        <f>Z7682+IF(W7683="",0,IF(ISNA(MATCH(W7683,W$256:W7682,0)),1,0))</f>
        <v/>
      </c>
      <c r="AA7683">
        <f>IF(Z7683&gt;Z7682,Z7683,"")</f>
        <v/>
      </c>
      <c r="AB7683">
        <f>AB7682+IF(X7683="",0,IF(ISNA(MATCH(X7683,X$256:X7682,0)),1,0))</f>
        <v/>
      </c>
      <c r="AC7683">
        <f>IF(AB7683&gt;AB7682,AB7683,"")</f>
        <v/>
      </c>
    </row>
    <row r="7684">
      <c r="W7684" s="7" t="n"/>
      <c r="X7684" s="7" t="n"/>
      <c r="Z7684">
        <f>Z7683+IF(W7684="",0,IF(ISNA(MATCH(W7684,W$256:W7683,0)),1,0))</f>
        <v/>
      </c>
      <c r="AA7684">
        <f>IF(Z7684&gt;Z7683,Z7684,"")</f>
        <v/>
      </c>
      <c r="AB7684">
        <f>AB7683+IF(X7684="",0,IF(ISNA(MATCH(X7684,X$256:X7683,0)),1,0))</f>
        <v/>
      </c>
      <c r="AC7684">
        <f>IF(AB7684&gt;AB7683,AB7684,"")</f>
        <v/>
      </c>
    </row>
    <row r="7685">
      <c r="W7685" s="7" t="n"/>
      <c r="X7685" s="7" t="n"/>
      <c r="Z7685">
        <f>Z7684+IF(W7685="",0,IF(ISNA(MATCH(W7685,W$256:W7684,0)),1,0))</f>
        <v/>
      </c>
      <c r="AA7685">
        <f>IF(Z7685&gt;Z7684,Z7685,"")</f>
        <v/>
      </c>
      <c r="AB7685">
        <f>AB7684+IF(X7685="",0,IF(ISNA(MATCH(X7685,X$256:X7684,0)),1,0))</f>
        <v/>
      </c>
      <c r="AC7685">
        <f>IF(AB7685&gt;AB7684,AB7685,"")</f>
        <v/>
      </c>
    </row>
    <row r="7686">
      <c r="W7686" s="7" t="n"/>
      <c r="X7686" s="7" t="n"/>
      <c r="Z7686">
        <f>Z7685+IF(W7686="",0,IF(ISNA(MATCH(W7686,W$256:W7685,0)),1,0))</f>
        <v/>
      </c>
      <c r="AA7686">
        <f>IF(Z7686&gt;Z7685,Z7686,"")</f>
        <v/>
      </c>
      <c r="AB7686">
        <f>AB7685+IF(X7686="",0,IF(ISNA(MATCH(X7686,X$256:X7685,0)),1,0))</f>
        <v/>
      </c>
      <c r="AC7686">
        <f>IF(AB7686&gt;AB7685,AB7686,"")</f>
        <v/>
      </c>
    </row>
    <row r="7687">
      <c r="W7687" s="7" t="n"/>
      <c r="X7687" s="7" t="n"/>
      <c r="Z7687">
        <f>Z7686+IF(W7687="",0,IF(ISNA(MATCH(W7687,W$256:W7686,0)),1,0))</f>
        <v/>
      </c>
      <c r="AA7687">
        <f>IF(Z7687&gt;Z7686,Z7687,"")</f>
        <v/>
      </c>
      <c r="AB7687">
        <f>AB7686+IF(X7687="",0,IF(ISNA(MATCH(X7687,X$256:X7686,0)),1,0))</f>
        <v/>
      </c>
      <c r="AC7687">
        <f>IF(AB7687&gt;AB7686,AB7687,"")</f>
        <v/>
      </c>
    </row>
    <row r="7688">
      <c r="W7688" s="7" t="n"/>
      <c r="X7688" s="7" t="n"/>
      <c r="Z7688">
        <f>Z7687+IF(W7688="",0,IF(ISNA(MATCH(W7688,W$256:W7687,0)),1,0))</f>
        <v/>
      </c>
      <c r="AA7688">
        <f>IF(Z7688&gt;Z7687,Z7688,"")</f>
        <v/>
      </c>
      <c r="AB7688">
        <f>AB7687+IF(X7688="",0,IF(ISNA(MATCH(X7688,X$256:X7687,0)),1,0))</f>
        <v/>
      </c>
      <c r="AC7688">
        <f>IF(AB7688&gt;AB7687,AB7688,"")</f>
        <v/>
      </c>
    </row>
    <row r="7689">
      <c r="W7689" s="7" t="n"/>
      <c r="X7689" s="7" t="n"/>
      <c r="Z7689">
        <f>Z7688+IF(W7689="",0,IF(ISNA(MATCH(W7689,W$256:W7688,0)),1,0))</f>
        <v/>
      </c>
      <c r="AA7689">
        <f>IF(Z7689&gt;Z7688,Z7689,"")</f>
        <v/>
      </c>
      <c r="AB7689">
        <f>AB7688+IF(X7689="",0,IF(ISNA(MATCH(X7689,X$256:X7688,0)),1,0))</f>
        <v/>
      </c>
      <c r="AC7689">
        <f>IF(AB7689&gt;AB7688,AB7689,"")</f>
        <v/>
      </c>
    </row>
    <row r="7690">
      <c r="W7690" s="7" t="n"/>
      <c r="X7690" s="7" t="n"/>
      <c r="Z7690">
        <f>Z7689+IF(W7690="",0,IF(ISNA(MATCH(W7690,W$256:W7689,0)),1,0))</f>
        <v/>
      </c>
      <c r="AA7690">
        <f>IF(Z7690&gt;Z7689,Z7690,"")</f>
        <v/>
      </c>
      <c r="AB7690">
        <f>AB7689+IF(X7690="",0,IF(ISNA(MATCH(X7690,X$256:X7689,0)),1,0))</f>
        <v/>
      </c>
      <c r="AC7690">
        <f>IF(AB7690&gt;AB7689,AB7690,"")</f>
        <v/>
      </c>
    </row>
    <row r="7691">
      <c r="W7691" s="7" t="n"/>
      <c r="X7691" s="7" t="n"/>
      <c r="Z7691">
        <f>Z7690+IF(W7691="",0,IF(ISNA(MATCH(W7691,W$256:W7690,0)),1,0))</f>
        <v/>
      </c>
      <c r="AA7691">
        <f>IF(Z7691&gt;Z7690,Z7691,"")</f>
        <v/>
      </c>
      <c r="AB7691">
        <f>AB7690+IF(X7691="",0,IF(ISNA(MATCH(X7691,X$256:X7690,0)),1,0))</f>
        <v/>
      </c>
      <c r="AC7691">
        <f>IF(AB7691&gt;AB7690,AB7691,"")</f>
        <v/>
      </c>
    </row>
    <row r="7692">
      <c r="W7692" s="7" t="n"/>
      <c r="X7692" s="7" t="n"/>
      <c r="Z7692">
        <f>Z7691+IF(W7692="",0,IF(ISNA(MATCH(W7692,W$256:W7691,0)),1,0))</f>
        <v/>
      </c>
      <c r="AA7692">
        <f>IF(Z7692&gt;Z7691,Z7692,"")</f>
        <v/>
      </c>
      <c r="AB7692">
        <f>AB7691+IF(X7692="",0,IF(ISNA(MATCH(X7692,X$256:X7691,0)),1,0))</f>
        <v/>
      </c>
      <c r="AC7692">
        <f>IF(AB7692&gt;AB7691,AB7692,"")</f>
        <v/>
      </c>
    </row>
    <row r="7693">
      <c r="W7693" s="7" t="n"/>
      <c r="X7693" s="7" t="n"/>
      <c r="Z7693">
        <f>Z7692+IF(W7693="",0,IF(ISNA(MATCH(W7693,W$256:W7692,0)),1,0))</f>
        <v/>
      </c>
      <c r="AA7693">
        <f>IF(Z7693&gt;Z7692,Z7693,"")</f>
        <v/>
      </c>
      <c r="AB7693">
        <f>AB7692+IF(X7693="",0,IF(ISNA(MATCH(X7693,X$256:X7692,0)),1,0))</f>
        <v/>
      </c>
      <c r="AC7693">
        <f>IF(AB7693&gt;AB7692,AB7693,"")</f>
        <v/>
      </c>
    </row>
    <row r="7694">
      <c r="W7694" s="7" t="n"/>
      <c r="X7694" s="7" t="n"/>
      <c r="Z7694">
        <f>Z7693+IF(W7694="",0,IF(ISNA(MATCH(W7694,W$256:W7693,0)),1,0))</f>
        <v/>
      </c>
      <c r="AA7694">
        <f>IF(Z7694&gt;Z7693,Z7694,"")</f>
        <v/>
      </c>
      <c r="AB7694">
        <f>AB7693+IF(X7694="",0,IF(ISNA(MATCH(X7694,X$256:X7693,0)),1,0))</f>
        <v/>
      </c>
      <c r="AC7694">
        <f>IF(AB7694&gt;AB7693,AB7694,"")</f>
        <v/>
      </c>
    </row>
    <row r="7695">
      <c r="W7695" s="7" t="n"/>
      <c r="X7695" s="7" t="n"/>
      <c r="Z7695">
        <f>Z7694+IF(W7695="",0,IF(ISNA(MATCH(W7695,W$256:W7694,0)),1,0))</f>
        <v/>
      </c>
      <c r="AA7695">
        <f>IF(Z7695&gt;Z7694,Z7695,"")</f>
        <v/>
      </c>
      <c r="AB7695">
        <f>AB7694+IF(X7695="",0,IF(ISNA(MATCH(X7695,X$256:X7694,0)),1,0))</f>
        <v/>
      </c>
      <c r="AC7695">
        <f>IF(AB7695&gt;AB7694,AB7695,"")</f>
        <v/>
      </c>
    </row>
    <row r="7696">
      <c r="W7696" s="7" t="n"/>
      <c r="X7696" s="7" t="n"/>
      <c r="Z7696">
        <f>Z7695+IF(W7696="",0,IF(ISNA(MATCH(W7696,W$256:W7695,0)),1,0))</f>
        <v/>
      </c>
      <c r="AA7696">
        <f>IF(Z7696&gt;Z7695,Z7696,"")</f>
        <v/>
      </c>
      <c r="AB7696">
        <f>AB7695+IF(X7696="",0,IF(ISNA(MATCH(X7696,X$256:X7695,0)),1,0))</f>
        <v/>
      </c>
      <c r="AC7696">
        <f>IF(AB7696&gt;AB7695,AB7696,"")</f>
        <v/>
      </c>
    </row>
    <row r="7697">
      <c r="W7697" s="7" t="n"/>
      <c r="X7697" s="7" t="n"/>
      <c r="Z7697">
        <f>Z7696+IF(W7697="",0,IF(ISNA(MATCH(W7697,W$256:W7696,0)),1,0))</f>
        <v/>
      </c>
      <c r="AA7697">
        <f>IF(Z7697&gt;Z7696,Z7697,"")</f>
        <v/>
      </c>
      <c r="AB7697">
        <f>AB7696+IF(X7697="",0,IF(ISNA(MATCH(X7697,X$256:X7696,0)),1,0))</f>
        <v/>
      </c>
      <c r="AC7697">
        <f>IF(AB7697&gt;AB7696,AB7697,"")</f>
        <v/>
      </c>
    </row>
    <row r="7698">
      <c r="W7698" s="7" t="n"/>
      <c r="X7698" s="7" t="n"/>
      <c r="Z7698">
        <f>Z7697+IF(W7698="",0,IF(ISNA(MATCH(W7698,W$256:W7697,0)),1,0))</f>
        <v/>
      </c>
      <c r="AA7698">
        <f>IF(Z7698&gt;Z7697,Z7698,"")</f>
        <v/>
      </c>
      <c r="AB7698">
        <f>AB7697+IF(X7698="",0,IF(ISNA(MATCH(X7698,X$256:X7697,0)),1,0))</f>
        <v/>
      </c>
      <c r="AC7698">
        <f>IF(AB7698&gt;AB7697,AB7698,"")</f>
        <v/>
      </c>
    </row>
    <row r="7699">
      <c r="W7699" s="7" t="n"/>
      <c r="X7699" s="7" t="n"/>
      <c r="Z7699">
        <f>Z7698+IF(W7699="",0,IF(ISNA(MATCH(W7699,W$256:W7698,0)),1,0))</f>
        <v/>
      </c>
      <c r="AA7699">
        <f>IF(Z7699&gt;Z7698,Z7699,"")</f>
        <v/>
      </c>
      <c r="AB7699">
        <f>AB7698+IF(X7699="",0,IF(ISNA(MATCH(X7699,X$256:X7698,0)),1,0))</f>
        <v/>
      </c>
      <c r="AC7699">
        <f>IF(AB7699&gt;AB7698,AB7699,"")</f>
        <v/>
      </c>
    </row>
    <row r="7700">
      <c r="W7700" s="7" t="n"/>
      <c r="X7700" s="7" t="n"/>
      <c r="Z7700">
        <f>Z7699+IF(W7700="",0,IF(ISNA(MATCH(W7700,W$256:W7699,0)),1,0))</f>
        <v/>
      </c>
      <c r="AA7700">
        <f>IF(Z7700&gt;Z7699,Z7700,"")</f>
        <v/>
      </c>
      <c r="AB7700">
        <f>AB7699+IF(X7700="",0,IF(ISNA(MATCH(X7700,X$256:X7699,0)),1,0))</f>
        <v/>
      </c>
      <c r="AC7700">
        <f>IF(AB7700&gt;AB7699,AB7700,"")</f>
        <v/>
      </c>
    </row>
    <row r="7701">
      <c r="W7701" s="7" t="n"/>
      <c r="X7701" s="7" t="n"/>
      <c r="Z7701">
        <f>Z7700+IF(W7701="",0,IF(ISNA(MATCH(W7701,W$256:W7700,0)),1,0))</f>
        <v/>
      </c>
      <c r="AA7701">
        <f>IF(Z7701&gt;Z7700,Z7701,"")</f>
        <v/>
      </c>
      <c r="AB7701">
        <f>AB7700+IF(X7701="",0,IF(ISNA(MATCH(X7701,X$256:X7700,0)),1,0))</f>
        <v/>
      </c>
      <c r="AC7701">
        <f>IF(AB7701&gt;AB7700,AB7701,"")</f>
        <v/>
      </c>
    </row>
    <row r="7702">
      <c r="W7702" s="7" t="n"/>
      <c r="X7702" s="7" t="n"/>
      <c r="Z7702">
        <f>Z7701+IF(W7702="",0,IF(ISNA(MATCH(W7702,W$256:W7701,0)),1,0))</f>
        <v/>
      </c>
      <c r="AA7702">
        <f>IF(Z7702&gt;Z7701,Z7702,"")</f>
        <v/>
      </c>
      <c r="AB7702">
        <f>AB7701+IF(X7702="",0,IF(ISNA(MATCH(X7702,X$256:X7701,0)),1,0))</f>
        <v/>
      </c>
      <c r="AC7702">
        <f>IF(AB7702&gt;AB7701,AB7702,"")</f>
        <v/>
      </c>
    </row>
    <row r="7703">
      <c r="W7703" s="7" t="n"/>
      <c r="X7703" s="7" t="n"/>
      <c r="Z7703">
        <f>Z7702+IF(W7703="",0,IF(ISNA(MATCH(W7703,W$256:W7702,0)),1,0))</f>
        <v/>
      </c>
      <c r="AA7703">
        <f>IF(Z7703&gt;Z7702,Z7703,"")</f>
        <v/>
      </c>
      <c r="AB7703">
        <f>AB7702+IF(X7703="",0,IF(ISNA(MATCH(X7703,X$256:X7702,0)),1,0))</f>
        <v/>
      </c>
      <c r="AC7703">
        <f>IF(AB7703&gt;AB7702,AB7703,"")</f>
        <v/>
      </c>
    </row>
    <row r="7704">
      <c r="W7704" s="7" t="n"/>
      <c r="X7704" s="7" t="n"/>
      <c r="Z7704">
        <f>Z7703+IF(W7704="",0,IF(ISNA(MATCH(W7704,W$256:W7703,0)),1,0))</f>
        <v/>
      </c>
      <c r="AA7704">
        <f>IF(Z7704&gt;Z7703,Z7704,"")</f>
        <v/>
      </c>
      <c r="AB7704">
        <f>AB7703+IF(X7704="",0,IF(ISNA(MATCH(X7704,X$256:X7703,0)),1,0))</f>
        <v/>
      </c>
      <c r="AC7704">
        <f>IF(AB7704&gt;AB7703,AB7704,"")</f>
        <v/>
      </c>
    </row>
    <row r="7705">
      <c r="W7705" s="7" t="n"/>
      <c r="X7705" s="7" t="n"/>
      <c r="Z7705">
        <f>Z7704+IF(W7705="",0,IF(ISNA(MATCH(W7705,W$256:W7704,0)),1,0))</f>
        <v/>
      </c>
      <c r="AA7705">
        <f>IF(Z7705&gt;Z7704,Z7705,"")</f>
        <v/>
      </c>
      <c r="AB7705">
        <f>AB7704+IF(X7705="",0,IF(ISNA(MATCH(X7705,X$256:X7704,0)),1,0))</f>
        <v/>
      </c>
      <c r="AC7705">
        <f>IF(AB7705&gt;AB7704,AB7705,"")</f>
        <v/>
      </c>
    </row>
    <row r="7706">
      <c r="W7706" s="7" t="n"/>
      <c r="X7706" s="7" t="n"/>
      <c r="Z7706">
        <f>Z7705+IF(W7706="",0,IF(ISNA(MATCH(W7706,W$256:W7705,0)),1,0))</f>
        <v/>
      </c>
      <c r="AA7706">
        <f>IF(Z7706&gt;Z7705,Z7706,"")</f>
        <v/>
      </c>
      <c r="AB7706">
        <f>AB7705+IF(X7706="",0,IF(ISNA(MATCH(X7706,X$256:X7705,0)),1,0))</f>
        <v/>
      </c>
      <c r="AC7706">
        <f>IF(AB7706&gt;AB7705,AB7706,"")</f>
        <v/>
      </c>
    </row>
    <row r="7707">
      <c r="W7707" s="7" t="n"/>
      <c r="X7707" s="7" t="n"/>
      <c r="Z7707">
        <f>Z7706+IF(W7707="",0,IF(ISNA(MATCH(W7707,W$256:W7706,0)),1,0))</f>
        <v/>
      </c>
      <c r="AA7707">
        <f>IF(Z7707&gt;Z7706,Z7707,"")</f>
        <v/>
      </c>
      <c r="AB7707">
        <f>AB7706+IF(X7707="",0,IF(ISNA(MATCH(X7707,X$256:X7706,0)),1,0))</f>
        <v/>
      </c>
      <c r="AC7707">
        <f>IF(AB7707&gt;AB7706,AB7707,"")</f>
        <v/>
      </c>
    </row>
    <row r="7708">
      <c r="W7708" s="7" t="n"/>
      <c r="X7708" s="7" t="n"/>
      <c r="Z7708">
        <f>Z7707+IF(W7708="",0,IF(ISNA(MATCH(W7708,W$256:W7707,0)),1,0))</f>
        <v/>
      </c>
      <c r="AA7708">
        <f>IF(Z7708&gt;Z7707,Z7708,"")</f>
        <v/>
      </c>
      <c r="AB7708">
        <f>AB7707+IF(X7708="",0,IF(ISNA(MATCH(X7708,X$256:X7707,0)),1,0))</f>
        <v/>
      </c>
      <c r="AC7708">
        <f>IF(AB7708&gt;AB7707,AB7708,"")</f>
        <v/>
      </c>
    </row>
    <row r="7709">
      <c r="W7709" s="7" t="n"/>
      <c r="X7709" s="7" t="n"/>
      <c r="Z7709">
        <f>Z7708+IF(W7709="",0,IF(ISNA(MATCH(W7709,W$256:W7708,0)),1,0))</f>
        <v/>
      </c>
      <c r="AA7709">
        <f>IF(Z7709&gt;Z7708,Z7709,"")</f>
        <v/>
      </c>
      <c r="AB7709">
        <f>AB7708+IF(X7709="",0,IF(ISNA(MATCH(X7709,X$256:X7708,0)),1,0))</f>
        <v/>
      </c>
      <c r="AC7709">
        <f>IF(AB7709&gt;AB7708,AB7709,"")</f>
        <v/>
      </c>
    </row>
    <row r="7710">
      <c r="W7710" s="7" t="n"/>
      <c r="X7710" s="7" t="n"/>
      <c r="Z7710">
        <f>Z7709+IF(W7710="",0,IF(ISNA(MATCH(W7710,W$256:W7709,0)),1,0))</f>
        <v/>
      </c>
      <c r="AA7710">
        <f>IF(Z7710&gt;Z7709,Z7710,"")</f>
        <v/>
      </c>
      <c r="AB7710">
        <f>AB7709+IF(X7710="",0,IF(ISNA(MATCH(X7710,X$256:X7709,0)),1,0))</f>
        <v/>
      </c>
      <c r="AC7710">
        <f>IF(AB7710&gt;AB7709,AB7710,"")</f>
        <v/>
      </c>
    </row>
    <row r="7711">
      <c r="W7711" s="7" t="n"/>
      <c r="X7711" s="7" t="n"/>
      <c r="Z7711">
        <f>Z7710+IF(W7711="",0,IF(ISNA(MATCH(W7711,W$256:W7710,0)),1,0))</f>
        <v/>
      </c>
      <c r="AA7711">
        <f>IF(Z7711&gt;Z7710,Z7711,"")</f>
        <v/>
      </c>
      <c r="AB7711">
        <f>AB7710+IF(X7711="",0,IF(ISNA(MATCH(X7711,X$256:X7710,0)),1,0))</f>
        <v/>
      </c>
      <c r="AC7711">
        <f>IF(AB7711&gt;AB7710,AB7711,"")</f>
        <v/>
      </c>
    </row>
    <row r="7712">
      <c r="W7712" s="7" t="n"/>
      <c r="X7712" s="7" t="n"/>
      <c r="Z7712">
        <f>Z7711+IF(W7712="",0,IF(ISNA(MATCH(W7712,W$256:W7711,0)),1,0))</f>
        <v/>
      </c>
      <c r="AA7712">
        <f>IF(Z7712&gt;Z7711,Z7712,"")</f>
        <v/>
      </c>
      <c r="AB7712">
        <f>AB7711+IF(X7712="",0,IF(ISNA(MATCH(X7712,X$256:X7711,0)),1,0))</f>
        <v/>
      </c>
      <c r="AC7712">
        <f>IF(AB7712&gt;AB7711,AB7712,"")</f>
        <v/>
      </c>
    </row>
    <row r="7713">
      <c r="W7713" s="7" t="n"/>
      <c r="X7713" s="7" t="n"/>
      <c r="Z7713">
        <f>Z7712+IF(W7713="",0,IF(ISNA(MATCH(W7713,W$256:W7712,0)),1,0))</f>
        <v/>
      </c>
      <c r="AA7713">
        <f>IF(Z7713&gt;Z7712,Z7713,"")</f>
        <v/>
      </c>
      <c r="AB7713">
        <f>AB7712+IF(X7713="",0,IF(ISNA(MATCH(X7713,X$256:X7712,0)),1,0))</f>
        <v/>
      </c>
      <c r="AC7713">
        <f>IF(AB7713&gt;AB7712,AB7713,"")</f>
        <v/>
      </c>
    </row>
    <row r="7714">
      <c r="W7714" s="7" t="n"/>
      <c r="X7714" s="7" t="n"/>
      <c r="Z7714">
        <f>Z7713+IF(W7714="",0,IF(ISNA(MATCH(W7714,W$256:W7713,0)),1,0))</f>
        <v/>
      </c>
      <c r="AA7714">
        <f>IF(Z7714&gt;Z7713,Z7714,"")</f>
        <v/>
      </c>
      <c r="AB7714">
        <f>AB7713+IF(X7714="",0,IF(ISNA(MATCH(X7714,X$256:X7713,0)),1,0))</f>
        <v/>
      </c>
      <c r="AC7714">
        <f>IF(AB7714&gt;AB7713,AB7714,"")</f>
        <v/>
      </c>
    </row>
    <row r="7715">
      <c r="W7715" s="7" t="n"/>
      <c r="X7715" s="7" t="n"/>
      <c r="Z7715">
        <f>Z7714+IF(W7715="",0,IF(ISNA(MATCH(W7715,W$256:W7714,0)),1,0))</f>
        <v/>
      </c>
      <c r="AA7715">
        <f>IF(Z7715&gt;Z7714,Z7715,"")</f>
        <v/>
      </c>
      <c r="AB7715">
        <f>AB7714+IF(X7715="",0,IF(ISNA(MATCH(X7715,X$256:X7714,0)),1,0))</f>
        <v/>
      </c>
      <c r="AC7715">
        <f>IF(AB7715&gt;AB7714,AB7715,"")</f>
        <v/>
      </c>
    </row>
    <row r="7716">
      <c r="W7716" s="7" t="n"/>
      <c r="X7716" s="7" t="n"/>
      <c r="Z7716">
        <f>Z7715+IF(W7716="",0,IF(ISNA(MATCH(W7716,W$256:W7715,0)),1,0))</f>
        <v/>
      </c>
      <c r="AA7716">
        <f>IF(Z7716&gt;Z7715,Z7716,"")</f>
        <v/>
      </c>
      <c r="AB7716">
        <f>AB7715+IF(X7716="",0,IF(ISNA(MATCH(X7716,X$256:X7715,0)),1,0))</f>
        <v/>
      </c>
      <c r="AC7716">
        <f>IF(AB7716&gt;AB7715,AB7716,"")</f>
        <v/>
      </c>
    </row>
    <row r="7717">
      <c r="W7717" s="7" t="n"/>
      <c r="X7717" s="7" t="n"/>
      <c r="Z7717">
        <f>Z7716+IF(W7717="",0,IF(ISNA(MATCH(W7717,W$256:W7716,0)),1,0))</f>
        <v/>
      </c>
      <c r="AA7717">
        <f>IF(Z7717&gt;Z7716,Z7717,"")</f>
        <v/>
      </c>
      <c r="AB7717">
        <f>AB7716+IF(X7717="",0,IF(ISNA(MATCH(X7717,X$256:X7716,0)),1,0))</f>
        <v/>
      </c>
      <c r="AC7717">
        <f>IF(AB7717&gt;AB7716,AB7717,"")</f>
        <v/>
      </c>
    </row>
    <row r="7718">
      <c r="W7718" s="7" t="n"/>
      <c r="X7718" s="7" t="n"/>
      <c r="Z7718">
        <f>Z7717+IF(W7718="",0,IF(ISNA(MATCH(W7718,W$256:W7717,0)),1,0))</f>
        <v/>
      </c>
      <c r="AA7718">
        <f>IF(Z7718&gt;Z7717,Z7718,"")</f>
        <v/>
      </c>
      <c r="AB7718">
        <f>AB7717+IF(X7718="",0,IF(ISNA(MATCH(X7718,X$256:X7717,0)),1,0))</f>
        <v/>
      </c>
      <c r="AC7718">
        <f>IF(AB7718&gt;AB7717,AB7718,"")</f>
        <v/>
      </c>
    </row>
    <row r="7719">
      <c r="W7719" s="7" t="n"/>
      <c r="X7719" s="7" t="n"/>
      <c r="Z7719">
        <f>Z7718+IF(W7719="",0,IF(ISNA(MATCH(W7719,W$256:W7718,0)),1,0))</f>
        <v/>
      </c>
      <c r="AA7719">
        <f>IF(Z7719&gt;Z7718,Z7719,"")</f>
        <v/>
      </c>
      <c r="AB7719">
        <f>AB7718+IF(X7719="",0,IF(ISNA(MATCH(X7719,X$256:X7718,0)),1,0))</f>
        <v/>
      </c>
      <c r="AC7719">
        <f>IF(AB7719&gt;AB7718,AB7719,"")</f>
        <v/>
      </c>
    </row>
    <row r="7720">
      <c r="W7720" s="7" t="n"/>
      <c r="X7720" s="7" t="n"/>
      <c r="Z7720">
        <f>Z7719+IF(W7720="",0,IF(ISNA(MATCH(W7720,W$256:W7719,0)),1,0))</f>
        <v/>
      </c>
      <c r="AA7720">
        <f>IF(Z7720&gt;Z7719,Z7720,"")</f>
        <v/>
      </c>
      <c r="AB7720">
        <f>AB7719+IF(X7720="",0,IF(ISNA(MATCH(X7720,X$256:X7719,0)),1,0))</f>
        <v/>
      </c>
      <c r="AC7720">
        <f>IF(AB7720&gt;AB7719,AB7720,"")</f>
        <v/>
      </c>
    </row>
    <row r="7721">
      <c r="W7721" s="7" t="n"/>
      <c r="X7721" s="7" t="n"/>
      <c r="Z7721">
        <f>Z7720+IF(W7721="",0,IF(ISNA(MATCH(W7721,W$256:W7720,0)),1,0))</f>
        <v/>
      </c>
      <c r="AA7721">
        <f>IF(Z7721&gt;Z7720,Z7721,"")</f>
        <v/>
      </c>
      <c r="AB7721">
        <f>AB7720+IF(X7721="",0,IF(ISNA(MATCH(X7721,X$256:X7720,0)),1,0))</f>
        <v/>
      </c>
      <c r="AC7721">
        <f>IF(AB7721&gt;AB7720,AB7721,"")</f>
        <v/>
      </c>
    </row>
    <row r="7722">
      <c r="W7722" s="7" t="n"/>
      <c r="X7722" s="7" t="n"/>
      <c r="Z7722">
        <f>Z7721+IF(W7722="",0,IF(ISNA(MATCH(W7722,W$256:W7721,0)),1,0))</f>
        <v/>
      </c>
      <c r="AA7722">
        <f>IF(Z7722&gt;Z7721,Z7722,"")</f>
        <v/>
      </c>
      <c r="AB7722">
        <f>AB7721+IF(X7722="",0,IF(ISNA(MATCH(X7722,X$256:X7721,0)),1,0))</f>
        <v/>
      </c>
      <c r="AC7722">
        <f>IF(AB7722&gt;AB7721,AB7722,"")</f>
        <v/>
      </c>
    </row>
    <row r="7723">
      <c r="W7723" s="7" t="n"/>
      <c r="X7723" s="7" t="n"/>
      <c r="Z7723">
        <f>Z7722+IF(W7723="",0,IF(ISNA(MATCH(W7723,W$256:W7722,0)),1,0))</f>
        <v/>
      </c>
      <c r="AA7723">
        <f>IF(Z7723&gt;Z7722,Z7723,"")</f>
        <v/>
      </c>
      <c r="AB7723">
        <f>AB7722+IF(X7723="",0,IF(ISNA(MATCH(X7723,X$256:X7722,0)),1,0))</f>
        <v/>
      </c>
      <c r="AC7723">
        <f>IF(AB7723&gt;AB7722,AB7723,"")</f>
        <v/>
      </c>
    </row>
    <row r="7724">
      <c r="W7724" s="7" t="n"/>
      <c r="X7724" s="7" t="n"/>
      <c r="Z7724">
        <f>Z7723+IF(W7724="",0,IF(ISNA(MATCH(W7724,W$256:W7723,0)),1,0))</f>
        <v/>
      </c>
      <c r="AA7724">
        <f>IF(Z7724&gt;Z7723,Z7724,"")</f>
        <v/>
      </c>
      <c r="AB7724">
        <f>AB7723+IF(X7724="",0,IF(ISNA(MATCH(X7724,X$256:X7723,0)),1,0))</f>
        <v/>
      </c>
      <c r="AC7724">
        <f>IF(AB7724&gt;AB7723,AB7724,"")</f>
        <v/>
      </c>
    </row>
    <row r="7725">
      <c r="W7725" s="7" t="n"/>
      <c r="X7725" s="7" t="n"/>
      <c r="Z7725">
        <f>Z7724+IF(W7725="",0,IF(ISNA(MATCH(W7725,W$256:W7724,0)),1,0))</f>
        <v/>
      </c>
      <c r="AA7725">
        <f>IF(Z7725&gt;Z7724,Z7725,"")</f>
        <v/>
      </c>
      <c r="AB7725">
        <f>AB7724+IF(X7725="",0,IF(ISNA(MATCH(X7725,X$256:X7724,0)),1,0))</f>
        <v/>
      </c>
      <c r="AC7725">
        <f>IF(AB7725&gt;AB7724,AB7725,"")</f>
        <v/>
      </c>
    </row>
    <row r="7726">
      <c r="W7726" s="7" t="n"/>
      <c r="X7726" s="7" t="n"/>
      <c r="Z7726">
        <f>Z7725+IF(W7726="",0,IF(ISNA(MATCH(W7726,W$256:W7725,0)),1,0))</f>
        <v/>
      </c>
      <c r="AA7726">
        <f>IF(Z7726&gt;Z7725,Z7726,"")</f>
        <v/>
      </c>
      <c r="AB7726">
        <f>AB7725+IF(X7726="",0,IF(ISNA(MATCH(X7726,X$256:X7725,0)),1,0))</f>
        <v/>
      </c>
      <c r="AC7726">
        <f>IF(AB7726&gt;AB7725,AB7726,"")</f>
        <v/>
      </c>
    </row>
    <row r="7727">
      <c r="W7727" s="7" t="n"/>
      <c r="X7727" s="7" t="n"/>
      <c r="Z7727">
        <f>Z7726+IF(W7727="",0,IF(ISNA(MATCH(W7727,W$256:W7726,0)),1,0))</f>
        <v/>
      </c>
      <c r="AA7727">
        <f>IF(Z7727&gt;Z7726,Z7727,"")</f>
        <v/>
      </c>
      <c r="AB7727">
        <f>AB7726+IF(X7727="",0,IF(ISNA(MATCH(X7727,X$256:X7726,0)),1,0))</f>
        <v/>
      </c>
      <c r="AC7727">
        <f>IF(AB7727&gt;AB7726,AB7727,"")</f>
        <v/>
      </c>
    </row>
    <row r="7728">
      <c r="W7728" s="7" t="n"/>
      <c r="X7728" s="7" t="n"/>
      <c r="Z7728">
        <f>Z7727+IF(W7728="",0,IF(ISNA(MATCH(W7728,W$256:W7727,0)),1,0))</f>
        <v/>
      </c>
      <c r="AA7728">
        <f>IF(Z7728&gt;Z7727,Z7728,"")</f>
        <v/>
      </c>
      <c r="AB7728">
        <f>AB7727+IF(X7728="",0,IF(ISNA(MATCH(X7728,X$256:X7727,0)),1,0))</f>
        <v/>
      </c>
      <c r="AC7728">
        <f>IF(AB7728&gt;AB7727,AB7728,"")</f>
        <v/>
      </c>
    </row>
    <row r="7729">
      <c r="W7729" s="7" t="n"/>
      <c r="X7729" s="7" t="n"/>
      <c r="Z7729">
        <f>Z7728+IF(W7729="",0,IF(ISNA(MATCH(W7729,W$256:W7728,0)),1,0))</f>
        <v/>
      </c>
      <c r="AA7729">
        <f>IF(Z7729&gt;Z7728,Z7729,"")</f>
        <v/>
      </c>
      <c r="AB7729">
        <f>AB7728+IF(X7729="",0,IF(ISNA(MATCH(X7729,X$256:X7728,0)),1,0))</f>
        <v/>
      </c>
      <c r="AC7729">
        <f>IF(AB7729&gt;AB7728,AB7729,"")</f>
        <v/>
      </c>
    </row>
    <row r="7730">
      <c r="W7730" s="7" t="n"/>
      <c r="X7730" s="7" t="n"/>
      <c r="Z7730">
        <f>Z7729+IF(W7730="",0,IF(ISNA(MATCH(W7730,W$256:W7729,0)),1,0))</f>
        <v/>
      </c>
      <c r="AA7730">
        <f>IF(Z7730&gt;Z7729,Z7730,"")</f>
        <v/>
      </c>
      <c r="AB7730">
        <f>AB7729+IF(X7730="",0,IF(ISNA(MATCH(X7730,X$256:X7729,0)),1,0))</f>
        <v/>
      </c>
      <c r="AC7730">
        <f>IF(AB7730&gt;AB7729,AB7730,"")</f>
        <v/>
      </c>
    </row>
    <row r="7731">
      <c r="W7731" s="7" t="n"/>
      <c r="X7731" s="7" t="n"/>
      <c r="Z7731">
        <f>Z7730+IF(W7731="",0,IF(ISNA(MATCH(W7731,W$256:W7730,0)),1,0))</f>
        <v/>
      </c>
      <c r="AA7731">
        <f>IF(Z7731&gt;Z7730,Z7731,"")</f>
        <v/>
      </c>
      <c r="AB7731">
        <f>AB7730+IF(X7731="",0,IF(ISNA(MATCH(X7731,X$256:X7730,0)),1,0))</f>
        <v/>
      </c>
      <c r="AC7731">
        <f>IF(AB7731&gt;AB7730,AB7731,"")</f>
        <v/>
      </c>
    </row>
    <row r="7732">
      <c r="W7732" s="7" t="n"/>
      <c r="X7732" s="7" t="n"/>
      <c r="Z7732">
        <f>Z7731+IF(W7732="",0,IF(ISNA(MATCH(W7732,W$256:W7731,0)),1,0))</f>
        <v/>
      </c>
      <c r="AA7732">
        <f>IF(Z7732&gt;Z7731,Z7732,"")</f>
        <v/>
      </c>
      <c r="AB7732">
        <f>AB7731+IF(X7732="",0,IF(ISNA(MATCH(X7732,X$256:X7731,0)),1,0))</f>
        <v/>
      </c>
      <c r="AC7732">
        <f>IF(AB7732&gt;AB7731,AB7732,"")</f>
        <v/>
      </c>
    </row>
    <row r="7733">
      <c r="W7733" s="7" t="n"/>
      <c r="X7733" s="7" t="n"/>
      <c r="Z7733">
        <f>Z7732+IF(W7733="",0,IF(ISNA(MATCH(W7733,W$256:W7732,0)),1,0))</f>
        <v/>
      </c>
      <c r="AA7733">
        <f>IF(Z7733&gt;Z7732,Z7733,"")</f>
        <v/>
      </c>
      <c r="AB7733">
        <f>AB7732+IF(X7733="",0,IF(ISNA(MATCH(X7733,X$256:X7732,0)),1,0))</f>
        <v/>
      </c>
      <c r="AC7733">
        <f>IF(AB7733&gt;AB7732,AB7733,"")</f>
        <v/>
      </c>
    </row>
    <row r="7734">
      <c r="W7734" s="7" t="n"/>
      <c r="X7734" s="7" t="n"/>
      <c r="Z7734">
        <f>Z7733+IF(W7734="",0,IF(ISNA(MATCH(W7734,W$256:W7733,0)),1,0))</f>
        <v/>
      </c>
      <c r="AA7734">
        <f>IF(Z7734&gt;Z7733,Z7734,"")</f>
        <v/>
      </c>
      <c r="AB7734">
        <f>AB7733+IF(X7734="",0,IF(ISNA(MATCH(X7734,X$256:X7733,0)),1,0))</f>
        <v/>
      </c>
      <c r="AC7734">
        <f>IF(AB7734&gt;AB7733,AB7734,"")</f>
        <v/>
      </c>
    </row>
    <row r="7735">
      <c r="W7735" s="7" t="n"/>
      <c r="X7735" s="7" t="n"/>
      <c r="Z7735">
        <f>Z7734+IF(W7735="",0,IF(ISNA(MATCH(W7735,W$256:W7734,0)),1,0))</f>
        <v/>
      </c>
      <c r="AA7735">
        <f>IF(Z7735&gt;Z7734,Z7735,"")</f>
        <v/>
      </c>
      <c r="AB7735">
        <f>AB7734+IF(X7735="",0,IF(ISNA(MATCH(X7735,X$256:X7734,0)),1,0))</f>
        <v/>
      </c>
      <c r="AC7735">
        <f>IF(AB7735&gt;AB7734,AB7735,"")</f>
        <v/>
      </c>
    </row>
    <row r="7736">
      <c r="W7736" s="7" t="n"/>
      <c r="X7736" s="7" t="n"/>
      <c r="Z7736">
        <f>Z7735+IF(W7736="",0,IF(ISNA(MATCH(W7736,W$256:W7735,0)),1,0))</f>
        <v/>
      </c>
      <c r="AA7736">
        <f>IF(Z7736&gt;Z7735,Z7736,"")</f>
        <v/>
      </c>
      <c r="AB7736">
        <f>AB7735+IF(X7736="",0,IF(ISNA(MATCH(X7736,X$256:X7735,0)),1,0))</f>
        <v/>
      </c>
      <c r="AC7736">
        <f>IF(AB7736&gt;AB7735,AB7736,"")</f>
        <v/>
      </c>
    </row>
    <row r="7737">
      <c r="W7737" s="7" t="n"/>
      <c r="X7737" s="7" t="n"/>
      <c r="Z7737">
        <f>Z7736+IF(W7737="",0,IF(ISNA(MATCH(W7737,W$256:W7736,0)),1,0))</f>
        <v/>
      </c>
      <c r="AA7737">
        <f>IF(Z7737&gt;Z7736,Z7737,"")</f>
        <v/>
      </c>
      <c r="AB7737">
        <f>AB7736+IF(X7737="",0,IF(ISNA(MATCH(X7737,X$256:X7736,0)),1,0))</f>
        <v/>
      </c>
      <c r="AC7737">
        <f>IF(AB7737&gt;AB7736,AB7737,"")</f>
        <v/>
      </c>
    </row>
    <row r="7738">
      <c r="W7738" s="7" t="n"/>
      <c r="X7738" s="7" t="n"/>
      <c r="Z7738">
        <f>Z7737+IF(W7738="",0,IF(ISNA(MATCH(W7738,W$256:W7737,0)),1,0))</f>
        <v/>
      </c>
      <c r="AA7738">
        <f>IF(Z7738&gt;Z7737,Z7738,"")</f>
        <v/>
      </c>
      <c r="AB7738">
        <f>AB7737+IF(X7738="",0,IF(ISNA(MATCH(X7738,X$256:X7737,0)),1,0))</f>
        <v/>
      </c>
      <c r="AC7738">
        <f>IF(AB7738&gt;AB7737,AB7738,"")</f>
        <v/>
      </c>
    </row>
    <row r="7739">
      <c r="W7739" s="7" t="n"/>
      <c r="X7739" s="7" t="n"/>
      <c r="Z7739">
        <f>Z7738+IF(W7739="",0,IF(ISNA(MATCH(W7739,W$256:W7738,0)),1,0))</f>
        <v/>
      </c>
      <c r="AA7739">
        <f>IF(Z7739&gt;Z7738,Z7739,"")</f>
        <v/>
      </c>
      <c r="AB7739">
        <f>AB7738+IF(X7739="",0,IF(ISNA(MATCH(X7739,X$256:X7738,0)),1,0))</f>
        <v/>
      </c>
      <c r="AC7739">
        <f>IF(AB7739&gt;AB7738,AB7739,"")</f>
        <v/>
      </c>
    </row>
    <row r="7740">
      <c r="W7740" s="7" t="n"/>
      <c r="X7740" s="7" t="n"/>
      <c r="Z7740">
        <f>Z7739+IF(W7740="",0,IF(ISNA(MATCH(W7740,W$256:W7739,0)),1,0))</f>
        <v/>
      </c>
      <c r="AA7740">
        <f>IF(Z7740&gt;Z7739,Z7740,"")</f>
        <v/>
      </c>
      <c r="AB7740">
        <f>AB7739+IF(X7740="",0,IF(ISNA(MATCH(X7740,X$256:X7739,0)),1,0))</f>
        <v/>
      </c>
      <c r="AC7740">
        <f>IF(AB7740&gt;AB7739,AB7740,"")</f>
        <v/>
      </c>
    </row>
    <row r="7741">
      <c r="W7741" s="7" t="n"/>
      <c r="X7741" s="7" t="n"/>
      <c r="Z7741">
        <f>Z7740+IF(W7741="",0,IF(ISNA(MATCH(W7741,W$256:W7740,0)),1,0))</f>
        <v/>
      </c>
      <c r="AA7741">
        <f>IF(Z7741&gt;Z7740,Z7741,"")</f>
        <v/>
      </c>
      <c r="AB7741">
        <f>AB7740+IF(X7741="",0,IF(ISNA(MATCH(X7741,X$256:X7740,0)),1,0))</f>
        <v/>
      </c>
      <c r="AC7741">
        <f>IF(AB7741&gt;AB7740,AB7741,"")</f>
        <v/>
      </c>
    </row>
    <row r="7742">
      <c r="W7742" s="7" t="n"/>
      <c r="X7742" s="7" t="n"/>
      <c r="Z7742">
        <f>Z7741+IF(W7742="",0,IF(ISNA(MATCH(W7742,W$256:W7741,0)),1,0))</f>
        <v/>
      </c>
      <c r="AA7742">
        <f>IF(Z7742&gt;Z7741,Z7742,"")</f>
        <v/>
      </c>
      <c r="AB7742">
        <f>AB7741+IF(X7742="",0,IF(ISNA(MATCH(X7742,X$256:X7741,0)),1,0))</f>
        <v/>
      </c>
      <c r="AC7742">
        <f>IF(AB7742&gt;AB7741,AB7742,"")</f>
        <v/>
      </c>
    </row>
    <row r="7743">
      <c r="W7743" s="7" t="n"/>
      <c r="X7743" s="7" t="n"/>
      <c r="Z7743">
        <f>Z7742+IF(W7743="",0,IF(ISNA(MATCH(W7743,W$256:W7742,0)),1,0))</f>
        <v/>
      </c>
      <c r="AA7743">
        <f>IF(Z7743&gt;Z7742,Z7743,"")</f>
        <v/>
      </c>
      <c r="AB7743">
        <f>AB7742+IF(X7743="",0,IF(ISNA(MATCH(X7743,X$256:X7742,0)),1,0))</f>
        <v/>
      </c>
      <c r="AC7743">
        <f>IF(AB7743&gt;AB7742,AB7743,"")</f>
        <v/>
      </c>
    </row>
    <row r="7744">
      <c r="W7744" s="7" t="n"/>
      <c r="X7744" s="7" t="n"/>
      <c r="Z7744">
        <f>Z7743+IF(W7744="",0,IF(ISNA(MATCH(W7744,W$256:W7743,0)),1,0))</f>
        <v/>
      </c>
      <c r="AA7744">
        <f>IF(Z7744&gt;Z7743,Z7744,"")</f>
        <v/>
      </c>
      <c r="AB7744">
        <f>AB7743+IF(X7744="",0,IF(ISNA(MATCH(X7744,X$256:X7743,0)),1,0))</f>
        <v/>
      </c>
      <c r="AC7744">
        <f>IF(AB7744&gt;AB7743,AB7744,"")</f>
        <v/>
      </c>
    </row>
    <row r="7745">
      <c r="W7745" s="7" t="n"/>
      <c r="X7745" s="7" t="n"/>
      <c r="Z7745">
        <f>Z7744+IF(W7745="",0,IF(ISNA(MATCH(W7745,W$256:W7744,0)),1,0))</f>
        <v/>
      </c>
      <c r="AA7745">
        <f>IF(Z7745&gt;Z7744,Z7745,"")</f>
        <v/>
      </c>
      <c r="AB7745">
        <f>AB7744+IF(X7745="",0,IF(ISNA(MATCH(X7745,X$256:X7744,0)),1,0))</f>
        <v/>
      </c>
      <c r="AC7745">
        <f>IF(AB7745&gt;AB7744,AB7745,"")</f>
        <v/>
      </c>
    </row>
    <row r="7746">
      <c r="W7746" s="7" t="n"/>
      <c r="X7746" s="7" t="n"/>
      <c r="Z7746">
        <f>Z7745+IF(W7746="",0,IF(ISNA(MATCH(W7746,W$256:W7745,0)),1,0))</f>
        <v/>
      </c>
      <c r="AA7746">
        <f>IF(Z7746&gt;Z7745,Z7746,"")</f>
        <v/>
      </c>
      <c r="AB7746">
        <f>AB7745+IF(X7746="",0,IF(ISNA(MATCH(X7746,X$256:X7745,0)),1,0))</f>
        <v/>
      </c>
      <c r="AC7746">
        <f>IF(AB7746&gt;AB7745,AB7746,"")</f>
        <v/>
      </c>
    </row>
    <row r="7747">
      <c r="W7747" s="7" t="n"/>
      <c r="X7747" s="7" t="n"/>
      <c r="Z7747">
        <f>Z7746+IF(W7747="",0,IF(ISNA(MATCH(W7747,W$256:W7746,0)),1,0))</f>
        <v/>
      </c>
      <c r="AA7747">
        <f>IF(Z7747&gt;Z7746,Z7747,"")</f>
        <v/>
      </c>
      <c r="AB7747">
        <f>AB7746+IF(X7747="",0,IF(ISNA(MATCH(X7747,X$256:X7746,0)),1,0))</f>
        <v/>
      </c>
      <c r="AC7747">
        <f>IF(AB7747&gt;AB7746,AB7747,"")</f>
        <v/>
      </c>
    </row>
    <row r="7748">
      <c r="W7748" s="7" t="n"/>
      <c r="X7748" s="7" t="n"/>
      <c r="Z7748">
        <f>Z7747+IF(W7748="",0,IF(ISNA(MATCH(W7748,W$256:W7747,0)),1,0))</f>
        <v/>
      </c>
      <c r="AA7748">
        <f>IF(Z7748&gt;Z7747,Z7748,"")</f>
        <v/>
      </c>
      <c r="AB7748">
        <f>AB7747+IF(X7748="",0,IF(ISNA(MATCH(X7748,X$256:X7747,0)),1,0))</f>
        <v/>
      </c>
      <c r="AC7748">
        <f>IF(AB7748&gt;AB7747,AB7748,"")</f>
        <v/>
      </c>
    </row>
    <row r="7749">
      <c r="W7749" s="7" t="n"/>
      <c r="X7749" s="7" t="n"/>
      <c r="Z7749">
        <f>Z7748+IF(W7749="",0,IF(ISNA(MATCH(W7749,W$256:W7748,0)),1,0))</f>
        <v/>
      </c>
      <c r="AA7749">
        <f>IF(Z7749&gt;Z7748,Z7749,"")</f>
        <v/>
      </c>
      <c r="AB7749">
        <f>AB7748+IF(X7749="",0,IF(ISNA(MATCH(X7749,X$256:X7748,0)),1,0))</f>
        <v/>
      </c>
      <c r="AC7749">
        <f>IF(AB7749&gt;AB7748,AB7749,"")</f>
        <v/>
      </c>
    </row>
    <row r="7750">
      <c r="W7750" s="7" t="n"/>
      <c r="X7750" s="7" t="n"/>
      <c r="Z7750">
        <f>Z7749+IF(W7750="",0,IF(ISNA(MATCH(W7750,W$256:W7749,0)),1,0))</f>
        <v/>
      </c>
      <c r="AA7750">
        <f>IF(Z7750&gt;Z7749,Z7750,"")</f>
        <v/>
      </c>
      <c r="AB7750">
        <f>AB7749+IF(X7750="",0,IF(ISNA(MATCH(X7750,X$256:X7749,0)),1,0))</f>
        <v/>
      </c>
      <c r="AC7750">
        <f>IF(AB7750&gt;AB7749,AB7750,"")</f>
        <v/>
      </c>
    </row>
    <row r="7751">
      <c r="W7751" s="7" t="n"/>
      <c r="X7751" s="7" t="n"/>
      <c r="Z7751">
        <f>Z7750+IF(W7751="",0,IF(ISNA(MATCH(W7751,W$256:W7750,0)),1,0))</f>
        <v/>
      </c>
      <c r="AA7751">
        <f>IF(Z7751&gt;Z7750,Z7751,"")</f>
        <v/>
      </c>
      <c r="AB7751">
        <f>AB7750+IF(X7751="",0,IF(ISNA(MATCH(X7751,X$256:X7750,0)),1,0))</f>
        <v/>
      </c>
      <c r="AC7751">
        <f>IF(AB7751&gt;AB7750,AB7751,"")</f>
        <v/>
      </c>
    </row>
    <row r="7752">
      <c r="W7752" s="7" t="n"/>
      <c r="X7752" s="7" t="n"/>
      <c r="Z7752">
        <f>Z7751+IF(W7752="",0,IF(ISNA(MATCH(W7752,W$256:W7751,0)),1,0))</f>
        <v/>
      </c>
      <c r="AA7752">
        <f>IF(Z7752&gt;Z7751,Z7752,"")</f>
        <v/>
      </c>
      <c r="AB7752">
        <f>AB7751+IF(X7752="",0,IF(ISNA(MATCH(X7752,X$256:X7751,0)),1,0))</f>
        <v/>
      </c>
      <c r="AC7752">
        <f>IF(AB7752&gt;AB7751,AB7752,"")</f>
        <v/>
      </c>
    </row>
    <row r="7753">
      <c r="W7753" s="7" t="n"/>
      <c r="X7753" s="7" t="n"/>
      <c r="Z7753">
        <f>Z7752+IF(W7753="",0,IF(ISNA(MATCH(W7753,W$256:W7752,0)),1,0))</f>
        <v/>
      </c>
      <c r="AA7753">
        <f>IF(Z7753&gt;Z7752,Z7753,"")</f>
        <v/>
      </c>
      <c r="AB7753">
        <f>AB7752+IF(X7753="",0,IF(ISNA(MATCH(X7753,X$256:X7752,0)),1,0))</f>
        <v/>
      </c>
      <c r="AC7753">
        <f>IF(AB7753&gt;AB7752,AB7753,"")</f>
        <v/>
      </c>
    </row>
    <row r="7754">
      <c r="W7754" s="7" t="n"/>
      <c r="X7754" s="7" t="n"/>
      <c r="Z7754">
        <f>Z7753+IF(W7754="",0,IF(ISNA(MATCH(W7754,W$256:W7753,0)),1,0))</f>
        <v/>
      </c>
      <c r="AA7754">
        <f>IF(Z7754&gt;Z7753,Z7754,"")</f>
        <v/>
      </c>
      <c r="AB7754">
        <f>AB7753+IF(X7754="",0,IF(ISNA(MATCH(X7754,X$256:X7753,0)),1,0))</f>
        <v/>
      </c>
      <c r="AC7754">
        <f>IF(AB7754&gt;AB7753,AB7754,"")</f>
        <v/>
      </c>
    </row>
    <row r="7755">
      <c r="W7755" s="7" t="n"/>
      <c r="X7755" s="7" t="n"/>
      <c r="Z7755">
        <f>Z7754+IF(W7755="",0,IF(ISNA(MATCH(W7755,W$256:W7754,0)),1,0))</f>
        <v/>
      </c>
      <c r="AA7755">
        <f>IF(Z7755&gt;Z7754,Z7755,"")</f>
        <v/>
      </c>
      <c r="AB7755">
        <f>AB7754+IF(X7755="",0,IF(ISNA(MATCH(X7755,X$256:X7754,0)),1,0))</f>
        <v/>
      </c>
      <c r="AC7755">
        <f>IF(AB7755&gt;AB7754,AB7755,"")</f>
        <v/>
      </c>
    </row>
    <row r="7756">
      <c r="W7756" s="7" t="n"/>
      <c r="X7756" s="7" t="n"/>
      <c r="Z7756">
        <f>Z7755+IF(W7756="",0,IF(ISNA(MATCH(W7756,W$256:W7755,0)),1,0))</f>
        <v/>
      </c>
      <c r="AA7756">
        <f>IF(Z7756&gt;Z7755,Z7756,"")</f>
        <v/>
      </c>
      <c r="AB7756">
        <f>AB7755+IF(X7756="",0,IF(ISNA(MATCH(X7756,X$256:X7755,0)),1,0))</f>
        <v/>
      </c>
      <c r="AC7756">
        <f>IF(AB7756&gt;AB7755,AB7756,"")</f>
        <v/>
      </c>
    </row>
    <row r="7757">
      <c r="W7757" s="7" t="n"/>
      <c r="X7757" s="7" t="n"/>
      <c r="Z7757">
        <f>Z7756+IF(W7757="",0,IF(ISNA(MATCH(W7757,W$256:W7756,0)),1,0))</f>
        <v/>
      </c>
      <c r="AA7757">
        <f>IF(Z7757&gt;Z7756,Z7757,"")</f>
        <v/>
      </c>
      <c r="AB7757">
        <f>AB7756+IF(X7757="",0,IF(ISNA(MATCH(X7757,X$256:X7756,0)),1,0))</f>
        <v/>
      </c>
      <c r="AC7757">
        <f>IF(AB7757&gt;AB7756,AB7757,"")</f>
        <v/>
      </c>
    </row>
    <row r="7758">
      <c r="W7758" s="7" t="n"/>
      <c r="X7758" s="7" t="n"/>
      <c r="Z7758">
        <f>Z7757+IF(W7758="",0,IF(ISNA(MATCH(W7758,W$256:W7757,0)),1,0))</f>
        <v/>
      </c>
      <c r="AA7758">
        <f>IF(Z7758&gt;Z7757,Z7758,"")</f>
        <v/>
      </c>
      <c r="AB7758">
        <f>AB7757+IF(X7758="",0,IF(ISNA(MATCH(X7758,X$256:X7757,0)),1,0))</f>
        <v/>
      </c>
      <c r="AC7758">
        <f>IF(AB7758&gt;AB7757,AB7758,"")</f>
        <v/>
      </c>
    </row>
    <row r="7759">
      <c r="W7759" s="7" t="n"/>
      <c r="X7759" s="7" t="n"/>
      <c r="Z7759">
        <f>Z7758+IF(W7759="",0,IF(ISNA(MATCH(W7759,W$256:W7758,0)),1,0))</f>
        <v/>
      </c>
      <c r="AA7759">
        <f>IF(Z7759&gt;Z7758,Z7759,"")</f>
        <v/>
      </c>
      <c r="AB7759">
        <f>AB7758+IF(X7759="",0,IF(ISNA(MATCH(X7759,X$256:X7758,0)),1,0))</f>
        <v/>
      </c>
      <c r="AC7759">
        <f>IF(AB7759&gt;AB7758,AB7759,"")</f>
        <v/>
      </c>
    </row>
    <row r="7760">
      <c r="W7760" s="7" t="n"/>
      <c r="X7760" s="7" t="n"/>
      <c r="Z7760">
        <f>Z7759+IF(W7760="",0,IF(ISNA(MATCH(W7760,W$256:W7759,0)),1,0))</f>
        <v/>
      </c>
      <c r="AA7760">
        <f>IF(Z7760&gt;Z7759,Z7760,"")</f>
        <v/>
      </c>
      <c r="AB7760">
        <f>AB7759+IF(X7760="",0,IF(ISNA(MATCH(X7760,X$256:X7759,0)),1,0))</f>
        <v/>
      </c>
      <c r="AC7760">
        <f>IF(AB7760&gt;AB7759,AB7760,"")</f>
        <v/>
      </c>
    </row>
    <row r="7761">
      <c r="W7761" s="7" t="n"/>
      <c r="X7761" s="7" t="n"/>
      <c r="Z7761">
        <f>Z7760+IF(W7761="",0,IF(ISNA(MATCH(W7761,W$256:W7760,0)),1,0))</f>
        <v/>
      </c>
      <c r="AA7761">
        <f>IF(Z7761&gt;Z7760,Z7761,"")</f>
        <v/>
      </c>
      <c r="AB7761">
        <f>AB7760+IF(X7761="",0,IF(ISNA(MATCH(X7761,X$256:X7760,0)),1,0))</f>
        <v/>
      </c>
      <c r="AC7761">
        <f>IF(AB7761&gt;AB7760,AB7761,"")</f>
        <v/>
      </c>
    </row>
    <row r="7762">
      <c r="W7762" s="7" t="n"/>
      <c r="X7762" s="7" t="n"/>
      <c r="Z7762">
        <f>Z7761+IF(W7762="",0,IF(ISNA(MATCH(W7762,W$256:W7761,0)),1,0))</f>
        <v/>
      </c>
      <c r="AA7762">
        <f>IF(Z7762&gt;Z7761,Z7762,"")</f>
        <v/>
      </c>
      <c r="AB7762">
        <f>AB7761+IF(X7762="",0,IF(ISNA(MATCH(X7762,X$256:X7761,0)),1,0))</f>
        <v/>
      </c>
      <c r="AC7762">
        <f>IF(AB7762&gt;AB7761,AB7762,"")</f>
        <v/>
      </c>
    </row>
    <row r="7763">
      <c r="W7763" s="7" t="n"/>
      <c r="X7763" s="7" t="n"/>
      <c r="Z7763">
        <f>Z7762+IF(W7763="",0,IF(ISNA(MATCH(W7763,W$256:W7762,0)),1,0))</f>
        <v/>
      </c>
      <c r="AA7763">
        <f>IF(Z7763&gt;Z7762,Z7763,"")</f>
        <v/>
      </c>
      <c r="AB7763">
        <f>AB7762+IF(X7763="",0,IF(ISNA(MATCH(X7763,X$256:X7762,0)),1,0))</f>
        <v/>
      </c>
      <c r="AC7763">
        <f>IF(AB7763&gt;AB7762,AB7763,"")</f>
        <v/>
      </c>
    </row>
    <row r="7764">
      <c r="W7764" s="7" t="n"/>
      <c r="X7764" s="7" t="n"/>
      <c r="Z7764">
        <f>Z7763+IF(W7764="",0,IF(ISNA(MATCH(W7764,W$256:W7763,0)),1,0))</f>
        <v/>
      </c>
      <c r="AA7764">
        <f>IF(Z7764&gt;Z7763,Z7764,"")</f>
        <v/>
      </c>
      <c r="AB7764">
        <f>AB7763+IF(X7764="",0,IF(ISNA(MATCH(X7764,X$256:X7763,0)),1,0))</f>
        <v/>
      </c>
      <c r="AC7764">
        <f>IF(AB7764&gt;AB7763,AB7764,"")</f>
        <v/>
      </c>
    </row>
    <row r="7765">
      <c r="W7765" s="7" t="n"/>
      <c r="X7765" s="7" t="n"/>
      <c r="Z7765">
        <f>Z7764+IF(W7765="",0,IF(ISNA(MATCH(W7765,W$256:W7764,0)),1,0))</f>
        <v/>
      </c>
      <c r="AA7765">
        <f>IF(Z7765&gt;Z7764,Z7765,"")</f>
        <v/>
      </c>
      <c r="AB7765">
        <f>AB7764+IF(X7765="",0,IF(ISNA(MATCH(X7765,X$256:X7764,0)),1,0))</f>
        <v/>
      </c>
      <c r="AC7765">
        <f>IF(AB7765&gt;AB7764,AB7765,"")</f>
        <v/>
      </c>
    </row>
    <row r="7766">
      <c r="W7766" s="7" t="n"/>
      <c r="X7766" s="7" t="n"/>
      <c r="Z7766">
        <f>Z7765+IF(W7766="",0,IF(ISNA(MATCH(W7766,W$256:W7765,0)),1,0))</f>
        <v/>
      </c>
      <c r="AA7766">
        <f>IF(Z7766&gt;Z7765,Z7766,"")</f>
        <v/>
      </c>
      <c r="AB7766">
        <f>AB7765+IF(X7766="",0,IF(ISNA(MATCH(X7766,X$256:X7765,0)),1,0))</f>
        <v/>
      </c>
      <c r="AC7766">
        <f>IF(AB7766&gt;AB7765,AB7766,"")</f>
        <v/>
      </c>
    </row>
    <row r="7767">
      <c r="W7767" s="7" t="n"/>
      <c r="X7767" s="7" t="n"/>
      <c r="Z7767">
        <f>Z7766+IF(W7767="",0,IF(ISNA(MATCH(W7767,W$256:W7766,0)),1,0))</f>
        <v/>
      </c>
      <c r="AA7767">
        <f>IF(Z7767&gt;Z7766,Z7767,"")</f>
        <v/>
      </c>
      <c r="AB7767">
        <f>AB7766+IF(X7767="",0,IF(ISNA(MATCH(X7767,X$256:X7766,0)),1,0))</f>
        <v/>
      </c>
      <c r="AC7767">
        <f>IF(AB7767&gt;AB7766,AB7767,"")</f>
        <v/>
      </c>
    </row>
    <row r="7768">
      <c r="W7768" s="7" t="n"/>
      <c r="X7768" s="7" t="n"/>
      <c r="Z7768">
        <f>Z7767+IF(W7768="",0,IF(ISNA(MATCH(W7768,W$256:W7767,0)),1,0))</f>
        <v/>
      </c>
      <c r="AA7768">
        <f>IF(Z7768&gt;Z7767,Z7768,"")</f>
        <v/>
      </c>
      <c r="AB7768">
        <f>AB7767+IF(X7768="",0,IF(ISNA(MATCH(X7768,X$256:X7767,0)),1,0))</f>
        <v/>
      </c>
      <c r="AC7768">
        <f>IF(AB7768&gt;AB7767,AB7768,"")</f>
        <v/>
      </c>
    </row>
    <row r="7769">
      <c r="W7769" s="7" t="n"/>
      <c r="X7769" s="7" t="n"/>
      <c r="Z7769">
        <f>Z7768+IF(W7769="",0,IF(ISNA(MATCH(W7769,W$256:W7768,0)),1,0))</f>
        <v/>
      </c>
      <c r="AA7769">
        <f>IF(Z7769&gt;Z7768,Z7769,"")</f>
        <v/>
      </c>
      <c r="AB7769">
        <f>AB7768+IF(X7769="",0,IF(ISNA(MATCH(X7769,X$256:X7768,0)),1,0))</f>
        <v/>
      </c>
      <c r="AC7769">
        <f>IF(AB7769&gt;AB7768,AB7769,"")</f>
        <v/>
      </c>
    </row>
    <row r="7770">
      <c r="W7770" s="7" t="n"/>
      <c r="X7770" s="7" t="n"/>
      <c r="Z7770">
        <f>Z7769+IF(W7770="",0,IF(ISNA(MATCH(W7770,W$256:W7769,0)),1,0))</f>
        <v/>
      </c>
      <c r="AA7770">
        <f>IF(Z7770&gt;Z7769,Z7770,"")</f>
        <v/>
      </c>
      <c r="AB7770">
        <f>AB7769+IF(X7770="",0,IF(ISNA(MATCH(X7770,X$256:X7769,0)),1,0))</f>
        <v/>
      </c>
      <c r="AC7770">
        <f>IF(AB7770&gt;AB7769,AB7770,"")</f>
        <v/>
      </c>
    </row>
    <row r="7771">
      <c r="W7771" s="7" t="n"/>
      <c r="X7771" s="7" t="n"/>
      <c r="Z7771">
        <f>Z7770+IF(W7771="",0,IF(ISNA(MATCH(W7771,W$256:W7770,0)),1,0))</f>
        <v/>
      </c>
      <c r="AA7771">
        <f>IF(Z7771&gt;Z7770,Z7771,"")</f>
        <v/>
      </c>
      <c r="AB7771">
        <f>AB7770+IF(X7771="",0,IF(ISNA(MATCH(X7771,X$256:X7770,0)),1,0))</f>
        <v/>
      </c>
      <c r="AC7771">
        <f>IF(AB7771&gt;AB7770,AB7771,"")</f>
        <v/>
      </c>
    </row>
    <row r="7772">
      <c r="W7772" s="7" t="n"/>
      <c r="X7772" s="7" t="n"/>
      <c r="Z7772">
        <f>Z7771+IF(W7772="",0,IF(ISNA(MATCH(W7772,W$256:W7771,0)),1,0))</f>
        <v/>
      </c>
      <c r="AA7772">
        <f>IF(Z7772&gt;Z7771,Z7772,"")</f>
        <v/>
      </c>
      <c r="AB7772">
        <f>AB7771+IF(X7772="",0,IF(ISNA(MATCH(X7772,X$256:X7771,0)),1,0))</f>
        <v/>
      </c>
      <c r="AC7772">
        <f>IF(AB7772&gt;AB7771,AB7772,"")</f>
        <v/>
      </c>
    </row>
    <row r="7773">
      <c r="W7773" s="7" t="n"/>
      <c r="X7773" s="7" t="n"/>
      <c r="Z7773">
        <f>Z7772+IF(W7773="",0,IF(ISNA(MATCH(W7773,W$256:W7772,0)),1,0))</f>
        <v/>
      </c>
      <c r="AA7773">
        <f>IF(Z7773&gt;Z7772,Z7773,"")</f>
        <v/>
      </c>
      <c r="AB7773">
        <f>AB7772+IF(X7773="",0,IF(ISNA(MATCH(X7773,X$256:X7772,0)),1,0))</f>
        <v/>
      </c>
      <c r="AC7773">
        <f>IF(AB7773&gt;AB7772,AB7773,"")</f>
        <v/>
      </c>
    </row>
    <row r="7774">
      <c r="W7774" s="7" t="n"/>
      <c r="X7774" s="7" t="n"/>
      <c r="Z7774">
        <f>Z7773+IF(W7774="",0,IF(ISNA(MATCH(W7774,W$256:W7773,0)),1,0))</f>
        <v/>
      </c>
      <c r="AA7774">
        <f>IF(Z7774&gt;Z7773,Z7774,"")</f>
        <v/>
      </c>
      <c r="AB7774">
        <f>AB7773+IF(X7774="",0,IF(ISNA(MATCH(X7774,X$256:X7773,0)),1,0))</f>
        <v/>
      </c>
      <c r="AC7774">
        <f>IF(AB7774&gt;AB7773,AB7774,"")</f>
        <v/>
      </c>
    </row>
    <row r="7775">
      <c r="W7775" s="7" t="n"/>
      <c r="X7775" s="7" t="n"/>
      <c r="Z7775">
        <f>Z7774+IF(W7775="",0,IF(ISNA(MATCH(W7775,W$256:W7774,0)),1,0))</f>
        <v/>
      </c>
      <c r="AA7775">
        <f>IF(Z7775&gt;Z7774,Z7775,"")</f>
        <v/>
      </c>
      <c r="AB7775">
        <f>AB7774+IF(X7775="",0,IF(ISNA(MATCH(X7775,X$256:X7774,0)),1,0))</f>
        <v/>
      </c>
      <c r="AC7775">
        <f>IF(AB7775&gt;AB7774,AB7775,"")</f>
        <v/>
      </c>
    </row>
    <row r="7776">
      <c r="W7776" s="7" t="n"/>
      <c r="X7776" s="7" t="n"/>
      <c r="Z7776">
        <f>Z7775+IF(W7776="",0,IF(ISNA(MATCH(W7776,W$256:W7775,0)),1,0))</f>
        <v/>
      </c>
      <c r="AA7776">
        <f>IF(Z7776&gt;Z7775,Z7776,"")</f>
        <v/>
      </c>
      <c r="AB7776">
        <f>AB7775+IF(X7776="",0,IF(ISNA(MATCH(X7776,X$256:X7775,0)),1,0))</f>
        <v/>
      </c>
      <c r="AC7776">
        <f>IF(AB7776&gt;AB7775,AB7776,"")</f>
        <v/>
      </c>
    </row>
    <row r="7777">
      <c r="W7777" s="7" t="n"/>
      <c r="X7777" s="7" t="n"/>
      <c r="Z7777">
        <f>Z7776+IF(W7777="",0,IF(ISNA(MATCH(W7777,W$256:W7776,0)),1,0))</f>
        <v/>
      </c>
      <c r="AA7777">
        <f>IF(Z7777&gt;Z7776,Z7777,"")</f>
        <v/>
      </c>
      <c r="AB7777">
        <f>AB7776+IF(X7777="",0,IF(ISNA(MATCH(X7777,X$256:X7776,0)),1,0))</f>
        <v/>
      </c>
      <c r="AC7777">
        <f>IF(AB7777&gt;AB7776,AB7777,"")</f>
        <v/>
      </c>
    </row>
    <row r="7778">
      <c r="W7778" s="7" t="n"/>
      <c r="X7778" s="7" t="n"/>
      <c r="Z7778">
        <f>Z7777+IF(W7778="",0,IF(ISNA(MATCH(W7778,W$256:W7777,0)),1,0))</f>
        <v/>
      </c>
      <c r="AA7778">
        <f>IF(Z7778&gt;Z7777,Z7778,"")</f>
        <v/>
      </c>
      <c r="AB7778">
        <f>AB7777+IF(X7778="",0,IF(ISNA(MATCH(X7778,X$256:X7777,0)),1,0))</f>
        <v/>
      </c>
      <c r="AC7778">
        <f>IF(AB7778&gt;AB7777,AB7778,"")</f>
        <v/>
      </c>
    </row>
    <row r="7779">
      <c r="W7779" s="7" t="n"/>
      <c r="X7779" s="7" t="n"/>
      <c r="Z7779">
        <f>Z7778+IF(W7779="",0,IF(ISNA(MATCH(W7779,W$256:W7778,0)),1,0))</f>
        <v/>
      </c>
      <c r="AA7779">
        <f>IF(Z7779&gt;Z7778,Z7779,"")</f>
        <v/>
      </c>
      <c r="AB7779">
        <f>AB7778+IF(X7779="",0,IF(ISNA(MATCH(X7779,X$256:X7778,0)),1,0))</f>
        <v/>
      </c>
      <c r="AC7779">
        <f>IF(AB7779&gt;AB7778,AB7779,"")</f>
        <v/>
      </c>
    </row>
    <row r="7780">
      <c r="W7780" s="7" t="n"/>
      <c r="X7780" s="7" t="n"/>
      <c r="Z7780">
        <f>Z7779+IF(W7780="",0,IF(ISNA(MATCH(W7780,W$256:W7779,0)),1,0))</f>
        <v/>
      </c>
      <c r="AA7780">
        <f>IF(Z7780&gt;Z7779,Z7780,"")</f>
        <v/>
      </c>
      <c r="AB7780">
        <f>AB7779+IF(X7780="",0,IF(ISNA(MATCH(X7780,X$256:X7779,0)),1,0))</f>
        <v/>
      </c>
      <c r="AC7780">
        <f>IF(AB7780&gt;AB7779,AB7780,"")</f>
        <v/>
      </c>
    </row>
    <row r="7781">
      <c r="W7781" s="7" t="n"/>
      <c r="X7781" s="7" t="n"/>
      <c r="Z7781">
        <f>Z7780+IF(W7781="",0,IF(ISNA(MATCH(W7781,W$256:W7780,0)),1,0))</f>
        <v/>
      </c>
      <c r="AA7781">
        <f>IF(Z7781&gt;Z7780,Z7781,"")</f>
        <v/>
      </c>
      <c r="AB7781">
        <f>AB7780+IF(X7781="",0,IF(ISNA(MATCH(X7781,X$256:X7780,0)),1,0))</f>
        <v/>
      </c>
      <c r="AC7781">
        <f>IF(AB7781&gt;AB7780,AB7781,"")</f>
        <v/>
      </c>
    </row>
    <row r="7782">
      <c r="W7782" s="7" t="n"/>
      <c r="X7782" s="7" t="n"/>
      <c r="Z7782">
        <f>Z7781+IF(W7782="",0,IF(ISNA(MATCH(W7782,W$256:W7781,0)),1,0))</f>
        <v/>
      </c>
      <c r="AA7782">
        <f>IF(Z7782&gt;Z7781,Z7782,"")</f>
        <v/>
      </c>
      <c r="AB7782">
        <f>AB7781+IF(X7782="",0,IF(ISNA(MATCH(X7782,X$256:X7781,0)),1,0))</f>
        <v/>
      </c>
      <c r="AC7782">
        <f>IF(AB7782&gt;AB7781,AB7782,"")</f>
        <v/>
      </c>
    </row>
    <row r="7783">
      <c r="W7783" s="7" t="n"/>
      <c r="X7783" s="7" t="n"/>
      <c r="Z7783">
        <f>Z7782+IF(W7783="",0,IF(ISNA(MATCH(W7783,W$256:W7782,0)),1,0))</f>
        <v/>
      </c>
      <c r="AA7783">
        <f>IF(Z7783&gt;Z7782,Z7783,"")</f>
        <v/>
      </c>
      <c r="AB7783">
        <f>AB7782+IF(X7783="",0,IF(ISNA(MATCH(X7783,X$256:X7782,0)),1,0))</f>
        <v/>
      </c>
      <c r="AC7783">
        <f>IF(AB7783&gt;AB7782,AB7783,"")</f>
        <v/>
      </c>
    </row>
    <row r="7784">
      <c r="W7784" s="7" t="n"/>
      <c r="X7784" s="7" t="n"/>
      <c r="Z7784">
        <f>Z7783+IF(W7784="",0,IF(ISNA(MATCH(W7784,W$256:W7783,0)),1,0))</f>
        <v/>
      </c>
      <c r="AA7784">
        <f>IF(Z7784&gt;Z7783,Z7784,"")</f>
        <v/>
      </c>
      <c r="AB7784">
        <f>AB7783+IF(X7784="",0,IF(ISNA(MATCH(X7784,X$256:X7783,0)),1,0))</f>
        <v/>
      </c>
      <c r="AC7784">
        <f>IF(AB7784&gt;AB7783,AB7784,"")</f>
        <v/>
      </c>
    </row>
    <row r="7785">
      <c r="W7785" s="7" t="n"/>
      <c r="X7785" s="7" t="n"/>
      <c r="Z7785">
        <f>Z7784+IF(W7785="",0,IF(ISNA(MATCH(W7785,W$256:W7784,0)),1,0))</f>
        <v/>
      </c>
      <c r="AA7785">
        <f>IF(Z7785&gt;Z7784,Z7785,"")</f>
        <v/>
      </c>
      <c r="AB7785">
        <f>AB7784+IF(X7785="",0,IF(ISNA(MATCH(X7785,X$256:X7784,0)),1,0))</f>
        <v/>
      </c>
      <c r="AC7785">
        <f>IF(AB7785&gt;AB7784,AB7785,"")</f>
        <v/>
      </c>
    </row>
    <row r="7786">
      <c r="W7786" s="7" t="n"/>
      <c r="X7786" s="7" t="n"/>
      <c r="Z7786">
        <f>Z7785+IF(W7786="",0,IF(ISNA(MATCH(W7786,W$256:W7785,0)),1,0))</f>
        <v/>
      </c>
      <c r="AA7786">
        <f>IF(Z7786&gt;Z7785,Z7786,"")</f>
        <v/>
      </c>
      <c r="AB7786">
        <f>AB7785+IF(X7786="",0,IF(ISNA(MATCH(X7786,X$256:X7785,0)),1,0))</f>
        <v/>
      </c>
      <c r="AC7786">
        <f>IF(AB7786&gt;AB7785,AB7786,"")</f>
        <v/>
      </c>
    </row>
    <row r="7787">
      <c r="W7787" s="7" t="n"/>
      <c r="X7787" s="7" t="n"/>
      <c r="Z7787">
        <f>Z7786+IF(W7787="",0,IF(ISNA(MATCH(W7787,W$256:W7786,0)),1,0))</f>
        <v/>
      </c>
      <c r="AA7787">
        <f>IF(Z7787&gt;Z7786,Z7787,"")</f>
        <v/>
      </c>
      <c r="AB7787">
        <f>AB7786+IF(X7787="",0,IF(ISNA(MATCH(X7787,X$256:X7786,0)),1,0))</f>
        <v/>
      </c>
      <c r="AC7787">
        <f>IF(AB7787&gt;AB7786,AB7787,"")</f>
        <v/>
      </c>
    </row>
    <row r="7788">
      <c r="W7788" s="7" t="n"/>
      <c r="X7788" s="7" t="n"/>
      <c r="Z7788">
        <f>Z7787+IF(W7788="",0,IF(ISNA(MATCH(W7788,W$256:W7787,0)),1,0))</f>
        <v/>
      </c>
      <c r="AA7788">
        <f>IF(Z7788&gt;Z7787,Z7788,"")</f>
        <v/>
      </c>
      <c r="AB7788">
        <f>AB7787+IF(X7788="",0,IF(ISNA(MATCH(X7788,X$256:X7787,0)),1,0))</f>
        <v/>
      </c>
      <c r="AC7788">
        <f>IF(AB7788&gt;AB7787,AB7788,"")</f>
        <v/>
      </c>
    </row>
    <row r="7789">
      <c r="W7789" s="7" t="n"/>
      <c r="X7789" s="7" t="n"/>
      <c r="Z7789">
        <f>Z7788+IF(W7789="",0,IF(ISNA(MATCH(W7789,W$256:W7788,0)),1,0))</f>
        <v/>
      </c>
      <c r="AA7789">
        <f>IF(Z7789&gt;Z7788,Z7789,"")</f>
        <v/>
      </c>
      <c r="AB7789">
        <f>AB7788+IF(X7789="",0,IF(ISNA(MATCH(X7789,X$256:X7788,0)),1,0))</f>
        <v/>
      </c>
      <c r="AC7789">
        <f>IF(AB7789&gt;AB7788,AB7789,"")</f>
        <v/>
      </c>
    </row>
    <row r="7790">
      <c r="W7790" s="7" t="n"/>
      <c r="X7790" s="7" t="n"/>
      <c r="Z7790">
        <f>Z7789+IF(W7790="",0,IF(ISNA(MATCH(W7790,W$256:W7789,0)),1,0))</f>
        <v/>
      </c>
      <c r="AA7790">
        <f>IF(Z7790&gt;Z7789,Z7790,"")</f>
        <v/>
      </c>
      <c r="AB7790">
        <f>AB7789+IF(X7790="",0,IF(ISNA(MATCH(X7790,X$256:X7789,0)),1,0))</f>
        <v/>
      </c>
      <c r="AC7790">
        <f>IF(AB7790&gt;AB7789,AB7790,"")</f>
        <v/>
      </c>
    </row>
    <row r="7791">
      <c r="W7791" s="7" t="n"/>
      <c r="X7791" s="7" t="n"/>
      <c r="Z7791">
        <f>Z7790+IF(W7791="",0,IF(ISNA(MATCH(W7791,W$256:W7790,0)),1,0))</f>
        <v/>
      </c>
      <c r="AA7791">
        <f>IF(Z7791&gt;Z7790,Z7791,"")</f>
        <v/>
      </c>
      <c r="AB7791">
        <f>AB7790+IF(X7791="",0,IF(ISNA(MATCH(X7791,X$256:X7790,0)),1,0))</f>
        <v/>
      </c>
      <c r="AC7791">
        <f>IF(AB7791&gt;AB7790,AB7791,"")</f>
        <v/>
      </c>
    </row>
    <row r="7792">
      <c r="W7792" s="7" t="n"/>
      <c r="X7792" s="7" t="n"/>
      <c r="Z7792">
        <f>Z7791+IF(W7792="",0,IF(ISNA(MATCH(W7792,W$256:W7791,0)),1,0))</f>
        <v/>
      </c>
      <c r="AA7792">
        <f>IF(Z7792&gt;Z7791,Z7792,"")</f>
        <v/>
      </c>
      <c r="AB7792">
        <f>AB7791+IF(X7792="",0,IF(ISNA(MATCH(X7792,X$256:X7791,0)),1,0))</f>
        <v/>
      </c>
      <c r="AC7792">
        <f>IF(AB7792&gt;AB7791,AB7792,"")</f>
        <v/>
      </c>
    </row>
    <row r="7793">
      <c r="W7793" s="7" t="n"/>
      <c r="X7793" s="7" t="n"/>
      <c r="Z7793">
        <f>Z7792+IF(W7793="",0,IF(ISNA(MATCH(W7793,W$256:W7792,0)),1,0))</f>
        <v/>
      </c>
      <c r="AA7793">
        <f>IF(Z7793&gt;Z7792,Z7793,"")</f>
        <v/>
      </c>
      <c r="AB7793">
        <f>AB7792+IF(X7793="",0,IF(ISNA(MATCH(X7793,X$256:X7792,0)),1,0))</f>
        <v/>
      </c>
      <c r="AC7793">
        <f>IF(AB7793&gt;AB7792,AB7793,"")</f>
        <v/>
      </c>
    </row>
    <row r="7794">
      <c r="W7794" s="7" t="n"/>
      <c r="X7794" s="7" t="n"/>
      <c r="Z7794">
        <f>Z7793+IF(W7794="",0,IF(ISNA(MATCH(W7794,W$256:W7793,0)),1,0))</f>
        <v/>
      </c>
      <c r="AA7794">
        <f>IF(Z7794&gt;Z7793,Z7794,"")</f>
        <v/>
      </c>
      <c r="AB7794">
        <f>AB7793+IF(X7794="",0,IF(ISNA(MATCH(X7794,X$256:X7793,0)),1,0))</f>
        <v/>
      </c>
      <c r="AC7794">
        <f>IF(AB7794&gt;AB7793,AB7794,"")</f>
        <v/>
      </c>
    </row>
    <row r="7795">
      <c r="W7795" s="7" t="n"/>
      <c r="X7795" s="7" t="n"/>
      <c r="Z7795">
        <f>Z7794+IF(W7795="",0,IF(ISNA(MATCH(W7795,W$256:W7794,0)),1,0))</f>
        <v/>
      </c>
      <c r="AA7795">
        <f>IF(Z7795&gt;Z7794,Z7795,"")</f>
        <v/>
      </c>
      <c r="AB7795">
        <f>AB7794+IF(X7795="",0,IF(ISNA(MATCH(X7795,X$256:X7794,0)),1,0))</f>
        <v/>
      </c>
      <c r="AC7795">
        <f>IF(AB7795&gt;AB7794,AB7795,"")</f>
        <v/>
      </c>
    </row>
    <row r="7796">
      <c r="W7796" s="7" t="n"/>
      <c r="X7796" s="7" t="n"/>
      <c r="Z7796">
        <f>Z7795+IF(W7796="",0,IF(ISNA(MATCH(W7796,W$256:W7795,0)),1,0))</f>
        <v/>
      </c>
      <c r="AA7796">
        <f>IF(Z7796&gt;Z7795,Z7796,"")</f>
        <v/>
      </c>
      <c r="AB7796">
        <f>AB7795+IF(X7796="",0,IF(ISNA(MATCH(X7796,X$256:X7795,0)),1,0))</f>
        <v/>
      </c>
      <c r="AC7796">
        <f>IF(AB7796&gt;AB7795,AB7796,"")</f>
        <v/>
      </c>
    </row>
    <row r="7797">
      <c r="W7797" s="7" t="n"/>
      <c r="X7797" s="7" t="n"/>
      <c r="Z7797">
        <f>Z7796+IF(W7797="",0,IF(ISNA(MATCH(W7797,W$256:W7796,0)),1,0))</f>
        <v/>
      </c>
      <c r="AA7797">
        <f>IF(Z7797&gt;Z7796,Z7797,"")</f>
        <v/>
      </c>
      <c r="AB7797">
        <f>AB7796+IF(X7797="",0,IF(ISNA(MATCH(X7797,X$256:X7796,0)),1,0))</f>
        <v/>
      </c>
      <c r="AC7797">
        <f>IF(AB7797&gt;AB7796,AB7797,"")</f>
        <v/>
      </c>
    </row>
    <row r="7798">
      <c r="W7798" s="7" t="n"/>
      <c r="X7798" s="7" t="n"/>
      <c r="Z7798">
        <f>Z7797+IF(W7798="",0,IF(ISNA(MATCH(W7798,W$256:W7797,0)),1,0))</f>
        <v/>
      </c>
      <c r="AA7798">
        <f>IF(Z7798&gt;Z7797,Z7798,"")</f>
        <v/>
      </c>
      <c r="AB7798">
        <f>AB7797+IF(X7798="",0,IF(ISNA(MATCH(X7798,X$256:X7797,0)),1,0))</f>
        <v/>
      </c>
      <c r="AC7798">
        <f>IF(AB7798&gt;AB7797,AB7798,"")</f>
        <v/>
      </c>
    </row>
    <row r="7799">
      <c r="W7799" s="7" t="n"/>
      <c r="X7799" s="7" t="n"/>
      <c r="Z7799">
        <f>Z7798+IF(W7799="",0,IF(ISNA(MATCH(W7799,W$256:W7798,0)),1,0))</f>
        <v/>
      </c>
      <c r="AA7799">
        <f>IF(Z7799&gt;Z7798,Z7799,"")</f>
        <v/>
      </c>
      <c r="AB7799">
        <f>AB7798+IF(X7799="",0,IF(ISNA(MATCH(X7799,X$256:X7798,0)),1,0))</f>
        <v/>
      </c>
      <c r="AC7799">
        <f>IF(AB7799&gt;AB7798,AB7799,"")</f>
        <v/>
      </c>
    </row>
    <row r="7800">
      <c r="W7800" s="7" t="n"/>
      <c r="X7800" s="7" t="n"/>
      <c r="Z7800">
        <f>Z7799+IF(W7800="",0,IF(ISNA(MATCH(W7800,W$256:W7799,0)),1,0))</f>
        <v/>
      </c>
      <c r="AA7800">
        <f>IF(Z7800&gt;Z7799,Z7800,"")</f>
        <v/>
      </c>
      <c r="AB7800">
        <f>AB7799+IF(X7800="",0,IF(ISNA(MATCH(X7800,X$256:X7799,0)),1,0))</f>
        <v/>
      </c>
      <c r="AC7800">
        <f>IF(AB7800&gt;AB7799,AB7800,"")</f>
        <v/>
      </c>
    </row>
    <row r="7801">
      <c r="W7801" s="7" t="n"/>
      <c r="X7801" s="7" t="n"/>
      <c r="Z7801">
        <f>Z7800+IF(W7801="",0,IF(ISNA(MATCH(W7801,W$256:W7800,0)),1,0))</f>
        <v/>
      </c>
      <c r="AA7801">
        <f>IF(Z7801&gt;Z7800,Z7801,"")</f>
        <v/>
      </c>
      <c r="AB7801">
        <f>AB7800+IF(X7801="",0,IF(ISNA(MATCH(X7801,X$256:X7800,0)),1,0))</f>
        <v/>
      </c>
      <c r="AC7801">
        <f>IF(AB7801&gt;AB7800,AB7801,"")</f>
        <v/>
      </c>
    </row>
    <row r="7802">
      <c r="W7802" s="7" t="n"/>
      <c r="X7802" s="7" t="n"/>
      <c r="Z7802">
        <f>Z7801+IF(W7802="",0,IF(ISNA(MATCH(W7802,W$256:W7801,0)),1,0))</f>
        <v/>
      </c>
      <c r="AA7802">
        <f>IF(Z7802&gt;Z7801,Z7802,"")</f>
        <v/>
      </c>
      <c r="AB7802">
        <f>AB7801+IF(X7802="",0,IF(ISNA(MATCH(X7802,X$256:X7801,0)),1,0))</f>
        <v/>
      </c>
      <c r="AC7802">
        <f>IF(AB7802&gt;AB7801,AB7802,"")</f>
        <v/>
      </c>
    </row>
    <row r="7803">
      <c r="W7803" s="7" t="n"/>
      <c r="X7803" s="7" t="n"/>
      <c r="Z7803">
        <f>Z7802+IF(W7803="",0,IF(ISNA(MATCH(W7803,W$256:W7802,0)),1,0))</f>
        <v/>
      </c>
      <c r="AA7803">
        <f>IF(Z7803&gt;Z7802,Z7803,"")</f>
        <v/>
      </c>
      <c r="AB7803">
        <f>AB7802+IF(X7803="",0,IF(ISNA(MATCH(X7803,X$256:X7802,0)),1,0))</f>
        <v/>
      </c>
      <c r="AC7803">
        <f>IF(AB7803&gt;AB7802,AB7803,"")</f>
        <v/>
      </c>
    </row>
    <row r="7804">
      <c r="W7804" s="7" t="n"/>
      <c r="X7804" s="7" t="n"/>
      <c r="Z7804">
        <f>Z7803+IF(W7804="",0,IF(ISNA(MATCH(W7804,W$256:W7803,0)),1,0))</f>
        <v/>
      </c>
      <c r="AA7804">
        <f>IF(Z7804&gt;Z7803,Z7804,"")</f>
        <v/>
      </c>
      <c r="AB7804">
        <f>AB7803+IF(X7804="",0,IF(ISNA(MATCH(X7804,X$256:X7803,0)),1,0))</f>
        <v/>
      </c>
      <c r="AC7804">
        <f>IF(AB7804&gt;AB7803,AB7804,"")</f>
        <v/>
      </c>
    </row>
    <row r="7805">
      <c r="W7805" s="7" t="n"/>
      <c r="X7805" s="7" t="n"/>
      <c r="Z7805">
        <f>Z7804+IF(W7805="",0,IF(ISNA(MATCH(W7805,W$256:W7804,0)),1,0))</f>
        <v/>
      </c>
      <c r="AA7805">
        <f>IF(Z7805&gt;Z7804,Z7805,"")</f>
        <v/>
      </c>
      <c r="AB7805">
        <f>AB7804+IF(X7805="",0,IF(ISNA(MATCH(X7805,X$256:X7804,0)),1,0))</f>
        <v/>
      </c>
      <c r="AC7805">
        <f>IF(AB7805&gt;AB7804,AB7805,"")</f>
        <v/>
      </c>
    </row>
    <row r="7806">
      <c r="W7806" s="7" t="n"/>
      <c r="X7806" s="7" t="n"/>
      <c r="Z7806">
        <f>Z7805+IF(W7806="",0,IF(ISNA(MATCH(W7806,W$256:W7805,0)),1,0))</f>
        <v/>
      </c>
      <c r="AA7806">
        <f>IF(Z7806&gt;Z7805,Z7806,"")</f>
        <v/>
      </c>
      <c r="AB7806">
        <f>AB7805+IF(X7806="",0,IF(ISNA(MATCH(X7806,X$256:X7805,0)),1,0))</f>
        <v/>
      </c>
      <c r="AC7806">
        <f>IF(AB7806&gt;AB7805,AB7806,"")</f>
        <v/>
      </c>
    </row>
    <row r="7807">
      <c r="W7807" s="7" t="n"/>
      <c r="X7807" s="7" t="n"/>
      <c r="Z7807">
        <f>Z7806+IF(W7807="",0,IF(ISNA(MATCH(W7807,W$256:W7806,0)),1,0))</f>
        <v/>
      </c>
      <c r="AA7807">
        <f>IF(Z7807&gt;Z7806,Z7807,"")</f>
        <v/>
      </c>
      <c r="AB7807">
        <f>AB7806+IF(X7807="",0,IF(ISNA(MATCH(X7807,X$256:X7806,0)),1,0))</f>
        <v/>
      </c>
      <c r="AC7807">
        <f>IF(AB7807&gt;AB7806,AB7807,"")</f>
        <v/>
      </c>
    </row>
    <row r="7808">
      <c r="W7808" s="7" t="n"/>
      <c r="X7808" s="7" t="n"/>
      <c r="Z7808">
        <f>Z7807+IF(W7808="",0,IF(ISNA(MATCH(W7808,W$256:W7807,0)),1,0))</f>
        <v/>
      </c>
      <c r="AA7808">
        <f>IF(Z7808&gt;Z7807,Z7808,"")</f>
        <v/>
      </c>
      <c r="AB7808">
        <f>AB7807+IF(X7808="",0,IF(ISNA(MATCH(X7808,X$256:X7807,0)),1,0))</f>
        <v/>
      </c>
      <c r="AC7808">
        <f>IF(AB7808&gt;AB7807,AB7808,"")</f>
        <v/>
      </c>
    </row>
    <row r="7809">
      <c r="W7809" s="7" t="n"/>
      <c r="X7809" s="7" t="n"/>
      <c r="Z7809">
        <f>Z7808+IF(W7809="",0,IF(ISNA(MATCH(W7809,W$256:W7808,0)),1,0))</f>
        <v/>
      </c>
      <c r="AA7809">
        <f>IF(Z7809&gt;Z7808,Z7809,"")</f>
        <v/>
      </c>
      <c r="AB7809">
        <f>AB7808+IF(X7809="",0,IF(ISNA(MATCH(X7809,X$256:X7808,0)),1,0))</f>
        <v/>
      </c>
      <c r="AC7809">
        <f>IF(AB7809&gt;AB7808,AB7809,"")</f>
        <v/>
      </c>
    </row>
    <row r="7810">
      <c r="W7810" s="7" t="n"/>
      <c r="X7810" s="7" t="n"/>
      <c r="Z7810">
        <f>Z7809+IF(W7810="",0,IF(ISNA(MATCH(W7810,W$256:W7809,0)),1,0))</f>
        <v/>
      </c>
      <c r="AA7810">
        <f>IF(Z7810&gt;Z7809,Z7810,"")</f>
        <v/>
      </c>
      <c r="AB7810">
        <f>AB7809+IF(X7810="",0,IF(ISNA(MATCH(X7810,X$256:X7809,0)),1,0))</f>
        <v/>
      </c>
      <c r="AC7810">
        <f>IF(AB7810&gt;AB7809,AB7810,"")</f>
        <v/>
      </c>
    </row>
    <row r="7811">
      <c r="W7811" s="7" t="n"/>
      <c r="X7811" s="7" t="n"/>
      <c r="Z7811">
        <f>Z7810+IF(W7811="",0,IF(ISNA(MATCH(W7811,W$256:W7810,0)),1,0))</f>
        <v/>
      </c>
      <c r="AA7811">
        <f>IF(Z7811&gt;Z7810,Z7811,"")</f>
        <v/>
      </c>
      <c r="AB7811">
        <f>AB7810+IF(X7811="",0,IF(ISNA(MATCH(X7811,X$256:X7810,0)),1,0))</f>
        <v/>
      </c>
      <c r="AC7811">
        <f>IF(AB7811&gt;AB7810,AB7811,"")</f>
        <v/>
      </c>
    </row>
    <row r="7812">
      <c r="W7812" s="7" t="n"/>
      <c r="X7812" s="7" t="n"/>
      <c r="Z7812">
        <f>Z7811+IF(W7812="",0,IF(ISNA(MATCH(W7812,W$256:W7811,0)),1,0))</f>
        <v/>
      </c>
      <c r="AA7812">
        <f>IF(Z7812&gt;Z7811,Z7812,"")</f>
        <v/>
      </c>
      <c r="AB7812">
        <f>AB7811+IF(X7812="",0,IF(ISNA(MATCH(X7812,X$256:X7811,0)),1,0))</f>
        <v/>
      </c>
      <c r="AC7812">
        <f>IF(AB7812&gt;AB7811,AB7812,"")</f>
        <v/>
      </c>
    </row>
    <row r="7813">
      <c r="W7813" s="7" t="n"/>
      <c r="X7813" s="7" t="n"/>
      <c r="Z7813">
        <f>Z7812+IF(W7813="",0,IF(ISNA(MATCH(W7813,W$256:W7812,0)),1,0))</f>
        <v/>
      </c>
      <c r="AA7813">
        <f>IF(Z7813&gt;Z7812,Z7813,"")</f>
        <v/>
      </c>
      <c r="AB7813">
        <f>AB7812+IF(X7813="",0,IF(ISNA(MATCH(X7813,X$256:X7812,0)),1,0))</f>
        <v/>
      </c>
      <c r="AC7813">
        <f>IF(AB7813&gt;AB7812,AB7813,"")</f>
        <v/>
      </c>
    </row>
    <row r="7814">
      <c r="W7814" s="7" t="n"/>
      <c r="X7814" s="7" t="n"/>
      <c r="Z7814">
        <f>Z7813+IF(W7814="",0,IF(ISNA(MATCH(W7814,W$256:W7813,0)),1,0))</f>
        <v/>
      </c>
      <c r="AA7814">
        <f>IF(Z7814&gt;Z7813,Z7814,"")</f>
        <v/>
      </c>
      <c r="AB7814">
        <f>AB7813+IF(X7814="",0,IF(ISNA(MATCH(X7814,X$256:X7813,0)),1,0))</f>
        <v/>
      </c>
      <c r="AC7814">
        <f>IF(AB7814&gt;AB7813,AB7814,"")</f>
        <v/>
      </c>
    </row>
    <row r="7815">
      <c r="W7815" s="7" t="n"/>
      <c r="X7815" s="7" t="n"/>
      <c r="Z7815">
        <f>Z7814+IF(W7815="",0,IF(ISNA(MATCH(W7815,W$256:W7814,0)),1,0))</f>
        <v/>
      </c>
      <c r="AA7815">
        <f>IF(Z7815&gt;Z7814,Z7815,"")</f>
        <v/>
      </c>
      <c r="AB7815">
        <f>AB7814+IF(X7815="",0,IF(ISNA(MATCH(X7815,X$256:X7814,0)),1,0))</f>
        <v/>
      </c>
      <c r="AC7815">
        <f>IF(AB7815&gt;AB7814,AB7815,"")</f>
        <v/>
      </c>
    </row>
    <row r="7816">
      <c r="W7816" s="7" t="n"/>
      <c r="X7816" s="7" t="n"/>
      <c r="Z7816">
        <f>Z7815+IF(W7816="",0,IF(ISNA(MATCH(W7816,W$256:W7815,0)),1,0))</f>
        <v/>
      </c>
      <c r="AA7816">
        <f>IF(Z7816&gt;Z7815,Z7816,"")</f>
        <v/>
      </c>
      <c r="AB7816">
        <f>AB7815+IF(X7816="",0,IF(ISNA(MATCH(X7816,X$256:X7815,0)),1,0))</f>
        <v/>
      </c>
      <c r="AC7816">
        <f>IF(AB7816&gt;AB7815,AB7816,"")</f>
        <v/>
      </c>
    </row>
    <row r="7817">
      <c r="W7817" s="7" t="n"/>
      <c r="X7817" s="7" t="n"/>
      <c r="Z7817">
        <f>Z7816+IF(W7817="",0,IF(ISNA(MATCH(W7817,W$256:W7816,0)),1,0))</f>
        <v/>
      </c>
      <c r="AA7817">
        <f>IF(Z7817&gt;Z7816,Z7817,"")</f>
        <v/>
      </c>
      <c r="AB7817">
        <f>AB7816+IF(X7817="",0,IF(ISNA(MATCH(X7817,X$256:X7816,0)),1,0))</f>
        <v/>
      </c>
      <c r="AC7817">
        <f>IF(AB7817&gt;AB7816,AB7817,"")</f>
        <v/>
      </c>
    </row>
    <row r="7818">
      <c r="W7818" s="7" t="n"/>
      <c r="X7818" s="7" t="n"/>
      <c r="Z7818">
        <f>Z7817+IF(W7818="",0,IF(ISNA(MATCH(W7818,W$256:W7817,0)),1,0))</f>
        <v/>
      </c>
      <c r="AA7818">
        <f>IF(Z7818&gt;Z7817,Z7818,"")</f>
        <v/>
      </c>
      <c r="AB7818">
        <f>AB7817+IF(X7818="",0,IF(ISNA(MATCH(X7818,X$256:X7817,0)),1,0))</f>
        <v/>
      </c>
      <c r="AC7818">
        <f>IF(AB7818&gt;AB7817,AB7818,"")</f>
        <v/>
      </c>
    </row>
    <row r="7819">
      <c r="W7819" s="7" t="n"/>
      <c r="X7819" s="7" t="n"/>
      <c r="Z7819">
        <f>Z7818+IF(W7819="",0,IF(ISNA(MATCH(W7819,W$256:W7818,0)),1,0))</f>
        <v/>
      </c>
      <c r="AA7819">
        <f>IF(Z7819&gt;Z7818,Z7819,"")</f>
        <v/>
      </c>
      <c r="AB7819">
        <f>AB7818+IF(X7819="",0,IF(ISNA(MATCH(X7819,X$256:X7818,0)),1,0))</f>
        <v/>
      </c>
      <c r="AC7819">
        <f>IF(AB7819&gt;AB7818,AB7819,"")</f>
        <v/>
      </c>
    </row>
    <row r="7820">
      <c r="W7820" s="7" t="n"/>
      <c r="X7820" s="7" t="n"/>
      <c r="Z7820">
        <f>Z7819+IF(W7820="",0,IF(ISNA(MATCH(W7820,W$256:W7819,0)),1,0))</f>
        <v/>
      </c>
      <c r="AA7820">
        <f>IF(Z7820&gt;Z7819,Z7820,"")</f>
        <v/>
      </c>
      <c r="AB7820">
        <f>AB7819+IF(X7820="",0,IF(ISNA(MATCH(X7820,X$256:X7819,0)),1,0))</f>
        <v/>
      </c>
      <c r="AC7820">
        <f>IF(AB7820&gt;AB7819,AB7820,"")</f>
        <v/>
      </c>
    </row>
    <row r="7821">
      <c r="W7821" s="7" t="n"/>
      <c r="X7821" s="7" t="n"/>
      <c r="Z7821">
        <f>Z7820+IF(W7821="",0,IF(ISNA(MATCH(W7821,W$256:W7820,0)),1,0))</f>
        <v/>
      </c>
      <c r="AA7821">
        <f>IF(Z7821&gt;Z7820,Z7821,"")</f>
        <v/>
      </c>
      <c r="AB7821">
        <f>AB7820+IF(X7821="",0,IF(ISNA(MATCH(X7821,X$256:X7820,0)),1,0))</f>
        <v/>
      </c>
      <c r="AC7821">
        <f>IF(AB7821&gt;AB7820,AB7821,"")</f>
        <v/>
      </c>
    </row>
    <row r="7822">
      <c r="W7822" s="7" t="n"/>
      <c r="X7822" s="7" t="n"/>
      <c r="Z7822">
        <f>Z7821+IF(W7822="",0,IF(ISNA(MATCH(W7822,W$256:W7821,0)),1,0))</f>
        <v/>
      </c>
      <c r="AA7822">
        <f>IF(Z7822&gt;Z7821,Z7822,"")</f>
        <v/>
      </c>
      <c r="AB7822">
        <f>AB7821+IF(X7822="",0,IF(ISNA(MATCH(X7822,X$256:X7821,0)),1,0))</f>
        <v/>
      </c>
      <c r="AC7822">
        <f>IF(AB7822&gt;AB7821,AB7822,"")</f>
        <v/>
      </c>
    </row>
    <row r="7823">
      <c r="W7823" s="7" t="n"/>
      <c r="X7823" s="7" t="n"/>
      <c r="Z7823">
        <f>Z7822+IF(W7823="",0,IF(ISNA(MATCH(W7823,W$256:W7822,0)),1,0))</f>
        <v/>
      </c>
      <c r="AA7823">
        <f>IF(Z7823&gt;Z7822,Z7823,"")</f>
        <v/>
      </c>
      <c r="AB7823">
        <f>AB7822+IF(X7823="",0,IF(ISNA(MATCH(X7823,X$256:X7822,0)),1,0))</f>
        <v/>
      </c>
      <c r="AC7823">
        <f>IF(AB7823&gt;AB7822,AB7823,"")</f>
        <v/>
      </c>
    </row>
    <row r="7824">
      <c r="W7824" s="7" t="n"/>
      <c r="X7824" s="7" t="n"/>
      <c r="Z7824">
        <f>Z7823+IF(W7824="",0,IF(ISNA(MATCH(W7824,W$256:W7823,0)),1,0))</f>
        <v/>
      </c>
      <c r="AA7824">
        <f>IF(Z7824&gt;Z7823,Z7824,"")</f>
        <v/>
      </c>
      <c r="AB7824">
        <f>AB7823+IF(X7824="",0,IF(ISNA(MATCH(X7824,X$256:X7823,0)),1,0))</f>
        <v/>
      </c>
      <c r="AC7824">
        <f>IF(AB7824&gt;AB7823,AB7824,"")</f>
        <v/>
      </c>
    </row>
    <row r="7825">
      <c r="W7825" s="7" t="n"/>
      <c r="X7825" s="7" t="n"/>
      <c r="Z7825">
        <f>Z7824+IF(W7825="",0,IF(ISNA(MATCH(W7825,W$256:W7824,0)),1,0))</f>
        <v/>
      </c>
      <c r="AA7825">
        <f>IF(Z7825&gt;Z7824,Z7825,"")</f>
        <v/>
      </c>
      <c r="AB7825">
        <f>AB7824+IF(X7825="",0,IF(ISNA(MATCH(X7825,X$256:X7824,0)),1,0))</f>
        <v/>
      </c>
      <c r="AC7825">
        <f>IF(AB7825&gt;AB7824,AB7825,"")</f>
        <v/>
      </c>
    </row>
    <row r="7826">
      <c r="W7826" s="7" t="n"/>
      <c r="X7826" s="7" t="n"/>
      <c r="Z7826">
        <f>Z7825+IF(W7826="",0,IF(ISNA(MATCH(W7826,W$256:W7825,0)),1,0))</f>
        <v/>
      </c>
      <c r="AA7826">
        <f>IF(Z7826&gt;Z7825,Z7826,"")</f>
        <v/>
      </c>
      <c r="AB7826">
        <f>AB7825+IF(X7826="",0,IF(ISNA(MATCH(X7826,X$256:X7825,0)),1,0))</f>
        <v/>
      </c>
      <c r="AC7826">
        <f>IF(AB7826&gt;AB7825,AB7826,"")</f>
        <v/>
      </c>
    </row>
    <row r="7827">
      <c r="W7827" s="7" t="n"/>
      <c r="X7827" s="7" t="n"/>
      <c r="Z7827">
        <f>Z7826+IF(W7827="",0,IF(ISNA(MATCH(W7827,W$256:W7826,0)),1,0))</f>
        <v/>
      </c>
      <c r="AA7827">
        <f>IF(Z7827&gt;Z7826,Z7827,"")</f>
        <v/>
      </c>
      <c r="AB7827">
        <f>AB7826+IF(X7827="",0,IF(ISNA(MATCH(X7827,X$256:X7826,0)),1,0))</f>
        <v/>
      </c>
      <c r="AC7827">
        <f>IF(AB7827&gt;AB7826,AB7827,"")</f>
        <v/>
      </c>
    </row>
    <row r="7828">
      <c r="W7828" s="7" t="n"/>
      <c r="X7828" s="7" t="n"/>
      <c r="Z7828">
        <f>Z7827+IF(W7828="",0,IF(ISNA(MATCH(W7828,W$256:W7827,0)),1,0))</f>
        <v/>
      </c>
      <c r="AA7828">
        <f>IF(Z7828&gt;Z7827,Z7828,"")</f>
        <v/>
      </c>
      <c r="AB7828">
        <f>AB7827+IF(X7828="",0,IF(ISNA(MATCH(X7828,X$256:X7827,0)),1,0))</f>
        <v/>
      </c>
      <c r="AC7828">
        <f>IF(AB7828&gt;AB7827,AB7828,"")</f>
        <v/>
      </c>
    </row>
    <row r="7829">
      <c r="W7829" s="7" t="n"/>
      <c r="X7829" s="7" t="n"/>
      <c r="Z7829">
        <f>Z7828+IF(W7829="",0,IF(ISNA(MATCH(W7829,W$256:W7828,0)),1,0))</f>
        <v/>
      </c>
      <c r="AA7829">
        <f>IF(Z7829&gt;Z7828,Z7829,"")</f>
        <v/>
      </c>
      <c r="AB7829">
        <f>AB7828+IF(X7829="",0,IF(ISNA(MATCH(X7829,X$256:X7828,0)),1,0))</f>
        <v/>
      </c>
      <c r="AC7829">
        <f>IF(AB7829&gt;AB7828,AB7829,"")</f>
        <v/>
      </c>
    </row>
    <row r="7830">
      <c r="W7830" s="7" t="n"/>
      <c r="X7830" s="7" t="n"/>
      <c r="Z7830">
        <f>Z7829+IF(W7830="",0,IF(ISNA(MATCH(W7830,W$256:W7829,0)),1,0))</f>
        <v/>
      </c>
      <c r="AA7830">
        <f>IF(Z7830&gt;Z7829,Z7830,"")</f>
        <v/>
      </c>
      <c r="AB7830">
        <f>AB7829+IF(X7830="",0,IF(ISNA(MATCH(X7830,X$256:X7829,0)),1,0))</f>
        <v/>
      </c>
      <c r="AC7830">
        <f>IF(AB7830&gt;AB7829,AB7830,"")</f>
        <v/>
      </c>
    </row>
    <row r="7831">
      <c r="W7831" s="7" t="n"/>
      <c r="X7831" s="7" t="n"/>
      <c r="Z7831">
        <f>Z7830+IF(W7831="",0,IF(ISNA(MATCH(W7831,W$256:W7830,0)),1,0))</f>
        <v/>
      </c>
      <c r="AA7831">
        <f>IF(Z7831&gt;Z7830,Z7831,"")</f>
        <v/>
      </c>
      <c r="AB7831">
        <f>AB7830+IF(X7831="",0,IF(ISNA(MATCH(X7831,X$256:X7830,0)),1,0))</f>
        <v/>
      </c>
      <c r="AC7831">
        <f>IF(AB7831&gt;AB7830,AB7831,"")</f>
        <v/>
      </c>
    </row>
    <row r="7832">
      <c r="W7832" s="7" t="n"/>
      <c r="X7832" s="7" t="n"/>
      <c r="Z7832">
        <f>Z7831+IF(W7832="",0,IF(ISNA(MATCH(W7832,W$256:W7831,0)),1,0))</f>
        <v/>
      </c>
      <c r="AA7832">
        <f>IF(Z7832&gt;Z7831,Z7832,"")</f>
        <v/>
      </c>
      <c r="AB7832">
        <f>AB7831+IF(X7832="",0,IF(ISNA(MATCH(X7832,X$256:X7831,0)),1,0))</f>
        <v/>
      </c>
      <c r="AC7832">
        <f>IF(AB7832&gt;AB7831,AB7832,"")</f>
        <v/>
      </c>
    </row>
    <row r="7833">
      <c r="W7833" s="7" t="n"/>
      <c r="X7833" s="7" t="n"/>
      <c r="Z7833">
        <f>Z7832+IF(W7833="",0,IF(ISNA(MATCH(W7833,W$256:W7832,0)),1,0))</f>
        <v/>
      </c>
      <c r="AA7833">
        <f>IF(Z7833&gt;Z7832,Z7833,"")</f>
        <v/>
      </c>
      <c r="AB7833">
        <f>AB7832+IF(X7833="",0,IF(ISNA(MATCH(X7833,X$256:X7832,0)),1,0))</f>
        <v/>
      </c>
      <c r="AC7833">
        <f>IF(AB7833&gt;AB7832,AB7833,"")</f>
        <v/>
      </c>
    </row>
    <row r="7834">
      <c r="W7834" s="7" t="n"/>
      <c r="X7834" s="7" t="n"/>
      <c r="Z7834">
        <f>Z7833+IF(W7834="",0,IF(ISNA(MATCH(W7834,W$256:W7833,0)),1,0))</f>
        <v/>
      </c>
      <c r="AA7834">
        <f>IF(Z7834&gt;Z7833,Z7834,"")</f>
        <v/>
      </c>
      <c r="AB7834">
        <f>AB7833+IF(X7834="",0,IF(ISNA(MATCH(X7834,X$256:X7833,0)),1,0))</f>
        <v/>
      </c>
      <c r="AC7834">
        <f>IF(AB7834&gt;AB7833,AB7834,"")</f>
        <v/>
      </c>
    </row>
    <row r="7835">
      <c r="W7835" s="7" t="n"/>
      <c r="X7835" s="7" t="n"/>
      <c r="Z7835">
        <f>Z7834+IF(W7835="",0,IF(ISNA(MATCH(W7835,W$256:W7834,0)),1,0))</f>
        <v/>
      </c>
      <c r="AA7835">
        <f>IF(Z7835&gt;Z7834,Z7835,"")</f>
        <v/>
      </c>
      <c r="AB7835">
        <f>AB7834+IF(X7835="",0,IF(ISNA(MATCH(X7835,X$256:X7834,0)),1,0))</f>
        <v/>
      </c>
      <c r="AC7835">
        <f>IF(AB7835&gt;AB7834,AB7835,"")</f>
        <v/>
      </c>
    </row>
    <row r="7836">
      <c r="W7836" s="7" t="n"/>
      <c r="X7836" s="7" t="n"/>
      <c r="Z7836">
        <f>Z7835+IF(W7836="",0,IF(ISNA(MATCH(W7836,W$256:W7835,0)),1,0))</f>
        <v/>
      </c>
      <c r="AA7836">
        <f>IF(Z7836&gt;Z7835,Z7836,"")</f>
        <v/>
      </c>
      <c r="AB7836">
        <f>AB7835+IF(X7836="",0,IF(ISNA(MATCH(X7836,X$256:X7835,0)),1,0))</f>
        <v/>
      </c>
      <c r="AC7836">
        <f>IF(AB7836&gt;AB7835,AB7836,"")</f>
        <v/>
      </c>
    </row>
    <row r="7837">
      <c r="W7837" s="7" t="n"/>
      <c r="X7837" s="7" t="n"/>
      <c r="Z7837">
        <f>Z7836+IF(W7837="",0,IF(ISNA(MATCH(W7837,W$256:W7836,0)),1,0))</f>
        <v/>
      </c>
      <c r="AA7837">
        <f>IF(Z7837&gt;Z7836,Z7837,"")</f>
        <v/>
      </c>
      <c r="AB7837">
        <f>AB7836+IF(X7837="",0,IF(ISNA(MATCH(X7837,X$256:X7836,0)),1,0))</f>
        <v/>
      </c>
      <c r="AC7837">
        <f>IF(AB7837&gt;AB7836,AB7837,"")</f>
        <v/>
      </c>
    </row>
    <row r="7838">
      <c r="W7838" s="7" t="n"/>
      <c r="X7838" s="7" t="n"/>
      <c r="Z7838">
        <f>Z7837+IF(W7838="",0,IF(ISNA(MATCH(W7838,W$256:W7837,0)),1,0))</f>
        <v/>
      </c>
      <c r="AA7838">
        <f>IF(Z7838&gt;Z7837,Z7838,"")</f>
        <v/>
      </c>
      <c r="AB7838">
        <f>AB7837+IF(X7838="",0,IF(ISNA(MATCH(X7838,X$256:X7837,0)),1,0))</f>
        <v/>
      </c>
      <c r="AC7838">
        <f>IF(AB7838&gt;AB7837,AB7838,"")</f>
        <v/>
      </c>
    </row>
    <row r="7839">
      <c r="W7839" s="7" t="n"/>
      <c r="X7839" s="7" t="n"/>
      <c r="Z7839">
        <f>Z7838+IF(W7839="",0,IF(ISNA(MATCH(W7839,W$256:W7838,0)),1,0))</f>
        <v/>
      </c>
      <c r="AA7839">
        <f>IF(Z7839&gt;Z7838,Z7839,"")</f>
        <v/>
      </c>
      <c r="AB7839">
        <f>AB7838+IF(X7839="",0,IF(ISNA(MATCH(X7839,X$256:X7838,0)),1,0))</f>
        <v/>
      </c>
      <c r="AC7839">
        <f>IF(AB7839&gt;AB7838,AB7839,"")</f>
        <v/>
      </c>
    </row>
    <row r="7840">
      <c r="W7840" s="7" t="n"/>
      <c r="X7840" s="7" t="n"/>
      <c r="Z7840">
        <f>Z7839+IF(W7840="",0,IF(ISNA(MATCH(W7840,W$256:W7839,0)),1,0))</f>
        <v/>
      </c>
      <c r="AA7840">
        <f>IF(Z7840&gt;Z7839,Z7840,"")</f>
        <v/>
      </c>
      <c r="AB7840">
        <f>AB7839+IF(X7840="",0,IF(ISNA(MATCH(X7840,X$256:X7839,0)),1,0))</f>
        <v/>
      </c>
      <c r="AC7840">
        <f>IF(AB7840&gt;AB7839,AB7840,"")</f>
        <v/>
      </c>
    </row>
    <row r="7841">
      <c r="W7841" s="7" t="n"/>
      <c r="X7841" s="7" t="n"/>
      <c r="Z7841">
        <f>Z7840+IF(W7841="",0,IF(ISNA(MATCH(W7841,W$256:W7840,0)),1,0))</f>
        <v/>
      </c>
      <c r="AA7841">
        <f>IF(Z7841&gt;Z7840,Z7841,"")</f>
        <v/>
      </c>
      <c r="AB7841">
        <f>AB7840+IF(X7841="",0,IF(ISNA(MATCH(X7841,X$256:X7840,0)),1,0))</f>
        <v/>
      </c>
      <c r="AC7841">
        <f>IF(AB7841&gt;AB7840,AB7841,"")</f>
        <v/>
      </c>
    </row>
    <row r="7842">
      <c r="W7842" s="7" t="n"/>
      <c r="X7842" s="7" t="n"/>
      <c r="Z7842">
        <f>Z7841+IF(W7842="",0,IF(ISNA(MATCH(W7842,W$256:W7841,0)),1,0))</f>
        <v/>
      </c>
      <c r="AA7842">
        <f>IF(Z7842&gt;Z7841,Z7842,"")</f>
        <v/>
      </c>
      <c r="AB7842">
        <f>AB7841+IF(X7842="",0,IF(ISNA(MATCH(X7842,X$256:X7841,0)),1,0))</f>
        <v/>
      </c>
      <c r="AC7842">
        <f>IF(AB7842&gt;AB7841,AB7842,"")</f>
        <v/>
      </c>
    </row>
    <row r="7843">
      <c r="W7843" s="7" t="n"/>
      <c r="X7843" s="7" t="n"/>
      <c r="Z7843">
        <f>Z7842+IF(W7843="",0,IF(ISNA(MATCH(W7843,W$256:W7842,0)),1,0))</f>
        <v/>
      </c>
      <c r="AA7843">
        <f>IF(Z7843&gt;Z7842,Z7843,"")</f>
        <v/>
      </c>
      <c r="AB7843">
        <f>AB7842+IF(X7843="",0,IF(ISNA(MATCH(X7843,X$256:X7842,0)),1,0))</f>
        <v/>
      </c>
      <c r="AC7843">
        <f>IF(AB7843&gt;AB7842,AB7843,"")</f>
        <v/>
      </c>
    </row>
    <row r="7844">
      <c r="W7844" s="7" t="n"/>
      <c r="X7844" s="7" t="n"/>
      <c r="Z7844">
        <f>Z7843+IF(W7844="",0,IF(ISNA(MATCH(W7844,W$256:W7843,0)),1,0))</f>
        <v/>
      </c>
      <c r="AA7844">
        <f>IF(Z7844&gt;Z7843,Z7844,"")</f>
        <v/>
      </c>
      <c r="AB7844">
        <f>AB7843+IF(X7844="",0,IF(ISNA(MATCH(X7844,X$256:X7843,0)),1,0))</f>
        <v/>
      </c>
      <c r="AC7844">
        <f>IF(AB7844&gt;AB7843,AB7844,"")</f>
        <v/>
      </c>
    </row>
    <row r="7845">
      <c r="W7845" s="7" t="n"/>
      <c r="X7845" s="7" t="n"/>
      <c r="Z7845">
        <f>Z7844+IF(W7845="",0,IF(ISNA(MATCH(W7845,W$256:W7844,0)),1,0))</f>
        <v/>
      </c>
      <c r="AA7845">
        <f>IF(Z7845&gt;Z7844,Z7845,"")</f>
        <v/>
      </c>
      <c r="AB7845">
        <f>AB7844+IF(X7845="",0,IF(ISNA(MATCH(X7845,X$256:X7844,0)),1,0))</f>
        <v/>
      </c>
      <c r="AC7845">
        <f>IF(AB7845&gt;AB7844,AB7845,"")</f>
        <v/>
      </c>
    </row>
    <row r="7846">
      <c r="W7846" s="7" t="n"/>
      <c r="X7846" s="7" t="n"/>
      <c r="Z7846">
        <f>Z7845+IF(W7846="",0,IF(ISNA(MATCH(W7846,W$256:W7845,0)),1,0))</f>
        <v/>
      </c>
      <c r="AA7846">
        <f>IF(Z7846&gt;Z7845,Z7846,"")</f>
        <v/>
      </c>
      <c r="AB7846">
        <f>AB7845+IF(X7846="",0,IF(ISNA(MATCH(X7846,X$256:X7845,0)),1,0))</f>
        <v/>
      </c>
      <c r="AC7846">
        <f>IF(AB7846&gt;AB7845,AB7846,"")</f>
        <v/>
      </c>
    </row>
    <row r="7847">
      <c r="W7847" s="7" t="n"/>
      <c r="X7847" s="7" t="n"/>
      <c r="Z7847">
        <f>Z7846+IF(W7847="",0,IF(ISNA(MATCH(W7847,W$256:W7846,0)),1,0))</f>
        <v/>
      </c>
      <c r="AA7847">
        <f>IF(Z7847&gt;Z7846,Z7847,"")</f>
        <v/>
      </c>
      <c r="AB7847">
        <f>AB7846+IF(X7847="",0,IF(ISNA(MATCH(X7847,X$256:X7846,0)),1,0))</f>
        <v/>
      </c>
      <c r="AC7847">
        <f>IF(AB7847&gt;AB7846,AB7847,"")</f>
        <v/>
      </c>
    </row>
    <row r="7848">
      <c r="W7848" s="7" t="n"/>
      <c r="X7848" s="7" t="n"/>
      <c r="Z7848">
        <f>Z7847+IF(W7848="",0,IF(ISNA(MATCH(W7848,W$256:W7847,0)),1,0))</f>
        <v/>
      </c>
      <c r="AA7848">
        <f>IF(Z7848&gt;Z7847,Z7848,"")</f>
        <v/>
      </c>
      <c r="AB7848">
        <f>AB7847+IF(X7848="",0,IF(ISNA(MATCH(X7848,X$256:X7847,0)),1,0))</f>
        <v/>
      </c>
      <c r="AC7848">
        <f>IF(AB7848&gt;AB7847,AB7848,"")</f>
        <v/>
      </c>
    </row>
    <row r="7849">
      <c r="W7849" s="7" t="n"/>
      <c r="X7849" s="7" t="n"/>
      <c r="Z7849">
        <f>Z7848+IF(W7849="",0,IF(ISNA(MATCH(W7849,W$256:W7848,0)),1,0))</f>
        <v/>
      </c>
      <c r="AA7849">
        <f>IF(Z7849&gt;Z7848,Z7849,"")</f>
        <v/>
      </c>
      <c r="AB7849">
        <f>AB7848+IF(X7849="",0,IF(ISNA(MATCH(X7849,X$256:X7848,0)),1,0))</f>
        <v/>
      </c>
      <c r="AC7849">
        <f>IF(AB7849&gt;AB7848,AB7849,"")</f>
        <v/>
      </c>
    </row>
    <row r="7850">
      <c r="W7850" s="7" t="n"/>
      <c r="X7850" s="7" t="n"/>
      <c r="Z7850">
        <f>Z7849+IF(W7850="",0,IF(ISNA(MATCH(W7850,W$256:W7849,0)),1,0))</f>
        <v/>
      </c>
      <c r="AA7850">
        <f>IF(Z7850&gt;Z7849,Z7850,"")</f>
        <v/>
      </c>
      <c r="AB7850">
        <f>AB7849+IF(X7850="",0,IF(ISNA(MATCH(X7850,X$256:X7849,0)),1,0))</f>
        <v/>
      </c>
      <c r="AC7850">
        <f>IF(AB7850&gt;AB7849,AB7850,"")</f>
        <v/>
      </c>
    </row>
    <row r="7851">
      <c r="W7851" s="7" t="n"/>
      <c r="X7851" s="7" t="n"/>
      <c r="Z7851">
        <f>Z7850+IF(W7851="",0,IF(ISNA(MATCH(W7851,W$256:W7850,0)),1,0))</f>
        <v/>
      </c>
      <c r="AA7851">
        <f>IF(Z7851&gt;Z7850,Z7851,"")</f>
        <v/>
      </c>
      <c r="AB7851">
        <f>AB7850+IF(X7851="",0,IF(ISNA(MATCH(X7851,X$256:X7850,0)),1,0))</f>
        <v/>
      </c>
      <c r="AC7851">
        <f>IF(AB7851&gt;AB7850,AB7851,"")</f>
        <v/>
      </c>
    </row>
    <row r="7852">
      <c r="W7852" s="7" t="n"/>
      <c r="X7852" s="7" t="n"/>
      <c r="Z7852">
        <f>Z7851+IF(W7852="",0,IF(ISNA(MATCH(W7852,W$256:W7851,0)),1,0))</f>
        <v/>
      </c>
      <c r="AA7852">
        <f>IF(Z7852&gt;Z7851,Z7852,"")</f>
        <v/>
      </c>
      <c r="AB7852">
        <f>AB7851+IF(X7852="",0,IF(ISNA(MATCH(X7852,X$256:X7851,0)),1,0))</f>
        <v/>
      </c>
      <c r="AC7852">
        <f>IF(AB7852&gt;AB7851,AB7852,"")</f>
        <v/>
      </c>
    </row>
    <row r="7853">
      <c r="W7853" s="7" t="n"/>
      <c r="X7853" s="7" t="n"/>
      <c r="Z7853">
        <f>Z7852+IF(W7853="",0,IF(ISNA(MATCH(W7853,W$256:W7852,0)),1,0))</f>
        <v/>
      </c>
      <c r="AA7853">
        <f>IF(Z7853&gt;Z7852,Z7853,"")</f>
        <v/>
      </c>
      <c r="AB7853">
        <f>AB7852+IF(X7853="",0,IF(ISNA(MATCH(X7853,X$256:X7852,0)),1,0))</f>
        <v/>
      </c>
      <c r="AC7853">
        <f>IF(AB7853&gt;AB7852,AB7853,"")</f>
        <v/>
      </c>
    </row>
    <row r="7854">
      <c r="W7854" s="7" t="n"/>
      <c r="X7854" s="7" t="n"/>
      <c r="Z7854">
        <f>Z7853+IF(W7854="",0,IF(ISNA(MATCH(W7854,W$256:W7853,0)),1,0))</f>
        <v/>
      </c>
      <c r="AA7854">
        <f>IF(Z7854&gt;Z7853,Z7854,"")</f>
        <v/>
      </c>
      <c r="AB7854">
        <f>AB7853+IF(X7854="",0,IF(ISNA(MATCH(X7854,X$256:X7853,0)),1,0))</f>
        <v/>
      </c>
      <c r="AC7854">
        <f>IF(AB7854&gt;AB7853,AB7854,"")</f>
        <v/>
      </c>
    </row>
    <row r="7855">
      <c r="W7855" s="7" t="n"/>
      <c r="X7855" s="7" t="n"/>
      <c r="Z7855">
        <f>Z7854+IF(W7855="",0,IF(ISNA(MATCH(W7855,W$256:W7854,0)),1,0))</f>
        <v/>
      </c>
      <c r="AA7855">
        <f>IF(Z7855&gt;Z7854,Z7855,"")</f>
        <v/>
      </c>
      <c r="AB7855">
        <f>AB7854+IF(X7855="",0,IF(ISNA(MATCH(X7855,X$256:X7854,0)),1,0))</f>
        <v/>
      </c>
      <c r="AC7855">
        <f>IF(AB7855&gt;AB7854,AB7855,"")</f>
        <v/>
      </c>
    </row>
    <row r="7856">
      <c r="W7856" s="7" t="n"/>
      <c r="X7856" s="7" t="n"/>
      <c r="Z7856">
        <f>Z7855+IF(W7856="",0,IF(ISNA(MATCH(W7856,W$256:W7855,0)),1,0))</f>
        <v/>
      </c>
      <c r="AA7856">
        <f>IF(Z7856&gt;Z7855,Z7856,"")</f>
        <v/>
      </c>
      <c r="AB7856">
        <f>AB7855+IF(X7856="",0,IF(ISNA(MATCH(X7856,X$256:X7855,0)),1,0))</f>
        <v/>
      </c>
      <c r="AC7856">
        <f>IF(AB7856&gt;AB7855,AB7856,"")</f>
        <v/>
      </c>
    </row>
    <row r="7857">
      <c r="W7857" s="7" t="n"/>
      <c r="X7857" s="7" t="n"/>
      <c r="Z7857">
        <f>Z7856+IF(W7857="",0,IF(ISNA(MATCH(W7857,W$256:W7856,0)),1,0))</f>
        <v/>
      </c>
      <c r="AA7857">
        <f>IF(Z7857&gt;Z7856,Z7857,"")</f>
        <v/>
      </c>
      <c r="AB7857">
        <f>AB7856+IF(X7857="",0,IF(ISNA(MATCH(X7857,X$256:X7856,0)),1,0))</f>
        <v/>
      </c>
      <c r="AC7857">
        <f>IF(AB7857&gt;AB7856,AB7857,"")</f>
        <v/>
      </c>
    </row>
    <row r="7858">
      <c r="W7858" s="7" t="n"/>
      <c r="X7858" s="7" t="n"/>
      <c r="Z7858">
        <f>Z7857+IF(W7858="",0,IF(ISNA(MATCH(W7858,W$256:W7857,0)),1,0))</f>
        <v/>
      </c>
      <c r="AA7858">
        <f>IF(Z7858&gt;Z7857,Z7858,"")</f>
        <v/>
      </c>
      <c r="AB7858">
        <f>AB7857+IF(X7858="",0,IF(ISNA(MATCH(X7858,X$256:X7857,0)),1,0))</f>
        <v/>
      </c>
      <c r="AC7858">
        <f>IF(AB7858&gt;AB7857,AB7858,"")</f>
        <v/>
      </c>
    </row>
    <row r="7859">
      <c r="W7859" s="7" t="n"/>
      <c r="X7859" s="7" t="n"/>
      <c r="Z7859">
        <f>Z7858+IF(W7859="",0,IF(ISNA(MATCH(W7859,W$256:W7858,0)),1,0))</f>
        <v/>
      </c>
      <c r="AA7859">
        <f>IF(Z7859&gt;Z7858,Z7859,"")</f>
        <v/>
      </c>
      <c r="AB7859">
        <f>AB7858+IF(X7859="",0,IF(ISNA(MATCH(X7859,X$256:X7858,0)),1,0))</f>
        <v/>
      </c>
      <c r="AC7859">
        <f>IF(AB7859&gt;AB7858,AB7859,"")</f>
        <v/>
      </c>
    </row>
    <row r="7860">
      <c r="W7860" s="7" t="n"/>
      <c r="X7860" s="7" t="n"/>
      <c r="Z7860">
        <f>Z7859+IF(W7860="",0,IF(ISNA(MATCH(W7860,W$256:W7859,0)),1,0))</f>
        <v/>
      </c>
      <c r="AA7860">
        <f>IF(Z7860&gt;Z7859,Z7860,"")</f>
        <v/>
      </c>
      <c r="AB7860">
        <f>AB7859+IF(X7860="",0,IF(ISNA(MATCH(X7860,X$256:X7859,0)),1,0))</f>
        <v/>
      </c>
      <c r="AC7860">
        <f>IF(AB7860&gt;AB7859,AB7860,"")</f>
        <v/>
      </c>
    </row>
    <row r="7861">
      <c r="W7861" s="7" t="n"/>
      <c r="X7861" s="7" t="n"/>
      <c r="Z7861">
        <f>Z7860+IF(W7861="",0,IF(ISNA(MATCH(W7861,W$256:W7860,0)),1,0))</f>
        <v/>
      </c>
      <c r="AA7861">
        <f>IF(Z7861&gt;Z7860,Z7861,"")</f>
        <v/>
      </c>
      <c r="AB7861">
        <f>AB7860+IF(X7861="",0,IF(ISNA(MATCH(X7861,X$256:X7860,0)),1,0))</f>
        <v/>
      </c>
      <c r="AC7861">
        <f>IF(AB7861&gt;AB7860,AB7861,"")</f>
        <v/>
      </c>
    </row>
    <row r="7862">
      <c r="W7862" s="7" t="n"/>
      <c r="X7862" s="7" t="n"/>
      <c r="Z7862">
        <f>Z7861+IF(W7862="",0,IF(ISNA(MATCH(W7862,W$256:W7861,0)),1,0))</f>
        <v/>
      </c>
      <c r="AA7862">
        <f>IF(Z7862&gt;Z7861,Z7862,"")</f>
        <v/>
      </c>
      <c r="AB7862">
        <f>AB7861+IF(X7862="",0,IF(ISNA(MATCH(X7862,X$256:X7861,0)),1,0))</f>
        <v/>
      </c>
      <c r="AC7862">
        <f>IF(AB7862&gt;AB7861,AB7862,"")</f>
        <v/>
      </c>
    </row>
    <row r="7863">
      <c r="W7863" s="7" t="n"/>
      <c r="X7863" s="7" t="n"/>
      <c r="Z7863">
        <f>Z7862+IF(W7863="",0,IF(ISNA(MATCH(W7863,W$256:W7862,0)),1,0))</f>
        <v/>
      </c>
      <c r="AA7863">
        <f>IF(Z7863&gt;Z7862,Z7863,"")</f>
        <v/>
      </c>
      <c r="AB7863">
        <f>AB7862+IF(X7863="",0,IF(ISNA(MATCH(X7863,X$256:X7862,0)),1,0))</f>
        <v/>
      </c>
      <c r="AC7863">
        <f>IF(AB7863&gt;AB7862,AB7863,"")</f>
        <v/>
      </c>
    </row>
    <row r="7864">
      <c r="W7864" s="7" t="n"/>
      <c r="X7864" s="7" t="n"/>
      <c r="Z7864">
        <f>Z7863+IF(W7864="",0,IF(ISNA(MATCH(W7864,W$256:W7863,0)),1,0))</f>
        <v/>
      </c>
      <c r="AA7864">
        <f>IF(Z7864&gt;Z7863,Z7864,"")</f>
        <v/>
      </c>
      <c r="AB7864">
        <f>AB7863+IF(X7864="",0,IF(ISNA(MATCH(X7864,X$256:X7863,0)),1,0))</f>
        <v/>
      </c>
      <c r="AC7864">
        <f>IF(AB7864&gt;AB7863,AB7864,"")</f>
        <v/>
      </c>
    </row>
    <row r="7865">
      <c r="W7865" s="7" t="n"/>
      <c r="X7865" s="7" t="n"/>
      <c r="Z7865">
        <f>Z7864+IF(W7865="",0,IF(ISNA(MATCH(W7865,W$256:W7864,0)),1,0))</f>
        <v/>
      </c>
      <c r="AA7865">
        <f>IF(Z7865&gt;Z7864,Z7865,"")</f>
        <v/>
      </c>
      <c r="AB7865">
        <f>AB7864+IF(X7865="",0,IF(ISNA(MATCH(X7865,X$256:X7864,0)),1,0))</f>
        <v/>
      </c>
      <c r="AC7865">
        <f>IF(AB7865&gt;AB7864,AB7865,"")</f>
        <v/>
      </c>
    </row>
    <row r="7866">
      <c r="W7866" s="7" t="n"/>
      <c r="X7866" s="7" t="n"/>
      <c r="Z7866">
        <f>Z7865+IF(W7866="",0,IF(ISNA(MATCH(W7866,W$256:W7865,0)),1,0))</f>
        <v/>
      </c>
      <c r="AA7866">
        <f>IF(Z7866&gt;Z7865,Z7866,"")</f>
        <v/>
      </c>
      <c r="AB7866">
        <f>AB7865+IF(X7866="",0,IF(ISNA(MATCH(X7866,X$256:X7865,0)),1,0))</f>
        <v/>
      </c>
      <c r="AC7866">
        <f>IF(AB7866&gt;AB7865,AB7866,"")</f>
        <v/>
      </c>
    </row>
    <row r="7867">
      <c r="W7867" s="7" t="n"/>
      <c r="X7867" s="7" t="n"/>
      <c r="Z7867">
        <f>Z7866+IF(W7867="",0,IF(ISNA(MATCH(W7867,W$256:W7866,0)),1,0))</f>
        <v/>
      </c>
      <c r="AA7867">
        <f>IF(Z7867&gt;Z7866,Z7867,"")</f>
        <v/>
      </c>
      <c r="AB7867">
        <f>AB7866+IF(X7867="",0,IF(ISNA(MATCH(X7867,X$256:X7866,0)),1,0))</f>
        <v/>
      </c>
      <c r="AC7867">
        <f>IF(AB7867&gt;AB7866,AB7867,"")</f>
        <v/>
      </c>
    </row>
    <row r="7868">
      <c r="W7868" s="7" t="n"/>
      <c r="X7868" s="7" t="n"/>
      <c r="Z7868">
        <f>Z7867+IF(W7868="",0,IF(ISNA(MATCH(W7868,W$256:W7867,0)),1,0))</f>
        <v/>
      </c>
      <c r="AA7868">
        <f>IF(Z7868&gt;Z7867,Z7868,"")</f>
        <v/>
      </c>
      <c r="AB7868">
        <f>AB7867+IF(X7868="",0,IF(ISNA(MATCH(X7868,X$256:X7867,0)),1,0))</f>
        <v/>
      </c>
      <c r="AC7868">
        <f>IF(AB7868&gt;AB7867,AB7868,"")</f>
        <v/>
      </c>
    </row>
    <row r="7869">
      <c r="W7869" s="7" t="n"/>
      <c r="X7869" s="7" t="n"/>
      <c r="Z7869">
        <f>Z7868+IF(W7869="",0,IF(ISNA(MATCH(W7869,W$256:W7868,0)),1,0))</f>
        <v/>
      </c>
      <c r="AA7869">
        <f>IF(Z7869&gt;Z7868,Z7869,"")</f>
        <v/>
      </c>
      <c r="AB7869">
        <f>AB7868+IF(X7869="",0,IF(ISNA(MATCH(X7869,X$256:X7868,0)),1,0))</f>
        <v/>
      </c>
      <c r="AC7869">
        <f>IF(AB7869&gt;AB7868,AB7869,"")</f>
        <v/>
      </c>
    </row>
    <row r="7870">
      <c r="W7870" s="7" t="n"/>
      <c r="X7870" s="7" t="n"/>
      <c r="Z7870">
        <f>Z7869+IF(W7870="",0,IF(ISNA(MATCH(W7870,W$256:W7869,0)),1,0))</f>
        <v/>
      </c>
      <c r="AA7870">
        <f>IF(Z7870&gt;Z7869,Z7870,"")</f>
        <v/>
      </c>
      <c r="AB7870">
        <f>AB7869+IF(X7870="",0,IF(ISNA(MATCH(X7870,X$256:X7869,0)),1,0))</f>
        <v/>
      </c>
      <c r="AC7870">
        <f>IF(AB7870&gt;AB7869,AB7870,"")</f>
        <v/>
      </c>
    </row>
    <row r="7871">
      <c r="W7871" s="7" t="n"/>
      <c r="X7871" s="7" t="n"/>
      <c r="Z7871">
        <f>Z7870+IF(W7871="",0,IF(ISNA(MATCH(W7871,W$256:W7870,0)),1,0))</f>
        <v/>
      </c>
      <c r="AA7871">
        <f>IF(Z7871&gt;Z7870,Z7871,"")</f>
        <v/>
      </c>
      <c r="AB7871">
        <f>AB7870+IF(X7871="",0,IF(ISNA(MATCH(X7871,X$256:X7870,0)),1,0))</f>
        <v/>
      </c>
      <c r="AC7871">
        <f>IF(AB7871&gt;AB7870,AB7871,"")</f>
        <v/>
      </c>
    </row>
    <row r="7872">
      <c r="W7872" s="7" t="n"/>
      <c r="X7872" s="7" t="n"/>
      <c r="Z7872">
        <f>Z7871+IF(W7872="",0,IF(ISNA(MATCH(W7872,W$256:W7871,0)),1,0))</f>
        <v/>
      </c>
      <c r="AA7872">
        <f>IF(Z7872&gt;Z7871,Z7872,"")</f>
        <v/>
      </c>
      <c r="AB7872">
        <f>AB7871+IF(X7872="",0,IF(ISNA(MATCH(X7872,X$256:X7871,0)),1,0))</f>
        <v/>
      </c>
      <c r="AC7872">
        <f>IF(AB7872&gt;AB7871,AB7872,"")</f>
        <v/>
      </c>
    </row>
    <row r="7873">
      <c r="W7873" s="7" t="n"/>
      <c r="X7873" s="7" t="n"/>
      <c r="Z7873">
        <f>Z7872+IF(W7873="",0,IF(ISNA(MATCH(W7873,W$256:W7872,0)),1,0))</f>
        <v/>
      </c>
      <c r="AA7873">
        <f>IF(Z7873&gt;Z7872,Z7873,"")</f>
        <v/>
      </c>
      <c r="AB7873">
        <f>AB7872+IF(X7873="",0,IF(ISNA(MATCH(X7873,X$256:X7872,0)),1,0))</f>
        <v/>
      </c>
      <c r="AC7873">
        <f>IF(AB7873&gt;AB7872,AB7873,"")</f>
        <v/>
      </c>
    </row>
    <row r="7874">
      <c r="W7874" s="7" t="n"/>
      <c r="X7874" s="7" t="n"/>
      <c r="Z7874">
        <f>Z7873+IF(W7874="",0,IF(ISNA(MATCH(W7874,W$256:W7873,0)),1,0))</f>
        <v/>
      </c>
      <c r="AA7874">
        <f>IF(Z7874&gt;Z7873,Z7874,"")</f>
        <v/>
      </c>
      <c r="AB7874">
        <f>AB7873+IF(X7874="",0,IF(ISNA(MATCH(X7874,X$256:X7873,0)),1,0))</f>
        <v/>
      </c>
      <c r="AC7874">
        <f>IF(AB7874&gt;AB7873,AB7874,"")</f>
        <v/>
      </c>
    </row>
    <row r="7875">
      <c r="W7875" s="7" t="n"/>
      <c r="X7875" s="7" t="n"/>
      <c r="Z7875">
        <f>Z7874+IF(W7875="",0,IF(ISNA(MATCH(W7875,W$256:W7874,0)),1,0))</f>
        <v/>
      </c>
      <c r="AA7875">
        <f>IF(Z7875&gt;Z7874,Z7875,"")</f>
        <v/>
      </c>
      <c r="AB7875">
        <f>AB7874+IF(X7875="",0,IF(ISNA(MATCH(X7875,X$256:X7874,0)),1,0))</f>
        <v/>
      </c>
      <c r="AC7875">
        <f>IF(AB7875&gt;AB7874,AB7875,"")</f>
        <v/>
      </c>
    </row>
    <row r="7876">
      <c r="W7876" s="7" t="n"/>
      <c r="X7876" s="7" t="n"/>
      <c r="Z7876">
        <f>Z7875+IF(W7876="",0,IF(ISNA(MATCH(W7876,W$256:W7875,0)),1,0))</f>
        <v/>
      </c>
      <c r="AA7876">
        <f>IF(Z7876&gt;Z7875,Z7876,"")</f>
        <v/>
      </c>
      <c r="AB7876">
        <f>AB7875+IF(X7876="",0,IF(ISNA(MATCH(X7876,X$256:X7875,0)),1,0))</f>
        <v/>
      </c>
      <c r="AC7876">
        <f>IF(AB7876&gt;AB7875,AB7876,"")</f>
        <v/>
      </c>
    </row>
    <row r="7877">
      <c r="W7877" s="7" t="n"/>
      <c r="X7877" s="7" t="n"/>
      <c r="Z7877">
        <f>Z7876+IF(W7877="",0,IF(ISNA(MATCH(W7877,W$256:W7876,0)),1,0))</f>
        <v/>
      </c>
      <c r="AA7877">
        <f>IF(Z7877&gt;Z7876,Z7877,"")</f>
        <v/>
      </c>
      <c r="AB7877">
        <f>AB7876+IF(X7877="",0,IF(ISNA(MATCH(X7877,X$256:X7876,0)),1,0))</f>
        <v/>
      </c>
      <c r="AC7877">
        <f>IF(AB7877&gt;AB7876,AB7877,"")</f>
        <v/>
      </c>
    </row>
    <row r="7878">
      <c r="W7878" s="7" t="n"/>
      <c r="X7878" s="7" t="n"/>
      <c r="Z7878">
        <f>Z7877+IF(W7878="",0,IF(ISNA(MATCH(W7878,W$256:W7877,0)),1,0))</f>
        <v/>
      </c>
      <c r="AA7878">
        <f>IF(Z7878&gt;Z7877,Z7878,"")</f>
        <v/>
      </c>
      <c r="AB7878">
        <f>AB7877+IF(X7878="",0,IF(ISNA(MATCH(X7878,X$256:X7877,0)),1,0))</f>
        <v/>
      </c>
      <c r="AC7878">
        <f>IF(AB7878&gt;AB7877,AB7878,"")</f>
        <v/>
      </c>
    </row>
    <row r="7879">
      <c r="W7879" s="7" t="n"/>
      <c r="X7879" s="7" t="n"/>
      <c r="Z7879">
        <f>Z7878+IF(W7879="",0,IF(ISNA(MATCH(W7879,W$256:W7878,0)),1,0))</f>
        <v/>
      </c>
      <c r="AA7879">
        <f>IF(Z7879&gt;Z7878,Z7879,"")</f>
        <v/>
      </c>
      <c r="AB7879">
        <f>AB7878+IF(X7879="",0,IF(ISNA(MATCH(X7879,X$256:X7878,0)),1,0))</f>
        <v/>
      </c>
      <c r="AC7879">
        <f>IF(AB7879&gt;AB7878,AB7879,"")</f>
        <v/>
      </c>
    </row>
    <row r="7880">
      <c r="W7880" s="7" t="n"/>
      <c r="X7880" s="7" t="n"/>
      <c r="Z7880">
        <f>Z7879+IF(W7880="",0,IF(ISNA(MATCH(W7880,W$256:W7879,0)),1,0))</f>
        <v/>
      </c>
      <c r="AA7880">
        <f>IF(Z7880&gt;Z7879,Z7880,"")</f>
        <v/>
      </c>
      <c r="AB7880">
        <f>AB7879+IF(X7880="",0,IF(ISNA(MATCH(X7880,X$256:X7879,0)),1,0))</f>
        <v/>
      </c>
      <c r="AC7880">
        <f>IF(AB7880&gt;AB7879,AB7880,"")</f>
        <v/>
      </c>
    </row>
    <row r="7881">
      <c r="W7881" s="7" t="n"/>
      <c r="X7881" s="7" t="n"/>
      <c r="Z7881">
        <f>Z7880+IF(W7881="",0,IF(ISNA(MATCH(W7881,W$256:W7880,0)),1,0))</f>
        <v/>
      </c>
      <c r="AA7881">
        <f>IF(Z7881&gt;Z7880,Z7881,"")</f>
        <v/>
      </c>
      <c r="AB7881">
        <f>AB7880+IF(X7881="",0,IF(ISNA(MATCH(X7881,X$256:X7880,0)),1,0))</f>
        <v/>
      </c>
      <c r="AC7881">
        <f>IF(AB7881&gt;AB7880,AB7881,"")</f>
        <v/>
      </c>
    </row>
    <row r="7882">
      <c r="W7882" s="7" t="n"/>
      <c r="X7882" s="7" t="n"/>
      <c r="Z7882">
        <f>Z7881+IF(W7882="",0,IF(ISNA(MATCH(W7882,W$256:W7881,0)),1,0))</f>
        <v/>
      </c>
      <c r="AA7882">
        <f>IF(Z7882&gt;Z7881,Z7882,"")</f>
        <v/>
      </c>
      <c r="AB7882">
        <f>AB7881+IF(X7882="",0,IF(ISNA(MATCH(X7882,X$256:X7881,0)),1,0))</f>
        <v/>
      </c>
      <c r="AC7882">
        <f>IF(AB7882&gt;AB7881,AB7882,"")</f>
        <v/>
      </c>
    </row>
    <row r="7883">
      <c r="W7883" s="7" t="n"/>
      <c r="X7883" s="7" t="n"/>
      <c r="Z7883">
        <f>Z7882+IF(W7883="",0,IF(ISNA(MATCH(W7883,W$256:W7882,0)),1,0))</f>
        <v/>
      </c>
      <c r="AA7883">
        <f>IF(Z7883&gt;Z7882,Z7883,"")</f>
        <v/>
      </c>
      <c r="AB7883">
        <f>AB7882+IF(X7883="",0,IF(ISNA(MATCH(X7883,X$256:X7882,0)),1,0))</f>
        <v/>
      </c>
      <c r="AC7883">
        <f>IF(AB7883&gt;AB7882,AB7883,"")</f>
        <v/>
      </c>
    </row>
    <row r="7884">
      <c r="W7884" s="7" t="n"/>
      <c r="X7884" s="7" t="n"/>
      <c r="Z7884">
        <f>Z7883+IF(W7884="",0,IF(ISNA(MATCH(W7884,W$256:W7883,0)),1,0))</f>
        <v/>
      </c>
      <c r="AA7884">
        <f>IF(Z7884&gt;Z7883,Z7884,"")</f>
        <v/>
      </c>
      <c r="AB7884">
        <f>AB7883+IF(X7884="",0,IF(ISNA(MATCH(X7884,X$256:X7883,0)),1,0))</f>
        <v/>
      </c>
      <c r="AC7884">
        <f>IF(AB7884&gt;AB7883,AB7884,"")</f>
        <v/>
      </c>
    </row>
    <row r="7885">
      <c r="W7885" s="7" t="n"/>
      <c r="X7885" s="7" t="n"/>
      <c r="Z7885">
        <f>Z7884+IF(W7885="",0,IF(ISNA(MATCH(W7885,W$256:W7884,0)),1,0))</f>
        <v/>
      </c>
      <c r="AA7885">
        <f>IF(Z7885&gt;Z7884,Z7885,"")</f>
        <v/>
      </c>
      <c r="AB7885">
        <f>AB7884+IF(X7885="",0,IF(ISNA(MATCH(X7885,X$256:X7884,0)),1,0))</f>
        <v/>
      </c>
      <c r="AC7885">
        <f>IF(AB7885&gt;AB7884,AB7885,"")</f>
        <v/>
      </c>
    </row>
    <row r="7886">
      <c r="W7886" s="7" t="n"/>
      <c r="X7886" s="7" t="n"/>
      <c r="Z7886">
        <f>Z7885+IF(W7886="",0,IF(ISNA(MATCH(W7886,W$256:W7885,0)),1,0))</f>
        <v/>
      </c>
      <c r="AA7886">
        <f>IF(Z7886&gt;Z7885,Z7886,"")</f>
        <v/>
      </c>
      <c r="AB7886">
        <f>AB7885+IF(X7886="",0,IF(ISNA(MATCH(X7886,X$256:X7885,0)),1,0))</f>
        <v/>
      </c>
      <c r="AC7886">
        <f>IF(AB7886&gt;AB7885,AB7886,"")</f>
        <v/>
      </c>
    </row>
    <row r="7887">
      <c r="W7887" s="7" t="n"/>
      <c r="X7887" s="7" t="n"/>
      <c r="Z7887">
        <f>Z7886+IF(W7887="",0,IF(ISNA(MATCH(W7887,W$256:W7886,0)),1,0))</f>
        <v/>
      </c>
      <c r="AA7887">
        <f>IF(Z7887&gt;Z7886,Z7887,"")</f>
        <v/>
      </c>
      <c r="AB7887">
        <f>AB7886+IF(X7887="",0,IF(ISNA(MATCH(X7887,X$256:X7886,0)),1,0))</f>
        <v/>
      </c>
      <c r="AC7887">
        <f>IF(AB7887&gt;AB7886,AB7887,"")</f>
        <v/>
      </c>
    </row>
    <row r="7888">
      <c r="W7888" s="7" t="n"/>
      <c r="X7888" s="7" t="n"/>
      <c r="Z7888">
        <f>Z7887+IF(W7888="",0,IF(ISNA(MATCH(W7888,W$256:W7887,0)),1,0))</f>
        <v/>
      </c>
      <c r="AA7888">
        <f>IF(Z7888&gt;Z7887,Z7888,"")</f>
        <v/>
      </c>
      <c r="AB7888">
        <f>AB7887+IF(X7888="",0,IF(ISNA(MATCH(X7888,X$256:X7887,0)),1,0))</f>
        <v/>
      </c>
      <c r="AC7888">
        <f>IF(AB7888&gt;AB7887,AB7888,"")</f>
        <v/>
      </c>
    </row>
    <row r="7889">
      <c r="W7889" s="7" t="n"/>
      <c r="X7889" s="7" t="n"/>
      <c r="Z7889">
        <f>Z7888+IF(W7889="",0,IF(ISNA(MATCH(W7889,W$256:W7888,0)),1,0))</f>
        <v/>
      </c>
      <c r="AA7889">
        <f>IF(Z7889&gt;Z7888,Z7889,"")</f>
        <v/>
      </c>
      <c r="AB7889">
        <f>AB7888+IF(X7889="",0,IF(ISNA(MATCH(X7889,X$256:X7888,0)),1,0))</f>
        <v/>
      </c>
      <c r="AC7889">
        <f>IF(AB7889&gt;AB7888,AB7889,"")</f>
        <v/>
      </c>
    </row>
    <row r="7890">
      <c r="W7890" s="7" t="n"/>
      <c r="X7890" s="7" t="n"/>
      <c r="Z7890">
        <f>Z7889+IF(W7890="",0,IF(ISNA(MATCH(W7890,W$256:W7889,0)),1,0))</f>
        <v/>
      </c>
      <c r="AA7890">
        <f>IF(Z7890&gt;Z7889,Z7890,"")</f>
        <v/>
      </c>
      <c r="AB7890">
        <f>AB7889+IF(X7890="",0,IF(ISNA(MATCH(X7890,X$256:X7889,0)),1,0))</f>
        <v/>
      </c>
      <c r="AC7890">
        <f>IF(AB7890&gt;AB7889,AB7890,"")</f>
        <v/>
      </c>
    </row>
    <row r="7891">
      <c r="W7891" s="7" t="n"/>
      <c r="X7891" s="7" t="n"/>
      <c r="Z7891">
        <f>Z7890+IF(W7891="",0,IF(ISNA(MATCH(W7891,W$256:W7890,0)),1,0))</f>
        <v/>
      </c>
      <c r="AA7891">
        <f>IF(Z7891&gt;Z7890,Z7891,"")</f>
        <v/>
      </c>
      <c r="AB7891">
        <f>AB7890+IF(X7891="",0,IF(ISNA(MATCH(X7891,X$256:X7890,0)),1,0))</f>
        <v/>
      </c>
      <c r="AC7891">
        <f>IF(AB7891&gt;AB7890,AB7891,"")</f>
        <v/>
      </c>
    </row>
    <row r="7892">
      <c r="W7892" s="7" t="n"/>
      <c r="X7892" s="7" t="n"/>
      <c r="Z7892">
        <f>Z7891+IF(W7892="",0,IF(ISNA(MATCH(W7892,W$256:W7891,0)),1,0))</f>
        <v/>
      </c>
      <c r="AA7892">
        <f>IF(Z7892&gt;Z7891,Z7892,"")</f>
        <v/>
      </c>
      <c r="AB7892">
        <f>AB7891+IF(X7892="",0,IF(ISNA(MATCH(X7892,X$256:X7891,0)),1,0))</f>
        <v/>
      </c>
      <c r="AC7892">
        <f>IF(AB7892&gt;AB7891,AB7892,"")</f>
        <v/>
      </c>
    </row>
    <row r="7893">
      <c r="W7893" s="7" t="n"/>
      <c r="X7893" s="7" t="n"/>
      <c r="Z7893">
        <f>Z7892+IF(W7893="",0,IF(ISNA(MATCH(W7893,W$256:W7892,0)),1,0))</f>
        <v/>
      </c>
      <c r="AA7893">
        <f>IF(Z7893&gt;Z7892,Z7893,"")</f>
        <v/>
      </c>
      <c r="AB7893">
        <f>AB7892+IF(X7893="",0,IF(ISNA(MATCH(X7893,X$256:X7892,0)),1,0))</f>
        <v/>
      </c>
      <c r="AC7893">
        <f>IF(AB7893&gt;AB7892,AB7893,"")</f>
        <v/>
      </c>
    </row>
    <row r="7894">
      <c r="W7894" s="7" t="n"/>
      <c r="X7894" s="7" t="n"/>
      <c r="Z7894">
        <f>Z7893+IF(W7894="",0,IF(ISNA(MATCH(W7894,W$256:W7893,0)),1,0))</f>
        <v/>
      </c>
      <c r="AA7894">
        <f>IF(Z7894&gt;Z7893,Z7894,"")</f>
        <v/>
      </c>
      <c r="AB7894">
        <f>AB7893+IF(X7894="",0,IF(ISNA(MATCH(X7894,X$256:X7893,0)),1,0))</f>
        <v/>
      </c>
      <c r="AC7894">
        <f>IF(AB7894&gt;AB7893,AB7894,"")</f>
        <v/>
      </c>
    </row>
    <row r="7895">
      <c r="W7895" s="7" t="n"/>
      <c r="X7895" s="7" t="n"/>
      <c r="Z7895">
        <f>Z7894+IF(W7895="",0,IF(ISNA(MATCH(W7895,W$256:W7894,0)),1,0))</f>
        <v/>
      </c>
      <c r="AA7895">
        <f>IF(Z7895&gt;Z7894,Z7895,"")</f>
        <v/>
      </c>
      <c r="AB7895">
        <f>AB7894+IF(X7895="",0,IF(ISNA(MATCH(X7895,X$256:X7894,0)),1,0))</f>
        <v/>
      </c>
      <c r="AC7895">
        <f>IF(AB7895&gt;AB7894,AB7895,"")</f>
        <v/>
      </c>
    </row>
    <row r="7896">
      <c r="W7896" s="7" t="n"/>
      <c r="X7896" s="7" t="n"/>
      <c r="Z7896">
        <f>Z7895+IF(W7896="",0,IF(ISNA(MATCH(W7896,W$256:W7895,0)),1,0))</f>
        <v/>
      </c>
      <c r="AA7896">
        <f>IF(Z7896&gt;Z7895,Z7896,"")</f>
        <v/>
      </c>
      <c r="AB7896">
        <f>AB7895+IF(X7896="",0,IF(ISNA(MATCH(X7896,X$256:X7895,0)),1,0))</f>
        <v/>
      </c>
      <c r="AC7896">
        <f>IF(AB7896&gt;AB7895,AB7896,"")</f>
        <v/>
      </c>
    </row>
    <row r="7897">
      <c r="W7897" s="7" t="n"/>
      <c r="X7897" s="7" t="n"/>
      <c r="Z7897">
        <f>Z7896+IF(W7897="",0,IF(ISNA(MATCH(W7897,W$256:W7896,0)),1,0))</f>
        <v/>
      </c>
      <c r="AA7897">
        <f>IF(Z7897&gt;Z7896,Z7897,"")</f>
        <v/>
      </c>
      <c r="AB7897">
        <f>AB7896+IF(X7897="",0,IF(ISNA(MATCH(X7897,X$256:X7896,0)),1,0))</f>
        <v/>
      </c>
      <c r="AC7897">
        <f>IF(AB7897&gt;AB7896,AB7897,"")</f>
        <v/>
      </c>
    </row>
    <row r="7898">
      <c r="W7898" s="7" t="n"/>
      <c r="X7898" s="7" t="n"/>
      <c r="Z7898">
        <f>Z7897+IF(W7898="",0,IF(ISNA(MATCH(W7898,W$256:W7897,0)),1,0))</f>
        <v/>
      </c>
      <c r="AA7898">
        <f>IF(Z7898&gt;Z7897,Z7898,"")</f>
        <v/>
      </c>
      <c r="AB7898">
        <f>AB7897+IF(X7898="",0,IF(ISNA(MATCH(X7898,X$256:X7897,0)),1,0))</f>
        <v/>
      </c>
      <c r="AC7898">
        <f>IF(AB7898&gt;AB7897,AB7898,"")</f>
        <v/>
      </c>
    </row>
    <row r="7899">
      <c r="W7899" s="7" t="n"/>
      <c r="X7899" s="7" t="n"/>
      <c r="Z7899">
        <f>Z7898+IF(W7899="",0,IF(ISNA(MATCH(W7899,W$256:W7898,0)),1,0))</f>
        <v/>
      </c>
      <c r="AA7899">
        <f>IF(Z7899&gt;Z7898,Z7899,"")</f>
        <v/>
      </c>
      <c r="AB7899">
        <f>AB7898+IF(X7899="",0,IF(ISNA(MATCH(X7899,X$256:X7898,0)),1,0))</f>
        <v/>
      </c>
      <c r="AC7899">
        <f>IF(AB7899&gt;AB7898,AB7899,"")</f>
        <v/>
      </c>
    </row>
    <row r="7900">
      <c r="W7900" s="7" t="n"/>
      <c r="X7900" s="7" t="n"/>
      <c r="Z7900">
        <f>Z7899+IF(W7900="",0,IF(ISNA(MATCH(W7900,W$256:W7899,0)),1,0))</f>
        <v/>
      </c>
      <c r="AA7900">
        <f>IF(Z7900&gt;Z7899,Z7900,"")</f>
        <v/>
      </c>
      <c r="AB7900">
        <f>AB7899+IF(X7900="",0,IF(ISNA(MATCH(X7900,X$256:X7899,0)),1,0))</f>
        <v/>
      </c>
      <c r="AC7900">
        <f>IF(AB7900&gt;AB7899,AB7900,"")</f>
        <v/>
      </c>
    </row>
    <row r="7901">
      <c r="W7901" s="7" t="n"/>
      <c r="X7901" s="7" t="n"/>
      <c r="Z7901">
        <f>Z7900+IF(W7901="",0,IF(ISNA(MATCH(W7901,W$256:W7900,0)),1,0))</f>
        <v/>
      </c>
      <c r="AA7901">
        <f>IF(Z7901&gt;Z7900,Z7901,"")</f>
        <v/>
      </c>
      <c r="AB7901">
        <f>AB7900+IF(X7901="",0,IF(ISNA(MATCH(X7901,X$256:X7900,0)),1,0))</f>
        <v/>
      </c>
      <c r="AC7901">
        <f>IF(AB7901&gt;AB7900,AB7901,"")</f>
        <v/>
      </c>
    </row>
    <row r="7902">
      <c r="W7902" s="7" t="n"/>
      <c r="X7902" s="7" t="n"/>
      <c r="Z7902">
        <f>Z7901+IF(W7902="",0,IF(ISNA(MATCH(W7902,W$256:W7901,0)),1,0))</f>
        <v/>
      </c>
      <c r="AA7902">
        <f>IF(Z7902&gt;Z7901,Z7902,"")</f>
        <v/>
      </c>
      <c r="AB7902">
        <f>AB7901+IF(X7902="",0,IF(ISNA(MATCH(X7902,X$256:X7901,0)),1,0))</f>
        <v/>
      </c>
      <c r="AC7902">
        <f>IF(AB7902&gt;AB7901,AB7902,"")</f>
        <v/>
      </c>
    </row>
    <row r="7903">
      <c r="W7903" s="7" t="n"/>
      <c r="X7903" s="7" t="n"/>
      <c r="Z7903">
        <f>Z7902+IF(W7903="",0,IF(ISNA(MATCH(W7903,W$256:W7902,0)),1,0))</f>
        <v/>
      </c>
      <c r="AA7903">
        <f>IF(Z7903&gt;Z7902,Z7903,"")</f>
        <v/>
      </c>
      <c r="AB7903">
        <f>AB7902+IF(X7903="",0,IF(ISNA(MATCH(X7903,X$256:X7902,0)),1,0))</f>
        <v/>
      </c>
      <c r="AC7903">
        <f>IF(AB7903&gt;AB7902,AB7903,"")</f>
        <v/>
      </c>
    </row>
    <row r="7904">
      <c r="W7904" s="7" t="n"/>
      <c r="X7904" s="7" t="n"/>
      <c r="Z7904">
        <f>Z7903+IF(W7904="",0,IF(ISNA(MATCH(W7904,W$256:W7903,0)),1,0))</f>
        <v/>
      </c>
      <c r="AA7904">
        <f>IF(Z7904&gt;Z7903,Z7904,"")</f>
        <v/>
      </c>
      <c r="AB7904">
        <f>AB7903+IF(X7904="",0,IF(ISNA(MATCH(X7904,X$256:X7903,0)),1,0))</f>
        <v/>
      </c>
      <c r="AC7904">
        <f>IF(AB7904&gt;AB7903,AB7904,"")</f>
        <v/>
      </c>
    </row>
    <row r="7905">
      <c r="W7905" s="7" t="n"/>
      <c r="X7905" s="7" t="n"/>
      <c r="Z7905">
        <f>Z7904+IF(W7905="",0,IF(ISNA(MATCH(W7905,W$256:W7904,0)),1,0))</f>
        <v/>
      </c>
      <c r="AA7905">
        <f>IF(Z7905&gt;Z7904,Z7905,"")</f>
        <v/>
      </c>
      <c r="AB7905">
        <f>AB7904+IF(X7905="",0,IF(ISNA(MATCH(X7905,X$256:X7904,0)),1,0))</f>
        <v/>
      </c>
      <c r="AC7905">
        <f>IF(AB7905&gt;AB7904,AB7905,"")</f>
        <v/>
      </c>
    </row>
    <row r="7906">
      <c r="W7906" s="7" t="n"/>
      <c r="X7906" s="7" t="n"/>
      <c r="Z7906">
        <f>Z7905+IF(W7906="",0,IF(ISNA(MATCH(W7906,W$256:W7905,0)),1,0))</f>
        <v/>
      </c>
      <c r="AA7906">
        <f>IF(Z7906&gt;Z7905,Z7906,"")</f>
        <v/>
      </c>
      <c r="AB7906">
        <f>AB7905+IF(X7906="",0,IF(ISNA(MATCH(X7906,X$256:X7905,0)),1,0))</f>
        <v/>
      </c>
      <c r="AC7906">
        <f>IF(AB7906&gt;AB7905,AB7906,"")</f>
        <v/>
      </c>
    </row>
    <row r="7907">
      <c r="W7907" s="7" t="n"/>
      <c r="X7907" s="7" t="n"/>
      <c r="Z7907">
        <f>Z7906+IF(W7907="",0,IF(ISNA(MATCH(W7907,W$256:W7906,0)),1,0))</f>
        <v/>
      </c>
      <c r="AA7907">
        <f>IF(Z7907&gt;Z7906,Z7907,"")</f>
        <v/>
      </c>
      <c r="AB7907">
        <f>AB7906+IF(X7907="",0,IF(ISNA(MATCH(X7907,X$256:X7906,0)),1,0))</f>
        <v/>
      </c>
      <c r="AC7907">
        <f>IF(AB7907&gt;AB7906,AB7907,"")</f>
        <v/>
      </c>
    </row>
    <row r="7908">
      <c r="W7908" s="7" t="n"/>
      <c r="X7908" s="7" t="n"/>
      <c r="Z7908">
        <f>Z7907+IF(W7908="",0,IF(ISNA(MATCH(W7908,W$256:W7907,0)),1,0))</f>
        <v/>
      </c>
      <c r="AA7908">
        <f>IF(Z7908&gt;Z7907,Z7908,"")</f>
        <v/>
      </c>
      <c r="AB7908">
        <f>AB7907+IF(X7908="",0,IF(ISNA(MATCH(X7908,X$256:X7907,0)),1,0))</f>
        <v/>
      </c>
      <c r="AC7908">
        <f>IF(AB7908&gt;AB7907,AB7908,"")</f>
        <v/>
      </c>
    </row>
    <row r="7909">
      <c r="W7909" s="7" t="n"/>
      <c r="X7909" s="7" t="n"/>
      <c r="Z7909">
        <f>Z7908+IF(W7909="",0,IF(ISNA(MATCH(W7909,W$256:W7908,0)),1,0))</f>
        <v/>
      </c>
      <c r="AA7909">
        <f>IF(Z7909&gt;Z7908,Z7909,"")</f>
        <v/>
      </c>
      <c r="AB7909">
        <f>AB7908+IF(X7909="",0,IF(ISNA(MATCH(X7909,X$256:X7908,0)),1,0))</f>
        <v/>
      </c>
      <c r="AC7909">
        <f>IF(AB7909&gt;AB7908,AB7909,"")</f>
        <v/>
      </c>
    </row>
    <row r="7910">
      <c r="W7910" s="7" t="n"/>
      <c r="X7910" s="7" t="n"/>
      <c r="Z7910">
        <f>Z7909+IF(W7910="",0,IF(ISNA(MATCH(W7910,W$256:W7909,0)),1,0))</f>
        <v/>
      </c>
      <c r="AA7910">
        <f>IF(Z7910&gt;Z7909,Z7910,"")</f>
        <v/>
      </c>
      <c r="AB7910">
        <f>AB7909+IF(X7910="",0,IF(ISNA(MATCH(X7910,X$256:X7909,0)),1,0))</f>
        <v/>
      </c>
      <c r="AC7910">
        <f>IF(AB7910&gt;AB7909,AB7910,"")</f>
        <v/>
      </c>
    </row>
    <row r="7911">
      <c r="W7911" s="7" t="n"/>
      <c r="X7911" s="7" t="n"/>
      <c r="Z7911">
        <f>Z7910+IF(W7911="",0,IF(ISNA(MATCH(W7911,W$256:W7910,0)),1,0))</f>
        <v/>
      </c>
      <c r="AA7911">
        <f>IF(Z7911&gt;Z7910,Z7911,"")</f>
        <v/>
      </c>
      <c r="AB7911">
        <f>AB7910+IF(X7911="",0,IF(ISNA(MATCH(X7911,X$256:X7910,0)),1,0))</f>
        <v/>
      </c>
      <c r="AC7911">
        <f>IF(AB7911&gt;AB7910,AB7911,"")</f>
        <v/>
      </c>
    </row>
    <row r="7912">
      <c r="W7912" s="7" t="n"/>
      <c r="X7912" s="7" t="n"/>
      <c r="Z7912">
        <f>Z7911+IF(W7912="",0,IF(ISNA(MATCH(W7912,W$256:W7911,0)),1,0))</f>
        <v/>
      </c>
      <c r="AA7912">
        <f>IF(Z7912&gt;Z7911,Z7912,"")</f>
        <v/>
      </c>
      <c r="AB7912">
        <f>AB7911+IF(X7912="",0,IF(ISNA(MATCH(X7912,X$256:X7911,0)),1,0))</f>
        <v/>
      </c>
      <c r="AC7912">
        <f>IF(AB7912&gt;AB7911,AB7912,"")</f>
        <v/>
      </c>
    </row>
    <row r="7913">
      <c r="W7913" s="7" t="n"/>
      <c r="X7913" s="7" t="n"/>
      <c r="Z7913">
        <f>Z7912+IF(W7913="",0,IF(ISNA(MATCH(W7913,W$256:W7912,0)),1,0))</f>
        <v/>
      </c>
      <c r="AA7913">
        <f>IF(Z7913&gt;Z7912,Z7913,"")</f>
        <v/>
      </c>
      <c r="AB7913">
        <f>AB7912+IF(X7913="",0,IF(ISNA(MATCH(X7913,X$256:X7912,0)),1,0))</f>
        <v/>
      </c>
      <c r="AC7913">
        <f>IF(AB7913&gt;AB7912,AB7913,"")</f>
        <v/>
      </c>
    </row>
    <row r="7914">
      <c r="W7914" s="7" t="n"/>
      <c r="X7914" s="7" t="n"/>
      <c r="Z7914">
        <f>Z7913+IF(W7914="",0,IF(ISNA(MATCH(W7914,W$256:W7913,0)),1,0))</f>
        <v/>
      </c>
      <c r="AA7914">
        <f>IF(Z7914&gt;Z7913,Z7914,"")</f>
        <v/>
      </c>
      <c r="AB7914">
        <f>AB7913+IF(X7914="",0,IF(ISNA(MATCH(X7914,X$256:X7913,0)),1,0))</f>
        <v/>
      </c>
      <c r="AC7914">
        <f>IF(AB7914&gt;AB7913,AB7914,"")</f>
        <v/>
      </c>
    </row>
    <row r="7915">
      <c r="W7915" s="7" t="n"/>
      <c r="X7915" s="7" t="n"/>
      <c r="Z7915">
        <f>Z7914+IF(W7915="",0,IF(ISNA(MATCH(W7915,W$256:W7914,0)),1,0))</f>
        <v/>
      </c>
      <c r="AA7915">
        <f>IF(Z7915&gt;Z7914,Z7915,"")</f>
        <v/>
      </c>
      <c r="AB7915">
        <f>AB7914+IF(X7915="",0,IF(ISNA(MATCH(X7915,X$256:X7914,0)),1,0))</f>
        <v/>
      </c>
      <c r="AC7915">
        <f>IF(AB7915&gt;AB7914,AB7915,"")</f>
        <v/>
      </c>
    </row>
    <row r="7916">
      <c r="W7916" s="7" t="n"/>
      <c r="X7916" s="7" t="n"/>
      <c r="Z7916">
        <f>Z7915+IF(W7916="",0,IF(ISNA(MATCH(W7916,W$256:W7915,0)),1,0))</f>
        <v/>
      </c>
      <c r="AA7916">
        <f>IF(Z7916&gt;Z7915,Z7916,"")</f>
        <v/>
      </c>
      <c r="AB7916">
        <f>AB7915+IF(X7916="",0,IF(ISNA(MATCH(X7916,X$256:X7915,0)),1,0))</f>
        <v/>
      </c>
      <c r="AC7916">
        <f>IF(AB7916&gt;AB7915,AB7916,"")</f>
        <v/>
      </c>
    </row>
    <row r="7917">
      <c r="W7917" s="7" t="n"/>
      <c r="X7917" s="7" t="n"/>
      <c r="Z7917">
        <f>Z7916+IF(W7917="",0,IF(ISNA(MATCH(W7917,W$256:W7916,0)),1,0))</f>
        <v/>
      </c>
      <c r="AA7917">
        <f>IF(Z7917&gt;Z7916,Z7917,"")</f>
        <v/>
      </c>
      <c r="AB7917">
        <f>AB7916+IF(X7917="",0,IF(ISNA(MATCH(X7917,X$256:X7916,0)),1,0))</f>
        <v/>
      </c>
      <c r="AC7917">
        <f>IF(AB7917&gt;AB7916,AB7917,"")</f>
        <v/>
      </c>
    </row>
    <row r="7918">
      <c r="W7918" s="7" t="n"/>
      <c r="X7918" s="7" t="n"/>
      <c r="Z7918">
        <f>Z7917+IF(W7918="",0,IF(ISNA(MATCH(W7918,W$256:W7917,0)),1,0))</f>
        <v/>
      </c>
      <c r="AA7918">
        <f>IF(Z7918&gt;Z7917,Z7918,"")</f>
        <v/>
      </c>
      <c r="AB7918">
        <f>AB7917+IF(X7918="",0,IF(ISNA(MATCH(X7918,X$256:X7917,0)),1,0))</f>
        <v/>
      </c>
      <c r="AC7918">
        <f>IF(AB7918&gt;AB7917,AB7918,"")</f>
        <v/>
      </c>
    </row>
    <row r="7919">
      <c r="W7919" s="7" t="n"/>
      <c r="X7919" s="7" t="n"/>
      <c r="Z7919">
        <f>Z7918+IF(W7919="",0,IF(ISNA(MATCH(W7919,W$256:W7918,0)),1,0))</f>
        <v/>
      </c>
      <c r="AA7919">
        <f>IF(Z7919&gt;Z7918,Z7919,"")</f>
        <v/>
      </c>
      <c r="AB7919">
        <f>AB7918+IF(X7919="",0,IF(ISNA(MATCH(X7919,X$256:X7918,0)),1,0))</f>
        <v/>
      </c>
      <c r="AC7919">
        <f>IF(AB7919&gt;AB7918,AB7919,"")</f>
        <v/>
      </c>
    </row>
    <row r="7920">
      <c r="W7920" s="7" t="n"/>
      <c r="X7920" s="7" t="n"/>
      <c r="Z7920">
        <f>Z7919+IF(W7920="",0,IF(ISNA(MATCH(W7920,W$256:W7919,0)),1,0))</f>
        <v/>
      </c>
      <c r="AA7920">
        <f>IF(Z7920&gt;Z7919,Z7920,"")</f>
        <v/>
      </c>
      <c r="AB7920">
        <f>AB7919+IF(X7920="",0,IF(ISNA(MATCH(X7920,X$256:X7919,0)),1,0))</f>
        <v/>
      </c>
      <c r="AC7920">
        <f>IF(AB7920&gt;AB7919,AB7920,"")</f>
        <v/>
      </c>
    </row>
    <row r="7921">
      <c r="W7921" s="7" t="n"/>
      <c r="X7921" s="7" t="n"/>
      <c r="Z7921">
        <f>Z7920+IF(W7921="",0,IF(ISNA(MATCH(W7921,W$256:W7920,0)),1,0))</f>
        <v/>
      </c>
      <c r="AA7921">
        <f>IF(Z7921&gt;Z7920,Z7921,"")</f>
        <v/>
      </c>
      <c r="AB7921">
        <f>AB7920+IF(X7921="",0,IF(ISNA(MATCH(X7921,X$256:X7920,0)),1,0))</f>
        <v/>
      </c>
      <c r="AC7921">
        <f>IF(AB7921&gt;AB7920,AB7921,"")</f>
        <v/>
      </c>
    </row>
    <row r="7922">
      <c r="W7922" s="7" t="n"/>
      <c r="X7922" s="7" t="n"/>
      <c r="Z7922">
        <f>Z7921+IF(W7922="",0,IF(ISNA(MATCH(W7922,W$256:W7921,0)),1,0))</f>
        <v/>
      </c>
      <c r="AA7922">
        <f>IF(Z7922&gt;Z7921,Z7922,"")</f>
        <v/>
      </c>
      <c r="AB7922">
        <f>AB7921+IF(X7922="",0,IF(ISNA(MATCH(X7922,X$256:X7921,0)),1,0))</f>
        <v/>
      </c>
      <c r="AC7922">
        <f>IF(AB7922&gt;AB7921,AB7922,"")</f>
        <v/>
      </c>
    </row>
    <row r="7923">
      <c r="W7923" s="7" t="n"/>
      <c r="X7923" s="7" t="n"/>
      <c r="Z7923">
        <f>Z7922+IF(W7923="",0,IF(ISNA(MATCH(W7923,W$256:W7922,0)),1,0))</f>
        <v/>
      </c>
      <c r="AA7923">
        <f>IF(Z7923&gt;Z7922,Z7923,"")</f>
        <v/>
      </c>
      <c r="AB7923">
        <f>AB7922+IF(X7923="",0,IF(ISNA(MATCH(X7923,X$256:X7922,0)),1,0))</f>
        <v/>
      </c>
      <c r="AC7923">
        <f>IF(AB7923&gt;AB7922,AB7923,"")</f>
        <v/>
      </c>
    </row>
    <row r="7924">
      <c r="W7924" s="7" t="n"/>
      <c r="X7924" s="7" t="n"/>
      <c r="Z7924">
        <f>Z7923+IF(W7924="",0,IF(ISNA(MATCH(W7924,W$256:W7923,0)),1,0))</f>
        <v/>
      </c>
      <c r="AA7924">
        <f>IF(Z7924&gt;Z7923,Z7924,"")</f>
        <v/>
      </c>
      <c r="AB7924">
        <f>AB7923+IF(X7924="",0,IF(ISNA(MATCH(X7924,X$256:X7923,0)),1,0))</f>
        <v/>
      </c>
      <c r="AC7924">
        <f>IF(AB7924&gt;AB7923,AB7924,"")</f>
        <v/>
      </c>
    </row>
    <row r="7925">
      <c r="W7925" s="7" t="n"/>
      <c r="X7925" s="7" t="n"/>
      <c r="Z7925">
        <f>Z7924+IF(W7925="",0,IF(ISNA(MATCH(W7925,W$256:W7924,0)),1,0))</f>
        <v/>
      </c>
      <c r="AA7925">
        <f>IF(Z7925&gt;Z7924,Z7925,"")</f>
        <v/>
      </c>
      <c r="AB7925">
        <f>AB7924+IF(X7925="",0,IF(ISNA(MATCH(X7925,X$256:X7924,0)),1,0))</f>
        <v/>
      </c>
      <c r="AC7925">
        <f>IF(AB7925&gt;AB7924,AB7925,"")</f>
        <v/>
      </c>
    </row>
    <row r="7926">
      <c r="W7926" s="7" t="n"/>
      <c r="X7926" s="7" t="n"/>
      <c r="Z7926">
        <f>Z7925+IF(W7926="",0,IF(ISNA(MATCH(W7926,W$256:W7925,0)),1,0))</f>
        <v/>
      </c>
      <c r="AA7926">
        <f>IF(Z7926&gt;Z7925,Z7926,"")</f>
        <v/>
      </c>
      <c r="AB7926">
        <f>AB7925+IF(X7926="",0,IF(ISNA(MATCH(X7926,X$256:X7925,0)),1,0))</f>
        <v/>
      </c>
      <c r="AC7926">
        <f>IF(AB7926&gt;AB7925,AB7926,"")</f>
        <v/>
      </c>
    </row>
    <row r="7927">
      <c r="W7927" s="7" t="n"/>
      <c r="X7927" s="7" t="n"/>
      <c r="Z7927">
        <f>Z7926+IF(W7927="",0,IF(ISNA(MATCH(W7927,W$256:W7926,0)),1,0))</f>
        <v/>
      </c>
      <c r="AA7927">
        <f>IF(Z7927&gt;Z7926,Z7927,"")</f>
        <v/>
      </c>
      <c r="AB7927">
        <f>AB7926+IF(X7927="",0,IF(ISNA(MATCH(X7927,X$256:X7926,0)),1,0))</f>
        <v/>
      </c>
      <c r="AC7927">
        <f>IF(AB7927&gt;AB7926,AB7927,"")</f>
        <v/>
      </c>
    </row>
    <row r="7928">
      <c r="W7928" s="7" t="n"/>
      <c r="X7928" s="7" t="n"/>
      <c r="Z7928">
        <f>Z7927+IF(W7928="",0,IF(ISNA(MATCH(W7928,W$256:W7927,0)),1,0))</f>
        <v/>
      </c>
      <c r="AA7928">
        <f>IF(Z7928&gt;Z7927,Z7928,"")</f>
        <v/>
      </c>
      <c r="AB7928">
        <f>AB7927+IF(X7928="",0,IF(ISNA(MATCH(X7928,X$256:X7927,0)),1,0))</f>
        <v/>
      </c>
      <c r="AC7928">
        <f>IF(AB7928&gt;AB7927,AB7928,"")</f>
        <v/>
      </c>
    </row>
    <row r="7929">
      <c r="W7929" s="7" t="n"/>
      <c r="X7929" s="7" t="n"/>
      <c r="Z7929">
        <f>Z7928+IF(W7929="",0,IF(ISNA(MATCH(W7929,W$256:W7928,0)),1,0))</f>
        <v/>
      </c>
      <c r="AA7929">
        <f>IF(Z7929&gt;Z7928,Z7929,"")</f>
        <v/>
      </c>
      <c r="AB7929">
        <f>AB7928+IF(X7929="",0,IF(ISNA(MATCH(X7929,X$256:X7928,0)),1,0))</f>
        <v/>
      </c>
      <c r="AC7929">
        <f>IF(AB7929&gt;AB7928,AB7929,"")</f>
        <v/>
      </c>
    </row>
    <row r="7930">
      <c r="W7930" s="7" t="n"/>
      <c r="X7930" s="7" t="n"/>
      <c r="Z7930">
        <f>Z7929+IF(W7930="",0,IF(ISNA(MATCH(W7930,W$256:W7929,0)),1,0))</f>
        <v/>
      </c>
      <c r="AA7930">
        <f>IF(Z7930&gt;Z7929,Z7930,"")</f>
        <v/>
      </c>
      <c r="AB7930">
        <f>AB7929+IF(X7930="",0,IF(ISNA(MATCH(X7930,X$256:X7929,0)),1,0))</f>
        <v/>
      </c>
      <c r="AC7930">
        <f>IF(AB7930&gt;AB7929,AB7930,"")</f>
        <v/>
      </c>
    </row>
    <row r="7931">
      <c r="W7931" s="7" t="n"/>
      <c r="X7931" s="7" t="n"/>
      <c r="Z7931">
        <f>Z7930+IF(W7931="",0,IF(ISNA(MATCH(W7931,W$256:W7930,0)),1,0))</f>
        <v/>
      </c>
      <c r="AA7931">
        <f>IF(Z7931&gt;Z7930,Z7931,"")</f>
        <v/>
      </c>
      <c r="AB7931">
        <f>AB7930+IF(X7931="",0,IF(ISNA(MATCH(X7931,X$256:X7930,0)),1,0))</f>
        <v/>
      </c>
      <c r="AC7931">
        <f>IF(AB7931&gt;AB7930,AB7931,"")</f>
        <v/>
      </c>
    </row>
    <row r="7932">
      <c r="W7932" s="7" t="n"/>
      <c r="X7932" s="7" t="n"/>
      <c r="Z7932">
        <f>Z7931+IF(W7932="",0,IF(ISNA(MATCH(W7932,W$256:W7931,0)),1,0))</f>
        <v/>
      </c>
      <c r="AA7932">
        <f>IF(Z7932&gt;Z7931,Z7932,"")</f>
        <v/>
      </c>
      <c r="AB7932">
        <f>AB7931+IF(X7932="",0,IF(ISNA(MATCH(X7932,X$256:X7931,0)),1,0))</f>
        <v/>
      </c>
      <c r="AC7932">
        <f>IF(AB7932&gt;AB7931,AB7932,"")</f>
        <v/>
      </c>
    </row>
    <row r="7933">
      <c r="W7933" s="7" t="n"/>
      <c r="X7933" s="7" t="n"/>
      <c r="Z7933">
        <f>Z7932+IF(W7933="",0,IF(ISNA(MATCH(W7933,W$256:W7932,0)),1,0))</f>
        <v/>
      </c>
      <c r="AA7933">
        <f>IF(Z7933&gt;Z7932,Z7933,"")</f>
        <v/>
      </c>
      <c r="AB7933">
        <f>AB7932+IF(X7933="",0,IF(ISNA(MATCH(X7933,X$256:X7932,0)),1,0))</f>
        <v/>
      </c>
      <c r="AC7933">
        <f>IF(AB7933&gt;AB7932,AB7933,"")</f>
        <v/>
      </c>
    </row>
    <row r="7934">
      <c r="W7934" s="7" t="n"/>
      <c r="X7934" s="7" t="n"/>
      <c r="Z7934">
        <f>Z7933+IF(W7934="",0,IF(ISNA(MATCH(W7934,W$256:W7933,0)),1,0))</f>
        <v/>
      </c>
      <c r="AA7934">
        <f>IF(Z7934&gt;Z7933,Z7934,"")</f>
        <v/>
      </c>
      <c r="AB7934">
        <f>AB7933+IF(X7934="",0,IF(ISNA(MATCH(X7934,X$256:X7933,0)),1,0))</f>
        <v/>
      </c>
      <c r="AC7934">
        <f>IF(AB7934&gt;AB7933,AB7934,"")</f>
        <v/>
      </c>
    </row>
    <row r="7935">
      <c r="W7935" s="7" t="n"/>
      <c r="X7935" s="7" t="n"/>
      <c r="Z7935">
        <f>Z7934+IF(W7935="",0,IF(ISNA(MATCH(W7935,W$256:W7934,0)),1,0))</f>
        <v/>
      </c>
      <c r="AA7935">
        <f>IF(Z7935&gt;Z7934,Z7935,"")</f>
        <v/>
      </c>
      <c r="AB7935">
        <f>AB7934+IF(X7935="",0,IF(ISNA(MATCH(X7935,X$256:X7934,0)),1,0))</f>
        <v/>
      </c>
      <c r="AC7935">
        <f>IF(AB7935&gt;AB7934,AB7935,"")</f>
        <v/>
      </c>
    </row>
    <row r="7936">
      <c r="W7936" s="7" t="n"/>
      <c r="X7936" s="7" t="n"/>
      <c r="Z7936">
        <f>Z7935+IF(W7936="",0,IF(ISNA(MATCH(W7936,W$256:W7935,0)),1,0))</f>
        <v/>
      </c>
      <c r="AA7936">
        <f>IF(Z7936&gt;Z7935,Z7936,"")</f>
        <v/>
      </c>
      <c r="AB7936">
        <f>AB7935+IF(X7936="",0,IF(ISNA(MATCH(X7936,X$256:X7935,0)),1,0))</f>
        <v/>
      </c>
      <c r="AC7936">
        <f>IF(AB7936&gt;AB7935,AB7936,"")</f>
        <v/>
      </c>
    </row>
    <row r="7937">
      <c r="W7937" s="7" t="n"/>
      <c r="X7937" s="7" t="n"/>
      <c r="Z7937">
        <f>Z7936+IF(W7937="",0,IF(ISNA(MATCH(W7937,W$256:W7936,0)),1,0))</f>
        <v/>
      </c>
      <c r="AA7937">
        <f>IF(Z7937&gt;Z7936,Z7937,"")</f>
        <v/>
      </c>
      <c r="AB7937">
        <f>AB7936+IF(X7937="",0,IF(ISNA(MATCH(X7937,X$256:X7936,0)),1,0))</f>
        <v/>
      </c>
      <c r="AC7937">
        <f>IF(AB7937&gt;AB7936,AB7937,"")</f>
        <v/>
      </c>
    </row>
    <row r="7938">
      <c r="W7938" s="7" t="n"/>
      <c r="X7938" s="7" t="n"/>
      <c r="Z7938">
        <f>Z7937+IF(W7938="",0,IF(ISNA(MATCH(W7938,W$256:W7937,0)),1,0))</f>
        <v/>
      </c>
      <c r="AA7938">
        <f>IF(Z7938&gt;Z7937,Z7938,"")</f>
        <v/>
      </c>
      <c r="AB7938">
        <f>AB7937+IF(X7938="",0,IF(ISNA(MATCH(X7938,X$256:X7937,0)),1,0))</f>
        <v/>
      </c>
      <c r="AC7938">
        <f>IF(AB7938&gt;AB7937,AB7938,"")</f>
        <v/>
      </c>
    </row>
    <row r="7939">
      <c r="W7939" s="7" t="n"/>
      <c r="X7939" s="7" t="n"/>
      <c r="Z7939">
        <f>Z7938+IF(W7939="",0,IF(ISNA(MATCH(W7939,W$256:W7938,0)),1,0))</f>
        <v/>
      </c>
      <c r="AA7939">
        <f>IF(Z7939&gt;Z7938,Z7939,"")</f>
        <v/>
      </c>
      <c r="AB7939">
        <f>AB7938+IF(X7939="",0,IF(ISNA(MATCH(X7939,X$256:X7938,0)),1,0))</f>
        <v/>
      </c>
      <c r="AC7939">
        <f>IF(AB7939&gt;AB7938,AB7939,"")</f>
        <v/>
      </c>
    </row>
    <row r="7940">
      <c r="W7940" s="7" t="n"/>
      <c r="X7940" s="7" t="n"/>
      <c r="Z7940">
        <f>Z7939+IF(W7940="",0,IF(ISNA(MATCH(W7940,W$256:W7939,0)),1,0))</f>
        <v/>
      </c>
      <c r="AA7940">
        <f>IF(Z7940&gt;Z7939,Z7940,"")</f>
        <v/>
      </c>
      <c r="AB7940">
        <f>AB7939+IF(X7940="",0,IF(ISNA(MATCH(X7940,X$256:X7939,0)),1,0))</f>
        <v/>
      </c>
      <c r="AC7940">
        <f>IF(AB7940&gt;AB7939,AB7940,"")</f>
        <v/>
      </c>
    </row>
    <row r="7941">
      <c r="W7941" s="7" t="n"/>
      <c r="X7941" s="7" t="n"/>
      <c r="Z7941">
        <f>Z7940+IF(W7941="",0,IF(ISNA(MATCH(W7941,W$256:W7940,0)),1,0))</f>
        <v/>
      </c>
      <c r="AA7941">
        <f>IF(Z7941&gt;Z7940,Z7941,"")</f>
        <v/>
      </c>
      <c r="AB7941">
        <f>AB7940+IF(X7941="",0,IF(ISNA(MATCH(X7941,X$256:X7940,0)),1,0))</f>
        <v/>
      </c>
      <c r="AC7941">
        <f>IF(AB7941&gt;AB7940,AB7941,"")</f>
        <v/>
      </c>
    </row>
    <row r="7942">
      <c r="W7942" s="7" t="n"/>
      <c r="X7942" s="7" t="n"/>
      <c r="Z7942">
        <f>Z7941+IF(W7942="",0,IF(ISNA(MATCH(W7942,W$256:W7941,0)),1,0))</f>
        <v/>
      </c>
      <c r="AA7942">
        <f>IF(Z7942&gt;Z7941,Z7942,"")</f>
        <v/>
      </c>
      <c r="AB7942">
        <f>AB7941+IF(X7942="",0,IF(ISNA(MATCH(X7942,X$256:X7941,0)),1,0))</f>
        <v/>
      </c>
      <c r="AC7942">
        <f>IF(AB7942&gt;AB7941,AB7942,"")</f>
        <v/>
      </c>
    </row>
    <row r="7943">
      <c r="W7943" s="7" t="n"/>
      <c r="X7943" s="7" t="n"/>
      <c r="Z7943">
        <f>Z7942+IF(W7943="",0,IF(ISNA(MATCH(W7943,W$256:W7942,0)),1,0))</f>
        <v/>
      </c>
      <c r="AA7943">
        <f>IF(Z7943&gt;Z7942,Z7943,"")</f>
        <v/>
      </c>
      <c r="AB7943">
        <f>AB7942+IF(X7943="",0,IF(ISNA(MATCH(X7943,X$256:X7942,0)),1,0))</f>
        <v/>
      </c>
      <c r="AC7943">
        <f>IF(AB7943&gt;AB7942,AB7943,"")</f>
        <v/>
      </c>
    </row>
    <row r="7944">
      <c r="W7944" s="7" t="n"/>
      <c r="X7944" s="7" t="n"/>
      <c r="Z7944">
        <f>Z7943+IF(W7944="",0,IF(ISNA(MATCH(W7944,W$256:W7943,0)),1,0))</f>
        <v/>
      </c>
      <c r="AA7944">
        <f>IF(Z7944&gt;Z7943,Z7944,"")</f>
        <v/>
      </c>
      <c r="AB7944">
        <f>AB7943+IF(X7944="",0,IF(ISNA(MATCH(X7944,X$256:X7943,0)),1,0))</f>
        <v/>
      </c>
      <c r="AC7944">
        <f>IF(AB7944&gt;AB7943,AB7944,"")</f>
        <v/>
      </c>
    </row>
    <row r="7945">
      <c r="W7945" s="7" t="n"/>
      <c r="X7945" s="7" t="n"/>
      <c r="Z7945">
        <f>Z7944+IF(W7945="",0,IF(ISNA(MATCH(W7945,W$256:W7944,0)),1,0))</f>
        <v/>
      </c>
      <c r="AA7945">
        <f>IF(Z7945&gt;Z7944,Z7945,"")</f>
        <v/>
      </c>
      <c r="AB7945">
        <f>AB7944+IF(X7945="",0,IF(ISNA(MATCH(X7945,X$256:X7944,0)),1,0))</f>
        <v/>
      </c>
      <c r="AC7945">
        <f>IF(AB7945&gt;AB7944,AB7945,"")</f>
        <v/>
      </c>
    </row>
    <row r="7946">
      <c r="W7946" s="7" t="n"/>
      <c r="X7946" s="7" t="n"/>
      <c r="Z7946">
        <f>Z7945+IF(W7946="",0,IF(ISNA(MATCH(W7946,W$256:W7945,0)),1,0))</f>
        <v/>
      </c>
      <c r="AA7946">
        <f>IF(Z7946&gt;Z7945,Z7946,"")</f>
        <v/>
      </c>
      <c r="AB7946">
        <f>AB7945+IF(X7946="",0,IF(ISNA(MATCH(X7946,X$256:X7945,0)),1,0))</f>
        <v/>
      </c>
      <c r="AC7946">
        <f>IF(AB7946&gt;AB7945,AB7946,"")</f>
        <v/>
      </c>
    </row>
    <row r="7947">
      <c r="W7947" s="7" t="n"/>
      <c r="X7947" s="7" t="n"/>
      <c r="Z7947">
        <f>Z7946+IF(W7947="",0,IF(ISNA(MATCH(W7947,W$256:W7946,0)),1,0))</f>
        <v/>
      </c>
      <c r="AA7947">
        <f>IF(Z7947&gt;Z7946,Z7947,"")</f>
        <v/>
      </c>
      <c r="AB7947">
        <f>AB7946+IF(X7947="",0,IF(ISNA(MATCH(X7947,X$256:X7946,0)),1,0))</f>
        <v/>
      </c>
      <c r="AC7947">
        <f>IF(AB7947&gt;AB7946,AB7947,"")</f>
        <v/>
      </c>
    </row>
    <row r="7948">
      <c r="W7948" s="7" t="n"/>
      <c r="X7948" s="7" t="n"/>
      <c r="Z7948">
        <f>Z7947+IF(W7948="",0,IF(ISNA(MATCH(W7948,W$256:W7947,0)),1,0))</f>
        <v/>
      </c>
      <c r="AA7948">
        <f>IF(Z7948&gt;Z7947,Z7948,"")</f>
        <v/>
      </c>
      <c r="AB7948">
        <f>AB7947+IF(X7948="",0,IF(ISNA(MATCH(X7948,X$256:X7947,0)),1,0))</f>
        <v/>
      </c>
      <c r="AC7948">
        <f>IF(AB7948&gt;AB7947,AB7948,"")</f>
        <v/>
      </c>
    </row>
    <row r="7949">
      <c r="W7949" s="7" t="n"/>
      <c r="X7949" s="7" t="n"/>
      <c r="Z7949">
        <f>Z7948+IF(W7949="",0,IF(ISNA(MATCH(W7949,W$256:W7948,0)),1,0))</f>
        <v/>
      </c>
      <c r="AA7949">
        <f>IF(Z7949&gt;Z7948,Z7949,"")</f>
        <v/>
      </c>
      <c r="AB7949">
        <f>AB7948+IF(X7949="",0,IF(ISNA(MATCH(X7949,X$256:X7948,0)),1,0))</f>
        <v/>
      </c>
      <c r="AC7949">
        <f>IF(AB7949&gt;AB7948,AB7949,"")</f>
        <v/>
      </c>
    </row>
    <row r="7950">
      <c r="W7950" s="7" t="n"/>
      <c r="X7950" s="7" t="n"/>
      <c r="Z7950">
        <f>Z7949+IF(W7950="",0,IF(ISNA(MATCH(W7950,W$256:W7949,0)),1,0))</f>
        <v/>
      </c>
      <c r="AA7950">
        <f>IF(Z7950&gt;Z7949,Z7950,"")</f>
        <v/>
      </c>
      <c r="AB7950">
        <f>AB7949+IF(X7950="",0,IF(ISNA(MATCH(X7950,X$256:X7949,0)),1,0))</f>
        <v/>
      </c>
      <c r="AC7950">
        <f>IF(AB7950&gt;AB7949,AB7950,"")</f>
        <v/>
      </c>
    </row>
    <row r="7951">
      <c r="W7951" s="7" t="n"/>
      <c r="X7951" s="7" t="n"/>
      <c r="Z7951">
        <f>Z7950+IF(W7951="",0,IF(ISNA(MATCH(W7951,W$256:W7950,0)),1,0))</f>
        <v/>
      </c>
      <c r="AA7951">
        <f>IF(Z7951&gt;Z7950,Z7951,"")</f>
        <v/>
      </c>
      <c r="AB7951">
        <f>AB7950+IF(X7951="",0,IF(ISNA(MATCH(X7951,X$256:X7950,0)),1,0))</f>
        <v/>
      </c>
      <c r="AC7951">
        <f>IF(AB7951&gt;AB7950,AB7951,"")</f>
        <v/>
      </c>
    </row>
    <row r="7952">
      <c r="W7952" s="7" t="n"/>
      <c r="X7952" s="7" t="n"/>
      <c r="Z7952">
        <f>Z7951+IF(W7952="",0,IF(ISNA(MATCH(W7952,W$256:W7951,0)),1,0))</f>
        <v/>
      </c>
      <c r="AA7952">
        <f>IF(Z7952&gt;Z7951,Z7952,"")</f>
        <v/>
      </c>
      <c r="AB7952">
        <f>AB7951+IF(X7952="",0,IF(ISNA(MATCH(X7952,X$256:X7951,0)),1,0))</f>
        <v/>
      </c>
      <c r="AC7952">
        <f>IF(AB7952&gt;AB7951,AB7952,"")</f>
        <v/>
      </c>
    </row>
    <row r="7953">
      <c r="W7953" s="7" t="n"/>
      <c r="X7953" s="7" t="n"/>
      <c r="Z7953">
        <f>Z7952+IF(W7953="",0,IF(ISNA(MATCH(W7953,W$256:W7952,0)),1,0))</f>
        <v/>
      </c>
      <c r="AA7953">
        <f>IF(Z7953&gt;Z7952,Z7953,"")</f>
        <v/>
      </c>
      <c r="AB7953">
        <f>AB7952+IF(X7953="",0,IF(ISNA(MATCH(X7953,X$256:X7952,0)),1,0))</f>
        <v/>
      </c>
      <c r="AC7953">
        <f>IF(AB7953&gt;AB7952,AB7953,"")</f>
        <v/>
      </c>
    </row>
    <row r="7954">
      <c r="W7954" s="7" t="n"/>
      <c r="X7954" s="7" t="n"/>
      <c r="Z7954">
        <f>Z7953+IF(W7954="",0,IF(ISNA(MATCH(W7954,W$256:W7953,0)),1,0))</f>
        <v/>
      </c>
      <c r="AA7954">
        <f>IF(Z7954&gt;Z7953,Z7954,"")</f>
        <v/>
      </c>
      <c r="AB7954">
        <f>AB7953+IF(X7954="",0,IF(ISNA(MATCH(X7954,X$256:X7953,0)),1,0))</f>
        <v/>
      </c>
      <c r="AC7954">
        <f>IF(AB7954&gt;AB7953,AB7954,"")</f>
        <v/>
      </c>
    </row>
    <row r="7955">
      <c r="W7955" s="7" t="n"/>
      <c r="X7955" s="7" t="n"/>
      <c r="Z7955">
        <f>Z7954+IF(W7955="",0,IF(ISNA(MATCH(W7955,W$256:W7954,0)),1,0))</f>
        <v/>
      </c>
      <c r="AA7955">
        <f>IF(Z7955&gt;Z7954,Z7955,"")</f>
        <v/>
      </c>
      <c r="AB7955">
        <f>AB7954+IF(X7955="",0,IF(ISNA(MATCH(X7955,X$256:X7954,0)),1,0))</f>
        <v/>
      </c>
      <c r="AC7955">
        <f>IF(AB7955&gt;AB7954,AB7955,"")</f>
        <v/>
      </c>
    </row>
    <row r="7956">
      <c r="W7956" s="7" t="n"/>
      <c r="X7956" s="7" t="n"/>
      <c r="Z7956">
        <f>Z7955+IF(W7956="",0,IF(ISNA(MATCH(W7956,W$256:W7955,0)),1,0))</f>
        <v/>
      </c>
      <c r="AA7956">
        <f>IF(Z7956&gt;Z7955,Z7956,"")</f>
        <v/>
      </c>
      <c r="AB7956">
        <f>AB7955+IF(X7956="",0,IF(ISNA(MATCH(X7956,X$256:X7955,0)),1,0))</f>
        <v/>
      </c>
      <c r="AC7956">
        <f>IF(AB7956&gt;AB7955,AB7956,"")</f>
        <v/>
      </c>
    </row>
    <row r="7957">
      <c r="W7957" s="7" t="n"/>
      <c r="X7957" s="7" t="n"/>
      <c r="Z7957">
        <f>Z7956+IF(W7957="",0,IF(ISNA(MATCH(W7957,W$256:W7956,0)),1,0))</f>
        <v/>
      </c>
      <c r="AA7957">
        <f>IF(Z7957&gt;Z7956,Z7957,"")</f>
        <v/>
      </c>
      <c r="AB7957">
        <f>AB7956+IF(X7957="",0,IF(ISNA(MATCH(X7957,X$256:X7956,0)),1,0))</f>
        <v/>
      </c>
      <c r="AC7957">
        <f>IF(AB7957&gt;AB7956,AB7957,"")</f>
        <v/>
      </c>
    </row>
    <row r="7958">
      <c r="W7958" s="7" t="n"/>
      <c r="X7958" s="7" t="n"/>
      <c r="Z7958">
        <f>Z7957+IF(W7958="",0,IF(ISNA(MATCH(W7958,W$256:W7957,0)),1,0))</f>
        <v/>
      </c>
      <c r="AA7958">
        <f>IF(Z7958&gt;Z7957,Z7958,"")</f>
        <v/>
      </c>
      <c r="AB7958">
        <f>AB7957+IF(X7958="",0,IF(ISNA(MATCH(X7958,X$256:X7957,0)),1,0))</f>
        <v/>
      </c>
      <c r="AC7958">
        <f>IF(AB7958&gt;AB7957,AB7958,"")</f>
        <v/>
      </c>
    </row>
    <row r="7959">
      <c r="W7959" s="7" t="n"/>
      <c r="X7959" s="7" t="n"/>
      <c r="Z7959">
        <f>Z7958+IF(W7959="",0,IF(ISNA(MATCH(W7959,W$256:W7958,0)),1,0))</f>
        <v/>
      </c>
      <c r="AA7959">
        <f>IF(Z7959&gt;Z7958,Z7959,"")</f>
        <v/>
      </c>
      <c r="AB7959">
        <f>AB7958+IF(X7959="",0,IF(ISNA(MATCH(X7959,X$256:X7958,0)),1,0))</f>
        <v/>
      </c>
      <c r="AC7959">
        <f>IF(AB7959&gt;AB7958,AB7959,"")</f>
        <v/>
      </c>
    </row>
    <row r="7960">
      <c r="W7960" s="7" t="n"/>
      <c r="X7960" s="7" t="n"/>
      <c r="Z7960">
        <f>Z7959+IF(W7960="",0,IF(ISNA(MATCH(W7960,W$256:W7959,0)),1,0))</f>
        <v/>
      </c>
      <c r="AA7960">
        <f>IF(Z7960&gt;Z7959,Z7960,"")</f>
        <v/>
      </c>
      <c r="AB7960">
        <f>AB7959+IF(X7960="",0,IF(ISNA(MATCH(X7960,X$256:X7959,0)),1,0))</f>
        <v/>
      </c>
      <c r="AC7960">
        <f>IF(AB7960&gt;AB7959,AB7960,"")</f>
        <v/>
      </c>
    </row>
    <row r="7961">
      <c r="W7961" s="7" t="n"/>
      <c r="X7961" s="7" t="n"/>
      <c r="Z7961">
        <f>Z7960+IF(W7961="",0,IF(ISNA(MATCH(W7961,W$256:W7960,0)),1,0))</f>
        <v/>
      </c>
      <c r="AA7961">
        <f>IF(Z7961&gt;Z7960,Z7961,"")</f>
        <v/>
      </c>
      <c r="AB7961">
        <f>AB7960+IF(X7961="",0,IF(ISNA(MATCH(X7961,X$256:X7960,0)),1,0))</f>
        <v/>
      </c>
      <c r="AC7961">
        <f>IF(AB7961&gt;AB7960,AB7961,"")</f>
        <v/>
      </c>
    </row>
    <row r="7962">
      <c r="W7962" s="7" t="n"/>
      <c r="X7962" s="7" t="n"/>
      <c r="Z7962">
        <f>Z7961+IF(W7962="",0,IF(ISNA(MATCH(W7962,W$256:W7961,0)),1,0))</f>
        <v/>
      </c>
      <c r="AA7962">
        <f>IF(Z7962&gt;Z7961,Z7962,"")</f>
        <v/>
      </c>
      <c r="AB7962">
        <f>AB7961+IF(X7962="",0,IF(ISNA(MATCH(X7962,X$256:X7961,0)),1,0))</f>
        <v/>
      </c>
      <c r="AC7962">
        <f>IF(AB7962&gt;AB7961,AB7962,"")</f>
        <v/>
      </c>
    </row>
    <row r="7963">
      <c r="W7963" s="7" t="n"/>
      <c r="X7963" s="7" t="n"/>
      <c r="Z7963">
        <f>Z7962+IF(W7963="",0,IF(ISNA(MATCH(W7963,W$256:W7962,0)),1,0))</f>
        <v/>
      </c>
      <c r="AA7963">
        <f>IF(Z7963&gt;Z7962,Z7963,"")</f>
        <v/>
      </c>
      <c r="AB7963">
        <f>AB7962+IF(X7963="",0,IF(ISNA(MATCH(X7963,X$256:X7962,0)),1,0))</f>
        <v/>
      </c>
      <c r="AC7963">
        <f>IF(AB7963&gt;AB7962,AB7963,"")</f>
        <v/>
      </c>
    </row>
    <row r="7964">
      <c r="W7964" s="7" t="n"/>
      <c r="X7964" s="7" t="n"/>
      <c r="Z7964">
        <f>Z7963+IF(W7964="",0,IF(ISNA(MATCH(W7964,W$256:W7963,0)),1,0))</f>
        <v/>
      </c>
      <c r="AA7964">
        <f>IF(Z7964&gt;Z7963,Z7964,"")</f>
        <v/>
      </c>
      <c r="AB7964">
        <f>AB7963+IF(X7964="",0,IF(ISNA(MATCH(X7964,X$256:X7963,0)),1,0))</f>
        <v/>
      </c>
      <c r="AC7964">
        <f>IF(AB7964&gt;AB7963,AB7964,"")</f>
        <v/>
      </c>
    </row>
    <row r="7965">
      <c r="W7965" s="7" t="n"/>
      <c r="X7965" s="7" t="n"/>
      <c r="Z7965">
        <f>Z7964+IF(W7965="",0,IF(ISNA(MATCH(W7965,W$256:W7964,0)),1,0))</f>
        <v/>
      </c>
      <c r="AA7965">
        <f>IF(Z7965&gt;Z7964,Z7965,"")</f>
        <v/>
      </c>
      <c r="AB7965">
        <f>AB7964+IF(X7965="",0,IF(ISNA(MATCH(X7965,X$256:X7964,0)),1,0))</f>
        <v/>
      </c>
      <c r="AC7965">
        <f>IF(AB7965&gt;AB7964,AB7965,"")</f>
        <v/>
      </c>
    </row>
    <row r="7966">
      <c r="W7966" s="7" t="n"/>
      <c r="X7966" s="7" t="n"/>
      <c r="Z7966">
        <f>Z7965+IF(W7966="",0,IF(ISNA(MATCH(W7966,W$256:W7965,0)),1,0))</f>
        <v/>
      </c>
      <c r="AA7966">
        <f>IF(Z7966&gt;Z7965,Z7966,"")</f>
        <v/>
      </c>
      <c r="AB7966">
        <f>AB7965+IF(X7966="",0,IF(ISNA(MATCH(X7966,X$256:X7965,0)),1,0))</f>
        <v/>
      </c>
      <c r="AC7966">
        <f>IF(AB7966&gt;AB7965,AB7966,"")</f>
        <v/>
      </c>
    </row>
    <row r="7967">
      <c r="W7967" s="7" t="n"/>
      <c r="X7967" s="7" t="n"/>
      <c r="Z7967">
        <f>Z7966+IF(W7967="",0,IF(ISNA(MATCH(W7967,W$256:W7966,0)),1,0))</f>
        <v/>
      </c>
      <c r="AA7967">
        <f>IF(Z7967&gt;Z7966,Z7967,"")</f>
        <v/>
      </c>
      <c r="AB7967">
        <f>AB7966+IF(X7967="",0,IF(ISNA(MATCH(X7967,X$256:X7966,0)),1,0))</f>
        <v/>
      </c>
      <c r="AC7967">
        <f>IF(AB7967&gt;AB7966,AB7967,"")</f>
        <v/>
      </c>
    </row>
    <row r="7968">
      <c r="W7968" s="7" t="n"/>
      <c r="X7968" s="7" t="n"/>
      <c r="Z7968">
        <f>Z7967+IF(W7968="",0,IF(ISNA(MATCH(W7968,W$256:W7967,0)),1,0))</f>
        <v/>
      </c>
      <c r="AA7968">
        <f>IF(Z7968&gt;Z7967,Z7968,"")</f>
        <v/>
      </c>
      <c r="AB7968">
        <f>AB7967+IF(X7968="",0,IF(ISNA(MATCH(X7968,X$256:X7967,0)),1,0))</f>
        <v/>
      </c>
      <c r="AC7968">
        <f>IF(AB7968&gt;AB7967,AB7968,"")</f>
        <v/>
      </c>
    </row>
    <row r="7969">
      <c r="W7969" s="7" t="n"/>
      <c r="X7969" s="7" t="n"/>
      <c r="Z7969">
        <f>Z7968+IF(W7969="",0,IF(ISNA(MATCH(W7969,W$256:W7968,0)),1,0))</f>
        <v/>
      </c>
      <c r="AA7969">
        <f>IF(Z7969&gt;Z7968,Z7969,"")</f>
        <v/>
      </c>
      <c r="AB7969">
        <f>AB7968+IF(X7969="",0,IF(ISNA(MATCH(X7969,X$256:X7968,0)),1,0))</f>
        <v/>
      </c>
      <c r="AC7969">
        <f>IF(AB7969&gt;AB7968,AB7969,"")</f>
        <v/>
      </c>
    </row>
    <row r="7970">
      <c r="W7970" s="7" t="n"/>
      <c r="X7970" s="7" t="n"/>
      <c r="Z7970">
        <f>Z7969+IF(W7970="",0,IF(ISNA(MATCH(W7970,W$256:W7969,0)),1,0))</f>
        <v/>
      </c>
      <c r="AA7970">
        <f>IF(Z7970&gt;Z7969,Z7970,"")</f>
        <v/>
      </c>
      <c r="AB7970">
        <f>AB7969+IF(X7970="",0,IF(ISNA(MATCH(X7970,X$256:X7969,0)),1,0))</f>
        <v/>
      </c>
      <c r="AC7970">
        <f>IF(AB7970&gt;AB7969,AB7970,"")</f>
        <v/>
      </c>
    </row>
    <row r="7971">
      <c r="W7971" s="7" t="n"/>
      <c r="X7971" s="7" t="n"/>
      <c r="Z7971">
        <f>Z7970+IF(W7971="",0,IF(ISNA(MATCH(W7971,W$256:W7970,0)),1,0))</f>
        <v/>
      </c>
      <c r="AA7971">
        <f>IF(Z7971&gt;Z7970,Z7971,"")</f>
        <v/>
      </c>
      <c r="AB7971">
        <f>AB7970+IF(X7971="",0,IF(ISNA(MATCH(X7971,X$256:X7970,0)),1,0))</f>
        <v/>
      </c>
      <c r="AC7971">
        <f>IF(AB7971&gt;AB7970,AB7971,"")</f>
        <v/>
      </c>
    </row>
    <row r="7972">
      <c r="W7972" s="7" t="n"/>
      <c r="X7972" s="7" t="n"/>
      <c r="Z7972">
        <f>Z7971+IF(W7972="",0,IF(ISNA(MATCH(W7972,W$256:W7971,0)),1,0))</f>
        <v/>
      </c>
      <c r="AA7972">
        <f>IF(Z7972&gt;Z7971,Z7972,"")</f>
        <v/>
      </c>
      <c r="AB7972">
        <f>AB7971+IF(X7972="",0,IF(ISNA(MATCH(X7972,X$256:X7971,0)),1,0))</f>
        <v/>
      </c>
      <c r="AC7972">
        <f>IF(AB7972&gt;AB7971,AB7972,"")</f>
        <v/>
      </c>
    </row>
    <row r="7973">
      <c r="W7973" s="7" t="n"/>
      <c r="X7973" s="7" t="n"/>
      <c r="Z7973">
        <f>Z7972+IF(W7973="",0,IF(ISNA(MATCH(W7973,W$256:W7972,0)),1,0))</f>
        <v/>
      </c>
      <c r="AA7973">
        <f>IF(Z7973&gt;Z7972,Z7973,"")</f>
        <v/>
      </c>
      <c r="AB7973">
        <f>AB7972+IF(X7973="",0,IF(ISNA(MATCH(X7973,X$256:X7972,0)),1,0))</f>
        <v/>
      </c>
      <c r="AC7973">
        <f>IF(AB7973&gt;AB7972,AB7973,"")</f>
        <v/>
      </c>
    </row>
    <row r="7974">
      <c r="W7974" s="7" t="n"/>
      <c r="X7974" s="7" t="n"/>
      <c r="Z7974">
        <f>Z7973+IF(W7974="",0,IF(ISNA(MATCH(W7974,W$256:W7973,0)),1,0))</f>
        <v/>
      </c>
      <c r="AA7974">
        <f>IF(Z7974&gt;Z7973,Z7974,"")</f>
        <v/>
      </c>
      <c r="AB7974">
        <f>AB7973+IF(X7974="",0,IF(ISNA(MATCH(X7974,X$256:X7973,0)),1,0))</f>
        <v/>
      </c>
      <c r="AC7974">
        <f>IF(AB7974&gt;AB7973,AB7974,"")</f>
        <v/>
      </c>
    </row>
    <row r="7975">
      <c r="W7975" s="7" t="n"/>
      <c r="X7975" s="7" t="n"/>
      <c r="Z7975">
        <f>Z7974+IF(W7975="",0,IF(ISNA(MATCH(W7975,W$256:W7974,0)),1,0))</f>
        <v/>
      </c>
      <c r="AA7975">
        <f>IF(Z7975&gt;Z7974,Z7975,"")</f>
        <v/>
      </c>
      <c r="AB7975">
        <f>AB7974+IF(X7975="",0,IF(ISNA(MATCH(X7975,X$256:X7974,0)),1,0))</f>
        <v/>
      </c>
      <c r="AC7975">
        <f>IF(AB7975&gt;AB7974,AB7975,"")</f>
        <v/>
      </c>
    </row>
    <row r="7976">
      <c r="W7976" s="7" t="n"/>
      <c r="X7976" s="7" t="n"/>
      <c r="Z7976">
        <f>Z7975+IF(W7976="",0,IF(ISNA(MATCH(W7976,W$256:W7975,0)),1,0))</f>
        <v/>
      </c>
      <c r="AA7976">
        <f>IF(Z7976&gt;Z7975,Z7976,"")</f>
        <v/>
      </c>
      <c r="AB7976">
        <f>AB7975+IF(X7976="",0,IF(ISNA(MATCH(X7976,X$256:X7975,0)),1,0))</f>
        <v/>
      </c>
      <c r="AC7976">
        <f>IF(AB7976&gt;AB7975,AB7976,"")</f>
        <v/>
      </c>
    </row>
    <row r="7977">
      <c r="W7977" s="7" t="n"/>
      <c r="X7977" s="7" t="n"/>
      <c r="Z7977">
        <f>Z7976+IF(W7977="",0,IF(ISNA(MATCH(W7977,W$256:W7976,0)),1,0))</f>
        <v/>
      </c>
      <c r="AA7977">
        <f>IF(Z7977&gt;Z7976,Z7977,"")</f>
        <v/>
      </c>
      <c r="AB7977">
        <f>AB7976+IF(X7977="",0,IF(ISNA(MATCH(X7977,X$256:X7976,0)),1,0))</f>
        <v/>
      </c>
      <c r="AC7977">
        <f>IF(AB7977&gt;AB7976,AB7977,"")</f>
        <v/>
      </c>
    </row>
    <row r="7978">
      <c r="W7978" s="7" t="n"/>
      <c r="X7978" s="7" t="n"/>
      <c r="Z7978">
        <f>Z7977+IF(W7978="",0,IF(ISNA(MATCH(W7978,W$256:W7977,0)),1,0))</f>
        <v/>
      </c>
      <c r="AA7978">
        <f>IF(Z7978&gt;Z7977,Z7978,"")</f>
        <v/>
      </c>
      <c r="AB7978">
        <f>AB7977+IF(X7978="",0,IF(ISNA(MATCH(X7978,X$256:X7977,0)),1,0))</f>
        <v/>
      </c>
      <c r="AC7978">
        <f>IF(AB7978&gt;AB7977,AB7978,"")</f>
        <v/>
      </c>
    </row>
    <row r="7979">
      <c r="W7979" s="7" t="n"/>
      <c r="X7979" s="7" t="n"/>
      <c r="Z7979">
        <f>Z7978+IF(W7979="",0,IF(ISNA(MATCH(W7979,W$256:W7978,0)),1,0))</f>
        <v/>
      </c>
      <c r="AA7979">
        <f>IF(Z7979&gt;Z7978,Z7979,"")</f>
        <v/>
      </c>
      <c r="AB7979">
        <f>AB7978+IF(X7979="",0,IF(ISNA(MATCH(X7979,X$256:X7978,0)),1,0))</f>
        <v/>
      </c>
      <c r="AC7979">
        <f>IF(AB7979&gt;AB7978,AB7979,"")</f>
        <v/>
      </c>
    </row>
    <row r="7980">
      <c r="W7980" s="7" t="n"/>
      <c r="X7980" s="7" t="n"/>
      <c r="Z7980">
        <f>Z7979+IF(W7980="",0,IF(ISNA(MATCH(W7980,W$256:W7979,0)),1,0))</f>
        <v/>
      </c>
      <c r="AA7980">
        <f>IF(Z7980&gt;Z7979,Z7980,"")</f>
        <v/>
      </c>
      <c r="AB7980">
        <f>AB7979+IF(X7980="",0,IF(ISNA(MATCH(X7980,X$256:X7979,0)),1,0))</f>
        <v/>
      </c>
      <c r="AC7980">
        <f>IF(AB7980&gt;AB7979,AB7980,"")</f>
        <v/>
      </c>
    </row>
    <row r="7981">
      <c r="W7981" s="7" t="n"/>
      <c r="X7981" s="7" t="n"/>
      <c r="Z7981">
        <f>Z7980+IF(W7981="",0,IF(ISNA(MATCH(W7981,W$256:W7980,0)),1,0))</f>
        <v/>
      </c>
      <c r="AA7981">
        <f>IF(Z7981&gt;Z7980,Z7981,"")</f>
        <v/>
      </c>
      <c r="AB7981">
        <f>AB7980+IF(X7981="",0,IF(ISNA(MATCH(X7981,X$256:X7980,0)),1,0))</f>
        <v/>
      </c>
      <c r="AC7981">
        <f>IF(AB7981&gt;AB7980,AB7981,"")</f>
        <v/>
      </c>
    </row>
    <row r="7982">
      <c r="W7982" s="7" t="n"/>
      <c r="X7982" s="7" t="n"/>
      <c r="Z7982">
        <f>Z7981+IF(W7982="",0,IF(ISNA(MATCH(W7982,W$256:W7981,0)),1,0))</f>
        <v/>
      </c>
      <c r="AA7982">
        <f>IF(Z7982&gt;Z7981,Z7982,"")</f>
        <v/>
      </c>
      <c r="AB7982">
        <f>AB7981+IF(X7982="",0,IF(ISNA(MATCH(X7982,X$256:X7981,0)),1,0))</f>
        <v/>
      </c>
      <c r="AC7982">
        <f>IF(AB7982&gt;AB7981,AB7982,"")</f>
        <v/>
      </c>
    </row>
    <row r="7983">
      <c r="W7983" s="7" t="n"/>
      <c r="X7983" s="7" t="n"/>
      <c r="Z7983">
        <f>Z7982+IF(W7983="",0,IF(ISNA(MATCH(W7983,W$256:W7982,0)),1,0))</f>
        <v/>
      </c>
      <c r="AA7983">
        <f>IF(Z7983&gt;Z7982,Z7983,"")</f>
        <v/>
      </c>
      <c r="AB7983">
        <f>AB7982+IF(X7983="",0,IF(ISNA(MATCH(X7983,X$256:X7982,0)),1,0))</f>
        <v/>
      </c>
      <c r="AC7983">
        <f>IF(AB7983&gt;AB7982,AB7983,"")</f>
        <v/>
      </c>
    </row>
    <row r="7984">
      <c r="W7984" s="7" t="n"/>
      <c r="X7984" s="7" t="n"/>
      <c r="Z7984">
        <f>Z7983+IF(W7984="",0,IF(ISNA(MATCH(W7984,W$256:W7983,0)),1,0))</f>
        <v/>
      </c>
      <c r="AA7984">
        <f>IF(Z7984&gt;Z7983,Z7984,"")</f>
        <v/>
      </c>
      <c r="AB7984">
        <f>AB7983+IF(X7984="",0,IF(ISNA(MATCH(X7984,X$256:X7983,0)),1,0))</f>
        <v/>
      </c>
      <c r="AC7984">
        <f>IF(AB7984&gt;AB7983,AB7984,"")</f>
        <v/>
      </c>
    </row>
    <row r="7985">
      <c r="W7985" s="7" t="n"/>
      <c r="X7985" s="7" t="n"/>
      <c r="Z7985">
        <f>Z7984+IF(W7985="",0,IF(ISNA(MATCH(W7985,W$256:W7984,0)),1,0))</f>
        <v/>
      </c>
      <c r="AA7985">
        <f>IF(Z7985&gt;Z7984,Z7985,"")</f>
        <v/>
      </c>
      <c r="AB7985">
        <f>AB7984+IF(X7985="",0,IF(ISNA(MATCH(X7985,X$256:X7984,0)),1,0))</f>
        <v/>
      </c>
      <c r="AC7985">
        <f>IF(AB7985&gt;AB7984,AB7985,"")</f>
        <v/>
      </c>
    </row>
    <row r="7986">
      <c r="W7986" s="7" t="n"/>
      <c r="X7986" s="7" t="n"/>
      <c r="Z7986">
        <f>Z7985+IF(W7986="",0,IF(ISNA(MATCH(W7986,W$256:W7985,0)),1,0))</f>
        <v/>
      </c>
      <c r="AA7986">
        <f>IF(Z7986&gt;Z7985,Z7986,"")</f>
        <v/>
      </c>
      <c r="AB7986">
        <f>AB7985+IF(X7986="",0,IF(ISNA(MATCH(X7986,X$256:X7985,0)),1,0))</f>
        <v/>
      </c>
      <c r="AC7986">
        <f>IF(AB7986&gt;AB7985,AB7986,"")</f>
        <v/>
      </c>
    </row>
    <row r="7987">
      <c r="W7987" s="7" t="n"/>
      <c r="X7987" s="7" t="n"/>
      <c r="Z7987">
        <f>Z7986+IF(W7987="",0,IF(ISNA(MATCH(W7987,W$256:W7986,0)),1,0))</f>
        <v/>
      </c>
      <c r="AA7987">
        <f>IF(Z7987&gt;Z7986,Z7987,"")</f>
        <v/>
      </c>
      <c r="AB7987">
        <f>AB7986+IF(X7987="",0,IF(ISNA(MATCH(X7987,X$256:X7986,0)),1,0))</f>
        <v/>
      </c>
      <c r="AC7987">
        <f>IF(AB7987&gt;AB7986,AB7987,"")</f>
        <v/>
      </c>
    </row>
    <row r="7988">
      <c r="W7988" s="7" t="n"/>
      <c r="X7988" s="7" t="n"/>
      <c r="Z7988">
        <f>Z7987+IF(W7988="",0,IF(ISNA(MATCH(W7988,W$256:W7987,0)),1,0))</f>
        <v/>
      </c>
      <c r="AA7988">
        <f>IF(Z7988&gt;Z7987,Z7988,"")</f>
        <v/>
      </c>
      <c r="AB7988">
        <f>AB7987+IF(X7988="",0,IF(ISNA(MATCH(X7988,X$256:X7987,0)),1,0))</f>
        <v/>
      </c>
      <c r="AC7988">
        <f>IF(AB7988&gt;AB7987,AB7988,"")</f>
        <v/>
      </c>
    </row>
    <row r="7989">
      <c r="W7989" s="7" t="n"/>
      <c r="X7989" s="7" t="n"/>
      <c r="Z7989">
        <f>Z7988+IF(W7989="",0,IF(ISNA(MATCH(W7989,W$256:W7988,0)),1,0))</f>
        <v/>
      </c>
      <c r="AA7989">
        <f>IF(Z7989&gt;Z7988,Z7989,"")</f>
        <v/>
      </c>
      <c r="AB7989">
        <f>AB7988+IF(X7989="",0,IF(ISNA(MATCH(X7989,X$256:X7988,0)),1,0))</f>
        <v/>
      </c>
      <c r="AC7989">
        <f>IF(AB7989&gt;AB7988,AB7989,"")</f>
        <v/>
      </c>
    </row>
    <row r="7990">
      <c r="W7990" s="7" t="n"/>
      <c r="X7990" s="7" t="n"/>
      <c r="Z7990">
        <f>Z7989+IF(W7990="",0,IF(ISNA(MATCH(W7990,W$256:W7989,0)),1,0))</f>
        <v/>
      </c>
      <c r="AA7990">
        <f>IF(Z7990&gt;Z7989,Z7990,"")</f>
        <v/>
      </c>
      <c r="AB7990">
        <f>AB7989+IF(X7990="",0,IF(ISNA(MATCH(X7990,X$256:X7989,0)),1,0))</f>
        <v/>
      </c>
      <c r="AC7990">
        <f>IF(AB7990&gt;AB7989,AB7990,"")</f>
        <v/>
      </c>
    </row>
    <row r="7991">
      <c r="W7991" s="7" t="n"/>
      <c r="X7991" s="7" t="n"/>
      <c r="Z7991">
        <f>Z7990+IF(W7991="",0,IF(ISNA(MATCH(W7991,W$256:W7990,0)),1,0))</f>
        <v/>
      </c>
      <c r="AA7991">
        <f>IF(Z7991&gt;Z7990,Z7991,"")</f>
        <v/>
      </c>
      <c r="AB7991">
        <f>AB7990+IF(X7991="",0,IF(ISNA(MATCH(X7991,X$256:X7990,0)),1,0))</f>
        <v/>
      </c>
      <c r="AC7991">
        <f>IF(AB7991&gt;AB7990,AB7991,"")</f>
        <v/>
      </c>
    </row>
    <row r="7992">
      <c r="W7992" s="7" t="n"/>
      <c r="X7992" s="7" t="n"/>
      <c r="Z7992">
        <f>Z7991+IF(W7992="",0,IF(ISNA(MATCH(W7992,W$256:W7991,0)),1,0))</f>
        <v/>
      </c>
      <c r="AA7992">
        <f>IF(Z7992&gt;Z7991,Z7992,"")</f>
        <v/>
      </c>
      <c r="AB7992">
        <f>AB7991+IF(X7992="",0,IF(ISNA(MATCH(X7992,X$256:X7991,0)),1,0))</f>
        <v/>
      </c>
      <c r="AC7992">
        <f>IF(AB7992&gt;AB7991,AB7992,"")</f>
        <v/>
      </c>
    </row>
    <row r="7993">
      <c r="W7993" s="7" t="n"/>
      <c r="X7993" s="7" t="n"/>
      <c r="Z7993">
        <f>Z7992+IF(W7993="",0,IF(ISNA(MATCH(W7993,W$256:W7992,0)),1,0))</f>
        <v/>
      </c>
      <c r="AA7993">
        <f>IF(Z7993&gt;Z7992,Z7993,"")</f>
        <v/>
      </c>
      <c r="AB7993">
        <f>AB7992+IF(X7993="",0,IF(ISNA(MATCH(X7993,X$256:X7992,0)),1,0))</f>
        <v/>
      </c>
      <c r="AC7993">
        <f>IF(AB7993&gt;AB7992,AB7993,"")</f>
        <v/>
      </c>
    </row>
    <row r="7994">
      <c r="W7994" s="7" t="n"/>
      <c r="X7994" s="7" t="n"/>
      <c r="Z7994">
        <f>Z7993+IF(W7994="",0,IF(ISNA(MATCH(W7994,W$256:W7993,0)),1,0))</f>
        <v/>
      </c>
      <c r="AA7994">
        <f>IF(Z7994&gt;Z7993,Z7994,"")</f>
        <v/>
      </c>
      <c r="AB7994">
        <f>AB7993+IF(X7994="",0,IF(ISNA(MATCH(X7994,X$256:X7993,0)),1,0))</f>
        <v/>
      </c>
      <c r="AC7994">
        <f>IF(AB7994&gt;AB7993,AB7994,"")</f>
        <v/>
      </c>
    </row>
    <row r="7995">
      <c r="W7995" s="7" t="n"/>
      <c r="X7995" s="7" t="n"/>
      <c r="Z7995">
        <f>Z7994+IF(W7995="",0,IF(ISNA(MATCH(W7995,W$256:W7994,0)),1,0))</f>
        <v/>
      </c>
      <c r="AA7995">
        <f>IF(Z7995&gt;Z7994,Z7995,"")</f>
        <v/>
      </c>
      <c r="AB7995">
        <f>AB7994+IF(X7995="",0,IF(ISNA(MATCH(X7995,X$256:X7994,0)),1,0))</f>
        <v/>
      </c>
      <c r="AC7995">
        <f>IF(AB7995&gt;AB7994,AB7995,"")</f>
        <v/>
      </c>
    </row>
    <row r="7996">
      <c r="W7996" s="7" t="n"/>
      <c r="X7996" s="7" t="n"/>
      <c r="Z7996">
        <f>Z7995+IF(W7996="",0,IF(ISNA(MATCH(W7996,W$256:W7995,0)),1,0))</f>
        <v/>
      </c>
      <c r="AA7996">
        <f>IF(Z7996&gt;Z7995,Z7996,"")</f>
        <v/>
      </c>
      <c r="AB7996">
        <f>AB7995+IF(X7996="",0,IF(ISNA(MATCH(X7996,X$256:X7995,0)),1,0))</f>
        <v/>
      </c>
      <c r="AC7996">
        <f>IF(AB7996&gt;AB7995,AB7996,"")</f>
        <v/>
      </c>
    </row>
    <row r="7997">
      <c r="W7997" s="7" t="n"/>
      <c r="X7997" s="7" t="n"/>
      <c r="Z7997">
        <f>Z7996+IF(W7997="",0,IF(ISNA(MATCH(W7997,W$256:W7996,0)),1,0))</f>
        <v/>
      </c>
      <c r="AA7997">
        <f>IF(Z7997&gt;Z7996,Z7997,"")</f>
        <v/>
      </c>
      <c r="AB7997">
        <f>AB7996+IF(X7997="",0,IF(ISNA(MATCH(X7997,X$256:X7996,0)),1,0))</f>
        <v/>
      </c>
      <c r="AC7997">
        <f>IF(AB7997&gt;AB7996,AB7997,"")</f>
        <v/>
      </c>
    </row>
    <row r="7998">
      <c r="W7998" s="7" t="n"/>
      <c r="X7998" s="7" t="n"/>
      <c r="Z7998">
        <f>Z7997+IF(W7998="",0,IF(ISNA(MATCH(W7998,W$256:W7997,0)),1,0))</f>
        <v/>
      </c>
      <c r="AA7998">
        <f>IF(Z7998&gt;Z7997,Z7998,"")</f>
        <v/>
      </c>
      <c r="AB7998">
        <f>AB7997+IF(X7998="",0,IF(ISNA(MATCH(X7998,X$256:X7997,0)),1,0))</f>
        <v/>
      </c>
      <c r="AC7998">
        <f>IF(AB7998&gt;AB7997,AB7998,"")</f>
        <v/>
      </c>
    </row>
    <row r="7999">
      <c r="W7999" s="7" t="n"/>
      <c r="X7999" s="7" t="n"/>
      <c r="Z7999">
        <f>Z7998+IF(W7999="",0,IF(ISNA(MATCH(W7999,W$256:W7998,0)),1,0))</f>
        <v/>
      </c>
      <c r="AA7999">
        <f>IF(Z7999&gt;Z7998,Z7999,"")</f>
        <v/>
      </c>
      <c r="AB7999">
        <f>AB7998+IF(X7999="",0,IF(ISNA(MATCH(X7999,X$256:X7998,0)),1,0))</f>
        <v/>
      </c>
      <c r="AC7999">
        <f>IF(AB7999&gt;AB7998,AB7999,"")</f>
        <v/>
      </c>
    </row>
    <row r="8000">
      <c r="W8000" s="7" t="n"/>
      <c r="X8000" s="7" t="n"/>
      <c r="Z8000">
        <f>Z7999+IF(W8000="",0,IF(ISNA(MATCH(W8000,W$256:W7999,0)),1,0))</f>
        <v/>
      </c>
      <c r="AA8000">
        <f>IF(Z8000&gt;Z7999,Z8000,"")</f>
        <v/>
      </c>
      <c r="AB8000">
        <f>AB7999+IF(X8000="",0,IF(ISNA(MATCH(X8000,X$256:X7999,0)),1,0))</f>
        <v/>
      </c>
      <c r="AC8000">
        <f>IF(AB8000&gt;AB7999,AB8000,"")</f>
        <v/>
      </c>
    </row>
    <row r="8001">
      <c r="W8001" s="7" t="n"/>
      <c r="X8001" s="7" t="n"/>
      <c r="Z8001">
        <f>Z8000+IF(W8001="",0,IF(ISNA(MATCH(W8001,W$256:W8000,0)),1,0))</f>
        <v/>
      </c>
      <c r="AA8001">
        <f>IF(Z8001&gt;Z8000,Z8001,"")</f>
        <v/>
      </c>
      <c r="AB8001">
        <f>AB8000+IF(X8001="",0,IF(ISNA(MATCH(X8001,X$256:X8000,0)),1,0))</f>
        <v/>
      </c>
      <c r="AC8001">
        <f>IF(AB8001&gt;AB8000,AB8001,"")</f>
        <v/>
      </c>
    </row>
    <row r="8002">
      <c r="W8002" s="7" t="n"/>
      <c r="X8002" s="7" t="n"/>
      <c r="Z8002">
        <f>Z8001+IF(W8002="",0,IF(ISNA(MATCH(W8002,W$256:W8001,0)),1,0))</f>
        <v/>
      </c>
      <c r="AA8002">
        <f>IF(Z8002&gt;Z8001,Z8002,"")</f>
        <v/>
      </c>
      <c r="AB8002">
        <f>AB8001+IF(X8002="",0,IF(ISNA(MATCH(X8002,X$256:X8001,0)),1,0))</f>
        <v/>
      </c>
      <c r="AC8002">
        <f>IF(AB8002&gt;AB8001,AB8002,"")</f>
        <v/>
      </c>
    </row>
    <row r="8003">
      <c r="W8003" s="7" t="n"/>
      <c r="X8003" s="7" t="n"/>
      <c r="Z8003">
        <f>Z8002+IF(W8003="",0,IF(ISNA(MATCH(W8003,W$256:W8002,0)),1,0))</f>
        <v/>
      </c>
      <c r="AA8003">
        <f>IF(Z8003&gt;Z8002,Z8003,"")</f>
        <v/>
      </c>
      <c r="AB8003">
        <f>AB8002+IF(X8003="",0,IF(ISNA(MATCH(X8003,X$256:X8002,0)),1,0))</f>
        <v/>
      </c>
      <c r="AC8003">
        <f>IF(AB8003&gt;AB8002,AB8003,"")</f>
        <v/>
      </c>
    </row>
    <row r="8004">
      <c r="W8004" s="7" t="n"/>
      <c r="X8004" s="7" t="n"/>
      <c r="Z8004">
        <f>Z8003+IF(W8004="",0,IF(ISNA(MATCH(W8004,W$256:W8003,0)),1,0))</f>
        <v/>
      </c>
      <c r="AA8004">
        <f>IF(Z8004&gt;Z8003,Z8004,"")</f>
        <v/>
      </c>
      <c r="AB8004">
        <f>AB8003+IF(X8004="",0,IF(ISNA(MATCH(X8004,X$256:X8003,0)),1,0))</f>
        <v/>
      </c>
      <c r="AC8004">
        <f>IF(AB8004&gt;AB8003,AB8004,"")</f>
        <v/>
      </c>
    </row>
    <row r="8005">
      <c r="W8005" s="7" t="n"/>
      <c r="X8005" s="7" t="n"/>
      <c r="Z8005">
        <f>Z8004+IF(W8005="",0,IF(ISNA(MATCH(W8005,W$256:W8004,0)),1,0))</f>
        <v/>
      </c>
      <c r="AA8005">
        <f>IF(Z8005&gt;Z8004,Z8005,"")</f>
        <v/>
      </c>
      <c r="AB8005">
        <f>AB8004+IF(X8005="",0,IF(ISNA(MATCH(X8005,X$256:X8004,0)),1,0))</f>
        <v/>
      </c>
      <c r="AC8005">
        <f>IF(AB8005&gt;AB8004,AB8005,"")</f>
        <v/>
      </c>
    </row>
    <row r="8006">
      <c r="W8006" s="7" t="n"/>
      <c r="X8006" s="7" t="n"/>
      <c r="Z8006">
        <f>Z8005+IF(W8006="",0,IF(ISNA(MATCH(W8006,W$256:W8005,0)),1,0))</f>
        <v/>
      </c>
      <c r="AA8006">
        <f>IF(Z8006&gt;Z8005,Z8006,"")</f>
        <v/>
      </c>
      <c r="AB8006">
        <f>AB8005+IF(X8006="",0,IF(ISNA(MATCH(X8006,X$256:X8005,0)),1,0))</f>
        <v/>
      </c>
      <c r="AC8006">
        <f>IF(AB8006&gt;AB8005,AB8006,"")</f>
        <v/>
      </c>
    </row>
    <row r="8007">
      <c r="W8007" s="7" t="n"/>
      <c r="X8007" s="7" t="n"/>
      <c r="Z8007">
        <f>Z8006+IF(W8007="",0,IF(ISNA(MATCH(W8007,W$256:W8006,0)),1,0))</f>
        <v/>
      </c>
      <c r="AA8007">
        <f>IF(Z8007&gt;Z8006,Z8007,"")</f>
        <v/>
      </c>
      <c r="AB8007">
        <f>AB8006+IF(X8007="",0,IF(ISNA(MATCH(X8007,X$256:X8006,0)),1,0))</f>
        <v/>
      </c>
      <c r="AC8007">
        <f>IF(AB8007&gt;AB8006,AB8007,"")</f>
        <v/>
      </c>
    </row>
    <row r="8008">
      <c r="W8008" s="7" t="n"/>
      <c r="X8008" s="7" t="n"/>
      <c r="Z8008">
        <f>Z8007+IF(W8008="",0,IF(ISNA(MATCH(W8008,W$256:W8007,0)),1,0))</f>
        <v/>
      </c>
      <c r="AA8008">
        <f>IF(Z8008&gt;Z8007,Z8008,"")</f>
        <v/>
      </c>
      <c r="AB8008">
        <f>AB8007+IF(X8008="",0,IF(ISNA(MATCH(X8008,X$256:X8007,0)),1,0))</f>
        <v/>
      </c>
      <c r="AC8008">
        <f>IF(AB8008&gt;AB8007,AB8008,"")</f>
        <v/>
      </c>
    </row>
    <row r="8009">
      <c r="W8009" s="7" t="n"/>
      <c r="X8009" s="7" t="n"/>
      <c r="Z8009">
        <f>Z8008+IF(W8009="",0,IF(ISNA(MATCH(W8009,W$256:W8008,0)),1,0))</f>
        <v/>
      </c>
      <c r="AA8009">
        <f>IF(Z8009&gt;Z8008,Z8009,"")</f>
        <v/>
      </c>
      <c r="AB8009">
        <f>AB8008+IF(X8009="",0,IF(ISNA(MATCH(X8009,X$256:X8008,0)),1,0))</f>
        <v/>
      </c>
      <c r="AC8009">
        <f>IF(AB8009&gt;AB8008,AB8009,"")</f>
        <v/>
      </c>
    </row>
    <row r="8010">
      <c r="W8010" s="7" t="n"/>
      <c r="X8010" s="7" t="n"/>
      <c r="Z8010">
        <f>Z8009+IF(W8010="",0,IF(ISNA(MATCH(W8010,W$256:W8009,0)),1,0))</f>
        <v/>
      </c>
      <c r="AA8010">
        <f>IF(Z8010&gt;Z8009,Z8010,"")</f>
        <v/>
      </c>
      <c r="AB8010">
        <f>AB8009+IF(X8010="",0,IF(ISNA(MATCH(X8010,X$256:X8009,0)),1,0))</f>
        <v/>
      </c>
      <c r="AC8010">
        <f>IF(AB8010&gt;AB8009,AB8010,"")</f>
        <v/>
      </c>
    </row>
    <row r="8011">
      <c r="W8011" s="7" t="n"/>
      <c r="X8011" s="7" t="n"/>
      <c r="Z8011">
        <f>Z8010+IF(W8011="",0,IF(ISNA(MATCH(W8011,W$256:W8010,0)),1,0))</f>
        <v/>
      </c>
      <c r="AA8011">
        <f>IF(Z8011&gt;Z8010,Z8011,"")</f>
        <v/>
      </c>
      <c r="AB8011">
        <f>AB8010+IF(X8011="",0,IF(ISNA(MATCH(X8011,X$256:X8010,0)),1,0))</f>
        <v/>
      </c>
      <c r="AC8011">
        <f>IF(AB8011&gt;AB8010,AB8011,"")</f>
        <v/>
      </c>
    </row>
    <row r="8012">
      <c r="W8012" s="7" t="n"/>
      <c r="X8012" s="7" t="n"/>
      <c r="Z8012">
        <f>Z8011+IF(W8012="",0,IF(ISNA(MATCH(W8012,W$256:W8011,0)),1,0))</f>
        <v/>
      </c>
      <c r="AA8012">
        <f>IF(Z8012&gt;Z8011,Z8012,"")</f>
        <v/>
      </c>
      <c r="AB8012">
        <f>AB8011+IF(X8012="",0,IF(ISNA(MATCH(X8012,X$256:X8011,0)),1,0))</f>
        <v/>
      </c>
      <c r="AC8012">
        <f>IF(AB8012&gt;AB8011,AB8012,"")</f>
        <v/>
      </c>
    </row>
    <row r="8013">
      <c r="W8013" s="7" t="n"/>
      <c r="X8013" s="7" t="n"/>
      <c r="Z8013">
        <f>Z8012+IF(W8013="",0,IF(ISNA(MATCH(W8013,W$256:W8012,0)),1,0))</f>
        <v/>
      </c>
      <c r="AA8013">
        <f>IF(Z8013&gt;Z8012,Z8013,"")</f>
        <v/>
      </c>
      <c r="AB8013">
        <f>AB8012+IF(X8013="",0,IF(ISNA(MATCH(X8013,X$256:X8012,0)),1,0))</f>
        <v/>
      </c>
      <c r="AC8013">
        <f>IF(AB8013&gt;AB8012,AB8013,"")</f>
        <v/>
      </c>
    </row>
    <row r="8014">
      <c r="W8014" s="7" t="n"/>
      <c r="X8014" s="7" t="n"/>
      <c r="Z8014">
        <f>Z8013+IF(W8014="",0,IF(ISNA(MATCH(W8014,W$256:W8013,0)),1,0))</f>
        <v/>
      </c>
      <c r="AA8014">
        <f>IF(Z8014&gt;Z8013,Z8014,"")</f>
        <v/>
      </c>
      <c r="AB8014">
        <f>AB8013+IF(X8014="",0,IF(ISNA(MATCH(X8014,X$256:X8013,0)),1,0))</f>
        <v/>
      </c>
      <c r="AC8014">
        <f>IF(AB8014&gt;AB8013,AB8014,"")</f>
        <v/>
      </c>
    </row>
    <row r="8015">
      <c r="W8015" s="7" t="n"/>
      <c r="X8015" s="7" t="n"/>
      <c r="Z8015">
        <f>Z8014+IF(W8015="",0,IF(ISNA(MATCH(W8015,W$256:W8014,0)),1,0))</f>
        <v/>
      </c>
      <c r="AA8015">
        <f>IF(Z8015&gt;Z8014,Z8015,"")</f>
        <v/>
      </c>
      <c r="AB8015">
        <f>AB8014+IF(X8015="",0,IF(ISNA(MATCH(X8015,X$256:X8014,0)),1,0))</f>
        <v/>
      </c>
      <c r="AC8015">
        <f>IF(AB8015&gt;AB8014,AB8015,"")</f>
        <v/>
      </c>
    </row>
    <row r="8016">
      <c r="W8016" s="7" t="n"/>
      <c r="X8016" s="7" t="n"/>
      <c r="Z8016">
        <f>Z8015+IF(W8016="",0,IF(ISNA(MATCH(W8016,W$256:W8015,0)),1,0))</f>
        <v/>
      </c>
      <c r="AA8016">
        <f>IF(Z8016&gt;Z8015,Z8016,"")</f>
        <v/>
      </c>
      <c r="AB8016">
        <f>AB8015+IF(X8016="",0,IF(ISNA(MATCH(X8016,X$256:X8015,0)),1,0))</f>
        <v/>
      </c>
      <c r="AC8016">
        <f>IF(AB8016&gt;AB8015,AB8016,"")</f>
        <v/>
      </c>
    </row>
    <row r="8017">
      <c r="W8017" s="7" t="n"/>
      <c r="X8017" s="7" t="n"/>
      <c r="Z8017">
        <f>Z8016+IF(W8017="",0,IF(ISNA(MATCH(W8017,W$256:W8016,0)),1,0))</f>
        <v/>
      </c>
      <c r="AA8017">
        <f>IF(Z8017&gt;Z8016,Z8017,"")</f>
        <v/>
      </c>
      <c r="AB8017">
        <f>AB8016+IF(X8017="",0,IF(ISNA(MATCH(X8017,X$256:X8016,0)),1,0))</f>
        <v/>
      </c>
      <c r="AC8017">
        <f>IF(AB8017&gt;AB8016,AB8017,"")</f>
        <v/>
      </c>
    </row>
    <row r="8018">
      <c r="W8018" s="7" t="n"/>
      <c r="X8018" s="7" t="n"/>
      <c r="Z8018">
        <f>Z8017+IF(W8018="",0,IF(ISNA(MATCH(W8018,W$256:W8017,0)),1,0))</f>
        <v/>
      </c>
      <c r="AA8018">
        <f>IF(Z8018&gt;Z8017,Z8018,"")</f>
        <v/>
      </c>
      <c r="AB8018">
        <f>AB8017+IF(X8018="",0,IF(ISNA(MATCH(X8018,X$256:X8017,0)),1,0))</f>
        <v/>
      </c>
      <c r="AC8018">
        <f>IF(AB8018&gt;AB8017,AB8018,"")</f>
        <v/>
      </c>
    </row>
    <row r="8019">
      <c r="W8019" s="7" t="n"/>
      <c r="X8019" s="7" t="n"/>
      <c r="Z8019">
        <f>Z8018+IF(W8019="",0,IF(ISNA(MATCH(W8019,W$256:W8018,0)),1,0))</f>
        <v/>
      </c>
      <c r="AA8019">
        <f>IF(Z8019&gt;Z8018,Z8019,"")</f>
        <v/>
      </c>
      <c r="AB8019">
        <f>AB8018+IF(X8019="",0,IF(ISNA(MATCH(X8019,X$256:X8018,0)),1,0))</f>
        <v/>
      </c>
      <c r="AC8019">
        <f>IF(AB8019&gt;AB8018,AB8019,"")</f>
        <v/>
      </c>
    </row>
    <row r="8020">
      <c r="W8020" s="7" t="n"/>
      <c r="X8020" s="7" t="n"/>
      <c r="Z8020">
        <f>Z8019+IF(W8020="",0,IF(ISNA(MATCH(W8020,W$256:W8019,0)),1,0))</f>
        <v/>
      </c>
      <c r="AA8020">
        <f>IF(Z8020&gt;Z8019,Z8020,"")</f>
        <v/>
      </c>
      <c r="AB8020">
        <f>AB8019+IF(X8020="",0,IF(ISNA(MATCH(X8020,X$256:X8019,0)),1,0))</f>
        <v/>
      </c>
      <c r="AC8020">
        <f>IF(AB8020&gt;AB8019,AB8020,"")</f>
        <v/>
      </c>
    </row>
    <row r="8021">
      <c r="W8021" s="7" t="n"/>
      <c r="X8021" s="7" t="n"/>
      <c r="Z8021">
        <f>Z8020+IF(W8021="",0,IF(ISNA(MATCH(W8021,W$256:W8020,0)),1,0))</f>
        <v/>
      </c>
      <c r="AA8021">
        <f>IF(Z8021&gt;Z8020,Z8021,"")</f>
        <v/>
      </c>
      <c r="AB8021">
        <f>AB8020+IF(X8021="",0,IF(ISNA(MATCH(X8021,X$256:X8020,0)),1,0))</f>
        <v/>
      </c>
      <c r="AC8021">
        <f>IF(AB8021&gt;AB8020,AB8021,"")</f>
        <v/>
      </c>
    </row>
    <row r="8022">
      <c r="W8022" s="7" t="n"/>
      <c r="X8022" s="7" t="n"/>
      <c r="Z8022">
        <f>Z8021+IF(W8022="",0,IF(ISNA(MATCH(W8022,W$256:W8021,0)),1,0))</f>
        <v/>
      </c>
      <c r="AA8022">
        <f>IF(Z8022&gt;Z8021,Z8022,"")</f>
        <v/>
      </c>
      <c r="AB8022">
        <f>AB8021+IF(X8022="",0,IF(ISNA(MATCH(X8022,X$256:X8021,0)),1,0))</f>
        <v/>
      </c>
      <c r="AC8022">
        <f>IF(AB8022&gt;AB8021,AB8022,"")</f>
        <v/>
      </c>
    </row>
    <row r="8023">
      <c r="W8023" s="7" t="n"/>
      <c r="X8023" s="7" t="n"/>
      <c r="Z8023">
        <f>Z8022+IF(W8023="",0,IF(ISNA(MATCH(W8023,W$256:W8022,0)),1,0))</f>
        <v/>
      </c>
      <c r="AA8023">
        <f>IF(Z8023&gt;Z8022,Z8023,"")</f>
        <v/>
      </c>
      <c r="AB8023">
        <f>AB8022+IF(X8023="",0,IF(ISNA(MATCH(X8023,X$256:X8022,0)),1,0))</f>
        <v/>
      </c>
      <c r="AC8023">
        <f>IF(AB8023&gt;AB8022,AB8023,"")</f>
        <v/>
      </c>
    </row>
    <row r="8024">
      <c r="W8024" s="7" t="n"/>
      <c r="X8024" s="7" t="n"/>
      <c r="Z8024">
        <f>Z8023+IF(W8024="",0,IF(ISNA(MATCH(W8024,W$256:W8023,0)),1,0))</f>
        <v/>
      </c>
      <c r="AA8024">
        <f>IF(Z8024&gt;Z8023,Z8024,"")</f>
        <v/>
      </c>
      <c r="AB8024">
        <f>AB8023+IF(X8024="",0,IF(ISNA(MATCH(X8024,X$256:X8023,0)),1,0))</f>
        <v/>
      </c>
      <c r="AC8024">
        <f>IF(AB8024&gt;AB8023,AB8024,"")</f>
        <v/>
      </c>
    </row>
    <row r="8025">
      <c r="W8025" s="7" t="n"/>
      <c r="X8025" s="7" t="n"/>
      <c r="Z8025">
        <f>Z8024+IF(W8025="",0,IF(ISNA(MATCH(W8025,W$256:W8024,0)),1,0))</f>
        <v/>
      </c>
      <c r="AA8025">
        <f>IF(Z8025&gt;Z8024,Z8025,"")</f>
        <v/>
      </c>
      <c r="AB8025">
        <f>AB8024+IF(X8025="",0,IF(ISNA(MATCH(X8025,X$256:X8024,0)),1,0))</f>
        <v/>
      </c>
      <c r="AC8025">
        <f>IF(AB8025&gt;AB8024,AB8025,"")</f>
        <v/>
      </c>
    </row>
    <row r="8026">
      <c r="W8026" s="7" t="n"/>
      <c r="X8026" s="7" t="n"/>
      <c r="Z8026">
        <f>Z8025+IF(W8026="",0,IF(ISNA(MATCH(W8026,W$256:W8025,0)),1,0))</f>
        <v/>
      </c>
      <c r="AA8026">
        <f>IF(Z8026&gt;Z8025,Z8026,"")</f>
        <v/>
      </c>
      <c r="AB8026">
        <f>AB8025+IF(X8026="",0,IF(ISNA(MATCH(X8026,X$256:X8025,0)),1,0))</f>
        <v/>
      </c>
      <c r="AC8026">
        <f>IF(AB8026&gt;AB8025,AB8026,"")</f>
        <v/>
      </c>
    </row>
    <row r="8027">
      <c r="W8027" s="7" t="n"/>
      <c r="X8027" s="7" t="n"/>
      <c r="Z8027">
        <f>Z8026+IF(W8027="",0,IF(ISNA(MATCH(W8027,W$256:W8026,0)),1,0))</f>
        <v/>
      </c>
      <c r="AA8027">
        <f>IF(Z8027&gt;Z8026,Z8027,"")</f>
        <v/>
      </c>
      <c r="AB8027">
        <f>AB8026+IF(X8027="",0,IF(ISNA(MATCH(X8027,X$256:X8026,0)),1,0))</f>
        <v/>
      </c>
      <c r="AC8027">
        <f>IF(AB8027&gt;AB8026,AB8027,"")</f>
        <v/>
      </c>
    </row>
    <row r="8028">
      <c r="W8028" s="7" t="n"/>
      <c r="X8028" s="7" t="n"/>
      <c r="Z8028">
        <f>Z8027+IF(W8028="",0,IF(ISNA(MATCH(W8028,W$256:W8027,0)),1,0))</f>
        <v/>
      </c>
      <c r="AA8028">
        <f>IF(Z8028&gt;Z8027,Z8028,"")</f>
        <v/>
      </c>
      <c r="AB8028">
        <f>AB8027+IF(X8028="",0,IF(ISNA(MATCH(X8028,X$256:X8027,0)),1,0))</f>
        <v/>
      </c>
      <c r="AC8028">
        <f>IF(AB8028&gt;AB8027,AB8028,"")</f>
        <v/>
      </c>
    </row>
    <row r="8029">
      <c r="W8029" s="7" t="n"/>
      <c r="X8029" s="7" t="n"/>
      <c r="Z8029">
        <f>Z8028+IF(W8029="",0,IF(ISNA(MATCH(W8029,W$256:W8028,0)),1,0))</f>
        <v/>
      </c>
      <c r="AA8029">
        <f>IF(Z8029&gt;Z8028,Z8029,"")</f>
        <v/>
      </c>
      <c r="AB8029">
        <f>AB8028+IF(X8029="",0,IF(ISNA(MATCH(X8029,X$256:X8028,0)),1,0))</f>
        <v/>
      </c>
      <c r="AC8029">
        <f>IF(AB8029&gt;AB8028,AB8029,"")</f>
        <v/>
      </c>
    </row>
    <row r="8030">
      <c r="W8030" s="7" t="n"/>
      <c r="X8030" s="7" t="n"/>
      <c r="Z8030">
        <f>Z8029+IF(W8030="",0,IF(ISNA(MATCH(W8030,W$256:W8029,0)),1,0))</f>
        <v/>
      </c>
      <c r="AA8030">
        <f>IF(Z8030&gt;Z8029,Z8030,"")</f>
        <v/>
      </c>
      <c r="AB8030">
        <f>AB8029+IF(X8030="",0,IF(ISNA(MATCH(X8030,X$256:X8029,0)),1,0))</f>
        <v/>
      </c>
      <c r="AC8030">
        <f>IF(AB8030&gt;AB8029,AB8030,"")</f>
        <v/>
      </c>
    </row>
    <row r="8031">
      <c r="W8031" s="7" t="n"/>
      <c r="X8031" s="7" t="n"/>
      <c r="Z8031">
        <f>Z8030+IF(W8031="",0,IF(ISNA(MATCH(W8031,W$256:W8030,0)),1,0))</f>
        <v/>
      </c>
      <c r="AA8031">
        <f>IF(Z8031&gt;Z8030,Z8031,"")</f>
        <v/>
      </c>
      <c r="AB8031">
        <f>AB8030+IF(X8031="",0,IF(ISNA(MATCH(X8031,X$256:X8030,0)),1,0))</f>
        <v/>
      </c>
      <c r="AC8031">
        <f>IF(AB8031&gt;AB8030,AB8031,"")</f>
        <v/>
      </c>
    </row>
    <row r="8032">
      <c r="W8032" s="7" t="n"/>
      <c r="X8032" s="7" t="n"/>
      <c r="Z8032">
        <f>Z8031+IF(W8032="",0,IF(ISNA(MATCH(W8032,W$256:W8031,0)),1,0))</f>
        <v/>
      </c>
      <c r="AA8032">
        <f>IF(Z8032&gt;Z8031,Z8032,"")</f>
        <v/>
      </c>
      <c r="AB8032">
        <f>AB8031+IF(X8032="",0,IF(ISNA(MATCH(X8032,X$256:X8031,0)),1,0))</f>
        <v/>
      </c>
      <c r="AC8032">
        <f>IF(AB8032&gt;AB8031,AB8032,"")</f>
        <v/>
      </c>
    </row>
    <row r="8033">
      <c r="W8033" s="7" t="n"/>
      <c r="X8033" s="7" t="n"/>
      <c r="Z8033">
        <f>Z8032+IF(W8033="",0,IF(ISNA(MATCH(W8033,W$256:W8032,0)),1,0))</f>
        <v/>
      </c>
      <c r="AA8033">
        <f>IF(Z8033&gt;Z8032,Z8033,"")</f>
        <v/>
      </c>
      <c r="AB8033">
        <f>AB8032+IF(X8033="",0,IF(ISNA(MATCH(X8033,X$256:X8032,0)),1,0))</f>
        <v/>
      </c>
      <c r="AC8033">
        <f>IF(AB8033&gt;AB8032,AB8033,"")</f>
        <v/>
      </c>
    </row>
    <row r="8034">
      <c r="W8034" s="7" t="n"/>
      <c r="X8034" s="7" t="n"/>
      <c r="Z8034">
        <f>Z8033+IF(W8034="",0,IF(ISNA(MATCH(W8034,W$256:W8033,0)),1,0))</f>
        <v/>
      </c>
      <c r="AA8034">
        <f>IF(Z8034&gt;Z8033,Z8034,"")</f>
        <v/>
      </c>
      <c r="AB8034">
        <f>AB8033+IF(X8034="",0,IF(ISNA(MATCH(X8034,X$256:X8033,0)),1,0))</f>
        <v/>
      </c>
      <c r="AC8034">
        <f>IF(AB8034&gt;AB8033,AB8034,"")</f>
        <v/>
      </c>
    </row>
    <row r="8035">
      <c r="W8035" s="7" t="n"/>
      <c r="X8035" s="7" t="n"/>
      <c r="Z8035">
        <f>Z8034+IF(W8035="",0,IF(ISNA(MATCH(W8035,W$256:W8034,0)),1,0))</f>
        <v/>
      </c>
      <c r="AA8035">
        <f>IF(Z8035&gt;Z8034,Z8035,"")</f>
        <v/>
      </c>
      <c r="AB8035">
        <f>AB8034+IF(X8035="",0,IF(ISNA(MATCH(X8035,X$256:X8034,0)),1,0))</f>
        <v/>
      </c>
      <c r="AC8035">
        <f>IF(AB8035&gt;AB8034,AB8035,"")</f>
        <v/>
      </c>
    </row>
    <row r="8036">
      <c r="W8036" s="7" t="n"/>
      <c r="X8036" s="7" t="n"/>
      <c r="Z8036">
        <f>Z8035+IF(W8036="",0,IF(ISNA(MATCH(W8036,W$256:W8035,0)),1,0))</f>
        <v/>
      </c>
      <c r="AA8036">
        <f>IF(Z8036&gt;Z8035,Z8036,"")</f>
        <v/>
      </c>
      <c r="AB8036">
        <f>AB8035+IF(X8036="",0,IF(ISNA(MATCH(X8036,X$256:X8035,0)),1,0))</f>
        <v/>
      </c>
      <c r="AC8036">
        <f>IF(AB8036&gt;AB8035,AB8036,"")</f>
        <v/>
      </c>
    </row>
    <row r="8037">
      <c r="W8037" s="7" t="n"/>
      <c r="X8037" s="7" t="n"/>
      <c r="Z8037">
        <f>Z8036+IF(W8037="",0,IF(ISNA(MATCH(W8037,W$256:W8036,0)),1,0))</f>
        <v/>
      </c>
      <c r="AA8037">
        <f>IF(Z8037&gt;Z8036,Z8037,"")</f>
        <v/>
      </c>
      <c r="AB8037">
        <f>AB8036+IF(X8037="",0,IF(ISNA(MATCH(X8037,X$256:X8036,0)),1,0))</f>
        <v/>
      </c>
      <c r="AC8037">
        <f>IF(AB8037&gt;AB8036,AB8037,"")</f>
        <v/>
      </c>
    </row>
    <row r="8038">
      <c r="W8038" s="7" t="n"/>
      <c r="X8038" s="7" t="n"/>
      <c r="Z8038">
        <f>Z8037+IF(W8038="",0,IF(ISNA(MATCH(W8038,W$256:W8037,0)),1,0))</f>
        <v/>
      </c>
      <c r="AA8038">
        <f>IF(Z8038&gt;Z8037,Z8038,"")</f>
        <v/>
      </c>
      <c r="AB8038">
        <f>AB8037+IF(X8038="",0,IF(ISNA(MATCH(X8038,X$256:X8037,0)),1,0))</f>
        <v/>
      </c>
      <c r="AC8038">
        <f>IF(AB8038&gt;AB8037,AB8038,"")</f>
        <v/>
      </c>
    </row>
    <row r="8039">
      <c r="W8039" s="7" t="n"/>
      <c r="X8039" s="7" t="n"/>
      <c r="Z8039">
        <f>Z8038+IF(W8039="",0,IF(ISNA(MATCH(W8039,W$256:W8038,0)),1,0))</f>
        <v/>
      </c>
      <c r="AA8039">
        <f>IF(Z8039&gt;Z8038,Z8039,"")</f>
        <v/>
      </c>
      <c r="AB8039">
        <f>AB8038+IF(X8039="",0,IF(ISNA(MATCH(X8039,X$256:X8038,0)),1,0))</f>
        <v/>
      </c>
      <c r="AC8039">
        <f>IF(AB8039&gt;AB8038,AB8039,"")</f>
        <v/>
      </c>
    </row>
    <row r="8040">
      <c r="W8040" s="7" t="n"/>
      <c r="X8040" s="7" t="n"/>
      <c r="Z8040">
        <f>Z8039+IF(W8040="",0,IF(ISNA(MATCH(W8040,W$256:W8039,0)),1,0))</f>
        <v/>
      </c>
      <c r="AA8040">
        <f>IF(Z8040&gt;Z8039,Z8040,"")</f>
        <v/>
      </c>
      <c r="AB8040">
        <f>AB8039+IF(X8040="",0,IF(ISNA(MATCH(X8040,X$256:X8039,0)),1,0))</f>
        <v/>
      </c>
      <c r="AC8040">
        <f>IF(AB8040&gt;AB8039,AB8040,"")</f>
        <v/>
      </c>
    </row>
    <row r="8041">
      <c r="W8041" s="7" t="n"/>
      <c r="X8041" s="7" t="n"/>
      <c r="Z8041">
        <f>Z8040+IF(W8041="",0,IF(ISNA(MATCH(W8041,W$256:W8040,0)),1,0))</f>
        <v/>
      </c>
      <c r="AA8041">
        <f>IF(Z8041&gt;Z8040,Z8041,"")</f>
        <v/>
      </c>
      <c r="AB8041">
        <f>AB8040+IF(X8041="",0,IF(ISNA(MATCH(X8041,X$256:X8040,0)),1,0))</f>
        <v/>
      </c>
      <c r="AC8041">
        <f>IF(AB8041&gt;AB8040,AB8041,"")</f>
        <v/>
      </c>
    </row>
    <row r="8042">
      <c r="W8042" s="7" t="n"/>
      <c r="X8042" s="7" t="n"/>
      <c r="Z8042">
        <f>Z8041+IF(W8042="",0,IF(ISNA(MATCH(W8042,W$256:W8041,0)),1,0))</f>
        <v/>
      </c>
      <c r="AA8042">
        <f>IF(Z8042&gt;Z8041,Z8042,"")</f>
        <v/>
      </c>
      <c r="AB8042">
        <f>AB8041+IF(X8042="",0,IF(ISNA(MATCH(X8042,X$256:X8041,0)),1,0))</f>
        <v/>
      </c>
      <c r="AC8042">
        <f>IF(AB8042&gt;AB8041,AB8042,"")</f>
        <v/>
      </c>
    </row>
    <row r="8043">
      <c r="W8043" s="7" t="n"/>
      <c r="X8043" s="7" t="n"/>
      <c r="Z8043">
        <f>Z8042+IF(W8043="",0,IF(ISNA(MATCH(W8043,W$256:W8042,0)),1,0))</f>
        <v/>
      </c>
      <c r="AA8043">
        <f>IF(Z8043&gt;Z8042,Z8043,"")</f>
        <v/>
      </c>
      <c r="AB8043">
        <f>AB8042+IF(X8043="",0,IF(ISNA(MATCH(X8043,X$256:X8042,0)),1,0))</f>
        <v/>
      </c>
      <c r="AC8043">
        <f>IF(AB8043&gt;AB8042,AB8043,"")</f>
        <v/>
      </c>
    </row>
    <row r="8044">
      <c r="W8044" s="7" t="n"/>
      <c r="X8044" s="7" t="n"/>
      <c r="Z8044">
        <f>Z8043+IF(W8044="",0,IF(ISNA(MATCH(W8044,W$256:W8043,0)),1,0))</f>
        <v/>
      </c>
      <c r="AA8044">
        <f>IF(Z8044&gt;Z8043,Z8044,"")</f>
        <v/>
      </c>
      <c r="AB8044">
        <f>AB8043+IF(X8044="",0,IF(ISNA(MATCH(X8044,X$256:X8043,0)),1,0))</f>
        <v/>
      </c>
      <c r="AC8044">
        <f>IF(AB8044&gt;AB8043,AB8044,"")</f>
        <v/>
      </c>
    </row>
    <row r="8045">
      <c r="W8045" s="7" t="n"/>
      <c r="X8045" s="7" t="n"/>
      <c r="Z8045">
        <f>Z8044+IF(W8045="",0,IF(ISNA(MATCH(W8045,W$256:W8044,0)),1,0))</f>
        <v/>
      </c>
      <c r="AA8045">
        <f>IF(Z8045&gt;Z8044,Z8045,"")</f>
        <v/>
      </c>
      <c r="AB8045">
        <f>AB8044+IF(X8045="",0,IF(ISNA(MATCH(X8045,X$256:X8044,0)),1,0))</f>
        <v/>
      </c>
      <c r="AC8045">
        <f>IF(AB8045&gt;AB8044,AB8045,"")</f>
        <v/>
      </c>
    </row>
    <row r="8046">
      <c r="W8046" s="7" t="n"/>
      <c r="X8046" s="7" t="n"/>
      <c r="Z8046">
        <f>Z8045+IF(W8046="",0,IF(ISNA(MATCH(W8046,W$256:W8045,0)),1,0))</f>
        <v/>
      </c>
      <c r="AA8046">
        <f>IF(Z8046&gt;Z8045,Z8046,"")</f>
        <v/>
      </c>
      <c r="AB8046">
        <f>AB8045+IF(X8046="",0,IF(ISNA(MATCH(X8046,X$256:X8045,0)),1,0))</f>
        <v/>
      </c>
      <c r="AC8046">
        <f>IF(AB8046&gt;AB8045,AB8046,"")</f>
        <v/>
      </c>
    </row>
    <row r="8047">
      <c r="W8047" s="7" t="n"/>
      <c r="X8047" s="7" t="n"/>
      <c r="Z8047">
        <f>Z8046+IF(W8047="",0,IF(ISNA(MATCH(W8047,W$256:W8046,0)),1,0))</f>
        <v/>
      </c>
      <c r="AA8047">
        <f>IF(Z8047&gt;Z8046,Z8047,"")</f>
        <v/>
      </c>
      <c r="AB8047">
        <f>AB8046+IF(X8047="",0,IF(ISNA(MATCH(X8047,X$256:X8046,0)),1,0))</f>
        <v/>
      </c>
      <c r="AC8047">
        <f>IF(AB8047&gt;AB8046,AB8047,"")</f>
        <v/>
      </c>
    </row>
    <row r="8048">
      <c r="W8048" s="7" t="n"/>
      <c r="X8048" s="7" t="n"/>
      <c r="Z8048">
        <f>Z8047+IF(W8048="",0,IF(ISNA(MATCH(W8048,W$256:W8047,0)),1,0))</f>
        <v/>
      </c>
      <c r="AA8048">
        <f>IF(Z8048&gt;Z8047,Z8048,"")</f>
        <v/>
      </c>
      <c r="AB8048">
        <f>AB8047+IF(X8048="",0,IF(ISNA(MATCH(X8048,X$256:X8047,0)),1,0))</f>
        <v/>
      </c>
      <c r="AC8048">
        <f>IF(AB8048&gt;AB8047,AB8048,"")</f>
        <v/>
      </c>
    </row>
    <row r="8049">
      <c r="W8049" s="7" t="n"/>
      <c r="X8049" s="7" t="n"/>
      <c r="Z8049">
        <f>Z8048+IF(W8049="",0,IF(ISNA(MATCH(W8049,W$256:W8048,0)),1,0))</f>
        <v/>
      </c>
      <c r="AA8049">
        <f>IF(Z8049&gt;Z8048,Z8049,"")</f>
        <v/>
      </c>
      <c r="AB8049">
        <f>AB8048+IF(X8049="",0,IF(ISNA(MATCH(X8049,X$256:X8048,0)),1,0))</f>
        <v/>
      </c>
      <c r="AC8049">
        <f>IF(AB8049&gt;AB8048,AB8049,"")</f>
        <v/>
      </c>
    </row>
    <row r="8050">
      <c r="W8050" s="7" t="n"/>
      <c r="X8050" s="7" t="n"/>
      <c r="Z8050">
        <f>Z8049+IF(W8050="",0,IF(ISNA(MATCH(W8050,W$256:W8049,0)),1,0))</f>
        <v/>
      </c>
      <c r="AA8050">
        <f>IF(Z8050&gt;Z8049,Z8050,"")</f>
        <v/>
      </c>
      <c r="AB8050">
        <f>AB8049+IF(X8050="",0,IF(ISNA(MATCH(X8050,X$256:X8049,0)),1,0))</f>
        <v/>
      </c>
      <c r="AC8050">
        <f>IF(AB8050&gt;AB8049,AB8050,"")</f>
        <v/>
      </c>
    </row>
    <row r="8051">
      <c r="W8051" s="7" t="n"/>
      <c r="X8051" s="7" t="n"/>
      <c r="Z8051">
        <f>Z8050+IF(W8051="",0,IF(ISNA(MATCH(W8051,W$256:W8050,0)),1,0))</f>
        <v/>
      </c>
      <c r="AA8051">
        <f>IF(Z8051&gt;Z8050,Z8051,"")</f>
        <v/>
      </c>
      <c r="AB8051">
        <f>AB8050+IF(X8051="",0,IF(ISNA(MATCH(X8051,X$256:X8050,0)),1,0))</f>
        <v/>
      </c>
      <c r="AC8051">
        <f>IF(AB8051&gt;AB8050,AB8051,"")</f>
        <v/>
      </c>
    </row>
    <row r="8052">
      <c r="W8052" s="7" t="n"/>
      <c r="X8052" s="7" t="n"/>
      <c r="Z8052">
        <f>Z8051+IF(W8052="",0,IF(ISNA(MATCH(W8052,W$256:W8051,0)),1,0))</f>
        <v/>
      </c>
      <c r="AA8052">
        <f>IF(Z8052&gt;Z8051,Z8052,"")</f>
        <v/>
      </c>
      <c r="AB8052">
        <f>AB8051+IF(X8052="",0,IF(ISNA(MATCH(X8052,X$256:X8051,0)),1,0))</f>
        <v/>
      </c>
      <c r="AC8052">
        <f>IF(AB8052&gt;AB8051,AB8052,"")</f>
        <v/>
      </c>
    </row>
    <row r="8053">
      <c r="W8053" s="7" t="n"/>
      <c r="X8053" s="7" t="n"/>
      <c r="Z8053">
        <f>Z8052+IF(W8053="",0,IF(ISNA(MATCH(W8053,W$256:W8052,0)),1,0))</f>
        <v/>
      </c>
      <c r="AA8053">
        <f>IF(Z8053&gt;Z8052,Z8053,"")</f>
        <v/>
      </c>
      <c r="AB8053">
        <f>AB8052+IF(X8053="",0,IF(ISNA(MATCH(X8053,X$256:X8052,0)),1,0))</f>
        <v/>
      </c>
      <c r="AC8053">
        <f>IF(AB8053&gt;AB8052,AB8053,"")</f>
        <v/>
      </c>
    </row>
    <row r="8054">
      <c r="W8054" s="7" t="n"/>
      <c r="X8054" s="7" t="n"/>
      <c r="Z8054">
        <f>Z8053+IF(W8054="",0,IF(ISNA(MATCH(W8054,W$256:W8053,0)),1,0))</f>
        <v/>
      </c>
      <c r="AA8054">
        <f>IF(Z8054&gt;Z8053,Z8054,"")</f>
        <v/>
      </c>
      <c r="AB8054">
        <f>AB8053+IF(X8054="",0,IF(ISNA(MATCH(X8054,X$256:X8053,0)),1,0))</f>
        <v/>
      </c>
      <c r="AC8054">
        <f>IF(AB8054&gt;AB8053,AB8054,"")</f>
        <v/>
      </c>
    </row>
    <row r="8055">
      <c r="W8055" s="7" t="n"/>
      <c r="X8055" s="7" t="n"/>
      <c r="Z8055">
        <f>Z8054+IF(W8055="",0,IF(ISNA(MATCH(W8055,W$256:W8054,0)),1,0))</f>
        <v/>
      </c>
      <c r="AA8055">
        <f>IF(Z8055&gt;Z8054,Z8055,"")</f>
        <v/>
      </c>
      <c r="AB8055">
        <f>AB8054+IF(X8055="",0,IF(ISNA(MATCH(X8055,X$256:X8054,0)),1,0))</f>
        <v/>
      </c>
      <c r="AC8055">
        <f>IF(AB8055&gt;AB8054,AB8055,"")</f>
        <v/>
      </c>
    </row>
    <row r="8056">
      <c r="W8056" s="7" t="n"/>
      <c r="X8056" s="7" t="n"/>
      <c r="Z8056">
        <f>Z8055+IF(W8056="",0,IF(ISNA(MATCH(W8056,W$256:W8055,0)),1,0))</f>
        <v/>
      </c>
      <c r="AA8056">
        <f>IF(Z8056&gt;Z8055,Z8056,"")</f>
        <v/>
      </c>
      <c r="AB8056">
        <f>AB8055+IF(X8056="",0,IF(ISNA(MATCH(X8056,X$256:X8055,0)),1,0))</f>
        <v/>
      </c>
      <c r="AC8056">
        <f>IF(AB8056&gt;AB8055,AB8056,"")</f>
        <v/>
      </c>
    </row>
    <row r="8057">
      <c r="W8057" s="7" t="n"/>
      <c r="X8057" s="7" t="n"/>
      <c r="Z8057">
        <f>Z8056+IF(W8057="",0,IF(ISNA(MATCH(W8057,W$256:W8056,0)),1,0))</f>
        <v/>
      </c>
      <c r="AA8057">
        <f>IF(Z8057&gt;Z8056,Z8057,"")</f>
        <v/>
      </c>
      <c r="AB8057">
        <f>AB8056+IF(X8057="",0,IF(ISNA(MATCH(X8057,X$256:X8056,0)),1,0))</f>
        <v/>
      </c>
      <c r="AC8057">
        <f>IF(AB8057&gt;AB8056,AB8057,"")</f>
        <v/>
      </c>
    </row>
    <row r="8058">
      <c r="W8058" s="7" t="n"/>
      <c r="X8058" s="7" t="n"/>
      <c r="Z8058">
        <f>Z8057+IF(W8058="",0,IF(ISNA(MATCH(W8058,W$256:W8057,0)),1,0))</f>
        <v/>
      </c>
      <c r="AA8058">
        <f>IF(Z8058&gt;Z8057,Z8058,"")</f>
        <v/>
      </c>
      <c r="AB8058">
        <f>AB8057+IF(X8058="",0,IF(ISNA(MATCH(X8058,X$256:X8057,0)),1,0))</f>
        <v/>
      </c>
      <c r="AC8058">
        <f>IF(AB8058&gt;AB8057,AB8058,"")</f>
        <v/>
      </c>
    </row>
    <row r="8059">
      <c r="W8059" s="7" t="n"/>
      <c r="X8059" s="7" t="n"/>
      <c r="Z8059">
        <f>Z8058+IF(W8059="",0,IF(ISNA(MATCH(W8059,W$256:W8058,0)),1,0))</f>
        <v/>
      </c>
      <c r="AA8059">
        <f>IF(Z8059&gt;Z8058,Z8059,"")</f>
        <v/>
      </c>
      <c r="AB8059">
        <f>AB8058+IF(X8059="",0,IF(ISNA(MATCH(X8059,X$256:X8058,0)),1,0))</f>
        <v/>
      </c>
      <c r="AC8059">
        <f>IF(AB8059&gt;AB8058,AB8059,"")</f>
        <v/>
      </c>
    </row>
    <row r="8060">
      <c r="W8060" s="7" t="n"/>
      <c r="X8060" s="7" t="n"/>
      <c r="Z8060">
        <f>Z8059+IF(W8060="",0,IF(ISNA(MATCH(W8060,W$256:W8059,0)),1,0))</f>
        <v/>
      </c>
      <c r="AA8060">
        <f>IF(Z8060&gt;Z8059,Z8060,"")</f>
        <v/>
      </c>
      <c r="AB8060">
        <f>AB8059+IF(X8060="",0,IF(ISNA(MATCH(X8060,X$256:X8059,0)),1,0))</f>
        <v/>
      </c>
      <c r="AC8060">
        <f>IF(AB8060&gt;AB8059,AB8060,"")</f>
        <v/>
      </c>
    </row>
    <row r="8061">
      <c r="W8061" s="7" t="n"/>
      <c r="X8061" s="7" t="n"/>
      <c r="Z8061">
        <f>Z8060+IF(W8061="",0,IF(ISNA(MATCH(W8061,W$256:W8060,0)),1,0))</f>
        <v/>
      </c>
      <c r="AA8061">
        <f>IF(Z8061&gt;Z8060,Z8061,"")</f>
        <v/>
      </c>
      <c r="AB8061">
        <f>AB8060+IF(X8061="",0,IF(ISNA(MATCH(X8061,X$256:X8060,0)),1,0))</f>
        <v/>
      </c>
      <c r="AC8061">
        <f>IF(AB8061&gt;AB8060,AB8061,"")</f>
        <v/>
      </c>
    </row>
    <row r="8062">
      <c r="W8062" s="7" t="n"/>
      <c r="X8062" s="7" t="n"/>
      <c r="Z8062">
        <f>Z8061+IF(W8062="",0,IF(ISNA(MATCH(W8062,W$256:W8061,0)),1,0))</f>
        <v/>
      </c>
      <c r="AA8062">
        <f>IF(Z8062&gt;Z8061,Z8062,"")</f>
        <v/>
      </c>
      <c r="AB8062">
        <f>AB8061+IF(X8062="",0,IF(ISNA(MATCH(X8062,X$256:X8061,0)),1,0))</f>
        <v/>
      </c>
      <c r="AC8062">
        <f>IF(AB8062&gt;AB8061,AB8062,"")</f>
        <v/>
      </c>
    </row>
    <row r="8063">
      <c r="W8063" s="7" t="n"/>
      <c r="X8063" s="7" t="n"/>
      <c r="Z8063">
        <f>Z8062+IF(W8063="",0,IF(ISNA(MATCH(W8063,W$256:W8062,0)),1,0))</f>
        <v/>
      </c>
      <c r="AA8063">
        <f>IF(Z8063&gt;Z8062,Z8063,"")</f>
        <v/>
      </c>
      <c r="AB8063">
        <f>AB8062+IF(X8063="",0,IF(ISNA(MATCH(X8063,X$256:X8062,0)),1,0))</f>
        <v/>
      </c>
      <c r="AC8063">
        <f>IF(AB8063&gt;AB8062,AB8063,"")</f>
        <v/>
      </c>
    </row>
    <row r="8064">
      <c r="W8064" s="7" t="n"/>
      <c r="X8064" s="7" t="n"/>
      <c r="Z8064">
        <f>Z8063+IF(W8064="",0,IF(ISNA(MATCH(W8064,W$256:W8063,0)),1,0))</f>
        <v/>
      </c>
      <c r="AA8064">
        <f>IF(Z8064&gt;Z8063,Z8064,"")</f>
        <v/>
      </c>
      <c r="AB8064">
        <f>AB8063+IF(X8064="",0,IF(ISNA(MATCH(X8064,X$256:X8063,0)),1,0))</f>
        <v/>
      </c>
      <c r="AC8064">
        <f>IF(AB8064&gt;AB8063,AB8064,"")</f>
        <v/>
      </c>
    </row>
    <row r="8065">
      <c r="W8065" s="7" t="n"/>
      <c r="X8065" s="7" t="n"/>
      <c r="Z8065">
        <f>Z8064+IF(W8065="",0,IF(ISNA(MATCH(W8065,W$256:W8064,0)),1,0))</f>
        <v/>
      </c>
      <c r="AA8065">
        <f>IF(Z8065&gt;Z8064,Z8065,"")</f>
        <v/>
      </c>
      <c r="AB8065">
        <f>AB8064+IF(X8065="",0,IF(ISNA(MATCH(X8065,X$256:X8064,0)),1,0))</f>
        <v/>
      </c>
      <c r="AC8065">
        <f>IF(AB8065&gt;AB8064,AB8065,"")</f>
        <v/>
      </c>
    </row>
    <row r="8066">
      <c r="W8066" s="7" t="n"/>
      <c r="X8066" s="7" t="n"/>
      <c r="Z8066">
        <f>Z8065+IF(W8066="",0,IF(ISNA(MATCH(W8066,W$256:W8065,0)),1,0))</f>
        <v/>
      </c>
      <c r="AA8066">
        <f>IF(Z8066&gt;Z8065,Z8066,"")</f>
        <v/>
      </c>
      <c r="AB8066">
        <f>AB8065+IF(X8066="",0,IF(ISNA(MATCH(X8066,X$256:X8065,0)),1,0))</f>
        <v/>
      </c>
      <c r="AC8066">
        <f>IF(AB8066&gt;AB8065,AB8066,"")</f>
        <v/>
      </c>
    </row>
    <row r="8067">
      <c r="W8067" s="7" t="n"/>
      <c r="X8067" s="7" t="n"/>
      <c r="Z8067">
        <f>Z8066+IF(W8067="",0,IF(ISNA(MATCH(W8067,W$256:W8066,0)),1,0))</f>
        <v/>
      </c>
      <c r="AA8067">
        <f>IF(Z8067&gt;Z8066,Z8067,"")</f>
        <v/>
      </c>
      <c r="AB8067">
        <f>AB8066+IF(X8067="",0,IF(ISNA(MATCH(X8067,X$256:X8066,0)),1,0))</f>
        <v/>
      </c>
      <c r="AC8067">
        <f>IF(AB8067&gt;AB8066,AB8067,"")</f>
        <v/>
      </c>
    </row>
    <row r="8068">
      <c r="W8068" s="7" t="n"/>
      <c r="X8068" s="7" t="n"/>
      <c r="Z8068">
        <f>Z8067+IF(W8068="",0,IF(ISNA(MATCH(W8068,W$256:W8067,0)),1,0))</f>
        <v/>
      </c>
      <c r="AA8068">
        <f>IF(Z8068&gt;Z8067,Z8068,"")</f>
        <v/>
      </c>
      <c r="AB8068">
        <f>AB8067+IF(X8068="",0,IF(ISNA(MATCH(X8068,X$256:X8067,0)),1,0))</f>
        <v/>
      </c>
      <c r="AC8068">
        <f>IF(AB8068&gt;AB8067,AB8068,"")</f>
        <v/>
      </c>
    </row>
    <row r="8069">
      <c r="W8069" s="7" t="n"/>
      <c r="X8069" s="7" t="n"/>
      <c r="Z8069">
        <f>Z8068+IF(W8069="",0,IF(ISNA(MATCH(W8069,W$256:W8068,0)),1,0))</f>
        <v/>
      </c>
      <c r="AA8069">
        <f>IF(Z8069&gt;Z8068,Z8069,"")</f>
        <v/>
      </c>
      <c r="AB8069">
        <f>AB8068+IF(X8069="",0,IF(ISNA(MATCH(X8069,X$256:X8068,0)),1,0))</f>
        <v/>
      </c>
      <c r="AC8069">
        <f>IF(AB8069&gt;AB8068,AB8069,"")</f>
        <v/>
      </c>
    </row>
    <row r="8070">
      <c r="W8070" s="7" t="n"/>
      <c r="X8070" s="7" t="n"/>
      <c r="Z8070">
        <f>Z8069+IF(W8070="",0,IF(ISNA(MATCH(W8070,W$256:W8069,0)),1,0))</f>
        <v/>
      </c>
      <c r="AA8070">
        <f>IF(Z8070&gt;Z8069,Z8070,"")</f>
        <v/>
      </c>
      <c r="AB8070">
        <f>AB8069+IF(X8070="",0,IF(ISNA(MATCH(X8070,X$256:X8069,0)),1,0))</f>
        <v/>
      </c>
      <c r="AC8070">
        <f>IF(AB8070&gt;AB8069,AB8070,"")</f>
        <v/>
      </c>
    </row>
    <row r="8071">
      <c r="W8071" s="7" t="n"/>
      <c r="X8071" s="7" t="n"/>
      <c r="Z8071">
        <f>Z8070+IF(W8071="",0,IF(ISNA(MATCH(W8071,W$256:W8070,0)),1,0))</f>
        <v/>
      </c>
      <c r="AA8071">
        <f>IF(Z8071&gt;Z8070,Z8071,"")</f>
        <v/>
      </c>
      <c r="AB8071">
        <f>AB8070+IF(X8071="",0,IF(ISNA(MATCH(X8071,X$256:X8070,0)),1,0))</f>
        <v/>
      </c>
      <c r="AC8071">
        <f>IF(AB8071&gt;AB8070,AB8071,"")</f>
        <v/>
      </c>
    </row>
    <row r="8072">
      <c r="W8072" s="7" t="n"/>
      <c r="X8072" s="7" t="n"/>
      <c r="Z8072">
        <f>Z8071+IF(W8072="",0,IF(ISNA(MATCH(W8072,W$256:W8071,0)),1,0))</f>
        <v/>
      </c>
      <c r="AA8072">
        <f>IF(Z8072&gt;Z8071,Z8072,"")</f>
        <v/>
      </c>
      <c r="AB8072">
        <f>AB8071+IF(X8072="",0,IF(ISNA(MATCH(X8072,X$256:X8071,0)),1,0))</f>
        <v/>
      </c>
      <c r="AC8072">
        <f>IF(AB8072&gt;AB8071,AB8072,"")</f>
        <v/>
      </c>
    </row>
    <row r="8073">
      <c r="W8073" s="7" t="n"/>
      <c r="X8073" s="7" t="n"/>
      <c r="Z8073">
        <f>Z8072+IF(W8073="",0,IF(ISNA(MATCH(W8073,W$256:W8072,0)),1,0))</f>
        <v/>
      </c>
      <c r="AA8073">
        <f>IF(Z8073&gt;Z8072,Z8073,"")</f>
        <v/>
      </c>
      <c r="AB8073">
        <f>AB8072+IF(X8073="",0,IF(ISNA(MATCH(X8073,X$256:X8072,0)),1,0))</f>
        <v/>
      </c>
      <c r="AC8073">
        <f>IF(AB8073&gt;AB8072,AB8073,"")</f>
        <v/>
      </c>
    </row>
    <row r="8074">
      <c r="W8074" s="7" t="n"/>
      <c r="X8074" s="7" t="n"/>
      <c r="Z8074">
        <f>Z8073+IF(W8074="",0,IF(ISNA(MATCH(W8074,W$256:W8073,0)),1,0))</f>
        <v/>
      </c>
      <c r="AA8074">
        <f>IF(Z8074&gt;Z8073,Z8074,"")</f>
        <v/>
      </c>
      <c r="AB8074">
        <f>AB8073+IF(X8074="",0,IF(ISNA(MATCH(X8074,X$256:X8073,0)),1,0))</f>
        <v/>
      </c>
      <c r="AC8074">
        <f>IF(AB8074&gt;AB8073,AB8074,"")</f>
        <v/>
      </c>
    </row>
    <row r="8075">
      <c r="W8075" s="7" t="n"/>
      <c r="X8075" s="7" t="n"/>
      <c r="Z8075">
        <f>Z8074+IF(W8075="",0,IF(ISNA(MATCH(W8075,W$256:W8074,0)),1,0))</f>
        <v/>
      </c>
      <c r="AA8075">
        <f>IF(Z8075&gt;Z8074,Z8075,"")</f>
        <v/>
      </c>
      <c r="AB8075">
        <f>AB8074+IF(X8075="",0,IF(ISNA(MATCH(X8075,X$256:X8074,0)),1,0))</f>
        <v/>
      </c>
      <c r="AC8075">
        <f>IF(AB8075&gt;AB8074,AB8075,"")</f>
        <v/>
      </c>
    </row>
    <row r="8076">
      <c r="W8076" s="7" t="n"/>
      <c r="X8076" s="7" t="n"/>
      <c r="Z8076">
        <f>Z8075+IF(W8076="",0,IF(ISNA(MATCH(W8076,W$256:W8075,0)),1,0))</f>
        <v/>
      </c>
      <c r="AA8076">
        <f>IF(Z8076&gt;Z8075,Z8076,"")</f>
        <v/>
      </c>
      <c r="AB8076">
        <f>AB8075+IF(X8076="",0,IF(ISNA(MATCH(X8076,X$256:X8075,0)),1,0))</f>
        <v/>
      </c>
      <c r="AC8076">
        <f>IF(AB8076&gt;AB8075,AB8076,"")</f>
        <v/>
      </c>
    </row>
    <row r="8077">
      <c r="W8077" s="7" t="n"/>
      <c r="X8077" s="7" t="n"/>
      <c r="Z8077">
        <f>Z8076+IF(W8077="",0,IF(ISNA(MATCH(W8077,W$256:W8076,0)),1,0))</f>
        <v/>
      </c>
      <c r="AA8077">
        <f>IF(Z8077&gt;Z8076,Z8077,"")</f>
        <v/>
      </c>
      <c r="AB8077">
        <f>AB8076+IF(X8077="",0,IF(ISNA(MATCH(X8077,X$256:X8076,0)),1,0))</f>
        <v/>
      </c>
      <c r="AC8077">
        <f>IF(AB8077&gt;AB8076,AB8077,"")</f>
        <v/>
      </c>
    </row>
    <row r="8078">
      <c r="W8078" s="7" t="n"/>
      <c r="X8078" s="7" t="n"/>
      <c r="Z8078">
        <f>Z8077+IF(W8078="",0,IF(ISNA(MATCH(W8078,W$256:W8077,0)),1,0))</f>
        <v/>
      </c>
      <c r="AA8078">
        <f>IF(Z8078&gt;Z8077,Z8078,"")</f>
        <v/>
      </c>
      <c r="AB8078">
        <f>AB8077+IF(X8078="",0,IF(ISNA(MATCH(X8078,X$256:X8077,0)),1,0))</f>
        <v/>
      </c>
      <c r="AC8078">
        <f>IF(AB8078&gt;AB8077,AB8078,"")</f>
        <v/>
      </c>
    </row>
    <row r="8079">
      <c r="W8079" s="7" t="n"/>
      <c r="X8079" s="7" t="n"/>
      <c r="Z8079">
        <f>Z8078+IF(W8079="",0,IF(ISNA(MATCH(W8079,W$256:W8078,0)),1,0))</f>
        <v/>
      </c>
      <c r="AA8079">
        <f>IF(Z8079&gt;Z8078,Z8079,"")</f>
        <v/>
      </c>
      <c r="AB8079">
        <f>AB8078+IF(X8079="",0,IF(ISNA(MATCH(X8079,X$256:X8078,0)),1,0))</f>
        <v/>
      </c>
      <c r="AC8079">
        <f>IF(AB8079&gt;AB8078,AB8079,"")</f>
        <v/>
      </c>
    </row>
    <row r="8080">
      <c r="W8080" s="7" t="n"/>
      <c r="X8080" s="7" t="n"/>
      <c r="Z8080">
        <f>Z8079+IF(W8080="",0,IF(ISNA(MATCH(W8080,W$256:W8079,0)),1,0))</f>
        <v/>
      </c>
      <c r="AA8080">
        <f>IF(Z8080&gt;Z8079,Z8080,"")</f>
        <v/>
      </c>
      <c r="AB8080">
        <f>AB8079+IF(X8080="",0,IF(ISNA(MATCH(X8080,X$256:X8079,0)),1,0))</f>
        <v/>
      </c>
      <c r="AC8080">
        <f>IF(AB8080&gt;AB8079,AB8080,"")</f>
        <v/>
      </c>
    </row>
    <row r="8081">
      <c r="W8081" s="7" t="n"/>
      <c r="X8081" s="7" t="n"/>
      <c r="Z8081">
        <f>Z8080+IF(W8081="",0,IF(ISNA(MATCH(W8081,W$256:W8080,0)),1,0))</f>
        <v/>
      </c>
      <c r="AA8081">
        <f>IF(Z8081&gt;Z8080,Z8081,"")</f>
        <v/>
      </c>
      <c r="AB8081">
        <f>AB8080+IF(X8081="",0,IF(ISNA(MATCH(X8081,X$256:X8080,0)),1,0))</f>
        <v/>
      </c>
      <c r="AC8081">
        <f>IF(AB8081&gt;AB8080,AB8081,"")</f>
        <v/>
      </c>
    </row>
    <row r="8082">
      <c r="W8082" s="7" t="n"/>
      <c r="X8082" s="7" t="n"/>
      <c r="Z8082">
        <f>Z8081+IF(W8082="",0,IF(ISNA(MATCH(W8082,W$256:W8081,0)),1,0))</f>
        <v/>
      </c>
      <c r="AA8082">
        <f>IF(Z8082&gt;Z8081,Z8082,"")</f>
        <v/>
      </c>
      <c r="AB8082">
        <f>AB8081+IF(X8082="",0,IF(ISNA(MATCH(X8082,X$256:X8081,0)),1,0))</f>
        <v/>
      </c>
      <c r="AC8082">
        <f>IF(AB8082&gt;AB8081,AB8082,"")</f>
        <v/>
      </c>
    </row>
    <row r="8083">
      <c r="W8083" s="7" t="n"/>
      <c r="X8083" s="7" t="n"/>
      <c r="Z8083">
        <f>Z8082+IF(W8083="",0,IF(ISNA(MATCH(W8083,W$256:W8082,0)),1,0))</f>
        <v/>
      </c>
      <c r="AA8083">
        <f>IF(Z8083&gt;Z8082,Z8083,"")</f>
        <v/>
      </c>
      <c r="AB8083">
        <f>AB8082+IF(X8083="",0,IF(ISNA(MATCH(X8083,X$256:X8082,0)),1,0))</f>
        <v/>
      </c>
      <c r="AC8083">
        <f>IF(AB8083&gt;AB8082,AB8083,"")</f>
        <v/>
      </c>
    </row>
    <row r="8084">
      <c r="W8084" s="7" t="n"/>
      <c r="X8084" s="7" t="n"/>
      <c r="Z8084">
        <f>Z8083+IF(W8084="",0,IF(ISNA(MATCH(W8084,W$256:W8083,0)),1,0))</f>
        <v/>
      </c>
      <c r="AA8084">
        <f>IF(Z8084&gt;Z8083,Z8084,"")</f>
        <v/>
      </c>
      <c r="AB8084">
        <f>AB8083+IF(X8084="",0,IF(ISNA(MATCH(X8084,X$256:X8083,0)),1,0))</f>
        <v/>
      </c>
      <c r="AC8084">
        <f>IF(AB8084&gt;AB8083,AB8084,"")</f>
        <v/>
      </c>
    </row>
    <row r="8085">
      <c r="W8085" s="7" t="n"/>
      <c r="X8085" s="7" t="n"/>
      <c r="Z8085">
        <f>Z8084+IF(W8085="",0,IF(ISNA(MATCH(W8085,W$256:W8084,0)),1,0))</f>
        <v/>
      </c>
      <c r="AA8085">
        <f>IF(Z8085&gt;Z8084,Z8085,"")</f>
        <v/>
      </c>
      <c r="AB8085">
        <f>AB8084+IF(X8085="",0,IF(ISNA(MATCH(X8085,X$256:X8084,0)),1,0))</f>
        <v/>
      </c>
      <c r="AC8085">
        <f>IF(AB8085&gt;AB8084,AB8085,"")</f>
        <v/>
      </c>
    </row>
    <row r="8086">
      <c r="W8086" s="7" t="n"/>
      <c r="X8086" s="7" t="n"/>
      <c r="Z8086">
        <f>Z8085+IF(W8086="",0,IF(ISNA(MATCH(W8086,W$256:W8085,0)),1,0))</f>
        <v/>
      </c>
      <c r="AA8086">
        <f>IF(Z8086&gt;Z8085,Z8086,"")</f>
        <v/>
      </c>
      <c r="AB8086">
        <f>AB8085+IF(X8086="",0,IF(ISNA(MATCH(X8086,X$256:X8085,0)),1,0))</f>
        <v/>
      </c>
      <c r="AC8086">
        <f>IF(AB8086&gt;AB8085,AB8086,"")</f>
        <v/>
      </c>
    </row>
    <row r="8087">
      <c r="W8087" s="7" t="n"/>
      <c r="X8087" s="7" t="n"/>
      <c r="Z8087">
        <f>Z8086+IF(W8087="",0,IF(ISNA(MATCH(W8087,W$256:W8086,0)),1,0))</f>
        <v/>
      </c>
      <c r="AA8087">
        <f>IF(Z8087&gt;Z8086,Z8087,"")</f>
        <v/>
      </c>
      <c r="AB8087">
        <f>AB8086+IF(X8087="",0,IF(ISNA(MATCH(X8087,X$256:X8086,0)),1,0))</f>
        <v/>
      </c>
      <c r="AC8087">
        <f>IF(AB8087&gt;AB8086,AB8087,"")</f>
        <v/>
      </c>
    </row>
    <row r="8088">
      <c r="W8088" s="7" t="n"/>
      <c r="X8088" s="7" t="n"/>
      <c r="Z8088">
        <f>Z8087+IF(W8088="",0,IF(ISNA(MATCH(W8088,W$256:W8087,0)),1,0))</f>
        <v/>
      </c>
      <c r="AA8088">
        <f>IF(Z8088&gt;Z8087,Z8088,"")</f>
        <v/>
      </c>
      <c r="AB8088">
        <f>AB8087+IF(X8088="",0,IF(ISNA(MATCH(X8088,X$256:X8087,0)),1,0))</f>
        <v/>
      </c>
      <c r="AC8088">
        <f>IF(AB8088&gt;AB8087,AB8088,"")</f>
        <v/>
      </c>
    </row>
    <row r="8089">
      <c r="W8089" s="7" t="n"/>
      <c r="X8089" s="7" t="n"/>
      <c r="Z8089">
        <f>Z8088+IF(W8089="",0,IF(ISNA(MATCH(W8089,W$256:W8088,0)),1,0))</f>
        <v/>
      </c>
      <c r="AA8089">
        <f>IF(Z8089&gt;Z8088,Z8089,"")</f>
        <v/>
      </c>
      <c r="AB8089">
        <f>AB8088+IF(X8089="",0,IF(ISNA(MATCH(X8089,X$256:X8088,0)),1,0))</f>
        <v/>
      </c>
      <c r="AC8089">
        <f>IF(AB8089&gt;AB8088,AB8089,"")</f>
        <v/>
      </c>
    </row>
    <row r="8090">
      <c r="W8090" s="7" t="n"/>
      <c r="X8090" s="7" t="n"/>
      <c r="Z8090">
        <f>Z8089+IF(W8090="",0,IF(ISNA(MATCH(W8090,W$256:W8089,0)),1,0))</f>
        <v/>
      </c>
      <c r="AA8090">
        <f>IF(Z8090&gt;Z8089,Z8090,"")</f>
        <v/>
      </c>
      <c r="AB8090">
        <f>AB8089+IF(X8090="",0,IF(ISNA(MATCH(X8090,X$256:X8089,0)),1,0))</f>
        <v/>
      </c>
      <c r="AC8090">
        <f>IF(AB8090&gt;AB8089,AB8090,"")</f>
        <v/>
      </c>
    </row>
    <row r="8091">
      <c r="W8091" s="7" t="n"/>
      <c r="X8091" s="7" t="n"/>
      <c r="Z8091">
        <f>Z8090+IF(W8091="",0,IF(ISNA(MATCH(W8091,W$256:W8090,0)),1,0))</f>
        <v/>
      </c>
      <c r="AA8091">
        <f>IF(Z8091&gt;Z8090,Z8091,"")</f>
        <v/>
      </c>
      <c r="AB8091">
        <f>AB8090+IF(X8091="",0,IF(ISNA(MATCH(X8091,X$256:X8090,0)),1,0))</f>
        <v/>
      </c>
      <c r="AC8091">
        <f>IF(AB8091&gt;AB8090,AB8091,"")</f>
        <v/>
      </c>
    </row>
    <row r="8092">
      <c r="W8092" s="7" t="n"/>
      <c r="X8092" s="7" t="n"/>
      <c r="Z8092">
        <f>Z8091+IF(W8092="",0,IF(ISNA(MATCH(W8092,W$256:W8091,0)),1,0))</f>
        <v/>
      </c>
      <c r="AA8092">
        <f>IF(Z8092&gt;Z8091,Z8092,"")</f>
        <v/>
      </c>
      <c r="AB8092">
        <f>AB8091+IF(X8092="",0,IF(ISNA(MATCH(X8092,X$256:X8091,0)),1,0))</f>
        <v/>
      </c>
      <c r="AC8092">
        <f>IF(AB8092&gt;AB8091,AB8092,"")</f>
        <v/>
      </c>
    </row>
    <row r="8093">
      <c r="W8093" s="7" t="n"/>
      <c r="X8093" s="7" t="n"/>
      <c r="Z8093">
        <f>Z8092+IF(W8093="",0,IF(ISNA(MATCH(W8093,W$256:W8092,0)),1,0))</f>
        <v/>
      </c>
      <c r="AA8093">
        <f>IF(Z8093&gt;Z8092,Z8093,"")</f>
        <v/>
      </c>
      <c r="AB8093">
        <f>AB8092+IF(X8093="",0,IF(ISNA(MATCH(X8093,X$256:X8092,0)),1,0))</f>
        <v/>
      </c>
      <c r="AC8093">
        <f>IF(AB8093&gt;AB8092,AB8093,"")</f>
        <v/>
      </c>
    </row>
    <row r="8094">
      <c r="W8094" s="7" t="n"/>
      <c r="X8094" s="7" t="n"/>
      <c r="Z8094">
        <f>Z8093+IF(W8094="",0,IF(ISNA(MATCH(W8094,W$256:W8093,0)),1,0))</f>
        <v/>
      </c>
      <c r="AA8094">
        <f>IF(Z8094&gt;Z8093,Z8094,"")</f>
        <v/>
      </c>
      <c r="AB8094">
        <f>AB8093+IF(X8094="",0,IF(ISNA(MATCH(X8094,X$256:X8093,0)),1,0))</f>
        <v/>
      </c>
      <c r="AC8094">
        <f>IF(AB8094&gt;AB8093,AB8094,"")</f>
        <v/>
      </c>
    </row>
    <row r="8095">
      <c r="W8095" s="7" t="n"/>
      <c r="X8095" s="7" t="n"/>
      <c r="Z8095">
        <f>Z8094+IF(W8095="",0,IF(ISNA(MATCH(W8095,W$256:W8094,0)),1,0))</f>
        <v/>
      </c>
      <c r="AA8095">
        <f>IF(Z8095&gt;Z8094,Z8095,"")</f>
        <v/>
      </c>
      <c r="AB8095">
        <f>AB8094+IF(X8095="",0,IF(ISNA(MATCH(X8095,X$256:X8094,0)),1,0))</f>
        <v/>
      </c>
      <c r="AC8095">
        <f>IF(AB8095&gt;AB8094,AB8095,"")</f>
        <v/>
      </c>
    </row>
    <row r="8096">
      <c r="W8096" s="7" t="n"/>
      <c r="X8096" s="7" t="n"/>
      <c r="Z8096">
        <f>Z8095+IF(W8096="",0,IF(ISNA(MATCH(W8096,W$256:W8095,0)),1,0))</f>
        <v/>
      </c>
      <c r="AA8096">
        <f>IF(Z8096&gt;Z8095,Z8096,"")</f>
        <v/>
      </c>
      <c r="AB8096">
        <f>AB8095+IF(X8096="",0,IF(ISNA(MATCH(X8096,X$256:X8095,0)),1,0))</f>
        <v/>
      </c>
      <c r="AC8096">
        <f>IF(AB8096&gt;AB8095,AB8096,"")</f>
        <v/>
      </c>
    </row>
    <row r="8097">
      <c r="W8097" s="7" t="n"/>
      <c r="X8097" s="7" t="n"/>
      <c r="Z8097">
        <f>Z8096+IF(W8097="",0,IF(ISNA(MATCH(W8097,W$256:W8096,0)),1,0))</f>
        <v/>
      </c>
      <c r="AA8097">
        <f>IF(Z8097&gt;Z8096,Z8097,"")</f>
        <v/>
      </c>
      <c r="AB8097">
        <f>AB8096+IF(X8097="",0,IF(ISNA(MATCH(X8097,X$256:X8096,0)),1,0))</f>
        <v/>
      </c>
      <c r="AC8097">
        <f>IF(AB8097&gt;AB8096,AB8097,"")</f>
        <v/>
      </c>
    </row>
    <row r="8098">
      <c r="W8098" s="7" t="n"/>
      <c r="X8098" s="7" t="n"/>
      <c r="Z8098">
        <f>Z8097+IF(W8098="",0,IF(ISNA(MATCH(W8098,W$256:W8097,0)),1,0))</f>
        <v/>
      </c>
      <c r="AA8098">
        <f>IF(Z8098&gt;Z8097,Z8098,"")</f>
        <v/>
      </c>
      <c r="AB8098">
        <f>AB8097+IF(X8098="",0,IF(ISNA(MATCH(X8098,X$256:X8097,0)),1,0))</f>
        <v/>
      </c>
      <c r="AC8098">
        <f>IF(AB8098&gt;AB8097,AB8098,"")</f>
        <v/>
      </c>
    </row>
    <row r="8099">
      <c r="W8099" s="7" t="n"/>
      <c r="X8099" s="7" t="n"/>
      <c r="Z8099">
        <f>Z8098+IF(W8099="",0,IF(ISNA(MATCH(W8099,W$256:W8098,0)),1,0))</f>
        <v/>
      </c>
      <c r="AA8099">
        <f>IF(Z8099&gt;Z8098,Z8099,"")</f>
        <v/>
      </c>
      <c r="AB8099">
        <f>AB8098+IF(X8099="",0,IF(ISNA(MATCH(X8099,X$256:X8098,0)),1,0))</f>
        <v/>
      </c>
      <c r="AC8099">
        <f>IF(AB8099&gt;AB8098,AB8099,"")</f>
        <v/>
      </c>
    </row>
    <row r="8100">
      <c r="W8100" s="7" t="n"/>
      <c r="X8100" s="7" t="n"/>
      <c r="Z8100">
        <f>Z8099+IF(W8100="",0,IF(ISNA(MATCH(W8100,W$256:W8099,0)),1,0))</f>
        <v/>
      </c>
      <c r="AA8100">
        <f>IF(Z8100&gt;Z8099,Z8100,"")</f>
        <v/>
      </c>
      <c r="AB8100">
        <f>AB8099+IF(X8100="",0,IF(ISNA(MATCH(X8100,X$256:X8099,0)),1,0))</f>
        <v/>
      </c>
      <c r="AC8100">
        <f>IF(AB8100&gt;AB8099,AB8100,"")</f>
        <v/>
      </c>
    </row>
    <row r="8101">
      <c r="W8101" s="7" t="n"/>
      <c r="X8101" s="7" t="n"/>
      <c r="Z8101">
        <f>Z8100+IF(W8101="",0,IF(ISNA(MATCH(W8101,W$256:W8100,0)),1,0))</f>
        <v/>
      </c>
      <c r="AA8101">
        <f>IF(Z8101&gt;Z8100,Z8101,"")</f>
        <v/>
      </c>
      <c r="AB8101">
        <f>AB8100+IF(X8101="",0,IF(ISNA(MATCH(X8101,X$256:X8100,0)),1,0))</f>
        <v/>
      </c>
      <c r="AC8101">
        <f>IF(AB8101&gt;AB8100,AB8101,"")</f>
        <v/>
      </c>
    </row>
    <row r="8102">
      <c r="W8102" s="7" t="n"/>
      <c r="X8102" s="7" t="n"/>
      <c r="Z8102">
        <f>Z8101+IF(W8102="",0,IF(ISNA(MATCH(W8102,W$256:W8101,0)),1,0))</f>
        <v/>
      </c>
      <c r="AA8102">
        <f>IF(Z8102&gt;Z8101,Z8102,"")</f>
        <v/>
      </c>
      <c r="AB8102">
        <f>AB8101+IF(X8102="",0,IF(ISNA(MATCH(X8102,X$256:X8101,0)),1,0))</f>
        <v/>
      </c>
      <c r="AC8102">
        <f>IF(AB8102&gt;AB8101,AB8102,"")</f>
        <v/>
      </c>
    </row>
    <row r="8103">
      <c r="W8103" s="7" t="n"/>
      <c r="X8103" s="7" t="n"/>
      <c r="Z8103">
        <f>Z8102+IF(W8103="",0,IF(ISNA(MATCH(W8103,W$256:W8102,0)),1,0))</f>
        <v/>
      </c>
      <c r="AA8103">
        <f>IF(Z8103&gt;Z8102,Z8103,"")</f>
        <v/>
      </c>
      <c r="AB8103">
        <f>AB8102+IF(X8103="",0,IF(ISNA(MATCH(X8103,X$256:X8102,0)),1,0))</f>
        <v/>
      </c>
      <c r="AC8103">
        <f>IF(AB8103&gt;AB8102,AB8103,"")</f>
        <v/>
      </c>
    </row>
    <row r="8104">
      <c r="W8104" s="7" t="n"/>
      <c r="X8104" s="7" t="n"/>
      <c r="Z8104">
        <f>Z8103+IF(W8104="",0,IF(ISNA(MATCH(W8104,W$256:W8103,0)),1,0))</f>
        <v/>
      </c>
      <c r="AA8104">
        <f>IF(Z8104&gt;Z8103,Z8104,"")</f>
        <v/>
      </c>
      <c r="AB8104">
        <f>AB8103+IF(X8104="",0,IF(ISNA(MATCH(X8104,X$256:X8103,0)),1,0))</f>
        <v/>
      </c>
      <c r="AC8104">
        <f>IF(AB8104&gt;AB8103,AB8104,"")</f>
        <v/>
      </c>
    </row>
    <row r="8105">
      <c r="W8105" s="7" t="n"/>
      <c r="X8105" s="7" t="n"/>
      <c r="Z8105">
        <f>Z8104+IF(W8105="",0,IF(ISNA(MATCH(W8105,W$256:W8104,0)),1,0))</f>
        <v/>
      </c>
      <c r="AA8105">
        <f>IF(Z8105&gt;Z8104,Z8105,"")</f>
        <v/>
      </c>
      <c r="AB8105">
        <f>AB8104+IF(X8105="",0,IF(ISNA(MATCH(X8105,X$256:X8104,0)),1,0))</f>
        <v/>
      </c>
      <c r="AC8105">
        <f>IF(AB8105&gt;AB8104,AB8105,"")</f>
        <v/>
      </c>
    </row>
    <row r="8106">
      <c r="W8106" s="7" t="n"/>
      <c r="X8106" s="7" t="n"/>
      <c r="Z8106">
        <f>Z8105+IF(W8106="",0,IF(ISNA(MATCH(W8106,W$256:W8105,0)),1,0))</f>
        <v/>
      </c>
      <c r="AA8106">
        <f>IF(Z8106&gt;Z8105,Z8106,"")</f>
        <v/>
      </c>
      <c r="AB8106">
        <f>AB8105+IF(X8106="",0,IF(ISNA(MATCH(X8106,X$256:X8105,0)),1,0))</f>
        <v/>
      </c>
      <c r="AC8106">
        <f>IF(AB8106&gt;AB8105,AB8106,"")</f>
        <v/>
      </c>
    </row>
    <row r="8107">
      <c r="W8107" s="7" t="n"/>
      <c r="X8107" s="7" t="n"/>
      <c r="Z8107">
        <f>Z8106+IF(W8107="",0,IF(ISNA(MATCH(W8107,W$256:W8106,0)),1,0))</f>
        <v/>
      </c>
      <c r="AA8107">
        <f>IF(Z8107&gt;Z8106,Z8107,"")</f>
        <v/>
      </c>
      <c r="AB8107">
        <f>AB8106+IF(X8107="",0,IF(ISNA(MATCH(X8107,X$256:X8106,0)),1,0))</f>
        <v/>
      </c>
      <c r="AC8107">
        <f>IF(AB8107&gt;AB8106,AB8107,"")</f>
        <v/>
      </c>
    </row>
    <row r="8108">
      <c r="W8108" s="7" t="n"/>
      <c r="X8108" s="7" t="n"/>
      <c r="Z8108">
        <f>Z8107+IF(W8108="",0,IF(ISNA(MATCH(W8108,W$256:W8107,0)),1,0))</f>
        <v/>
      </c>
      <c r="AA8108">
        <f>IF(Z8108&gt;Z8107,Z8108,"")</f>
        <v/>
      </c>
      <c r="AB8108">
        <f>AB8107+IF(X8108="",0,IF(ISNA(MATCH(X8108,X$256:X8107,0)),1,0))</f>
        <v/>
      </c>
      <c r="AC8108">
        <f>IF(AB8108&gt;AB8107,AB8108,"")</f>
        <v/>
      </c>
    </row>
    <row r="8109">
      <c r="W8109" s="7" t="n"/>
      <c r="X8109" s="7" t="n"/>
      <c r="Z8109">
        <f>Z8108+IF(W8109="",0,IF(ISNA(MATCH(W8109,W$256:W8108,0)),1,0))</f>
        <v/>
      </c>
      <c r="AA8109">
        <f>IF(Z8109&gt;Z8108,Z8109,"")</f>
        <v/>
      </c>
      <c r="AB8109">
        <f>AB8108+IF(X8109="",0,IF(ISNA(MATCH(X8109,X$256:X8108,0)),1,0))</f>
        <v/>
      </c>
      <c r="AC8109">
        <f>IF(AB8109&gt;AB8108,AB8109,"")</f>
        <v/>
      </c>
    </row>
    <row r="8110">
      <c r="W8110" s="7" t="n"/>
      <c r="X8110" s="7" t="n"/>
      <c r="Z8110">
        <f>Z8109+IF(W8110="",0,IF(ISNA(MATCH(W8110,W$256:W8109,0)),1,0))</f>
        <v/>
      </c>
      <c r="AA8110">
        <f>IF(Z8110&gt;Z8109,Z8110,"")</f>
        <v/>
      </c>
      <c r="AB8110">
        <f>AB8109+IF(X8110="",0,IF(ISNA(MATCH(X8110,X$256:X8109,0)),1,0))</f>
        <v/>
      </c>
      <c r="AC8110">
        <f>IF(AB8110&gt;AB8109,AB8110,"")</f>
        <v/>
      </c>
    </row>
    <row r="8111">
      <c r="W8111" s="7" t="n"/>
      <c r="X8111" s="7" t="n"/>
      <c r="Z8111">
        <f>Z8110+IF(W8111="",0,IF(ISNA(MATCH(W8111,W$256:W8110,0)),1,0))</f>
        <v/>
      </c>
      <c r="AA8111">
        <f>IF(Z8111&gt;Z8110,Z8111,"")</f>
        <v/>
      </c>
      <c r="AB8111">
        <f>AB8110+IF(X8111="",0,IF(ISNA(MATCH(X8111,X$256:X8110,0)),1,0))</f>
        <v/>
      </c>
      <c r="AC8111">
        <f>IF(AB8111&gt;AB8110,AB8111,"")</f>
        <v/>
      </c>
    </row>
    <row r="8112">
      <c r="W8112" s="7" t="n"/>
      <c r="X8112" s="7" t="n"/>
      <c r="Z8112">
        <f>Z8111+IF(W8112="",0,IF(ISNA(MATCH(W8112,W$256:W8111,0)),1,0))</f>
        <v/>
      </c>
      <c r="AA8112">
        <f>IF(Z8112&gt;Z8111,Z8112,"")</f>
        <v/>
      </c>
      <c r="AB8112">
        <f>AB8111+IF(X8112="",0,IF(ISNA(MATCH(X8112,X$256:X8111,0)),1,0))</f>
        <v/>
      </c>
      <c r="AC8112">
        <f>IF(AB8112&gt;AB8111,AB8112,"")</f>
        <v/>
      </c>
    </row>
    <row r="8113">
      <c r="W8113" s="7" t="n"/>
      <c r="X8113" s="7" t="n"/>
      <c r="Z8113">
        <f>Z8112+IF(W8113="",0,IF(ISNA(MATCH(W8113,W$256:W8112,0)),1,0))</f>
        <v/>
      </c>
      <c r="AA8113">
        <f>IF(Z8113&gt;Z8112,Z8113,"")</f>
        <v/>
      </c>
      <c r="AB8113">
        <f>AB8112+IF(X8113="",0,IF(ISNA(MATCH(X8113,X$256:X8112,0)),1,0))</f>
        <v/>
      </c>
      <c r="AC8113">
        <f>IF(AB8113&gt;AB8112,AB8113,"")</f>
        <v/>
      </c>
    </row>
    <row r="8114">
      <c r="W8114" s="7" t="n"/>
      <c r="X8114" s="7" t="n"/>
      <c r="Z8114">
        <f>Z8113+IF(W8114="",0,IF(ISNA(MATCH(W8114,W$256:W8113,0)),1,0))</f>
        <v/>
      </c>
      <c r="AA8114">
        <f>IF(Z8114&gt;Z8113,Z8114,"")</f>
        <v/>
      </c>
      <c r="AB8114">
        <f>AB8113+IF(X8114="",0,IF(ISNA(MATCH(X8114,X$256:X8113,0)),1,0))</f>
        <v/>
      </c>
      <c r="AC8114">
        <f>IF(AB8114&gt;AB8113,AB8114,"")</f>
        <v/>
      </c>
    </row>
    <row r="8115">
      <c r="W8115" s="7" t="n"/>
      <c r="X8115" s="7" t="n"/>
      <c r="Z8115">
        <f>Z8114+IF(W8115="",0,IF(ISNA(MATCH(W8115,W$256:W8114,0)),1,0))</f>
        <v/>
      </c>
      <c r="AA8115">
        <f>IF(Z8115&gt;Z8114,Z8115,"")</f>
        <v/>
      </c>
      <c r="AB8115">
        <f>AB8114+IF(X8115="",0,IF(ISNA(MATCH(X8115,X$256:X8114,0)),1,0))</f>
        <v/>
      </c>
      <c r="AC8115">
        <f>IF(AB8115&gt;AB8114,AB8115,"")</f>
        <v/>
      </c>
    </row>
    <row r="8116">
      <c r="W8116" s="7" t="n"/>
      <c r="X8116" s="7" t="n"/>
      <c r="Z8116">
        <f>Z8115+IF(W8116="",0,IF(ISNA(MATCH(W8116,W$256:W8115,0)),1,0))</f>
        <v/>
      </c>
      <c r="AA8116">
        <f>IF(Z8116&gt;Z8115,Z8116,"")</f>
        <v/>
      </c>
      <c r="AB8116">
        <f>AB8115+IF(X8116="",0,IF(ISNA(MATCH(X8116,X$256:X8115,0)),1,0))</f>
        <v/>
      </c>
      <c r="AC8116">
        <f>IF(AB8116&gt;AB8115,AB8116,"")</f>
        <v/>
      </c>
    </row>
    <row r="8117">
      <c r="W8117" s="7" t="n"/>
      <c r="X8117" s="7" t="n"/>
      <c r="Z8117">
        <f>Z8116+IF(W8117="",0,IF(ISNA(MATCH(W8117,W$256:W8116,0)),1,0))</f>
        <v/>
      </c>
      <c r="AA8117">
        <f>IF(Z8117&gt;Z8116,Z8117,"")</f>
        <v/>
      </c>
      <c r="AB8117">
        <f>AB8116+IF(X8117="",0,IF(ISNA(MATCH(X8117,X$256:X8116,0)),1,0))</f>
        <v/>
      </c>
      <c r="AC8117">
        <f>IF(AB8117&gt;AB8116,AB8117,"")</f>
        <v/>
      </c>
    </row>
    <row r="8118">
      <c r="W8118" s="7" t="n"/>
      <c r="X8118" s="7" t="n"/>
      <c r="Z8118">
        <f>Z8117+IF(W8118="",0,IF(ISNA(MATCH(W8118,W$256:W8117,0)),1,0))</f>
        <v/>
      </c>
      <c r="AA8118">
        <f>IF(Z8118&gt;Z8117,Z8118,"")</f>
        <v/>
      </c>
      <c r="AB8118">
        <f>AB8117+IF(X8118="",0,IF(ISNA(MATCH(X8118,X$256:X8117,0)),1,0))</f>
        <v/>
      </c>
      <c r="AC8118">
        <f>IF(AB8118&gt;AB8117,AB8118,"")</f>
        <v/>
      </c>
    </row>
    <row r="8119">
      <c r="W8119" s="7" t="n"/>
      <c r="X8119" s="7" t="n"/>
      <c r="Z8119">
        <f>Z8118+IF(W8119="",0,IF(ISNA(MATCH(W8119,W$256:W8118,0)),1,0))</f>
        <v/>
      </c>
      <c r="AA8119">
        <f>IF(Z8119&gt;Z8118,Z8119,"")</f>
        <v/>
      </c>
      <c r="AB8119">
        <f>AB8118+IF(X8119="",0,IF(ISNA(MATCH(X8119,X$256:X8118,0)),1,0))</f>
        <v/>
      </c>
      <c r="AC8119">
        <f>IF(AB8119&gt;AB8118,AB8119,"")</f>
        <v/>
      </c>
    </row>
    <row r="8120">
      <c r="W8120" s="7" t="n"/>
      <c r="X8120" s="7" t="n"/>
      <c r="Z8120">
        <f>Z8119+IF(W8120="",0,IF(ISNA(MATCH(W8120,W$256:W8119,0)),1,0))</f>
        <v/>
      </c>
      <c r="AA8120">
        <f>IF(Z8120&gt;Z8119,Z8120,"")</f>
        <v/>
      </c>
      <c r="AB8120">
        <f>AB8119+IF(X8120="",0,IF(ISNA(MATCH(X8120,X$256:X8119,0)),1,0))</f>
        <v/>
      </c>
      <c r="AC8120">
        <f>IF(AB8120&gt;AB8119,AB8120,"")</f>
        <v/>
      </c>
    </row>
    <row r="8121">
      <c r="W8121" s="7" t="n"/>
      <c r="X8121" s="7" t="n"/>
      <c r="Z8121">
        <f>Z8120+IF(W8121="",0,IF(ISNA(MATCH(W8121,W$256:W8120,0)),1,0))</f>
        <v/>
      </c>
      <c r="AA8121">
        <f>IF(Z8121&gt;Z8120,Z8121,"")</f>
        <v/>
      </c>
      <c r="AB8121">
        <f>AB8120+IF(X8121="",0,IF(ISNA(MATCH(X8121,X$256:X8120,0)),1,0))</f>
        <v/>
      </c>
      <c r="AC8121">
        <f>IF(AB8121&gt;AB8120,AB8121,"")</f>
        <v/>
      </c>
    </row>
    <row r="8122">
      <c r="W8122" s="7" t="n"/>
      <c r="X8122" s="7" t="n"/>
      <c r="Z8122">
        <f>Z8121+IF(W8122="",0,IF(ISNA(MATCH(W8122,W$256:W8121,0)),1,0))</f>
        <v/>
      </c>
      <c r="AA8122">
        <f>IF(Z8122&gt;Z8121,Z8122,"")</f>
        <v/>
      </c>
      <c r="AB8122">
        <f>AB8121+IF(X8122="",0,IF(ISNA(MATCH(X8122,X$256:X8121,0)),1,0))</f>
        <v/>
      </c>
      <c r="AC8122">
        <f>IF(AB8122&gt;AB8121,AB8122,"")</f>
        <v/>
      </c>
    </row>
    <row r="8123">
      <c r="W8123" s="7" t="n"/>
      <c r="X8123" s="7" t="n"/>
      <c r="Z8123">
        <f>Z8122+IF(W8123="",0,IF(ISNA(MATCH(W8123,W$256:W8122,0)),1,0))</f>
        <v/>
      </c>
      <c r="AA8123">
        <f>IF(Z8123&gt;Z8122,Z8123,"")</f>
        <v/>
      </c>
      <c r="AB8123">
        <f>AB8122+IF(X8123="",0,IF(ISNA(MATCH(X8123,X$256:X8122,0)),1,0))</f>
        <v/>
      </c>
      <c r="AC8123">
        <f>IF(AB8123&gt;AB8122,AB8123,"")</f>
        <v/>
      </c>
    </row>
    <row r="8124">
      <c r="W8124" s="7" t="n"/>
      <c r="X8124" s="7" t="n"/>
      <c r="Z8124">
        <f>Z8123+IF(W8124="",0,IF(ISNA(MATCH(W8124,W$256:W8123,0)),1,0))</f>
        <v/>
      </c>
      <c r="AA8124">
        <f>IF(Z8124&gt;Z8123,Z8124,"")</f>
        <v/>
      </c>
      <c r="AB8124">
        <f>AB8123+IF(X8124="",0,IF(ISNA(MATCH(X8124,X$256:X8123,0)),1,0))</f>
        <v/>
      </c>
      <c r="AC8124">
        <f>IF(AB8124&gt;AB8123,AB8124,"")</f>
        <v/>
      </c>
    </row>
    <row r="8125">
      <c r="W8125" s="7" t="n"/>
      <c r="X8125" s="7" t="n"/>
      <c r="Z8125">
        <f>Z8124+IF(W8125="",0,IF(ISNA(MATCH(W8125,W$256:W8124,0)),1,0))</f>
        <v/>
      </c>
      <c r="AA8125">
        <f>IF(Z8125&gt;Z8124,Z8125,"")</f>
        <v/>
      </c>
      <c r="AB8125">
        <f>AB8124+IF(X8125="",0,IF(ISNA(MATCH(X8125,X$256:X8124,0)),1,0))</f>
        <v/>
      </c>
      <c r="AC8125">
        <f>IF(AB8125&gt;AB8124,AB8125,"")</f>
        <v/>
      </c>
    </row>
    <row r="8126">
      <c r="W8126" s="7" t="n"/>
      <c r="X8126" s="7" t="n"/>
      <c r="Z8126">
        <f>Z8125+IF(W8126="",0,IF(ISNA(MATCH(W8126,W$256:W8125,0)),1,0))</f>
        <v/>
      </c>
      <c r="AA8126">
        <f>IF(Z8126&gt;Z8125,Z8126,"")</f>
        <v/>
      </c>
      <c r="AB8126">
        <f>AB8125+IF(X8126="",0,IF(ISNA(MATCH(X8126,X$256:X8125,0)),1,0))</f>
        <v/>
      </c>
      <c r="AC8126">
        <f>IF(AB8126&gt;AB8125,AB8126,"")</f>
        <v/>
      </c>
    </row>
    <row r="8127">
      <c r="W8127" s="7" t="n"/>
      <c r="X8127" s="7" t="n"/>
      <c r="Z8127">
        <f>Z8126+IF(W8127="",0,IF(ISNA(MATCH(W8127,W$256:W8126,0)),1,0))</f>
        <v/>
      </c>
      <c r="AA8127">
        <f>IF(Z8127&gt;Z8126,Z8127,"")</f>
        <v/>
      </c>
      <c r="AB8127">
        <f>AB8126+IF(X8127="",0,IF(ISNA(MATCH(X8127,X$256:X8126,0)),1,0))</f>
        <v/>
      </c>
      <c r="AC8127">
        <f>IF(AB8127&gt;AB8126,AB8127,"")</f>
        <v/>
      </c>
    </row>
    <row r="8128">
      <c r="W8128" s="7" t="n"/>
      <c r="X8128" s="7" t="n"/>
      <c r="Z8128">
        <f>Z8127+IF(W8128="",0,IF(ISNA(MATCH(W8128,W$256:W8127,0)),1,0))</f>
        <v/>
      </c>
      <c r="AA8128">
        <f>IF(Z8128&gt;Z8127,Z8128,"")</f>
        <v/>
      </c>
      <c r="AB8128">
        <f>AB8127+IF(X8128="",0,IF(ISNA(MATCH(X8128,X$256:X8127,0)),1,0))</f>
        <v/>
      </c>
      <c r="AC8128">
        <f>IF(AB8128&gt;AB8127,AB8128,"")</f>
        <v/>
      </c>
    </row>
    <row r="8129">
      <c r="W8129" s="7" t="n"/>
      <c r="X8129" s="7" t="n"/>
      <c r="Z8129">
        <f>Z8128+IF(W8129="",0,IF(ISNA(MATCH(W8129,W$256:W8128,0)),1,0))</f>
        <v/>
      </c>
      <c r="AA8129">
        <f>IF(Z8129&gt;Z8128,Z8129,"")</f>
        <v/>
      </c>
      <c r="AB8129">
        <f>AB8128+IF(X8129="",0,IF(ISNA(MATCH(X8129,X$256:X8128,0)),1,0))</f>
        <v/>
      </c>
      <c r="AC8129">
        <f>IF(AB8129&gt;AB8128,AB8129,"")</f>
        <v/>
      </c>
    </row>
    <row r="8130">
      <c r="W8130" s="7" t="n"/>
      <c r="X8130" s="7" t="n"/>
      <c r="Z8130">
        <f>Z8129+IF(W8130="",0,IF(ISNA(MATCH(W8130,W$256:W8129,0)),1,0))</f>
        <v/>
      </c>
      <c r="AA8130">
        <f>IF(Z8130&gt;Z8129,Z8130,"")</f>
        <v/>
      </c>
      <c r="AB8130">
        <f>AB8129+IF(X8130="",0,IF(ISNA(MATCH(X8130,X$256:X8129,0)),1,0))</f>
        <v/>
      </c>
      <c r="AC8130">
        <f>IF(AB8130&gt;AB8129,AB8130,"")</f>
        <v/>
      </c>
    </row>
    <row r="8131">
      <c r="W8131" s="7" t="n"/>
      <c r="X8131" s="7" t="n"/>
      <c r="Z8131">
        <f>Z8130+IF(W8131="",0,IF(ISNA(MATCH(W8131,W$256:W8130,0)),1,0))</f>
        <v/>
      </c>
      <c r="AA8131">
        <f>IF(Z8131&gt;Z8130,Z8131,"")</f>
        <v/>
      </c>
      <c r="AB8131">
        <f>AB8130+IF(X8131="",0,IF(ISNA(MATCH(X8131,X$256:X8130,0)),1,0))</f>
        <v/>
      </c>
      <c r="AC8131">
        <f>IF(AB8131&gt;AB8130,AB8131,"")</f>
        <v/>
      </c>
    </row>
    <row r="8132">
      <c r="W8132" s="7" t="n"/>
      <c r="X8132" s="7" t="n"/>
      <c r="Z8132">
        <f>Z8131+IF(W8132="",0,IF(ISNA(MATCH(W8132,W$256:W8131,0)),1,0))</f>
        <v/>
      </c>
      <c r="AA8132">
        <f>IF(Z8132&gt;Z8131,Z8132,"")</f>
        <v/>
      </c>
      <c r="AB8132">
        <f>AB8131+IF(X8132="",0,IF(ISNA(MATCH(X8132,X$256:X8131,0)),1,0))</f>
        <v/>
      </c>
      <c r="AC8132">
        <f>IF(AB8132&gt;AB8131,AB8132,"")</f>
        <v/>
      </c>
    </row>
    <row r="8133">
      <c r="W8133" s="7" t="n"/>
      <c r="X8133" s="7" t="n"/>
      <c r="Z8133">
        <f>Z8132+IF(W8133="",0,IF(ISNA(MATCH(W8133,W$256:W8132,0)),1,0))</f>
        <v/>
      </c>
      <c r="AA8133">
        <f>IF(Z8133&gt;Z8132,Z8133,"")</f>
        <v/>
      </c>
      <c r="AB8133">
        <f>AB8132+IF(X8133="",0,IF(ISNA(MATCH(X8133,X$256:X8132,0)),1,0))</f>
        <v/>
      </c>
      <c r="AC8133">
        <f>IF(AB8133&gt;AB8132,AB8133,"")</f>
        <v/>
      </c>
    </row>
    <row r="8134">
      <c r="W8134" s="7" t="n"/>
      <c r="X8134" s="7" t="n"/>
      <c r="Z8134">
        <f>Z8133+IF(W8134="",0,IF(ISNA(MATCH(W8134,W$256:W8133,0)),1,0))</f>
        <v/>
      </c>
      <c r="AA8134">
        <f>IF(Z8134&gt;Z8133,Z8134,"")</f>
        <v/>
      </c>
      <c r="AB8134">
        <f>AB8133+IF(X8134="",0,IF(ISNA(MATCH(X8134,X$256:X8133,0)),1,0))</f>
        <v/>
      </c>
      <c r="AC8134">
        <f>IF(AB8134&gt;AB8133,AB8134,"")</f>
        <v/>
      </c>
    </row>
    <row r="8135">
      <c r="W8135" s="7" t="n"/>
      <c r="X8135" s="7" t="n"/>
      <c r="Z8135">
        <f>Z8134+IF(W8135="",0,IF(ISNA(MATCH(W8135,W$256:W8134,0)),1,0))</f>
        <v/>
      </c>
      <c r="AA8135">
        <f>IF(Z8135&gt;Z8134,Z8135,"")</f>
        <v/>
      </c>
      <c r="AB8135">
        <f>AB8134+IF(X8135="",0,IF(ISNA(MATCH(X8135,X$256:X8134,0)),1,0))</f>
        <v/>
      </c>
      <c r="AC8135">
        <f>IF(AB8135&gt;AB8134,AB8135,"")</f>
        <v/>
      </c>
    </row>
    <row r="8136">
      <c r="W8136" s="7" t="n"/>
      <c r="X8136" s="7" t="n"/>
      <c r="Z8136">
        <f>Z8135+IF(W8136="",0,IF(ISNA(MATCH(W8136,W$256:W8135,0)),1,0))</f>
        <v/>
      </c>
      <c r="AA8136">
        <f>IF(Z8136&gt;Z8135,Z8136,"")</f>
        <v/>
      </c>
      <c r="AB8136">
        <f>AB8135+IF(X8136="",0,IF(ISNA(MATCH(X8136,X$256:X8135,0)),1,0))</f>
        <v/>
      </c>
      <c r="AC8136">
        <f>IF(AB8136&gt;AB8135,AB8136,"")</f>
        <v/>
      </c>
    </row>
    <row r="8137">
      <c r="W8137" s="7" t="n"/>
      <c r="X8137" s="7" t="n"/>
      <c r="Z8137">
        <f>Z8136+IF(W8137="",0,IF(ISNA(MATCH(W8137,W$256:W8136,0)),1,0))</f>
        <v/>
      </c>
      <c r="AA8137">
        <f>IF(Z8137&gt;Z8136,Z8137,"")</f>
        <v/>
      </c>
      <c r="AB8137">
        <f>AB8136+IF(X8137="",0,IF(ISNA(MATCH(X8137,X$256:X8136,0)),1,0))</f>
        <v/>
      </c>
      <c r="AC8137">
        <f>IF(AB8137&gt;AB8136,AB8137,"")</f>
        <v/>
      </c>
    </row>
    <row r="8138">
      <c r="W8138" s="7" t="n"/>
      <c r="X8138" s="7" t="n"/>
      <c r="Z8138">
        <f>Z8137+IF(W8138="",0,IF(ISNA(MATCH(W8138,W$256:W8137,0)),1,0))</f>
        <v/>
      </c>
      <c r="AA8138">
        <f>IF(Z8138&gt;Z8137,Z8138,"")</f>
        <v/>
      </c>
      <c r="AB8138">
        <f>AB8137+IF(X8138="",0,IF(ISNA(MATCH(X8138,X$256:X8137,0)),1,0))</f>
        <v/>
      </c>
      <c r="AC8138">
        <f>IF(AB8138&gt;AB8137,AB8138,"")</f>
        <v/>
      </c>
    </row>
    <row r="8139">
      <c r="W8139" s="7" t="n"/>
      <c r="X8139" s="7" t="n"/>
      <c r="Z8139">
        <f>Z8138+IF(W8139="",0,IF(ISNA(MATCH(W8139,W$256:W8138,0)),1,0))</f>
        <v/>
      </c>
      <c r="AA8139">
        <f>IF(Z8139&gt;Z8138,Z8139,"")</f>
        <v/>
      </c>
      <c r="AB8139">
        <f>AB8138+IF(X8139="",0,IF(ISNA(MATCH(X8139,X$256:X8138,0)),1,0))</f>
        <v/>
      </c>
      <c r="AC8139">
        <f>IF(AB8139&gt;AB8138,AB8139,"")</f>
        <v/>
      </c>
    </row>
    <row r="8140">
      <c r="W8140" s="7" t="n"/>
      <c r="X8140" s="7" t="n"/>
      <c r="Z8140">
        <f>Z8139+IF(W8140="",0,IF(ISNA(MATCH(W8140,W$256:W8139,0)),1,0))</f>
        <v/>
      </c>
      <c r="AA8140">
        <f>IF(Z8140&gt;Z8139,Z8140,"")</f>
        <v/>
      </c>
      <c r="AB8140">
        <f>AB8139+IF(X8140="",0,IF(ISNA(MATCH(X8140,X$256:X8139,0)),1,0))</f>
        <v/>
      </c>
      <c r="AC8140">
        <f>IF(AB8140&gt;AB8139,AB8140,"")</f>
        <v/>
      </c>
    </row>
    <row r="8141">
      <c r="W8141" s="7" t="n"/>
      <c r="X8141" s="7" t="n"/>
      <c r="Z8141">
        <f>Z8140+IF(W8141="",0,IF(ISNA(MATCH(W8141,W$256:W8140,0)),1,0))</f>
        <v/>
      </c>
      <c r="AA8141">
        <f>IF(Z8141&gt;Z8140,Z8141,"")</f>
        <v/>
      </c>
      <c r="AB8141">
        <f>AB8140+IF(X8141="",0,IF(ISNA(MATCH(X8141,X$256:X8140,0)),1,0))</f>
        <v/>
      </c>
      <c r="AC8141">
        <f>IF(AB8141&gt;AB8140,AB8141,"")</f>
        <v/>
      </c>
    </row>
    <row r="8142">
      <c r="W8142" s="7" t="n"/>
      <c r="X8142" s="7" t="n"/>
      <c r="Z8142">
        <f>Z8141+IF(W8142="",0,IF(ISNA(MATCH(W8142,W$256:W8141,0)),1,0))</f>
        <v/>
      </c>
      <c r="AA8142">
        <f>IF(Z8142&gt;Z8141,Z8142,"")</f>
        <v/>
      </c>
      <c r="AB8142">
        <f>AB8141+IF(X8142="",0,IF(ISNA(MATCH(X8142,X$256:X8141,0)),1,0))</f>
        <v/>
      </c>
      <c r="AC8142">
        <f>IF(AB8142&gt;AB8141,AB8142,"")</f>
        <v/>
      </c>
    </row>
    <row r="8143">
      <c r="W8143" s="7" t="n"/>
      <c r="X8143" s="7" t="n"/>
      <c r="Z8143">
        <f>Z8142+IF(W8143="",0,IF(ISNA(MATCH(W8143,W$256:W8142,0)),1,0))</f>
        <v/>
      </c>
      <c r="AA8143">
        <f>IF(Z8143&gt;Z8142,Z8143,"")</f>
        <v/>
      </c>
      <c r="AB8143">
        <f>AB8142+IF(X8143="",0,IF(ISNA(MATCH(X8143,X$256:X8142,0)),1,0))</f>
        <v/>
      </c>
      <c r="AC8143">
        <f>IF(AB8143&gt;AB8142,AB8143,"")</f>
        <v/>
      </c>
    </row>
    <row r="8144">
      <c r="W8144" s="7" t="n"/>
      <c r="X8144" s="7" t="n"/>
      <c r="Z8144">
        <f>Z8143+IF(W8144="",0,IF(ISNA(MATCH(W8144,W$256:W8143,0)),1,0))</f>
        <v/>
      </c>
      <c r="AA8144">
        <f>IF(Z8144&gt;Z8143,Z8144,"")</f>
        <v/>
      </c>
      <c r="AB8144">
        <f>AB8143+IF(X8144="",0,IF(ISNA(MATCH(X8144,X$256:X8143,0)),1,0))</f>
        <v/>
      </c>
      <c r="AC8144">
        <f>IF(AB8144&gt;AB8143,AB8144,"")</f>
        <v/>
      </c>
    </row>
    <row r="8145">
      <c r="W8145" s="7" t="n"/>
      <c r="X8145" s="7" t="n"/>
      <c r="Z8145">
        <f>Z8144+IF(W8145="",0,IF(ISNA(MATCH(W8145,W$256:W8144,0)),1,0))</f>
        <v/>
      </c>
      <c r="AA8145">
        <f>IF(Z8145&gt;Z8144,Z8145,"")</f>
        <v/>
      </c>
      <c r="AB8145">
        <f>AB8144+IF(X8145="",0,IF(ISNA(MATCH(X8145,X$256:X8144,0)),1,0))</f>
        <v/>
      </c>
      <c r="AC8145">
        <f>IF(AB8145&gt;AB8144,AB8145,"")</f>
        <v/>
      </c>
    </row>
    <row r="8146">
      <c r="W8146" s="7" t="n"/>
      <c r="X8146" s="7" t="n"/>
      <c r="Z8146">
        <f>Z8145+IF(W8146="",0,IF(ISNA(MATCH(W8146,W$256:W8145,0)),1,0))</f>
        <v/>
      </c>
      <c r="AA8146">
        <f>IF(Z8146&gt;Z8145,Z8146,"")</f>
        <v/>
      </c>
      <c r="AB8146">
        <f>AB8145+IF(X8146="",0,IF(ISNA(MATCH(X8146,X$256:X8145,0)),1,0))</f>
        <v/>
      </c>
      <c r="AC8146">
        <f>IF(AB8146&gt;AB8145,AB8146,"")</f>
        <v/>
      </c>
    </row>
    <row r="8147">
      <c r="W8147" s="7" t="n"/>
      <c r="X8147" s="7" t="n"/>
      <c r="Z8147">
        <f>Z8146+IF(W8147="",0,IF(ISNA(MATCH(W8147,W$256:W8146,0)),1,0))</f>
        <v/>
      </c>
      <c r="AA8147">
        <f>IF(Z8147&gt;Z8146,Z8147,"")</f>
        <v/>
      </c>
      <c r="AB8147">
        <f>AB8146+IF(X8147="",0,IF(ISNA(MATCH(X8147,X$256:X8146,0)),1,0))</f>
        <v/>
      </c>
      <c r="AC8147">
        <f>IF(AB8147&gt;AB8146,AB8147,"")</f>
        <v/>
      </c>
    </row>
    <row r="8148">
      <c r="W8148" s="7" t="n"/>
      <c r="X8148" s="7" t="n"/>
      <c r="Z8148">
        <f>Z8147+IF(W8148="",0,IF(ISNA(MATCH(W8148,W$256:W8147,0)),1,0))</f>
        <v/>
      </c>
      <c r="AA8148">
        <f>IF(Z8148&gt;Z8147,Z8148,"")</f>
        <v/>
      </c>
      <c r="AB8148">
        <f>AB8147+IF(X8148="",0,IF(ISNA(MATCH(X8148,X$256:X8147,0)),1,0))</f>
        <v/>
      </c>
      <c r="AC8148">
        <f>IF(AB8148&gt;AB8147,AB8148,"")</f>
        <v/>
      </c>
    </row>
    <row r="8149">
      <c r="W8149" s="7" t="n"/>
      <c r="X8149" s="7" t="n"/>
      <c r="Z8149">
        <f>Z8148+IF(W8149="",0,IF(ISNA(MATCH(W8149,W$256:W8148,0)),1,0))</f>
        <v/>
      </c>
      <c r="AA8149">
        <f>IF(Z8149&gt;Z8148,Z8149,"")</f>
        <v/>
      </c>
      <c r="AB8149">
        <f>AB8148+IF(X8149="",0,IF(ISNA(MATCH(X8149,X$256:X8148,0)),1,0))</f>
        <v/>
      </c>
      <c r="AC8149">
        <f>IF(AB8149&gt;AB8148,AB8149,"")</f>
        <v/>
      </c>
    </row>
    <row r="8150">
      <c r="W8150" s="7" t="n"/>
      <c r="X8150" s="7" t="n"/>
      <c r="Z8150">
        <f>Z8149+IF(W8150="",0,IF(ISNA(MATCH(W8150,W$256:W8149,0)),1,0))</f>
        <v/>
      </c>
      <c r="AA8150">
        <f>IF(Z8150&gt;Z8149,Z8150,"")</f>
        <v/>
      </c>
      <c r="AB8150">
        <f>AB8149+IF(X8150="",0,IF(ISNA(MATCH(X8150,X$256:X8149,0)),1,0))</f>
        <v/>
      </c>
      <c r="AC8150">
        <f>IF(AB8150&gt;AB8149,AB8150,"")</f>
        <v/>
      </c>
    </row>
    <row r="8151">
      <c r="W8151" s="7" t="n"/>
      <c r="X8151" s="7" t="n"/>
      <c r="Z8151">
        <f>Z8150+IF(W8151="",0,IF(ISNA(MATCH(W8151,W$256:W8150,0)),1,0))</f>
        <v/>
      </c>
      <c r="AA8151">
        <f>IF(Z8151&gt;Z8150,Z8151,"")</f>
        <v/>
      </c>
      <c r="AB8151">
        <f>AB8150+IF(X8151="",0,IF(ISNA(MATCH(X8151,X$256:X8150,0)),1,0))</f>
        <v/>
      </c>
      <c r="AC8151">
        <f>IF(AB8151&gt;AB8150,AB8151,"")</f>
        <v/>
      </c>
    </row>
    <row r="8152">
      <c r="W8152" s="7" t="n"/>
      <c r="X8152" s="7" t="n"/>
      <c r="Z8152">
        <f>Z8151+IF(W8152="",0,IF(ISNA(MATCH(W8152,W$256:W8151,0)),1,0))</f>
        <v/>
      </c>
      <c r="AA8152">
        <f>IF(Z8152&gt;Z8151,Z8152,"")</f>
        <v/>
      </c>
      <c r="AB8152">
        <f>AB8151+IF(X8152="",0,IF(ISNA(MATCH(X8152,X$256:X8151,0)),1,0))</f>
        <v/>
      </c>
      <c r="AC8152">
        <f>IF(AB8152&gt;AB8151,AB8152,"")</f>
        <v/>
      </c>
    </row>
    <row r="8153">
      <c r="W8153" s="7" t="n"/>
      <c r="X8153" s="7" t="n"/>
      <c r="Z8153">
        <f>Z8152+IF(W8153="",0,IF(ISNA(MATCH(W8153,W$256:W8152,0)),1,0))</f>
        <v/>
      </c>
      <c r="AA8153">
        <f>IF(Z8153&gt;Z8152,Z8153,"")</f>
        <v/>
      </c>
      <c r="AB8153">
        <f>AB8152+IF(X8153="",0,IF(ISNA(MATCH(X8153,X$256:X8152,0)),1,0))</f>
        <v/>
      </c>
      <c r="AC8153">
        <f>IF(AB8153&gt;AB8152,AB8153,"")</f>
        <v/>
      </c>
    </row>
    <row r="8154">
      <c r="W8154" s="7" t="n"/>
      <c r="X8154" s="7" t="n"/>
      <c r="Z8154">
        <f>Z8153+IF(W8154="",0,IF(ISNA(MATCH(W8154,W$256:W8153,0)),1,0))</f>
        <v/>
      </c>
      <c r="AA8154">
        <f>IF(Z8154&gt;Z8153,Z8154,"")</f>
        <v/>
      </c>
      <c r="AB8154">
        <f>AB8153+IF(X8154="",0,IF(ISNA(MATCH(X8154,X$256:X8153,0)),1,0))</f>
        <v/>
      </c>
      <c r="AC8154">
        <f>IF(AB8154&gt;AB8153,AB8154,"")</f>
        <v/>
      </c>
    </row>
    <row r="8155">
      <c r="W8155" s="7" t="n"/>
      <c r="X8155" s="7" t="n"/>
      <c r="Z8155">
        <f>Z8154+IF(W8155="",0,IF(ISNA(MATCH(W8155,W$256:W8154,0)),1,0))</f>
        <v/>
      </c>
      <c r="AA8155">
        <f>IF(Z8155&gt;Z8154,Z8155,"")</f>
        <v/>
      </c>
      <c r="AB8155">
        <f>AB8154+IF(X8155="",0,IF(ISNA(MATCH(X8155,X$256:X8154,0)),1,0))</f>
        <v/>
      </c>
      <c r="AC8155">
        <f>IF(AB8155&gt;AB8154,AB8155,"")</f>
        <v/>
      </c>
    </row>
    <row r="8156">
      <c r="W8156" s="7" t="n"/>
      <c r="X8156" s="7" t="n"/>
      <c r="Z8156">
        <f>Z8155+IF(W8156="",0,IF(ISNA(MATCH(W8156,W$256:W8155,0)),1,0))</f>
        <v/>
      </c>
      <c r="AA8156">
        <f>IF(Z8156&gt;Z8155,Z8156,"")</f>
        <v/>
      </c>
      <c r="AB8156">
        <f>AB8155+IF(X8156="",0,IF(ISNA(MATCH(X8156,X$256:X8155,0)),1,0))</f>
        <v/>
      </c>
      <c r="AC8156">
        <f>IF(AB8156&gt;AB8155,AB8156,"")</f>
        <v/>
      </c>
    </row>
    <row r="8157">
      <c r="W8157" s="7" t="n"/>
      <c r="X8157" s="7" t="n"/>
      <c r="Z8157">
        <f>Z8156+IF(W8157="",0,IF(ISNA(MATCH(W8157,W$256:W8156,0)),1,0))</f>
        <v/>
      </c>
      <c r="AA8157">
        <f>IF(Z8157&gt;Z8156,Z8157,"")</f>
        <v/>
      </c>
      <c r="AB8157">
        <f>AB8156+IF(X8157="",0,IF(ISNA(MATCH(X8157,X$256:X8156,0)),1,0))</f>
        <v/>
      </c>
      <c r="AC8157">
        <f>IF(AB8157&gt;AB8156,AB8157,"")</f>
        <v/>
      </c>
    </row>
    <row r="8158">
      <c r="W8158" s="7" t="n"/>
      <c r="X8158" s="7" t="n"/>
      <c r="Z8158">
        <f>Z8157+IF(W8158="",0,IF(ISNA(MATCH(W8158,W$256:W8157,0)),1,0))</f>
        <v/>
      </c>
      <c r="AA8158">
        <f>IF(Z8158&gt;Z8157,Z8158,"")</f>
        <v/>
      </c>
      <c r="AB8158">
        <f>AB8157+IF(X8158="",0,IF(ISNA(MATCH(X8158,X$256:X8157,0)),1,0))</f>
        <v/>
      </c>
      <c r="AC8158">
        <f>IF(AB8158&gt;AB8157,AB8158,"")</f>
        <v/>
      </c>
    </row>
    <row r="8159">
      <c r="W8159" s="7" t="n"/>
      <c r="X8159" s="7" t="n"/>
      <c r="Z8159">
        <f>Z8158+IF(W8159="",0,IF(ISNA(MATCH(W8159,W$256:W8158,0)),1,0))</f>
        <v/>
      </c>
      <c r="AA8159">
        <f>IF(Z8159&gt;Z8158,Z8159,"")</f>
        <v/>
      </c>
      <c r="AB8159">
        <f>AB8158+IF(X8159="",0,IF(ISNA(MATCH(X8159,X$256:X8158,0)),1,0))</f>
        <v/>
      </c>
      <c r="AC8159">
        <f>IF(AB8159&gt;AB8158,AB8159,"")</f>
        <v/>
      </c>
    </row>
    <row r="8160">
      <c r="W8160" s="7" t="n"/>
      <c r="X8160" s="7" t="n"/>
      <c r="Z8160">
        <f>Z8159+IF(W8160="",0,IF(ISNA(MATCH(W8160,W$256:W8159,0)),1,0))</f>
        <v/>
      </c>
      <c r="AA8160">
        <f>IF(Z8160&gt;Z8159,Z8160,"")</f>
        <v/>
      </c>
      <c r="AB8160">
        <f>AB8159+IF(X8160="",0,IF(ISNA(MATCH(X8160,X$256:X8159,0)),1,0))</f>
        <v/>
      </c>
      <c r="AC8160">
        <f>IF(AB8160&gt;AB8159,AB8160,"")</f>
        <v/>
      </c>
    </row>
    <row r="8161">
      <c r="W8161" s="7" t="n"/>
      <c r="X8161" s="7" t="n"/>
      <c r="Z8161">
        <f>Z8160+IF(W8161="",0,IF(ISNA(MATCH(W8161,W$256:W8160,0)),1,0))</f>
        <v/>
      </c>
      <c r="AA8161">
        <f>IF(Z8161&gt;Z8160,Z8161,"")</f>
        <v/>
      </c>
      <c r="AB8161">
        <f>AB8160+IF(X8161="",0,IF(ISNA(MATCH(X8161,X$256:X8160,0)),1,0))</f>
        <v/>
      </c>
      <c r="AC8161">
        <f>IF(AB8161&gt;AB8160,AB8161,"")</f>
        <v/>
      </c>
    </row>
    <row r="8162">
      <c r="W8162" s="7" t="n"/>
      <c r="X8162" s="7" t="n"/>
      <c r="Z8162">
        <f>Z8161+IF(W8162="",0,IF(ISNA(MATCH(W8162,W$256:W8161,0)),1,0))</f>
        <v/>
      </c>
      <c r="AA8162">
        <f>IF(Z8162&gt;Z8161,Z8162,"")</f>
        <v/>
      </c>
      <c r="AB8162">
        <f>AB8161+IF(X8162="",0,IF(ISNA(MATCH(X8162,X$256:X8161,0)),1,0))</f>
        <v/>
      </c>
      <c r="AC8162">
        <f>IF(AB8162&gt;AB8161,AB8162,"")</f>
        <v/>
      </c>
    </row>
    <row r="8163">
      <c r="W8163" s="7" t="n"/>
      <c r="X8163" s="7" t="n"/>
      <c r="Z8163">
        <f>Z8162+IF(W8163="",0,IF(ISNA(MATCH(W8163,W$256:W8162,0)),1,0))</f>
        <v/>
      </c>
      <c r="AA8163">
        <f>IF(Z8163&gt;Z8162,Z8163,"")</f>
        <v/>
      </c>
      <c r="AB8163">
        <f>AB8162+IF(X8163="",0,IF(ISNA(MATCH(X8163,X$256:X8162,0)),1,0))</f>
        <v/>
      </c>
      <c r="AC8163">
        <f>IF(AB8163&gt;AB8162,AB8163,"")</f>
        <v/>
      </c>
    </row>
    <row r="8164">
      <c r="W8164" s="7" t="n"/>
      <c r="X8164" s="7" t="n"/>
      <c r="Z8164">
        <f>Z8163+IF(W8164="",0,IF(ISNA(MATCH(W8164,W$256:W8163,0)),1,0))</f>
        <v/>
      </c>
      <c r="AA8164">
        <f>IF(Z8164&gt;Z8163,Z8164,"")</f>
        <v/>
      </c>
      <c r="AB8164">
        <f>AB8163+IF(X8164="",0,IF(ISNA(MATCH(X8164,X$256:X8163,0)),1,0))</f>
        <v/>
      </c>
      <c r="AC8164">
        <f>IF(AB8164&gt;AB8163,AB8164,"")</f>
        <v/>
      </c>
    </row>
    <row r="8165">
      <c r="W8165" s="7" t="n"/>
      <c r="X8165" s="7" t="n"/>
      <c r="Z8165">
        <f>Z8164+IF(W8165="",0,IF(ISNA(MATCH(W8165,W$256:W8164,0)),1,0))</f>
        <v/>
      </c>
      <c r="AA8165">
        <f>IF(Z8165&gt;Z8164,Z8165,"")</f>
        <v/>
      </c>
      <c r="AB8165">
        <f>AB8164+IF(X8165="",0,IF(ISNA(MATCH(X8165,X$256:X8164,0)),1,0))</f>
        <v/>
      </c>
      <c r="AC8165">
        <f>IF(AB8165&gt;AB8164,AB8165,"")</f>
        <v/>
      </c>
    </row>
    <row r="8166">
      <c r="W8166" s="7" t="n"/>
      <c r="X8166" s="7" t="n"/>
      <c r="Z8166">
        <f>Z8165+IF(W8166="",0,IF(ISNA(MATCH(W8166,W$256:W8165,0)),1,0))</f>
        <v/>
      </c>
      <c r="AA8166">
        <f>IF(Z8166&gt;Z8165,Z8166,"")</f>
        <v/>
      </c>
      <c r="AB8166">
        <f>AB8165+IF(X8166="",0,IF(ISNA(MATCH(X8166,X$256:X8165,0)),1,0))</f>
        <v/>
      </c>
      <c r="AC8166">
        <f>IF(AB8166&gt;AB8165,AB8166,"")</f>
        <v/>
      </c>
    </row>
    <row r="8167">
      <c r="W8167" s="7" t="n"/>
      <c r="X8167" s="7" t="n"/>
      <c r="Z8167">
        <f>Z8166+IF(W8167="",0,IF(ISNA(MATCH(W8167,W$256:W8166,0)),1,0))</f>
        <v/>
      </c>
      <c r="AA8167">
        <f>IF(Z8167&gt;Z8166,Z8167,"")</f>
        <v/>
      </c>
      <c r="AB8167">
        <f>AB8166+IF(X8167="",0,IF(ISNA(MATCH(X8167,X$256:X8166,0)),1,0))</f>
        <v/>
      </c>
      <c r="AC8167">
        <f>IF(AB8167&gt;AB8166,AB8167,"")</f>
        <v/>
      </c>
    </row>
    <row r="8168">
      <c r="W8168" s="7" t="n"/>
      <c r="X8168" s="7" t="n"/>
      <c r="Z8168">
        <f>Z8167+IF(W8168="",0,IF(ISNA(MATCH(W8168,W$256:W8167,0)),1,0))</f>
        <v/>
      </c>
      <c r="AA8168">
        <f>IF(Z8168&gt;Z8167,Z8168,"")</f>
        <v/>
      </c>
      <c r="AB8168">
        <f>AB8167+IF(X8168="",0,IF(ISNA(MATCH(X8168,X$256:X8167,0)),1,0))</f>
        <v/>
      </c>
      <c r="AC8168">
        <f>IF(AB8168&gt;AB8167,AB8168,"")</f>
        <v/>
      </c>
    </row>
    <row r="8169">
      <c r="W8169" s="7" t="n"/>
      <c r="X8169" s="7" t="n"/>
      <c r="Z8169">
        <f>Z8168+IF(W8169="",0,IF(ISNA(MATCH(W8169,W$256:W8168,0)),1,0))</f>
        <v/>
      </c>
      <c r="AA8169">
        <f>IF(Z8169&gt;Z8168,Z8169,"")</f>
        <v/>
      </c>
      <c r="AB8169">
        <f>AB8168+IF(X8169="",0,IF(ISNA(MATCH(X8169,X$256:X8168,0)),1,0))</f>
        <v/>
      </c>
      <c r="AC8169">
        <f>IF(AB8169&gt;AB8168,AB8169,"")</f>
        <v/>
      </c>
    </row>
    <row r="8170">
      <c r="W8170" s="7" t="n"/>
      <c r="X8170" s="7" t="n"/>
      <c r="Z8170">
        <f>Z8169+IF(W8170="",0,IF(ISNA(MATCH(W8170,W$256:W8169,0)),1,0))</f>
        <v/>
      </c>
      <c r="AA8170">
        <f>IF(Z8170&gt;Z8169,Z8170,"")</f>
        <v/>
      </c>
      <c r="AB8170">
        <f>AB8169+IF(X8170="",0,IF(ISNA(MATCH(X8170,X$256:X8169,0)),1,0))</f>
        <v/>
      </c>
      <c r="AC8170">
        <f>IF(AB8170&gt;AB8169,AB8170,"")</f>
        <v/>
      </c>
    </row>
    <row r="8171">
      <c r="W8171" s="7" t="n"/>
      <c r="X8171" s="7" t="n"/>
      <c r="Z8171">
        <f>Z8170+IF(W8171="",0,IF(ISNA(MATCH(W8171,W$256:W8170,0)),1,0))</f>
        <v/>
      </c>
      <c r="AA8171">
        <f>IF(Z8171&gt;Z8170,Z8171,"")</f>
        <v/>
      </c>
      <c r="AB8171">
        <f>AB8170+IF(X8171="",0,IF(ISNA(MATCH(X8171,X$256:X8170,0)),1,0))</f>
        <v/>
      </c>
      <c r="AC8171">
        <f>IF(AB8171&gt;AB8170,AB8171,"")</f>
        <v/>
      </c>
    </row>
    <row r="8172">
      <c r="W8172" s="7" t="n"/>
      <c r="X8172" s="7" t="n"/>
      <c r="Z8172">
        <f>Z8171+IF(W8172="",0,IF(ISNA(MATCH(W8172,W$256:W8171,0)),1,0))</f>
        <v/>
      </c>
      <c r="AA8172">
        <f>IF(Z8172&gt;Z8171,Z8172,"")</f>
        <v/>
      </c>
      <c r="AB8172">
        <f>AB8171+IF(X8172="",0,IF(ISNA(MATCH(X8172,X$256:X8171,0)),1,0))</f>
        <v/>
      </c>
      <c r="AC8172">
        <f>IF(AB8172&gt;AB8171,AB8172,"")</f>
        <v/>
      </c>
    </row>
    <row r="8173">
      <c r="W8173" s="7" t="n"/>
      <c r="X8173" s="7" t="n"/>
      <c r="Z8173">
        <f>Z8172+IF(W8173="",0,IF(ISNA(MATCH(W8173,W$256:W8172,0)),1,0))</f>
        <v/>
      </c>
      <c r="AA8173">
        <f>IF(Z8173&gt;Z8172,Z8173,"")</f>
        <v/>
      </c>
      <c r="AB8173">
        <f>AB8172+IF(X8173="",0,IF(ISNA(MATCH(X8173,X$256:X8172,0)),1,0))</f>
        <v/>
      </c>
      <c r="AC8173">
        <f>IF(AB8173&gt;AB8172,AB8173,"")</f>
        <v/>
      </c>
    </row>
    <row r="8174">
      <c r="W8174" s="7" t="n"/>
      <c r="X8174" s="7" t="n"/>
      <c r="Z8174">
        <f>Z8173+IF(W8174="",0,IF(ISNA(MATCH(W8174,W$256:W8173,0)),1,0))</f>
        <v/>
      </c>
      <c r="AA8174">
        <f>IF(Z8174&gt;Z8173,Z8174,"")</f>
        <v/>
      </c>
      <c r="AB8174">
        <f>AB8173+IF(X8174="",0,IF(ISNA(MATCH(X8174,X$256:X8173,0)),1,0))</f>
        <v/>
      </c>
      <c r="AC8174">
        <f>IF(AB8174&gt;AB8173,AB8174,"")</f>
        <v/>
      </c>
    </row>
    <row r="8175">
      <c r="W8175" s="7" t="n"/>
      <c r="X8175" s="7" t="n"/>
      <c r="Z8175">
        <f>Z8174+IF(W8175="",0,IF(ISNA(MATCH(W8175,W$256:W8174,0)),1,0))</f>
        <v/>
      </c>
      <c r="AA8175">
        <f>IF(Z8175&gt;Z8174,Z8175,"")</f>
        <v/>
      </c>
      <c r="AB8175">
        <f>AB8174+IF(X8175="",0,IF(ISNA(MATCH(X8175,X$256:X8174,0)),1,0))</f>
        <v/>
      </c>
      <c r="AC8175">
        <f>IF(AB8175&gt;AB8174,AB8175,"")</f>
        <v/>
      </c>
    </row>
    <row r="8176">
      <c r="W8176" s="7" t="n"/>
      <c r="X8176" s="7" t="n"/>
      <c r="Z8176">
        <f>Z8175+IF(W8176="",0,IF(ISNA(MATCH(W8176,W$256:W8175,0)),1,0))</f>
        <v/>
      </c>
      <c r="AA8176">
        <f>IF(Z8176&gt;Z8175,Z8176,"")</f>
        <v/>
      </c>
      <c r="AB8176">
        <f>AB8175+IF(X8176="",0,IF(ISNA(MATCH(X8176,X$256:X8175,0)),1,0))</f>
        <v/>
      </c>
      <c r="AC8176">
        <f>IF(AB8176&gt;AB8175,AB8176,"")</f>
        <v/>
      </c>
    </row>
    <row r="8177">
      <c r="W8177" s="7" t="n"/>
      <c r="X8177" s="7" t="n"/>
      <c r="Z8177">
        <f>Z8176+IF(W8177="",0,IF(ISNA(MATCH(W8177,W$256:W8176,0)),1,0))</f>
        <v/>
      </c>
      <c r="AA8177">
        <f>IF(Z8177&gt;Z8176,Z8177,"")</f>
        <v/>
      </c>
      <c r="AB8177">
        <f>AB8176+IF(X8177="",0,IF(ISNA(MATCH(X8177,X$256:X8176,0)),1,0))</f>
        <v/>
      </c>
      <c r="AC8177">
        <f>IF(AB8177&gt;AB8176,AB8177,"")</f>
        <v/>
      </c>
    </row>
    <row r="8178">
      <c r="W8178" s="7" t="n"/>
      <c r="X8178" s="7" t="n"/>
      <c r="Z8178">
        <f>Z8177+IF(W8178="",0,IF(ISNA(MATCH(W8178,W$256:W8177,0)),1,0))</f>
        <v/>
      </c>
      <c r="AA8178">
        <f>IF(Z8178&gt;Z8177,Z8178,"")</f>
        <v/>
      </c>
      <c r="AB8178">
        <f>AB8177+IF(X8178="",0,IF(ISNA(MATCH(X8178,X$256:X8177,0)),1,0))</f>
        <v/>
      </c>
      <c r="AC8178">
        <f>IF(AB8178&gt;AB8177,AB8178,"")</f>
        <v/>
      </c>
    </row>
    <row r="8179">
      <c r="W8179" s="7" t="n"/>
      <c r="X8179" s="7" t="n"/>
      <c r="Z8179">
        <f>Z8178+IF(W8179="",0,IF(ISNA(MATCH(W8179,W$256:W8178,0)),1,0))</f>
        <v/>
      </c>
      <c r="AA8179">
        <f>IF(Z8179&gt;Z8178,Z8179,"")</f>
        <v/>
      </c>
      <c r="AB8179">
        <f>AB8178+IF(X8179="",0,IF(ISNA(MATCH(X8179,X$256:X8178,0)),1,0))</f>
        <v/>
      </c>
      <c r="AC8179">
        <f>IF(AB8179&gt;AB8178,AB8179,"")</f>
        <v/>
      </c>
    </row>
    <row r="8180">
      <c r="W8180" s="7" t="n"/>
      <c r="X8180" s="7" t="n"/>
      <c r="Z8180">
        <f>Z8179+IF(W8180="",0,IF(ISNA(MATCH(W8180,W$256:W8179,0)),1,0))</f>
        <v/>
      </c>
      <c r="AA8180">
        <f>IF(Z8180&gt;Z8179,Z8180,"")</f>
        <v/>
      </c>
      <c r="AB8180">
        <f>AB8179+IF(X8180="",0,IF(ISNA(MATCH(X8180,X$256:X8179,0)),1,0))</f>
        <v/>
      </c>
      <c r="AC8180">
        <f>IF(AB8180&gt;AB8179,AB8180,"")</f>
        <v/>
      </c>
    </row>
    <row r="8181">
      <c r="W8181" s="7" t="n"/>
      <c r="X8181" s="7" t="n"/>
      <c r="Z8181">
        <f>Z8180+IF(W8181="",0,IF(ISNA(MATCH(W8181,W$256:W8180,0)),1,0))</f>
        <v/>
      </c>
      <c r="AA8181">
        <f>IF(Z8181&gt;Z8180,Z8181,"")</f>
        <v/>
      </c>
      <c r="AB8181">
        <f>AB8180+IF(X8181="",0,IF(ISNA(MATCH(X8181,X$256:X8180,0)),1,0))</f>
        <v/>
      </c>
      <c r="AC8181">
        <f>IF(AB8181&gt;AB8180,AB8181,"")</f>
        <v/>
      </c>
    </row>
    <row r="8182">
      <c r="W8182" s="7" t="n"/>
      <c r="X8182" s="7" t="n"/>
      <c r="Z8182">
        <f>Z8181+IF(W8182="",0,IF(ISNA(MATCH(W8182,W$256:W8181,0)),1,0))</f>
        <v/>
      </c>
      <c r="AA8182">
        <f>IF(Z8182&gt;Z8181,Z8182,"")</f>
        <v/>
      </c>
      <c r="AB8182">
        <f>AB8181+IF(X8182="",0,IF(ISNA(MATCH(X8182,X$256:X8181,0)),1,0))</f>
        <v/>
      </c>
      <c r="AC8182">
        <f>IF(AB8182&gt;AB8181,AB8182,"")</f>
        <v/>
      </c>
    </row>
    <row r="8183">
      <c r="W8183" s="7" t="n"/>
      <c r="X8183" s="7" t="n"/>
      <c r="Z8183">
        <f>Z8182+IF(W8183="",0,IF(ISNA(MATCH(W8183,W$256:W8182,0)),1,0))</f>
        <v/>
      </c>
      <c r="AA8183">
        <f>IF(Z8183&gt;Z8182,Z8183,"")</f>
        <v/>
      </c>
      <c r="AB8183">
        <f>AB8182+IF(X8183="",0,IF(ISNA(MATCH(X8183,X$256:X8182,0)),1,0))</f>
        <v/>
      </c>
      <c r="AC8183">
        <f>IF(AB8183&gt;AB8182,AB8183,"")</f>
        <v/>
      </c>
    </row>
    <row r="8184">
      <c r="W8184" s="7" t="n"/>
      <c r="X8184" s="7" t="n"/>
      <c r="Z8184">
        <f>Z8183+IF(W8184="",0,IF(ISNA(MATCH(W8184,W$256:W8183,0)),1,0))</f>
        <v/>
      </c>
      <c r="AA8184">
        <f>IF(Z8184&gt;Z8183,Z8184,"")</f>
        <v/>
      </c>
      <c r="AB8184">
        <f>AB8183+IF(X8184="",0,IF(ISNA(MATCH(X8184,X$256:X8183,0)),1,0))</f>
        <v/>
      </c>
      <c r="AC8184">
        <f>IF(AB8184&gt;AB8183,AB8184,"")</f>
        <v/>
      </c>
    </row>
    <row r="8185">
      <c r="W8185" s="7" t="n"/>
      <c r="X8185" s="7" t="n"/>
      <c r="Z8185">
        <f>Z8184+IF(W8185="",0,IF(ISNA(MATCH(W8185,W$256:W8184,0)),1,0))</f>
        <v/>
      </c>
      <c r="AA8185">
        <f>IF(Z8185&gt;Z8184,Z8185,"")</f>
        <v/>
      </c>
      <c r="AB8185">
        <f>AB8184+IF(X8185="",0,IF(ISNA(MATCH(X8185,X$256:X8184,0)),1,0))</f>
        <v/>
      </c>
      <c r="AC8185">
        <f>IF(AB8185&gt;AB8184,AB8185,"")</f>
        <v/>
      </c>
    </row>
    <row r="8186">
      <c r="W8186" s="7" t="n"/>
      <c r="X8186" s="7" t="n"/>
      <c r="Z8186">
        <f>Z8185+IF(W8186="",0,IF(ISNA(MATCH(W8186,W$256:W8185,0)),1,0))</f>
        <v/>
      </c>
      <c r="AA8186">
        <f>IF(Z8186&gt;Z8185,Z8186,"")</f>
        <v/>
      </c>
      <c r="AB8186">
        <f>AB8185+IF(X8186="",0,IF(ISNA(MATCH(X8186,X$256:X8185,0)),1,0))</f>
        <v/>
      </c>
      <c r="AC8186">
        <f>IF(AB8186&gt;AB8185,AB8186,"")</f>
        <v/>
      </c>
    </row>
    <row r="8187">
      <c r="W8187" s="7" t="n"/>
      <c r="X8187" s="7" t="n"/>
      <c r="Z8187">
        <f>Z8186+IF(W8187="",0,IF(ISNA(MATCH(W8187,W$256:W8186,0)),1,0))</f>
        <v/>
      </c>
      <c r="AA8187">
        <f>IF(Z8187&gt;Z8186,Z8187,"")</f>
        <v/>
      </c>
      <c r="AB8187">
        <f>AB8186+IF(X8187="",0,IF(ISNA(MATCH(X8187,X$256:X8186,0)),1,0))</f>
        <v/>
      </c>
      <c r="AC8187">
        <f>IF(AB8187&gt;AB8186,AB8187,"")</f>
        <v/>
      </c>
    </row>
    <row r="8188">
      <c r="W8188" s="7" t="n"/>
      <c r="X8188" s="7" t="n"/>
      <c r="Z8188">
        <f>Z8187+IF(W8188="",0,IF(ISNA(MATCH(W8188,W$256:W8187,0)),1,0))</f>
        <v/>
      </c>
      <c r="AA8188">
        <f>IF(Z8188&gt;Z8187,Z8188,"")</f>
        <v/>
      </c>
      <c r="AB8188">
        <f>AB8187+IF(X8188="",0,IF(ISNA(MATCH(X8188,X$256:X8187,0)),1,0))</f>
        <v/>
      </c>
      <c r="AC8188">
        <f>IF(AB8188&gt;AB8187,AB8188,"")</f>
        <v/>
      </c>
    </row>
    <row r="8189">
      <c r="W8189" s="7" t="n"/>
      <c r="X8189" s="7" t="n"/>
      <c r="Z8189">
        <f>Z8188+IF(W8189="",0,IF(ISNA(MATCH(W8189,W$256:W8188,0)),1,0))</f>
        <v/>
      </c>
      <c r="AA8189">
        <f>IF(Z8189&gt;Z8188,Z8189,"")</f>
        <v/>
      </c>
      <c r="AB8189">
        <f>AB8188+IF(X8189="",0,IF(ISNA(MATCH(X8189,X$256:X8188,0)),1,0))</f>
        <v/>
      </c>
      <c r="AC8189">
        <f>IF(AB8189&gt;AB8188,AB8189,"")</f>
        <v/>
      </c>
    </row>
    <row r="8190">
      <c r="W8190" s="7" t="n"/>
      <c r="X8190" s="7" t="n"/>
      <c r="Z8190">
        <f>Z8189+IF(W8190="",0,IF(ISNA(MATCH(W8190,W$256:W8189,0)),1,0))</f>
        <v/>
      </c>
      <c r="AA8190">
        <f>IF(Z8190&gt;Z8189,Z8190,"")</f>
        <v/>
      </c>
      <c r="AB8190">
        <f>AB8189+IF(X8190="",0,IF(ISNA(MATCH(X8190,X$256:X8189,0)),1,0))</f>
        <v/>
      </c>
      <c r="AC8190">
        <f>IF(AB8190&gt;AB8189,AB8190,"")</f>
        <v/>
      </c>
    </row>
    <row r="8191">
      <c r="W8191" s="7" t="n"/>
      <c r="X8191" s="7" t="n"/>
      <c r="Z8191">
        <f>Z8190+IF(W8191="",0,IF(ISNA(MATCH(W8191,W$256:W8190,0)),1,0))</f>
        <v/>
      </c>
      <c r="AA8191">
        <f>IF(Z8191&gt;Z8190,Z8191,"")</f>
        <v/>
      </c>
      <c r="AB8191">
        <f>AB8190+IF(X8191="",0,IF(ISNA(MATCH(X8191,X$256:X8190,0)),1,0))</f>
        <v/>
      </c>
      <c r="AC8191">
        <f>IF(AB8191&gt;AB8190,AB8191,"")</f>
        <v/>
      </c>
    </row>
    <row r="8192">
      <c r="W8192" s="7" t="n"/>
      <c r="X8192" s="7" t="n"/>
      <c r="Z8192">
        <f>Z8191+IF(W8192="",0,IF(ISNA(MATCH(W8192,W$256:W8191,0)),1,0))</f>
        <v/>
      </c>
      <c r="AA8192">
        <f>IF(Z8192&gt;Z8191,Z8192,"")</f>
        <v/>
      </c>
      <c r="AB8192">
        <f>AB8191+IF(X8192="",0,IF(ISNA(MATCH(X8192,X$256:X8191,0)),1,0))</f>
        <v/>
      </c>
      <c r="AC8192">
        <f>IF(AB8192&gt;AB8191,AB8192,"")</f>
        <v/>
      </c>
    </row>
    <row r="8193">
      <c r="W8193" s="7" t="n"/>
      <c r="X8193" s="7" t="n"/>
      <c r="Z8193">
        <f>Z8192+IF(W8193="",0,IF(ISNA(MATCH(W8193,W$256:W8192,0)),1,0))</f>
        <v/>
      </c>
      <c r="AA8193">
        <f>IF(Z8193&gt;Z8192,Z8193,"")</f>
        <v/>
      </c>
      <c r="AB8193">
        <f>AB8192+IF(X8193="",0,IF(ISNA(MATCH(X8193,X$256:X8192,0)),1,0))</f>
        <v/>
      </c>
      <c r="AC8193">
        <f>IF(AB8193&gt;AB8192,AB8193,"")</f>
        <v/>
      </c>
    </row>
    <row r="8194">
      <c r="W8194" s="7" t="n"/>
      <c r="X8194" s="7" t="n"/>
      <c r="Z8194">
        <f>Z8193+IF(W8194="",0,IF(ISNA(MATCH(W8194,W$256:W8193,0)),1,0))</f>
        <v/>
      </c>
      <c r="AA8194">
        <f>IF(Z8194&gt;Z8193,Z8194,"")</f>
        <v/>
      </c>
      <c r="AB8194">
        <f>AB8193+IF(X8194="",0,IF(ISNA(MATCH(X8194,X$256:X8193,0)),1,0))</f>
        <v/>
      </c>
      <c r="AC8194">
        <f>IF(AB8194&gt;AB8193,AB8194,"")</f>
        <v/>
      </c>
    </row>
    <row r="8195">
      <c r="W8195" s="7" t="n"/>
      <c r="X8195" s="7" t="n"/>
      <c r="Z8195">
        <f>Z8194+IF(W8195="",0,IF(ISNA(MATCH(W8195,W$256:W8194,0)),1,0))</f>
        <v/>
      </c>
      <c r="AA8195">
        <f>IF(Z8195&gt;Z8194,Z8195,"")</f>
        <v/>
      </c>
      <c r="AB8195">
        <f>AB8194+IF(X8195="",0,IF(ISNA(MATCH(X8195,X$256:X8194,0)),1,0))</f>
        <v/>
      </c>
      <c r="AC8195">
        <f>IF(AB8195&gt;AB8194,AB8195,"")</f>
        <v/>
      </c>
    </row>
    <row r="8196">
      <c r="W8196" s="7" t="n"/>
      <c r="X8196" s="7" t="n"/>
      <c r="Z8196">
        <f>Z8195+IF(W8196="",0,IF(ISNA(MATCH(W8196,W$256:W8195,0)),1,0))</f>
        <v/>
      </c>
      <c r="AA8196">
        <f>IF(Z8196&gt;Z8195,Z8196,"")</f>
        <v/>
      </c>
      <c r="AB8196">
        <f>AB8195+IF(X8196="",0,IF(ISNA(MATCH(X8196,X$256:X8195,0)),1,0))</f>
        <v/>
      </c>
      <c r="AC8196">
        <f>IF(AB8196&gt;AB8195,AB8196,"")</f>
        <v/>
      </c>
    </row>
    <row r="8197">
      <c r="W8197" s="7" t="n"/>
      <c r="X8197" s="7" t="n"/>
      <c r="Z8197">
        <f>Z8196+IF(W8197="",0,IF(ISNA(MATCH(W8197,W$256:W8196,0)),1,0))</f>
        <v/>
      </c>
      <c r="AA8197">
        <f>IF(Z8197&gt;Z8196,Z8197,"")</f>
        <v/>
      </c>
      <c r="AB8197">
        <f>AB8196+IF(X8197="",0,IF(ISNA(MATCH(X8197,X$256:X8196,0)),1,0))</f>
        <v/>
      </c>
      <c r="AC8197">
        <f>IF(AB8197&gt;AB8196,AB8197,"")</f>
        <v/>
      </c>
    </row>
    <row r="8198">
      <c r="W8198" s="7" t="n"/>
      <c r="X8198" s="7" t="n"/>
      <c r="Z8198">
        <f>Z8197+IF(W8198="",0,IF(ISNA(MATCH(W8198,W$256:W8197,0)),1,0))</f>
        <v/>
      </c>
      <c r="AA8198">
        <f>IF(Z8198&gt;Z8197,Z8198,"")</f>
        <v/>
      </c>
      <c r="AB8198">
        <f>AB8197+IF(X8198="",0,IF(ISNA(MATCH(X8198,X$256:X8197,0)),1,0))</f>
        <v/>
      </c>
      <c r="AC8198">
        <f>IF(AB8198&gt;AB8197,AB8198,"")</f>
        <v/>
      </c>
    </row>
    <row r="8199">
      <c r="W8199" s="7" t="n"/>
      <c r="X8199" s="7" t="n"/>
      <c r="Z8199">
        <f>Z8198+IF(W8199="",0,IF(ISNA(MATCH(W8199,W$256:W8198,0)),1,0))</f>
        <v/>
      </c>
      <c r="AA8199">
        <f>IF(Z8199&gt;Z8198,Z8199,"")</f>
        <v/>
      </c>
      <c r="AB8199">
        <f>AB8198+IF(X8199="",0,IF(ISNA(MATCH(X8199,X$256:X8198,0)),1,0))</f>
        <v/>
      </c>
      <c r="AC8199">
        <f>IF(AB8199&gt;AB8198,AB8199,"")</f>
        <v/>
      </c>
    </row>
    <row r="8200">
      <c r="W8200" s="7" t="n"/>
      <c r="X8200" s="7" t="n"/>
      <c r="Z8200">
        <f>Z8199+IF(W8200="",0,IF(ISNA(MATCH(W8200,W$256:W8199,0)),1,0))</f>
        <v/>
      </c>
      <c r="AA8200">
        <f>IF(Z8200&gt;Z8199,Z8200,"")</f>
        <v/>
      </c>
      <c r="AB8200">
        <f>AB8199+IF(X8200="",0,IF(ISNA(MATCH(X8200,X$256:X8199,0)),1,0))</f>
        <v/>
      </c>
      <c r="AC8200">
        <f>IF(AB8200&gt;AB8199,AB8200,"")</f>
        <v/>
      </c>
    </row>
    <row r="8201">
      <c r="W8201" s="7" t="n"/>
      <c r="X8201" s="7" t="n"/>
      <c r="Z8201">
        <f>Z8200+IF(W8201="",0,IF(ISNA(MATCH(W8201,W$256:W8200,0)),1,0))</f>
        <v/>
      </c>
      <c r="AA8201">
        <f>IF(Z8201&gt;Z8200,Z8201,"")</f>
        <v/>
      </c>
      <c r="AB8201">
        <f>AB8200+IF(X8201="",0,IF(ISNA(MATCH(X8201,X$256:X8200,0)),1,0))</f>
        <v/>
      </c>
      <c r="AC8201">
        <f>IF(AB8201&gt;AB8200,AB8201,"")</f>
        <v/>
      </c>
    </row>
    <row r="8202">
      <c r="W8202" s="7" t="n"/>
      <c r="X8202" s="7" t="n"/>
      <c r="Z8202">
        <f>Z8201+IF(W8202="",0,IF(ISNA(MATCH(W8202,W$256:W8201,0)),1,0))</f>
        <v/>
      </c>
      <c r="AA8202">
        <f>IF(Z8202&gt;Z8201,Z8202,"")</f>
        <v/>
      </c>
      <c r="AB8202">
        <f>AB8201+IF(X8202="",0,IF(ISNA(MATCH(X8202,X$256:X8201,0)),1,0))</f>
        <v/>
      </c>
      <c r="AC8202">
        <f>IF(AB8202&gt;AB8201,AB8202,"")</f>
        <v/>
      </c>
    </row>
    <row r="8203">
      <c r="W8203" s="7" t="n"/>
      <c r="X8203" s="7" t="n"/>
      <c r="Z8203">
        <f>Z8202+IF(W8203="",0,IF(ISNA(MATCH(W8203,W$256:W8202,0)),1,0))</f>
        <v/>
      </c>
      <c r="AA8203">
        <f>IF(Z8203&gt;Z8202,Z8203,"")</f>
        <v/>
      </c>
      <c r="AB8203">
        <f>AB8202+IF(X8203="",0,IF(ISNA(MATCH(X8203,X$256:X8202,0)),1,0))</f>
        <v/>
      </c>
      <c r="AC8203">
        <f>IF(AB8203&gt;AB8202,AB8203,"")</f>
        <v/>
      </c>
    </row>
    <row r="8204">
      <c r="W8204" s="7" t="n"/>
      <c r="X8204" s="7" t="n"/>
      <c r="Z8204">
        <f>Z8203+IF(W8204="",0,IF(ISNA(MATCH(W8204,W$256:W8203,0)),1,0))</f>
        <v/>
      </c>
      <c r="AA8204">
        <f>IF(Z8204&gt;Z8203,Z8204,"")</f>
        <v/>
      </c>
      <c r="AB8204">
        <f>AB8203+IF(X8204="",0,IF(ISNA(MATCH(X8204,X$256:X8203,0)),1,0))</f>
        <v/>
      </c>
      <c r="AC8204">
        <f>IF(AB8204&gt;AB8203,AB8204,"")</f>
        <v/>
      </c>
    </row>
    <row r="8205">
      <c r="W8205" s="7" t="n"/>
      <c r="X8205" s="7" t="n"/>
      <c r="Z8205">
        <f>Z8204+IF(W8205="",0,IF(ISNA(MATCH(W8205,W$256:W8204,0)),1,0))</f>
        <v/>
      </c>
      <c r="AA8205">
        <f>IF(Z8205&gt;Z8204,Z8205,"")</f>
        <v/>
      </c>
      <c r="AB8205">
        <f>AB8204+IF(X8205="",0,IF(ISNA(MATCH(X8205,X$256:X8204,0)),1,0))</f>
        <v/>
      </c>
      <c r="AC8205">
        <f>IF(AB8205&gt;AB8204,AB8205,"")</f>
        <v/>
      </c>
    </row>
    <row r="8206">
      <c r="W8206" s="7" t="n"/>
      <c r="X8206" s="7" t="n"/>
      <c r="Z8206">
        <f>Z8205+IF(W8206="",0,IF(ISNA(MATCH(W8206,W$256:W8205,0)),1,0))</f>
        <v/>
      </c>
      <c r="AA8206">
        <f>IF(Z8206&gt;Z8205,Z8206,"")</f>
        <v/>
      </c>
      <c r="AB8206">
        <f>AB8205+IF(X8206="",0,IF(ISNA(MATCH(X8206,X$256:X8205,0)),1,0))</f>
        <v/>
      </c>
      <c r="AC8206">
        <f>IF(AB8206&gt;AB8205,AB8206,"")</f>
        <v/>
      </c>
    </row>
    <row r="8207">
      <c r="W8207" s="7" t="n"/>
      <c r="X8207" s="7" t="n"/>
      <c r="Z8207">
        <f>Z8206+IF(W8207="",0,IF(ISNA(MATCH(W8207,W$256:W8206,0)),1,0))</f>
        <v/>
      </c>
      <c r="AA8207">
        <f>IF(Z8207&gt;Z8206,Z8207,"")</f>
        <v/>
      </c>
      <c r="AB8207">
        <f>AB8206+IF(X8207="",0,IF(ISNA(MATCH(X8207,X$256:X8206,0)),1,0))</f>
        <v/>
      </c>
      <c r="AC8207">
        <f>IF(AB8207&gt;AB8206,AB8207,"")</f>
        <v/>
      </c>
    </row>
    <row r="8208">
      <c r="W8208" s="7" t="n"/>
      <c r="X8208" s="7" t="n"/>
      <c r="Z8208">
        <f>Z8207+IF(W8208="",0,IF(ISNA(MATCH(W8208,W$256:W8207,0)),1,0))</f>
        <v/>
      </c>
      <c r="AA8208">
        <f>IF(Z8208&gt;Z8207,Z8208,"")</f>
        <v/>
      </c>
      <c r="AB8208">
        <f>AB8207+IF(X8208="",0,IF(ISNA(MATCH(X8208,X$256:X8207,0)),1,0))</f>
        <v/>
      </c>
      <c r="AC8208">
        <f>IF(AB8208&gt;AB8207,AB8208,"")</f>
        <v/>
      </c>
    </row>
    <row r="8209">
      <c r="W8209" s="7" t="n"/>
      <c r="X8209" s="7" t="n"/>
      <c r="Z8209">
        <f>Z8208+IF(W8209="",0,IF(ISNA(MATCH(W8209,W$256:W8208,0)),1,0))</f>
        <v/>
      </c>
      <c r="AA8209">
        <f>IF(Z8209&gt;Z8208,Z8209,"")</f>
        <v/>
      </c>
      <c r="AB8209">
        <f>AB8208+IF(X8209="",0,IF(ISNA(MATCH(X8209,X$256:X8208,0)),1,0))</f>
        <v/>
      </c>
      <c r="AC8209">
        <f>IF(AB8209&gt;AB8208,AB8209,"")</f>
        <v/>
      </c>
    </row>
    <row r="8210">
      <c r="W8210" s="7" t="n"/>
      <c r="X8210" s="7" t="n"/>
      <c r="Z8210">
        <f>Z8209+IF(W8210="",0,IF(ISNA(MATCH(W8210,W$256:W8209,0)),1,0))</f>
        <v/>
      </c>
      <c r="AA8210">
        <f>IF(Z8210&gt;Z8209,Z8210,"")</f>
        <v/>
      </c>
      <c r="AB8210">
        <f>AB8209+IF(X8210="",0,IF(ISNA(MATCH(X8210,X$256:X8209,0)),1,0))</f>
        <v/>
      </c>
      <c r="AC8210">
        <f>IF(AB8210&gt;AB8209,AB8210,"")</f>
        <v/>
      </c>
    </row>
    <row r="8211">
      <c r="W8211" s="7" t="n"/>
      <c r="X8211" s="7" t="n"/>
      <c r="Z8211">
        <f>Z8210+IF(W8211="",0,IF(ISNA(MATCH(W8211,W$256:W8210,0)),1,0))</f>
        <v/>
      </c>
      <c r="AA8211">
        <f>IF(Z8211&gt;Z8210,Z8211,"")</f>
        <v/>
      </c>
      <c r="AB8211">
        <f>AB8210+IF(X8211="",0,IF(ISNA(MATCH(X8211,X$256:X8210,0)),1,0))</f>
        <v/>
      </c>
      <c r="AC8211">
        <f>IF(AB8211&gt;AB8210,AB8211,"")</f>
        <v/>
      </c>
    </row>
    <row r="8212">
      <c r="W8212" s="7" t="n"/>
      <c r="X8212" s="7" t="n"/>
      <c r="Z8212">
        <f>Z8211+IF(W8212="",0,IF(ISNA(MATCH(W8212,W$256:W8211,0)),1,0))</f>
        <v/>
      </c>
      <c r="AA8212">
        <f>IF(Z8212&gt;Z8211,Z8212,"")</f>
        <v/>
      </c>
      <c r="AB8212">
        <f>AB8211+IF(X8212="",0,IF(ISNA(MATCH(X8212,X$256:X8211,0)),1,0))</f>
        <v/>
      </c>
      <c r="AC8212">
        <f>IF(AB8212&gt;AB8211,AB8212,"")</f>
        <v/>
      </c>
    </row>
    <row r="8213">
      <c r="W8213" s="7" t="n"/>
      <c r="X8213" s="7" t="n"/>
      <c r="Z8213">
        <f>Z8212+IF(W8213="",0,IF(ISNA(MATCH(W8213,W$256:W8212,0)),1,0))</f>
        <v/>
      </c>
      <c r="AA8213">
        <f>IF(Z8213&gt;Z8212,Z8213,"")</f>
        <v/>
      </c>
      <c r="AB8213">
        <f>AB8212+IF(X8213="",0,IF(ISNA(MATCH(X8213,X$256:X8212,0)),1,0))</f>
        <v/>
      </c>
      <c r="AC8213">
        <f>IF(AB8213&gt;AB8212,AB8213,"")</f>
        <v/>
      </c>
    </row>
    <row r="8214">
      <c r="W8214" s="7" t="n"/>
      <c r="X8214" s="7" t="n"/>
      <c r="Z8214">
        <f>Z8213+IF(W8214="",0,IF(ISNA(MATCH(W8214,W$256:W8213,0)),1,0))</f>
        <v/>
      </c>
      <c r="AA8214">
        <f>IF(Z8214&gt;Z8213,Z8214,"")</f>
        <v/>
      </c>
      <c r="AB8214">
        <f>AB8213+IF(X8214="",0,IF(ISNA(MATCH(X8214,X$256:X8213,0)),1,0))</f>
        <v/>
      </c>
      <c r="AC8214">
        <f>IF(AB8214&gt;AB8213,AB8214,"")</f>
        <v/>
      </c>
    </row>
    <row r="8215">
      <c r="W8215" s="7" t="n"/>
      <c r="X8215" s="7" t="n"/>
      <c r="Z8215">
        <f>Z8214+IF(W8215="",0,IF(ISNA(MATCH(W8215,W$256:W8214,0)),1,0))</f>
        <v/>
      </c>
      <c r="AA8215">
        <f>IF(Z8215&gt;Z8214,Z8215,"")</f>
        <v/>
      </c>
      <c r="AB8215">
        <f>AB8214+IF(X8215="",0,IF(ISNA(MATCH(X8215,X$256:X8214,0)),1,0))</f>
        <v/>
      </c>
      <c r="AC8215">
        <f>IF(AB8215&gt;AB8214,AB8215,"")</f>
        <v/>
      </c>
    </row>
    <row r="8216">
      <c r="W8216" s="7" t="n"/>
      <c r="X8216" s="7" t="n"/>
      <c r="Z8216">
        <f>Z8215+IF(W8216="",0,IF(ISNA(MATCH(W8216,W$256:W8215,0)),1,0))</f>
        <v/>
      </c>
      <c r="AA8216">
        <f>IF(Z8216&gt;Z8215,Z8216,"")</f>
        <v/>
      </c>
      <c r="AB8216">
        <f>AB8215+IF(X8216="",0,IF(ISNA(MATCH(X8216,X$256:X8215,0)),1,0))</f>
        <v/>
      </c>
      <c r="AC8216">
        <f>IF(AB8216&gt;AB8215,AB8216,"")</f>
        <v/>
      </c>
    </row>
    <row r="8217">
      <c r="W8217" s="7" t="n"/>
      <c r="X8217" s="7" t="n"/>
      <c r="Z8217">
        <f>Z8216+IF(W8217="",0,IF(ISNA(MATCH(W8217,W$256:W8216,0)),1,0))</f>
        <v/>
      </c>
      <c r="AA8217">
        <f>IF(Z8217&gt;Z8216,Z8217,"")</f>
        <v/>
      </c>
      <c r="AB8217">
        <f>AB8216+IF(X8217="",0,IF(ISNA(MATCH(X8217,X$256:X8216,0)),1,0))</f>
        <v/>
      </c>
      <c r="AC8217">
        <f>IF(AB8217&gt;AB8216,AB8217,"")</f>
        <v/>
      </c>
    </row>
    <row r="8218">
      <c r="W8218" s="7" t="n"/>
      <c r="X8218" s="7" t="n"/>
      <c r="Z8218">
        <f>Z8217+IF(W8218="",0,IF(ISNA(MATCH(W8218,W$256:W8217,0)),1,0))</f>
        <v/>
      </c>
      <c r="AA8218">
        <f>IF(Z8218&gt;Z8217,Z8218,"")</f>
        <v/>
      </c>
      <c r="AB8218">
        <f>AB8217+IF(X8218="",0,IF(ISNA(MATCH(X8218,X$256:X8217,0)),1,0))</f>
        <v/>
      </c>
      <c r="AC8218">
        <f>IF(AB8218&gt;AB8217,AB8218,"")</f>
        <v/>
      </c>
    </row>
    <row r="8219">
      <c r="W8219" s="7" t="n"/>
      <c r="X8219" s="7" t="n"/>
      <c r="Z8219">
        <f>Z8218+IF(W8219="",0,IF(ISNA(MATCH(W8219,W$256:W8218,0)),1,0))</f>
        <v/>
      </c>
      <c r="AA8219">
        <f>IF(Z8219&gt;Z8218,Z8219,"")</f>
        <v/>
      </c>
      <c r="AB8219">
        <f>AB8218+IF(X8219="",0,IF(ISNA(MATCH(X8219,X$256:X8218,0)),1,0))</f>
        <v/>
      </c>
      <c r="AC8219">
        <f>IF(AB8219&gt;AB8218,AB8219,"")</f>
        <v/>
      </c>
    </row>
    <row r="8220">
      <c r="W8220" s="7" t="n"/>
      <c r="X8220" s="7" t="n"/>
      <c r="Z8220">
        <f>Z8219+IF(W8220="",0,IF(ISNA(MATCH(W8220,W$256:W8219,0)),1,0))</f>
        <v/>
      </c>
      <c r="AA8220">
        <f>IF(Z8220&gt;Z8219,Z8220,"")</f>
        <v/>
      </c>
      <c r="AB8220">
        <f>AB8219+IF(X8220="",0,IF(ISNA(MATCH(X8220,X$256:X8219,0)),1,0))</f>
        <v/>
      </c>
      <c r="AC8220">
        <f>IF(AB8220&gt;AB8219,AB8220,"")</f>
        <v/>
      </c>
    </row>
    <row r="8221">
      <c r="W8221" s="7" t="n"/>
      <c r="X8221" s="7" t="n"/>
      <c r="Z8221">
        <f>Z8220+IF(W8221="",0,IF(ISNA(MATCH(W8221,W$256:W8220,0)),1,0))</f>
        <v/>
      </c>
      <c r="AA8221">
        <f>IF(Z8221&gt;Z8220,Z8221,"")</f>
        <v/>
      </c>
      <c r="AB8221">
        <f>AB8220+IF(X8221="",0,IF(ISNA(MATCH(X8221,X$256:X8220,0)),1,0))</f>
        <v/>
      </c>
      <c r="AC8221">
        <f>IF(AB8221&gt;AB8220,AB8221,"")</f>
        <v/>
      </c>
    </row>
    <row r="8222">
      <c r="W8222" s="7" t="n"/>
      <c r="X8222" s="7" t="n"/>
      <c r="Z8222">
        <f>Z8221+IF(W8222="",0,IF(ISNA(MATCH(W8222,W$256:W8221,0)),1,0))</f>
        <v/>
      </c>
      <c r="AA8222">
        <f>IF(Z8222&gt;Z8221,Z8222,"")</f>
        <v/>
      </c>
      <c r="AB8222">
        <f>AB8221+IF(X8222="",0,IF(ISNA(MATCH(X8222,X$256:X8221,0)),1,0))</f>
        <v/>
      </c>
      <c r="AC8222">
        <f>IF(AB8222&gt;AB8221,AB8222,"")</f>
        <v/>
      </c>
    </row>
    <row r="8223">
      <c r="W8223" s="7" t="n"/>
      <c r="X8223" s="7" t="n"/>
      <c r="Z8223">
        <f>Z8222+IF(W8223="",0,IF(ISNA(MATCH(W8223,W$256:W8222,0)),1,0))</f>
        <v/>
      </c>
      <c r="AA8223">
        <f>IF(Z8223&gt;Z8222,Z8223,"")</f>
        <v/>
      </c>
      <c r="AB8223">
        <f>AB8222+IF(X8223="",0,IF(ISNA(MATCH(X8223,X$256:X8222,0)),1,0))</f>
        <v/>
      </c>
      <c r="AC8223">
        <f>IF(AB8223&gt;AB8222,AB8223,"")</f>
        <v/>
      </c>
    </row>
    <row r="8224">
      <c r="W8224" s="7" t="n"/>
      <c r="X8224" s="7" t="n"/>
      <c r="Z8224">
        <f>Z8223+IF(W8224="",0,IF(ISNA(MATCH(W8224,W$256:W8223,0)),1,0))</f>
        <v/>
      </c>
      <c r="AA8224">
        <f>IF(Z8224&gt;Z8223,Z8224,"")</f>
        <v/>
      </c>
      <c r="AB8224">
        <f>AB8223+IF(X8224="",0,IF(ISNA(MATCH(X8224,X$256:X8223,0)),1,0))</f>
        <v/>
      </c>
      <c r="AC8224">
        <f>IF(AB8224&gt;AB8223,AB8224,"")</f>
        <v/>
      </c>
    </row>
    <row r="8225">
      <c r="W8225" s="7" t="n"/>
      <c r="X8225" s="7" t="n"/>
      <c r="Z8225">
        <f>Z8224+IF(W8225="",0,IF(ISNA(MATCH(W8225,W$256:W8224,0)),1,0))</f>
        <v/>
      </c>
      <c r="AA8225">
        <f>IF(Z8225&gt;Z8224,Z8225,"")</f>
        <v/>
      </c>
      <c r="AB8225">
        <f>AB8224+IF(X8225="",0,IF(ISNA(MATCH(X8225,X$256:X8224,0)),1,0))</f>
        <v/>
      </c>
      <c r="AC8225">
        <f>IF(AB8225&gt;AB8224,AB8225,"")</f>
        <v/>
      </c>
    </row>
    <row r="8226">
      <c r="W8226" s="7" t="n"/>
      <c r="X8226" s="7" t="n"/>
      <c r="Z8226">
        <f>Z8225+IF(W8226="",0,IF(ISNA(MATCH(W8226,W$256:W8225,0)),1,0))</f>
        <v/>
      </c>
      <c r="AA8226">
        <f>IF(Z8226&gt;Z8225,Z8226,"")</f>
        <v/>
      </c>
      <c r="AB8226">
        <f>AB8225+IF(X8226="",0,IF(ISNA(MATCH(X8226,X$256:X8225,0)),1,0))</f>
        <v/>
      </c>
      <c r="AC8226">
        <f>IF(AB8226&gt;AB8225,AB8226,"")</f>
        <v/>
      </c>
    </row>
    <row r="8227">
      <c r="W8227" s="7" t="n"/>
      <c r="X8227" s="7" t="n"/>
      <c r="Z8227">
        <f>Z8226+IF(W8227="",0,IF(ISNA(MATCH(W8227,W$256:W8226,0)),1,0))</f>
        <v/>
      </c>
      <c r="AA8227">
        <f>IF(Z8227&gt;Z8226,Z8227,"")</f>
        <v/>
      </c>
      <c r="AB8227">
        <f>AB8226+IF(X8227="",0,IF(ISNA(MATCH(X8227,X$256:X8226,0)),1,0))</f>
        <v/>
      </c>
      <c r="AC8227">
        <f>IF(AB8227&gt;AB8226,AB8227,"")</f>
        <v/>
      </c>
    </row>
    <row r="8228">
      <c r="W8228" s="7" t="n"/>
      <c r="X8228" s="7" t="n"/>
      <c r="Z8228">
        <f>Z8227+IF(W8228="",0,IF(ISNA(MATCH(W8228,W$256:W8227,0)),1,0))</f>
        <v/>
      </c>
      <c r="AA8228">
        <f>IF(Z8228&gt;Z8227,Z8228,"")</f>
        <v/>
      </c>
      <c r="AB8228">
        <f>AB8227+IF(X8228="",0,IF(ISNA(MATCH(X8228,X$256:X8227,0)),1,0))</f>
        <v/>
      </c>
      <c r="AC8228">
        <f>IF(AB8228&gt;AB8227,AB8228,"")</f>
        <v/>
      </c>
    </row>
    <row r="8229">
      <c r="W8229" s="7" t="n"/>
      <c r="X8229" s="7" t="n"/>
      <c r="Z8229">
        <f>Z8228+IF(W8229="",0,IF(ISNA(MATCH(W8229,W$256:W8228,0)),1,0))</f>
        <v/>
      </c>
      <c r="AA8229">
        <f>IF(Z8229&gt;Z8228,Z8229,"")</f>
        <v/>
      </c>
      <c r="AB8229">
        <f>AB8228+IF(X8229="",0,IF(ISNA(MATCH(X8229,X$256:X8228,0)),1,0))</f>
        <v/>
      </c>
      <c r="AC8229">
        <f>IF(AB8229&gt;AB8228,AB8229,"")</f>
        <v/>
      </c>
    </row>
    <row r="8230">
      <c r="W8230" s="7" t="n"/>
      <c r="X8230" s="7" t="n"/>
      <c r="Z8230">
        <f>Z8229+IF(W8230="",0,IF(ISNA(MATCH(W8230,W$256:W8229,0)),1,0))</f>
        <v/>
      </c>
      <c r="AA8230">
        <f>IF(Z8230&gt;Z8229,Z8230,"")</f>
        <v/>
      </c>
      <c r="AB8230">
        <f>AB8229+IF(X8230="",0,IF(ISNA(MATCH(X8230,X$256:X8229,0)),1,0))</f>
        <v/>
      </c>
      <c r="AC8230">
        <f>IF(AB8230&gt;AB8229,AB8230,"")</f>
        <v/>
      </c>
    </row>
    <row r="8231">
      <c r="W8231" s="7" t="n"/>
      <c r="X8231" s="7" t="n"/>
      <c r="Z8231">
        <f>Z8230+IF(W8231="",0,IF(ISNA(MATCH(W8231,W$256:W8230,0)),1,0))</f>
        <v/>
      </c>
      <c r="AA8231">
        <f>IF(Z8231&gt;Z8230,Z8231,"")</f>
        <v/>
      </c>
      <c r="AB8231">
        <f>AB8230+IF(X8231="",0,IF(ISNA(MATCH(X8231,X$256:X8230,0)),1,0))</f>
        <v/>
      </c>
      <c r="AC8231">
        <f>IF(AB8231&gt;AB8230,AB8231,"")</f>
        <v/>
      </c>
    </row>
    <row r="8232">
      <c r="W8232" s="7" t="n"/>
      <c r="X8232" s="7" t="n"/>
      <c r="Z8232">
        <f>Z8231+IF(W8232="",0,IF(ISNA(MATCH(W8232,W$256:W8231,0)),1,0))</f>
        <v/>
      </c>
      <c r="AA8232">
        <f>IF(Z8232&gt;Z8231,Z8232,"")</f>
        <v/>
      </c>
      <c r="AB8232">
        <f>AB8231+IF(X8232="",0,IF(ISNA(MATCH(X8232,X$256:X8231,0)),1,0))</f>
        <v/>
      </c>
      <c r="AC8232">
        <f>IF(AB8232&gt;AB8231,AB8232,"")</f>
        <v/>
      </c>
    </row>
    <row r="8233">
      <c r="W8233" s="7" t="n"/>
      <c r="X8233" s="7" t="n"/>
      <c r="Z8233">
        <f>Z8232+IF(W8233="",0,IF(ISNA(MATCH(W8233,W$256:W8232,0)),1,0))</f>
        <v/>
      </c>
      <c r="AA8233">
        <f>IF(Z8233&gt;Z8232,Z8233,"")</f>
        <v/>
      </c>
      <c r="AB8233">
        <f>AB8232+IF(X8233="",0,IF(ISNA(MATCH(X8233,X$256:X8232,0)),1,0))</f>
        <v/>
      </c>
      <c r="AC8233">
        <f>IF(AB8233&gt;AB8232,AB8233,"")</f>
        <v/>
      </c>
    </row>
    <row r="8234">
      <c r="W8234" s="7" t="n"/>
      <c r="X8234" s="7" t="n"/>
      <c r="Z8234">
        <f>Z8233+IF(W8234="",0,IF(ISNA(MATCH(W8234,W$256:W8233,0)),1,0))</f>
        <v/>
      </c>
      <c r="AA8234">
        <f>IF(Z8234&gt;Z8233,Z8234,"")</f>
        <v/>
      </c>
      <c r="AB8234">
        <f>AB8233+IF(X8234="",0,IF(ISNA(MATCH(X8234,X$256:X8233,0)),1,0))</f>
        <v/>
      </c>
      <c r="AC8234">
        <f>IF(AB8234&gt;AB8233,AB8234,"")</f>
        <v/>
      </c>
    </row>
    <row r="8235">
      <c r="W8235" s="7" t="n"/>
      <c r="X8235" s="7" t="n"/>
      <c r="Z8235">
        <f>Z8234+IF(W8235="",0,IF(ISNA(MATCH(W8235,W$256:W8234,0)),1,0))</f>
        <v/>
      </c>
      <c r="AA8235">
        <f>IF(Z8235&gt;Z8234,Z8235,"")</f>
        <v/>
      </c>
      <c r="AB8235">
        <f>AB8234+IF(X8235="",0,IF(ISNA(MATCH(X8235,X$256:X8234,0)),1,0))</f>
        <v/>
      </c>
      <c r="AC8235">
        <f>IF(AB8235&gt;AB8234,AB8235,"")</f>
        <v/>
      </c>
    </row>
    <row r="8236">
      <c r="W8236" s="7" t="n"/>
      <c r="X8236" s="7" t="n"/>
      <c r="Z8236">
        <f>Z8235+IF(W8236="",0,IF(ISNA(MATCH(W8236,W$256:W8235,0)),1,0))</f>
        <v/>
      </c>
      <c r="AA8236">
        <f>IF(Z8236&gt;Z8235,Z8236,"")</f>
        <v/>
      </c>
      <c r="AB8236">
        <f>AB8235+IF(X8236="",0,IF(ISNA(MATCH(X8236,X$256:X8235,0)),1,0))</f>
        <v/>
      </c>
      <c r="AC8236">
        <f>IF(AB8236&gt;AB8235,AB8236,"")</f>
        <v/>
      </c>
    </row>
    <row r="8237">
      <c r="W8237" s="7" t="n"/>
      <c r="X8237" s="7" t="n"/>
      <c r="Z8237">
        <f>Z8236+IF(W8237="",0,IF(ISNA(MATCH(W8237,W$256:W8236,0)),1,0))</f>
        <v/>
      </c>
      <c r="AA8237">
        <f>IF(Z8237&gt;Z8236,Z8237,"")</f>
        <v/>
      </c>
      <c r="AB8237">
        <f>AB8236+IF(X8237="",0,IF(ISNA(MATCH(X8237,X$256:X8236,0)),1,0))</f>
        <v/>
      </c>
      <c r="AC8237">
        <f>IF(AB8237&gt;AB8236,AB8237,"")</f>
        <v/>
      </c>
    </row>
    <row r="8238">
      <c r="W8238" s="7" t="n"/>
      <c r="X8238" s="7" t="n"/>
      <c r="Z8238">
        <f>Z8237+IF(W8238="",0,IF(ISNA(MATCH(W8238,W$256:W8237,0)),1,0))</f>
        <v/>
      </c>
      <c r="AA8238">
        <f>IF(Z8238&gt;Z8237,Z8238,"")</f>
        <v/>
      </c>
      <c r="AB8238">
        <f>AB8237+IF(X8238="",0,IF(ISNA(MATCH(X8238,X$256:X8237,0)),1,0))</f>
        <v/>
      </c>
      <c r="AC8238">
        <f>IF(AB8238&gt;AB8237,AB8238,"")</f>
        <v/>
      </c>
    </row>
    <row r="8239">
      <c r="W8239" s="7" t="n"/>
      <c r="X8239" s="7" t="n"/>
      <c r="Z8239">
        <f>Z8238+IF(W8239="",0,IF(ISNA(MATCH(W8239,W$256:W8238,0)),1,0))</f>
        <v/>
      </c>
      <c r="AA8239">
        <f>IF(Z8239&gt;Z8238,Z8239,"")</f>
        <v/>
      </c>
      <c r="AB8239">
        <f>AB8238+IF(X8239="",0,IF(ISNA(MATCH(X8239,X$256:X8238,0)),1,0))</f>
        <v/>
      </c>
      <c r="AC8239">
        <f>IF(AB8239&gt;AB8238,AB8239,"")</f>
        <v/>
      </c>
    </row>
    <row r="8240">
      <c r="W8240" s="7" t="n"/>
      <c r="X8240" s="7" t="n"/>
      <c r="Z8240">
        <f>Z8239+IF(W8240="",0,IF(ISNA(MATCH(W8240,W$256:W8239,0)),1,0))</f>
        <v/>
      </c>
      <c r="AA8240">
        <f>IF(Z8240&gt;Z8239,Z8240,"")</f>
        <v/>
      </c>
      <c r="AB8240">
        <f>AB8239+IF(X8240="",0,IF(ISNA(MATCH(X8240,X$256:X8239,0)),1,0))</f>
        <v/>
      </c>
      <c r="AC8240">
        <f>IF(AB8240&gt;AB8239,AB8240,"")</f>
        <v/>
      </c>
    </row>
    <row r="8241">
      <c r="W8241" s="7" t="n"/>
      <c r="X8241" s="7" t="n"/>
      <c r="Z8241">
        <f>Z8240+IF(W8241="",0,IF(ISNA(MATCH(W8241,W$256:W8240,0)),1,0))</f>
        <v/>
      </c>
      <c r="AA8241">
        <f>IF(Z8241&gt;Z8240,Z8241,"")</f>
        <v/>
      </c>
      <c r="AB8241">
        <f>AB8240+IF(X8241="",0,IF(ISNA(MATCH(X8241,X$256:X8240,0)),1,0))</f>
        <v/>
      </c>
      <c r="AC8241">
        <f>IF(AB8241&gt;AB8240,AB8241,"")</f>
        <v/>
      </c>
    </row>
    <row r="8242">
      <c r="W8242" s="7" t="n"/>
      <c r="X8242" s="7" t="n"/>
      <c r="Z8242">
        <f>Z8241+IF(W8242="",0,IF(ISNA(MATCH(W8242,W$256:W8241,0)),1,0))</f>
        <v/>
      </c>
      <c r="AA8242">
        <f>IF(Z8242&gt;Z8241,Z8242,"")</f>
        <v/>
      </c>
      <c r="AB8242">
        <f>AB8241+IF(X8242="",0,IF(ISNA(MATCH(X8242,X$256:X8241,0)),1,0))</f>
        <v/>
      </c>
      <c r="AC8242">
        <f>IF(AB8242&gt;AB8241,AB8242,"")</f>
        <v/>
      </c>
    </row>
    <row r="8243">
      <c r="W8243" s="7" t="n"/>
      <c r="X8243" s="7" t="n"/>
      <c r="Z8243">
        <f>Z8242+IF(W8243="",0,IF(ISNA(MATCH(W8243,W$256:W8242,0)),1,0))</f>
        <v/>
      </c>
      <c r="AA8243">
        <f>IF(Z8243&gt;Z8242,Z8243,"")</f>
        <v/>
      </c>
      <c r="AB8243">
        <f>AB8242+IF(X8243="",0,IF(ISNA(MATCH(X8243,X$256:X8242,0)),1,0))</f>
        <v/>
      </c>
      <c r="AC8243">
        <f>IF(AB8243&gt;AB8242,AB8243,"")</f>
        <v/>
      </c>
    </row>
    <row r="8244">
      <c r="W8244" s="7" t="n"/>
      <c r="X8244" s="7" t="n"/>
      <c r="Z8244">
        <f>Z8243+IF(W8244="",0,IF(ISNA(MATCH(W8244,W$256:W8243,0)),1,0))</f>
        <v/>
      </c>
      <c r="AA8244">
        <f>IF(Z8244&gt;Z8243,Z8244,"")</f>
        <v/>
      </c>
      <c r="AB8244">
        <f>AB8243+IF(X8244="",0,IF(ISNA(MATCH(X8244,X$256:X8243,0)),1,0))</f>
        <v/>
      </c>
      <c r="AC8244">
        <f>IF(AB8244&gt;AB8243,AB8244,"")</f>
        <v/>
      </c>
    </row>
    <row r="8245">
      <c r="W8245" s="7" t="n"/>
      <c r="X8245" s="7" t="n"/>
      <c r="Z8245">
        <f>Z8244+IF(W8245="",0,IF(ISNA(MATCH(W8245,W$256:W8244,0)),1,0))</f>
        <v/>
      </c>
      <c r="AA8245">
        <f>IF(Z8245&gt;Z8244,Z8245,"")</f>
        <v/>
      </c>
      <c r="AB8245">
        <f>AB8244+IF(X8245="",0,IF(ISNA(MATCH(X8245,X$256:X8244,0)),1,0))</f>
        <v/>
      </c>
      <c r="AC8245">
        <f>IF(AB8245&gt;AB8244,AB8245,"")</f>
        <v/>
      </c>
    </row>
    <row r="8246">
      <c r="W8246" s="7" t="n"/>
      <c r="X8246" s="7" t="n"/>
      <c r="Z8246">
        <f>Z8245+IF(W8246="",0,IF(ISNA(MATCH(W8246,W$256:W8245,0)),1,0))</f>
        <v/>
      </c>
      <c r="AA8246">
        <f>IF(Z8246&gt;Z8245,Z8246,"")</f>
        <v/>
      </c>
      <c r="AB8246">
        <f>AB8245+IF(X8246="",0,IF(ISNA(MATCH(X8246,X$256:X8245,0)),1,0))</f>
        <v/>
      </c>
      <c r="AC8246">
        <f>IF(AB8246&gt;AB8245,AB8246,"")</f>
        <v/>
      </c>
    </row>
    <row r="8247">
      <c r="W8247" s="7" t="n"/>
      <c r="X8247" s="7" t="n"/>
      <c r="Z8247">
        <f>Z8246+IF(W8247="",0,IF(ISNA(MATCH(W8247,W$256:W8246,0)),1,0))</f>
        <v/>
      </c>
      <c r="AA8247">
        <f>IF(Z8247&gt;Z8246,Z8247,"")</f>
        <v/>
      </c>
      <c r="AB8247">
        <f>AB8246+IF(X8247="",0,IF(ISNA(MATCH(X8247,X$256:X8246,0)),1,0))</f>
        <v/>
      </c>
      <c r="AC8247">
        <f>IF(AB8247&gt;AB8246,AB8247,"")</f>
        <v/>
      </c>
    </row>
    <row r="8248">
      <c r="W8248" s="7" t="n"/>
      <c r="X8248" s="7" t="n"/>
      <c r="Z8248">
        <f>Z8247+IF(W8248="",0,IF(ISNA(MATCH(W8248,W$256:W8247,0)),1,0))</f>
        <v/>
      </c>
      <c r="AA8248">
        <f>IF(Z8248&gt;Z8247,Z8248,"")</f>
        <v/>
      </c>
      <c r="AB8248">
        <f>AB8247+IF(X8248="",0,IF(ISNA(MATCH(X8248,X$256:X8247,0)),1,0))</f>
        <v/>
      </c>
      <c r="AC8248">
        <f>IF(AB8248&gt;AB8247,AB8248,"")</f>
        <v/>
      </c>
    </row>
    <row r="8249">
      <c r="W8249" s="7" t="n"/>
      <c r="X8249" s="7" t="n"/>
      <c r="Z8249">
        <f>Z8248+IF(W8249="",0,IF(ISNA(MATCH(W8249,W$256:W8248,0)),1,0))</f>
        <v/>
      </c>
      <c r="AA8249">
        <f>IF(Z8249&gt;Z8248,Z8249,"")</f>
        <v/>
      </c>
      <c r="AB8249">
        <f>AB8248+IF(X8249="",0,IF(ISNA(MATCH(X8249,X$256:X8248,0)),1,0))</f>
        <v/>
      </c>
      <c r="AC8249">
        <f>IF(AB8249&gt;AB8248,AB8249,"")</f>
        <v/>
      </c>
    </row>
    <row r="8250">
      <c r="W8250" s="7" t="n"/>
      <c r="X8250" s="7" t="n"/>
      <c r="Z8250">
        <f>Z8249+IF(W8250="",0,IF(ISNA(MATCH(W8250,W$256:W8249,0)),1,0))</f>
        <v/>
      </c>
      <c r="AA8250">
        <f>IF(Z8250&gt;Z8249,Z8250,"")</f>
        <v/>
      </c>
      <c r="AB8250">
        <f>AB8249+IF(X8250="",0,IF(ISNA(MATCH(X8250,X$256:X8249,0)),1,0))</f>
        <v/>
      </c>
      <c r="AC8250">
        <f>IF(AB8250&gt;AB8249,AB8250,"")</f>
        <v/>
      </c>
    </row>
    <row r="8251">
      <c r="W8251" s="7" t="n"/>
      <c r="X8251" s="7" t="n"/>
      <c r="Z8251">
        <f>Z8250+IF(W8251="",0,IF(ISNA(MATCH(W8251,W$256:W8250,0)),1,0))</f>
        <v/>
      </c>
      <c r="AA8251">
        <f>IF(Z8251&gt;Z8250,Z8251,"")</f>
        <v/>
      </c>
      <c r="AB8251">
        <f>AB8250+IF(X8251="",0,IF(ISNA(MATCH(X8251,X$256:X8250,0)),1,0))</f>
        <v/>
      </c>
      <c r="AC8251">
        <f>IF(AB8251&gt;AB8250,AB8251,"")</f>
        <v/>
      </c>
    </row>
    <row r="8252">
      <c r="W8252" s="7" t="n"/>
      <c r="X8252" s="7" t="n"/>
      <c r="Z8252">
        <f>Z8251+IF(W8252="",0,IF(ISNA(MATCH(W8252,W$256:W8251,0)),1,0))</f>
        <v/>
      </c>
      <c r="AA8252">
        <f>IF(Z8252&gt;Z8251,Z8252,"")</f>
        <v/>
      </c>
      <c r="AB8252">
        <f>AB8251+IF(X8252="",0,IF(ISNA(MATCH(X8252,X$256:X8251,0)),1,0))</f>
        <v/>
      </c>
      <c r="AC8252">
        <f>IF(AB8252&gt;AB8251,AB8252,"")</f>
        <v/>
      </c>
    </row>
    <row r="8253">
      <c r="W8253" s="7" t="n"/>
      <c r="X8253" s="7" t="n"/>
      <c r="Z8253">
        <f>Z8252+IF(W8253="",0,IF(ISNA(MATCH(W8253,W$256:W8252,0)),1,0))</f>
        <v/>
      </c>
      <c r="AA8253">
        <f>IF(Z8253&gt;Z8252,Z8253,"")</f>
        <v/>
      </c>
      <c r="AB8253">
        <f>AB8252+IF(X8253="",0,IF(ISNA(MATCH(X8253,X$256:X8252,0)),1,0))</f>
        <v/>
      </c>
      <c r="AC8253">
        <f>IF(AB8253&gt;AB8252,AB8253,"")</f>
        <v/>
      </c>
    </row>
    <row r="8254">
      <c r="W8254" s="7" t="n"/>
      <c r="X8254" s="7" t="n"/>
      <c r="Z8254">
        <f>Z8253+IF(W8254="",0,IF(ISNA(MATCH(W8254,W$256:W8253,0)),1,0))</f>
        <v/>
      </c>
      <c r="AA8254">
        <f>IF(Z8254&gt;Z8253,Z8254,"")</f>
        <v/>
      </c>
      <c r="AB8254">
        <f>AB8253+IF(X8254="",0,IF(ISNA(MATCH(X8254,X$256:X8253,0)),1,0))</f>
        <v/>
      </c>
      <c r="AC8254">
        <f>IF(AB8254&gt;AB8253,AB8254,"")</f>
        <v/>
      </c>
    </row>
    <row r="8255">
      <c r="W8255" s="7" t="n"/>
      <c r="X8255" s="7" t="n"/>
      <c r="Z8255">
        <f>Z8254+IF(W8255="",0,IF(ISNA(MATCH(W8255,W$256:W8254,0)),1,0))</f>
        <v/>
      </c>
      <c r="AA8255">
        <f>IF(Z8255&gt;Z8254,Z8255,"")</f>
        <v/>
      </c>
      <c r="AB8255">
        <f>AB8254+IF(X8255="",0,IF(ISNA(MATCH(X8255,X$256:X8254,0)),1,0))</f>
        <v/>
      </c>
      <c r="AC8255">
        <f>IF(AB8255&gt;AB8254,AB8255,"")</f>
        <v/>
      </c>
    </row>
    <row r="8256">
      <c r="W8256" s="7" t="n"/>
      <c r="X8256" s="7" t="n"/>
      <c r="Z8256">
        <f>Z8255+IF(W8256="",0,IF(ISNA(MATCH(W8256,W$256:W8255,0)),1,0))</f>
        <v/>
      </c>
      <c r="AA8256">
        <f>IF(Z8256&gt;Z8255,Z8256,"")</f>
        <v/>
      </c>
      <c r="AB8256">
        <f>AB8255+IF(X8256="",0,IF(ISNA(MATCH(X8256,X$256:X8255,0)),1,0))</f>
        <v/>
      </c>
      <c r="AC8256">
        <f>IF(AB8256&gt;AB8255,AB8256,"")</f>
        <v/>
      </c>
    </row>
    <row r="8257">
      <c r="W8257" s="7" t="n"/>
      <c r="X8257" s="7" t="n"/>
      <c r="Z8257">
        <f>Z8256+IF(W8257="",0,IF(ISNA(MATCH(W8257,W$256:W8256,0)),1,0))</f>
        <v/>
      </c>
      <c r="AA8257">
        <f>IF(Z8257&gt;Z8256,Z8257,"")</f>
        <v/>
      </c>
      <c r="AB8257">
        <f>AB8256+IF(X8257="",0,IF(ISNA(MATCH(X8257,X$256:X8256,0)),1,0))</f>
        <v/>
      </c>
      <c r="AC8257">
        <f>IF(AB8257&gt;AB8256,AB8257,"")</f>
        <v/>
      </c>
    </row>
    <row r="8258">
      <c r="W8258" s="7" t="n"/>
      <c r="X8258" s="7" t="n"/>
      <c r="Z8258">
        <f>Z8257+IF(W8258="",0,IF(ISNA(MATCH(W8258,W$256:W8257,0)),1,0))</f>
        <v/>
      </c>
      <c r="AA8258">
        <f>IF(Z8258&gt;Z8257,Z8258,"")</f>
        <v/>
      </c>
      <c r="AB8258">
        <f>AB8257+IF(X8258="",0,IF(ISNA(MATCH(X8258,X$256:X8257,0)),1,0))</f>
        <v/>
      </c>
      <c r="AC8258">
        <f>IF(AB8258&gt;AB8257,AB8258,"")</f>
        <v/>
      </c>
    </row>
    <row r="8259">
      <c r="W8259" s="7" t="n"/>
      <c r="X8259" s="7" t="n"/>
      <c r="Z8259">
        <f>Z8258+IF(W8259="",0,IF(ISNA(MATCH(W8259,W$256:W8258,0)),1,0))</f>
        <v/>
      </c>
      <c r="AA8259">
        <f>IF(Z8259&gt;Z8258,Z8259,"")</f>
        <v/>
      </c>
      <c r="AB8259">
        <f>AB8258+IF(X8259="",0,IF(ISNA(MATCH(X8259,X$256:X8258,0)),1,0))</f>
        <v/>
      </c>
      <c r="AC8259">
        <f>IF(AB8259&gt;AB8258,AB8259,"")</f>
        <v/>
      </c>
    </row>
    <row r="8260">
      <c r="W8260" s="7" t="n"/>
      <c r="X8260" s="7" t="n"/>
      <c r="Z8260">
        <f>Z8259+IF(W8260="",0,IF(ISNA(MATCH(W8260,W$256:W8259,0)),1,0))</f>
        <v/>
      </c>
      <c r="AA8260">
        <f>IF(Z8260&gt;Z8259,Z8260,"")</f>
        <v/>
      </c>
      <c r="AB8260">
        <f>AB8259+IF(X8260="",0,IF(ISNA(MATCH(X8260,X$256:X8259,0)),1,0))</f>
        <v/>
      </c>
      <c r="AC8260">
        <f>IF(AB8260&gt;AB8259,AB8260,"")</f>
        <v/>
      </c>
    </row>
    <row r="8261">
      <c r="W8261" s="7" t="n"/>
      <c r="X8261" s="7" t="n"/>
      <c r="Z8261">
        <f>Z8260+IF(W8261="",0,IF(ISNA(MATCH(W8261,W$256:W8260,0)),1,0))</f>
        <v/>
      </c>
      <c r="AA8261">
        <f>IF(Z8261&gt;Z8260,Z8261,"")</f>
        <v/>
      </c>
      <c r="AB8261">
        <f>AB8260+IF(X8261="",0,IF(ISNA(MATCH(X8261,X$256:X8260,0)),1,0))</f>
        <v/>
      </c>
      <c r="AC8261">
        <f>IF(AB8261&gt;AB8260,AB8261,"")</f>
        <v/>
      </c>
    </row>
    <row r="8262">
      <c r="W8262" s="7" t="n"/>
      <c r="X8262" s="7" t="n"/>
      <c r="Z8262">
        <f>Z8261+IF(W8262="",0,IF(ISNA(MATCH(W8262,W$256:W8261,0)),1,0))</f>
        <v/>
      </c>
      <c r="AA8262">
        <f>IF(Z8262&gt;Z8261,Z8262,"")</f>
        <v/>
      </c>
      <c r="AB8262">
        <f>AB8261+IF(X8262="",0,IF(ISNA(MATCH(X8262,X$256:X8261,0)),1,0))</f>
        <v/>
      </c>
      <c r="AC8262">
        <f>IF(AB8262&gt;AB8261,AB8262,"")</f>
        <v/>
      </c>
    </row>
    <row r="8263">
      <c r="W8263" s="7" t="n"/>
      <c r="X8263" s="7" t="n"/>
      <c r="Z8263">
        <f>Z8262+IF(W8263="",0,IF(ISNA(MATCH(W8263,W$256:W8262,0)),1,0))</f>
        <v/>
      </c>
      <c r="AA8263">
        <f>IF(Z8263&gt;Z8262,Z8263,"")</f>
        <v/>
      </c>
      <c r="AB8263">
        <f>AB8262+IF(X8263="",0,IF(ISNA(MATCH(X8263,X$256:X8262,0)),1,0))</f>
        <v/>
      </c>
      <c r="AC8263">
        <f>IF(AB8263&gt;AB8262,AB8263,"")</f>
        <v/>
      </c>
    </row>
    <row r="8264">
      <c r="W8264" s="7" t="n"/>
      <c r="X8264" s="7" t="n"/>
      <c r="Z8264">
        <f>Z8263+IF(W8264="",0,IF(ISNA(MATCH(W8264,W$256:W8263,0)),1,0))</f>
        <v/>
      </c>
      <c r="AA8264">
        <f>IF(Z8264&gt;Z8263,Z8264,"")</f>
        <v/>
      </c>
      <c r="AB8264">
        <f>AB8263+IF(X8264="",0,IF(ISNA(MATCH(X8264,X$256:X8263,0)),1,0))</f>
        <v/>
      </c>
      <c r="AC8264">
        <f>IF(AB8264&gt;AB8263,AB8264,"")</f>
        <v/>
      </c>
    </row>
    <row r="8265">
      <c r="W8265" s="7" t="n"/>
      <c r="X8265" s="7" t="n"/>
      <c r="Z8265">
        <f>Z8264+IF(W8265="",0,IF(ISNA(MATCH(W8265,W$256:W8264,0)),1,0))</f>
        <v/>
      </c>
      <c r="AA8265">
        <f>IF(Z8265&gt;Z8264,Z8265,"")</f>
        <v/>
      </c>
      <c r="AB8265">
        <f>AB8264+IF(X8265="",0,IF(ISNA(MATCH(X8265,X$256:X8264,0)),1,0))</f>
        <v/>
      </c>
      <c r="AC8265">
        <f>IF(AB8265&gt;AB8264,AB8265,"")</f>
        <v/>
      </c>
    </row>
    <row r="8266">
      <c r="W8266" s="7" t="n"/>
      <c r="X8266" s="7" t="n"/>
      <c r="Z8266">
        <f>Z8265+IF(W8266="",0,IF(ISNA(MATCH(W8266,W$256:W8265,0)),1,0))</f>
        <v/>
      </c>
      <c r="AA8266">
        <f>IF(Z8266&gt;Z8265,Z8266,"")</f>
        <v/>
      </c>
      <c r="AB8266">
        <f>AB8265+IF(X8266="",0,IF(ISNA(MATCH(X8266,X$256:X8265,0)),1,0))</f>
        <v/>
      </c>
      <c r="AC8266">
        <f>IF(AB8266&gt;AB8265,AB8266,"")</f>
        <v/>
      </c>
    </row>
    <row r="8267">
      <c r="W8267" s="7" t="n"/>
      <c r="X8267" s="7" t="n"/>
      <c r="Z8267">
        <f>Z8266+IF(W8267="",0,IF(ISNA(MATCH(W8267,W$256:W8266,0)),1,0))</f>
        <v/>
      </c>
      <c r="AA8267">
        <f>IF(Z8267&gt;Z8266,Z8267,"")</f>
        <v/>
      </c>
      <c r="AB8267">
        <f>AB8266+IF(X8267="",0,IF(ISNA(MATCH(X8267,X$256:X8266,0)),1,0))</f>
        <v/>
      </c>
      <c r="AC8267">
        <f>IF(AB8267&gt;AB8266,AB8267,"")</f>
        <v/>
      </c>
    </row>
    <row r="8268">
      <c r="W8268" s="7" t="n"/>
      <c r="X8268" s="7" t="n"/>
      <c r="Z8268">
        <f>Z8267+IF(W8268="",0,IF(ISNA(MATCH(W8268,W$256:W8267,0)),1,0))</f>
        <v/>
      </c>
      <c r="AA8268">
        <f>IF(Z8268&gt;Z8267,Z8268,"")</f>
        <v/>
      </c>
      <c r="AB8268">
        <f>AB8267+IF(X8268="",0,IF(ISNA(MATCH(X8268,X$256:X8267,0)),1,0))</f>
        <v/>
      </c>
      <c r="AC8268">
        <f>IF(AB8268&gt;AB8267,AB8268,"")</f>
        <v/>
      </c>
    </row>
    <row r="8269">
      <c r="W8269" s="7" t="n"/>
      <c r="X8269" s="7" t="n"/>
      <c r="Z8269">
        <f>Z8268+IF(W8269="",0,IF(ISNA(MATCH(W8269,W$256:W8268,0)),1,0))</f>
        <v/>
      </c>
      <c r="AA8269">
        <f>IF(Z8269&gt;Z8268,Z8269,"")</f>
        <v/>
      </c>
      <c r="AB8269">
        <f>AB8268+IF(X8269="",0,IF(ISNA(MATCH(X8269,X$256:X8268,0)),1,0))</f>
        <v/>
      </c>
      <c r="AC8269">
        <f>IF(AB8269&gt;AB8268,AB8269,"")</f>
        <v/>
      </c>
    </row>
    <row r="8270">
      <c r="W8270" s="7" t="n"/>
      <c r="X8270" s="7" t="n"/>
      <c r="Z8270">
        <f>Z8269+IF(W8270="",0,IF(ISNA(MATCH(W8270,W$256:W8269,0)),1,0))</f>
        <v/>
      </c>
      <c r="AA8270">
        <f>IF(Z8270&gt;Z8269,Z8270,"")</f>
        <v/>
      </c>
      <c r="AB8270">
        <f>AB8269+IF(X8270="",0,IF(ISNA(MATCH(X8270,X$256:X8269,0)),1,0))</f>
        <v/>
      </c>
      <c r="AC8270">
        <f>IF(AB8270&gt;AB8269,AB8270,"")</f>
        <v/>
      </c>
    </row>
    <row r="8271">
      <c r="W8271" s="7" t="n"/>
      <c r="X8271" s="7" t="n"/>
      <c r="Z8271">
        <f>Z8270+IF(W8271="",0,IF(ISNA(MATCH(W8271,W$256:W8270,0)),1,0))</f>
        <v/>
      </c>
      <c r="AA8271">
        <f>IF(Z8271&gt;Z8270,Z8271,"")</f>
        <v/>
      </c>
      <c r="AB8271">
        <f>AB8270+IF(X8271="",0,IF(ISNA(MATCH(X8271,X$256:X8270,0)),1,0))</f>
        <v/>
      </c>
      <c r="AC8271">
        <f>IF(AB8271&gt;AB8270,AB8271,"")</f>
        <v/>
      </c>
    </row>
    <row r="8272">
      <c r="W8272" s="7" t="n"/>
      <c r="X8272" s="7" t="n"/>
      <c r="Z8272">
        <f>Z8271+IF(W8272="",0,IF(ISNA(MATCH(W8272,W$256:W8271,0)),1,0))</f>
        <v/>
      </c>
      <c r="AA8272">
        <f>IF(Z8272&gt;Z8271,Z8272,"")</f>
        <v/>
      </c>
      <c r="AB8272">
        <f>AB8271+IF(X8272="",0,IF(ISNA(MATCH(X8272,X$256:X8271,0)),1,0))</f>
        <v/>
      </c>
      <c r="AC8272">
        <f>IF(AB8272&gt;AB8271,AB8272,"")</f>
        <v/>
      </c>
    </row>
    <row r="8273">
      <c r="W8273" s="7" t="n"/>
      <c r="X8273" s="7" t="n"/>
      <c r="Z8273">
        <f>Z8272+IF(W8273="",0,IF(ISNA(MATCH(W8273,W$256:W8272,0)),1,0))</f>
        <v/>
      </c>
      <c r="AA8273">
        <f>IF(Z8273&gt;Z8272,Z8273,"")</f>
        <v/>
      </c>
      <c r="AB8273">
        <f>AB8272+IF(X8273="",0,IF(ISNA(MATCH(X8273,X$256:X8272,0)),1,0))</f>
        <v/>
      </c>
      <c r="AC8273">
        <f>IF(AB8273&gt;AB8272,AB8273,"")</f>
        <v/>
      </c>
    </row>
    <row r="8274">
      <c r="W8274" s="7" t="n"/>
      <c r="X8274" s="7" t="n"/>
      <c r="Z8274">
        <f>Z8273+IF(W8274="",0,IF(ISNA(MATCH(W8274,W$256:W8273,0)),1,0))</f>
        <v/>
      </c>
      <c r="AA8274">
        <f>IF(Z8274&gt;Z8273,Z8274,"")</f>
        <v/>
      </c>
      <c r="AB8274">
        <f>AB8273+IF(X8274="",0,IF(ISNA(MATCH(X8274,X$256:X8273,0)),1,0))</f>
        <v/>
      </c>
      <c r="AC8274">
        <f>IF(AB8274&gt;AB8273,AB8274,"")</f>
        <v/>
      </c>
    </row>
    <row r="8275">
      <c r="W8275" s="7" t="n"/>
      <c r="X8275" s="7" t="n"/>
      <c r="Z8275">
        <f>Z8274+IF(W8275="",0,IF(ISNA(MATCH(W8275,W$256:W8274,0)),1,0))</f>
        <v/>
      </c>
      <c r="AA8275">
        <f>IF(Z8275&gt;Z8274,Z8275,"")</f>
        <v/>
      </c>
      <c r="AB8275">
        <f>AB8274+IF(X8275="",0,IF(ISNA(MATCH(X8275,X$256:X8274,0)),1,0))</f>
        <v/>
      </c>
      <c r="AC8275">
        <f>IF(AB8275&gt;AB8274,AB8275,"")</f>
        <v/>
      </c>
    </row>
    <row r="8276">
      <c r="W8276" s="7" t="n"/>
      <c r="X8276" s="7" t="n"/>
      <c r="Z8276">
        <f>Z8275+IF(W8276="",0,IF(ISNA(MATCH(W8276,W$256:W8275,0)),1,0))</f>
        <v/>
      </c>
      <c r="AA8276">
        <f>IF(Z8276&gt;Z8275,Z8276,"")</f>
        <v/>
      </c>
      <c r="AB8276">
        <f>AB8275+IF(X8276="",0,IF(ISNA(MATCH(X8276,X$256:X8275,0)),1,0))</f>
        <v/>
      </c>
      <c r="AC8276">
        <f>IF(AB8276&gt;AB8275,AB8276,"")</f>
        <v/>
      </c>
    </row>
    <row r="8277">
      <c r="W8277" s="7" t="n"/>
      <c r="X8277" s="7" t="n"/>
      <c r="Z8277">
        <f>Z8276+IF(W8277="",0,IF(ISNA(MATCH(W8277,W$256:W8276,0)),1,0))</f>
        <v/>
      </c>
      <c r="AA8277">
        <f>IF(Z8277&gt;Z8276,Z8277,"")</f>
        <v/>
      </c>
      <c r="AB8277">
        <f>AB8276+IF(X8277="",0,IF(ISNA(MATCH(X8277,X$256:X8276,0)),1,0))</f>
        <v/>
      </c>
      <c r="AC8277">
        <f>IF(AB8277&gt;AB8276,AB8277,"")</f>
        <v/>
      </c>
    </row>
    <row r="8278">
      <c r="W8278" s="7" t="n"/>
      <c r="X8278" s="7" t="n"/>
      <c r="Z8278">
        <f>Z8277+IF(W8278="",0,IF(ISNA(MATCH(W8278,W$256:W8277,0)),1,0))</f>
        <v/>
      </c>
      <c r="AA8278">
        <f>IF(Z8278&gt;Z8277,Z8278,"")</f>
        <v/>
      </c>
      <c r="AB8278">
        <f>AB8277+IF(X8278="",0,IF(ISNA(MATCH(X8278,X$256:X8277,0)),1,0))</f>
        <v/>
      </c>
      <c r="AC8278">
        <f>IF(AB8278&gt;AB8277,AB8278,"")</f>
        <v/>
      </c>
    </row>
    <row r="8279">
      <c r="W8279" s="7" t="n"/>
      <c r="X8279" s="7" t="n"/>
      <c r="Z8279">
        <f>Z8278+IF(W8279="",0,IF(ISNA(MATCH(W8279,W$256:W8278,0)),1,0))</f>
        <v/>
      </c>
      <c r="AA8279">
        <f>IF(Z8279&gt;Z8278,Z8279,"")</f>
        <v/>
      </c>
      <c r="AB8279">
        <f>AB8278+IF(X8279="",0,IF(ISNA(MATCH(X8279,X$256:X8278,0)),1,0))</f>
        <v/>
      </c>
      <c r="AC8279">
        <f>IF(AB8279&gt;AB8278,AB8279,"")</f>
        <v/>
      </c>
    </row>
    <row r="8280">
      <c r="W8280" s="7" t="n"/>
      <c r="X8280" s="7" t="n"/>
      <c r="Z8280">
        <f>Z8279+IF(W8280="",0,IF(ISNA(MATCH(W8280,W$256:W8279,0)),1,0))</f>
        <v/>
      </c>
      <c r="AA8280">
        <f>IF(Z8280&gt;Z8279,Z8280,"")</f>
        <v/>
      </c>
      <c r="AB8280">
        <f>AB8279+IF(X8280="",0,IF(ISNA(MATCH(X8280,X$256:X8279,0)),1,0))</f>
        <v/>
      </c>
      <c r="AC8280">
        <f>IF(AB8280&gt;AB8279,AB8280,"")</f>
        <v/>
      </c>
    </row>
    <row r="8281">
      <c r="W8281" s="7" t="n"/>
      <c r="X8281" s="7" t="n"/>
      <c r="Z8281">
        <f>Z8280+IF(W8281="",0,IF(ISNA(MATCH(W8281,W$256:W8280,0)),1,0))</f>
        <v/>
      </c>
      <c r="AA8281">
        <f>IF(Z8281&gt;Z8280,Z8281,"")</f>
        <v/>
      </c>
      <c r="AB8281">
        <f>AB8280+IF(X8281="",0,IF(ISNA(MATCH(X8281,X$256:X8280,0)),1,0))</f>
        <v/>
      </c>
      <c r="AC8281">
        <f>IF(AB8281&gt;AB8280,AB8281,"")</f>
        <v/>
      </c>
    </row>
    <row r="8282">
      <c r="W8282" s="7" t="n"/>
      <c r="X8282" s="7" t="n"/>
      <c r="Z8282">
        <f>Z8281+IF(W8282="",0,IF(ISNA(MATCH(W8282,W$256:W8281,0)),1,0))</f>
        <v/>
      </c>
      <c r="AA8282">
        <f>IF(Z8282&gt;Z8281,Z8282,"")</f>
        <v/>
      </c>
      <c r="AB8282">
        <f>AB8281+IF(X8282="",0,IF(ISNA(MATCH(X8282,X$256:X8281,0)),1,0))</f>
        <v/>
      </c>
      <c r="AC8282">
        <f>IF(AB8282&gt;AB8281,AB8282,"")</f>
        <v/>
      </c>
    </row>
    <row r="8283">
      <c r="W8283" s="7" t="n"/>
      <c r="X8283" s="7" t="n"/>
      <c r="Z8283">
        <f>Z8282+IF(W8283="",0,IF(ISNA(MATCH(W8283,W$256:W8282,0)),1,0))</f>
        <v/>
      </c>
      <c r="AA8283">
        <f>IF(Z8283&gt;Z8282,Z8283,"")</f>
        <v/>
      </c>
      <c r="AB8283">
        <f>AB8282+IF(X8283="",0,IF(ISNA(MATCH(X8283,X$256:X8282,0)),1,0))</f>
        <v/>
      </c>
      <c r="AC8283">
        <f>IF(AB8283&gt;AB8282,AB8283,"")</f>
        <v/>
      </c>
    </row>
    <row r="8284">
      <c r="W8284" s="7" t="n"/>
      <c r="X8284" s="7" t="n"/>
      <c r="Z8284">
        <f>Z8283+IF(W8284="",0,IF(ISNA(MATCH(W8284,W$256:W8283,0)),1,0))</f>
        <v/>
      </c>
      <c r="AA8284">
        <f>IF(Z8284&gt;Z8283,Z8284,"")</f>
        <v/>
      </c>
      <c r="AB8284">
        <f>AB8283+IF(X8284="",0,IF(ISNA(MATCH(X8284,X$256:X8283,0)),1,0))</f>
        <v/>
      </c>
      <c r="AC8284">
        <f>IF(AB8284&gt;AB8283,AB8284,"")</f>
        <v/>
      </c>
    </row>
    <row r="8285">
      <c r="W8285" s="7" t="n"/>
      <c r="X8285" s="7" t="n"/>
      <c r="Z8285">
        <f>Z8284+IF(W8285="",0,IF(ISNA(MATCH(W8285,W$256:W8284,0)),1,0))</f>
        <v/>
      </c>
      <c r="AA8285">
        <f>IF(Z8285&gt;Z8284,Z8285,"")</f>
        <v/>
      </c>
      <c r="AB8285">
        <f>AB8284+IF(X8285="",0,IF(ISNA(MATCH(X8285,X$256:X8284,0)),1,0))</f>
        <v/>
      </c>
      <c r="AC8285">
        <f>IF(AB8285&gt;AB8284,AB8285,"")</f>
        <v/>
      </c>
    </row>
    <row r="8286">
      <c r="W8286" s="7" t="n"/>
      <c r="X8286" s="7" t="n"/>
      <c r="Z8286">
        <f>Z8285+IF(W8286="",0,IF(ISNA(MATCH(W8286,W$256:W8285,0)),1,0))</f>
        <v/>
      </c>
      <c r="AA8286">
        <f>IF(Z8286&gt;Z8285,Z8286,"")</f>
        <v/>
      </c>
      <c r="AB8286">
        <f>AB8285+IF(X8286="",0,IF(ISNA(MATCH(X8286,X$256:X8285,0)),1,0))</f>
        <v/>
      </c>
      <c r="AC8286">
        <f>IF(AB8286&gt;AB8285,AB8286,"")</f>
        <v/>
      </c>
    </row>
    <row r="8287">
      <c r="W8287" s="7" t="n"/>
      <c r="X8287" s="7" t="n"/>
      <c r="Z8287">
        <f>Z8286+IF(W8287="",0,IF(ISNA(MATCH(W8287,W$256:W8286,0)),1,0))</f>
        <v/>
      </c>
      <c r="AA8287">
        <f>IF(Z8287&gt;Z8286,Z8287,"")</f>
        <v/>
      </c>
      <c r="AB8287">
        <f>AB8286+IF(X8287="",0,IF(ISNA(MATCH(X8287,X$256:X8286,0)),1,0))</f>
        <v/>
      </c>
      <c r="AC8287">
        <f>IF(AB8287&gt;AB8286,AB8287,"")</f>
        <v/>
      </c>
    </row>
    <row r="8288">
      <c r="W8288" s="7" t="n"/>
      <c r="X8288" s="7" t="n"/>
      <c r="Z8288">
        <f>Z8287+IF(W8288="",0,IF(ISNA(MATCH(W8288,W$256:W8287,0)),1,0))</f>
        <v/>
      </c>
      <c r="AA8288">
        <f>IF(Z8288&gt;Z8287,Z8288,"")</f>
        <v/>
      </c>
      <c r="AB8288">
        <f>AB8287+IF(X8288="",0,IF(ISNA(MATCH(X8288,X$256:X8287,0)),1,0))</f>
        <v/>
      </c>
      <c r="AC8288">
        <f>IF(AB8288&gt;AB8287,AB8288,"")</f>
        <v/>
      </c>
    </row>
    <row r="8289">
      <c r="W8289" s="7" t="n"/>
      <c r="X8289" s="7" t="n"/>
      <c r="Z8289">
        <f>Z8288+IF(W8289="",0,IF(ISNA(MATCH(W8289,W$256:W8288,0)),1,0))</f>
        <v/>
      </c>
      <c r="AA8289">
        <f>IF(Z8289&gt;Z8288,Z8289,"")</f>
        <v/>
      </c>
      <c r="AB8289">
        <f>AB8288+IF(X8289="",0,IF(ISNA(MATCH(X8289,X$256:X8288,0)),1,0))</f>
        <v/>
      </c>
      <c r="AC8289">
        <f>IF(AB8289&gt;AB8288,AB8289,"")</f>
        <v/>
      </c>
    </row>
    <row r="8290">
      <c r="W8290" s="7" t="n"/>
      <c r="X8290" s="7" t="n"/>
      <c r="Z8290">
        <f>Z8289+IF(W8290="",0,IF(ISNA(MATCH(W8290,W$256:W8289,0)),1,0))</f>
        <v/>
      </c>
      <c r="AA8290">
        <f>IF(Z8290&gt;Z8289,Z8290,"")</f>
        <v/>
      </c>
      <c r="AB8290">
        <f>AB8289+IF(X8290="",0,IF(ISNA(MATCH(X8290,X$256:X8289,0)),1,0))</f>
        <v/>
      </c>
      <c r="AC8290">
        <f>IF(AB8290&gt;AB8289,AB8290,"")</f>
        <v/>
      </c>
    </row>
    <row r="8291">
      <c r="W8291" s="7" t="n"/>
      <c r="X8291" s="7" t="n"/>
      <c r="Z8291">
        <f>Z8290+IF(W8291="",0,IF(ISNA(MATCH(W8291,W$256:W8290,0)),1,0))</f>
        <v/>
      </c>
      <c r="AA8291">
        <f>IF(Z8291&gt;Z8290,Z8291,"")</f>
        <v/>
      </c>
      <c r="AB8291">
        <f>AB8290+IF(X8291="",0,IF(ISNA(MATCH(X8291,X$256:X8290,0)),1,0))</f>
        <v/>
      </c>
      <c r="AC8291">
        <f>IF(AB8291&gt;AB8290,AB8291,"")</f>
        <v/>
      </c>
    </row>
    <row r="8292">
      <c r="W8292" s="7" t="n"/>
      <c r="X8292" s="7" t="n"/>
      <c r="Z8292">
        <f>Z8291+IF(W8292="",0,IF(ISNA(MATCH(W8292,W$256:W8291,0)),1,0))</f>
        <v/>
      </c>
      <c r="AA8292">
        <f>IF(Z8292&gt;Z8291,Z8292,"")</f>
        <v/>
      </c>
      <c r="AB8292">
        <f>AB8291+IF(X8292="",0,IF(ISNA(MATCH(X8292,X$256:X8291,0)),1,0))</f>
        <v/>
      </c>
      <c r="AC8292">
        <f>IF(AB8292&gt;AB8291,AB8292,"")</f>
        <v/>
      </c>
    </row>
    <row r="8293">
      <c r="W8293" s="7" t="n"/>
      <c r="X8293" s="7" t="n"/>
      <c r="Z8293">
        <f>Z8292+IF(W8293="",0,IF(ISNA(MATCH(W8293,W$256:W8292,0)),1,0))</f>
        <v/>
      </c>
      <c r="AA8293">
        <f>IF(Z8293&gt;Z8292,Z8293,"")</f>
        <v/>
      </c>
      <c r="AB8293">
        <f>AB8292+IF(X8293="",0,IF(ISNA(MATCH(X8293,X$256:X8292,0)),1,0))</f>
        <v/>
      </c>
      <c r="AC8293">
        <f>IF(AB8293&gt;AB8292,AB8293,"")</f>
        <v/>
      </c>
    </row>
    <row r="8294">
      <c r="W8294" s="7" t="n"/>
      <c r="X8294" s="7" t="n"/>
      <c r="Z8294">
        <f>Z8293+IF(W8294="",0,IF(ISNA(MATCH(W8294,W$256:W8293,0)),1,0))</f>
        <v/>
      </c>
      <c r="AA8294">
        <f>IF(Z8294&gt;Z8293,Z8294,"")</f>
        <v/>
      </c>
      <c r="AB8294">
        <f>AB8293+IF(X8294="",0,IF(ISNA(MATCH(X8294,X$256:X8293,0)),1,0))</f>
        <v/>
      </c>
      <c r="AC8294">
        <f>IF(AB8294&gt;AB8293,AB8294,"")</f>
        <v/>
      </c>
    </row>
    <row r="8295">
      <c r="W8295" s="7" t="n"/>
      <c r="X8295" s="7" t="n"/>
      <c r="Z8295">
        <f>Z8294+IF(W8295="",0,IF(ISNA(MATCH(W8295,W$256:W8294,0)),1,0))</f>
        <v/>
      </c>
      <c r="AA8295">
        <f>IF(Z8295&gt;Z8294,Z8295,"")</f>
        <v/>
      </c>
      <c r="AB8295">
        <f>AB8294+IF(X8295="",0,IF(ISNA(MATCH(X8295,X$256:X8294,0)),1,0))</f>
        <v/>
      </c>
      <c r="AC8295">
        <f>IF(AB8295&gt;AB8294,AB8295,"")</f>
        <v/>
      </c>
    </row>
    <row r="8296">
      <c r="W8296" s="7" t="n"/>
      <c r="X8296" s="7" t="n"/>
      <c r="Z8296">
        <f>Z8295+IF(W8296="",0,IF(ISNA(MATCH(W8296,W$256:W8295,0)),1,0))</f>
        <v/>
      </c>
      <c r="AA8296">
        <f>IF(Z8296&gt;Z8295,Z8296,"")</f>
        <v/>
      </c>
      <c r="AB8296">
        <f>AB8295+IF(X8296="",0,IF(ISNA(MATCH(X8296,X$256:X8295,0)),1,0))</f>
        <v/>
      </c>
      <c r="AC8296">
        <f>IF(AB8296&gt;AB8295,AB8296,"")</f>
        <v/>
      </c>
    </row>
    <row r="8297">
      <c r="W8297" s="7" t="n"/>
      <c r="X8297" s="7" t="n"/>
      <c r="Z8297">
        <f>Z8296+IF(W8297="",0,IF(ISNA(MATCH(W8297,W$256:W8296,0)),1,0))</f>
        <v/>
      </c>
      <c r="AA8297">
        <f>IF(Z8297&gt;Z8296,Z8297,"")</f>
        <v/>
      </c>
      <c r="AB8297">
        <f>AB8296+IF(X8297="",0,IF(ISNA(MATCH(X8297,X$256:X8296,0)),1,0))</f>
        <v/>
      </c>
      <c r="AC8297">
        <f>IF(AB8297&gt;AB8296,AB8297,"")</f>
        <v/>
      </c>
    </row>
    <row r="8298">
      <c r="W8298" s="7" t="n"/>
      <c r="X8298" s="7" t="n"/>
      <c r="Z8298">
        <f>Z8297+IF(W8298="",0,IF(ISNA(MATCH(W8298,W$256:W8297,0)),1,0))</f>
        <v/>
      </c>
      <c r="AA8298">
        <f>IF(Z8298&gt;Z8297,Z8298,"")</f>
        <v/>
      </c>
      <c r="AB8298">
        <f>AB8297+IF(X8298="",0,IF(ISNA(MATCH(X8298,X$256:X8297,0)),1,0))</f>
        <v/>
      </c>
      <c r="AC8298">
        <f>IF(AB8298&gt;AB8297,AB8298,"")</f>
        <v/>
      </c>
    </row>
    <row r="8299">
      <c r="W8299" s="7" t="n"/>
      <c r="X8299" s="7" t="n"/>
      <c r="Z8299">
        <f>Z8298+IF(W8299="",0,IF(ISNA(MATCH(W8299,W$256:W8298,0)),1,0))</f>
        <v/>
      </c>
      <c r="AA8299">
        <f>IF(Z8299&gt;Z8298,Z8299,"")</f>
        <v/>
      </c>
      <c r="AB8299">
        <f>AB8298+IF(X8299="",0,IF(ISNA(MATCH(X8299,X$256:X8298,0)),1,0))</f>
        <v/>
      </c>
      <c r="AC8299">
        <f>IF(AB8299&gt;AB8298,AB8299,"")</f>
        <v/>
      </c>
    </row>
    <row r="8300">
      <c r="W8300" s="7" t="n"/>
      <c r="X8300" s="7" t="n"/>
      <c r="Z8300">
        <f>Z8299+IF(W8300="",0,IF(ISNA(MATCH(W8300,W$256:W8299,0)),1,0))</f>
        <v/>
      </c>
      <c r="AA8300">
        <f>IF(Z8300&gt;Z8299,Z8300,"")</f>
        <v/>
      </c>
      <c r="AB8300">
        <f>AB8299+IF(X8300="",0,IF(ISNA(MATCH(X8300,X$256:X8299,0)),1,0))</f>
        <v/>
      </c>
      <c r="AC8300">
        <f>IF(AB8300&gt;AB8299,AB8300,"")</f>
        <v/>
      </c>
    </row>
    <row r="8301">
      <c r="W8301" s="7" t="n"/>
      <c r="X8301" s="7" t="n"/>
      <c r="Z8301">
        <f>Z8300+IF(W8301="",0,IF(ISNA(MATCH(W8301,W$256:W8300,0)),1,0))</f>
        <v/>
      </c>
      <c r="AA8301">
        <f>IF(Z8301&gt;Z8300,Z8301,"")</f>
        <v/>
      </c>
      <c r="AB8301">
        <f>AB8300+IF(X8301="",0,IF(ISNA(MATCH(X8301,X$256:X8300,0)),1,0))</f>
        <v/>
      </c>
      <c r="AC8301">
        <f>IF(AB8301&gt;AB8300,AB8301,"")</f>
        <v/>
      </c>
    </row>
    <row r="8302">
      <c r="W8302" s="7" t="n"/>
      <c r="X8302" s="7" t="n"/>
      <c r="Z8302">
        <f>Z8301+IF(W8302="",0,IF(ISNA(MATCH(W8302,W$256:W8301,0)),1,0))</f>
        <v/>
      </c>
      <c r="AA8302">
        <f>IF(Z8302&gt;Z8301,Z8302,"")</f>
        <v/>
      </c>
      <c r="AB8302">
        <f>AB8301+IF(X8302="",0,IF(ISNA(MATCH(X8302,X$256:X8301,0)),1,0))</f>
        <v/>
      </c>
      <c r="AC8302">
        <f>IF(AB8302&gt;AB8301,AB8302,"")</f>
        <v/>
      </c>
    </row>
    <row r="8303">
      <c r="W8303" s="7" t="n"/>
      <c r="X8303" s="7" t="n"/>
      <c r="Z8303">
        <f>Z8302+IF(W8303="",0,IF(ISNA(MATCH(W8303,W$256:W8302,0)),1,0))</f>
        <v/>
      </c>
      <c r="AA8303">
        <f>IF(Z8303&gt;Z8302,Z8303,"")</f>
        <v/>
      </c>
      <c r="AB8303">
        <f>AB8302+IF(X8303="",0,IF(ISNA(MATCH(X8303,X$256:X8302,0)),1,0))</f>
        <v/>
      </c>
      <c r="AC8303">
        <f>IF(AB8303&gt;AB8302,AB8303,"")</f>
        <v/>
      </c>
    </row>
    <row r="8304">
      <c r="W8304" s="7" t="n"/>
      <c r="X8304" s="7" t="n"/>
      <c r="Z8304">
        <f>Z8303+IF(W8304="",0,IF(ISNA(MATCH(W8304,W$256:W8303,0)),1,0))</f>
        <v/>
      </c>
      <c r="AA8304">
        <f>IF(Z8304&gt;Z8303,Z8304,"")</f>
        <v/>
      </c>
      <c r="AB8304">
        <f>AB8303+IF(X8304="",0,IF(ISNA(MATCH(X8304,X$256:X8303,0)),1,0))</f>
        <v/>
      </c>
      <c r="AC8304">
        <f>IF(AB8304&gt;AB8303,AB8304,"")</f>
        <v/>
      </c>
    </row>
    <row r="8305">
      <c r="W8305" s="7" t="n"/>
      <c r="X8305" s="7" t="n"/>
      <c r="Z8305">
        <f>Z8304+IF(W8305="",0,IF(ISNA(MATCH(W8305,W$256:W8304,0)),1,0))</f>
        <v/>
      </c>
      <c r="AA8305">
        <f>IF(Z8305&gt;Z8304,Z8305,"")</f>
        <v/>
      </c>
      <c r="AB8305">
        <f>AB8304+IF(X8305="",0,IF(ISNA(MATCH(X8305,X$256:X8304,0)),1,0))</f>
        <v/>
      </c>
      <c r="AC8305">
        <f>IF(AB8305&gt;AB8304,AB8305,"")</f>
        <v/>
      </c>
    </row>
    <row r="8306">
      <c r="W8306" s="7" t="n"/>
      <c r="X8306" s="7" t="n"/>
      <c r="Z8306">
        <f>Z8305+IF(W8306="",0,IF(ISNA(MATCH(W8306,W$256:W8305,0)),1,0))</f>
        <v/>
      </c>
      <c r="AA8306">
        <f>IF(Z8306&gt;Z8305,Z8306,"")</f>
        <v/>
      </c>
      <c r="AB8306">
        <f>AB8305+IF(X8306="",0,IF(ISNA(MATCH(X8306,X$256:X8305,0)),1,0))</f>
        <v/>
      </c>
      <c r="AC8306">
        <f>IF(AB8306&gt;AB8305,AB8306,"")</f>
        <v/>
      </c>
    </row>
    <row r="8307">
      <c r="W8307" s="7" t="n"/>
      <c r="X8307" s="7" t="n"/>
      <c r="Z8307">
        <f>Z8306+IF(W8307="",0,IF(ISNA(MATCH(W8307,W$256:W8306,0)),1,0))</f>
        <v/>
      </c>
      <c r="AA8307">
        <f>IF(Z8307&gt;Z8306,Z8307,"")</f>
        <v/>
      </c>
      <c r="AB8307">
        <f>AB8306+IF(X8307="",0,IF(ISNA(MATCH(X8307,X$256:X8306,0)),1,0))</f>
        <v/>
      </c>
      <c r="AC8307">
        <f>IF(AB8307&gt;AB8306,AB8307,"")</f>
        <v/>
      </c>
    </row>
    <row r="8308">
      <c r="W8308" s="7" t="n"/>
      <c r="X8308" s="7" t="n"/>
      <c r="Z8308">
        <f>Z8307+IF(W8308="",0,IF(ISNA(MATCH(W8308,W$256:W8307,0)),1,0))</f>
        <v/>
      </c>
      <c r="AA8308">
        <f>IF(Z8308&gt;Z8307,Z8308,"")</f>
        <v/>
      </c>
      <c r="AB8308">
        <f>AB8307+IF(X8308="",0,IF(ISNA(MATCH(X8308,X$256:X8307,0)),1,0))</f>
        <v/>
      </c>
      <c r="AC8308">
        <f>IF(AB8308&gt;AB8307,AB8308,"")</f>
        <v/>
      </c>
    </row>
    <row r="8309">
      <c r="W8309" s="7" t="n"/>
      <c r="X8309" s="7" t="n"/>
      <c r="Z8309">
        <f>Z8308+IF(W8309="",0,IF(ISNA(MATCH(W8309,W$256:W8308,0)),1,0))</f>
        <v/>
      </c>
      <c r="AA8309">
        <f>IF(Z8309&gt;Z8308,Z8309,"")</f>
        <v/>
      </c>
      <c r="AB8309">
        <f>AB8308+IF(X8309="",0,IF(ISNA(MATCH(X8309,X$256:X8308,0)),1,0))</f>
        <v/>
      </c>
      <c r="AC8309">
        <f>IF(AB8309&gt;AB8308,AB8309,"")</f>
        <v/>
      </c>
    </row>
    <row r="8310">
      <c r="W8310" s="7" t="n"/>
      <c r="X8310" s="7" t="n"/>
      <c r="Z8310">
        <f>Z8309+IF(W8310="",0,IF(ISNA(MATCH(W8310,W$256:W8309,0)),1,0))</f>
        <v/>
      </c>
      <c r="AA8310">
        <f>IF(Z8310&gt;Z8309,Z8310,"")</f>
        <v/>
      </c>
      <c r="AB8310">
        <f>AB8309+IF(X8310="",0,IF(ISNA(MATCH(X8310,X$256:X8309,0)),1,0))</f>
        <v/>
      </c>
      <c r="AC8310">
        <f>IF(AB8310&gt;AB8309,AB8310,"")</f>
        <v/>
      </c>
    </row>
    <row r="8311">
      <c r="W8311" s="7" t="n"/>
      <c r="X8311" s="7" t="n"/>
      <c r="Z8311">
        <f>Z8310+IF(W8311="",0,IF(ISNA(MATCH(W8311,W$256:W8310,0)),1,0))</f>
        <v/>
      </c>
      <c r="AA8311">
        <f>IF(Z8311&gt;Z8310,Z8311,"")</f>
        <v/>
      </c>
      <c r="AB8311">
        <f>AB8310+IF(X8311="",0,IF(ISNA(MATCH(X8311,X$256:X8310,0)),1,0))</f>
        <v/>
      </c>
      <c r="AC8311">
        <f>IF(AB8311&gt;AB8310,AB8311,"")</f>
        <v/>
      </c>
    </row>
    <row r="8312">
      <c r="W8312" s="7" t="n"/>
      <c r="X8312" s="7" t="n"/>
      <c r="Z8312">
        <f>Z8311+IF(W8312="",0,IF(ISNA(MATCH(W8312,W$256:W8311,0)),1,0))</f>
        <v/>
      </c>
      <c r="AA8312">
        <f>IF(Z8312&gt;Z8311,Z8312,"")</f>
        <v/>
      </c>
      <c r="AB8312">
        <f>AB8311+IF(X8312="",0,IF(ISNA(MATCH(X8312,X$256:X8311,0)),1,0))</f>
        <v/>
      </c>
      <c r="AC8312">
        <f>IF(AB8312&gt;AB8311,AB8312,"")</f>
        <v/>
      </c>
    </row>
    <row r="8313">
      <c r="W8313" s="7" t="n"/>
      <c r="X8313" s="7" t="n"/>
      <c r="Z8313">
        <f>Z8312+IF(W8313="",0,IF(ISNA(MATCH(W8313,W$256:W8312,0)),1,0))</f>
        <v/>
      </c>
      <c r="AA8313">
        <f>IF(Z8313&gt;Z8312,Z8313,"")</f>
        <v/>
      </c>
      <c r="AB8313">
        <f>AB8312+IF(X8313="",0,IF(ISNA(MATCH(X8313,X$256:X8312,0)),1,0))</f>
        <v/>
      </c>
      <c r="AC8313">
        <f>IF(AB8313&gt;AB8312,AB8313,"")</f>
        <v/>
      </c>
    </row>
    <row r="8314">
      <c r="W8314" s="7" t="n"/>
      <c r="X8314" s="7" t="n"/>
      <c r="Z8314">
        <f>Z8313+IF(W8314="",0,IF(ISNA(MATCH(W8314,W$256:W8313,0)),1,0))</f>
        <v/>
      </c>
      <c r="AA8314">
        <f>IF(Z8314&gt;Z8313,Z8314,"")</f>
        <v/>
      </c>
      <c r="AB8314">
        <f>AB8313+IF(X8314="",0,IF(ISNA(MATCH(X8314,X$256:X8313,0)),1,0))</f>
        <v/>
      </c>
      <c r="AC8314">
        <f>IF(AB8314&gt;AB8313,AB8314,"")</f>
        <v/>
      </c>
    </row>
    <row r="8315">
      <c r="W8315" s="7" t="n"/>
      <c r="X8315" s="7" t="n"/>
      <c r="Z8315">
        <f>Z8314+IF(W8315="",0,IF(ISNA(MATCH(W8315,W$256:W8314,0)),1,0))</f>
        <v/>
      </c>
      <c r="AA8315">
        <f>IF(Z8315&gt;Z8314,Z8315,"")</f>
        <v/>
      </c>
      <c r="AB8315">
        <f>AB8314+IF(X8315="",0,IF(ISNA(MATCH(X8315,X$256:X8314,0)),1,0))</f>
        <v/>
      </c>
      <c r="AC8315">
        <f>IF(AB8315&gt;AB8314,AB8315,"")</f>
        <v/>
      </c>
    </row>
    <row r="8316">
      <c r="W8316" s="7" t="n"/>
      <c r="X8316" s="7" t="n"/>
      <c r="Z8316">
        <f>Z8315+IF(W8316="",0,IF(ISNA(MATCH(W8316,W$256:W8315,0)),1,0))</f>
        <v/>
      </c>
      <c r="AA8316">
        <f>IF(Z8316&gt;Z8315,Z8316,"")</f>
        <v/>
      </c>
      <c r="AB8316">
        <f>AB8315+IF(X8316="",0,IF(ISNA(MATCH(X8316,X$256:X8315,0)),1,0))</f>
        <v/>
      </c>
      <c r="AC8316">
        <f>IF(AB8316&gt;AB8315,AB8316,"")</f>
        <v/>
      </c>
    </row>
    <row r="8317">
      <c r="W8317" s="7" t="n"/>
      <c r="X8317" s="7" t="n"/>
      <c r="Z8317">
        <f>Z8316+IF(W8317="",0,IF(ISNA(MATCH(W8317,W$256:W8316,0)),1,0))</f>
        <v/>
      </c>
      <c r="AA8317">
        <f>IF(Z8317&gt;Z8316,Z8317,"")</f>
        <v/>
      </c>
      <c r="AB8317">
        <f>AB8316+IF(X8317="",0,IF(ISNA(MATCH(X8317,X$256:X8316,0)),1,0))</f>
        <v/>
      </c>
      <c r="AC8317">
        <f>IF(AB8317&gt;AB8316,AB8317,"")</f>
        <v/>
      </c>
    </row>
    <row r="8318">
      <c r="W8318" s="7" t="n"/>
      <c r="X8318" s="7" t="n"/>
      <c r="Z8318">
        <f>Z8317+IF(W8318="",0,IF(ISNA(MATCH(W8318,W$256:W8317,0)),1,0))</f>
        <v/>
      </c>
      <c r="AA8318">
        <f>IF(Z8318&gt;Z8317,Z8318,"")</f>
        <v/>
      </c>
      <c r="AB8318">
        <f>AB8317+IF(X8318="",0,IF(ISNA(MATCH(X8318,X$256:X8317,0)),1,0))</f>
        <v/>
      </c>
      <c r="AC8318">
        <f>IF(AB8318&gt;AB8317,AB8318,"")</f>
        <v/>
      </c>
    </row>
    <row r="8319">
      <c r="W8319" s="7" t="n"/>
      <c r="X8319" s="7" t="n"/>
      <c r="Z8319">
        <f>Z8318+IF(W8319="",0,IF(ISNA(MATCH(W8319,W$256:W8318,0)),1,0))</f>
        <v/>
      </c>
      <c r="AA8319">
        <f>IF(Z8319&gt;Z8318,Z8319,"")</f>
        <v/>
      </c>
      <c r="AB8319">
        <f>AB8318+IF(X8319="",0,IF(ISNA(MATCH(X8319,X$256:X8318,0)),1,0))</f>
        <v/>
      </c>
      <c r="AC8319">
        <f>IF(AB8319&gt;AB8318,AB8319,"")</f>
        <v/>
      </c>
    </row>
    <row r="8320">
      <c r="W8320" s="7" t="n"/>
      <c r="X8320" s="7" t="n"/>
      <c r="Z8320">
        <f>Z8319+IF(W8320="",0,IF(ISNA(MATCH(W8320,W$256:W8319,0)),1,0))</f>
        <v/>
      </c>
      <c r="AA8320">
        <f>IF(Z8320&gt;Z8319,Z8320,"")</f>
        <v/>
      </c>
      <c r="AB8320">
        <f>AB8319+IF(X8320="",0,IF(ISNA(MATCH(X8320,X$256:X8319,0)),1,0))</f>
        <v/>
      </c>
      <c r="AC8320">
        <f>IF(AB8320&gt;AB8319,AB8320,"")</f>
        <v/>
      </c>
    </row>
    <row r="8321">
      <c r="W8321" s="7" t="n"/>
      <c r="X8321" s="7" t="n"/>
      <c r="Z8321">
        <f>Z8320+IF(W8321="",0,IF(ISNA(MATCH(W8321,W$256:W8320,0)),1,0))</f>
        <v/>
      </c>
      <c r="AA8321">
        <f>IF(Z8321&gt;Z8320,Z8321,"")</f>
        <v/>
      </c>
      <c r="AB8321">
        <f>AB8320+IF(X8321="",0,IF(ISNA(MATCH(X8321,X$256:X8320,0)),1,0))</f>
        <v/>
      </c>
      <c r="AC8321">
        <f>IF(AB8321&gt;AB8320,AB8321,"")</f>
        <v/>
      </c>
    </row>
    <row r="8322">
      <c r="W8322" s="7" t="n"/>
      <c r="X8322" s="7" t="n"/>
      <c r="Z8322">
        <f>Z8321+IF(W8322="",0,IF(ISNA(MATCH(W8322,W$256:W8321,0)),1,0))</f>
        <v/>
      </c>
      <c r="AA8322">
        <f>IF(Z8322&gt;Z8321,Z8322,"")</f>
        <v/>
      </c>
      <c r="AB8322">
        <f>AB8321+IF(X8322="",0,IF(ISNA(MATCH(X8322,X$256:X8321,0)),1,0))</f>
        <v/>
      </c>
      <c r="AC8322">
        <f>IF(AB8322&gt;AB8321,AB8322,"")</f>
        <v/>
      </c>
    </row>
    <row r="8323">
      <c r="W8323" s="7" t="n"/>
      <c r="X8323" s="7" t="n"/>
      <c r="Z8323">
        <f>Z8322+IF(W8323="",0,IF(ISNA(MATCH(W8323,W$256:W8322,0)),1,0))</f>
        <v/>
      </c>
      <c r="AA8323">
        <f>IF(Z8323&gt;Z8322,Z8323,"")</f>
        <v/>
      </c>
      <c r="AB8323">
        <f>AB8322+IF(X8323="",0,IF(ISNA(MATCH(X8323,X$256:X8322,0)),1,0))</f>
        <v/>
      </c>
      <c r="AC8323">
        <f>IF(AB8323&gt;AB8322,AB8323,"")</f>
        <v/>
      </c>
    </row>
    <row r="8324">
      <c r="W8324" s="7" t="n"/>
      <c r="X8324" s="7" t="n"/>
      <c r="Z8324">
        <f>Z8323+IF(W8324="",0,IF(ISNA(MATCH(W8324,W$256:W8323,0)),1,0))</f>
        <v/>
      </c>
      <c r="AA8324">
        <f>IF(Z8324&gt;Z8323,Z8324,"")</f>
        <v/>
      </c>
      <c r="AB8324">
        <f>AB8323+IF(X8324="",0,IF(ISNA(MATCH(X8324,X$256:X8323,0)),1,0))</f>
        <v/>
      </c>
      <c r="AC8324">
        <f>IF(AB8324&gt;AB8323,AB8324,"")</f>
        <v/>
      </c>
    </row>
    <row r="8325">
      <c r="W8325" s="7" t="n"/>
      <c r="X8325" s="7" t="n"/>
      <c r="Z8325">
        <f>Z8324+IF(W8325="",0,IF(ISNA(MATCH(W8325,W$256:W8324,0)),1,0))</f>
        <v/>
      </c>
      <c r="AA8325">
        <f>IF(Z8325&gt;Z8324,Z8325,"")</f>
        <v/>
      </c>
      <c r="AB8325">
        <f>AB8324+IF(X8325="",0,IF(ISNA(MATCH(X8325,X$256:X8324,0)),1,0))</f>
        <v/>
      </c>
      <c r="AC8325">
        <f>IF(AB8325&gt;AB8324,AB8325,"")</f>
        <v/>
      </c>
    </row>
    <row r="8326">
      <c r="W8326" s="7" t="n"/>
      <c r="X8326" s="7" t="n"/>
      <c r="Z8326">
        <f>Z8325+IF(W8326="",0,IF(ISNA(MATCH(W8326,W$256:W8325,0)),1,0))</f>
        <v/>
      </c>
      <c r="AA8326">
        <f>IF(Z8326&gt;Z8325,Z8326,"")</f>
        <v/>
      </c>
      <c r="AB8326">
        <f>AB8325+IF(X8326="",0,IF(ISNA(MATCH(X8326,X$256:X8325,0)),1,0))</f>
        <v/>
      </c>
      <c r="AC8326">
        <f>IF(AB8326&gt;AB8325,AB8326,"")</f>
        <v/>
      </c>
    </row>
    <row r="8327">
      <c r="W8327" s="7" t="n"/>
      <c r="X8327" s="7" t="n"/>
      <c r="Z8327">
        <f>Z8326+IF(W8327="",0,IF(ISNA(MATCH(W8327,W$256:W8326,0)),1,0))</f>
        <v/>
      </c>
      <c r="AA8327">
        <f>IF(Z8327&gt;Z8326,Z8327,"")</f>
        <v/>
      </c>
      <c r="AB8327">
        <f>AB8326+IF(X8327="",0,IF(ISNA(MATCH(X8327,X$256:X8326,0)),1,0))</f>
        <v/>
      </c>
      <c r="AC8327">
        <f>IF(AB8327&gt;AB8326,AB8327,"")</f>
        <v/>
      </c>
    </row>
    <row r="8328">
      <c r="W8328" s="7" t="n"/>
      <c r="X8328" s="7" t="n"/>
      <c r="Z8328">
        <f>Z8327+IF(W8328="",0,IF(ISNA(MATCH(W8328,W$256:W8327,0)),1,0))</f>
        <v/>
      </c>
      <c r="AA8328">
        <f>IF(Z8328&gt;Z8327,Z8328,"")</f>
        <v/>
      </c>
      <c r="AB8328">
        <f>AB8327+IF(X8328="",0,IF(ISNA(MATCH(X8328,X$256:X8327,0)),1,0))</f>
        <v/>
      </c>
      <c r="AC8328">
        <f>IF(AB8328&gt;AB8327,AB8328,"")</f>
        <v/>
      </c>
    </row>
    <row r="8329">
      <c r="W8329" s="7" t="n"/>
      <c r="X8329" s="7" t="n"/>
      <c r="Z8329">
        <f>Z8328+IF(W8329="",0,IF(ISNA(MATCH(W8329,W$256:W8328,0)),1,0))</f>
        <v/>
      </c>
      <c r="AA8329">
        <f>IF(Z8329&gt;Z8328,Z8329,"")</f>
        <v/>
      </c>
      <c r="AB8329">
        <f>AB8328+IF(X8329="",0,IF(ISNA(MATCH(X8329,X$256:X8328,0)),1,0))</f>
        <v/>
      </c>
      <c r="AC8329">
        <f>IF(AB8329&gt;AB8328,AB8329,"")</f>
        <v/>
      </c>
    </row>
    <row r="8330">
      <c r="W8330" s="7" t="n"/>
      <c r="X8330" s="7" t="n"/>
      <c r="Z8330">
        <f>Z8329+IF(W8330="",0,IF(ISNA(MATCH(W8330,W$256:W8329,0)),1,0))</f>
        <v/>
      </c>
      <c r="AA8330">
        <f>IF(Z8330&gt;Z8329,Z8330,"")</f>
        <v/>
      </c>
      <c r="AB8330">
        <f>AB8329+IF(X8330="",0,IF(ISNA(MATCH(X8330,X$256:X8329,0)),1,0))</f>
        <v/>
      </c>
      <c r="AC8330">
        <f>IF(AB8330&gt;AB8329,AB8330,"")</f>
        <v/>
      </c>
    </row>
    <row r="8331">
      <c r="W8331" s="7" t="n"/>
      <c r="X8331" s="7" t="n"/>
      <c r="Z8331">
        <f>Z8330+IF(W8331="",0,IF(ISNA(MATCH(W8331,W$256:W8330,0)),1,0))</f>
        <v/>
      </c>
      <c r="AA8331">
        <f>IF(Z8331&gt;Z8330,Z8331,"")</f>
        <v/>
      </c>
      <c r="AB8331">
        <f>AB8330+IF(X8331="",0,IF(ISNA(MATCH(X8331,X$256:X8330,0)),1,0))</f>
        <v/>
      </c>
      <c r="AC8331">
        <f>IF(AB8331&gt;AB8330,AB8331,"")</f>
        <v/>
      </c>
    </row>
    <row r="8332">
      <c r="W8332" s="7" t="n"/>
      <c r="X8332" s="7" t="n"/>
      <c r="Z8332">
        <f>Z8331+IF(W8332="",0,IF(ISNA(MATCH(W8332,W$256:W8331,0)),1,0))</f>
        <v/>
      </c>
      <c r="AA8332">
        <f>IF(Z8332&gt;Z8331,Z8332,"")</f>
        <v/>
      </c>
      <c r="AB8332">
        <f>AB8331+IF(X8332="",0,IF(ISNA(MATCH(X8332,X$256:X8331,0)),1,0))</f>
        <v/>
      </c>
      <c r="AC8332">
        <f>IF(AB8332&gt;AB8331,AB8332,"")</f>
        <v/>
      </c>
    </row>
    <row r="8333">
      <c r="W8333" s="7" t="n"/>
      <c r="X8333" s="7" t="n"/>
      <c r="Z8333">
        <f>Z8332+IF(W8333="",0,IF(ISNA(MATCH(W8333,W$256:W8332,0)),1,0))</f>
        <v/>
      </c>
      <c r="AA8333">
        <f>IF(Z8333&gt;Z8332,Z8333,"")</f>
        <v/>
      </c>
      <c r="AB8333">
        <f>AB8332+IF(X8333="",0,IF(ISNA(MATCH(X8333,X$256:X8332,0)),1,0))</f>
        <v/>
      </c>
      <c r="AC8333">
        <f>IF(AB8333&gt;AB8332,AB8333,"")</f>
        <v/>
      </c>
    </row>
    <row r="8334">
      <c r="W8334" s="7" t="n"/>
      <c r="X8334" s="7" t="n"/>
      <c r="Z8334">
        <f>Z8333+IF(W8334="",0,IF(ISNA(MATCH(W8334,W$256:W8333,0)),1,0))</f>
        <v/>
      </c>
      <c r="AA8334">
        <f>IF(Z8334&gt;Z8333,Z8334,"")</f>
        <v/>
      </c>
      <c r="AB8334">
        <f>AB8333+IF(X8334="",0,IF(ISNA(MATCH(X8334,X$256:X8333,0)),1,0))</f>
        <v/>
      </c>
      <c r="AC8334">
        <f>IF(AB8334&gt;AB8333,AB8334,"")</f>
        <v/>
      </c>
    </row>
    <row r="8335">
      <c r="W8335" s="7" t="n"/>
      <c r="X8335" s="7" t="n"/>
      <c r="Z8335">
        <f>Z8334+IF(W8335="",0,IF(ISNA(MATCH(W8335,W$256:W8334,0)),1,0))</f>
        <v/>
      </c>
      <c r="AA8335">
        <f>IF(Z8335&gt;Z8334,Z8335,"")</f>
        <v/>
      </c>
      <c r="AB8335">
        <f>AB8334+IF(X8335="",0,IF(ISNA(MATCH(X8335,X$256:X8334,0)),1,0))</f>
        <v/>
      </c>
      <c r="AC8335">
        <f>IF(AB8335&gt;AB8334,AB8335,"")</f>
        <v/>
      </c>
    </row>
    <row r="8336">
      <c r="W8336" s="7" t="n"/>
      <c r="X8336" s="7" t="n"/>
      <c r="Z8336">
        <f>Z8335+IF(W8336="",0,IF(ISNA(MATCH(W8336,W$256:W8335,0)),1,0))</f>
        <v/>
      </c>
      <c r="AA8336">
        <f>IF(Z8336&gt;Z8335,Z8336,"")</f>
        <v/>
      </c>
      <c r="AB8336">
        <f>AB8335+IF(X8336="",0,IF(ISNA(MATCH(X8336,X$256:X8335,0)),1,0))</f>
        <v/>
      </c>
      <c r="AC8336">
        <f>IF(AB8336&gt;AB8335,AB8336,"")</f>
        <v/>
      </c>
    </row>
    <row r="8337">
      <c r="W8337" s="7" t="n"/>
      <c r="X8337" s="7" t="n"/>
      <c r="Z8337">
        <f>Z8336+IF(W8337="",0,IF(ISNA(MATCH(W8337,W$256:W8336,0)),1,0))</f>
        <v/>
      </c>
      <c r="AA8337">
        <f>IF(Z8337&gt;Z8336,Z8337,"")</f>
        <v/>
      </c>
      <c r="AB8337">
        <f>AB8336+IF(X8337="",0,IF(ISNA(MATCH(X8337,X$256:X8336,0)),1,0))</f>
        <v/>
      </c>
      <c r="AC8337">
        <f>IF(AB8337&gt;AB8336,AB8337,"")</f>
        <v/>
      </c>
    </row>
    <row r="8338">
      <c r="W8338" s="7" t="n"/>
      <c r="X8338" s="7" t="n"/>
      <c r="Z8338">
        <f>Z8337+IF(W8338="",0,IF(ISNA(MATCH(W8338,W$256:W8337,0)),1,0))</f>
        <v/>
      </c>
      <c r="AA8338">
        <f>IF(Z8338&gt;Z8337,Z8338,"")</f>
        <v/>
      </c>
      <c r="AB8338">
        <f>AB8337+IF(X8338="",0,IF(ISNA(MATCH(X8338,X$256:X8337,0)),1,0))</f>
        <v/>
      </c>
      <c r="AC8338">
        <f>IF(AB8338&gt;AB8337,AB8338,"")</f>
        <v/>
      </c>
    </row>
    <row r="8339">
      <c r="W8339" s="7" t="n"/>
      <c r="X8339" s="7" t="n"/>
      <c r="Z8339">
        <f>Z8338+IF(W8339="",0,IF(ISNA(MATCH(W8339,W$256:W8338,0)),1,0))</f>
        <v/>
      </c>
      <c r="AA8339">
        <f>IF(Z8339&gt;Z8338,Z8339,"")</f>
        <v/>
      </c>
      <c r="AB8339">
        <f>AB8338+IF(X8339="",0,IF(ISNA(MATCH(X8339,X$256:X8338,0)),1,0))</f>
        <v/>
      </c>
      <c r="AC8339">
        <f>IF(AB8339&gt;AB8338,AB8339,"")</f>
        <v/>
      </c>
    </row>
    <row r="8340">
      <c r="W8340" s="7" t="n"/>
      <c r="X8340" s="7" t="n"/>
      <c r="Z8340">
        <f>Z8339+IF(W8340="",0,IF(ISNA(MATCH(W8340,W$256:W8339,0)),1,0))</f>
        <v/>
      </c>
      <c r="AA8340">
        <f>IF(Z8340&gt;Z8339,Z8340,"")</f>
        <v/>
      </c>
      <c r="AB8340">
        <f>AB8339+IF(X8340="",0,IF(ISNA(MATCH(X8340,X$256:X8339,0)),1,0))</f>
        <v/>
      </c>
      <c r="AC8340">
        <f>IF(AB8340&gt;AB8339,AB8340,"")</f>
        <v/>
      </c>
    </row>
    <row r="8341">
      <c r="W8341" s="7" t="n"/>
      <c r="X8341" s="7" t="n"/>
      <c r="Z8341">
        <f>Z8340+IF(W8341="",0,IF(ISNA(MATCH(W8341,W$256:W8340,0)),1,0))</f>
        <v/>
      </c>
      <c r="AA8341">
        <f>IF(Z8341&gt;Z8340,Z8341,"")</f>
        <v/>
      </c>
      <c r="AB8341">
        <f>AB8340+IF(X8341="",0,IF(ISNA(MATCH(X8341,X$256:X8340,0)),1,0))</f>
        <v/>
      </c>
      <c r="AC8341">
        <f>IF(AB8341&gt;AB8340,AB8341,"")</f>
        <v/>
      </c>
    </row>
    <row r="8342">
      <c r="W8342" s="7" t="n"/>
      <c r="X8342" s="7" t="n"/>
      <c r="Z8342">
        <f>Z8341+IF(W8342="",0,IF(ISNA(MATCH(W8342,W$256:W8341,0)),1,0))</f>
        <v/>
      </c>
      <c r="AA8342">
        <f>IF(Z8342&gt;Z8341,Z8342,"")</f>
        <v/>
      </c>
      <c r="AB8342">
        <f>AB8341+IF(X8342="",0,IF(ISNA(MATCH(X8342,X$256:X8341,0)),1,0))</f>
        <v/>
      </c>
      <c r="AC8342">
        <f>IF(AB8342&gt;AB8341,AB8342,"")</f>
        <v/>
      </c>
    </row>
    <row r="8343">
      <c r="W8343" s="7" t="n"/>
      <c r="X8343" s="7" t="n"/>
      <c r="Z8343">
        <f>Z8342+IF(W8343="",0,IF(ISNA(MATCH(W8343,W$256:W8342,0)),1,0))</f>
        <v/>
      </c>
      <c r="AA8343">
        <f>IF(Z8343&gt;Z8342,Z8343,"")</f>
        <v/>
      </c>
      <c r="AB8343">
        <f>AB8342+IF(X8343="",0,IF(ISNA(MATCH(X8343,X$256:X8342,0)),1,0))</f>
        <v/>
      </c>
      <c r="AC8343">
        <f>IF(AB8343&gt;AB8342,AB8343,"")</f>
        <v/>
      </c>
    </row>
    <row r="8344">
      <c r="W8344" s="7" t="n"/>
      <c r="X8344" s="7" t="n"/>
      <c r="Z8344">
        <f>Z8343+IF(W8344="",0,IF(ISNA(MATCH(W8344,W$256:W8343,0)),1,0))</f>
        <v/>
      </c>
      <c r="AA8344">
        <f>IF(Z8344&gt;Z8343,Z8344,"")</f>
        <v/>
      </c>
      <c r="AB8344">
        <f>AB8343+IF(X8344="",0,IF(ISNA(MATCH(X8344,X$256:X8343,0)),1,0))</f>
        <v/>
      </c>
      <c r="AC8344">
        <f>IF(AB8344&gt;AB8343,AB8344,"")</f>
        <v/>
      </c>
    </row>
    <row r="8345">
      <c r="W8345" s="7" t="n"/>
      <c r="X8345" s="7" t="n"/>
      <c r="Z8345">
        <f>Z8344+IF(W8345="",0,IF(ISNA(MATCH(W8345,W$256:W8344,0)),1,0))</f>
        <v/>
      </c>
      <c r="AA8345">
        <f>IF(Z8345&gt;Z8344,Z8345,"")</f>
        <v/>
      </c>
      <c r="AB8345">
        <f>AB8344+IF(X8345="",0,IF(ISNA(MATCH(X8345,X$256:X8344,0)),1,0))</f>
        <v/>
      </c>
      <c r="AC8345">
        <f>IF(AB8345&gt;AB8344,AB8345,"")</f>
        <v/>
      </c>
    </row>
    <row r="8346">
      <c r="W8346" s="7" t="n"/>
      <c r="X8346" s="7" t="n"/>
      <c r="Z8346">
        <f>Z8345+IF(W8346="",0,IF(ISNA(MATCH(W8346,W$256:W8345,0)),1,0))</f>
        <v/>
      </c>
      <c r="AA8346">
        <f>IF(Z8346&gt;Z8345,Z8346,"")</f>
        <v/>
      </c>
      <c r="AB8346">
        <f>AB8345+IF(X8346="",0,IF(ISNA(MATCH(X8346,X$256:X8345,0)),1,0))</f>
        <v/>
      </c>
      <c r="AC8346">
        <f>IF(AB8346&gt;AB8345,AB8346,"")</f>
        <v/>
      </c>
    </row>
    <row r="8347">
      <c r="W8347" s="7" t="n"/>
      <c r="X8347" s="7" t="n"/>
      <c r="Z8347">
        <f>Z8346+IF(W8347="",0,IF(ISNA(MATCH(W8347,W$256:W8346,0)),1,0))</f>
        <v/>
      </c>
      <c r="AA8347">
        <f>IF(Z8347&gt;Z8346,Z8347,"")</f>
        <v/>
      </c>
      <c r="AB8347">
        <f>AB8346+IF(X8347="",0,IF(ISNA(MATCH(X8347,X$256:X8346,0)),1,0))</f>
        <v/>
      </c>
      <c r="AC8347">
        <f>IF(AB8347&gt;AB8346,AB8347,"")</f>
        <v/>
      </c>
    </row>
    <row r="8348">
      <c r="W8348" s="7" t="n"/>
      <c r="X8348" s="7" t="n"/>
      <c r="Z8348">
        <f>Z8347+IF(W8348="",0,IF(ISNA(MATCH(W8348,W$256:W8347,0)),1,0))</f>
        <v/>
      </c>
      <c r="AA8348">
        <f>IF(Z8348&gt;Z8347,Z8348,"")</f>
        <v/>
      </c>
      <c r="AB8348">
        <f>AB8347+IF(X8348="",0,IF(ISNA(MATCH(X8348,X$256:X8347,0)),1,0))</f>
        <v/>
      </c>
      <c r="AC8348">
        <f>IF(AB8348&gt;AB8347,AB8348,"")</f>
        <v/>
      </c>
    </row>
    <row r="8349">
      <c r="W8349" s="7" t="n"/>
      <c r="X8349" s="7" t="n"/>
      <c r="Z8349">
        <f>Z8348+IF(W8349="",0,IF(ISNA(MATCH(W8349,W$256:W8348,0)),1,0))</f>
        <v/>
      </c>
      <c r="AA8349">
        <f>IF(Z8349&gt;Z8348,Z8349,"")</f>
        <v/>
      </c>
      <c r="AB8349">
        <f>AB8348+IF(X8349="",0,IF(ISNA(MATCH(X8349,X$256:X8348,0)),1,0))</f>
        <v/>
      </c>
      <c r="AC8349">
        <f>IF(AB8349&gt;AB8348,AB8349,"")</f>
        <v/>
      </c>
    </row>
    <row r="8350">
      <c r="W8350" s="7" t="n"/>
      <c r="X8350" s="7" t="n"/>
      <c r="Z8350">
        <f>Z8349+IF(W8350="",0,IF(ISNA(MATCH(W8350,W$256:W8349,0)),1,0))</f>
        <v/>
      </c>
      <c r="AA8350">
        <f>IF(Z8350&gt;Z8349,Z8350,"")</f>
        <v/>
      </c>
      <c r="AB8350">
        <f>AB8349+IF(X8350="",0,IF(ISNA(MATCH(X8350,X$256:X8349,0)),1,0))</f>
        <v/>
      </c>
      <c r="AC8350">
        <f>IF(AB8350&gt;AB8349,AB8350,"")</f>
        <v/>
      </c>
    </row>
    <row r="8351">
      <c r="W8351" s="7" t="n"/>
      <c r="X8351" s="7" t="n"/>
      <c r="Z8351">
        <f>Z8350+IF(W8351="",0,IF(ISNA(MATCH(W8351,W$256:W8350,0)),1,0))</f>
        <v/>
      </c>
      <c r="AA8351">
        <f>IF(Z8351&gt;Z8350,Z8351,"")</f>
        <v/>
      </c>
      <c r="AB8351">
        <f>AB8350+IF(X8351="",0,IF(ISNA(MATCH(X8351,X$256:X8350,0)),1,0))</f>
        <v/>
      </c>
      <c r="AC8351">
        <f>IF(AB8351&gt;AB8350,AB8351,"")</f>
        <v/>
      </c>
    </row>
    <row r="8352">
      <c r="W8352" s="7" t="n"/>
      <c r="X8352" s="7" t="n"/>
      <c r="Z8352">
        <f>Z8351+IF(W8352="",0,IF(ISNA(MATCH(W8352,W$256:W8351,0)),1,0))</f>
        <v/>
      </c>
      <c r="AA8352">
        <f>IF(Z8352&gt;Z8351,Z8352,"")</f>
        <v/>
      </c>
      <c r="AB8352">
        <f>AB8351+IF(X8352="",0,IF(ISNA(MATCH(X8352,X$256:X8351,0)),1,0))</f>
        <v/>
      </c>
      <c r="AC8352">
        <f>IF(AB8352&gt;AB8351,AB8352,"")</f>
        <v/>
      </c>
    </row>
    <row r="8353">
      <c r="W8353" s="7" t="n"/>
      <c r="X8353" s="7" t="n"/>
      <c r="Z8353">
        <f>Z8352+IF(W8353="",0,IF(ISNA(MATCH(W8353,W$256:W8352,0)),1,0))</f>
        <v/>
      </c>
      <c r="AA8353">
        <f>IF(Z8353&gt;Z8352,Z8353,"")</f>
        <v/>
      </c>
      <c r="AB8353">
        <f>AB8352+IF(X8353="",0,IF(ISNA(MATCH(X8353,X$256:X8352,0)),1,0))</f>
        <v/>
      </c>
      <c r="AC8353">
        <f>IF(AB8353&gt;AB8352,AB8353,"")</f>
        <v/>
      </c>
    </row>
    <row r="8354">
      <c r="W8354" s="7" t="n"/>
      <c r="X8354" s="7" t="n"/>
      <c r="Z8354">
        <f>Z8353+IF(W8354="",0,IF(ISNA(MATCH(W8354,W$256:W8353,0)),1,0))</f>
        <v/>
      </c>
      <c r="AA8354">
        <f>IF(Z8354&gt;Z8353,Z8354,"")</f>
        <v/>
      </c>
      <c r="AB8354">
        <f>AB8353+IF(X8354="",0,IF(ISNA(MATCH(X8354,X$256:X8353,0)),1,0))</f>
        <v/>
      </c>
      <c r="AC8354">
        <f>IF(AB8354&gt;AB8353,AB8354,"")</f>
        <v/>
      </c>
    </row>
    <row r="8355">
      <c r="W8355" s="7" t="n"/>
      <c r="X8355" s="7" t="n"/>
      <c r="Z8355">
        <f>Z8354+IF(W8355="",0,IF(ISNA(MATCH(W8355,W$256:W8354,0)),1,0))</f>
        <v/>
      </c>
      <c r="AA8355">
        <f>IF(Z8355&gt;Z8354,Z8355,"")</f>
        <v/>
      </c>
      <c r="AB8355">
        <f>AB8354+IF(X8355="",0,IF(ISNA(MATCH(X8355,X$256:X8354,0)),1,0))</f>
        <v/>
      </c>
      <c r="AC8355">
        <f>IF(AB8355&gt;AB8354,AB8355,"")</f>
        <v/>
      </c>
    </row>
    <row r="8356">
      <c r="W8356" s="7" t="n"/>
      <c r="X8356" s="7" t="n"/>
      <c r="Z8356">
        <f>Z8355+IF(W8356="",0,IF(ISNA(MATCH(W8356,W$256:W8355,0)),1,0))</f>
        <v/>
      </c>
      <c r="AA8356">
        <f>IF(Z8356&gt;Z8355,Z8356,"")</f>
        <v/>
      </c>
      <c r="AB8356">
        <f>AB8355+IF(X8356="",0,IF(ISNA(MATCH(X8356,X$256:X8355,0)),1,0))</f>
        <v/>
      </c>
      <c r="AC8356">
        <f>IF(AB8356&gt;AB8355,AB8356,"")</f>
        <v/>
      </c>
    </row>
    <row r="8357">
      <c r="W8357" s="7" t="n"/>
      <c r="X8357" s="7" t="n"/>
      <c r="Z8357">
        <f>Z8356+IF(W8357="",0,IF(ISNA(MATCH(W8357,W$256:W8356,0)),1,0))</f>
        <v/>
      </c>
      <c r="AA8357">
        <f>IF(Z8357&gt;Z8356,Z8357,"")</f>
        <v/>
      </c>
      <c r="AB8357">
        <f>AB8356+IF(X8357="",0,IF(ISNA(MATCH(X8357,X$256:X8356,0)),1,0))</f>
        <v/>
      </c>
      <c r="AC8357">
        <f>IF(AB8357&gt;AB8356,AB8357,"")</f>
        <v/>
      </c>
    </row>
    <row r="8358">
      <c r="W8358" s="7" t="n"/>
      <c r="X8358" s="7" t="n"/>
      <c r="Z8358">
        <f>Z8357+IF(W8358="",0,IF(ISNA(MATCH(W8358,W$256:W8357,0)),1,0))</f>
        <v/>
      </c>
      <c r="AA8358">
        <f>IF(Z8358&gt;Z8357,Z8358,"")</f>
        <v/>
      </c>
      <c r="AB8358">
        <f>AB8357+IF(X8358="",0,IF(ISNA(MATCH(X8358,X$256:X8357,0)),1,0))</f>
        <v/>
      </c>
      <c r="AC8358">
        <f>IF(AB8358&gt;AB8357,AB8358,"")</f>
        <v/>
      </c>
    </row>
    <row r="8359">
      <c r="W8359" s="7" t="n"/>
      <c r="X8359" s="7" t="n"/>
      <c r="Z8359">
        <f>Z8358+IF(W8359="",0,IF(ISNA(MATCH(W8359,W$256:W8358,0)),1,0))</f>
        <v/>
      </c>
      <c r="AA8359">
        <f>IF(Z8359&gt;Z8358,Z8359,"")</f>
        <v/>
      </c>
      <c r="AB8359">
        <f>AB8358+IF(X8359="",0,IF(ISNA(MATCH(X8359,X$256:X8358,0)),1,0))</f>
        <v/>
      </c>
      <c r="AC8359">
        <f>IF(AB8359&gt;AB8358,AB8359,"")</f>
        <v/>
      </c>
    </row>
    <row r="8360">
      <c r="W8360" s="7" t="n"/>
      <c r="X8360" s="7" t="n"/>
      <c r="Z8360">
        <f>Z8359+IF(W8360="",0,IF(ISNA(MATCH(W8360,W$256:W8359,0)),1,0))</f>
        <v/>
      </c>
      <c r="AA8360">
        <f>IF(Z8360&gt;Z8359,Z8360,"")</f>
        <v/>
      </c>
      <c r="AB8360">
        <f>AB8359+IF(X8360="",0,IF(ISNA(MATCH(X8360,X$256:X8359,0)),1,0))</f>
        <v/>
      </c>
      <c r="AC8360">
        <f>IF(AB8360&gt;AB8359,AB8360,"")</f>
        <v/>
      </c>
    </row>
    <row r="8361">
      <c r="W8361" s="7" t="n"/>
      <c r="X8361" s="7" t="n"/>
      <c r="Z8361">
        <f>Z8360+IF(W8361="",0,IF(ISNA(MATCH(W8361,W$256:W8360,0)),1,0))</f>
        <v/>
      </c>
      <c r="AA8361">
        <f>IF(Z8361&gt;Z8360,Z8361,"")</f>
        <v/>
      </c>
      <c r="AB8361">
        <f>AB8360+IF(X8361="",0,IF(ISNA(MATCH(X8361,X$256:X8360,0)),1,0))</f>
        <v/>
      </c>
      <c r="AC8361">
        <f>IF(AB8361&gt;AB8360,AB8361,"")</f>
        <v/>
      </c>
    </row>
    <row r="8362">
      <c r="W8362" s="7" t="n"/>
      <c r="X8362" s="7" t="n"/>
      <c r="Z8362">
        <f>Z8361+IF(W8362="",0,IF(ISNA(MATCH(W8362,W$256:W8361,0)),1,0))</f>
        <v/>
      </c>
      <c r="AA8362">
        <f>IF(Z8362&gt;Z8361,Z8362,"")</f>
        <v/>
      </c>
      <c r="AB8362">
        <f>AB8361+IF(X8362="",0,IF(ISNA(MATCH(X8362,X$256:X8361,0)),1,0))</f>
        <v/>
      </c>
      <c r="AC8362">
        <f>IF(AB8362&gt;AB8361,AB8362,"")</f>
        <v/>
      </c>
    </row>
    <row r="8363">
      <c r="W8363" s="7" t="n"/>
      <c r="X8363" s="7" t="n"/>
      <c r="Z8363">
        <f>Z8362+IF(W8363="",0,IF(ISNA(MATCH(W8363,W$256:W8362,0)),1,0))</f>
        <v/>
      </c>
      <c r="AA8363">
        <f>IF(Z8363&gt;Z8362,Z8363,"")</f>
        <v/>
      </c>
      <c r="AB8363">
        <f>AB8362+IF(X8363="",0,IF(ISNA(MATCH(X8363,X$256:X8362,0)),1,0))</f>
        <v/>
      </c>
      <c r="AC8363">
        <f>IF(AB8363&gt;AB8362,AB8363,"")</f>
        <v/>
      </c>
    </row>
    <row r="8364">
      <c r="W8364" s="7" t="n"/>
      <c r="X8364" s="7" t="n"/>
      <c r="Z8364">
        <f>Z8363+IF(W8364="",0,IF(ISNA(MATCH(W8364,W$256:W8363,0)),1,0))</f>
        <v/>
      </c>
      <c r="AA8364">
        <f>IF(Z8364&gt;Z8363,Z8364,"")</f>
        <v/>
      </c>
      <c r="AB8364">
        <f>AB8363+IF(X8364="",0,IF(ISNA(MATCH(X8364,X$256:X8363,0)),1,0))</f>
        <v/>
      </c>
      <c r="AC8364">
        <f>IF(AB8364&gt;AB8363,AB8364,"")</f>
        <v/>
      </c>
    </row>
    <row r="8365">
      <c r="W8365" s="7" t="n"/>
      <c r="X8365" s="7" t="n"/>
      <c r="Z8365">
        <f>Z8364+IF(W8365="",0,IF(ISNA(MATCH(W8365,W$256:W8364,0)),1,0))</f>
        <v/>
      </c>
      <c r="AA8365">
        <f>IF(Z8365&gt;Z8364,Z8365,"")</f>
        <v/>
      </c>
      <c r="AB8365">
        <f>AB8364+IF(X8365="",0,IF(ISNA(MATCH(X8365,X$256:X8364,0)),1,0))</f>
        <v/>
      </c>
      <c r="AC8365">
        <f>IF(AB8365&gt;AB8364,AB8365,"")</f>
        <v/>
      </c>
    </row>
    <row r="8366">
      <c r="W8366" s="7" t="n"/>
      <c r="X8366" s="7" t="n"/>
      <c r="Z8366">
        <f>Z8365+IF(W8366="",0,IF(ISNA(MATCH(W8366,W$256:W8365,0)),1,0))</f>
        <v/>
      </c>
      <c r="AA8366">
        <f>IF(Z8366&gt;Z8365,Z8366,"")</f>
        <v/>
      </c>
      <c r="AB8366">
        <f>AB8365+IF(X8366="",0,IF(ISNA(MATCH(X8366,X$256:X8365,0)),1,0))</f>
        <v/>
      </c>
      <c r="AC8366">
        <f>IF(AB8366&gt;AB8365,AB8366,"")</f>
        <v/>
      </c>
    </row>
    <row r="8367">
      <c r="W8367" s="7" t="n"/>
      <c r="X8367" s="7" t="n"/>
      <c r="Z8367">
        <f>Z8366+IF(W8367="",0,IF(ISNA(MATCH(W8367,W$256:W8366,0)),1,0))</f>
        <v/>
      </c>
      <c r="AA8367">
        <f>IF(Z8367&gt;Z8366,Z8367,"")</f>
        <v/>
      </c>
      <c r="AB8367">
        <f>AB8366+IF(X8367="",0,IF(ISNA(MATCH(X8367,X$256:X8366,0)),1,0))</f>
        <v/>
      </c>
      <c r="AC8367">
        <f>IF(AB8367&gt;AB8366,AB8367,"")</f>
        <v/>
      </c>
    </row>
    <row r="8368">
      <c r="W8368" s="7" t="n"/>
      <c r="X8368" s="7" t="n"/>
      <c r="Z8368">
        <f>Z8367+IF(W8368="",0,IF(ISNA(MATCH(W8368,W$256:W8367,0)),1,0))</f>
        <v/>
      </c>
      <c r="AA8368">
        <f>IF(Z8368&gt;Z8367,Z8368,"")</f>
        <v/>
      </c>
      <c r="AB8368">
        <f>AB8367+IF(X8368="",0,IF(ISNA(MATCH(X8368,X$256:X8367,0)),1,0))</f>
        <v/>
      </c>
      <c r="AC8368">
        <f>IF(AB8368&gt;AB8367,AB8368,"")</f>
        <v/>
      </c>
    </row>
    <row r="8369">
      <c r="W8369" s="7" t="n"/>
      <c r="X8369" s="7" t="n"/>
      <c r="Z8369">
        <f>Z8368+IF(W8369="",0,IF(ISNA(MATCH(W8369,W$256:W8368,0)),1,0))</f>
        <v/>
      </c>
      <c r="AA8369">
        <f>IF(Z8369&gt;Z8368,Z8369,"")</f>
        <v/>
      </c>
      <c r="AB8369">
        <f>AB8368+IF(X8369="",0,IF(ISNA(MATCH(X8369,X$256:X8368,0)),1,0))</f>
        <v/>
      </c>
      <c r="AC8369">
        <f>IF(AB8369&gt;AB8368,AB8369,"")</f>
        <v/>
      </c>
    </row>
    <row r="8370">
      <c r="W8370" s="7" t="n"/>
      <c r="X8370" s="7" t="n"/>
      <c r="Z8370">
        <f>Z8369+IF(W8370="",0,IF(ISNA(MATCH(W8370,W$256:W8369,0)),1,0))</f>
        <v/>
      </c>
      <c r="AA8370">
        <f>IF(Z8370&gt;Z8369,Z8370,"")</f>
        <v/>
      </c>
      <c r="AB8370">
        <f>AB8369+IF(X8370="",0,IF(ISNA(MATCH(X8370,X$256:X8369,0)),1,0))</f>
        <v/>
      </c>
      <c r="AC8370">
        <f>IF(AB8370&gt;AB8369,AB8370,"")</f>
        <v/>
      </c>
    </row>
    <row r="8371">
      <c r="W8371" s="7" t="n"/>
      <c r="X8371" s="7" t="n"/>
      <c r="Z8371">
        <f>Z8370+IF(W8371="",0,IF(ISNA(MATCH(W8371,W$256:W8370,0)),1,0))</f>
        <v/>
      </c>
      <c r="AA8371">
        <f>IF(Z8371&gt;Z8370,Z8371,"")</f>
        <v/>
      </c>
      <c r="AB8371">
        <f>AB8370+IF(X8371="",0,IF(ISNA(MATCH(X8371,X$256:X8370,0)),1,0))</f>
        <v/>
      </c>
      <c r="AC8371">
        <f>IF(AB8371&gt;AB8370,AB8371,"")</f>
        <v/>
      </c>
    </row>
    <row r="8372">
      <c r="W8372" s="7" t="n"/>
      <c r="X8372" s="7" t="n"/>
      <c r="Z8372">
        <f>Z8371+IF(W8372="",0,IF(ISNA(MATCH(W8372,W$256:W8371,0)),1,0))</f>
        <v/>
      </c>
      <c r="AA8372">
        <f>IF(Z8372&gt;Z8371,Z8372,"")</f>
        <v/>
      </c>
      <c r="AB8372">
        <f>AB8371+IF(X8372="",0,IF(ISNA(MATCH(X8372,X$256:X8371,0)),1,0))</f>
        <v/>
      </c>
      <c r="AC8372">
        <f>IF(AB8372&gt;AB8371,AB8372,"")</f>
        <v/>
      </c>
    </row>
    <row r="8373">
      <c r="W8373" s="7" t="n"/>
      <c r="X8373" s="7" t="n"/>
      <c r="Z8373">
        <f>Z8372+IF(W8373="",0,IF(ISNA(MATCH(W8373,W$256:W8372,0)),1,0))</f>
        <v/>
      </c>
      <c r="AA8373">
        <f>IF(Z8373&gt;Z8372,Z8373,"")</f>
        <v/>
      </c>
      <c r="AB8373">
        <f>AB8372+IF(X8373="",0,IF(ISNA(MATCH(X8373,X$256:X8372,0)),1,0))</f>
        <v/>
      </c>
      <c r="AC8373">
        <f>IF(AB8373&gt;AB8372,AB8373,"")</f>
        <v/>
      </c>
    </row>
    <row r="8374">
      <c r="W8374" s="7" t="n"/>
      <c r="X8374" s="7" t="n"/>
      <c r="Z8374">
        <f>Z8373+IF(W8374="",0,IF(ISNA(MATCH(W8374,W$256:W8373,0)),1,0))</f>
        <v/>
      </c>
      <c r="AA8374">
        <f>IF(Z8374&gt;Z8373,Z8374,"")</f>
        <v/>
      </c>
      <c r="AB8374">
        <f>AB8373+IF(X8374="",0,IF(ISNA(MATCH(X8374,X$256:X8373,0)),1,0))</f>
        <v/>
      </c>
      <c r="AC8374">
        <f>IF(AB8374&gt;AB8373,AB8374,"")</f>
        <v/>
      </c>
    </row>
    <row r="8375">
      <c r="W8375" s="7" t="n"/>
      <c r="X8375" s="7" t="n"/>
      <c r="Z8375">
        <f>Z8374+IF(W8375="",0,IF(ISNA(MATCH(W8375,W$256:W8374,0)),1,0))</f>
        <v/>
      </c>
      <c r="AA8375">
        <f>IF(Z8375&gt;Z8374,Z8375,"")</f>
        <v/>
      </c>
      <c r="AB8375">
        <f>AB8374+IF(X8375="",0,IF(ISNA(MATCH(X8375,X$256:X8374,0)),1,0))</f>
        <v/>
      </c>
      <c r="AC8375">
        <f>IF(AB8375&gt;AB8374,AB8375,"")</f>
        <v/>
      </c>
    </row>
    <row r="8376">
      <c r="W8376" s="7" t="n"/>
      <c r="X8376" s="7" t="n"/>
      <c r="Z8376">
        <f>Z8375+IF(W8376="",0,IF(ISNA(MATCH(W8376,W$256:W8375,0)),1,0))</f>
        <v/>
      </c>
      <c r="AA8376">
        <f>IF(Z8376&gt;Z8375,Z8376,"")</f>
        <v/>
      </c>
      <c r="AB8376">
        <f>AB8375+IF(X8376="",0,IF(ISNA(MATCH(X8376,X$256:X8375,0)),1,0))</f>
        <v/>
      </c>
      <c r="AC8376">
        <f>IF(AB8376&gt;AB8375,AB8376,"")</f>
        <v/>
      </c>
    </row>
    <row r="8377">
      <c r="W8377" s="7" t="n"/>
      <c r="X8377" s="7" t="n"/>
      <c r="Z8377">
        <f>Z8376+IF(W8377="",0,IF(ISNA(MATCH(W8377,W$256:W8376,0)),1,0))</f>
        <v/>
      </c>
      <c r="AA8377">
        <f>IF(Z8377&gt;Z8376,Z8377,"")</f>
        <v/>
      </c>
      <c r="AB8377">
        <f>AB8376+IF(X8377="",0,IF(ISNA(MATCH(X8377,X$256:X8376,0)),1,0))</f>
        <v/>
      </c>
      <c r="AC8377">
        <f>IF(AB8377&gt;AB8376,AB8377,"")</f>
        <v/>
      </c>
    </row>
    <row r="8378">
      <c r="W8378" s="7" t="n"/>
      <c r="X8378" s="7" t="n"/>
      <c r="Z8378">
        <f>Z8377+IF(W8378="",0,IF(ISNA(MATCH(W8378,W$256:W8377,0)),1,0))</f>
        <v/>
      </c>
      <c r="AA8378">
        <f>IF(Z8378&gt;Z8377,Z8378,"")</f>
        <v/>
      </c>
      <c r="AB8378">
        <f>AB8377+IF(X8378="",0,IF(ISNA(MATCH(X8378,X$256:X8377,0)),1,0))</f>
        <v/>
      </c>
      <c r="AC8378">
        <f>IF(AB8378&gt;AB8377,AB8378,"")</f>
        <v/>
      </c>
    </row>
    <row r="8379">
      <c r="W8379" s="7" t="n"/>
      <c r="X8379" s="7" t="n"/>
      <c r="Z8379">
        <f>Z8378+IF(W8379="",0,IF(ISNA(MATCH(W8379,W$256:W8378,0)),1,0))</f>
        <v/>
      </c>
      <c r="AA8379">
        <f>IF(Z8379&gt;Z8378,Z8379,"")</f>
        <v/>
      </c>
      <c r="AB8379">
        <f>AB8378+IF(X8379="",0,IF(ISNA(MATCH(X8379,X$256:X8378,0)),1,0))</f>
        <v/>
      </c>
      <c r="AC8379">
        <f>IF(AB8379&gt;AB8378,AB8379,"")</f>
        <v/>
      </c>
    </row>
    <row r="8380">
      <c r="W8380" s="7" t="n"/>
      <c r="X8380" s="7" t="n"/>
      <c r="Z8380">
        <f>Z8379+IF(W8380="",0,IF(ISNA(MATCH(W8380,W$256:W8379,0)),1,0))</f>
        <v/>
      </c>
      <c r="AA8380">
        <f>IF(Z8380&gt;Z8379,Z8380,"")</f>
        <v/>
      </c>
      <c r="AB8380">
        <f>AB8379+IF(X8380="",0,IF(ISNA(MATCH(X8380,X$256:X8379,0)),1,0))</f>
        <v/>
      </c>
      <c r="AC8380">
        <f>IF(AB8380&gt;AB8379,AB8380,"")</f>
        <v/>
      </c>
    </row>
    <row r="8381">
      <c r="W8381" s="7" t="n"/>
      <c r="X8381" s="7" t="n"/>
      <c r="Z8381">
        <f>Z8380+IF(W8381="",0,IF(ISNA(MATCH(W8381,W$256:W8380,0)),1,0))</f>
        <v/>
      </c>
      <c r="AA8381">
        <f>IF(Z8381&gt;Z8380,Z8381,"")</f>
        <v/>
      </c>
      <c r="AB8381">
        <f>AB8380+IF(X8381="",0,IF(ISNA(MATCH(X8381,X$256:X8380,0)),1,0))</f>
        <v/>
      </c>
      <c r="AC8381">
        <f>IF(AB8381&gt;AB8380,AB8381,"")</f>
        <v/>
      </c>
    </row>
    <row r="8382">
      <c r="W8382" s="7" t="n"/>
      <c r="X8382" s="7" t="n"/>
      <c r="Z8382">
        <f>Z8381+IF(W8382="",0,IF(ISNA(MATCH(W8382,W$256:W8381,0)),1,0))</f>
        <v/>
      </c>
      <c r="AA8382">
        <f>IF(Z8382&gt;Z8381,Z8382,"")</f>
        <v/>
      </c>
      <c r="AB8382">
        <f>AB8381+IF(X8382="",0,IF(ISNA(MATCH(X8382,X$256:X8381,0)),1,0))</f>
        <v/>
      </c>
      <c r="AC8382">
        <f>IF(AB8382&gt;AB8381,AB8382,"")</f>
        <v/>
      </c>
    </row>
    <row r="8383">
      <c r="W8383" s="7" t="n"/>
      <c r="X8383" s="7" t="n"/>
      <c r="Z8383">
        <f>Z8382+IF(W8383="",0,IF(ISNA(MATCH(W8383,W$256:W8382,0)),1,0))</f>
        <v/>
      </c>
      <c r="AA8383">
        <f>IF(Z8383&gt;Z8382,Z8383,"")</f>
        <v/>
      </c>
      <c r="AB8383">
        <f>AB8382+IF(X8383="",0,IF(ISNA(MATCH(X8383,X$256:X8382,0)),1,0))</f>
        <v/>
      </c>
      <c r="AC8383">
        <f>IF(AB8383&gt;AB8382,AB8383,"")</f>
        <v/>
      </c>
    </row>
    <row r="8384">
      <c r="W8384" s="7" t="n"/>
      <c r="X8384" s="7" t="n"/>
      <c r="Z8384">
        <f>Z8383+IF(W8384="",0,IF(ISNA(MATCH(W8384,W$256:W8383,0)),1,0))</f>
        <v/>
      </c>
      <c r="AA8384">
        <f>IF(Z8384&gt;Z8383,Z8384,"")</f>
        <v/>
      </c>
      <c r="AB8384">
        <f>AB8383+IF(X8384="",0,IF(ISNA(MATCH(X8384,X$256:X8383,0)),1,0))</f>
        <v/>
      </c>
      <c r="AC8384">
        <f>IF(AB8384&gt;AB8383,AB8384,"")</f>
        <v/>
      </c>
    </row>
    <row r="8385">
      <c r="W8385" s="7" t="n"/>
      <c r="X8385" s="7" t="n"/>
      <c r="Z8385">
        <f>Z8384+IF(W8385="",0,IF(ISNA(MATCH(W8385,W$256:W8384,0)),1,0))</f>
        <v/>
      </c>
      <c r="AA8385">
        <f>IF(Z8385&gt;Z8384,Z8385,"")</f>
        <v/>
      </c>
      <c r="AB8385">
        <f>AB8384+IF(X8385="",0,IF(ISNA(MATCH(X8385,X$256:X8384,0)),1,0))</f>
        <v/>
      </c>
      <c r="AC8385">
        <f>IF(AB8385&gt;AB8384,AB8385,"")</f>
        <v/>
      </c>
    </row>
    <row r="8386">
      <c r="W8386" s="7" t="n"/>
      <c r="X8386" s="7" t="n"/>
      <c r="Z8386">
        <f>Z8385+IF(W8386="",0,IF(ISNA(MATCH(W8386,W$256:W8385,0)),1,0))</f>
        <v/>
      </c>
      <c r="AA8386">
        <f>IF(Z8386&gt;Z8385,Z8386,"")</f>
        <v/>
      </c>
      <c r="AB8386">
        <f>AB8385+IF(X8386="",0,IF(ISNA(MATCH(X8386,X$256:X8385,0)),1,0))</f>
        <v/>
      </c>
      <c r="AC8386">
        <f>IF(AB8386&gt;AB8385,AB8386,"")</f>
        <v/>
      </c>
    </row>
    <row r="8387">
      <c r="W8387" s="7" t="n"/>
      <c r="X8387" s="7" t="n"/>
      <c r="Z8387">
        <f>Z8386+IF(W8387="",0,IF(ISNA(MATCH(W8387,W$256:W8386,0)),1,0))</f>
        <v/>
      </c>
      <c r="AA8387">
        <f>IF(Z8387&gt;Z8386,Z8387,"")</f>
        <v/>
      </c>
      <c r="AB8387">
        <f>AB8386+IF(X8387="",0,IF(ISNA(MATCH(X8387,X$256:X8386,0)),1,0))</f>
        <v/>
      </c>
      <c r="AC8387">
        <f>IF(AB8387&gt;AB8386,AB8387,"")</f>
        <v/>
      </c>
    </row>
    <row r="8388">
      <c r="W8388" s="7" t="n"/>
      <c r="X8388" s="7" t="n"/>
      <c r="Z8388">
        <f>Z8387+IF(W8388="",0,IF(ISNA(MATCH(W8388,W$256:W8387,0)),1,0))</f>
        <v/>
      </c>
      <c r="AA8388">
        <f>IF(Z8388&gt;Z8387,Z8388,"")</f>
        <v/>
      </c>
      <c r="AB8388">
        <f>AB8387+IF(X8388="",0,IF(ISNA(MATCH(X8388,X$256:X8387,0)),1,0))</f>
        <v/>
      </c>
      <c r="AC8388">
        <f>IF(AB8388&gt;AB8387,AB8388,"")</f>
        <v/>
      </c>
    </row>
    <row r="8389">
      <c r="W8389" s="7" t="n"/>
      <c r="X8389" s="7" t="n"/>
      <c r="Z8389">
        <f>Z8388+IF(W8389="",0,IF(ISNA(MATCH(W8389,W$256:W8388,0)),1,0))</f>
        <v/>
      </c>
      <c r="AA8389">
        <f>IF(Z8389&gt;Z8388,Z8389,"")</f>
        <v/>
      </c>
      <c r="AB8389">
        <f>AB8388+IF(X8389="",0,IF(ISNA(MATCH(X8389,X$256:X8388,0)),1,0))</f>
        <v/>
      </c>
      <c r="AC8389">
        <f>IF(AB8389&gt;AB8388,AB8389,"")</f>
        <v/>
      </c>
    </row>
    <row r="8390">
      <c r="W8390" s="7" t="n"/>
      <c r="X8390" s="7" t="n"/>
      <c r="Z8390">
        <f>Z8389+IF(W8390="",0,IF(ISNA(MATCH(W8390,W$256:W8389,0)),1,0))</f>
        <v/>
      </c>
      <c r="AA8390">
        <f>IF(Z8390&gt;Z8389,Z8390,"")</f>
        <v/>
      </c>
      <c r="AB8390">
        <f>AB8389+IF(X8390="",0,IF(ISNA(MATCH(X8390,X$256:X8389,0)),1,0))</f>
        <v/>
      </c>
      <c r="AC8390">
        <f>IF(AB8390&gt;AB8389,AB8390,"")</f>
        <v/>
      </c>
    </row>
    <row r="8391">
      <c r="W8391" s="7" t="n"/>
      <c r="X8391" s="7" t="n"/>
      <c r="Z8391">
        <f>Z8390+IF(W8391="",0,IF(ISNA(MATCH(W8391,W$256:W8390,0)),1,0))</f>
        <v/>
      </c>
      <c r="AA8391">
        <f>IF(Z8391&gt;Z8390,Z8391,"")</f>
        <v/>
      </c>
      <c r="AB8391">
        <f>AB8390+IF(X8391="",0,IF(ISNA(MATCH(X8391,X$256:X8390,0)),1,0))</f>
        <v/>
      </c>
      <c r="AC8391">
        <f>IF(AB8391&gt;AB8390,AB8391,"")</f>
        <v/>
      </c>
    </row>
    <row r="8392">
      <c r="W8392" s="7" t="n"/>
      <c r="X8392" s="7" t="n"/>
      <c r="Z8392">
        <f>Z8391+IF(W8392="",0,IF(ISNA(MATCH(W8392,W$256:W8391,0)),1,0))</f>
        <v/>
      </c>
      <c r="AA8392">
        <f>IF(Z8392&gt;Z8391,Z8392,"")</f>
        <v/>
      </c>
      <c r="AB8392">
        <f>AB8391+IF(X8392="",0,IF(ISNA(MATCH(X8392,X$256:X8391,0)),1,0))</f>
        <v/>
      </c>
      <c r="AC8392">
        <f>IF(AB8392&gt;AB8391,AB8392,"")</f>
        <v/>
      </c>
    </row>
    <row r="8393">
      <c r="W8393" s="7" t="n"/>
      <c r="X8393" s="7" t="n"/>
      <c r="Z8393">
        <f>Z8392+IF(W8393="",0,IF(ISNA(MATCH(W8393,W$256:W8392,0)),1,0))</f>
        <v/>
      </c>
      <c r="AA8393">
        <f>IF(Z8393&gt;Z8392,Z8393,"")</f>
        <v/>
      </c>
      <c r="AB8393">
        <f>AB8392+IF(X8393="",0,IF(ISNA(MATCH(X8393,X$256:X8392,0)),1,0))</f>
        <v/>
      </c>
      <c r="AC8393">
        <f>IF(AB8393&gt;AB8392,AB8393,"")</f>
        <v/>
      </c>
    </row>
    <row r="8394">
      <c r="W8394" s="7" t="n"/>
      <c r="X8394" s="7" t="n"/>
      <c r="Z8394">
        <f>Z8393+IF(W8394="",0,IF(ISNA(MATCH(W8394,W$256:W8393,0)),1,0))</f>
        <v/>
      </c>
      <c r="AA8394">
        <f>IF(Z8394&gt;Z8393,Z8394,"")</f>
        <v/>
      </c>
      <c r="AB8394">
        <f>AB8393+IF(X8394="",0,IF(ISNA(MATCH(X8394,X$256:X8393,0)),1,0))</f>
        <v/>
      </c>
      <c r="AC8394">
        <f>IF(AB8394&gt;AB8393,AB8394,"")</f>
        <v/>
      </c>
    </row>
    <row r="8395">
      <c r="W8395" s="7" t="n"/>
      <c r="X8395" s="7" t="n"/>
      <c r="Z8395">
        <f>Z8394+IF(W8395="",0,IF(ISNA(MATCH(W8395,W$256:W8394,0)),1,0))</f>
        <v/>
      </c>
      <c r="AA8395">
        <f>IF(Z8395&gt;Z8394,Z8395,"")</f>
        <v/>
      </c>
      <c r="AB8395">
        <f>AB8394+IF(X8395="",0,IF(ISNA(MATCH(X8395,X$256:X8394,0)),1,0))</f>
        <v/>
      </c>
      <c r="AC8395">
        <f>IF(AB8395&gt;AB8394,AB8395,"")</f>
        <v/>
      </c>
    </row>
    <row r="8396">
      <c r="W8396" s="7" t="n"/>
      <c r="X8396" s="7" t="n"/>
      <c r="Z8396">
        <f>Z8395+IF(W8396="",0,IF(ISNA(MATCH(W8396,W$256:W8395,0)),1,0))</f>
        <v/>
      </c>
      <c r="AA8396">
        <f>IF(Z8396&gt;Z8395,Z8396,"")</f>
        <v/>
      </c>
      <c r="AB8396">
        <f>AB8395+IF(X8396="",0,IF(ISNA(MATCH(X8396,X$256:X8395,0)),1,0))</f>
        <v/>
      </c>
      <c r="AC8396">
        <f>IF(AB8396&gt;AB8395,AB8396,"")</f>
        <v/>
      </c>
    </row>
    <row r="8397">
      <c r="W8397" s="7" t="n"/>
      <c r="X8397" s="7" t="n"/>
      <c r="Z8397">
        <f>Z8396+IF(W8397="",0,IF(ISNA(MATCH(W8397,W$256:W8396,0)),1,0))</f>
        <v/>
      </c>
      <c r="AA8397">
        <f>IF(Z8397&gt;Z8396,Z8397,"")</f>
        <v/>
      </c>
      <c r="AB8397">
        <f>AB8396+IF(X8397="",0,IF(ISNA(MATCH(X8397,X$256:X8396,0)),1,0))</f>
        <v/>
      </c>
      <c r="AC8397">
        <f>IF(AB8397&gt;AB8396,AB8397,"")</f>
        <v/>
      </c>
    </row>
    <row r="8398">
      <c r="W8398" s="7" t="n"/>
      <c r="X8398" s="7" t="n"/>
      <c r="Z8398">
        <f>Z8397+IF(W8398="",0,IF(ISNA(MATCH(W8398,W$256:W8397,0)),1,0))</f>
        <v/>
      </c>
      <c r="AA8398">
        <f>IF(Z8398&gt;Z8397,Z8398,"")</f>
        <v/>
      </c>
      <c r="AB8398">
        <f>AB8397+IF(X8398="",0,IF(ISNA(MATCH(X8398,X$256:X8397,0)),1,0))</f>
        <v/>
      </c>
      <c r="AC8398">
        <f>IF(AB8398&gt;AB8397,AB8398,"")</f>
        <v/>
      </c>
    </row>
    <row r="8399">
      <c r="W8399" s="7" t="n"/>
      <c r="X8399" s="7" t="n"/>
      <c r="Z8399">
        <f>Z8398+IF(W8399="",0,IF(ISNA(MATCH(W8399,W$256:W8398,0)),1,0))</f>
        <v/>
      </c>
      <c r="AA8399">
        <f>IF(Z8399&gt;Z8398,Z8399,"")</f>
        <v/>
      </c>
      <c r="AB8399">
        <f>AB8398+IF(X8399="",0,IF(ISNA(MATCH(X8399,X$256:X8398,0)),1,0))</f>
        <v/>
      </c>
      <c r="AC8399">
        <f>IF(AB8399&gt;AB8398,AB8399,"")</f>
        <v/>
      </c>
    </row>
    <row r="8400">
      <c r="W8400" s="7" t="n"/>
      <c r="X8400" s="7" t="n"/>
      <c r="Z8400">
        <f>Z8399+IF(W8400="",0,IF(ISNA(MATCH(W8400,W$256:W8399,0)),1,0))</f>
        <v/>
      </c>
      <c r="AA8400">
        <f>IF(Z8400&gt;Z8399,Z8400,"")</f>
        <v/>
      </c>
      <c r="AB8400">
        <f>AB8399+IF(X8400="",0,IF(ISNA(MATCH(X8400,X$256:X8399,0)),1,0))</f>
        <v/>
      </c>
      <c r="AC8400">
        <f>IF(AB8400&gt;AB8399,AB8400,"")</f>
        <v/>
      </c>
    </row>
    <row r="8401">
      <c r="W8401" s="7" t="n"/>
      <c r="X8401" s="7" t="n"/>
      <c r="Z8401">
        <f>Z8400+IF(W8401="",0,IF(ISNA(MATCH(W8401,W$256:W8400,0)),1,0))</f>
        <v/>
      </c>
      <c r="AA8401">
        <f>IF(Z8401&gt;Z8400,Z8401,"")</f>
        <v/>
      </c>
      <c r="AB8401">
        <f>AB8400+IF(X8401="",0,IF(ISNA(MATCH(X8401,X$256:X8400,0)),1,0))</f>
        <v/>
      </c>
      <c r="AC8401">
        <f>IF(AB8401&gt;AB8400,AB8401,"")</f>
        <v/>
      </c>
    </row>
    <row r="8402">
      <c r="W8402" s="7" t="n"/>
      <c r="X8402" s="7" t="n"/>
      <c r="Z8402">
        <f>Z8401+IF(W8402="",0,IF(ISNA(MATCH(W8402,W$256:W8401,0)),1,0))</f>
        <v/>
      </c>
      <c r="AA8402">
        <f>IF(Z8402&gt;Z8401,Z8402,"")</f>
        <v/>
      </c>
      <c r="AB8402">
        <f>AB8401+IF(X8402="",0,IF(ISNA(MATCH(X8402,X$256:X8401,0)),1,0))</f>
        <v/>
      </c>
      <c r="AC8402">
        <f>IF(AB8402&gt;AB8401,AB8402,"")</f>
        <v/>
      </c>
    </row>
    <row r="8403">
      <c r="W8403" s="7" t="n"/>
      <c r="X8403" s="7" t="n"/>
      <c r="Z8403">
        <f>Z8402+IF(W8403="",0,IF(ISNA(MATCH(W8403,W$256:W8402,0)),1,0))</f>
        <v/>
      </c>
      <c r="AA8403">
        <f>IF(Z8403&gt;Z8402,Z8403,"")</f>
        <v/>
      </c>
      <c r="AB8403">
        <f>AB8402+IF(X8403="",0,IF(ISNA(MATCH(X8403,X$256:X8402,0)),1,0))</f>
        <v/>
      </c>
      <c r="AC8403">
        <f>IF(AB8403&gt;AB8402,AB8403,"")</f>
        <v/>
      </c>
    </row>
    <row r="8404">
      <c r="W8404" s="7" t="n"/>
      <c r="X8404" s="7" t="n"/>
      <c r="Z8404">
        <f>Z8403+IF(W8404="",0,IF(ISNA(MATCH(W8404,W$256:W8403,0)),1,0))</f>
        <v/>
      </c>
      <c r="AA8404">
        <f>IF(Z8404&gt;Z8403,Z8404,"")</f>
        <v/>
      </c>
      <c r="AB8404">
        <f>AB8403+IF(X8404="",0,IF(ISNA(MATCH(X8404,X$256:X8403,0)),1,0))</f>
        <v/>
      </c>
      <c r="AC8404">
        <f>IF(AB8404&gt;AB8403,AB8404,"")</f>
        <v/>
      </c>
    </row>
    <row r="8405">
      <c r="W8405" s="7" t="n"/>
      <c r="X8405" s="7" t="n"/>
      <c r="Z8405">
        <f>Z8404+IF(W8405="",0,IF(ISNA(MATCH(W8405,W$256:W8404,0)),1,0))</f>
        <v/>
      </c>
      <c r="AA8405">
        <f>IF(Z8405&gt;Z8404,Z8405,"")</f>
        <v/>
      </c>
      <c r="AB8405">
        <f>AB8404+IF(X8405="",0,IF(ISNA(MATCH(X8405,X$256:X8404,0)),1,0))</f>
        <v/>
      </c>
      <c r="AC8405">
        <f>IF(AB8405&gt;AB8404,AB8405,"")</f>
        <v/>
      </c>
    </row>
    <row r="8406">
      <c r="W8406" s="7" t="n"/>
      <c r="X8406" s="7" t="n"/>
      <c r="Z8406">
        <f>Z8405+IF(W8406="",0,IF(ISNA(MATCH(W8406,W$256:W8405,0)),1,0))</f>
        <v/>
      </c>
      <c r="AA8406">
        <f>IF(Z8406&gt;Z8405,Z8406,"")</f>
        <v/>
      </c>
      <c r="AB8406">
        <f>AB8405+IF(X8406="",0,IF(ISNA(MATCH(X8406,X$256:X8405,0)),1,0))</f>
        <v/>
      </c>
      <c r="AC8406">
        <f>IF(AB8406&gt;AB8405,AB8406,"")</f>
        <v/>
      </c>
    </row>
    <row r="8407">
      <c r="W8407" s="7" t="n"/>
      <c r="X8407" s="7" t="n"/>
      <c r="Z8407">
        <f>Z8406+IF(W8407="",0,IF(ISNA(MATCH(W8407,W$256:W8406,0)),1,0))</f>
        <v/>
      </c>
      <c r="AA8407">
        <f>IF(Z8407&gt;Z8406,Z8407,"")</f>
        <v/>
      </c>
      <c r="AB8407">
        <f>AB8406+IF(X8407="",0,IF(ISNA(MATCH(X8407,X$256:X8406,0)),1,0))</f>
        <v/>
      </c>
      <c r="AC8407">
        <f>IF(AB8407&gt;AB8406,AB8407,"")</f>
        <v/>
      </c>
    </row>
    <row r="8408">
      <c r="W8408" s="7" t="n"/>
      <c r="X8408" s="7" t="n"/>
      <c r="Z8408">
        <f>Z8407+IF(W8408="",0,IF(ISNA(MATCH(W8408,W$256:W8407,0)),1,0))</f>
        <v/>
      </c>
      <c r="AA8408">
        <f>IF(Z8408&gt;Z8407,Z8408,"")</f>
        <v/>
      </c>
      <c r="AB8408">
        <f>AB8407+IF(X8408="",0,IF(ISNA(MATCH(X8408,X$256:X8407,0)),1,0))</f>
        <v/>
      </c>
      <c r="AC8408">
        <f>IF(AB8408&gt;AB8407,AB8408,"")</f>
        <v/>
      </c>
    </row>
    <row r="8409">
      <c r="W8409" s="7" t="n"/>
      <c r="X8409" s="7" t="n"/>
      <c r="Z8409">
        <f>Z8408+IF(W8409="",0,IF(ISNA(MATCH(W8409,W$256:W8408,0)),1,0))</f>
        <v/>
      </c>
      <c r="AA8409">
        <f>IF(Z8409&gt;Z8408,Z8409,"")</f>
        <v/>
      </c>
      <c r="AB8409">
        <f>AB8408+IF(X8409="",0,IF(ISNA(MATCH(X8409,X$256:X8408,0)),1,0))</f>
        <v/>
      </c>
      <c r="AC8409">
        <f>IF(AB8409&gt;AB8408,AB8409,"")</f>
        <v/>
      </c>
    </row>
    <row r="8410">
      <c r="W8410" s="7" t="n"/>
      <c r="X8410" s="7" t="n"/>
      <c r="Z8410">
        <f>Z8409+IF(W8410="",0,IF(ISNA(MATCH(W8410,W$256:W8409,0)),1,0))</f>
        <v/>
      </c>
      <c r="AA8410">
        <f>IF(Z8410&gt;Z8409,Z8410,"")</f>
        <v/>
      </c>
      <c r="AB8410">
        <f>AB8409+IF(X8410="",0,IF(ISNA(MATCH(X8410,X$256:X8409,0)),1,0))</f>
        <v/>
      </c>
      <c r="AC8410">
        <f>IF(AB8410&gt;AB8409,AB8410,"")</f>
        <v/>
      </c>
    </row>
    <row r="8411">
      <c r="W8411" s="7" t="n"/>
      <c r="X8411" s="7" t="n"/>
      <c r="Z8411">
        <f>Z8410+IF(W8411="",0,IF(ISNA(MATCH(W8411,W$256:W8410,0)),1,0))</f>
        <v/>
      </c>
      <c r="AA8411">
        <f>IF(Z8411&gt;Z8410,Z8411,"")</f>
        <v/>
      </c>
      <c r="AB8411">
        <f>AB8410+IF(X8411="",0,IF(ISNA(MATCH(X8411,X$256:X8410,0)),1,0))</f>
        <v/>
      </c>
      <c r="AC8411">
        <f>IF(AB8411&gt;AB8410,AB8411,"")</f>
        <v/>
      </c>
    </row>
    <row r="8412">
      <c r="W8412" s="7" t="n"/>
      <c r="X8412" s="7" t="n"/>
      <c r="Z8412">
        <f>Z8411+IF(W8412="",0,IF(ISNA(MATCH(W8412,W$256:W8411,0)),1,0))</f>
        <v/>
      </c>
      <c r="AA8412">
        <f>IF(Z8412&gt;Z8411,Z8412,"")</f>
        <v/>
      </c>
      <c r="AB8412">
        <f>AB8411+IF(X8412="",0,IF(ISNA(MATCH(X8412,X$256:X8411,0)),1,0))</f>
        <v/>
      </c>
      <c r="AC8412">
        <f>IF(AB8412&gt;AB8411,AB8412,"")</f>
        <v/>
      </c>
    </row>
    <row r="8413">
      <c r="W8413" s="7" t="n"/>
      <c r="X8413" s="7" t="n"/>
      <c r="Z8413">
        <f>Z8412+IF(W8413="",0,IF(ISNA(MATCH(W8413,W$256:W8412,0)),1,0))</f>
        <v/>
      </c>
      <c r="AA8413">
        <f>IF(Z8413&gt;Z8412,Z8413,"")</f>
        <v/>
      </c>
      <c r="AB8413">
        <f>AB8412+IF(X8413="",0,IF(ISNA(MATCH(X8413,X$256:X8412,0)),1,0))</f>
        <v/>
      </c>
      <c r="AC8413">
        <f>IF(AB8413&gt;AB8412,AB8413,"")</f>
        <v/>
      </c>
    </row>
    <row r="8414">
      <c r="W8414" s="7" t="n"/>
      <c r="X8414" s="7" t="n"/>
      <c r="Z8414">
        <f>Z8413+IF(W8414="",0,IF(ISNA(MATCH(W8414,W$256:W8413,0)),1,0))</f>
        <v/>
      </c>
      <c r="AA8414">
        <f>IF(Z8414&gt;Z8413,Z8414,"")</f>
        <v/>
      </c>
      <c r="AB8414">
        <f>AB8413+IF(X8414="",0,IF(ISNA(MATCH(X8414,X$256:X8413,0)),1,0))</f>
        <v/>
      </c>
      <c r="AC8414">
        <f>IF(AB8414&gt;AB8413,AB8414,"")</f>
        <v/>
      </c>
    </row>
    <row r="8415">
      <c r="W8415" s="7" t="n"/>
      <c r="X8415" s="7" t="n"/>
      <c r="Z8415">
        <f>Z8414+IF(W8415="",0,IF(ISNA(MATCH(W8415,W$256:W8414,0)),1,0))</f>
        <v/>
      </c>
      <c r="AA8415">
        <f>IF(Z8415&gt;Z8414,Z8415,"")</f>
        <v/>
      </c>
      <c r="AB8415">
        <f>AB8414+IF(X8415="",0,IF(ISNA(MATCH(X8415,X$256:X8414,0)),1,0))</f>
        <v/>
      </c>
      <c r="AC8415">
        <f>IF(AB8415&gt;AB8414,AB8415,"")</f>
        <v/>
      </c>
    </row>
    <row r="8416">
      <c r="W8416" s="7" t="n"/>
      <c r="X8416" s="7" t="n"/>
      <c r="Z8416">
        <f>Z8415+IF(W8416="",0,IF(ISNA(MATCH(W8416,W$256:W8415,0)),1,0))</f>
        <v/>
      </c>
      <c r="AA8416">
        <f>IF(Z8416&gt;Z8415,Z8416,"")</f>
        <v/>
      </c>
      <c r="AB8416">
        <f>AB8415+IF(X8416="",0,IF(ISNA(MATCH(X8416,X$256:X8415,0)),1,0))</f>
        <v/>
      </c>
      <c r="AC8416">
        <f>IF(AB8416&gt;AB8415,AB8416,"")</f>
        <v/>
      </c>
    </row>
    <row r="8417">
      <c r="W8417" s="7" t="n"/>
      <c r="X8417" s="7" t="n"/>
      <c r="Z8417">
        <f>Z8416+IF(W8417="",0,IF(ISNA(MATCH(W8417,W$256:W8416,0)),1,0))</f>
        <v/>
      </c>
      <c r="AA8417">
        <f>IF(Z8417&gt;Z8416,Z8417,"")</f>
        <v/>
      </c>
      <c r="AB8417">
        <f>AB8416+IF(X8417="",0,IF(ISNA(MATCH(X8417,X$256:X8416,0)),1,0))</f>
        <v/>
      </c>
      <c r="AC8417">
        <f>IF(AB8417&gt;AB8416,AB8417,"")</f>
        <v/>
      </c>
    </row>
    <row r="8418">
      <c r="W8418" s="7" t="n"/>
      <c r="X8418" s="7" t="n"/>
      <c r="Z8418">
        <f>Z8417+IF(W8418="",0,IF(ISNA(MATCH(W8418,W$256:W8417,0)),1,0))</f>
        <v/>
      </c>
      <c r="AA8418">
        <f>IF(Z8418&gt;Z8417,Z8418,"")</f>
        <v/>
      </c>
      <c r="AB8418">
        <f>AB8417+IF(X8418="",0,IF(ISNA(MATCH(X8418,X$256:X8417,0)),1,0))</f>
        <v/>
      </c>
      <c r="AC8418">
        <f>IF(AB8418&gt;AB8417,AB8418,"")</f>
        <v/>
      </c>
    </row>
    <row r="8419">
      <c r="W8419" s="7" t="n"/>
      <c r="X8419" s="7" t="n"/>
      <c r="Z8419">
        <f>Z8418+IF(W8419="",0,IF(ISNA(MATCH(W8419,W$256:W8418,0)),1,0))</f>
        <v/>
      </c>
      <c r="AA8419">
        <f>IF(Z8419&gt;Z8418,Z8419,"")</f>
        <v/>
      </c>
      <c r="AB8419">
        <f>AB8418+IF(X8419="",0,IF(ISNA(MATCH(X8419,X$256:X8418,0)),1,0))</f>
        <v/>
      </c>
      <c r="AC8419">
        <f>IF(AB8419&gt;AB8418,AB8419,"")</f>
        <v/>
      </c>
    </row>
    <row r="8420">
      <c r="W8420" s="7" t="n"/>
      <c r="X8420" s="7" t="n"/>
      <c r="Z8420">
        <f>Z8419+IF(W8420="",0,IF(ISNA(MATCH(W8420,W$256:W8419,0)),1,0))</f>
        <v/>
      </c>
      <c r="AA8420">
        <f>IF(Z8420&gt;Z8419,Z8420,"")</f>
        <v/>
      </c>
      <c r="AB8420">
        <f>AB8419+IF(X8420="",0,IF(ISNA(MATCH(X8420,X$256:X8419,0)),1,0))</f>
        <v/>
      </c>
      <c r="AC8420">
        <f>IF(AB8420&gt;AB8419,AB8420,"")</f>
        <v/>
      </c>
    </row>
    <row r="8421">
      <c r="W8421" s="7" t="n"/>
      <c r="X8421" s="7" t="n"/>
      <c r="Z8421">
        <f>Z8420+IF(W8421="",0,IF(ISNA(MATCH(W8421,W$256:W8420,0)),1,0))</f>
        <v/>
      </c>
      <c r="AA8421">
        <f>IF(Z8421&gt;Z8420,Z8421,"")</f>
        <v/>
      </c>
      <c r="AB8421">
        <f>AB8420+IF(X8421="",0,IF(ISNA(MATCH(X8421,X$256:X8420,0)),1,0))</f>
        <v/>
      </c>
      <c r="AC8421">
        <f>IF(AB8421&gt;AB8420,AB8421,"")</f>
        <v/>
      </c>
    </row>
    <row r="8422">
      <c r="W8422" s="7" t="n"/>
      <c r="X8422" s="7" t="n"/>
      <c r="Z8422">
        <f>Z8421+IF(W8422="",0,IF(ISNA(MATCH(W8422,W$256:W8421,0)),1,0))</f>
        <v/>
      </c>
      <c r="AA8422">
        <f>IF(Z8422&gt;Z8421,Z8422,"")</f>
        <v/>
      </c>
      <c r="AB8422">
        <f>AB8421+IF(X8422="",0,IF(ISNA(MATCH(X8422,X$256:X8421,0)),1,0))</f>
        <v/>
      </c>
      <c r="AC8422">
        <f>IF(AB8422&gt;AB8421,AB8422,"")</f>
        <v/>
      </c>
    </row>
    <row r="8423">
      <c r="W8423" s="7" t="n"/>
      <c r="X8423" s="7" t="n"/>
      <c r="Z8423">
        <f>Z8422+IF(W8423="",0,IF(ISNA(MATCH(W8423,W$256:W8422,0)),1,0))</f>
        <v/>
      </c>
      <c r="AA8423">
        <f>IF(Z8423&gt;Z8422,Z8423,"")</f>
        <v/>
      </c>
      <c r="AB8423">
        <f>AB8422+IF(X8423="",0,IF(ISNA(MATCH(X8423,X$256:X8422,0)),1,0))</f>
        <v/>
      </c>
      <c r="AC8423">
        <f>IF(AB8423&gt;AB8422,AB8423,"")</f>
        <v/>
      </c>
    </row>
    <row r="8424">
      <c r="W8424" s="7" t="n"/>
      <c r="X8424" s="7" t="n"/>
      <c r="Z8424">
        <f>Z8423+IF(W8424="",0,IF(ISNA(MATCH(W8424,W$256:W8423,0)),1,0))</f>
        <v/>
      </c>
      <c r="AA8424">
        <f>IF(Z8424&gt;Z8423,Z8424,"")</f>
        <v/>
      </c>
      <c r="AB8424">
        <f>AB8423+IF(X8424="",0,IF(ISNA(MATCH(X8424,X$256:X8423,0)),1,0))</f>
        <v/>
      </c>
      <c r="AC8424">
        <f>IF(AB8424&gt;AB8423,AB8424,"")</f>
        <v/>
      </c>
    </row>
    <row r="8425">
      <c r="W8425" s="7" t="n"/>
      <c r="X8425" s="7" t="n"/>
      <c r="Z8425">
        <f>Z8424+IF(W8425="",0,IF(ISNA(MATCH(W8425,W$256:W8424,0)),1,0))</f>
        <v/>
      </c>
      <c r="AA8425">
        <f>IF(Z8425&gt;Z8424,Z8425,"")</f>
        <v/>
      </c>
      <c r="AB8425">
        <f>AB8424+IF(X8425="",0,IF(ISNA(MATCH(X8425,X$256:X8424,0)),1,0))</f>
        <v/>
      </c>
      <c r="AC8425">
        <f>IF(AB8425&gt;AB8424,AB8425,"")</f>
        <v/>
      </c>
    </row>
    <row r="8426">
      <c r="W8426" s="7" t="n"/>
      <c r="X8426" s="7" t="n"/>
      <c r="Z8426">
        <f>Z8425+IF(W8426="",0,IF(ISNA(MATCH(W8426,W$256:W8425,0)),1,0))</f>
        <v/>
      </c>
      <c r="AA8426">
        <f>IF(Z8426&gt;Z8425,Z8426,"")</f>
        <v/>
      </c>
      <c r="AB8426">
        <f>AB8425+IF(X8426="",0,IF(ISNA(MATCH(X8426,X$256:X8425,0)),1,0))</f>
        <v/>
      </c>
      <c r="AC8426">
        <f>IF(AB8426&gt;AB8425,AB8426,"")</f>
        <v/>
      </c>
    </row>
    <row r="8427">
      <c r="W8427" s="7" t="n"/>
      <c r="X8427" s="7" t="n"/>
      <c r="Z8427">
        <f>Z8426+IF(W8427="",0,IF(ISNA(MATCH(W8427,W$256:W8426,0)),1,0))</f>
        <v/>
      </c>
      <c r="AA8427">
        <f>IF(Z8427&gt;Z8426,Z8427,"")</f>
        <v/>
      </c>
      <c r="AB8427">
        <f>AB8426+IF(X8427="",0,IF(ISNA(MATCH(X8427,X$256:X8426,0)),1,0))</f>
        <v/>
      </c>
      <c r="AC8427">
        <f>IF(AB8427&gt;AB8426,AB8427,"")</f>
        <v/>
      </c>
    </row>
    <row r="8428">
      <c r="W8428" s="7" t="n"/>
      <c r="X8428" s="7" t="n"/>
      <c r="Z8428">
        <f>Z8427+IF(W8428="",0,IF(ISNA(MATCH(W8428,W$256:W8427,0)),1,0))</f>
        <v/>
      </c>
      <c r="AA8428">
        <f>IF(Z8428&gt;Z8427,Z8428,"")</f>
        <v/>
      </c>
      <c r="AB8428">
        <f>AB8427+IF(X8428="",0,IF(ISNA(MATCH(X8428,X$256:X8427,0)),1,0))</f>
        <v/>
      </c>
      <c r="AC8428">
        <f>IF(AB8428&gt;AB8427,AB8428,"")</f>
        <v/>
      </c>
    </row>
    <row r="8429">
      <c r="W8429" s="7" t="n"/>
      <c r="X8429" s="7" t="n"/>
      <c r="Z8429">
        <f>Z8428+IF(W8429="",0,IF(ISNA(MATCH(W8429,W$256:W8428,0)),1,0))</f>
        <v/>
      </c>
      <c r="AA8429">
        <f>IF(Z8429&gt;Z8428,Z8429,"")</f>
        <v/>
      </c>
      <c r="AB8429">
        <f>AB8428+IF(X8429="",0,IF(ISNA(MATCH(X8429,X$256:X8428,0)),1,0))</f>
        <v/>
      </c>
      <c r="AC8429">
        <f>IF(AB8429&gt;AB8428,AB8429,"")</f>
        <v/>
      </c>
    </row>
    <row r="8430">
      <c r="W8430" s="7" t="n"/>
      <c r="X8430" s="7" t="n"/>
      <c r="Z8430">
        <f>Z8429+IF(W8430="",0,IF(ISNA(MATCH(W8430,W$256:W8429,0)),1,0))</f>
        <v/>
      </c>
      <c r="AA8430">
        <f>IF(Z8430&gt;Z8429,Z8430,"")</f>
        <v/>
      </c>
      <c r="AB8430">
        <f>AB8429+IF(X8430="",0,IF(ISNA(MATCH(X8430,X$256:X8429,0)),1,0))</f>
        <v/>
      </c>
      <c r="AC8430">
        <f>IF(AB8430&gt;AB8429,AB8430,"")</f>
        <v/>
      </c>
    </row>
    <row r="8431">
      <c r="W8431" s="7" t="n"/>
      <c r="X8431" s="7" t="n"/>
      <c r="Z8431">
        <f>Z8430+IF(W8431="",0,IF(ISNA(MATCH(W8431,W$256:W8430,0)),1,0))</f>
        <v/>
      </c>
      <c r="AA8431">
        <f>IF(Z8431&gt;Z8430,Z8431,"")</f>
        <v/>
      </c>
      <c r="AB8431">
        <f>AB8430+IF(X8431="",0,IF(ISNA(MATCH(X8431,X$256:X8430,0)),1,0))</f>
        <v/>
      </c>
      <c r="AC8431">
        <f>IF(AB8431&gt;AB8430,AB8431,"")</f>
        <v/>
      </c>
    </row>
    <row r="8432">
      <c r="W8432" s="7" t="n"/>
      <c r="X8432" s="7" t="n"/>
      <c r="Z8432">
        <f>Z8431+IF(W8432="",0,IF(ISNA(MATCH(W8432,W$256:W8431,0)),1,0))</f>
        <v/>
      </c>
      <c r="AA8432">
        <f>IF(Z8432&gt;Z8431,Z8432,"")</f>
        <v/>
      </c>
      <c r="AB8432">
        <f>AB8431+IF(X8432="",0,IF(ISNA(MATCH(X8432,X$256:X8431,0)),1,0))</f>
        <v/>
      </c>
      <c r="AC8432">
        <f>IF(AB8432&gt;AB8431,AB8432,"")</f>
        <v/>
      </c>
    </row>
    <row r="8433">
      <c r="W8433" s="7" t="n"/>
      <c r="X8433" s="7" t="n"/>
      <c r="Z8433">
        <f>Z8432+IF(W8433="",0,IF(ISNA(MATCH(W8433,W$256:W8432,0)),1,0))</f>
        <v/>
      </c>
      <c r="AA8433">
        <f>IF(Z8433&gt;Z8432,Z8433,"")</f>
        <v/>
      </c>
      <c r="AB8433">
        <f>AB8432+IF(X8433="",0,IF(ISNA(MATCH(X8433,X$256:X8432,0)),1,0))</f>
        <v/>
      </c>
      <c r="AC8433">
        <f>IF(AB8433&gt;AB8432,AB8433,"")</f>
        <v/>
      </c>
    </row>
    <row r="8434">
      <c r="W8434" s="7" t="n"/>
      <c r="X8434" s="7" t="n"/>
      <c r="Z8434">
        <f>Z8433+IF(W8434="",0,IF(ISNA(MATCH(W8434,W$256:W8433,0)),1,0))</f>
        <v/>
      </c>
      <c r="AA8434">
        <f>IF(Z8434&gt;Z8433,Z8434,"")</f>
        <v/>
      </c>
      <c r="AB8434">
        <f>AB8433+IF(X8434="",0,IF(ISNA(MATCH(X8434,X$256:X8433,0)),1,0))</f>
        <v/>
      </c>
      <c r="AC8434">
        <f>IF(AB8434&gt;AB8433,AB8434,"")</f>
        <v/>
      </c>
    </row>
    <row r="8435">
      <c r="W8435" s="7" t="n"/>
      <c r="X8435" s="7" t="n"/>
      <c r="Z8435">
        <f>Z8434+IF(W8435="",0,IF(ISNA(MATCH(W8435,W$256:W8434,0)),1,0))</f>
        <v/>
      </c>
      <c r="AA8435">
        <f>IF(Z8435&gt;Z8434,Z8435,"")</f>
        <v/>
      </c>
      <c r="AB8435">
        <f>AB8434+IF(X8435="",0,IF(ISNA(MATCH(X8435,X$256:X8434,0)),1,0))</f>
        <v/>
      </c>
      <c r="AC8435">
        <f>IF(AB8435&gt;AB8434,AB8435,"")</f>
        <v/>
      </c>
    </row>
    <row r="8436">
      <c r="W8436" s="7" t="n"/>
      <c r="X8436" s="7" t="n"/>
      <c r="Z8436">
        <f>Z8435+IF(W8436="",0,IF(ISNA(MATCH(W8436,W$256:W8435,0)),1,0))</f>
        <v/>
      </c>
      <c r="AA8436">
        <f>IF(Z8436&gt;Z8435,Z8436,"")</f>
        <v/>
      </c>
      <c r="AB8436">
        <f>AB8435+IF(X8436="",0,IF(ISNA(MATCH(X8436,X$256:X8435,0)),1,0))</f>
        <v/>
      </c>
      <c r="AC8436">
        <f>IF(AB8436&gt;AB8435,AB8436,"")</f>
        <v/>
      </c>
    </row>
    <row r="8437">
      <c r="W8437" s="7" t="n"/>
      <c r="X8437" s="7" t="n"/>
      <c r="Z8437">
        <f>Z8436+IF(W8437="",0,IF(ISNA(MATCH(W8437,W$256:W8436,0)),1,0))</f>
        <v/>
      </c>
      <c r="AA8437">
        <f>IF(Z8437&gt;Z8436,Z8437,"")</f>
        <v/>
      </c>
      <c r="AB8437">
        <f>AB8436+IF(X8437="",0,IF(ISNA(MATCH(X8437,X$256:X8436,0)),1,0))</f>
        <v/>
      </c>
      <c r="AC8437">
        <f>IF(AB8437&gt;AB8436,AB8437,"")</f>
        <v/>
      </c>
    </row>
    <row r="8438">
      <c r="W8438" s="7" t="n"/>
      <c r="X8438" s="7" t="n"/>
      <c r="Z8438">
        <f>Z8437+IF(W8438="",0,IF(ISNA(MATCH(W8438,W$256:W8437,0)),1,0))</f>
        <v/>
      </c>
      <c r="AA8438">
        <f>IF(Z8438&gt;Z8437,Z8438,"")</f>
        <v/>
      </c>
      <c r="AB8438">
        <f>AB8437+IF(X8438="",0,IF(ISNA(MATCH(X8438,X$256:X8437,0)),1,0))</f>
        <v/>
      </c>
      <c r="AC8438">
        <f>IF(AB8438&gt;AB8437,AB8438,"")</f>
        <v/>
      </c>
    </row>
    <row r="8439">
      <c r="W8439" s="7" t="n"/>
      <c r="X8439" s="7" t="n"/>
      <c r="Z8439">
        <f>Z8438+IF(W8439="",0,IF(ISNA(MATCH(W8439,W$256:W8438,0)),1,0))</f>
        <v/>
      </c>
      <c r="AA8439">
        <f>IF(Z8439&gt;Z8438,Z8439,"")</f>
        <v/>
      </c>
      <c r="AB8439">
        <f>AB8438+IF(X8439="",0,IF(ISNA(MATCH(X8439,X$256:X8438,0)),1,0))</f>
        <v/>
      </c>
      <c r="AC8439">
        <f>IF(AB8439&gt;AB8438,AB8439,"")</f>
        <v/>
      </c>
    </row>
    <row r="8440">
      <c r="W8440" s="7" t="n"/>
      <c r="X8440" s="7" t="n"/>
      <c r="Z8440">
        <f>Z8439+IF(W8440="",0,IF(ISNA(MATCH(W8440,W$256:W8439,0)),1,0))</f>
        <v/>
      </c>
      <c r="AA8440">
        <f>IF(Z8440&gt;Z8439,Z8440,"")</f>
        <v/>
      </c>
      <c r="AB8440">
        <f>AB8439+IF(X8440="",0,IF(ISNA(MATCH(X8440,X$256:X8439,0)),1,0))</f>
        <v/>
      </c>
      <c r="AC8440">
        <f>IF(AB8440&gt;AB8439,AB8440,"")</f>
        <v/>
      </c>
    </row>
    <row r="8441">
      <c r="W8441" s="7" t="n"/>
      <c r="X8441" s="7" t="n"/>
      <c r="Z8441">
        <f>Z8440+IF(W8441="",0,IF(ISNA(MATCH(W8441,W$256:W8440,0)),1,0))</f>
        <v/>
      </c>
      <c r="AA8441">
        <f>IF(Z8441&gt;Z8440,Z8441,"")</f>
        <v/>
      </c>
      <c r="AB8441">
        <f>AB8440+IF(X8441="",0,IF(ISNA(MATCH(X8441,X$256:X8440,0)),1,0))</f>
        <v/>
      </c>
      <c r="AC8441">
        <f>IF(AB8441&gt;AB8440,AB8441,"")</f>
        <v/>
      </c>
    </row>
    <row r="8442">
      <c r="W8442" s="7" t="n"/>
      <c r="X8442" s="7" t="n"/>
      <c r="Z8442">
        <f>Z8441+IF(W8442="",0,IF(ISNA(MATCH(W8442,W$256:W8441,0)),1,0))</f>
        <v/>
      </c>
      <c r="AA8442">
        <f>IF(Z8442&gt;Z8441,Z8442,"")</f>
        <v/>
      </c>
      <c r="AB8442">
        <f>AB8441+IF(X8442="",0,IF(ISNA(MATCH(X8442,X$256:X8441,0)),1,0))</f>
        <v/>
      </c>
      <c r="AC8442">
        <f>IF(AB8442&gt;AB8441,AB8442,"")</f>
        <v/>
      </c>
    </row>
    <row r="8443">
      <c r="W8443" s="7" t="n"/>
      <c r="X8443" s="7" t="n"/>
      <c r="Z8443">
        <f>Z8442+IF(W8443="",0,IF(ISNA(MATCH(W8443,W$256:W8442,0)),1,0))</f>
        <v/>
      </c>
      <c r="AA8443">
        <f>IF(Z8443&gt;Z8442,Z8443,"")</f>
        <v/>
      </c>
      <c r="AB8443">
        <f>AB8442+IF(X8443="",0,IF(ISNA(MATCH(X8443,X$256:X8442,0)),1,0))</f>
        <v/>
      </c>
      <c r="AC8443">
        <f>IF(AB8443&gt;AB8442,AB8443,"")</f>
        <v/>
      </c>
    </row>
    <row r="8444">
      <c r="W8444" s="7" t="n"/>
      <c r="X8444" s="7" t="n"/>
      <c r="Z8444">
        <f>Z8443+IF(W8444="",0,IF(ISNA(MATCH(W8444,W$256:W8443,0)),1,0))</f>
        <v/>
      </c>
      <c r="AA8444">
        <f>IF(Z8444&gt;Z8443,Z8444,"")</f>
        <v/>
      </c>
      <c r="AB8444">
        <f>AB8443+IF(X8444="",0,IF(ISNA(MATCH(X8444,X$256:X8443,0)),1,0))</f>
        <v/>
      </c>
      <c r="AC8444">
        <f>IF(AB8444&gt;AB8443,AB8444,"")</f>
        <v/>
      </c>
    </row>
    <row r="8445">
      <c r="W8445" s="7" t="n"/>
      <c r="X8445" s="7" t="n"/>
      <c r="Z8445">
        <f>Z8444+IF(W8445="",0,IF(ISNA(MATCH(W8445,W$256:W8444,0)),1,0))</f>
        <v/>
      </c>
      <c r="AA8445">
        <f>IF(Z8445&gt;Z8444,Z8445,"")</f>
        <v/>
      </c>
      <c r="AB8445">
        <f>AB8444+IF(X8445="",0,IF(ISNA(MATCH(X8445,X$256:X8444,0)),1,0))</f>
        <v/>
      </c>
      <c r="AC8445">
        <f>IF(AB8445&gt;AB8444,AB8445,"")</f>
        <v/>
      </c>
    </row>
    <row r="8446">
      <c r="W8446" s="7" t="n"/>
      <c r="X8446" s="7" t="n"/>
      <c r="Z8446">
        <f>Z8445+IF(W8446="",0,IF(ISNA(MATCH(W8446,W$256:W8445,0)),1,0))</f>
        <v/>
      </c>
      <c r="AA8446">
        <f>IF(Z8446&gt;Z8445,Z8446,"")</f>
        <v/>
      </c>
      <c r="AB8446">
        <f>AB8445+IF(X8446="",0,IF(ISNA(MATCH(X8446,X$256:X8445,0)),1,0))</f>
        <v/>
      </c>
      <c r="AC8446">
        <f>IF(AB8446&gt;AB8445,AB8446,"")</f>
        <v/>
      </c>
    </row>
    <row r="8447">
      <c r="W8447" s="7" t="n"/>
      <c r="X8447" s="7" t="n"/>
      <c r="Z8447">
        <f>Z8446+IF(W8447="",0,IF(ISNA(MATCH(W8447,W$256:W8446,0)),1,0))</f>
        <v/>
      </c>
      <c r="AA8447">
        <f>IF(Z8447&gt;Z8446,Z8447,"")</f>
        <v/>
      </c>
      <c r="AB8447">
        <f>AB8446+IF(X8447="",0,IF(ISNA(MATCH(X8447,X$256:X8446,0)),1,0))</f>
        <v/>
      </c>
      <c r="AC8447">
        <f>IF(AB8447&gt;AB8446,AB8447,"")</f>
        <v/>
      </c>
    </row>
    <row r="8448">
      <c r="W8448" s="7" t="n"/>
      <c r="X8448" s="7" t="n"/>
      <c r="Z8448">
        <f>Z8447+IF(W8448="",0,IF(ISNA(MATCH(W8448,W$256:W8447,0)),1,0))</f>
        <v/>
      </c>
      <c r="AA8448">
        <f>IF(Z8448&gt;Z8447,Z8448,"")</f>
        <v/>
      </c>
      <c r="AB8448">
        <f>AB8447+IF(X8448="",0,IF(ISNA(MATCH(X8448,X$256:X8447,0)),1,0))</f>
        <v/>
      </c>
      <c r="AC8448">
        <f>IF(AB8448&gt;AB8447,AB8448,"")</f>
        <v/>
      </c>
    </row>
    <row r="8449">
      <c r="W8449" s="7" t="n"/>
      <c r="X8449" s="7" t="n"/>
      <c r="Z8449">
        <f>Z8448+IF(W8449="",0,IF(ISNA(MATCH(W8449,W$256:W8448,0)),1,0))</f>
        <v/>
      </c>
      <c r="AA8449">
        <f>IF(Z8449&gt;Z8448,Z8449,"")</f>
        <v/>
      </c>
      <c r="AB8449">
        <f>AB8448+IF(X8449="",0,IF(ISNA(MATCH(X8449,X$256:X8448,0)),1,0))</f>
        <v/>
      </c>
      <c r="AC8449">
        <f>IF(AB8449&gt;AB8448,AB8449,"")</f>
        <v/>
      </c>
    </row>
    <row r="8450">
      <c r="W8450" s="7" t="n"/>
      <c r="X8450" s="7" t="n"/>
      <c r="Z8450">
        <f>Z8449+IF(W8450="",0,IF(ISNA(MATCH(W8450,W$256:W8449,0)),1,0))</f>
        <v/>
      </c>
      <c r="AA8450">
        <f>IF(Z8450&gt;Z8449,Z8450,"")</f>
        <v/>
      </c>
      <c r="AB8450">
        <f>AB8449+IF(X8450="",0,IF(ISNA(MATCH(X8450,X$256:X8449,0)),1,0))</f>
        <v/>
      </c>
      <c r="AC8450">
        <f>IF(AB8450&gt;AB8449,AB8450,"")</f>
        <v/>
      </c>
    </row>
    <row r="8451">
      <c r="W8451" s="7" t="n"/>
      <c r="X8451" s="7" t="n"/>
      <c r="Z8451">
        <f>Z8450+IF(W8451="",0,IF(ISNA(MATCH(W8451,W$256:W8450,0)),1,0))</f>
        <v/>
      </c>
      <c r="AA8451">
        <f>IF(Z8451&gt;Z8450,Z8451,"")</f>
        <v/>
      </c>
      <c r="AB8451">
        <f>AB8450+IF(X8451="",0,IF(ISNA(MATCH(X8451,X$256:X8450,0)),1,0))</f>
        <v/>
      </c>
      <c r="AC8451">
        <f>IF(AB8451&gt;AB8450,AB8451,"")</f>
        <v/>
      </c>
    </row>
    <row r="8452">
      <c r="W8452" s="7" t="n"/>
      <c r="X8452" s="7" t="n"/>
      <c r="Z8452">
        <f>Z8451+IF(W8452="",0,IF(ISNA(MATCH(W8452,W$256:W8451,0)),1,0))</f>
        <v/>
      </c>
      <c r="AA8452">
        <f>IF(Z8452&gt;Z8451,Z8452,"")</f>
        <v/>
      </c>
      <c r="AB8452">
        <f>AB8451+IF(X8452="",0,IF(ISNA(MATCH(X8452,X$256:X8451,0)),1,0))</f>
        <v/>
      </c>
      <c r="AC8452">
        <f>IF(AB8452&gt;AB8451,AB8452,"")</f>
        <v/>
      </c>
    </row>
    <row r="8453">
      <c r="W8453" s="7" t="n"/>
      <c r="X8453" s="7" t="n"/>
      <c r="Z8453">
        <f>Z8452+IF(W8453="",0,IF(ISNA(MATCH(W8453,W$256:W8452,0)),1,0))</f>
        <v/>
      </c>
      <c r="AA8453">
        <f>IF(Z8453&gt;Z8452,Z8453,"")</f>
        <v/>
      </c>
      <c r="AB8453">
        <f>AB8452+IF(X8453="",0,IF(ISNA(MATCH(X8453,X$256:X8452,0)),1,0))</f>
        <v/>
      </c>
      <c r="AC8453">
        <f>IF(AB8453&gt;AB8452,AB8453,"")</f>
        <v/>
      </c>
    </row>
    <row r="8454">
      <c r="W8454" s="7" t="n"/>
      <c r="X8454" s="7" t="n"/>
      <c r="Z8454">
        <f>Z8453+IF(W8454="",0,IF(ISNA(MATCH(W8454,W$256:W8453,0)),1,0))</f>
        <v/>
      </c>
      <c r="AA8454">
        <f>IF(Z8454&gt;Z8453,Z8454,"")</f>
        <v/>
      </c>
      <c r="AB8454">
        <f>AB8453+IF(X8454="",0,IF(ISNA(MATCH(X8454,X$256:X8453,0)),1,0))</f>
        <v/>
      </c>
      <c r="AC8454">
        <f>IF(AB8454&gt;AB8453,AB8454,"")</f>
        <v/>
      </c>
    </row>
    <row r="8455">
      <c r="W8455" s="7" t="n"/>
      <c r="X8455" s="7" t="n"/>
      <c r="Z8455">
        <f>Z8454+IF(W8455="",0,IF(ISNA(MATCH(W8455,W$256:W8454,0)),1,0))</f>
        <v/>
      </c>
      <c r="AA8455">
        <f>IF(Z8455&gt;Z8454,Z8455,"")</f>
        <v/>
      </c>
      <c r="AB8455">
        <f>AB8454+IF(X8455="",0,IF(ISNA(MATCH(X8455,X$256:X8454,0)),1,0))</f>
        <v/>
      </c>
      <c r="AC8455">
        <f>IF(AB8455&gt;AB8454,AB8455,"")</f>
        <v/>
      </c>
    </row>
    <row r="8456">
      <c r="W8456" s="7" t="n"/>
      <c r="X8456" s="7" t="n"/>
      <c r="Z8456">
        <f>Z8455+IF(W8456="",0,IF(ISNA(MATCH(W8456,W$256:W8455,0)),1,0))</f>
        <v/>
      </c>
      <c r="AA8456">
        <f>IF(Z8456&gt;Z8455,Z8456,"")</f>
        <v/>
      </c>
      <c r="AB8456">
        <f>AB8455+IF(X8456="",0,IF(ISNA(MATCH(X8456,X$256:X8455,0)),1,0))</f>
        <v/>
      </c>
      <c r="AC8456">
        <f>IF(AB8456&gt;AB8455,AB8456,"")</f>
        <v/>
      </c>
    </row>
    <row r="8457">
      <c r="W8457" s="7" t="n"/>
      <c r="X8457" s="7" t="n"/>
      <c r="Z8457">
        <f>Z8456+IF(W8457="",0,IF(ISNA(MATCH(W8457,W$256:W8456,0)),1,0))</f>
        <v/>
      </c>
      <c r="AA8457">
        <f>IF(Z8457&gt;Z8456,Z8457,"")</f>
        <v/>
      </c>
      <c r="AB8457">
        <f>AB8456+IF(X8457="",0,IF(ISNA(MATCH(X8457,X$256:X8456,0)),1,0))</f>
        <v/>
      </c>
      <c r="AC8457">
        <f>IF(AB8457&gt;AB8456,AB8457,"")</f>
        <v/>
      </c>
    </row>
    <row r="8458">
      <c r="W8458" s="7" t="n"/>
      <c r="X8458" s="7" t="n"/>
      <c r="Z8458">
        <f>Z8457+IF(W8458="",0,IF(ISNA(MATCH(W8458,W$256:W8457,0)),1,0))</f>
        <v/>
      </c>
      <c r="AA8458">
        <f>IF(Z8458&gt;Z8457,Z8458,"")</f>
        <v/>
      </c>
      <c r="AB8458">
        <f>AB8457+IF(X8458="",0,IF(ISNA(MATCH(X8458,X$256:X8457,0)),1,0))</f>
        <v/>
      </c>
      <c r="AC8458">
        <f>IF(AB8458&gt;AB8457,AB8458,"")</f>
        <v/>
      </c>
    </row>
    <row r="8459">
      <c r="W8459" s="7" t="n"/>
      <c r="X8459" s="7" t="n"/>
      <c r="Z8459">
        <f>Z8458+IF(W8459="",0,IF(ISNA(MATCH(W8459,W$256:W8458,0)),1,0))</f>
        <v/>
      </c>
      <c r="AA8459">
        <f>IF(Z8459&gt;Z8458,Z8459,"")</f>
        <v/>
      </c>
      <c r="AB8459">
        <f>AB8458+IF(X8459="",0,IF(ISNA(MATCH(X8459,X$256:X8458,0)),1,0))</f>
        <v/>
      </c>
      <c r="AC8459">
        <f>IF(AB8459&gt;AB8458,AB8459,"")</f>
        <v/>
      </c>
    </row>
    <row r="8460">
      <c r="W8460" s="7" t="n"/>
      <c r="X8460" s="7" t="n"/>
      <c r="Z8460">
        <f>Z8459+IF(W8460="",0,IF(ISNA(MATCH(W8460,W$256:W8459,0)),1,0))</f>
        <v/>
      </c>
      <c r="AA8460">
        <f>IF(Z8460&gt;Z8459,Z8460,"")</f>
        <v/>
      </c>
      <c r="AB8460">
        <f>AB8459+IF(X8460="",0,IF(ISNA(MATCH(X8460,X$256:X8459,0)),1,0))</f>
        <v/>
      </c>
      <c r="AC8460">
        <f>IF(AB8460&gt;AB8459,AB8460,"")</f>
        <v/>
      </c>
    </row>
    <row r="8461">
      <c r="W8461" s="7" t="n"/>
      <c r="X8461" s="7" t="n"/>
      <c r="Z8461">
        <f>Z8460+IF(W8461="",0,IF(ISNA(MATCH(W8461,W$256:W8460,0)),1,0))</f>
        <v/>
      </c>
      <c r="AA8461">
        <f>IF(Z8461&gt;Z8460,Z8461,"")</f>
        <v/>
      </c>
      <c r="AB8461">
        <f>AB8460+IF(X8461="",0,IF(ISNA(MATCH(X8461,X$256:X8460,0)),1,0))</f>
        <v/>
      </c>
      <c r="AC8461">
        <f>IF(AB8461&gt;AB8460,AB8461,"")</f>
        <v/>
      </c>
    </row>
    <row r="8462">
      <c r="W8462" s="7" t="n"/>
      <c r="X8462" s="7" t="n"/>
      <c r="Z8462">
        <f>Z8461+IF(W8462="",0,IF(ISNA(MATCH(W8462,W$256:W8461,0)),1,0))</f>
        <v/>
      </c>
      <c r="AA8462">
        <f>IF(Z8462&gt;Z8461,Z8462,"")</f>
        <v/>
      </c>
      <c r="AB8462">
        <f>AB8461+IF(X8462="",0,IF(ISNA(MATCH(X8462,X$256:X8461,0)),1,0))</f>
        <v/>
      </c>
      <c r="AC8462">
        <f>IF(AB8462&gt;AB8461,AB8462,"")</f>
        <v/>
      </c>
    </row>
    <row r="8463">
      <c r="W8463" s="7" t="n"/>
      <c r="X8463" s="7" t="n"/>
      <c r="Z8463">
        <f>Z8462+IF(W8463="",0,IF(ISNA(MATCH(W8463,W$256:W8462,0)),1,0))</f>
        <v/>
      </c>
      <c r="AA8463">
        <f>IF(Z8463&gt;Z8462,Z8463,"")</f>
        <v/>
      </c>
      <c r="AB8463">
        <f>AB8462+IF(X8463="",0,IF(ISNA(MATCH(X8463,X$256:X8462,0)),1,0))</f>
        <v/>
      </c>
      <c r="AC8463">
        <f>IF(AB8463&gt;AB8462,AB8463,"")</f>
        <v/>
      </c>
    </row>
    <row r="8464">
      <c r="W8464" s="7" t="n"/>
      <c r="X8464" s="7" t="n"/>
      <c r="Z8464">
        <f>Z8463+IF(W8464="",0,IF(ISNA(MATCH(W8464,W$256:W8463,0)),1,0))</f>
        <v/>
      </c>
      <c r="AA8464">
        <f>IF(Z8464&gt;Z8463,Z8464,"")</f>
        <v/>
      </c>
      <c r="AB8464">
        <f>AB8463+IF(X8464="",0,IF(ISNA(MATCH(X8464,X$256:X8463,0)),1,0))</f>
        <v/>
      </c>
      <c r="AC8464">
        <f>IF(AB8464&gt;AB8463,AB8464,"")</f>
        <v/>
      </c>
    </row>
    <row r="8465">
      <c r="W8465" s="7" t="n"/>
      <c r="X8465" s="7" t="n"/>
      <c r="Z8465">
        <f>Z8464+IF(W8465="",0,IF(ISNA(MATCH(W8465,W$256:W8464,0)),1,0))</f>
        <v/>
      </c>
      <c r="AA8465">
        <f>IF(Z8465&gt;Z8464,Z8465,"")</f>
        <v/>
      </c>
      <c r="AB8465">
        <f>AB8464+IF(X8465="",0,IF(ISNA(MATCH(X8465,X$256:X8464,0)),1,0))</f>
        <v/>
      </c>
      <c r="AC8465">
        <f>IF(AB8465&gt;AB8464,AB8465,"")</f>
        <v/>
      </c>
    </row>
    <row r="8466">
      <c r="W8466" s="7" t="n"/>
      <c r="X8466" s="7" t="n"/>
      <c r="Z8466">
        <f>Z8465+IF(W8466="",0,IF(ISNA(MATCH(W8466,W$256:W8465,0)),1,0))</f>
        <v/>
      </c>
      <c r="AA8466">
        <f>IF(Z8466&gt;Z8465,Z8466,"")</f>
        <v/>
      </c>
      <c r="AB8466">
        <f>AB8465+IF(X8466="",0,IF(ISNA(MATCH(X8466,X$256:X8465,0)),1,0))</f>
        <v/>
      </c>
      <c r="AC8466">
        <f>IF(AB8466&gt;AB8465,AB8466,"")</f>
        <v/>
      </c>
    </row>
    <row r="8467">
      <c r="W8467" s="7" t="n"/>
      <c r="X8467" s="7" t="n"/>
      <c r="Z8467">
        <f>Z8466+IF(W8467="",0,IF(ISNA(MATCH(W8467,W$256:W8466,0)),1,0))</f>
        <v/>
      </c>
      <c r="AA8467">
        <f>IF(Z8467&gt;Z8466,Z8467,"")</f>
        <v/>
      </c>
      <c r="AB8467">
        <f>AB8466+IF(X8467="",0,IF(ISNA(MATCH(X8467,X$256:X8466,0)),1,0))</f>
        <v/>
      </c>
      <c r="AC8467">
        <f>IF(AB8467&gt;AB8466,AB8467,"")</f>
        <v/>
      </c>
    </row>
    <row r="8468">
      <c r="W8468" s="7" t="n"/>
      <c r="X8468" s="7" t="n"/>
      <c r="Z8468">
        <f>Z8467+IF(W8468="",0,IF(ISNA(MATCH(W8468,W$256:W8467,0)),1,0))</f>
        <v/>
      </c>
      <c r="AA8468">
        <f>IF(Z8468&gt;Z8467,Z8468,"")</f>
        <v/>
      </c>
      <c r="AB8468">
        <f>AB8467+IF(X8468="",0,IF(ISNA(MATCH(X8468,X$256:X8467,0)),1,0))</f>
        <v/>
      </c>
      <c r="AC8468">
        <f>IF(AB8468&gt;AB8467,AB8468,"")</f>
        <v/>
      </c>
    </row>
    <row r="8469">
      <c r="W8469" s="7" t="n"/>
      <c r="X8469" s="7" t="n"/>
      <c r="Z8469">
        <f>Z8468+IF(W8469="",0,IF(ISNA(MATCH(W8469,W$256:W8468,0)),1,0))</f>
        <v/>
      </c>
      <c r="AA8469">
        <f>IF(Z8469&gt;Z8468,Z8469,"")</f>
        <v/>
      </c>
      <c r="AB8469">
        <f>AB8468+IF(X8469="",0,IF(ISNA(MATCH(X8469,X$256:X8468,0)),1,0))</f>
        <v/>
      </c>
      <c r="AC8469">
        <f>IF(AB8469&gt;AB8468,AB8469,"")</f>
        <v/>
      </c>
    </row>
    <row r="8470">
      <c r="W8470" s="7" t="n"/>
      <c r="X8470" s="7" t="n"/>
      <c r="Z8470">
        <f>Z8469+IF(W8470="",0,IF(ISNA(MATCH(W8470,W$256:W8469,0)),1,0))</f>
        <v/>
      </c>
      <c r="AA8470">
        <f>IF(Z8470&gt;Z8469,Z8470,"")</f>
        <v/>
      </c>
      <c r="AB8470">
        <f>AB8469+IF(X8470="",0,IF(ISNA(MATCH(X8470,X$256:X8469,0)),1,0))</f>
        <v/>
      </c>
      <c r="AC8470">
        <f>IF(AB8470&gt;AB8469,AB8470,"")</f>
        <v/>
      </c>
    </row>
    <row r="8471">
      <c r="W8471" s="7" t="n"/>
      <c r="X8471" s="7" t="n"/>
      <c r="Z8471">
        <f>Z8470+IF(W8471="",0,IF(ISNA(MATCH(W8471,W$256:W8470,0)),1,0))</f>
        <v/>
      </c>
      <c r="AA8471">
        <f>IF(Z8471&gt;Z8470,Z8471,"")</f>
        <v/>
      </c>
      <c r="AB8471">
        <f>AB8470+IF(X8471="",0,IF(ISNA(MATCH(X8471,X$256:X8470,0)),1,0))</f>
        <v/>
      </c>
      <c r="AC8471">
        <f>IF(AB8471&gt;AB8470,AB8471,"")</f>
        <v/>
      </c>
    </row>
    <row r="8472">
      <c r="W8472" s="7" t="n"/>
      <c r="X8472" s="7" t="n"/>
      <c r="Z8472">
        <f>Z8471+IF(W8472="",0,IF(ISNA(MATCH(W8472,W$256:W8471,0)),1,0))</f>
        <v/>
      </c>
      <c r="AA8472">
        <f>IF(Z8472&gt;Z8471,Z8472,"")</f>
        <v/>
      </c>
      <c r="AB8472">
        <f>AB8471+IF(X8472="",0,IF(ISNA(MATCH(X8472,X$256:X8471,0)),1,0))</f>
        <v/>
      </c>
      <c r="AC8472">
        <f>IF(AB8472&gt;AB8471,AB8472,"")</f>
        <v/>
      </c>
    </row>
    <row r="8473">
      <c r="W8473" s="7" t="n"/>
      <c r="X8473" s="7" t="n"/>
      <c r="Z8473">
        <f>Z8472+IF(W8473="",0,IF(ISNA(MATCH(W8473,W$256:W8472,0)),1,0))</f>
        <v/>
      </c>
      <c r="AA8473">
        <f>IF(Z8473&gt;Z8472,Z8473,"")</f>
        <v/>
      </c>
      <c r="AB8473">
        <f>AB8472+IF(X8473="",0,IF(ISNA(MATCH(X8473,X$256:X8472,0)),1,0))</f>
        <v/>
      </c>
      <c r="AC8473">
        <f>IF(AB8473&gt;AB8472,AB8473,"")</f>
        <v/>
      </c>
    </row>
    <row r="8474">
      <c r="W8474" s="7" t="n"/>
      <c r="X8474" s="7" t="n"/>
      <c r="Z8474">
        <f>Z8473+IF(W8474="",0,IF(ISNA(MATCH(W8474,W$256:W8473,0)),1,0))</f>
        <v/>
      </c>
      <c r="AA8474">
        <f>IF(Z8474&gt;Z8473,Z8474,"")</f>
        <v/>
      </c>
      <c r="AB8474">
        <f>AB8473+IF(X8474="",0,IF(ISNA(MATCH(X8474,X$256:X8473,0)),1,0))</f>
        <v/>
      </c>
      <c r="AC8474">
        <f>IF(AB8474&gt;AB8473,AB8474,"")</f>
        <v/>
      </c>
    </row>
    <row r="8475">
      <c r="W8475" s="7" t="n"/>
      <c r="X8475" s="7" t="n"/>
      <c r="Z8475">
        <f>Z8474+IF(W8475="",0,IF(ISNA(MATCH(W8475,W$256:W8474,0)),1,0))</f>
        <v/>
      </c>
      <c r="AA8475">
        <f>IF(Z8475&gt;Z8474,Z8475,"")</f>
        <v/>
      </c>
      <c r="AB8475">
        <f>AB8474+IF(X8475="",0,IF(ISNA(MATCH(X8475,X$256:X8474,0)),1,0))</f>
        <v/>
      </c>
      <c r="AC8475">
        <f>IF(AB8475&gt;AB8474,AB8475,"")</f>
        <v/>
      </c>
    </row>
    <row r="8476">
      <c r="W8476" s="7" t="n"/>
      <c r="X8476" s="7" t="n"/>
      <c r="Z8476">
        <f>Z8475+IF(W8476="",0,IF(ISNA(MATCH(W8476,W$256:W8475,0)),1,0))</f>
        <v/>
      </c>
      <c r="AA8476">
        <f>IF(Z8476&gt;Z8475,Z8476,"")</f>
        <v/>
      </c>
      <c r="AB8476">
        <f>AB8475+IF(X8476="",0,IF(ISNA(MATCH(X8476,X$256:X8475,0)),1,0))</f>
        <v/>
      </c>
      <c r="AC8476">
        <f>IF(AB8476&gt;AB8475,AB8476,"")</f>
        <v/>
      </c>
    </row>
    <row r="8477">
      <c r="W8477" s="7" t="n"/>
      <c r="X8477" s="7" t="n"/>
      <c r="Z8477">
        <f>Z8476+IF(W8477="",0,IF(ISNA(MATCH(W8477,W$256:W8476,0)),1,0))</f>
        <v/>
      </c>
      <c r="AA8477">
        <f>IF(Z8477&gt;Z8476,Z8477,"")</f>
        <v/>
      </c>
      <c r="AB8477">
        <f>AB8476+IF(X8477="",0,IF(ISNA(MATCH(X8477,X$256:X8476,0)),1,0))</f>
        <v/>
      </c>
      <c r="AC8477">
        <f>IF(AB8477&gt;AB8476,AB8477,"")</f>
        <v/>
      </c>
    </row>
    <row r="8478">
      <c r="W8478" s="7" t="n"/>
      <c r="X8478" s="7" t="n"/>
      <c r="Z8478">
        <f>Z8477+IF(W8478="",0,IF(ISNA(MATCH(W8478,W$256:W8477,0)),1,0))</f>
        <v/>
      </c>
      <c r="AA8478">
        <f>IF(Z8478&gt;Z8477,Z8478,"")</f>
        <v/>
      </c>
      <c r="AB8478">
        <f>AB8477+IF(X8478="",0,IF(ISNA(MATCH(X8478,X$256:X8477,0)),1,0))</f>
        <v/>
      </c>
      <c r="AC8478">
        <f>IF(AB8478&gt;AB8477,AB8478,"")</f>
        <v/>
      </c>
    </row>
    <row r="8479">
      <c r="W8479" s="7" t="n"/>
      <c r="X8479" s="7" t="n"/>
      <c r="Z8479">
        <f>Z8478+IF(W8479="",0,IF(ISNA(MATCH(W8479,W$256:W8478,0)),1,0))</f>
        <v/>
      </c>
      <c r="AA8479">
        <f>IF(Z8479&gt;Z8478,Z8479,"")</f>
        <v/>
      </c>
      <c r="AB8479">
        <f>AB8478+IF(X8479="",0,IF(ISNA(MATCH(X8479,X$256:X8478,0)),1,0))</f>
        <v/>
      </c>
      <c r="AC8479">
        <f>IF(AB8479&gt;AB8478,AB8479,"")</f>
        <v/>
      </c>
    </row>
    <row r="8480">
      <c r="W8480" s="7" t="n"/>
      <c r="X8480" s="7" t="n"/>
      <c r="Z8480">
        <f>Z8479+IF(W8480="",0,IF(ISNA(MATCH(W8480,W$256:W8479,0)),1,0))</f>
        <v/>
      </c>
      <c r="AA8480">
        <f>IF(Z8480&gt;Z8479,Z8480,"")</f>
        <v/>
      </c>
      <c r="AB8480">
        <f>AB8479+IF(X8480="",0,IF(ISNA(MATCH(X8480,X$256:X8479,0)),1,0))</f>
        <v/>
      </c>
      <c r="AC8480">
        <f>IF(AB8480&gt;AB8479,AB8480,"")</f>
        <v/>
      </c>
    </row>
    <row r="8481">
      <c r="W8481" s="7" t="n"/>
      <c r="X8481" s="7" t="n"/>
      <c r="Z8481">
        <f>Z8480+IF(W8481="",0,IF(ISNA(MATCH(W8481,W$256:W8480,0)),1,0))</f>
        <v/>
      </c>
      <c r="AA8481">
        <f>IF(Z8481&gt;Z8480,Z8481,"")</f>
        <v/>
      </c>
      <c r="AB8481">
        <f>AB8480+IF(X8481="",0,IF(ISNA(MATCH(X8481,X$256:X8480,0)),1,0))</f>
        <v/>
      </c>
      <c r="AC8481">
        <f>IF(AB8481&gt;AB8480,AB8481,"")</f>
        <v/>
      </c>
    </row>
    <row r="8482">
      <c r="W8482" s="7" t="n"/>
      <c r="X8482" s="7" t="n"/>
      <c r="Z8482">
        <f>Z8481+IF(W8482="",0,IF(ISNA(MATCH(W8482,W$256:W8481,0)),1,0))</f>
        <v/>
      </c>
      <c r="AA8482">
        <f>IF(Z8482&gt;Z8481,Z8482,"")</f>
        <v/>
      </c>
      <c r="AB8482">
        <f>AB8481+IF(X8482="",0,IF(ISNA(MATCH(X8482,X$256:X8481,0)),1,0))</f>
        <v/>
      </c>
      <c r="AC8482">
        <f>IF(AB8482&gt;AB8481,AB8482,"")</f>
        <v/>
      </c>
    </row>
    <row r="8483">
      <c r="W8483" s="7" t="n"/>
      <c r="X8483" s="7" t="n"/>
      <c r="Z8483">
        <f>Z8482+IF(W8483="",0,IF(ISNA(MATCH(W8483,W$256:W8482,0)),1,0))</f>
        <v/>
      </c>
      <c r="AA8483">
        <f>IF(Z8483&gt;Z8482,Z8483,"")</f>
        <v/>
      </c>
      <c r="AB8483">
        <f>AB8482+IF(X8483="",0,IF(ISNA(MATCH(X8483,X$256:X8482,0)),1,0))</f>
        <v/>
      </c>
      <c r="AC8483">
        <f>IF(AB8483&gt;AB8482,AB8483,"")</f>
        <v/>
      </c>
    </row>
    <row r="8484">
      <c r="W8484" s="7" t="n"/>
      <c r="X8484" s="7" t="n"/>
      <c r="Z8484">
        <f>Z8483+IF(W8484="",0,IF(ISNA(MATCH(W8484,W$256:W8483,0)),1,0))</f>
        <v/>
      </c>
      <c r="AA8484">
        <f>IF(Z8484&gt;Z8483,Z8484,"")</f>
        <v/>
      </c>
      <c r="AB8484">
        <f>AB8483+IF(X8484="",0,IF(ISNA(MATCH(X8484,X$256:X8483,0)),1,0))</f>
        <v/>
      </c>
      <c r="AC8484">
        <f>IF(AB8484&gt;AB8483,AB8484,"")</f>
        <v/>
      </c>
    </row>
    <row r="8485">
      <c r="W8485" s="7" t="n"/>
      <c r="X8485" s="7" t="n"/>
      <c r="Z8485">
        <f>Z8484+IF(W8485="",0,IF(ISNA(MATCH(W8485,W$256:W8484,0)),1,0))</f>
        <v/>
      </c>
      <c r="AA8485">
        <f>IF(Z8485&gt;Z8484,Z8485,"")</f>
        <v/>
      </c>
      <c r="AB8485">
        <f>AB8484+IF(X8485="",0,IF(ISNA(MATCH(X8485,X$256:X8484,0)),1,0))</f>
        <v/>
      </c>
      <c r="AC8485">
        <f>IF(AB8485&gt;AB8484,AB8485,"")</f>
        <v/>
      </c>
    </row>
    <row r="8486">
      <c r="W8486" s="7" t="n"/>
      <c r="X8486" s="7" t="n"/>
      <c r="Z8486">
        <f>Z8485+IF(W8486="",0,IF(ISNA(MATCH(W8486,W$256:W8485,0)),1,0))</f>
        <v/>
      </c>
      <c r="AA8486">
        <f>IF(Z8486&gt;Z8485,Z8486,"")</f>
        <v/>
      </c>
      <c r="AB8486">
        <f>AB8485+IF(X8486="",0,IF(ISNA(MATCH(X8486,X$256:X8485,0)),1,0))</f>
        <v/>
      </c>
      <c r="AC8486">
        <f>IF(AB8486&gt;AB8485,AB8486,"")</f>
        <v/>
      </c>
    </row>
    <row r="8487">
      <c r="W8487" s="7" t="n"/>
      <c r="X8487" s="7" t="n"/>
      <c r="Z8487">
        <f>Z8486+IF(W8487="",0,IF(ISNA(MATCH(W8487,W$256:W8486,0)),1,0))</f>
        <v/>
      </c>
      <c r="AA8487">
        <f>IF(Z8487&gt;Z8486,Z8487,"")</f>
        <v/>
      </c>
      <c r="AB8487">
        <f>AB8486+IF(X8487="",0,IF(ISNA(MATCH(X8487,X$256:X8486,0)),1,0))</f>
        <v/>
      </c>
      <c r="AC8487">
        <f>IF(AB8487&gt;AB8486,AB8487,"")</f>
        <v/>
      </c>
    </row>
    <row r="8488">
      <c r="W8488" s="7" t="n"/>
      <c r="X8488" s="7" t="n"/>
      <c r="Z8488">
        <f>Z8487+IF(W8488="",0,IF(ISNA(MATCH(W8488,W$256:W8487,0)),1,0))</f>
        <v/>
      </c>
      <c r="AA8488">
        <f>IF(Z8488&gt;Z8487,Z8488,"")</f>
        <v/>
      </c>
      <c r="AB8488">
        <f>AB8487+IF(X8488="",0,IF(ISNA(MATCH(X8488,X$256:X8487,0)),1,0))</f>
        <v/>
      </c>
      <c r="AC8488">
        <f>IF(AB8488&gt;AB8487,AB8488,"")</f>
        <v/>
      </c>
    </row>
    <row r="8489">
      <c r="W8489" s="7" t="n"/>
      <c r="X8489" s="7" t="n"/>
      <c r="Z8489">
        <f>Z8488+IF(W8489="",0,IF(ISNA(MATCH(W8489,W$256:W8488,0)),1,0))</f>
        <v/>
      </c>
      <c r="AA8489">
        <f>IF(Z8489&gt;Z8488,Z8489,"")</f>
        <v/>
      </c>
      <c r="AB8489">
        <f>AB8488+IF(X8489="",0,IF(ISNA(MATCH(X8489,X$256:X8488,0)),1,0))</f>
        <v/>
      </c>
      <c r="AC8489">
        <f>IF(AB8489&gt;AB8488,AB8489,"")</f>
        <v/>
      </c>
    </row>
    <row r="8490">
      <c r="W8490" s="7" t="n"/>
      <c r="X8490" s="7" t="n"/>
      <c r="Z8490">
        <f>Z8489+IF(W8490="",0,IF(ISNA(MATCH(W8490,W$256:W8489,0)),1,0))</f>
        <v/>
      </c>
      <c r="AA8490">
        <f>IF(Z8490&gt;Z8489,Z8490,"")</f>
        <v/>
      </c>
      <c r="AB8490">
        <f>AB8489+IF(X8490="",0,IF(ISNA(MATCH(X8490,X$256:X8489,0)),1,0))</f>
        <v/>
      </c>
      <c r="AC8490">
        <f>IF(AB8490&gt;AB8489,AB8490,"")</f>
        <v/>
      </c>
    </row>
    <row r="8491">
      <c r="W8491" s="7" t="n"/>
      <c r="X8491" s="7" t="n"/>
      <c r="Z8491">
        <f>Z8490+IF(W8491="",0,IF(ISNA(MATCH(W8491,W$256:W8490,0)),1,0))</f>
        <v/>
      </c>
      <c r="AA8491">
        <f>IF(Z8491&gt;Z8490,Z8491,"")</f>
        <v/>
      </c>
      <c r="AB8491">
        <f>AB8490+IF(X8491="",0,IF(ISNA(MATCH(X8491,X$256:X8490,0)),1,0))</f>
        <v/>
      </c>
      <c r="AC8491">
        <f>IF(AB8491&gt;AB8490,AB8491,"")</f>
        <v/>
      </c>
    </row>
    <row r="8492">
      <c r="W8492" s="7" t="n"/>
      <c r="X8492" s="7" t="n"/>
      <c r="Z8492">
        <f>Z8491+IF(W8492="",0,IF(ISNA(MATCH(W8492,W$256:W8491,0)),1,0))</f>
        <v/>
      </c>
      <c r="AA8492">
        <f>IF(Z8492&gt;Z8491,Z8492,"")</f>
        <v/>
      </c>
      <c r="AB8492">
        <f>AB8491+IF(X8492="",0,IF(ISNA(MATCH(X8492,X$256:X8491,0)),1,0))</f>
        <v/>
      </c>
      <c r="AC8492">
        <f>IF(AB8492&gt;AB8491,AB8492,"")</f>
        <v/>
      </c>
    </row>
    <row r="8493">
      <c r="W8493" s="7" t="n"/>
      <c r="X8493" s="7" t="n"/>
      <c r="Z8493">
        <f>Z8492+IF(W8493="",0,IF(ISNA(MATCH(W8493,W$256:W8492,0)),1,0))</f>
        <v/>
      </c>
      <c r="AA8493">
        <f>IF(Z8493&gt;Z8492,Z8493,"")</f>
        <v/>
      </c>
      <c r="AB8493">
        <f>AB8492+IF(X8493="",0,IF(ISNA(MATCH(X8493,X$256:X8492,0)),1,0))</f>
        <v/>
      </c>
      <c r="AC8493">
        <f>IF(AB8493&gt;AB8492,AB8493,"")</f>
        <v/>
      </c>
    </row>
    <row r="8494">
      <c r="W8494" s="7" t="n"/>
      <c r="X8494" s="7" t="n"/>
      <c r="Z8494">
        <f>Z8493+IF(W8494="",0,IF(ISNA(MATCH(W8494,W$256:W8493,0)),1,0))</f>
        <v/>
      </c>
      <c r="AA8494">
        <f>IF(Z8494&gt;Z8493,Z8494,"")</f>
        <v/>
      </c>
      <c r="AB8494">
        <f>AB8493+IF(X8494="",0,IF(ISNA(MATCH(X8494,X$256:X8493,0)),1,0))</f>
        <v/>
      </c>
      <c r="AC8494">
        <f>IF(AB8494&gt;AB8493,AB8494,"")</f>
        <v/>
      </c>
    </row>
    <row r="8495">
      <c r="W8495" s="7" t="n"/>
      <c r="X8495" s="7" t="n"/>
      <c r="Z8495">
        <f>Z8494+IF(W8495="",0,IF(ISNA(MATCH(W8495,W$256:W8494,0)),1,0))</f>
        <v/>
      </c>
      <c r="AA8495">
        <f>IF(Z8495&gt;Z8494,Z8495,"")</f>
        <v/>
      </c>
      <c r="AB8495">
        <f>AB8494+IF(X8495="",0,IF(ISNA(MATCH(X8495,X$256:X8494,0)),1,0))</f>
        <v/>
      </c>
      <c r="AC8495">
        <f>IF(AB8495&gt;AB8494,AB8495,"")</f>
        <v/>
      </c>
    </row>
    <row r="8496">
      <c r="W8496" s="7" t="n"/>
      <c r="X8496" s="7" t="n"/>
      <c r="Z8496">
        <f>Z8495+IF(W8496="",0,IF(ISNA(MATCH(W8496,W$256:W8495,0)),1,0))</f>
        <v/>
      </c>
      <c r="AA8496">
        <f>IF(Z8496&gt;Z8495,Z8496,"")</f>
        <v/>
      </c>
      <c r="AB8496">
        <f>AB8495+IF(X8496="",0,IF(ISNA(MATCH(X8496,X$256:X8495,0)),1,0))</f>
        <v/>
      </c>
      <c r="AC8496">
        <f>IF(AB8496&gt;AB8495,AB8496,"")</f>
        <v/>
      </c>
    </row>
    <row r="8497">
      <c r="W8497" s="7" t="n"/>
      <c r="X8497" s="7" t="n"/>
      <c r="Z8497">
        <f>Z8496+IF(W8497="",0,IF(ISNA(MATCH(W8497,W$256:W8496,0)),1,0))</f>
        <v/>
      </c>
      <c r="AA8497">
        <f>IF(Z8497&gt;Z8496,Z8497,"")</f>
        <v/>
      </c>
      <c r="AB8497">
        <f>AB8496+IF(X8497="",0,IF(ISNA(MATCH(X8497,X$256:X8496,0)),1,0))</f>
        <v/>
      </c>
      <c r="AC8497">
        <f>IF(AB8497&gt;AB8496,AB8497,"")</f>
        <v/>
      </c>
    </row>
    <row r="8498">
      <c r="W8498" s="7" t="n"/>
      <c r="X8498" s="7" t="n"/>
      <c r="Z8498">
        <f>Z8497+IF(W8498="",0,IF(ISNA(MATCH(W8498,W$256:W8497,0)),1,0))</f>
        <v/>
      </c>
      <c r="AA8498">
        <f>IF(Z8498&gt;Z8497,Z8498,"")</f>
        <v/>
      </c>
      <c r="AB8498">
        <f>AB8497+IF(X8498="",0,IF(ISNA(MATCH(X8498,X$256:X8497,0)),1,0))</f>
        <v/>
      </c>
      <c r="AC8498">
        <f>IF(AB8498&gt;AB8497,AB8498,"")</f>
        <v/>
      </c>
    </row>
    <row r="8499">
      <c r="W8499" s="7" t="n"/>
      <c r="X8499" s="7" t="n"/>
      <c r="Z8499">
        <f>Z8498+IF(W8499="",0,IF(ISNA(MATCH(W8499,W$256:W8498,0)),1,0))</f>
        <v/>
      </c>
      <c r="AA8499">
        <f>IF(Z8499&gt;Z8498,Z8499,"")</f>
        <v/>
      </c>
      <c r="AB8499">
        <f>AB8498+IF(X8499="",0,IF(ISNA(MATCH(X8499,X$256:X8498,0)),1,0))</f>
        <v/>
      </c>
      <c r="AC8499">
        <f>IF(AB8499&gt;AB8498,AB8499,"")</f>
        <v/>
      </c>
    </row>
    <row r="8500">
      <c r="W8500" s="7" t="n"/>
      <c r="X8500" s="7" t="n"/>
      <c r="Z8500">
        <f>Z8499+IF(W8500="",0,IF(ISNA(MATCH(W8500,W$256:W8499,0)),1,0))</f>
        <v/>
      </c>
      <c r="AA8500">
        <f>IF(Z8500&gt;Z8499,Z8500,"")</f>
        <v/>
      </c>
      <c r="AB8500">
        <f>AB8499+IF(X8500="",0,IF(ISNA(MATCH(X8500,X$256:X8499,0)),1,0))</f>
        <v/>
      </c>
      <c r="AC8500">
        <f>IF(AB8500&gt;AB8499,AB8500,"")</f>
        <v/>
      </c>
    </row>
    <row r="8501">
      <c r="W8501" s="7" t="n"/>
      <c r="X8501" s="7" t="n"/>
      <c r="Z8501">
        <f>Z8500+IF(W8501="",0,IF(ISNA(MATCH(W8501,W$256:W8500,0)),1,0))</f>
        <v/>
      </c>
      <c r="AA8501">
        <f>IF(Z8501&gt;Z8500,Z8501,"")</f>
        <v/>
      </c>
      <c r="AB8501">
        <f>AB8500+IF(X8501="",0,IF(ISNA(MATCH(X8501,X$256:X8500,0)),1,0))</f>
        <v/>
      </c>
      <c r="AC8501">
        <f>IF(AB8501&gt;AB8500,AB8501,"")</f>
        <v/>
      </c>
    </row>
    <row r="8502">
      <c r="W8502" s="7" t="n"/>
      <c r="X8502" s="7" t="n"/>
      <c r="Z8502">
        <f>Z8501+IF(W8502="",0,IF(ISNA(MATCH(W8502,W$256:W8501,0)),1,0))</f>
        <v/>
      </c>
      <c r="AA8502">
        <f>IF(Z8502&gt;Z8501,Z8502,"")</f>
        <v/>
      </c>
      <c r="AB8502">
        <f>AB8501+IF(X8502="",0,IF(ISNA(MATCH(X8502,X$256:X8501,0)),1,0))</f>
        <v/>
      </c>
      <c r="AC8502">
        <f>IF(AB8502&gt;AB8501,AB8502,"")</f>
        <v/>
      </c>
    </row>
    <row r="8503">
      <c r="W8503" s="7" t="n"/>
      <c r="X8503" s="7" t="n"/>
      <c r="Z8503">
        <f>Z8502+IF(W8503="",0,IF(ISNA(MATCH(W8503,W$256:W8502,0)),1,0))</f>
        <v/>
      </c>
      <c r="AA8503">
        <f>IF(Z8503&gt;Z8502,Z8503,"")</f>
        <v/>
      </c>
      <c r="AB8503">
        <f>AB8502+IF(X8503="",0,IF(ISNA(MATCH(X8503,X$256:X8502,0)),1,0))</f>
        <v/>
      </c>
      <c r="AC8503">
        <f>IF(AB8503&gt;AB8502,AB8503,"")</f>
        <v/>
      </c>
    </row>
    <row r="8504">
      <c r="W8504" s="7" t="n"/>
      <c r="X8504" s="7" t="n"/>
      <c r="Z8504">
        <f>Z8503+IF(W8504="",0,IF(ISNA(MATCH(W8504,W$256:W8503,0)),1,0))</f>
        <v/>
      </c>
      <c r="AA8504">
        <f>IF(Z8504&gt;Z8503,Z8504,"")</f>
        <v/>
      </c>
      <c r="AB8504">
        <f>AB8503+IF(X8504="",0,IF(ISNA(MATCH(X8504,X$256:X8503,0)),1,0))</f>
        <v/>
      </c>
      <c r="AC8504">
        <f>IF(AB8504&gt;AB8503,AB8504,"")</f>
        <v/>
      </c>
    </row>
    <row r="8505">
      <c r="W8505" s="7" t="n"/>
      <c r="X8505" s="7" t="n"/>
      <c r="Z8505">
        <f>Z8504+IF(W8505="",0,IF(ISNA(MATCH(W8505,W$256:W8504,0)),1,0))</f>
        <v/>
      </c>
      <c r="AA8505">
        <f>IF(Z8505&gt;Z8504,Z8505,"")</f>
        <v/>
      </c>
      <c r="AB8505">
        <f>AB8504+IF(X8505="",0,IF(ISNA(MATCH(X8505,X$256:X8504,0)),1,0))</f>
        <v/>
      </c>
      <c r="AC8505">
        <f>IF(AB8505&gt;AB8504,AB8505,"")</f>
        <v/>
      </c>
    </row>
    <row r="8506">
      <c r="W8506" s="7" t="n"/>
      <c r="X8506" s="7" t="n"/>
      <c r="Z8506">
        <f>Z8505+IF(W8506="",0,IF(ISNA(MATCH(W8506,W$256:W8505,0)),1,0))</f>
        <v/>
      </c>
      <c r="AA8506">
        <f>IF(Z8506&gt;Z8505,Z8506,"")</f>
        <v/>
      </c>
      <c r="AB8506">
        <f>AB8505+IF(X8506="",0,IF(ISNA(MATCH(X8506,X$256:X8505,0)),1,0))</f>
        <v/>
      </c>
      <c r="AC8506">
        <f>IF(AB8506&gt;AB8505,AB8506,"")</f>
        <v/>
      </c>
    </row>
    <row r="8507">
      <c r="W8507" s="7" t="n"/>
      <c r="X8507" s="7" t="n"/>
      <c r="Z8507">
        <f>Z8506+IF(W8507="",0,IF(ISNA(MATCH(W8507,W$256:W8506,0)),1,0))</f>
        <v/>
      </c>
      <c r="AA8507">
        <f>IF(Z8507&gt;Z8506,Z8507,"")</f>
        <v/>
      </c>
      <c r="AB8507">
        <f>AB8506+IF(X8507="",0,IF(ISNA(MATCH(X8507,X$256:X8506,0)),1,0))</f>
        <v/>
      </c>
      <c r="AC8507">
        <f>IF(AB8507&gt;AB8506,AB8507,"")</f>
        <v/>
      </c>
    </row>
    <row r="8508">
      <c r="W8508" s="7" t="n"/>
      <c r="X8508" s="7" t="n"/>
      <c r="Z8508">
        <f>Z8507+IF(W8508="",0,IF(ISNA(MATCH(W8508,W$256:W8507,0)),1,0))</f>
        <v/>
      </c>
      <c r="AA8508">
        <f>IF(Z8508&gt;Z8507,Z8508,"")</f>
        <v/>
      </c>
      <c r="AB8508">
        <f>AB8507+IF(X8508="",0,IF(ISNA(MATCH(X8508,X$256:X8507,0)),1,0))</f>
        <v/>
      </c>
      <c r="AC8508">
        <f>IF(AB8508&gt;AB8507,AB8508,"")</f>
        <v/>
      </c>
    </row>
    <row r="8509">
      <c r="W8509" s="7" t="n"/>
      <c r="X8509" s="7" t="n"/>
      <c r="Z8509">
        <f>Z8508+IF(W8509="",0,IF(ISNA(MATCH(W8509,W$256:W8508,0)),1,0))</f>
        <v/>
      </c>
      <c r="AA8509">
        <f>IF(Z8509&gt;Z8508,Z8509,"")</f>
        <v/>
      </c>
      <c r="AB8509">
        <f>AB8508+IF(X8509="",0,IF(ISNA(MATCH(X8509,X$256:X8508,0)),1,0))</f>
        <v/>
      </c>
      <c r="AC8509">
        <f>IF(AB8509&gt;AB8508,AB8509,"")</f>
        <v/>
      </c>
    </row>
    <row r="8510">
      <c r="W8510" s="7" t="n"/>
      <c r="X8510" s="7" t="n"/>
      <c r="Z8510">
        <f>Z8509+IF(W8510="",0,IF(ISNA(MATCH(W8510,W$256:W8509,0)),1,0))</f>
        <v/>
      </c>
      <c r="AA8510">
        <f>IF(Z8510&gt;Z8509,Z8510,"")</f>
        <v/>
      </c>
      <c r="AB8510">
        <f>AB8509+IF(X8510="",0,IF(ISNA(MATCH(X8510,X$256:X8509,0)),1,0))</f>
        <v/>
      </c>
      <c r="AC8510">
        <f>IF(AB8510&gt;AB8509,AB8510,"")</f>
        <v/>
      </c>
    </row>
    <row r="8511">
      <c r="W8511" s="7" t="n"/>
      <c r="X8511" s="7" t="n"/>
      <c r="Z8511">
        <f>Z8510+IF(W8511="",0,IF(ISNA(MATCH(W8511,W$256:W8510,0)),1,0))</f>
        <v/>
      </c>
      <c r="AA8511">
        <f>IF(Z8511&gt;Z8510,Z8511,"")</f>
        <v/>
      </c>
      <c r="AB8511">
        <f>AB8510+IF(X8511="",0,IF(ISNA(MATCH(X8511,X$256:X8510,0)),1,0))</f>
        <v/>
      </c>
      <c r="AC8511">
        <f>IF(AB8511&gt;AB8510,AB8511,"")</f>
        <v/>
      </c>
    </row>
    <row r="8512">
      <c r="W8512" s="7" t="n"/>
      <c r="X8512" s="7" t="n"/>
      <c r="Z8512">
        <f>Z8511+IF(W8512="",0,IF(ISNA(MATCH(W8512,W$256:W8511,0)),1,0))</f>
        <v/>
      </c>
      <c r="AA8512">
        <f>IF(Z8512&gt;Z8511,Z8512,"")</f>
        <v/>
      </c>
      <c r="AB8512">
        <f>AB8511+IF(X8512="",0,IF(ISNA(MATCH(X8512,X$256:X8511,0)),1,0))</f>
        <v/>
      </c>
      <c r="AC8512">
        <f>IF(AB8512&gt;AB8511,AB8512,"")</f>
        <v/>
      </c>
    </row>
    <row r="8513">
      <c r="W8513" s="7" t="n"/>
      <c r="X8513" s="7" t="n"/>
      <c r="Z8513">
        <f>Z8512+IF(W8513="",0,IF(ISNA(MATCH(W8513,W$256:W8512,0)),1,0))</f>
        <v/>
      </c>
      <c r="AA8513">
        <f>IF(Z8513&gt;Z8512,Z8513,"")</f>
        <v/>
      </c>
      <c r="AB8513">
        <f>AB8512+IF(X8513="",0,IF(ISNA(MATCH(X8513,X$256:X8512,0)),1,0))</f>
        <v/>
      </c>
      <c r="AC8513">
        <f>IF(AB8513&gt;AB8512,AB8513,"")</f>
        <v/>
      </c>
    </row>
    <row r="8514">
      <c r="W8514" s="7" t="n"/>
      <c r="X8514" s="7" t="n"/>
      <c r="Z8514">
        <f>Z8513+IF(W8514="",0,IF(ISNA(MATCH(W8514,W$256:W8513,0)),1,0))</f>
        <v/>
      </c>
      <c r="AA8514">
        <f>IF(Z8514&gt;Z8513,Z8514,"")</f>
        <v/>
      </c>
      <c r="AB8514">
        <f>AB8513+IF(X8514="",0,IF(ISNA(MATCH(X8514,X$256:X8513,0)),1,0))</f>
        <v/>
      </c>
      <c r="AC8514">
        <f>IF(AB8514&gt;AB8513,AB8514,"")</f>
        <v/>
      </c>
    </row>
    <row r="8515">
      <c r="W8515" s="7" t="n"/>
      <c r="X8515" s="7" t="n"/>
      <c r="Z8515">
        <f>Z8514+IF(W8515="",0,IF(ISNA(MATCH(W8515,W$256:W8514,0)),1,0))</f>
        <v/>
      </c>
      <c r="AA8515">
        <f>IF(Z8515&gt;Z8514,Z8515,"")</f>
        <v/>
      </c>
      <c r="AB8515">
        <f>AB8514+IF(X8515="",0,IF(ISNA(MATCH(X8515,X$256:X8514,0)),1,0))</f>
        <v/>
      </c>
      <c r="AC8515">
        <f>IF(AB8515&gt;AB8514,AB8515,"")</f>
        <v/>
      </c>
    </row>
    <row r="8516">
      <c r="W8516" s="7" t="n"/>
      <c r="X8516" s="7" t="n"/>
      <c r="Z8516">
        <f>Z8515+IF(W8516="",0,IF(ISNA(MATCH(W8516,W$256:W8515,0)),1,0))</f>
        <v/>
      </c>
      <c r="AA8516">
        <f>IF(Z8516&gt;Z8515,Z8516,"")</f>
        <v/>
      </c>
      <c r="AB8516">
        <f>AB8515+IF(X8516="",0,IF(ISNA(MATCH(X8516,X$256:X8515,0)),1,0))</f>
        <v/>
      </c>
      <c r="AC8516">
        <f>IF(AB8516&gt;AB8515,AB8516,"")</f>
        <v/>
      </c>
    </row>
    <row r="8517">
      <c r="W8517" s="7" t="n"/>
      <c r="X8517" s="7" t="n"/>
      <c r="Z8517">
        <f>Z8516+IF(W8517="",0,IF(ISNA(MATCH(W8517,W$256:W8516,0)),1,0))</f>
        <v/>
      </c>
      <c r="AA8517">
        <f>IF(Z8517&gt;Z8516,Z8517,"")</f>
        <v/>
      </c>
      <c r="AB8517">
        <f>AB8516+IF(X8517="",0,IF(ISNA(MATCH(X8517,X$256:X8516,0)),1,0))</f>
        <v/>
      </c>
      <c r="AC8517">
        <f>IF(AB8517&gt;AB8516,AB8517,"")</f>
        <v/>
      </c>
    </row>
    <row r="8518">
      <c r="W8518" s="7" t="n"/>
      <c r="X8518" s="7" t="n"/>
      <c r="Z8518">
        <f>Z8517+IF(W8518="",0,IF(ISNA(MATCH(W8518,W$256:W8517,0)),1,0))</f>
        <v/>
      </c>
      <c r="AA8518">
        <f>IF(Z8518&gt;Z8517,Z8518,"")</f>
        <v/>
      </c>
      <c r="AB8518">
        <f>AB8517+IF(X8518="",0,IF(ISNA(MATCH(X8518,X$256:X8517,0)),1,0))</f>
        <v/>
      </c>
      <c r="AC8518">
        <f>IF(AB8518&gt;AB8517,AB8518,"")</f>
        <v/>
      </c>
    </row>
    <row r="8519">
      <c r="W8519" s="7" t="n"/>
      <c r="X8519" s="7" t="n"/>
      <c r="Z8519">
        <f>Z8518+IF(W8519="",0,IF(ISNA(MATCH(W8519,W$256:W8518,0)),1,0))</f>
        <v/>
      </c>
      <c r="AA8519">
        <f>IF(Z8519&gt;Z8518,Z8519,"")</f>
        <v/>
      </c>
      <c r="AB8519">
        <f>AB8518+IF(X8519="",0,IF(ISNA(MATCH(X8519,X$256:X8518,0)),1,0))</f>
        <v/>
      </c>
      <c r="AC8519">
        <f>IF(AB8519&gt;AB8518,AB8519,"")</f>
        <v/>
      </c>
    </row>
    <row r="8520">
      <c r="W8520" s="7" t="n"/>
      <c r="X8520" s="7" t="n"/>
      <c r="Z8520">
        <f>Z8519+IF(W8520="",0,IF(ISNA(MATCH(W8520,W$256:W8519,0)),1,0))</f>
        <v/>
      </c>
      <c r="AA8520">
        <f>IF(Z8520&gt;Z8519,Z8520,"")</f>
        <v/>
      </c>
      <c r="AB8520">
        <f>AB8519+IF(X8520="",0,IF(ISNA(MATCH(X8520,X$256:X8519,0)),1,0))</f>
        <v/>
      </c>
      <c r="AC8520">
        <f>IF(AB8520&gt;AB8519,AB8520,"")</f>
        <v/>
      </c>
    </row>
    <row r="8521">
      <c r="W8521" s="7" t="n"/>
      <c r="X8521" s="7" t="n"/>
      <c r="Z8521">
        <f>Z8520+IF(W8521="",0,IF(ISNA(MATCH(W8521,W$256:W8520,0)),1,0))</f>
        <v/>
      </c>
      <c r="AA8521">
        <f>IF(Z8521&gt;Z8520,Z8521,"")</f>
        <v/>
      </c>
      <c r="AB8521">
        <f>AB8520+IF(X8521="",0,IF(ISNA(MATCH(X8521,X$256:X8520,0)),1,0))</f>
        <v/>
      </c>
      <c r="AC8521">
        <f>IF(AB8521&gt;AB8520,AB8521,"")</f>
        <v/>
      </c>
    </row>
    <row r="8522">
      <c r="W8522" s="7" t="n"/>
      <c r="X8522" s="7" t="n"/>
      <c r="Z8522">
        <f>Z8521+IF(W8522="",0,IF(ISNA(MATCH(W8522,W$256:W8521,0)),1,0))</f>
        <v/>
      </c>
      <c r="AA8522">
        <f>IF(Z8522&gt;Z8521,Z8522,"")</f>
        <v/>
      </c>
      <c r="AB8522">
        <f>AB8521+IF(X8522="",0,IF(ISNA(MATCH(X8522,X$256:X8521,0)),1,0))</f>
        <v/>
      </c>
      <c r="AC8522">
        <f>IF(AB8522&gt;AB8521,AB8522,"")</f>
        <v/>
      </c>
    </row>
    <row r="8523">
      <c r="W8523" s="7" t="n"/>
      <c r="X8523" s="7" t="n"/>
      <c r="Z8523">
        <f>Z8522+IF(W8523="",0,IF(ISNA(MATCH(W8523,W$256:W8522,0)),1,0))</f>
        <v/>
      </c>
      <c r="AA8523">
        <f>IF(Z8523&gt;Z8522,Z8523,"")</f>
        <v/>
      </c>
      <c r="AB8523">
        <f>AB8522+IF(X8523="",0,IF(ISNA(MATCH(X8523,X$256:X8522,0)),1,0))</f>
        <v/>
      </c>
      <c r="AC8523">
        <f>IF(AB8523&gt;AB8522,AB8523,"")</f>
        <v/>
      </c>
    </row>
    <row r="8524">
      <c r="W8524" s="7" t="n"/>
      <c r="X8524" s="7" t="n"/>
      <c r="Z8524">
        <f>Z8523+IF(W8524="",0,IF(ISNA(MATCH(W8524,W$256:W8523,0)),1,0))</f>
        <v/>
      </c>
      <c r="AA8524">
        <f>IF(Z8524&gt;Z8523,Z8524,"")</f>
        <v/>
      </c>
      <c r="AB8524">
        <f>AB8523+IF(X8524="",0,IF(ISNA(MATCH(X8524,X$256:X8523,0)),1,0))</f>
        <v/>
      </c>
      <c r="AC8524">
        <f>IF(AB8524&gt;AB8523,AB8524,"")</f>
        <v/>
      </c>
    </row>
    <row r="8525">
      <c r="W8525" s="7" t="n"/>
      <c r="X8525" s="7" t="n"/>
      <c r="Z8525">
        <f>Z8524+IF(W8525="",0,IF(ISNA(MATCH(W8525,W$256:W8524,0)),1,0))</f>
        <v/>
      </c>
      <c r="AA8525">
        <f>IF(Z8525&gt;Z8524,Z8525,"")</f>
        <v/>
      </c>
      <c r="AB8525">
        <f>AB8524+IF(X8525="",0,IF(ISNA(MATCH(X8525,X$256:X8524,0)),1,0))</f>
        <v/>
      </c>
      <c r="AC8525">
        <f>IF(AB8525&gt;AB8524,AB8525,"")</f>
        <v/>
      </c>
    </row>
    <row r="8526">
      <c r="W8526" s="7" t="n"/>
      <c r="X8526" s="7" t="n"/>
      <c r="Z8526">
        <f>Z8525+IF(W8526="",0,IF(ISNA(MATCH(W8526,W$256:W8525,0)),1,0))</f>
        <v/>
      </c>
      <c r="AA8526">
        <f>IF(Z8526&gt;Z8525,Z8526,"")</f>
        <v/>
      </c>
      <c r="AB8526">
        <f>AB8525+IF(X8526="",0,IF(ISNA(MATCH(X8526,X$256:X8525,0)),1,0))</f>
        <v/>
      </c>
      <c r="AC8526">
        <f>IF(AB8526&gt;AB8525,AB8526,"")</f>
        <v/>
      </c>
    </row>
    <row r="8527">
      <c r="W8527" s="7" t="n"/>
      <c r="X8527" s="7" t="n"/>
      <c r="Z8527">
        <f>Z8526+IF(W8527="",0,IF(ISNA(MATCH(W8527,W$256:W8526,0)),1,0))</f>
        <v/>
      </c>
      <c r="AA8527">
        <f>IF(Z8527&gt;Z8526,Z8527,"")</f>
        <v/>
      </c>
      <c r="AB8527">
        <f>AB8526+IF(X8527="",0,IF(ISNA(MATCH(X8527,X$256:X8526,0)),1,0))</f>
        <v/>
      </c>
      <c r="AC8527">
        <f>IF(AB8527&gt;AB8526,AB8527,"")</f>
        <v/>
      </c>
    </row>
    <row r="8528">
      <c r="W8528" s="7" t="n"/>
      <c r="X8528" s="7" t="n"/>
      <c r="Z8528">
        <f>Z8527+IF(W8528="",0,IF(ISNA(MATCH(W8528,W$256:W8527,0)),1,0))</f>
        <v/>
      </c>
      <c r="AA8528">
        <f>IF(Z8528&gt;Z8527,Z8528,"")</f>
        <v/>
      </c>
      <c r="AB8528">
        <f>AB8527+IF(X8528="",0,IF(ISNA(MATCH(X8528,X$256:X8527,0)),1,0))</f>
        <v/>
      </c>
      <c r="AC8528">
        <f>IF(AB8528&gt;AB8527,AB8528,"")</f>
        <v/>
      </c>
    </row>
    <row r="8529">
      <c r="W8529" s="7" t="n"/>
      <c r="X8529" s="7" t="n"/>
      <c r="Z8529">
        <f>Z8528+IF(W8529="",0,IF(ISNA(MATCH(W8529,W$256:W8528,0)),1,0))</f>
        <v/>
      </c>
      <c r="AA8529">
        <f>IF(Z8529&gt;Z8528,Z8529,"")</f>
        <v/>
      </c>
      <c r="AB8529">
        <f>AB8528+IF(X8529="",0,IF(ISNA(MATCH(X8529,X$256:X8528,0)),1,0))</f>
        <v/>
      </c>
      <c r="AC8529">
        <f>IF(AB8529&gt;AB8528,AB8529,"")</f>
        <v/>
      </c>
    </row>
    <row r="8530">
      <c r="W8530" s="7" t="n"/>
      <c r="X8530" s="7" t="n"/>
      <c r="Z8530">
        <f>Z8529+IF(W8530="",0,IF(ISNA(MATCH(W8530,W$256:W8529,0)),1,0))</f>
        <v/>
      </c>
      <c r="AA8530">
        <f>IF(Z8530&gt;Z8529,Z8530,"")</f>
        <v/>
      </c>
      <c r="AB8530">
        <f>AB8529+IF(X8530="",0,IF(ISNA(MATCH(X8530,X$256:X8529,0)),1,0))</f>
        <v/>
      </c>
      <c r="AC8530">
        <f>IF(AB8530&gt;AB8529,AB8530,"")</f>
        <v/>
      </c>
    </row>
    <row r="8531">
      <c r="W8531" s="7" t="n"/>
      <c r="X8531" s="7" t="n"/>
      <c r="Z8531">
        <f>Z8530+IF(W8531="",0,IF(ISNA(MATCH(W8531,W$256:W8530,0)),1,0))</f>
        <v/>
      </c>
      <c r="AA8531">
        <f>IF(Z8531&gt;Z8530,Z8531,"")</f>
        <v/>
      </c>
      <c r="AB8531">
        <f>AB8530+IF(X8531="",0,IF(ISNA(MATCH(X8531,X$256:X8530,0)),1,0))</f>
        <v/>
      </c>
      <c r="AC8531">
        <f>IF(AB8531&gt;AB8530,AB8531,"")</f>
        <v/>
      </c>
    </row>
    <row r="8532">
      <c r="W8532" s="7" t="n"/>
      <c r="X8532" s="7" t="n"/>
      <c r="Z8532">
        <f>Z8531+IF(W8532="",0,IF(ISNA(MATCH(W8532,W$256:W8531,0)),1,0))</f>
        <v/>
      </c>
      <c r="AA8532">
        <f>IF(Z8532&gt;Z8531,Z8532,"")</f>
        <v/>
      </c>
      <c r="AB8532">
        <f>AB8531+IF(X8532="",0,IF(ISNA(MATCH(X8532,X$256:X8531,0)),1,0))</f>
        <v/>
      </c>
      <c r="AC8532">
        <f>IF(AB8532&gt;AB8531,AB8532,"")</f>
        <v/>
      </c>
    </row>
    <row r="8533">
      <c r="W8533" s="7" t="n"/>
      <c r="X8533" s="7" t="n"/>
      <c r="Z8533">
        <f>Z8532+IF(W8533="",0,IF(ISNA(MATCH(W8533,W$256:W8532,0)),1,0))</f>
        <v/>
      </c>
      <c r="AA8533">
        <f>IF(Z8533&gt;Z8532,Z8533,"")</f>
        <v/>
      </c>
      <c r="AB8533">
        <f>AB8532+IF(X8533="",0,IF(ISNA(MATCH(X8533,X$256:X8532,0)),1,0))</f>
        <v/>
      </c>
      <c r="AC8533">
        <f>IF(AB8533&gt;AB8532,AB8533,"")</f>
        <v/>
      </c>
    </row>
    <row r="8534">
      <c r="W8534" s="7" t="n"/>
      <c r="X8534" s="7" t="n"/>
      <c r="Z8534">
        <f>Z8533+IF(W8534="",0,IF(ISNA(MATCH(W8534,W$256:W8533,0)),1,0))</f>
        <v/>
      </c>
      <c r="AA8534">
        <f>IF(Z8534&gt;Z8533,Z8534,"")</f>
        <v/>
      </c>
      <c r="AB8534">
        <f>AB8533+IF(X8534="",0,IF(ISNA(MATCH(X8534,X$256:X8533,0)),1,0))</f>
        <v/>
      </c>
      <c r="AC8534">
        <f>IF(AB8534&gt;AB8533,AB8534,"")</f>
        <v/>
      </c>
    </row>
    <row r="8535">
      <c r="W8535" s="7" t="n"/>
      <c r="X8535" s="7" t="n"/>
      <c r="Z8535">
        <f>Z8534+IF(W8535="",0,IF(ISNA(MATCH(W8535,W$256:W8534,0)),1,0))</f>
        <v/>
      </c>
      <c r="AA8535">
        <f>IF(Z8535&gt;Z8534,Z8535,"")</f>
        <v/>
      </c>
      <c r="AB8535">
        <f>AB8534+IF(X8535="",0,IF(ISNA(MATCH(X8535,X$256:X8534,0)),1,0))</f>
        <v/>
      </c>
      <c r="AC8535">
        <f>IF(AB8535&gt;AB8534,AB8535,"")</f>
        <v/>
      </c>
    </row>
    <row r="8536">
      <c r="W8536" s="7" t="n"/>
      <c r="X8536" s="7" t="n"/>
      <c r="Z8536">
        <f>Z8535+IF(W8536="",0,IF(ISNA(MATCH(W8536,W$256:W8535,0)),1,0))</f>
        <v/>
      </c>
      <c r="AA8536">
        <f>IF(Z8536&gt;Z8535,Z8536,"")</f>
        <v/>
      </c>
      <c r="AB8536">
        <f>AB8535+IF(X8536="",0,IF(ISNA(MATCH(X8536,X$256:X8535,0)),1,0))</f>
        <v/>
      </c>
      <c r="AC8536">
        <f>IF(AB8536&gt;AB8535,AB8536,"")</f>
        <v/>
      </c>
    </row>
    <row r="8537">
      <c r="W8537" s="7" t="n"/>
      <c r="X8537" s="7" t="n"/>
      <c r="Z8537">
        <f>Z8536+IF(W8537="",0,IF(ISNA(MATCH(W8537,W$256:W8536,0)),1,0))</f>
        <v/>
      </c>
      <c r="AA8537">
        <f>IF(Z8537&gt;Z8536,Z8537,"")</f>
        <v/>
      </c>
      <c r="AB8537">
        <f>AB8536+IF(X8537="",0,IF(ISNA(MATCH(X8537,X$256:X8536,0)),1,0))</f>
        <v/>
      </c>
      <c r="AC8537">
        <f>IF(AB8537&gt;AB8536,AB8537,"")</f>
        <v/>
      </c>
    </row>
    <row r="8538">
      <c r="W8538" s="7" t="n"/>
      <c r="X8538" s="7" t="n"/>
      <c r="Z8538">
        <f>Z8537+IF(W8538="",0,IF(ISNA(MATCH(W8538,W$256:W8537,0)),1,0))</f>
        <v/>
      </c>
      <c r="AA8538">
        <f>IF(Z8538&gt;Z8537,Z8538,"")</f>
        <v/>
      </c>
      <c r="AB8538">
        <f>AB8537+IF(X8538="",0,IF(ISNA(MATCH(X8538,X$256:X8537,0)),1,0))</f>
        <v/>
      </c>
      <c r="AC8538">
        <f>IF(AB8538&gt;AB8537,AB8538,"")</f>
        <v/>
      </c>
    </row>
    <row r="8539">
      <c r="W8539" s="7" t="n"/>
      <c r="X8539" s="7" t="n"/>
      <c r="Z8539">
        <f>Z8538+IF(W8539="",0,IF(ISNA(MATCH(W8539,W$256:W8538,0)),1,0))</f>
        <v/>
      </c>
      <c r="AA8539">
        <f>IF(Z8539&gt;Z8538,Z8539,"")</f>
        <v/>
      </c>
      <c r="AB8539">
        <f>AB8538+IF(X8539="",0,IF(ISNA(MATCH(X8539,X$256:X8538,0)),1,0))</f>
        <v/>
      </c>
      <c r="AC8539">
        <f>IF(AB8539&gt;AB8538,AB8539,"")</f>
        <v/>
      </c>
    </row>
    <row r="8540">
      <c r="W8540" s="7" t="n"/>
      <c r="X8540" s="7" t="n"/>
      <c r="Z8540">
        <f>Z8539+IF(W8540="",0,IF(ISNA(MATCH(W8540,W$256:W8539,0)),1,0))</f>
        <v/>
      </c>
      <c r="AA8540">
        <f>IF(Z8540&gt;Z8539,Z8540,"")</f>
        <v/>
      </c>
      <c r="AB8540">
        <f>AB8539+IF(X8540="",0,IF(ISNA(MATCH(X8540,X$256:X8539,0)),1,0))</f>
        <v/>
      </c>
      <c r="AC8540">
        <f>IF(AB8540&gt;AB8539,AB8540,"")</f>
        <v/>
      </c>
    </row>
    <row r="8541">
      <c r="W8541" s="7" t="n"/>
      <c r="X8541" s="7" t="n"/>
      <c r="Z8541">
        <f>Z8540+IF(W8541="",0,IF(ISNA(MATCH(W8541,W$256:W8540,0)),1,0))</f>
        <v/>
      </c>
      <c r="AA8541">
        <f>IF(Z8541&gt;Z8540,Z8541,"")</f>
        <v/>
      </c>
      <c r="AB8541">
        <f>AB8540+IF(X8541="",0,IF(ISNA(MATCH(X8541,X$256:X8540,0)),1,0))</f>
        <v/>
      </c>
      <c r="AC8541">
        <f>IF(AB8541&gt;AB8540,AB8541,"")</f>
        <v/>
      </c>
    </row>
    <row r="8542">
      <c r="W8542" s="7" t="n"/>
      <c r="X8542" s="7" t="n"/>
      <c r="Z8542">
        <f>Z8541+IF(W8542="",0,IF(ISNA(MATCH(W8542,W$256:W8541,0)),1,0))</f>
        <v/>
      </c>
      <c r="AA8542">
        <f>IF(Z8542&gt;Z8541,Z8542,"")</f>
        <v/>
      </c>
      <c r="AB8542">
        <f>AB8541+IF(X8542="",0,IF(ISNA(MATCH(X8542,X$256:X8541,0)),1,0))</f>
        <v/>
      </c>
      <c r="AC8542">
        <f>IF(AB8542&gt;AB8541,AB8542,"")</f>
        <v/>
      </c>
    </row>
    <row r="8543">
      <c r="W8543" s="7" t="n"/>
      <c r="X8543" s="7" t="n"/>
      <c r="Z8543">
        <f>Z8542+IF(W8543="",0,IF(ISNA(MATCH(W8543,W$256:W8542,0)),1,0))</f>
        <v/>
      </c>
      <c r="AA8543">
        <f>IF(Z8543&gt;Z8542,Z8543,"")</f>
        <v/>
      </c>
      <c r="AB8543">
        <f>AB8542+IF(X8543="",0,IF(ISNA(MATCH(X8543,X$256:X8542,0)),1,0))</f>
        <v/>
      </c>
      <c r="AC8543">
        <f>IF(AB8543&gt;AB8542,AB8543,"")</f>
        <v/>
      </c>
    </row>
    <row r="8544">
      <c r="W8544" s="7" t="n"/>
      <c r="X8544" s="7" t="n"/>
      <c r="Z8544">
        <f>Z8543+IF(W8544="",0,IF(ISNA(MATCH(W8544,W$256:W8543,0)),1,0))</f>
        <v/>
      </c>
      <c r="AA8544">
        <f>IF(Z8544&gt;Z8543,Z8544,"")</f>
        <v/>
      </c>
      <c r="AB8544">
        <f>AB8543+IF(X8544="",0,IF(ISNA(MATCH(X8544,X$256:X8543,0)),1,0))</f>
        <v/>
      </c>
      <c r="AC8544">
        <f>IF(AB8544&gt;AB8543,AB8544,"")</f>
        <v/>
      </c>
    </row>
    <row r="8545">
      <c r="W8545" s="7" t="n"/>
      <c r="X8545" s="7" t="n"/>
      <c r="Z8545">
        <f>Z8544+IF(W8545="",0,IF(ISNA(MATCH(W8545,W$256:W8544,0)),1,0))</f>
        <v/>
      </c>
      <c r="AA8545">
        <f>IF(Z8545&gt;Z8544,Z8545,"")</f>
        <v/>
      </c>
      <c r="AB8545">
        <f>AB8544+IF(X8545="",0,IF(ISNA(MATCH(X8545,X$256:X8544,0)),1,0))</f>
        <v/>
      </c>
      <c r="AC8545">
        <f>IF(AB8545&gt;AB8544,AB8545,"")</f>
        <v/>
      </c>
    </row>
    <row r="8546">
      <c r="W8546" s="7" t="n"/>
      <c r="X8546" s="7" t="n"/>
      <c r="Z8546">
        <f>Z8545+IF(W8546="",0,IF(ISNA(MATCH(W8546,W$256:W8545,0)),1,0))</f>
        <v/>
      </c>
      <c r="AA8546">
        <f>IF(Z8546&gt;Z8545,Z8546,"")</f>
        <v/>
      </c>
      <c r="AB8546">
        <f>AB8545+IF(X8546="",0,IF(ISNA(MATCH(X8546,X$256:X8545,0)),1,0))</f>
        <v/>
      </c>
      <c r="AC8546">
        <f>IF(AB8546&gt;AB8545,AB8546,"")</f>
        <v/>
      </c>
    </row>
    <row r="8547">
      <c r="W8547" s="7" t="n"/>
      <c r="X8547" s="7" t="n"/>
      <c r="Z8547">
        <f>Z8546+IF(W8547="",0,IF(ISNA(MATCH(W8547,W$256:W8546,0)),1,0))</f>
        <v/>
      </c>
      <c r="AA8547">
        <f>IF(Z8547&gt;Z8546,Z8547,"")</f>
        <v/>
      </c>
      <c r="AB8547">
        <f>AB8546+IF(X8547="",0,IF(ISNA(MATCH(X8547,X$256:X8546,0)),1,0))</f>
        <v/>
      </c>
      <c r="AC8547">
        <f>IF(AB8547&gt;AB8546,AB8547,"")</f>
        <v/>
      </c>
    </row>
    <row r="8548">
      <c r="W8548" s="7" t="n"/>
      <c r="X8548" s="7" t="n"/>
      <c r="Z8548">
        <f>Z8547+IF(W8548="",0,IF(ISNA(MATCH(W8548,W$256:W8547,0)),1,0))</f>
        <v/>
      </c>
      <c r="AA8548">
        <f>IF(Z8548&gt;Z8547,Z8548,"")</f>
        <v/>
      </c>
      <c r="AB8548">
        <f>AB8547+IF(X8548="",0,IF(ISNA(MATCH(X8548,X$256:X8547,0)),1,0))</f>
        <v/>
      </c>
      <c r="AC8548">
        <f>IF(AB8548&gt;AB8547,AB8548,"")</f>
        <v/>
      </c>
    </row>
    <row r="8549">
      <c r="W8549" s="7" t="n"/>
      <c r="X8549" s="7" t="n"/>
      <c r="Z8549">
        <f>Z8548+IF(W8549="",0,IF(ISNA(MATCH(W8549,W$256:W8548,0)),1,0))</f>
        <v/>
      </c>
      <c r="AA8549">
        <f>IF(Z8549&gt;Z8548,Z8549,"")</f>
        <v/>
      </c>
      <c r="AB8549">
        <f>AB8548+IF(X8549="",0,IF(ISNA(MATCH(X8549,X$256:X8548,0)),1,0))</f>
        <v/>
      </c>
      <c r="AC8549">
        <f>IF(AB8549&gt;AB8548,AB8549,"")</f>
        <v/>
      </c>
    </row>
    <row r="8550">
      <c r="W8550" s="7" t="n"/>
      <c r="X8550" s="7" t="n"/>
      <c r="Z8550">
        <f>Z8549+IF(W8550="",0,IF(ISNA(MATCH(W8550,W$256:W8549,0)),1,0))</f>
        <v/>
      </c>
      <c r="AA8550">
        <f>IF(Z8550&gt;Z8549,Z8550,"")</f>
        <v/>
      </c>
      <c r="AB8550">
        <f>AB8549+IF(X8550="",0,IF(ISNA(MATCH(X8550,X$256:X8549,0)),1,0))</f>
        <v/>
      </c>
      <c r="AC8550">
        <f>IF(AB8550&gt;AB8549,AB8550,"")</f>
        <v/>
      </c>
    </row>
    <row r="8551">
      <c r="W8551" s="7" t="n"/>
      <c r="X8551" s="7" t="n"/>
      <c r="Z8551">
        <f>Z8550+IF(W8551="",0,IF(ISNA(MATCH(W8551,W$256:W8550,0)),1,0))</f>
        <v/>
      </c>
      <c r="AA8551">
        <f>IF(Z8551&gt;Z8550,Z8551,"")</f>
        <v/>
      </c>
      <c r="AB8551">
        <f>AB8550+IF(X8551="",0,IF(ISNA(MATCH(X8551,X$256:X8550,0)),1,0))</f>
        <v/>
      </c>
      <c r="AC8551">
        <f>IF(AB8551&gt;AB8550,AB8551,"")</f>
        <v/>
      </c>
    </row>
    <row r="8552">
      <c r="W8552" s="7" t="n"/>
      <c r="X8552" s="7" t="n"/>
      <c r="Z8552">
        <f>Z8551+IF(W8552="",0,IF(ISNA(MATCH(W8552,W$256:W8551,0)),1,0))</f>
        <v/>
      </c>
      <c r="AA8552">
        <f>IF(Z8552&gt;Z8551,Z8552,"")</f>
        <v/>
      </c>
      <c r="AB8552">
        <f>AB8551+IF(X8552="",0,IF(ISNA(MATCH(X8552,X$256:X8551,0)),1,0))</f>
        <v/>
      </c>
      <c r="AC8552">
        <f>IF(AB8552&gt;AB8551,AB8552,"")</f>
        <v/>
      </c>
    </row>
    <row r="8553">
      <c r="W8553" s="7" t="n"/>
      <c r="X8553" s="7" t="n"/>
      <c r="Z8553">
        <f>Z8552+IF(W8553="",0,IF(ISNA(MATCH(W8553,W$256:W8552,0)),1,0))</f>
        <v/>
      </c>
      <c r="AA8553">
        <f>IF(Z8553&gt;Z8552,Z8553,"")</f>
        <v/>
      </c>
      <c r="AB8553">
        <f>AB8552+IF(X8553="",0,IF(ISNA(MATCH(X8553,X$256:X8552,0)),1,0))</f>
        <v/>
      </c>
      <c r="AC8553">
        <f>IF(AB8553&gt;AB8552,AB8553,"")</f>
        <v/>
      </c>
    </row>
    <row r="8554">
      <c r="W8554" s="7" t="n"/>
      <c r="X8554" s="7" t="n"/>
      <c r="Z8554">
        <f>Z8553+IF(W8554="",0,IF(ISNA(MATCH(W8554,W$256:W8553,0)),1,0))</f>
        <v/>
      </c>
      <c r="AA8554">
        <f>IF(Z8554&gt;Z8553,Z8554,"")</f>
        <v/>
      </c>
      <c r="AB8554">
        <f>AB8553+IF(X8554="",0,IF(ISNA(MATCH(X8554,X$256:X8553,0)),1,0))</f>
        <v/>
      </c>
      <c r="AC8554">
        <f>IF(AB8554&gt;AB8553,AB8554,"")</f>
        <v/>
      </c>
    </row>
    <row r="8555">
      <c r="W8555" s="7" t="n"/>
      <c r="X8555" s="7" t="n"/>
      <c r="Z8555">
        <f>Z8554+IF(W8555="",0,IF(ISNA(MATCH(W8555,W$256:W8554,0)),1,0))</f>
        <v/>
      </c>
      <c r="AA8555">
        <f>IF(Z8555&gt;Z8554,Z8555,"")</f>
        <v/>
      </c>
      <c r="AB8555">
        <f>AB8554+IF(X8555="",0,IF(ISNA(MATCH(X8555,X$256:X8554,0)),1,0))</f>
        <v/>
      </c>
      <c r="AC8555">
        <f>IF(AB8555&gt;AB8554,AB8555,"")</f>
        <v/>
      </c>
    </row>
    <row r="8556">
      <c r="W8556" s="7" t="n"/>
      <c r="X8556" s="7" t="n"/>
      <c r="Z8556">
        <f>Z8555+IF(W8556="",0,IF(ISNA(MATCH(W8556,W$256:W8555,0)),1,0))</f>
        <v/>
      </c>
      <c r="AA8556">
        <f>IF(Z8556&gt;Z8555,Z8556,"")</f>
        <v/>
      </c>
      <c r="AB8556">
        <f>AB8555+IF(X8556="",0,IF(ISNA(MATCH(X8556,X$256:X8555,0)),1,0))</f>
        <v/>
      </c>
      <c r="AC8556">
        <f>IF(AB8556&gt;AB8555,AB8556,"")</f>
        <v/>
      </c>
    </row>
    <row r="8557">
      <c r="W8557" s="7" t="n"/>
      <c r="X8557" s="7" t="n"/>
      <c r="Z8557">
        <f>Z8556+IF(W8557="",0,IF(ISNA(MATCH(W8557,W$256:W8556,0)),1,0))</f>
        <v/>
      </c>
      <c r="AA8557">
        <f>IF(Z8557&gt;Z8556,Z8557,"")</f>
        <v/>
      </c>
      <c r="AB8557">
        <f>AB8556+IF(X8557="",0,IF(ISNA(MATCH(X8557,X$256:X8556,0)),1,0))</f>
        <v/>
      </c>
      <c r="AC8557">
        <f>IF(AB8557&gt;AB8556,AB8557,"")</f>
        <v/>
      </c>
    </row>
    <row r="8558">
      <c r="W8558" s="7" t="n"/>
      <c r="X8558" s="7" t="n"/>
      <c r="Z8558">
        <f>Z8557+IF(W8558="",0,IF(ISNA(MATCH(W8558,W$256:W8557,0)),1,0))</f>
        <v/>
      </c>
      <c r="AA8558">
        <f>IF(Z8558&gt;Z8557,Z8558,"")</f>
        <v/>
      </c>
      <c r="AB8558">
        <f>AB8557+IF(X8558="",0,IF(ISNA(MATCH(X8558,X$256:X8557,0)),1,0))</f>
        <v/>
      </c>
      <c r="AC8558">
        <f>IF(AB8558&gt;AB8557,AB8558,"")</f>
        <v/>
      </c>
    </row>
    <row r="8559">
      <c r="W8559" s="7" t="n"/>
      <c r="X8559" s="7" t="n"/>
      <c r="Z8559">
        <f>Z8558+IF(W8559="",0,IF(ISNA(MATCH(W8559,W$256:W8558,0)),1,0))</f>
        <v/>
      </c>
      <c r="AA8559">
        <f>IF(Z8559&gt;Z8558,Z8559,"")</f>
        <v/>
      </c>
      <c r="AB8559">
        <f>AB8558+IF(X8559="",0,IF(ISNA(MATCH(X8559,X$256:X8558,0)),1,0))</f>
        <v/>
      </c>
      <c r="AC8559">
        <f>IF(AB8559&gt;AB8558,AB8559,"")</f>
        <v/>
      </c>
    </row>
    <row r="8560">
      <c r="W8560" s="7" t="n"/>
      <c r="X8560" s="7" t="n"/>
      <c r="Z8560">
        <f>Z8559+IF(W8560="",0,IF(ISNA(MATCH(W8560,W$256:W8559,0)),1,0))</f>
        <v/>
      </c>
      <c r="AA8560">
        <f>IF(Z8560&gt;Z8559,Z8560,"")</f>
        <v/>
      </c>
      <c r="AB8560">
        <f>AB8559+IF(X8560="",0,IF(ISNA(MATCH(X8560,X$256:X8559,0)),1,0))</f>
        <v/>
      </c>
      <c r="AC8560">
        <f>IF(AB8560&gt;AB8559,AB8560,"")</f>
        <v/>
      </c>
    </row>
    <row r="8561">
      <c r="W8561" s="7" t="n"/>
      <c r="X8561" s="7" t="n"/>
      <c r="Z8561">
        <f>Z8560+IF(W8561="",0,IF(ISNA(MATCH(W8561,W$256:W8560,0)),1,0))</f>
        <v/>
      </c>
      <c r="AA8561">
        <f>IF(Z8561&gt;Z8560,Z8561,"")</f>
        <v/>
      </c>
      <c r="AB8561">
        <f>AB8560+IF(X8561="",0,IF(ISNA(MATCH(X8561,X$256:X8560,0)),1,0))</f>
        <v/>
      </c>
      <c r="AC8561">
        <f>IF(AB8561&gt;AB8560,AB8561,"")</f>
        <v/>
      </c>
    </row>
    <row r="8562">
      <c r="W8562" s="7" t="n"/>
      <c r="X8562" s="7" t="n"/>
      <c r="Z8562">
        <f>Z8561+IF(W8562="",0,IF(ISNA(MATCH(W8562,W$256:W8561,0)),1,0))</f>
        <v/>
      </c>
      <c r="AA8562">
        <f>IF(Z8562&gt;Z8561,Z8562,"")</f>
        <v/>
      </c>
      <c r="AB8562">
        <f>AB8561+IF(X8562="",0,IF(ISNA(MATCH(X8562,X$256:X8561,0)),1,0))</f>
        <v/>
      </c>
      <c r="AC8562">
        <f>IF(AB8562&gt;AB8561,AB8562,"")</f>
        <v/>
      </c>
    </row>
    <row r="8563">
      <c r="W8563" s="7" t="n"/>
      <c r="X8563" s="7" t="n"/>
      <c r="Z8563">
        <f>Z8562+IF(W8563="",0,IF(ISNA(MATCH(W8563,W$256:W8562,0)),1,0))</f>
        <v/>
      </c>
      <c r="AA8563">
        <f>IF(Z8563&gt;Z8562,Z8563,"")</f>
        <v/>
      </c>
      <c r="AB8563">
        <f>AB8562+IF(X8563="",0,IF(ISNA(MATCH(X8563,X$256:X8562,0)),1,0))</f>
        <v/>
      </c>
      <c r="AC8563">
        <f>IF(AB8563&gt;AB8562,AB8563,"")</f>
        <v/>
      </c>
    </row>
    <row r="8564">
      <c r="W8564" s="7" t="n"/>
      <c r="X8564" s="7" t="n"/>
      <c r="Z8564">
        <f>Z8563+IF(W8564="",0,IF(ISNA(MATCH(W8564,W$256:W8563,0)),1,0))</f>
        <v/>
      </c>
      <c r="AA8564">
        <f>IF(Z8564&gt;Z8563,Z8564,"")</f>
        <v/>
      </c>
      <c r="AB8564">
        <f>AB8563+IF(X8564="",0,IF(ISNA(MATCH(X8564,X$256:X8563,0)),1,0))</f>
        <v/>
      </c>
      <c r="AC8564">
        <f>IF(AB8564&gt;AB8563,AB8564,"")</f>
        <v/>
      </c>
    </row>
    <row r="8565">
      <c r="W8565" s="7" t="n"/>
      <c r="X8565" s="7" t="n"/>
      <c r="Z8565">
        <f>Z8564+IF(W8565="",0,IF(ISNA(MATCH(W8565,W$256:W8564,0)),1,0))</f>
        <v/>
      </c>
      <c r="AA8565">
        <f>IF(Z8565&gt;Z8564,Z8565,"")</f>
        <v/>
      </c>
      <c r="AB8565">
        <f>AB8564+IF(X8565="",0,IF(ISNA(MATCH(X8565,X$256:X8564,0)),1,0))</f>
        <v/>
      </c>
      <c r="AC8565">
        <f>IF(AB8565&gt;AB8564,AB8565,"")</f>
        <v/>
      </c>
    </row>
    <row r="8566">
      <c r="W8566" s="7" t="n"/>
      <c r="X8566" s="7" t="n"/>
      <c r="Z8566">
        <f>Z8565+IF(W8566="",0,IF(ISNA(MATCH(W8566,W$256:W8565,0)),1,0))</f>
        <v/>
      </c>
      <c r="AA8566">
        <f>IF(Z8566&gt;Z8565,Z8566,"")</f>
        <v/>
      </c>
      <c r="AB8566">
        <f>AB8565+IF(X8566="",0,IF(ISNA(MATCH(X8566,X$256:X8565,0)),1,0))</f>
        <v/>
      </c>
      <c r="AC8566">
        <f>IF(AB8566&gt;AB8565,AB8566,"")</f>
        <v/>
      </c>
    </row>
    <row r="8567">
      <c r="W8567" s="7" t="n"/>
      <c r="X8567" s="7" t="n"/>
      <c r="Z8567">
        <f>Z8566+IF(W8567="",0,IF(ISNA(MATCH(W8567,W$256:W8566,0)),1,0))</f>
        <v/>
      </c>
      <c r="AA8567">
        <f>IF(Z8567&gt;Z8566,Z8567,"")</f>
        <v/>
      </c>
      <c r="AB8567">
        <f>AB8566+IF(X8567="",0,IF(ISNA(MATCH(X8567,X$256:X8566,0)),1,0))</f>
        <v/>
      </c>
      <c r="AC8567">
        <f>IF(AB8567&gt;AB8566,AB8567,"")</f>
        <v/>
      </c>
    </row>
    <row r="8568">
      <c r="W8568" s="7" t="n"/>
      <c r="X8568" s="7" t="n"/>
      <c r="Z8568">
        <f>Z8567+IF(W8568="",0,IF(ISNA(MATCH(W8568,W$256:W8567,0)),1,0))</f>
        <v/>
      </c>
      <c r="AA8568">
        <f>IF(Z8568&gt;Z8567,Z8568,"")</f>
        <v/>
      </c>
      <c r="AB8568">
        <f>AB8567+IF(X8568="",0,IF(ISNA(MATCH(X8568,X$256:X8567,0)),1,0))</f>
        <v/>
      </c>
      <c r="AC8568">
        <f>IF(AB8568&gt;AB8567,AB8568,"")</f>
        <v/>
      </c>
    </row>
    <row r="8569">
      <c r="W8569" s="7" t="n"/>
      <c r="X8569" s="7" t="n"/>
      <c r="Z8569">
        <f>Z8568+IF(W8569="",0,IF(ISNA(MATCH(W8569,W$256:W8568,0)),1,0))</f>
        <v/>
      </c>
      <c r="AA8569">
        <f>IF(Z8569&gt;Z8568,Z8569,"")</f>
        <v/>
      </c>
      <c r="AB8569">
        <f>AB8568+IF(X8569="",0,IF(ISNA(MATCH(X8569,X$256:X8568,0)),1,0))</f>
        <v/>
      </c>
      <c r="AC8569">
        <f>IF(AB8569&gt;AB8568,AB8569,"")</f>
        <v/>
      </c>
    </row>
    <row r="8570">
      <c r="W8570" s="7" t="n"/>
      <c r="X8570" s="7" t="n"/>
      <c r="Z8570">
        <f>Z8569+IF(W8570="",0,IF(ISNA(MATCH(W8570,W$256:W8569,0)),1,0))</f>
        <v/>
      </c>
      <c r="AA8570">
        <f>IF(Z8570&gt;Z8569,Z8570,"")</f>
        <v/>
      </c>
      <c r="AB8570">
        <f>AB8569+IF(X8570="",0,IF(ISNA(MATCH(X8570,X$256:X8569,0)),1,0))</f>
        <v/>
      </c>
      <c r="AC8570">
        <f>IF(AB8570&gt;AB8569,AB8570,"")</f>
        <v/>
      </c>
    </row>
    <row r="8571">
      <c r="W8571" s="7" t="n"/>
      <c r="X8571" s="7" t="n"/>
      <c r="Z8571">
        <f>Z8570+IF(W8571="",0,IF(ISNA(MATCH(W8571,W$256:W8570,0)),1,0))</f>
        <v/>
      </c>
      <c r="AA8571">
        <f>IF(Z8571&gt;Z8570,Z8571,"")</f>
        <v/>
      </c>
      <c r="AB8571">
        <f>AB8570+IF(X8571="",0,IF(ISNA(MATCH(X8571,X$256:X8570,0)),1,0))</f>
        <v/>
      </c>
      <c r="AC8571">
        <f>IF(AB8571&gt;AB8570,AB8571,"")</f>
        <v/>
      </c>
    </row>
    <row r="8572">
      <c r="W8572" s="7" t="n"/>
      <c r="X8572" s="7" t="n"/>
      <c r="Z8572">
        <f>Z8571+IF(W8572="",0,IF(ISNA(MATCH(W8572,W$256:W8571,0)),1,0))</f>
        <v/>
      </c>
      <c r="AA8572">
        <f>IF(Z8572&gt;Z8571,Z8572,"")</f>
        <v/>
      </c>
      <c r="AB8572">
        <f>AB8571+IF(X8572="",0,IF(ISNA(MATCH(X8572,X$256:X8571,0)),1,0))</f>
        <v/>
      </c>
      <c r="AC8572">
        <f>IF(AB8572&gt;AB8571,AB8572,"")</f>
        <v/>
      </c>
    </row>
    <row r="8573">
      <c r="W8573" s="7" t="n"/>
      <c r="X8573" s="7" t="n"/>
      <c r="Z8573">
        <f>Z8572+IF(W8573="",0,IF(ISNA(MATCH(W8573,W$256:W8572,0)),1,0))</f>
        <v/>
      </c>
      <c r="AA8573">
        <f>IF(Z8573&gt;Z8572,Z8573,"")</f>
        <v/>
      </c>
      <c r="AB8573">
        <f>AB8572+IF(X8573="",0,IF(ISNA(MATCH(X8573,X$256:X8572,0)),1,0))</f>
        <v/>
      </c>
      <c r="AC8573">
        <f>IF(AB8573&gt;AB8572,AB8573,"")</f>
        <v/>
      </c>
    </row>
    <row r="8574">
      <c r="W8574" s="7" t="n"/>
      <c r="X8574" s="7" t="n"/>
      <c r="Z8574">
        <f>Z8573+IF(W8574="",0,IF(ISNA(MATCH(W8574,W$256:W8573,0)),1,0))</f>
        <v/>
      </c>
      <c r="AA8574">
        <f>IF(Z8574&gt;Z8573,Z8574,"")</f>
        <v/>
      </c>
      <c r="AB8574">
        <f>AB8573+IF(X8574="",0,IF(ISNA(MATCH(X8574,X$256:X8573,0)),1,0))</f>
        <v/>
      </c>
      <c r="AC8574">
        <f>IF(AB8574&gt;AB8573,AB8574,"")</f>
        <v/>
      </c>
    </row>
    <row r="8575">
      <c r="W8575" s="7" t="n"/>
      <c r="X8575" s="7" t="n"/>
      <c r="Z8575">
        <f>Z8574+IF(W8575="",0,IF(ISNA(MATCH(W8575,W$256:W8574,0)),1,0))</f>
        <v/>
      </c>
      <c r="AA8575">
        <f>IF(Z8575&gt;Z8574,Z8575,"")</f>
        <v/>
      </c>
      <c r="AB8575">
        <f>AB8574+IF(X8575="",0,IF(ISNA(MATCH(X8575,X$256:X8574,0)),1,0))</f>
        <v/>
      </c>
      <c r="AC8575">
        <f>IF(AB8575&gt;AB8574,AB8575,"")</f>
        <v/>
      </c>
    </row>
    <row r="8576">
      <c r="W8576" s="7" t="n"/>
      <c r="X8576" s="7" t="n"/>
      <c r="Z8576">
        <f>Z8575+IF(W8576="",0,IF(ISNA(MATCH(W8576,W$256:W8575,0)),1,0))</f>
        <v/>
      </c>
      <c r="AA8576">
        <f>IF(Z8576&gt;Z8575,Z8576,"")</f>
        <v/>
      </c>
      <c r="AB8576">
        <f>AB8575+IF(X8576="",0,IF(ISNA(MATCH(X8576,X$256:X8575,0)),1,0))</f>
        <v/>
      </c>
      <c r="AC8576">
        <f>IF(AB8576&gt;AB8575,AB8576,"")</f>
        <v/>
      </c>
    </row>
    <row r="8577">
      <c r="W8577" s="7" t="n"/>
      <c r="X8577" s="7" t="n"/>
      <c r="Z8577">
        <f>Z8576+IF(W8577="",0,IF(ISNA(MATCH(W8577,W$256:W8576,0)),1,0))</f>
        <v/>
      </c>
      <c r="AA8577">
        <f>IF(Z8577&gt;Z8576,Z8577,"")</f>
        <v/>
      </c>
      <c r="AB8577">
        <f>AB8576+IF(X8577="",0,IF(ISNA(MATCH(X8577,X$256:X8576,0)),1,0))</f>
        <v/>
      </c>
      <c r="AC8577">
        <f>IF(AB8577&gt;AB8576,AB8577,"")</f>
        <v/>
      </c>
    </row>
    <row r="8578">
      <c r="W8578" s="7" t="n"/>
      <c r="X8578" s="7" t="n"/>
      <c r="Z8578">
        <f>Z8577+IF(W8578="",0,IF(ISNA(MATCH(W8578,W$256:W8577,0)),1,0))</f>
        <v/>
      </c>
      <c r="AA8578">
        <f>IF(Z8578&gt;Z8577,Z8578,"")</f>
        <v/>
      </c>
      <c r="AB8578">
        <f>AB8577+IF(X8578="",0,IF(ISNA(MATCH(X8578,X$256:X8577,0)),1,0))</f>
        <v/>
      </c>
      <c r="AC8578">
        <f>IF(AB8578&gt;AB8577,AB8578,"")</f>
        <v/>
      </c>
    </row>
    <row r="8579">
      <c r="W8579" s="7" t="n"/>
      <c r="X8579" s="7" t="n"/>
      <c r="Z8579">
        <f>Z8578+IF(W8579="",0,IF(ISNA(MATCH(W8579,W$256:W8578,0)),1,0))</f>
        <v/>
      </c>
      <c r="AA8579">
        <f>IF(Z8579&gt;Z8578,Z8579,"")</f>
        <v/>
      </c>
      <c r="AB8579">
        <f>AB8578+IF(X8579="",0,IF(ISNA(MATCH(X8579,X$256:X8578,0)),1,0))</f>
        <v/>
      </c>
      <c r="AC8579">
        <f>IF(AB8579&gt;AB8578,AB8579,"")</f>
        <v/>
      </c>
    </row>
    <row r="8580">
      <c r="W8580" s="7" t="n"/>
      <c r="X8580" s="7" t="n"/>
      <c r="Z8580">
        <f>Z8579+IF(W8580="",0,IF(ISNA(MATCH(W8580,W$256:W8579,0)),1,0))</f>
        <v/>
      </c>
      <c r="AA8580">
        <f>IF(Z8580&gt;Z8579,Z8580,"")</f>
        <v/>
      </c>
      <c r="AB8580">
        <f>AB8579+IF(X8580="",0,IF(ISNA(MATCH(X8580,X$256:X8579,0)),1,0))</f>
        <v/>
      </c>
      <c r="AC8580">
        <f>IF(AB8580&gt;AB8579,AB8580,"")</f>
        <v/>
      </c>
    </row>
    <row r="8581">
      <c r="W8581" s="7" t="n"/>
      <c r="X8581" s="7" t="n"/>
      <c r="Z8581">
        <f>Z8580+IF(W8581="",0,IF(ISNA(MATCH(W8581,W$256:W8580,0)),1,0))</f>
        <v/>
      </c>
      <c r="AA8581">
        <f>IF(Z8581&gt;Z8580,Z8581,"")</f>
        <v/>
      </c>
      <c r="AB8581">
        <f>AB8580+IF(X8581="",0,IF(ISNA(MATCH(X8581,X$256:X8580,0)),1,0))</f>
        <v/>
      </c>
      <c r="AC8581">
        <f>IF(AB8581&gt;AB8580,AB8581,"")</f>
        <v/>
      </c>
    </row>
    <row r="8582">
      <c r="W8582" s="7" t="n"/>
      <c r="X8582" s="7" t="n"/>
      <c r="Z8582">
        <f>Z8581+IF(W8582="",0,IF(ISNA(MATCH(W8582,W$256:W8581,0)),1,0))</f>
        <v/>
      </c>
      <c r="AA8582">
        <f>IF(Z8582&gt;Z8581,Z8582,"")</f>
        <v/>
      </c>
      <c r="AB8582">
        <f>AB8581+IF(X8582="",0,IF(ISNA(MATCH(X8582,X$256:X8581,0)),1,0))</f>
        <v/>
      </c>
      <c r="AC8582">
        <f>IF(AB8582&gt;AB8581,AB8582,"")</f>
        <v/>
      </c>
    </row>
    <row r="8583">
      <c r="W8583" s="7" t="n"/>
      <c r="X8583" s="7" t="n"/>
      <c r="Z8583">
        <f>Z8582+IF(W8583="",0,IF(ISNA(MATCH(W8583,W$256:W8582,0)),1,0))</f>
        <v/>
      </c>
      <c r="AA8583">
        <f>IF(Z8583&gt;Z8582,Z8583,"")</f>
        <v/>
      </c>
      <c r="AB8583">
        <f>AB8582+IF(X8583="",0,IF(ISNA(MATCH(X8583,X$256:X8582,0)),1,0))</f>
        <v/>
      </c>
      <c r="AC8583">
        <f>IF(AB8583&gt;AB8582,AB8583,"")</f>
        <v/>
      </c>
    </row>
    <row r="8584">
      <c r="W8584" s="7" t="n"/>
      <c r="X8584" s="7" t="n"/>
      <c r="Z8584">
        <f>Z8583+IF(W8584="",0,IF(ISNA(MATCH(W8584,W$256:W8583,0)),1,0))</f>
        <v/>
      </c>
      <c r="AA8584">
        <f>IF(Z8584&gt;Z8583,Z8584,"")</f>
        <v/>
      </c>
      <c r="AB8584">
        <f>AB8583+IF(X8584="",0,IF(ISNA(MATCH(X8584,X$256:X8583,0)),1,0))</f>
        <v/>
      </c>
      <c r="AC8584">
        <f>IF(AB8584&gt;AB8583,AB8584,"")</f>
        <v/>
      </c>
    </row>
    <row r="8585">
      <c r="W8585" s="7" t="n"/>
      <c r="X8585" s="7" t="n"/>
      <c r="Z8585">
        <f>Z8584+IF(W8585="",0,IF(ISNA(MATCH(W8585,W$256:W8584,0)),1,0))</f>
        <v/>
      </c>
      <c r="AA8585">
        <f>IF(Z8585&gt;Z8584,Z8585,"")</f>
        <v/>
      </c>
      <c r="AB8585">
        <f>AB8584+IF(X8585="",0,IF(ISNA(MATCH(X8585,X$256:X8584,0)),1,0))</f>
        <v/>
      </c>
      <c r="AC8585">
        <f>IF(AB8585&gt;AB8584,AB8585,"")</f>
        <v/>
      </c>
    </row>
    <row r="8586">
      <c r="W8586" s="7" t="n"/>
      <c r="X8586" s="7" t="n"/>
      <c r="Z8586">
        <f>Z8585+IF(W8586="",0,IF(ISNA(MATCH(W8586,W$256:W8585,0)),1,0))</f>
        <v/>
      </c>
      <c r="AA8586">
        <f>IF(Z8586&gt;Z8585,Z8586,"")</f>
        <v/>
      </c>
      <c r="AB8586">
        <f>AB8585+IF(X8586="",0,IF(ISNA(MATCH(X8586,X$256:X8585,0)),1,0))</f>
        <v/>
      </c>
      <c r="AC8586">
        <f>IF(AB8586&gt;AB8585,AB8586,"")</f>
        <v/>
      </c>
    </row>
    <row r="8587">
      <c r="W8587" s="7" t="n"/>
      <c r="X8587" s="7" t="n"/>
      <c r="Z8587">
        <f>Z8586+IF(W8587="",0,IF(ISNA(MATCH(W8587,W$256:W8586,0)),1,0))</f>
        <v/>
      </c>
      <c r="AA8587">
        <f>IF(Z8587&gt;Z8586,Z8587,"")</f>
        <v/>
      </c>
      <c r="AB8587">
        <f>AB8586+IF(X8587="",0,IF(ISNA(MATCH(X8587,X$256:X8586,0)),1,0))</f>
        <v/>
      </c>
      <c r="AC8587">
        <f>IF(AB8587&gt;AB8586,AB8587,"")</f>
        <v/>
      </c>
    </row>
    <row r="8588">
      <c r="W8588" s="7" t="n"/>
      <c r="X8588" s="7" t="n"/>
      <c r="Z8588">
        <f>Z8587+IF(W8588="",0,IF(ISNA(MATCH(W8588,W$256:W8587,0)),1,0))</f>
        <v/>
      </c>
      <c r="AA8588">
        <f>IF(Z8588&gt;Z8587,Z8588,"")</f>
        <v/>
      </c>
      <c r="AB8588">
        <f>AB8587+IF(X8588="",0,IF(ISNA(MATCH(X8588,X$256:X8587,0)),1,0))</f>
        <v/>
      </c>
      <c r="AC8588">
        <f>IF(AB8588&gt;AB8587,AB8588,"")</f>
        <v/>
      </c>
    </row>
    <row r="8589">
      <c r="W8589" s="7" t="n"/>
      <c r="X8589" s="7" t="n"/>
      <c r="Z8589">
        <f>Z8588+IF(W8589="",0,IF(ISNA(MATCH(W8589,W$256:W8588,0)),1,0))</f>
        <v/>
      </c>
      <c r="AA8589">
        <f>IF(Z8589&gt;Z8588,Z8589,"")</f>
        <v/>
      </c>
      <c r="AB8589">
        <f>AB8588+IF(X8589="",0,IF(ISNA(MATCH(X8589,X$256:X8588,0)),1,0))</f>
        <v/>
      </c>
      <c r="AC8589">
        <f>IF(AB8589&gt;AB8588,AB8589,"")</f>
        <v/>
      </c>
    </row>
    <row r="8590">
      <c r="W8590" s="7" t="n"/>
      <c r="X8590" s="7" t="n"/>
      <c r="Z8590">
        <f>Z8589+IF(W8590="",0,IF(ISNA(MATCH(W8590,W$256:W8589,0)),1,0))</f>
        <v/>
      </c>
      <c r="AA8590">
        <f>IF(Z8590&gt;Z8589,Z8590,"")</f>
        <v/>
      </c>
      <c r="AB8590">
        <f>AB8589+IF(X8590="",0,IF(ISNA(MATCH(X8590,X$256:X8589,0)),1,0))</f>
        <v/>
      </c>
      <c r="AC8590">
        <f>IF(AB8590&gt;AB8589,AB8590,"")</f>
        <v/>
      </c>
    </row>
    <row r="8591">
      <c r="W8591" s="7" t="n"/>
      <c r="X8591" s="7" t="n"/>
      <c r="Z8591">
        <f>Z8590+IF(W8591="",0,IF(ISNA(MATCH(W8591,W$256:W8590,0)),1,0))</f>
        <v/>
      </c>
      <c r="AA8591">
        <f>IF(Z8591&gt;Z8590,Z8591,"")</f>
        <v/>
      </c>
      <c r="AB8591">
        <f>AB8590+IF(X8591="",0,IF(ISNA(MATCH(X8591,X$256:X8590,0)),1,0))</f>
        <v/>
      </c>
      <c r="AC8591">
        <f>IF(AB8591&gt;AB8590,AB8591,"")</f>
        <v/>
      </c>
    </row>
    <row r="8592">
      <c r="W8592" s="7" t="n"/>
      <c r="X8592" s="7" t="n"/>
      <c r="Z8592">
        <f>Z8591+IF(W8592="",0,IF(ISNA(MATCH(W8592,W$256:W8591,0)),1,0))</f>
        <v/>
      </c>
      <c r="AA8592">
        <f>IF(Z8592&gt;Z8591,Z8592,"")</f>
        <v/>
      </c>
      <c r="AB8592">
        <f>AB8591+IF(X8592="",0,IF(ISNA(MATCH(X8592,X$256:X8591,0)),1,0))</f>
        <v/>
      </c>
      <c r="AC8592">
        <f>IF(AB8592&gt;AB8591,AB8592,"")</f>
        <v/>
      </c>
    </row>
    <row r="8593">
      <c r="W8593" s="7" t="n"/>
      <c r="X8593" s="7" t="n"/>
      <c r="Z8593">
        <f>Z8592+IF(W8593="",0,IF(ISNA(MATCH(W8593,W$256:W8592,0)),1,0))</f>
        <v/>
      </c>
      <c r="AA8593">
        <f>IF(Z8593&gt;Z8592,Z8593,"")</f>
        <v/>
      </c>
      <c r="AB8593">
        <f>AB8592+IF(X8593="",0,IF(ISNA(MATCH(X8593,X$256:X8592,0)),1,0))</f>
        <v/>
      </c>
      <c r="AC8593">
        <f>IF(AB8593&gt;AB8592,AB8593,"")</f>
        <v/>
      </c>
    </row>
    <row r="8594">
      <c r="W8594" s="7" t="n"/>
      <c r="X8594" s="7" t="n"/>
      <c r="Z8594">
        <f>Z8593+IF(W8594="",0,IF(ISNA(MATCH(W8594,W$256:W8593,0)),1,0))</f>
        <v/>
      </c>
      <c r="AA8594">
        <f>IF(Z8594&gt;Z8593,Z8594,"")</f>
        <v/>
      </c>
      <c r="AB8594">
        <f>AB8593+IF(X8594="",0,IF(ISNA(MATCH(X8594,X$256:X8593,0)),1,0))</f>
        <v/>
      </c>
      <c r="AC8594">
        <f>IF(AB8594&gt;AB8593,AB8594,"")</f>
        <v/>
      </c>
    </row>
    <row r="8595">
      <c r="W8595" s="7" t="n"/>
      <c r="X8595" s="7" t="n"/>
      <c r="Z8595">
        <f>Z8594+IF(W8595="",0,IF(ISNA(MATCH(W8595,W$256:W8594,0)),1,0))</f>
        <v/>
      </c>
      <c r="AA8595">
        <f>IF(Z8595&gt;Z8594,Z8595,"")</f>
        <v/>
      </c>
      <c r="AB8595">
        <f>AB8594+IF(X8595="",0,IF(ISNA(MATCH(X8595,X$256:X8594,0)),1,0))</f>
        <v/>
      </c>
      <c r="AC8595">
        <f>IF(AB8595&gt;AB8594,AB8595,"")</f>
        <v/>
      </c>
    </row>
    <row r="8596">
      <c r="W8596" s="7" t="n"/>
      <c r="X8596" s="7" t="n"/>
      <c r="Z8596">
        <f>Z8595+IF(W8596="",0,IF(ISNA(MATCH(W8596,W$256:W8595,0)),1,0))</f>
        <v/>
      </c>
      <c r="AA8596">
        <f>IF(Z8596&gt;Z8595,Z8596,"")</f>
        <v/>
      </c>
      <c r="AB8596">
        <f>AB8595+IF(X8596="",0,IF(ISNA(MATCH(X8596,X$256:X8595,0)),1,0))</f>
        <v/>
      </c>
      <c r="AC8596">
        <f>IF(AB8596&gt;AB8595,AB8596,"")</f>
        <v/>
      </c>
    </row>
    <row r="8597">
      <c r="W8597" s="7" t="n"/>
      <c r="X8597" s="7" t="n"/>
      <c r="Z8597">
        <f>Z8596+IF(W8597="",0,IF(ISNA(MATCH(W8597,W$256:W8596,0)),1,0))</f>
        <v/>
      </c>
      <c r="AA8597">
        <f>IF(Z8597&gt;Z8596,Z8597,"")</f>
        <v/>
      </c>
      <c r="AB8597">
        <f>AB8596+IF(X8597="",0,IF(ISNA(MATCH(X8597,X$256:X8596,0)),1,0))</f>
        <v/>
      </c>
      <c r="AC8597">
        <f>IF(AB8597&gt;AB8596,AB8597,"")</f>
        <v/>
      </c>
    </row>
    <row r="8598">
      <c r="W8598" s="7" t="n"/>
      <c r="X8598" s="7" t="n"/>
      <c r="Z8598">
        <f>Z8597+IF(W8598="",0,IF(ISNA(MATCH(W8598,W$256:W8597,0)),1,0))</f>
        <v/>
      </c>
      <c r="AA8598">
        <f>IF(Z8598&gt;Z8597,Z8598,"")</f>
        <v/>
      </c>
      <c r="AB8598">
        <f>AB8597+IF(X8598="",0,IF(ISNA(MATCH(X8598,X$256:X8597,0)),1,0))</f>
        <v/>
      </c>
      <c r="AC8598">
        <f>IF(AB8598&gt;AB8597,AB8598,"")</f>
        <v/>
      </c>
    </row>
    <row r="8599">
      <c r="W8599" s="7" t="n"/>
      <c r="X8599" s="7" t="n"/>
      <c r="Z8599">
        <f>Z8598+IF(W8599="",0,IF(ISNA(MATCH(W8599,W$256:W8598,0)),1,0))</f>
        <v/>
      </c>
      <c r="AA8599">
        <f>IF(Z8599&gt;Z8598,Z8599,"")</f>
        <v/>
      </c>
      <c r="AB8599">
        <f>AB8598+IF(X8599="",0,IF(ISNA(MATCH(X8599,X$256:X8598,0)),1,0))</f>
        <v/>
      </c>
      <c r="AC8599">
        <f>IF(AB8599&gt;AB8598,AB8599,"")</f>
        <v/>
      </c>
    </row>
    <row r="8600">
      <c r="W8600" s="7" t="n"/>
      <c r="X8600" s="7" t="n"/>
      <c r="Z8600">
        <f>Z8599+IF(W8600="",0,IF(ISNA(MATCH(W8600,W$256:W8599,0)),1,0))</f>
        <v/>
      </c>
      <c r="AA8600">
        <f>IF(Z8600&gt;Z8599,Z8600,"")</f>
        <v/>
      </c>
      <c r="AB8600">
        <f>AB8599+IF(X8600="",0,IF(ISNA(MATCH(X8600,X$256:X8599,0)),1,0))</f>
        <v/>
      </c>
      <c r="AC8600">
        <f>IF(AB8600&gt;AB8599,AB8600,"")</f>
        <v/>
      </c>
    </row>
    <row r="8601">
      <c r="W8601" s="7" t="n"/>
      <c r="X8601" s="7" t="n"/>
      <c r="Z8601">
        <f>Z8600+IF(W8601="",0,IF(ISNA(MATCH(W8601,W$256:W8600,0)),1,0))</f>
        <v/>
      </c>
      <c r="AA8601">
        <f>IF(Z8601&gt;Z8600,Z8601,"")</f>
        <v/>
      </c>
      <c r="AB8601">
        <f>AB8600+IF(X8601="",0,IF(ISNA(MATCH(X8601,X$256:X8600,0)),1,0))</f>
        <v/>
      </c>
      <c r="AC8601">
        <f>IF(AB8601&gt;AB8600,AB8601,"")</f>
        <v/>
      </c>
    </row>
    <row r="8602">
      <c r="W8602" s="7" t="n"/>
      <c r="X8602" s="7" t="n"/>
      <c r="Z8602">
        <f>Z8601+IF(W8602="",0,IF(ISNA(MATCH(W8602,W$256:W8601,0)),1,0))</f>
        <v/>
      </c>
      <c r="AA8602">
        <f>IF(Z8602&gt;Z8601,Z8602,"")</f>
        <v/>
      </c>
      <c r="AB8602">
        <f>AB8601+IF(X8602="",0,IF(ISNA(MATCH(X8602,X$256:X8601,0)),1,0))</f>
        <v/>
      </c>
      <c r="AC8602">
        <f>IF(AB8602&gt;AB8601,AB8602,"")</f>
        <v/>
      </c>
    </row>
    <row r="8603">
      <c r="W8603" s="7" t="n"/>
      <c r="X8603" s="7" t="n"/>
      <c r="Z8603">
        <f>Z8602+IF(W8603="",0,IF(ISNA(MATCH(W8603,W$256:W8602,0)),1,0))</f>
        <v/>
      </c>
      <c r="AA8603">
        <f>IF(Z8603&gt;Z8602,Z8603,"")</f>
        <v/>
      </c>
      <c r="AB8603">
        <f>AB8602+IF(X8603="",0,IF(ISNA(MATCH(X8603,X$256:X8602,0)),1,0))</f>
        <v/>
      </c>
      <c r="AC8603">
        <f>IF(AB8603&gt;AB8602,AB8603,"")</f>
        <v/>
      </c>
    </row>
    <row r="8604">
      <c r="W8604" s="7" t="n"/>
      <c r="X8604" s="7" t="n"/>
      <c r="Z8604">
        <f>Z8603+IF(W8604="",0,IF(ISNA(MATCH(W8604,W$256:W8603,0)),1,0))</f>
        <v/>
      </c>
      <c r="AA8604">
        <f>IF(Z8604&gt;Z8603,Z8604,"")</f>
        <v/>
      </c>
      <c r="AB8604">
        <f>AB8603+IF(X8604="",0,IF(ISNA(MATCH(X8604,X$256:X8603,0)),1,0))</f>
        <v/>
      </c>
      <c r="AC8604">
        <f>IF(AB8604&gt;AB8603,AB8604,"")</f>
        <v/>
      </c>
    </row>
    <row r="8605">
      <c r="W8605" s="7" t="n"/>
      <c r="X8605" s="7" t="n"/>
      <c r="Z8605">
        <f>Z8604+IF(W8605="",0,IF(ISNA(MATCH(W8605,W$256:W8604,0)),1,0))</f>
        <v/>
      </c>
      <c r="AA8605">
        <f>IF(Z8605&gt;Z8604,Z8605,"")</f>
        <v/>
      </c>
      <c r="AB8605">
        <f>AB8604+IF(X8605="",0,IF(ISNA(MATCH(X8605,X$256:X8604,0)),1,0))</f>
        <v/>
      </c>
      <c r="AC8605">
        <f>IF(AB8605&gt;AB8604,AB8605,"")</f>
        <v/>
      </c>
    </row>
    <row r="8606">
      <c r="W8606" s="7" t="n"/>
      <c r="X8606" s="7" t="n"/>
      <c r="Z8606">
        <f>Z8605+IF(W8606="",0,IF(ISNA(MATCH(W8606,W$256:W8605,0)),1,0))</f>
        <v/>
      </c>
      <c r="AA8606">
        <f>IF(Z8606&gt;Z8605,Z8606,"")</f>
        <v/>
      </c>
      <c r="AB8606">
        <f>AB8605+IF(X8606="",0,IF(ISNA(MATCH(X8606,X$256:X8605,0)),1,0))</f>
        <v/>
      </c>
      <c r="AC8606">
        <f>IF(AB8606&gt;AB8605,AB8606,"")</f>
        <v/>
      </c>
    </row>
    <row r="8607">
      <c r="W8607" s="7" t="n"/>
      <c r="X8607" s="7" t="n"/>
      <c r="Z8607">
        <f>Z8606+IF(W8607="",0,IF(ISNA(MATCH(W8607,W$256:W8606,0)),1,0))</f>
        <v/>
      </c>
      <c r="AA8607">
        <f>IF(Z8607&gt;Z8606,Z8607,"")</f>
        <v/>
      </c>
      <c r="AB8607">
        <f>AB8606+IF(X8607="",0,IF(ISNA(MATCH(X8607,X$256:X8606,0)),1,0))</f>
        <v/>
      </c>
      <c r="AC8607">
        <f>IF(AB8607&gt;AB8606,AB8607,"")</f>
        <v/>
      </c>
    </row>
    <row r="8608">
      <c r="W8608" s="7" t="n"/>
      <c r="X8608" s="7" t="n"/>
      <c r="Z8608">
        <f>Z8607+IF(W8608="",0,IF(ISNA(MATCH(W8608,W$256:W8607,0)),1,0))</f>
        <v/>
      </c>
      <c r="AA8608">
        <f>IF(Z8608&gt;Z8607,Z8608,"")</f>
        <v/>
      </c>
      <c r="AB8608">
        <f>AB8607+IF(X8608="",0,IF(ISNA(MATCH(X8608,X$256:X8607,0)),1,0))</f>
        <v/>
      </c>
      <c r="AC8608">
        <f>IF(AB8608&gt;AB8607,AB8608,"")</f>
        <v/>
      </c>
    </row>
    <row r="8609">
      <c r="W8609" s="7" t="n"/>
      <c r="X8609" s="7" t="n"/>
      <c r="Z8609">
        <f>Z8608+IF(W8609="",0,IF(ISNA(MATCH(W8609,W$256:W8608,0)),1,0))</f>
        <v/>
      </c>
      <c r="AA8609">
        <f>IF(Z8609&gt;Z8608,Z8609,"")</f>
        <v/>
      </c>
      <c r="AB8609">
        <f>AB8608+IF(X8609="",0,IF(ISNA(MATCH(X8609,X$256:X8608,0)),1,0))</f>
        <v/>
      </c>
      <c r="AC8609">
        <f>IF(AB8609&gt;AB8608,AB8609,"")</f>
        <v/>
      </c>
    </row>
    <row r="8610">
      <c r="W8610" s="7" t="n"/>
      <c r="X8610" s="7" t="n"/>
      <c r="Z8610">
        <f>Z8609+IF(W8610="",0,IF(ISNA(MATCH(W8610,W$256:W8609,0)),1,0))</f>
        <v/>
      </c>
      <c r="AA8610">
        <f>IF(Z8610&gt;Z8609,Z8610,"")</f>
        <v/>
      </c>
      <c r="AB8610">
        <f>AB8609+IF(X8610="",0,IF(ISNA(MATCH(X8610,X$256:X8609,0)),1,0))</f>
        <v/>
      </c>
      <c r="AC8610">
        <f>IF(AB8610&gt;AB8609,AB8610,"")</f>
        <v/>
      </c>
    </row>
    <row r="8611">
      <c r="W8611" s="7" t="n"/>
      <c r="X8611" s="7" t="n"/>
      <c r="Z8611">
        <f>Z8610+IF(W8611="",0,IF(ISNA(MATCH(W8611,W$256:W8610,0)),1,0))</f>
        <v/>
      </c>
      <c r="AA8611">
        <f>IF(Z8611&gt;Z8610,Z8611,"")</f>
        <v/>
      </c>
      <c r="AB8611">
        <f>AB8610+IF(X8611="",0,IF(ISNA(MATCH(X8611,X$256:X8610,0)),1,0))</f>
        <v/>
      </c>
      <c r="AC8611">
        <f>IF(AB8611&gt;AB8610,AB8611,"")</f>
        <v/>
      </c>
    </row>
    <row r="8612">
      <c r="W8612" s="7" t="n"/>
      <c r="X8612" s="7" t="n"/>
      <c r="Z8612">
        <f>Z8611+IF(W8612="",0,IF(ISNA(MATCH(W8612,W$256:W8611,0)),1,0))</f>
        <v/>
      </c>
      <c r="AA8612">
        <f>IF(Z8612&gt;Z8611,Z8612,"")</f>
        <v/>
      </c>
      <c r="AB8612">
        <f>AB8611+IF(X8612="",0,IF(ISNA(MATCH(X8612,X$256:X8611,0)),1,0))</f>
        <v/>
      </c>
      <c r="AC8612">
        <f>IF(AB8612&gt;AB8611,AB8612,"")</f>
        <v/>
      </c>
    </row>
    <row r="8613">
      <c r="W8613" s="7" t="n"/>
      <c r="X8613" s="7" t="n"/>
      <c r="Z8613">
        <f>Z8612+IF(W8613="",0,IF(ISNA(MATCH(W8613,W$256:W8612,0)),1,0))</f>
        <v/>
      </c>
      <c r="AA8613">
        <f>IF(Z8613&gt;Z8612,Z8613,"")</f>
        <v/>
      </c>
      <c r="AB8613">
        <f>AB8612+IF(X8613="",0,IF(ISNA(MATCH(X8613,X$256:X8612,0)),1,0))</f>
        <v/>
      </c>
      <c r="AC8613">
        <f>IF(AB8613&gt;AB8612,AB8613,"")</f>
        <v/>
      </c>
    </row>
    <row r="8614">
      <c r="W8614" s="7" t="n"/>
      <c r="X8614" s="7" t="n"/>
      <c r="Z8614">
        <f>Z8613+IF(W8614="",0,IF(ISNA(MATCH(W8614,W$256:W8613,0)),1,0))</f>
        <v/>
      </c>
      <c r="AA8614">
        <f>IF(Z8614&gt;Z8613,Z8614,"")</f>
        <v/>
      </c>
      <c r="AB8614">
        <f>AB8613+IF(X8614="",0,IF(ISNA(MATCH(X8614,X$256:X8613,0)),1,0))</f>
        <v/>
      </c>
      <c r="AC8614">
        <f>IF(AB8614&gt;AB8613,AB8614,"")</f>
        <v/>
      </c>
    </row>
    <row r="8615">
      <c r="W8615" s="7" t="n"/>
      <c r="X8615" s="7" t="n"/>
      <c r="Z8615">
        <f>Z8614+IF(W8615="",0,IF(ISNA(MATCH(W8615,W$256:W8614,0)),1,0))</f>
        <v/>
      </c>
      <c r="AA8615">
        <f>IF(Z8615&gt;Z8614,Z8615,"")</f>
        <v/>
      </c>
      <c r="AB8615">
        <f>AB8614+IF(X8615="",0,IF(ISNA(MATCH(X8615,X$256:X8614,0)),1,0))</f>
        <v/>
      </c>
      <c r="AC8615">
        <f>IF(AB8615&gt;AB8614,AB8615,"")</f>
        <v/>
      </c>
    </row>
    <row r="8616">
      <c r="W8616" s="7" t="n"/>
      <c r="X8616" s="7" t="n"/>
      <c r="Z8616">
        <f>Z8615+IF(W8616="",0,IF(ISNA(MATCH(W8616,W$256:W8615,0)),1,0))</f>
        <v/>
      </c>
      <c r="AA8616">
        <f>IF(Z8616&gt;Z8615,Z8616,"")</f>
        <v/>
      </c>
      <c r="AB8616">
        <f>AB8615+IF(X8616="",0,IF(ISNA(MATCH(X8616,X$256:X8615,0)),1,0))</f>
        <v/>
      </c>
      <c r="AC8616">
        <f>IF(AB8616&gt;AB8615,AB8616,"")</f>
        <v/>
      </c>
    </row>
    <row r="8617">
      <c r="W8617" s="7" t="n"/>
      <c r="X8617" s="7" t="n"/>
      <c r="Z8617">
        <f>Z8616+IF(W8617="",0,IF(ISNA(MATCH(W8617,W$256:W8616,0)),1,0))</f>
        <v/>
      </c>
      <c r="AA8617">
        <f>IF(Z8617&gt;Z8616,Z8617,"")</f>
        <v/>
      </c>
      <c r="AB8617">
        <f>AB8616+IF(X8617="",0,IF(ISNA(MATCH(X8617,X$256:X8616,0)),1,0))</f>
        <v/>
      </c>
      <c r="AC8617">
        <f>IF(AB8617&gt;AB8616,AB8617,"")</f>
        <v/>
      </c>
    </row>
    <row r="8618">
      <c r="W8618" s="7" t="n"/>
      <c r="X8618" s="7" t="n"/>
      <c r="Z8618">
        <f>Z8617+IF(W8618="",0,IF(ISNA(MATCH(W8618,W$256:W8617,0)),1,0))</f>
        <v/>
      </c>
      <c r="AA8618">
        <f>IF(Z8618&gt;Z8617,Z8618,"")</f>
        <v/>
      </c>
      <c r="AB8618">
        <f>AB8617+IF(X8618="",0,IF(ISNA(MATCH(X8618,X$256:X8617,0)),1,0))</f>
        <v/>
      </c>
      <c r="AC8618">
        <f>IF(AB8618&gt;AB8617,AB8618,"")</f>
        <v/>
      </c>
    </row>
    <row r="8619">
      <c r="W8619" s="7" t="n"/>
      <c r="X8619" s="7" t="n"/>
      <c r="Z8619">
        <f>Z8618+IF(W8619="",0,IF(ISNA(MATCH(W8619,W$256:W8618,0)),1,0))</f>
        <v/>
      </c>
      <c r="AA8619">
        <f>IF(Z8619&gt;Z8618,Z8619,"")</f>
        <v/>
      </c>
      <c r="AB8619">
        <f>AB8618+IF(X8619="",0,IF(ISNA(MATCH(X8619,X$256:X8618,0)),1,0))</f>
        <v/>
      </c>
      <c r="AC8619">
        <f>IF(AB8619&gt;AB8618,AB8619,"")</f>
        <v/>
      </c>
    </row>
    <row r="8620">
      <c r="W8620" s="7" t="n"/>
      <c r="X8620" s="7" t="n"/>
      <c r="Z8620">
        <f>Z8619+IF(W8620="",0,IF(ISNA(MATCH(W8620,W$256:W8619,0)),1,0))</f>
        <v/>
      </c>
      <c r="AA8620">
        <f>IF(Z8620&gt;Z8619,Z8620,"")</f>
        <v/>
      </c>
      <c r="AB8620">
        <f>AB8619+IF(X8620="",0,IF(ISNA(MATCH(X8620,X$256:X8619,0)),1,0))</f>
        <v/>
      </c>
      <c r="AC8620">
        <f>IF(AB8620&gt;AB8619,AB8620,"")</f>
        <v/>
      </c>
    </row>
    <row r="8621">
      <c r="W8621" s="7" t="n"/>
      <c r="X8621" s="7" t="n"/>
      <c r="Z8621">
        <f>Z8620+IF(W8621="",0,IF(ISNA(MATCH(W8621,W$256:W8620,0)),1,0))</f>
        <v/>
      </c>
      <c r="AA8621">
        <f>IF(Z8621&gt;Z8620,Z8621,"")</f>
        <v/>
      </c>
      <c r="AB8621">
        <f>AB8620+IF(X8621="",0,IF(ISNA(MATCH(X8621,X$256:X8620,0)),1,0))</f>
        <v/>
      </c>
      <c r="AC8621">
        <f>IF(AB8621&gt;AB8620,AB8621,"")</f>
        <v/>
      </c>
    </row>
    <row r="8622">
      <c r="W8622" s="7" t="n"/>
      <c r="X8622" s="7" t="n"/>
      <c r="Z8622">
        <f>Z8621+IF(W8622="",0,IF(ISNA(MATCH(W8622,W$256:W8621,0)),1,0))</f>
        <v/>
      </c>
      <c r="AA8622">
        <f>IF(Z8622&gt;Z8621,Z8622,"")</f>
        <v/>
      </c>
      <c r="AB8622">
        <f>AB8621+IF(X8622="",0,IF(ISNA(MATCH(X8622,X$256:X8621,0)),1,0))</f>
        <v/>
      </c>
      <c r="AC8622">
        <f>IF(AB8622&gt;AB8621,AB8622,"")</f>
        <v/>
      </c>
    </row>
    <row r="8623">
      <c r="W8623" s="7" t="n"/>
      <c r="X8623" s="7" t="n"/>
      <c r="Z8623">
        <f>Z8622+IF(W8623="",0,IF(ISNA(MATCH(W8623,W$256:W8622,0)),1,0))</f>
        <v/>
      </c>
      <c r="AA8623">
        <f>IF(Z8623&gt;Z8622,Z8623,"")</f>
        <v/>
      </c>
      <c r="AB8623">
        <f>AB8622+IF(X8623="",0,IF(ISNA(MATCH(X8623,X$256:X8622,0)),1,0))</f>
        <v/>
      </c>
      <c r="AC8623">
        <f>IF(AB8623&gt;AB8622,AB8623,"")</f>
        <v/>
      </c>
    </row>
    <row r="8624">
      <c r="W8624" s="7" t="n"/>
      <c r="X8624" s="7" t="n"/>
      <c r="Z8624">
        <f>Z8623+IF(W8624="",0,IF(ISNA(MATCH(W8624,W$256:W8623,0)),1,0))</f>
        <v/>
      </c>
      <c r="AA8624">
        <f>IF(Z8624&gt;Z8623,Z8624,"")</f>
        <v/>
      </c>
      <c r="AB8624">
        <f>AB8623+IF(X8624="",0,IF(ISNA(MATCH(X8624,X$256:X8623,0)),1,0))</f>
        <v/>
      </c>
      <c r="AC8624">
        <f>IF(AB8624&gt;AB8623,AB8624,"")</f>
        <v/>
      </c>
    </row>
    <row r="8625">
      <c r="W8625" s="7" t="n"/>
      <c r="X8625" s="7" t="n"/>
      <c r="Z8625">
        <f>Z8624+IF(W8625="",0,IF(ISNA(MATCH(W8625,W$256:W8624,0)),1,0))</f>
        <v/>
      </c>
      <c r="AA8625">
        <f>IF(Z8625&gt;Z8624,Z8625,"")</f>
        <v/>
      </c>
      <c r="AB8625">
        <f>AB8624+IF(X8625="",0,IF(ISNA(MATCH(X8625,X$256:X8624,0)),1,0))</f>
        <v/>
      </c>
      <c r="AC8625">
        <f>IF(AB8625&gt;AB8624,AB8625,"")</f>
        <v/>
      </c>
    </row>
    <row r="8626">
      <c r="W8626" s="7" t="n"/>
      <c r="X8626" s="7" t="n"/>
      <c r="Z8626">
        <f>Z8625+IF(W8626="",0,IF(ISNA(MATCH(W8626,W$256:W8625,0)),1,0))</f>
        <v/>
      </c>
      <c r="AA8626">
        <f>IF(Z8626&gt;Z8625,Z8626,"")</f>
        <v/>
      </c>
      <c r="AB8626">
        <f>AB8625+IF(X8626="",0,IF(ISNA(MATCH(X8626,X$256:X8625,0)),1,0))</f>
        <v/>
      </c>
      <c r="AC8626">
        <f>IF(AB8626&gt;AB8625,AB8626,"")</f>
        <v/>
      </c>
    </row>
    <row r="8627">
      <c r="W8627" s="7" t="n"/>
      <c r="X8627" s="7" t="n"/>
      <c r="Z8627">
        <f>Z8626+IF(W8627="",0,IF(ISNA(MATCH(W8627,W$256:W8626,0)),1,0))</f>
        <v/>
      </c>
      <c r="AA8627">
        <f>IF(Z8627&gt;Z8626,Z8627,"")</f>
        <v/>
      </c>
      <c r="AB8627">
        <f>AB8626+IF(X8627="",0,IF(ISNA(MATCH(X8627,X$256:X8626,0)),1,0))</f>
        <v/>
      </c>
      <c r="AC8627">
        <f>IF(AB8627&gt;AB8626,AB8627,"")</f>
        <v/>
      </c>
    </row>
    <row r="8628">
      <c r="W8628" s="7" t="n"/>
      <c r="X8628" s="7" t="n"/>
      <c r="Z8628">
        <f>Z8627+IF(W8628="",0,IF(ISNA(MATCH(W8628,W$256:W8627,0)),1,0))</f>
        <v/>
      </c>
      <c r="AA8628">
        <f>IF(Z8628&gt;Z8627,Z8628,"")</f>
        <v/>
      </c>
      <c r="AB8628">
        <f>AB8627+IF(X8628="",0,IF(ISNA(MATCH(X8628,X$256:X8627,0)),1,0))</f>
        <v/>
      </c>
      <c r="AC8628">
        <f>IF(AB8628&gt;AB8627,AB8628,"")</f>
        <v/>
      </c>
    </row>
    <row r="8629">
      <c r="W8629" s="7" t="n"/>
      <c r="X8629" s="7" t="n"/>
      <c r="Z8629">
        <f>Z8628+IF(W8629="",0,IF(ISNA(MATCH(W8629,W$256:W8628,0)),1,0))</f>
        <v/>
      </c>
      <c r="AA8629">
        <f>IF(Z8629&gt;Z8628,Z8629,"")</f>
        <v/>
      </c>
      <c r="AB8629">
        <f>AB8628+IF(X8629="",0,IF(ISNA(MATCH(X8629,X$256:X8628,0)),1,0))</f>
        <v/>
      </c>
      <c r="AC8629">
        <f>IF(AB8629&gt;AB8628,AB8629,"")</f>
        <v/>
      </c>
    </row>
    <row r="8630">
      <c r="W8630" s="7" t="n"/>
      <c r="X8630" s="7" t="n"/>
      <c r="Z8630">
        <f>Z8629+IF(W8630="",0,IF(ISNA(MATCH(W8630,W$256:W8629,0)),1,0))</f>
        <v/>
      </c>
      <c r="AA8630">
        <f>IF(Z8630&gt;Z8629,Z8630,"")</f>
        <v/>
      </c>
      <c r="AB8630">
        <f>AB8629+IF(X8630="",0,IF(ISNA(MATCH(X8630,X$256:X8629,0)),1,0))</f>
        <v/>
      </c>
      <c r="AC8630">
        <f>IF(AB8630&gt;AB8629,AB8630,"")</f>
        <v/>
      </c>
    </row>
    <row r="8631">
      <c r="W8631" s="7" t="n"/>
      <c r="X8631" s="7" t="n"/>
      <c r="Z8631">
        <f>Z8630+IF(W8631="",0,IF(ISNA(MATCH(W8631,W$256:W8630,0)),1,0))</f>
        <v/>
      </c>
      <c r="AA8631">
        <f>IF(Z8631&gt;Z8630,Z8631,"")</f>
        <v/>
      </c>
      <c r="AB8631">
        <f>AB8630+IF(X8631="",0,IF(ISNA(MATCH(X8631,X$256:X8630,0)),1,0))</f>
        <v/>
      </c>
      <c r="AC8631">
        <f>IF(AB8631&gt;AB8630,AB8631,"")</f>
        <v/>
      </c>
    </row>
    <row r="8632">
      <c r="W8632" s="7" t="n"/>
      <c r="X8632" s="7" t="n"/>
      <c r="Z8632">
        <f>Z8631+IF(W8632="",0,IF(ISNA(MATCH(W8632,W$256:W8631,0)),1,0))</f>
        <v/>
      </c>
      <c r="AA8632">
        <f>IF(Z8632&gt;Z8631,Z8632,"")</f>
        <v/>
      </c>
      <c r="AB8632">
        <f>AB8631+IF(X8632="",0,IF(ISNA(MATCH(X8632,X$256:X8631,0)),1,0))</f>
        <v/>
      </c>
      <c r="AC8632">
        <f>IF(AB8632&gt;AB8631,AB8632,"")</f>
        <v/>
      </c>
    </row>
    <row r="8633">
      <c r="W8633" s="7" t="n"/>
      <c r="X8633" s="7" t="n"/>
      <c r="Z8633">
        <f>Z8632+IF(W8633="",0,IF(ISNA(MATCH(W8633,W$256:W8632,0)),1,0))</f>
        <v/>
      </c>
      <c r="AA8633">
        <f>IF(Z8633&gt;Z8632,Z8633,"")</f>
        <v/>
      </c>
      <c r="AB8633">
        <f>AB8632+IF(X8633="",0,IF(ISNA(MATCH(X8633,X$256:X8632,0)),1,0))</f>
        <v/>
      </c>
      <c r="AC8633">
        <f>IF(AB8633&gt;AB8632,AB8633,"")</f>
        <v/>
      </c>
    </row>
    <row r="8634">
      <c r="W8634" s="7" t="n"/>
      <c r="X8634" s="7" t="n"/>
      <c r="Z8634">
        <f>Z8633+IF(W8634="",0,IF(ISNA(MATCH(W8634,W$256:W8633,0)),1,0))</f>
        <v/>
      </c>
      <c r="AA8634">
        <f>IF(Z8634&gt;Z8633,Z8634,"")</f>
        <v/>
      </c>
      <c r="AB8634">
        <f>AB8633+IF(X8634="",0,IF(ISNA(MATCH(X8634,X$256:X8633,0)),1,0))</f>
        <v/>
      </c>
      <c r="AC8634">
        <f>IF(AB8634&gt;AB8633,AB8634,"")</f>
        <v/>
      </c>
    </row>
    <row r="8635">
      <c r="W8635" s="7" t="n"/>
      <c r="X8635" s="7" t="n"/>
      <c r="Z8635">
        <f>Z8634+IF(W8635="",0,IF(ISNA(MATCH(W8635,W$256:W8634,0)),1,0))</f>
        <v/>
      </c>
      <c r="AA8635">
        <f>IF(Z8635&gt;Z8634,Z8635,"")</f>
        <v/>
      </c>
      <c r="AB8635">
        <f>AB8634+IF(X8635="",0,IF(ISNA(MATCH(X8635,X$256:X8634,0)),1,0))</f>
        <v/>
      </c>
      <c r="AC8635">
        <f>IF(AB8635&gt;AB8634,AB8635,"")</f>
        <v/>
      </c>
    </row>
    <row r="8636">
      <c r="W8636" s="7" t="n"/>
      <c r="X8636" s="7" t="n"/>
      <c r="Z8636">
        <f>Z8635+IF(W8636="",0,IF(ISNA(MATCH(W8636,W$256:W8635,0)),1,0))</f>
        <v/>
      </c>
      <c r="AA8636">
        <f>IF(Z8636&gt;Z8635,Z8636,"")</f>
        <v/>
      </c>
      <c r="AB8636">
        <f>AB8635+IF(X8636="",0,IF(ISNA(MATCH(X8636,X$256:X8635,0)),1,0))</f>
        <v/>
      </c>
      <c r="AC8636">
        <f>IF(AB8636&gt;AB8635,AB8636,"")</f>
        <v/>
      </c>
    </row>
    <row r="8637">
      <c r="W8637" s="7" t="n"/>
      <c r="X8637" s="7" t="n"/>
      <c r="Z8637">
        <f>Z8636+IF(W8637="",0,IF(ISNA(MATCH(W8637,W$256:W8636,0)),1,0))</f>
        <v/>
      </c>
      <c r="AA8637">
        <f>IF(Z8637&gt;Z8636,Z8637,"")</f>
        <v/>
      </c>
      <c r="AB8637">
        <f>AB8636+IF(X8637="",0,IF(ISNA(MATCH(X8637,X$256:X8636,0)),1,0))</f>
        <v/>
      </c>
      <c r="AC8637">
        <f>IF(AB8637&gt;AB8636,AB8637,"")</f>
        <v/>
      </c>
    </row>
    <row r="8638">
      <c r="W8638" s="7" t="n"/>
      <c r="X8638" s="7" t="n"/>
      <c r="Z8638">
        <f>Z8637+IF(W8638="",0,IF(ISNA(MATCH(W8638,W$256:W8637,0)),1,0))</f>
        <v/>
      </c>
      <c r="AA8638">
        <f>IF(Z8638&gt;Z8637,Z8638,"")</f>
        <v/>
      </c>
      <c r="AB8638">
        <f>AB8637+IF(X8638="",0,IF(ISNA(MATCH(X8638,X$256:X8637,0)),1,0))</f>
        <v/>
      </c>
      <c r="AC8638">
        <f>IF(AB8638&gt;AB8637,AB8638,"")</f>
        <v/>
      </c>
    </row>
    <row r="8639">
      <c r="W8639" s="7" t="n"/>
      <c r="X8639" s="7" t="n"/>
      <c r="Z8639">
        <f>Z8638+IF(W8639="",0,IF(ISNA(MATCH(W8639,W$256:W8638,0)),1,0))</f>
        <v/>
      </c>
      <c r="AA8639">
        <f>IF(Z8639&gt;Z8638,Z8639,"")</f>
        <v/>
      </c>
      <c r="AB8639">
        <f>AB8638+IF(X8639="",0,IF(ISNA(MATCH(X8639,X$256:X8638,0)),1,0))</f>
        <v/>
      </c>
      <c r="AC8639">
        <f>IF(AB8639&gt;AB8638,AB8639,"")</f>
        <v/>
      </c>
    </row>
    <row r="8640">
      <c r="W8640" s="7" t="n"/>
      <c r="X8640" s="7" t="n"/>
      <c r="Z8640">
        <f>Z8639+IF(W8640="",0,IF(ISNA(MATCH(W8640,W$256:W8639,0)),1,0))</f>
        <v/>
      </c>
      <c r="AA8640">
        <f>IF(Z8640&gt;Z8639,Z8640,"")</f>
        <v/>
      </c>
      <c r="AB8640">
        <f>AB8639+IF(X8640="",0,IF(ISNA(MATCH(X8640,X$256:X8639,0)),1,0))</f>
        <v/>
      </c>
      <c r="AC8640">
        <f>IF(AB8640&gt;AB8639,AB8640,"")</f>
        <v/>
      </c>
    </row>
    <row r="8641">
      <c r="W8641" s="7" t="n"/>
      <c r="X8641" s="7" t="n"/>
      <c r="Z8641">
        <f>Z8640+IF(W8641="",0,IF(ISNA(MATCH(W8641,W$256:W8640,0)),1,0))</f>
        <v/>
      </c>
      <c r="AA8641">
        <f>IF(Z8641&gt;Z8640,Z8641,"")</f>
        <v/>
      </c>
      <c r="AB8641">
        <f>AB8640+IF(X8641="",0,IF(ISNA(MATCH(X8641,X$256:X8640,0)),1,0))</f>
        <v/>
      </c>
      <c r="AC8641">
        <f>IF(AB8641&gt;AB8640,AB8641,"")</f>
        <v/>
      </c>
    </row>
    <row r="8642">
      <c r="W8642" s="7" t="n"/>
      <c r="X8642" s="7" t="n"/>
      <c r="Z8642">
        <f>Z8641+IF(W8642="",0,IF(ISNA(MATCH(W8642,W$256:W8641,0)),1,0))</f>
        <v/>
      </c>
      <c r="AA8642">
        <f>IF(Z8642&gt;Z8641,Z8642,"")</f>
        <v/>
      </c>
      <c r="AB8642">
        <f>AB8641+IF(X8642="",0,IF(ISNA(MATCH(X8642,X$256:X8641,0)),1,0))</f>
        <v/>
      </c>
      <c r="AC8642">
        <f>IF(AB8642&gt;AB8641,AB8642,"")</f>
        <v/>
      </c>
    </row>
    <row r="8643">
      <c r="W8643" s="7" t="n"/>
      <c r="X8643" s="7" t="n"/>
      <c r="Z8643">
        <f>Z8642+IF(W8643="",0,IF(ISNA(MATCH(W8643,W$256:W8642,0)),1,0))</f>
        <v/>
      </c>
      <c r="AA8643">
        <f>IF(Z8643&gt;Z8642,Z8643,"")</f>
        <v/>
      </c>
      <c r="AB8643">
        <f>AB8642+IF(X8643="",0,IF(ISNA(MATCH(X8643,X$256:X8642,0)),1,0))</f>
        <v/>
      </c>
      <c r="AC8643">
        <f>IF(AB8643&gt;AB8642,AB8643,"")</f>
        <v/>
      </c>
    </row>
    <row r="8644">
      <c r="W8644" s="7" t="n"/>
      <c r="X8644" s="7" t="n"/>
      <c r="Z8644">
        <f>Z8643+IF(W8644="",0,IF(ISNA(MATCH(W8644,W$256:W8643,0)),1,0))</f>
        <v/>
      </c>
      <c r="AA8644">
        <f>IF(Z8644&gt;Z8643,Z8644,"")</f>
        <v/>
      </c>
      <c r="AB8644">
        <f>AB8643+IF(X8644="",0,IF(ISNA(MATCH(X8644,X$256:X8643,0)),1,0))</f>
        <v/>
      </c>
      <c r="AC8644">
        <f>IF(AB8644&gt;AB8643,AB8644,"")</f>
        <v/>
      </c>
    </row>
    <row r="8645">
      <c r="W8645" s="7" t="n"/>
      <c r="X8645" s="7" t="n"/>
      <c r="Z8645">
        <f>Z8644+IF(W8645="",0,IF(ISNA(MATCH(W8645,W$256:W8644,0)),1,0))</f>
        <v/>
      </c>
      <c r="AA8645">
        <f>IF(Z8645&gt;Z8644,Z8645,"")</f>
        <v/>
      </c>
      <c r="AB8645">
        <f>AB8644+IF(X8645="",0,IF(ISNA(MATCH(X8645,X$256:X8644,0)),1,0))</f>
        <v/>
      </c>
      <c r="AC8645">
        <f>IF(AB8645&gt;AB8644,AB8645,"")</f>
        <v/>
      </c>
    </row>
    <row r="8646">
      <c r="W8646" s="7" t="n"/>
      <c r="X8646" s="7" t="n"/>
      <c r="Z8646">
        <f>Z8645+IF(W8646="",0,IF(ISNA(MATCH(W8646,W$256:W8645,0)),1,0))</f>
        <v/>
      </c>
      <c r="AA8646">
        <f>IF(Z8646&gt;Z8645,Z8646,"")</f>
        <v/>
      </c>
      <c r="AB8646">
        <f>AB8645+IF(X8646="",0,IF(ISNA(MATCH(X8646,X$256:X8645,0)),1,0))</f>
        <v/>
      </c>
      <c r="AC8646">
        <f>IF(AB8646&gt;AB8645,AB8646,"")</f>
        <v/>
      </c>
    </row>
    <row r="8647">
      <c r="W8647" s="7" t="n"/>
      <c r="X8647" s="7" t="n"/>
      <c r="Z8647">
        <f>Z8646+IF(W8647="",0,IF(ISNA(MATCH(W8647,W$256:W8646,0)),1,0))</f>
        <v/>
      </c>
      <c r="AA8647">
        <f>IF(Z8647&gt;Z8646,Z8647,"")</f>
        <v/>
      </c>
      <c r="AB8647">
        <f>AB8646+IF(X8647="",0,IF(ISNA(MATCH(X8647,X$256:X8646,0)),1,0))</f>
        <v/>
      </c>
      <c r="AC8647">
        <f>IF(AB8647&gt;AB8646,AB8647,"")</f>
        <v/>
      </c>
    </row>
    <row r="8648">
      <c r="W8648" s="7" t="n"/>
      <c r="X8648" s="7" t="n"/>
      <c r="Z8648">
        <f>Z8647+IF(W8648="",0,IF(ISNA(MATCH(W8648,W$256:W8647,0)),1,0))</f>
        <v/>
      </c>
      <c r="AA8648">
        <f>IF(Z8648&gt;Z8647,Z8648,"")</f>
        <v/>
      </c>
      <c r="AB8648">
        <f>AB8647+IF(X8648="",0,IF(ISNA(MATCH(X8648,X$256:X8647,0)),1,0))</f>
        <v/>
      </c>
      <c r="AC8648">
        <f>IF(AB8648&gt;AB8647,AB8648,"")</f>
        <v/>
      </c>
    </row>
    <row r="8649">
      <c r="W8649" s="7" t="n"/>
      <c r="X8649" s="7" t="n"/>
      <c r="Z8649">
        <f>Z8648+IF(W8649="",0,IF(ISNA(MATCH(W8649,W$256:W8648,0)),1,0))</f>
        <v/>
      </c>
      <c r="AA8649">
        <f>IF(Z8649&gt;Z8648,Z8649,"")</f>
        <v/>
      </c>
      <c r="AB8649">
        <f>AB8648+IF(X8649="",0,IF(ISNA(MATCH(X8649,X$256:X8648,0)),1,0))</f>
        <v/>
      </c>
      <c r="AC8649">
        <f>IF(AB8649&gt;AB8648,AB8649,"")</f>
        <v/>
      </c>
    </row>
    <row r="8650">
      <c r="W8650" s="7" t="n"/>
      <c r="X8650" s="7" t="n"/>
      <c r="Z8650">
        <f>Z8649+IF(W8650="",0,IF(ISNA(MATCH(W8650,W$256:W8649,0)),1,0))</f>
        <v/>
      </c>
      <c r="AA8650">
        <f>IF(Z8650&gt;Z8649,Z8650,"")</f>
        <v/>
      </c>
      <c r="AB8650">
        <f>AB8649+IF(X8650="",0,IF(ISNA(MATCH(X8650,X$256:X8649,0)),1,0))</f>
        <v/>
      </c>
      <c r="AC8650">
        <f>IF(AB8650&gt;AB8649,AB8650,"")</f>
        <v/>
      </c>
    </row>
    <row r="8651">
      <c r="W8651" s="7" t="n"/>
      <c r="X8651" s="7" t="n"/>
      <c r="Z8651">
        <f>Z8650+IF(W8651="",0,IF(ISNA(MATCH(W8651,W$256:W8650,0)),1,0))</f>
        <v/>
      </c>
      <c r="AA8651">
        <f>IF(Z8651&gt;Z8650,Z8651,"")</f>
        <v/>
      </c>
      <c r="AB8651">
        <f>AB8650+IF(X8651="",0,IF(ISNA(MATCH(X8651,X$256:X8650,0)),1,0))</f>
        <v/>
      </c>
      <c r="AC8651">
        <f>IF(AB8651&gt;AB8650,AB8651,"")</f>
        <v/>
      </c>
    </row>
    <row r="8652">
      <c r="W8652" s="7" t="n"/>
      <c r="X8652" s="7" t="n"/>
      <c r="Z8652">
        <f>Z8651+IF(W8652="",0,IF(ISNA(MATCH(W8652,W$256:W8651,0)),1,0))</f>
        <v/>
      </c>
      <c r="AA8652">
        <f>IF(Z8652&gt;Z8651,Z8652,"")</f>
        <v/>
      </c>
      <c r="AB8652">
        <f>AB8651+IF(X8652="",0,IF(ISNA(MATCH(X8652,X$256:X8651,0)),1,0))</f>
        <v/>
      </c>
      <c r="AC8652">
        <f>IF(AB8652&gt;AB8651,AB8652,"")</f>
        <v/>
      </c>
    </row>
    <row r="8653">
      <c r="W8653" s="7" t="n"/>
      <c r="X8653" s="7" t="n"/>
      <c r="Z8653">
        <f>Z8652+IF(W8653="",0,IF(ISNA(MATCH(W8653,W$256:W8652,0)),1,0))</f>
        <v/>
      </c>
      <c r="AA8653">
        <f>IF(Z8653&gt;Z8652,Z8653,"")</f>
        <v/>
      </c>
      <c r="AB8653">
        <f>AB8652+IF(X8653="",0,IF(ISNA(MATCH(X8653,X$256:X8652,0)),1,0))</f>
        <v/>
      </c>
      <c r="AC8653">
        <f>IF(AB8653&gt;AB8652,AB8653,"")</f>
        <v/>
      </c>
    </row>
    <row r="8654">
      <c r="W8654" s="7" t="n"/>
      <c r="X8654" s="7" t="n"/>
      <c r="Z8654">
        <f>Z8653+IF(W8654="",0,IF(ISNA(MATCH(W8654,W$256:W8653,0)),1,0))</f>
        <v/>
      </c>
      <c r="AA8654">
        <f>IF(Z8654&gt;Z8653,Z8654,"")</f>
        <v/>
      </c>
      <c r="AB8654">
        <f>AB8653+IF(X8654="",0,IF(ISNA(MATCH(X8654,X$256:X8653,0)),1,0))</f>
        <v/>
      </c>
      <c r="AC8654">
        <f>IF(AB8654&gt;AB8653,AB8654,"")</f>
        <v/>
      </c>
    </row>
    <row r="8655">
      <c r="W8655" s="7" t="n"/>
      <c r="X8655" s="7" t="n"/>
      <c r="Z8655">
        <f>Z8654+IF(W8655="",0,IF(ISNA(MATCH(W8655,W$256:W8654,0)),1,0))</f>
        <v/>
      </c>
      <c r="AA8655">
        <f>IF(Z8655&gt;Z8654,Z8655,"")</f>
        <v/>
      </c>
      <c r="AB8655">
        <f>AB8654+IF(X8655="",0,IF(ISNA(MATCH(X8655,X$256:X8654,0)),1,0))</f>
        <v/>
      </c>
      <c r="AC8655">
        <f>IF(AB8655&gt;AB8654,AB8655,"")</f>
        <v/>
      </c>
    </row>
    <row r="8656">
      <c r="W8656" s="7" t="n"/>
      <c r="X8656" s="7" t="n"/>
      <c r="Z8656">
        <f>Z8655+IF(W8656="",0,IF(ISNA(MATCH(W8656,W$256:W8655,0)),1,0))</f>
        <v/>
      </c>
      <c r="AA8656">
        <f>IF(Z8656&gt;Z8655,Z8656,"")</f>
        <v/>
      </c>
      <c r="AB8656">
        <f>AB8655+IF(X8656="",0,IF(ISNA(MATCH(X8656,X$256:X8655,0)),1,0))</f>
        <v/>
      </c>
      <c r="AC8656">
        <f>IF(AB8656&gt;AB8655,AB8656,"")</f>
        <v/>
      </c>
    </row>
    <row r="8657">
      <c r="W8657" s="7" t="n"/>
      <c r="X8657" s="7" t="n"/>
      <c r="Z8657">
        <f>Z8656+IF(W8657="",0,IF(ISNA(MATCH(W8657,W$256:W8656,0)),1,0))</f>
        <v/>
      </c>
      <c r="AA8657">
        <f>IF(Z8657&gt;Z8656,Z8657,"")</f>
        <v/>
      </c>
      <c r="AB8657">
        <f>AB8656+IF(X8657="",0,IF(ISNA(MATCH(X8657,X$256:X8656,0)),1,0))</f>
        <v/>
      </c>
      <c r="AC8657">
        <f>IF(AB8657&gt;AB8656,AB8657,"")</f>
        <v/>
      </c>
    </row>
    <row r="8658">
      <c r="W8658" s="7" t="n"/>
      <c r="X8658" s="7" t="n"/>
      <c r="Z8658">
        <f>Z8657+IF(W8658="",0,IF(ISNA(MATCH(W8658,W$256:W8657,0)),1,0))</f>
        <v/>
      </c>
      <c r="AA8658">
        <f>IF(Z8658&gt;Z8657,Z8658,"")</f>
        <v/>
      </c>
      <c r="AB8658">
        <f>AB8657+IF(X8658="",0,IF(ISNA(MATCH(X8658,X$256:X8657,0)),1,0))</f>
        <v/>
      </c>
      <c r="AC8658">
        <f>IF(AB8658&gt;AB8657,AB8658,"")</f>
        <v/>
      </c>
    </row>
    <row r="8659">
      <c r="W8659" s="7" t="n"/>
      <c r="X8659" s="7" t="n"/>
      <c r="Z8659">
        <f>Z8658+IF(W8659="",0,IF(ISNA(MATCH(W8659,W$256:W8658,0)),1,0))</f>
        <v/>
      </c>
      <c r="AA8659">
        <f>IF(Z8659&gt;Z8658,Z8659,"")</f>
        <v/>
      </c>
      <c r="AB8659">
        <f>AB8658+IF(X8659="",0,IF(ISNA(MATCH(X8659,X$256:X8658,0)),1,0))</f>
        <v/>
      </c>
      <c r="AC8659">
        <f>IF(AB8659&gt;AB8658,AB8659,"")</f>
        <v/>
      </c>
    </row>
    <row r="8660">
      <c r="W8660" s="7" t="n"/>
      <c r="X8660" s="7" t="n"/>
      <c r="Z8660">
        <f>Z8659+IF(W8660="",0,IF(ISNA(MATCH(W8660,W$256:W8659,0)),1,0))</f>
        <v/>
      </c>
      <c r="AA8660">
        <f>IF(Z8660&gt;Z8659,Z8660,"")</f>
        <v/>
      </c>
      <c r="AB8660">
        <f>AB8659+IF(X8660="",0,IF(ISNA(MATCH(X8660,X$256:X8659,0)),1,0))</f>
        <v/>
      </c>
      <c r="AC8660">
        <f>IF(AB8660&gt;AB8659,AB8660,"")</f>
        <v/>
      </c>
    </row>
    <row r="8661">
      <c r="W8661" s="7" t="n"/>
      <c r="X8661" s="7" t="n"/>
      <c r="Z8661">
        <f>Z8660+IF(W8661="",0,IF(ISNA(MATCH(W8661,W$256:W8660,0)),1,0))</f>
        <v/>
      </c>
      <c r="AA8661">
        <f>IF(Z8661&gt;Z8660,Z8661,"")</f>
        <v/>
      </c>
      <c r="AB8661">
        <f>AB8660+IF(X8661="",0,IF(ISNA(MATCH(X8661,X$256:X8660,0)),1,0))</f>
        <v/>
      </c>
      <c r="AC8661">
        <f>IF(AB8661&gt;AB8660,AB8661,"")</f>
        <v/>
      </c>
    </row>
    <row r="8662">
      <c r="W8662" s="7" t="n"/>
      <c r="X8662" s="7" t="n"/>
      <c r="Z8662">
        <f>Z8661+IF(W8662="",0,IF(ISNA(MATCH(W8662,W$256:W8661,0)),1,0))</f>
        <v/>
      </c>
      <c r="AA8662">
        <f>IF(Z8662&gt;Z8661,Z8662,"")</f>
        <v/>
      </c>
      <c r="AB8662">
        <f>AB8661+IF(X8662="",0,IF(ISNA(MATCH(X8662,X$256:X8661,0)),1,0))</f>
        <v/>
      </c>
      <c r="AC8662">
        <f>IF(AB8662&gt;AB8661,AB8662,"")</f>
        <v/>
      </c>
    </row>
    <row r="8663">
      <c r="W8663" s="7" t="n"/>
      <c r="X8663" s="7" t="n"/>
      <c r="Z8663">
        <f>Z8662+IF(W8663="",0,IF(ISNA(MATCH(W8663,W$256:W8662,0)),1,0))</f>
        <v/>
      </c>
      <c r="AA8663">
        <f>IF(Z8663&gt;Z8662,Z8663,"")</f>
        <v/>
      </c>
      <c r="AB8663">
        <f>AB8662+IF(X8663="",0,IF(ISNA(MATCH(X8663,X$256:X8662,0)),1,0))</f>
        <v/>
      </c>
      <c r="AC8663">
        <f>IF(AB8663&gt;AB8662,AB8663,"")</f>
        <v/>
      </c>
    </row>
    <row r="8664">
      <c r="W8664" s="7" t="n"/>
      <c r="X8664" s="7" t="n"/>
      <c r="Z8664">
        <f>Z8663+IF(W8664="",0,IF(ISNA(MATCH(W8664,W$256:W8663,0)),1,0))</f>
        <v/>
      </c>
      <c r="AA8664">
        <f>IF(Z8664&gt;Z8663,Z8664,"")</f>
        <v/>
      </c>
      <c r="AB8664">
        <f>AB8663+IF(X8664="",0,IF(ISNA(MATCH(X8664,X$256:X8663,0)),1,0))</f>
        <v/>
      </c>
      <c r="AC8664">
        <f>IF(AB8664&gt;AB8663,AB8664,"")</f>
        <v/>
      </c>
    </row>
    <row r="8665">
      <c r="W8665" s="7" t="n"/>
      <c r="X8665" s="7" t="n"/>
      <c r="Z8665">
        <f>Z8664+IF(W8665="",0,IF(ISNA(MATCH(W8665,W$256:W8664,0)),1,0))</f>
        <v/>
      </c>
      <c r="AA8665">
        <f>IF(Z8665&gt;Z8664,Z8665,"")</f>
        <v/>
      </c>
      <c r="AB8665">
        <f>AB8664+IF(X8665="",0,IF(ISNA(MATCH(X8665,X$256:X8664,0)),1,0))</f>
        <v/>
      </c>
      <c r="AC8665">
        <f>IF(AB8665&gt;AB8664,AB8665,"")</f>
        <v/>
      </c>
    </row>
    <row r="8666">
      <c r="W8666" s="7" t="n"/>
      <c r="X8666" s="7" t="n"/>
      <c r="Z8666">
        <f>Z8665+IF(W8666="",0,IF(ISNA(MATCH(W8666,W$256:W8665,0)),1,0))</f>
        <v/>
      </c>
      <c r="AA8666">
        <f>IF(Z8666&gt;Z8665,Z8666,"")</f>
        <v/>
      </c>
      <c r="AB8666">
        <f>AB8665+IF(X8666="",0,IF(ISNA(MATCH(X8666,X$256:X8665,0)),1,0))</f>
        <v/>
      </c>
      <c r="AC8666">
        <f>IF(AB8666&gt;AB8665,AB8666,"")</f>
        <v/>
      </c>
    </row>
    <row r="8667">
      <c r="W8667" s="7" t="n"/>
      <c r="X8667" s="7" t="n"/>
      <c r="Z8667">
        <f>Z8666+IF(W8667="",0,IF(ISNA(MATCH(W8667,W$256:W8666,0)),1,0))</f>
        <v/>
      </c>
      <c r="AA8667">
        <f>IF(Z8667&gt;Z8666,Z8667,"")</f>
        <v/>
      </c>
      <c r="AB8667">
        <f>AB8666+IF(X8667="",0,IF(ISNA(MATCH(X8667,X$256:X8666,0)),1,0))</f>
        <v/>
      </c>
      <c r="AC8667">
        <f>IF(AB8667&gt;AB8666,AB8667,"")</f>
        <v/>
      </c>
    </row>
    <row r="8668">
      <c r="W8668" s="7" t="n"/>
      <c r="X8668" s="7" t="n"/>
      <c r="Z8668">
        <f>Z8667+IF(W8668="",0,IF(ISNA(MATCH(W8668,W$256:W8667,0)),1,0))</f>
        <v/>
      </c>
      <c r="AA8668">
        <f>IF(Z8668&gt;Z8667,Z8668,"")</f>
        <v/>
      </c>
      <c r="AB8668">
        <f>AB8667+IF(X8668="",0,IF(ISNA(MATCH(X8668,X$256:X8667,0)),1,0))</f>
        <v/>
      </c>
      <c r="AC8668">
        <f>IF(AB8668&gt;AB8667,AB8668,"")</f>
        <v/>
      </c>
    </row>
    <row r="8669">
      <c r="W8669" s="7" t="n"/>
      <c r="X8669" s="7" t="n"/>
      <c r="Z8669">
        <f>Z8668+IF(W8669="",0,IF(ISNA(MATCH(W8669,W$256:W8668,0)),1,0))</f>
        <v/>
      </c>
      <c r="AA8669">
        <f>IF(Z8669&gt;Z8668,Z8669,"")</f>
        <v/>
      </c>
      <c r="AB8669">
        <f>AB8668+IF(X8669="",0,IF(ISNA(MATCH(X8669,X$256:X8668,0)),1,0))</f>
        <v/>
      </c>
      <c r="AC8669">
        <f>IF(AB8669&gt;AB8668,AB8669,"")</f>
        <v/>
      </c>
    </row>
    <row r="8670">
      <c r="W8670" s="7" t="n"/>
      <c r="X8670" s="7" t="n"/>
      <c r="Z8670">
        <f>Z8669+IF(W8670="",0,IF(ISNA(MATCH(W8670,W$256:W8669,0)),1,0))</f>
        <v/>
      </c>
      <c r="AA8670">
        <f>IF(Z8670&gt;Z8669,Z8670,"")</f>
        <v/>
      </c>
      <c r="AB8670">
        <f>AB8669+IF(X8670="",0,IF(ISNA(MATCH(X8670,X$256:X8669,0)),1,0))</f>
        <v/>
      </c>
      <c r="AC8670">
        <f>IF(AB8670&gt;AB8669,AB8670,"")</f>
        <v/>
      </c>
    </row>
    <row r="8671">
      <c r="W8671" s="7" t="n"/>
      <c r="X8671" s="7" t="n"/>
      <c r="Z8671">
        <f>Z8670+IF(W8671="",0,IF(ISNA(MATCH(W8671,W$256:W8670,0)),1,0))</f>
        <v/>
      </c>
      <c r="AA8671">
        <f>IF(Z8671&gt;Z8670,Z8671,"")</f>
        <v/>
      </c>
      <c r="AB8671">
        <f>AB8670+IF(X8671="",0,IF(ISNA(MATCH(X8671,X$256:X8670,0)),1,0))</f>
        <v/>
      </c>
      <c r="AC8671">
        <f>IF(AB8671&gt;AB8670,AB8671,"")</f>
        <v/>
      </c>
    </row>
    <row r="8672">
      <c r="W8672" s="7" t="n"/>
      <c r="X8672" s="7" t="n"/>
      <c r="Z8672">
        <f>Z8671+IF(W8672="",0,IF(ISNA(MATCH(W8672,W$256:W8671,0)),1,0))</f>
        <v/>
      </c>
      <c r="AA8672">
        <f>IF(Z8672&gt;Z8671,Z8672,"")</f>
        <v/>
      </c>
      <c r="AB8672">
        <f>AB8671+IF(X8672="",0,IF(ISNA(MATCH(X8672,X$256:X8671,0)),1,0))</f>
        <v/>
      </c>
      <c r="AC8672">
        <f>IF(AB8672&gt;AB8671,AB8672,"")</f>
        <v/>
      </c>
    </row>
    <row r="8673">
      <c r="W8673" s="7" t="n"/>
      <c r="X8673" s="7" t="n"/>
      <c r="Z8673">
        <f>Z8672+IF(W8673="",0,IF(ISNA(MATCH(W8673,W$256:W8672,0)),1,0))</f>
        <v/>
      </c>
      <c r="AA8673">
        <f>IF(Z8673&gt;Z8672,Z8673,"")</f>
        <v/>
      </c>
      <c r="AB8673">
        <f>AB8672+IF(X8673="",0,IF(ISNA(MATCH(X8673,X$256:X8672,0)),1,0))</f>
        <v/>
      </c>
      <c r="AC8673">
        <f>IF(AB8673&gt;AB8672,AB8673,"")</f>
        <v/>
      </c>
    </row>
    <row r="8674">
      <c r="W8674" s="7" t="n"/>
      <c r="X8674" s="7" t="n"/>
      <c r="Z8674">
        <f>Z8673+IF(W8674="",0,IF(ISNA(MATCH(W8674,W$256:W8673,0)),1,0))</f>
        <v/>
      </c>
      <c r="AA8674">
        <f>IF(Z8674&gt;Z8673,Z8674,"")</f>
        <v/>
      </c>
      <c r="AB8674">
        <f>AB8673+IF(X8674="",0,IF(ISNA(MATCH(X8674,X$256:X8673,0)),1,0))</f>
        <v/>
      </c>
      <c r="AC8674">
        <f>IF(AB8674&gt;AB8673,AB8674,"")</f>
        <v/>
      </c>
    </row>
    <row r="8675">
      <c r="W8675" s="7" t="n"/>
      <c r="X8675" s="7" t="n"/>
      <c r="Z8675">
        <f>Z8674+IF(W8675="",0,IF(ISNA(MATCH(W8675,W$256:W8674,0)),1,0))</f>
        <v/>
      </c>
      <c r="AA8675">
        <f>IF(Z8675&gt;Z8674,Z8675,"")</f>
        <v/>
      </c>
      <c r="AB8675">
        <f>AB8674+IF(X8675="",0,IF(ISNA(MATCH(X8675,X$256:X8674,0)),1,0))</f>
        <v/>
      </c>
      <c r="AC8675">
        <f>IF(AB8675&gt;AB8674,AB8675,"")</f>
        <v/>
      </c>
    </row>
    <row r="8676">
      <c r="W8676" s="7" t="n"/>
      <c r="X8676" s="7" t="n"/>
      <c r="Z8676">
        <f>Z8675+IF(W8676="",0,IF(ISNA(MATCH(W8676,W$256:W8675,0)),1,0))</f>
        <v/>
      </c>
      <c r="AA8676">
        <f>IF(Z8676&gt;Z8675,Z8676,"")</f>
        <v/>
      </c>
      <c r="AB8676">
        <f>AB8675+IF(X8676="",0,IF(ISNA(MATCH(X8676,X$256:X8675,0)),1,0))</f>
        <v/>
      </c>
      <c r="AC8676">
        <f>IF(AB8676&gt;AB8675,AB8676,"")</f>
        <v/>
      </c>
    </row>
    <row r="8677">
      <c r="W8677" s="7" t="n"/>
      <c r="X8677" s="7" t="n"/>
      <c r="Z8677">
        <f>Z8676+IF(W8677="",0,IF(ISNA(MATCH(W8677,W$256:W8676,0)),1,0))</f>
        <v/>
      </c>
      <c r="AA8677">
        <f>IF(Z8677&gt;Z8676,Z8677,"")</f>
        <v/>
      </c>
      <c r="AB8677">
        <f>AB8676+IF(X8677="",0,IF(ISNA(MATCH(X8677,X$256:X8676,0)),1,0))</f>
        <v/>
      </c>
      <c r="AC8677">
        <f>IF(AB8677&gt;AB8676,AB8677,"")</f>
        <v/>
      </c>
    </row>
    <row r="8678">
      <c r="W8678" s="7" t="n"/>
      <c r="X8678" s="7" t="n"/>
      <c r="Z8678">
        <f>Z8677+IF(W8678="",0,IF(ISNA(MATCH(W8678,W$256:W8677,0)),1,0))</f>
        <v/>
      </c>
      <c r="AA8678">
        <f>IF(Z8678&gt;Z8677,Z8678,"")</f>
        <v/>
      </c>
      <c r="AB8678">
        <f>AB8677+IF(X8678="",0,IF(ISNA(MATCH(X8678,X$256:X8677,0)),1,0))</f>
        <v/>
      </c>
      <c r="AC8678">
        <f>IF(AB8678&gt;AB8677,AB8678,"")</f>
        <v/>
      </c>
    </row>
    <row r="8679">
      <c r="W8679" s="7" t="n"/>
      <c r="X8679" s="7" t="n"/>
      <c r="Z8679">
        <f>Z8678+IF(W8679="",0,IF(ISNA(MATCH(W8679,W$256:W8678,0)),1,0))</f>
        <v/>
      </c>
      <c r="AA8679">
        <f>IF(Z8679&gt;Z8678,Z8679,"")</f>
        <v/>
      </c>
      <c r="AB8679">
        <f>AB8678+IF(X8679="",0,IF(ISNA(MATCH(X8679,X$256:X8678,0)),1,0))</f>
        <v/>
      </c>
      <c r="AC8679">
        <f>IF(AB8679&gt;AB8678,AB8679,"")</f>
        <v/>
      </c>
    </row>
    <row r="8680">
      <c r="W8680" s="7" t="n"/>
      <c r="X8680" s="7" t="n"/>
      <c r="Z8680">
        <f>Z8679+IF(W8680="",0,IF(ISNA(MATCH(W8680,W$256:W8679,0)),1,0))</f>
        <v/>
      </c>
      <c r="AA8680">
        <f>IF(Z8680&gt;Z8679,Z8680,"")</f>
        <v/>
      </c>
      <c r="AB8680">
        <f>AB8679+IF(X8680="",0,IF(ISNA(MATCH(X8680,X$256:X8679,0)),1,0))</f>
        <v/>
      </c>
      <c r="AC8680">
        <f>IF(AB8680&gt;AB8679,AB8680,"")</f>
        <v/>
      </c>
    </row>
    <row r="8681">
      <c r="W8681" s="7" t="n"/>
      <c r="X8681" s="7" t="n"/>
      <c r="Z8681">
        <f>Z8680+IF(W8681="",0,IF(ISNA(MATCH(W8681,W$256:W8680,0)),1,0))</f>
        <v/>
      </c>
      <c r="AA8681">
        <f>IF(Z8681&gt;Z8680,Z8681,"")</f>
        <v/>
      </c>
      <c r="AB8681">
        <f>AB8680+IF(X8681="",0,IF(ISNA(MATCH(X8681,X$256:X8680,0)),1,0))</f>
        <v/>
      </c>
      <c r="AC8681">
        <f>IF(AB8681&gt;AB8680,AB8681,"")</f>
        <v/>
      </c>
    </row>
    <row r="8682">
      <c r="W8682" s="7" t="n"/>
      <c r="X8682" s="7" t="n"/>
      <c r="Z8682">
        <f>Z8681+IF(W8682="",0,IF(ISNA(MATCH(W8682,W$256:W8681,0)),1,0))</f>
        <v/>
      </c>
      <c r="AA8682">
        <f>IF(Z8682&gt;Z8681,Z8682,"")</f>
        <v/>
      </c>
      <c r="AB8682">
        <f>AB8681+IF(X8682="",0,IF(ISNA(MATCH(X8682,X$256:X8681,0)),1,0))</f>
        <v/>
      </c>
      <c r="AC8682">
        <f>IF(AB8682&gt;AB8681,AB8682,"")</f>
        <v/>
      </c>
    </row>
    <row r="8683">
      <c r="W8683" s="7" t="n"/>
      <c r="X8683" s="7" t="n"/>
      <c r="Z8683">
        <f>Z8682+IF(W8683="",0,IF(ISNA(MATCH(W8683,W$256:W8682,0)),1,0))</f>
        <v/>
      </c>
      <c r="AA8683">
        <f>IF(Z8683&gt;Z8682,Z8683,"")</f>
        <v/>
      </c>
      <c r="AB8683">
        <f>AB8682+IF(X8683="",0,IF(ISNA(MATCH(X8683,X$256:X8682,0)),1,0))</f>
        <v/>
      </c>
      <c r="AC8683">
        <f>IF(AB8683&gt;AB8682,AB8683,"")</f>
        <v/>
      </c>
    </row>
    <row r="8684">
      <c r="W8684" s="7" t="n"/>
      <c r="X8684" s="7" t="n"/>
      <c r="Z8684">
        <f>Z8683+IF(W8684="",0,IF(ISNA(MATCH(W8684,W$256:W8683,0)),1,0))</f>
        <v/>
      </c>
      <c r="AA8684">
        <f>IF(Z8684&gt;Z8683,Z8684,"")</f>
        <v/>
      </c>
      <c r="AB8684">
        <f>AB8683+IF(X8684="",0,IF(ISNA(MATCH(X8684,X$256:X8683,0)),1,0))</f>
        <v/>
      </c>
      <c r="AC8684">
        <f>IF(AB8684&gt;AB8683,AB8684,"")</f>
        <v/>
      </c>
    </row>
    <row r="8685">
      <c r="W8685" s="7" t="n"/>
      <c r="X8685" s="7" t="n"/>
      <c r="Z8685">
        <f>Z8684+IF(W8685="",0,IF(ISNA(MATCH(W8685,W$256:W8684,0)),1,0))</f>
        <v/>
      </c>
      <c r="AA8685">
        <f>IF(Z8685&gt;Z8684,Z8685,"")</f>
        <v/>
      </c>
      <c r="AB8685">
        <f>AB8684+IF(X8685="",0,IF(ISNA(MATCH(X8685,X$256:X8684,0)),1,0))</f>
        <v/>
      </c>
      <c r="AC8685">
        <f>IF(AB8685&gt;AB8684,AB8685,"")</f>
        <v/>
      </c>
    </row>
    <row r="8686">
      <c r="W8686" s="7" t="n"/>
      <c r="X8686" s="7" t="n"/>
      <c r="Z8686">
        <f>Z8685+IF(W8686="",0,IF(ISNA(MATCH(W8686,W$256:W8685,0)),1,0))</f>
        <v/>
      </c>
      <c r="AA8686">
        <f>IF(Z8686&gt;Z8685,Z8686,"")</f>
        <v/>
      </c>
      <c r="AB8686">
        <f>AB8685+IF(X8686="",0,IF(ISNA(MATCH(X8686,X$256:X8685,0)),1,0))</f>
        <v/>
      </c>
      <c r="AC8686">
        <f>IF(AB8686&gt;AB8685,AB8686,"")</f>
        <v/>
      </c>
    </row>
    <row r="8687">
      <c r="W8687" s="7" t="n"/>
      <c r="X8687" s="7" t="n"/>
      <c r="Z8687">
        <f>Z8686+IF(W8687="",0,IF(ISNA(MATCH(W8687,W$256:W8686,0)),1,0))</f>
        <v/>
      </c>
      <c r="AA8687">
        <f>IF(Z8687&gt;Z8686,Z8687,"")</f>
        <v/>
      </c>
      <c r="AB8687">
        <f>AB8686+IF(X8687="",0,IF(ISNA(MATCH(X8687,X$256:X8686,0)),1,0))</f>
        <v/>
      </c>
      <c r="AC8687">
        <f>IF(AB8687&gt;AB8686,AB8687,"")</f>
        <v/>
      </c>
    </row>
    <row r="8688">
      <c r="W8688" s="7" t="n"/>
      <c r="X8688" s="7" t="n"/>
      <c r="Z8688">
        <f>Z8687+IF(W8688="",0,IF(ISNA(MATCH(W8688,W$256:W8687,0)),1,0))</f>
        <v/>
      </c>
      <c r="AA8688">
        <f>IF(Z8688&gt;Z8687,Z8688,"")</f>
        <v/>
      </c>
      <c r="AB8688">
        <f>AB8687+IF(X8688="",0,IF(ISNA(MATCH(X8688,X$256:X8687,0)),1,0))</f>
        <v/>
      </c>
      <c r="AC8688">
        <f>IF(AB8688&gt;AB8687,AB8688,"")</f>
        <v/>
      </c>
    </row>
    <row r="8689">
      <c r="W8689" s="7" t="n"/>
      <c r="X8689" s="7" t="n"/>
      <c r="Z8689">
        <f>Z8688+IF(W8689="",0,IF(ISNA(MATCH(W8689,W$256:W8688,0)),1,0))</f>
        <v/>
      </c>
      <c r="AA8689">
        <f>IF(Z8689&gt;Z8688,Z8689,"")</f>
        <v/>
      </c>
      <c r="AB8689">
        <f>AB8688+IF(X8689="",0,IF(ISNA(MATCH(X8689,X$256:X8688,0)),1,0))</f>
        <v/>
      </c>
      <c r="AC8689">
        <f>IF(AB8689&gt;AB8688,AB8689,"")</f>
        <v/>
      </c>
    </row>
    <row r="8690">
      <c r="W8690" s="7" t="n"/>
      <c r="X8690" s="7" t="n"/>
      <c r="Z8690">
        <f>Z8689+IF(W8690="",0,IF(ISNA(MATCH(W8690,W$256:W8689,0)),1,0))</f>
        <v/>
      </c>
      <c r="AA8690">
        <f>IF(Z8690&gt;Z8689,Z8690,"")</f>
        <v/>
      </c>
      <c r="AB8690">
        <f>AB8689+IF(X8690="",0,IF(ISNA(MATCH(X8690,X$256:X8689,0)),1,0))</f>
        <v/>
      </c>
      <c r="AC8690">
        <f>IF(AB8690&gt;AB8689,AB8690,"")</f>
        <v/>
      </c>
    </row>
    <row r="8691">
      <c r="W8691" s="7" t="n"/>
      <c r="X8691" s="7" t="n"/>
      <c r="Z8691">
        <f>Z8690+IF(W8691="",0,IF(ISNA(MATCH(W8691,W$256:W8690,0)),1,0))</f>
        <v/>
      </c>
      <c r="AA8691">
        <f>IF(Z8691&gt;Z8690,Z8691,"")</f>
        <v/>
      </c>
      <c r="AB8691">
        <f>AB8690+IF(X8691="",0,IF(ISNA(MATCH(X8691,X$256:X8690,0)),1,0))</f>
        <v/>
      </c>
      <c r="AC8691">
        <f>IF(AB8691&gt;AB8690,AB8691,"")</f>
        <v/>
      </c>
    </row>
    <row r="8692">
      <c r="W8692" s="7" t="n"/>
      <c r="X8692" s="7" t="n"/>
      <c r="Z8692">
        <f>Z8691+IF(W8692="",0,IF(ISNA(MATCH(W8692,W$256:W8691,0)),1,0))</f>
        <v/>
      </c>
      <c r="AA8692">
        <f>IF(Z8692&gt;Z8691,Z8692,"")</f>
        <v/>
      </c>
      <c r="AB8692">
        <f>AB8691+IF(X8692="",0,IF(ISNA(MATCH(X8692,X$256:X8691,0)),1,0))</f>
        <v/>
      </c>
      <c r="AC8692">
        <f>IF(AB8692&gt;AB8691,AB8692,"")</f>
        <v/>
      </c>
    </row>
    <row r="8693">
      <c r="W8693" s="7" t="n"/>
      <c r="X8693" s="7" t="n"/>
      <c r="Z8693">
        <f>Z8692+IF(W8693="",0,IF(ISNA(MATCH(W8693,W$256:W8692,0)),1,0))</f>
        <v/>
      </c>
      <c r="AA8693">
        <f>IF(Z8693&gt;Z8692,Z8693,"")</f>
        <v/>
      </c>
      <c r="AB8693">
        <f>AB8692+IF(X8693="",0,IF(ISNA(MATCH(X8693,X$256:X8692,0)),1,0))</f>
        <v/>
      </c>
      <c r="AC8693">
        <f>IF(AB8693&gt;AB8692,AB8693,"")</f>
        <v/>
      </c>
    </row>
    <row r="8694">
      <c r="W8694" s="7" t="n"/>
      <c r="X8694" s="7" t="n"/>
      <c r="Z8694">
        <f>Z8693+IF(W8694="",0,IF(ISNA(MATCH(W8694,W$256:W8693,0)),1,0))</f>
        <v/>
      </c>
      <c r="AA8694">
        <f>IF(Z8694&gt;Z8693,Z8694,"")</f>
        <v/>
      </c>
      <c r="AB8694">
        <f>AB8693+IF(X8694="",0,IF(ISNA(MATCH(X8694,X$256:X8693,0)),1,0))</f>
        <v/>
      </c>
      <c r="AC8694">
        <f>IF(AB8694&gt;AB8693,AB8694,"")</f>
        <v/>
      </c>
    </row>
    <row r="8695">
      <c r="W8695" s="7" t="n"/>
      <c r="X8695" s="7" t="n"/>
      <c r="Z8695">
        <f>Z8694+IF(W8695="",0,IF(ISNA(MATCH(W8695,W$256:W8694,0)),1,0))</f>
        <v/>
      </c>
      <c r="AA8695">
        <f>IF(Z8695&gt;Z8694,Z8695,"")</f>
        <v/>
      </c>
      <c r="AB8695">
        <f>AB8694+IF(X8695="",0,IF(ISNA(MATCH(X8695,X$256:X8694,0)),1,0))</f>
        <v/>
      </c>
      <c r="AC8695">
        <f>IF(AB8695&gt;AB8694,AB8695,"")</f>
        <v/>
      </c>
    </row>
    <row r="8696">
      <c r="W8696" s="7" t="n"/>
      <c r="X8696" s="7" t="n"/>
      <c r="Z8696">
        <f>Z8695+IF(W8696="",0,IF(ISNA(MATCH(W8696,W$256:W8695,0)),1,0))</f>
        <v/>
      </c>
      <c r="AA8696">
        <f>IF(Z8696&gt;Z8695,Z8696,"")</f>
        <v/>
      </c>
      <c r="AB8696">
        <f>AB8695+IF(X8696="",0,IF(ISNA(MATCH(X8696,X$256:X8695,0)),1,0))</f>
        <v/>
      </c>
      <c r="AC8696">
        <f>IF(AB8696&gt;AB8695,AB8696,"")</f>
        <v/>
      </c>
    </row>
    <row r="8697">
      <c r="W8697" s="7" t="n"/>
      <c r="X8697" s="7" t="n"/>
      <c r="Z8697">
        <f>Z8696+IF(W8697="",0,IF(ISNA(MATCH(W8697,W$256:W8696,0)),1,0))</f>
        <v/>
      </c>
      <c r="AA8697">
        <f>IF(Z8697&gt;Z8696,Z8697,"")</f>
        <v/>
      </c>
      <c r="AB8697">
        <f>AB8696+IF(X8697="",0,IF(ISNA(MATCH(X8697,X$256:X8696,0)),1,0))</f>
        <v/>
      </c>
      <c r="AC8697">
        <f>IF(AB8697&gt;AB8696,AB8697,"")</f>
        <v/>
      </c>
    </row>
    <row r="8698">
      <c r="W8698" s="7" t="n"/>
      <c r="X8698" s="7" t="n"/>
      <c r="Z8698">
        <f>Z8697+IF(W8698="",0,IF(ISNA(MATCH(W8698,W$256:W8697,0)),1,0))</f>
        <v/>
      </c>
      <c r="AA8698">
        <f>IF(Z8698&gt;Z8697,Z8698,"")</f>
        <v/>
      </c>
      <c r="AB8698">
        <f>AB8697+IF(X8698="",0,IF(ISNA(MATCH(X8698,X$256:X8697,0)),1,0))</f>
        <v/>
      </c>
      <c r="AC8698">
        <f>IF(AB8698&gt;AB8697,AB8698,"")</f>
        <v/>
      </c>
    </row>
    <row r="8699">
      <c r="W8699" s="7" t="n"/>
      <c r="X8699" s="7" t="n"/>
      <c r="Z8699">
        <f>Z8698+IF(W8699="",0,IF(ISNA(MATCH(W8699,W$256:W8698,0)),1,0))</f>
        <v/>
      </c>
      <c r="AA8699">
        <f>IF(Z8699&gt;Z8698,Z8699,"")</f>
        <v/>
      </c>
      <c r="AB8699">
        <f>AB8698+IF(X8699="",0,IF(ISNA(MATCH(X8699,X$256:X8698,0)),1,0))</f>
        <v/>
      </c>
      <c r="AC8699">
        <f>IF(AB8699&gt;AB8698,AB8699,"")</f>
        <v/>
      </c>
    </row>
    <row r="8700">
      <c r="W8700" s="7" t="n"/>
      <c r="X8700" s="7" t="n"/>
      <c r="Z8700">
        <f>Z8699+IF(W8700="",0,IF(ISNA(MATCH(W8700,W$256:W8699,0)),1,0))</f>
        <v/>
      </c>
      <c r="AA8700">
        <f>IF(Z8700&gt;Z8699,Z8700,"")</f>
        <v/>
      </c>
      <c r="AB8700">
        <f>AB8699+IF(X8700="",0,IF(ISNA(MATCH(X8700,X$256:X8699,0)),1,0))</f>
        <v/>
      </c>
      <c r="AC8700">
        <f>IF(AB8700&gt;AB8699,AB8700,"")</f>
        <v/>
      </c>
    </row>
    <row r="8701">
      <c r="W8701" s="7" t="n"/>
      <c r="X8701" s="7" t="n"/>
      <c r="Z8701">
        <f>Z8700+IF(W8701="",0,IF(ISNA(MATCH(W8701,W$256:W8700,0)),1,0))</f>
        <v/>
      </c>
      <c r="AA8701">
        <f>IF(Z8701&gt;Z8700,Z8701,"")</f>
        <v/>
      </c>
      <c r="AB8701">
        <f>AB8700+IF(X8701="",0,IF(ISNA(MATCH(X8701,X$256:X8700,0)),1,0))</f>
        <v/>
      </c>
      <c r="AC8701">
        <f>IF(AB8701&gt;AB8700,AB8701,"")</f>
        <v/>
      </c>
    </row>
    <row r="8702">
      <c r="W8702" s="7" t="n"/>
      <c r="X8702" s="7" t="n"/>
      <c r="Z8702">
        <f>Z8701+IF(W8702="",0,IF(ISNA(MATCH(W8702,W$256:W8701,0)),1,0))</f>
        <v/>
      </c>
      <c r="AA8702">
        <f>IF(Z8702&gt;Z8701,Z8702,"")</f>
        <v/>
      </c>
      <c r="AB8702">
        <f>AB8701+IF(X8702="",0,IF(ISNA(MATCH(X8702,X$256:X8701,0)),1,0))</f>
        <v/>
      </c>
      <c r="AC8702">
        <f>IF(AB8702&gt;AB8701,AB8702,"")</f>
        <v/>
      </c>
    </row>
    <row r="8703">
      <c r="W8703" s="7" t="n"/>
      <c r="X8703" s="7" t="n"/>
      <c r="Z8703">
        <f>Z8702+IF(W8703="",0,IF(ISNA(MATCH(W8703,W$256:W8702,0)),1,0))</f>
        <v/>
      </c>
      <c r="AA8703">
        <f>IF(Z8703&gt;Z8702,Z8703,"")</f>
        <v/>
      </c>
      <c r="AB8703">
        <f>AB8702+IF(X8703="",0,IF(ISNA(MATCH(X8703,X$256:X8702,0)),1,0))</f>
        <v/>
      </c>
      <c r="AC8703">
        <f>IF(AB8703&gt;AB8702,AB8703,"")</f>
        <v/>
      </c>
    </row>
    <row r="8704">
      <c r="W8704" s="7" t="n"/>
      <c r="X8704" s="7" t="n"/>
      <c r="Z8704">
        <f>Z8703+IF(W8704="",0,IF(ISNA(MATCH(W8704,W$256:W8703,0)),1,0))</f>
        <v/>
      </c>
      <c r="AA8704">
        <f>IF(Z8704&gt;Z8703,Z8704,"")</f>
        <v/>
      </c>
      <c r="AB8704">
        <f>AB8703+IF(X8704="",0,IF(ISNA(MATCH(X8704,X$256:X8703,0)),1,0))</f>
        <v/>
      </c>
      <c r="AC8704">
        <f>IF(AB8704&gt;AB8703,AB8704,"")</f>
        <v/>
      </c>
    </row>
    <row r="8705">
      <c r="W8705" s="7" t="n"/>
      <c r="X8705" s="7" t="n"/>
      <c r="Z8705">
        <f>Z8704+IF(W8705="",0,IF(ISNA(MATCH(W8705,W$256:W8704,0)),1,0))</f>
        <v/>
      </c>
      <c r="AA8705">
        <f>IF(Z8705&gt;Z8704,Z8705,"")</f>
        <v/>
      </c>
      <c r="AB8705">
        <f>AB8704+IF(X8705="",0,IF(ISNA(MATCH(X8705,X$256:X8704,0)),1,0))</f>
        <v/>
      </c>
      <c r="AC8705">
        <f>IF(AB8705&gt;AB8704,AB8705,"")</f>
        <v/>
      </c>
    </row>
    <row r="8706">
      <c r="W8706" s="7" t="n"/>
      <c r="X8706" s="7" t="n"/>
      <c r="Z8706">
        <f>Z8705+IF(W8706="",0,IF(ISNA(MATCH(W8706,W$256:W8705,0)),1,0))</f>
        <v/>
      </c>
      <c r="AA8706">
        <f>IF(Z8706&gt;Z8705,Z8706,"")</f>
        <v/>
      </c>
      <c r="AB8706">
        <f>AB8705+IF(X8706="",0,IF(ISNA(MATCH(X8706,X$256:X8705,0)),1,0))</f>
        <v/>
      </c>
      <c r="AC8706">
        <f>IF(AB8706&gt;AB8705,AB8706,"")</f>
        <v/>
      </c>
    </row>
    <row r="8707">
      <c r="W8707" s="7" t="n"/>
      <c r="X8707" s="7" t="n"/>
      <c r="Z8707">
        <f>Z8706+IF(W8707="",0,IF(ISNA(MATCH(W8707,W$256:W8706,0)),1,0))</f>
        <v/>
      </c>
      <c r="AA8707">
        <f>IF(Z8707&gt;Z8706,Z8707,"")</f>
        <v/>
      </c>
      <c r="AB8707">
        <f>AB8706+IF(X8707="",0,IF(ISNA(MATCH(X8707,X$256:X8706,0)),1,0))</f>
        <v/>
      </c>
      <c r="AC8707">
        <f>IF(AB8707&gt;AB8706,AB8707,"")</f>
        <v/>
      </c>
    </row>
    <row r="8708">
      <c r="W8708" s="7" t="n"/>
      <c r="X8708" s="7" t="n"/>
      <c r="Z8708">
        <f>Z8707+IF(W8708="",0,IF(ISNA(MATCH(W8708,W$256:W8707,0)),1,0))</f>
        <v/>
      </c>
      <c r="AA8708">
        <f>IF(Z8708&gt;Z8707,Z8708,"")</f>
        <v/>
      </c>
      <c r="AB8708">
        <f>AB8707+IF(X8708="",0,IF(ISNA(MATCH(X8708,X$256:X8707,0)),1,0))</f>
        <v/>
      </c>
      <c r="AC8708">
        <f>IF(AB8708&gt;AB8707,AB8708,"")</f>
        <v/>
      </c>
    </row>
    <row r="8709">
      <c r="W8709" s="7" t="n"/>
      <c r="X8709" s="7" t="n"/>
      <c r="Z8709">
        <f>Z8708+IF(W8709="",0,IF(ISNA(MATCH(W8709,W$256:W8708,0)),1,0))</f>
        <v/>
      </c>
      <c r="AA8709">
        <f>IF(Z8709&gt;Z8708,Z8709,"")</f>
        <v/>
      </c>
      <c r="AB8709">
        <f>AB8708+IF(X8709="",0,IF(ISNA(MATCH(X8709,X$256:X8708,0)),1,0))</f>
        <v/>
      </c>
      <c r="AC8709">
        <f>IF(AB8709&gt;AB8708,AB8709,"")</f>
        <v/>
      </c>
    </row>
    <row r="8710">
      <c r="W8710" s="7" t="n"/>
      <c r="X8710" s="7" t="n"/>
      <c r="Z8710">
        <f>Z8709+IF(W8710="",0,IF(ISNA(MATCH(W8710,W$256:W8709,0)),1,0))</f>
        <v/>
      </c>
      <c r="AA8710">
        <f>IF(Z8710&gt;Z8709,Z8710,"")</f>
        <v/>
      </c>
      <c r="AB8710">
        <f>AB8709+IF(X8710="",0,IF(ISNA(MATCH(X8710,X$256:X8709,0)),1,0))</f>
        <v/>
      </c>
      <c r="AC8710">
        <f>IF(AB8710&gt;AB8709,AB8710,"")</f>
        <v/>
      </c>
    </row>
    <row r="8711">
      <c r="W8711" s="7" t="n"/>
      <c r="X8711" s="7" t="n"/>
      <c r="Z8711">
        <f>Z8710+IF(W8711="",0,IF(ISNA(MATCH(W8711,W$256:W8710,0)),1,0))</f>
        <v/>
      </c>
      <c r="AA8711">
        <f>IF(Z8711&gt;Z8710,Z8711,"")</f>
        <v/>
      </c>
      <c r="AB8711">
        <f>AB8710+IF(X8711="",0,IF(ISNA(MATCH(X8711,X$256:X8710,0)),1,0))</f>
        <v/>
      </c>
      <c r="AC8711">
        <f>IF(AB8711&gt;AB8710,AB8711,"")</f>
        <v/>
      </c>
    </row>
    <row r="8712">
      <c r="W8712" s="7" t="n"/>
      <c r="X8712" s="7" t="n"/>
      <c r="Z8712">
        <f>Z8711+IF(W8712="",0,IF(ISNA(MATCH(W8712,W$256:W8711,0)),1,0))</f>
        <v/>
      </c>
      <c r="AA8712">
        <f>IF(Z8712&gt;Z8711,Z8712,"")</f>
        <v/>
      </c>
      <c r="AB8712">
        <f>AB8711+IF(X8712="",0,IF(ISNA(MATCH(X8712,X$256:X8711,0)),1,0))</f>
        <v/>
      </c>
      <c r="AC8712">
        <f>IF(AB8712&gt;AB8711,AB8712,"")</f>
        <v/>
      </c>
    </row>
    <row r="8713">
      <c r="W8713" s="7" t="n"/>
      <c r="X8713" s="7" t="n"/>
      <c r="Z8713">
        <f>Z8712+IF(W8713="",0,IF(ISNA(MATCH(W8713,W$256:W8712,0)),1,0))</f>
        <v/>
      </c>
      <c r="AA8713">
        <f>IF(Z8713&gt;Z8712,Z8713,"")</f>
        <v/>
      </c>
      <c r="AB8713">
        <f>AB8712+IF(X8713="",0,IF(ISNA(MATCH(X8713,X$256:X8712,0)),1,0))</f>
        <v/>
      </c>
      <c r="AC8713">
        <f>IF(AB8713&gt;AB8712,AB8713,"")</f>
        <v/>
      </c>
    </row>
    <row r="8714">
      <c r="W8714" s="7" t="n"/>
      <c r="X8714" s="7" t="n"/>
      <c r="Z8714">
        <f>Z8713+IF(W8714="",0,IF(ISNA(MATCH(W8714,W$256:W8713,0)),1,0))</f>
        <v/>
      </c>
      <c r="AA8714">
        <f>IF(Z8714&gt;Z8713,Z8714,"")</f>
        <v/>
      </c>
      <c r="AB8714">
        <f>AB8713+IF(X8714="",0,IF(ISNA(MATCH(X8714,X$256:X8713,0)),1,0))</f>
        <v/>
      </c>
      <c r="AC8714">
        <f>IF(AB8714&gt;AB8713,AB8714,"")</f>
        <v/>
      </c>
    </row>
    <row r="8715">
      <c r="W8715" s="7" t="n"/>
      <c r="X8715" s="7" t="n"/>
      <c r="Z8715">
        <f>Z8714+IF(W8715="",0,IF(ISNA(MATCH(W8715,W$256:W8714,0)),1,0))</f>
        <v/>
      </c>
      <c r="AA8715">
        <f>IF(Z8715&gt;Z8714,Z8715,"")</f>
        <v/>
      </c>
      <c r="AB8715">
        <f>AB8714+IF(X8715="",0,IF(ISNA(MATCH(X8715,X$256:X8714,0)),1,0))</f>
        <v/>
      </c>
      <c r="AC8715">
        <f>IF(AB8715&gt;AB8714,AB8715,"")</f>
        <v/>
      </c>
    </row>
    <row r="8716">
      <c r="W8716" s="7" t="n"/>
      <c r="X8716" s="7" t="n"/>
      <c r="Z8716">
        <f>Z8715+IF(W8716="",0,IF(ISNA(MATCH(W8716,W$256:W8715,0)),1,0))</f>
        <v/>
      </c>
      <c r="AA8716">
        <f>IF(Z8716&gt;Z8715,Z8716,"")</f>
        <v/>
      </c>
      <c r="AB8716">
        <f>AB8715+IF(X8716="",0,IF(ISNA(MATCH(X8716,X$256:X8715,0)),1,0))</f>
        <v/>
      </c>
      <c r="AC8716">
        <f>IF(AB8716&gt;AB8715,AB8716,"")</f>
        <v/>
      </c>
    </row>
    <row r="8717">
      <c r="W8717" s="7" t="n"/>
      <c r="X8717" s="7" t="n"/>
      <c r="Z8717">
        <f>Z8716+IF(W8717="",0,IF(ISNA(MATCH(W8717,W$256:W8716,0)),1,0))</f>
        <v/>
      </c>
      <c r="AA8717">
        <f>IF(Z8717&gt;Z8716,Z8717,"")</f>
        <v/>
      </c>
      <c r="AB8717">
        <f>AB8716+IF(X8717="",0,IF(ISNA(MATCH(X8717,X$256:X8716,0)),1,0))</f>
        <v/>
      </c>
      <c r="AC8717">
        <f>IF(AB8717&gt;AB8716,AB8717,"")</f>
        <v/>
      </c>
    </row>
    <row r="8718">
      <c r="W8718" s="7" t="n"/>
      <c r="X8718" s="7" t="n"/>
      <c r="Z8718">
        <f>Z8717+IF(W8718="",0,IF(ISNA(MATCH(W8718,W$256:W8717,0)),1,0))</f>
        <v/>
      </c>
      <c r="AA8718">
        <f>IF(Z8718&gt;Z8717,Z8718,"")</f>
        <v/>
      </c>
      <c r="AB8718">
        <f>AB8717+IF(X8718="",0,IF(ISNA(MATCH(X8718,X$256:X8717,0)),1,0))</f>
        <v/>
      </c>
      <c r="AC8718">
        <f>IF(AB8718&gt;AB8717,AB8718,"")</f>
        <v/>
      </c>
    </row>
    <row r="8719">
      <c r="W8719" s="7" t="n"/>
      <c r="X8719" s="7" t="n"/>
      <c r="Z8719">
        <f>Z8718+IF(W8719="",0,IF(ISNA(MATCH(W8719,W$256:W8718,0)),1,0))</f>
        <v/>
      </c>
      <c r="AA8719">
        <f>IF(Z8719&gt;Z8718,Z8719,"")</f>
        <v/>
      </c>
      <c r="AB8719">
        <f>AB8718+IF(X8719="",0,IF(ISNA(MATCH(X8719,X$256:X8718,0)),1,0))</f>
        <v/>
      </c>
      <c r="AC8719">
        <f>IF(AB8719&gt;AB8718,AB8719,"")</f>
        <v/>
      </c>
    </row>
    <row r="8720">
      <c r="W8720" s="7" t="n"/>
      <c r="X8720" s="7" t="n"/>
      <c r="Z8720">
        <f>Z8719+IF(W8720="",0,IF(ISNA(MATCH(W8720,W$256:W8719,0)),1,0))</f>
        <v/>
      </c>
      <c r="AA8720">
        <f>IF(Z8720&gt;Z8719,Z8720,"")</f>
        <v/>
      </c>
      <c r="AB8720">
        <f>AB8719+IF(X8720="",0,IF(ISNA(MATCH(X8720,X$256:X8719,0)),1,0))</f>
        <v/>
      </c>
      <c r="AC8720">
        <f>IF(AB8720&gt;AB8719,AB8720,"")</f>
        <v/>
      </c>
    </row>
    <row r="8721">
      <c r="W8721" s="7" t="n"/>
      <c r="X8721" s="7" t="n"/>
      <c r="Z8721">
        <f>Z8720+IF(W8721="",0,IF(ISNA(MATCH(W8721,W$256:W8720,0)),1,0))</f>
        <v/>
      </c>
      <c r="AA8721">
        <f>IF(Z8721&gt;Z8720,Z8721,"")</f>
        <v/>
      </c>
      <c r="AB8721">
        <f>AB8720+IF(X8721="",0,IF(ISNA(MATCH(X8721,X$256:X8720,0)),1,0))</f>
        <v/>
      </c>
      <c r="AC8721">
        <f>IF(AB8721&gt;AB8720,AB8721,"")</f>
        <v/>
      </c>
    </row>
    <row r="8722">
      <c r="W8722" s="7" t="n"/>
      <c r="X8722" s="7" t="n"/>
      <c r="Z8722">
        <f>Z8721+IF(W8722="",0,IF(ISNA(MATCH(W8722,W$256:W8721,0)),1,0))</f>
        <v/>
      </c>
      <c r="AA8722">
        <f>IF(Z8722&gt;Z8721,Z8722,"")</f>
        <v/>
      </c>
      <c r="AB8722">
        <f>AB8721+IF(X8722="",0,IF(ISNA(MATCH(X8722,X$256:X8721,0)),1,0))</f>
        <v/>
      </c>
      <c r="AC8722">
        <f>IF(AB8722&gt;AB8721,AB8722,"")</f>
        <v/>
      </c>
    </row>
    <row r="8723">
      <c r="W8723" s="7" t="n"/>
      <c r="X8723" s="7" t="n"/>
      <c r="Z8723">
        <f>Z8722+IF(W8723="",0,IF(ISNA(MATCH(W8723,W$256:W8722,0)),1,0))</f>
        <v/>
      </c>
      <c r="AA8723">
        <f>IF(Z8723&gt;Z8722,Z8723,"")</f>
        <v/>
      </c>
      <c r="AB8723">
        <f>AB8722+IF(X8723="",0,IF(ISNA(MATCH(X8723,X$256:X8722,0)),1,0))</f>
        <v/>
      </c>
      <c r="AC8723">
        <f>IF(AB8723&gt;AB8722,AB8723,"")</f>
        <v/>
      </c>
    </row>
    <row r="8724">
      <c r="W8724" s="7" t="n"/>
      <c r="X8724" s="7" t="n"/>
      <c r="Z8724">
        <f>Z8723+IF(W8724="",0,IF(ISNA(MATCH(W8724,W$256:W8723,0)),1,0))</f>
        <v/>
      </c>
      <c r="AA8724">
        <f>IF(Z8724&gt;Z8723,Z8724,"")</f>
        <v/>
      </c>
      <c r="AB8724">
        <f>AB8723+IF(X8724="",0,IF(ISNA(MATCH(X8724,X$256:X8723,0)),1,0))</f>
        <v/>
      </c>
      <c r="AC8724">
        <f>IF(AB8724&gt;AB8723,AB8724,"")</f>
        <v/>
      </c>
    </row>
    <row r="8725">
      <c r="W8725" s="7" t="n"/>
      <c r="X8725" s="7" t="n"/>
      <c r="Z8725">
        <f>Z8724+IF(W8725="",0,IF(ISNA(MATCH(W8725,W$256:W8724,0)),1,0))</f>
        <v/>
      </c>
      <c r="AA8725">
        <f>IF(Z8725&gt;Z8724,Z8725,"")</f>
        <v/>
      </c>
      <c r="AB8725">
        <f>AB8724+IF(X8725="",0,IF(ISNA(MATCH(X8725,X$256:X8724,0)),1,0))</f>
        <v/>
      </c>
      <c r="AC8725">
        <f>IF(AB8725&gt;AB8724,AB8725,"")</f>
        <v/>
      </c>
    </row>
    <row r="8726">
      <c r="W8726" s="7" t="n"/>
      <c r="X8726" s="7" t="n"/>
      <c r="Z8726">
        <f>Z8725+IF(W8726="",0,IF(ISNA(MATCH(W8726,W$256:W8725,0)),1,0))</f>
        <v/>
      </c>
      <c r="AA8726">
        <f>IF(Z8726&gt;Z8725,Z8726,"")</f>
        <v/>
      </c>
      <c r="AB8726">
        <f>AB8725+IF(X8726="",0,IF(ISNA(MATCH(X8726,X$256:X8725,0)),1,0))</f>
        <v/>
      </c>
      <c r="AC8726">
        <f>IF(AB8726&gt;AB8725,AB8726,"")</f>
        <v/>
      </c>
    </row>
    <row r="8727">
      <c r="W8727" s="7" t="n"/>
      <c r="X8727" s="7" t="n"/>
      <c r="Z8727">
        <f>Z8726+IF(W8727="",0,IF(ISNA(MATCH(W8727,W$256:W8726,0)),1,0))</f>
        <v/>
      </c>
      <c r="AA8727">
        <f>IF(Z8727&gt;Z8726,Z8727,"")</f>
        <v/>
      </c>
      <c r="AB8727">
        <f>AB8726+IF(X8727="",0,IF(ISNA(MATCH(X8727,X$256:X8726,0)),1,0))</f>
        <v/>
      </c>
      <c r="AC8727">
        <f>IF(AB8727&gt;AB8726,AB8727,"")</f>
        <v/>
      </c>
    </row>
    <row r="8728">
      <c r="W8728" s="7" t="n"/>
      <c r="X8728" s="7" t="n"/>
      <c r="Z8728">
        <f>Z8727+IF(W8728="",0,IF(ISNA(MATCH(W8728,W$256:W8727,0)),1,0))</f>
        <v/>
      </c>
      <c r="AA8728">
        <f>IF(Z8728&gt;Z8727,Z8728,"")</f>
        <v/>
      </c>
      <c r="AB8728">
        <f>AB8727+IF(X8728="",0,IF(ISNA(MATCH(X8728,X$256:X8727,0)),1,0))</f>
        <v/>
      </c>
      <c r="AC8728">
        <f>IF(AB8728&gt;AB8727,AB8728,"")</f>
        <v/>
      </c>
    </row>
    <row r="8729">
      <c r="W8729" s="7" t="n"/>
      <c r="X8729" s="7" t="n"/>
      <c r="Z8729">
        <f>Z8728+IF(W8729="",0,IF(ISNA(MATCH(W8729,W$256:W8728,0)),1,0))</f>
        <v/>
      </c>
      <c r="AA8729">
        <f>IF(Z8729&gt;Z8728,Z8729,"")</f>
        <v/>
      </c>
      <c r="AB8729">
        <f>AB8728+IF(X8729="",0,IF(ISNA(MATCH(X8729,X$256:X8728,0)),1,0))</f>
        <v/>
      </c>
      <c r="AC8729">
        <f>IF(AB8729&gt;AB8728,AB8729,"")</f>
        <v/>
      </c>
    </row>
    <row r="8730">
      <c r="W8730" s="7" t="n"/>
      <c r="X8730" s="7" t="n"/>
      <c r="Z8730">
        <f>Z8729+IF(W8730="",0,IF(ISNA(MATCH(W8730,W$256:W8729,0)),1,0))</f>
        <v/>
      </c>
      <c r="AA8730">
        <f>IF(Z8730&gt;Z8729,Z8730,"")</f>
        <v/>
      </c>
      <c r="AB8730">
        <f>AB8729+IF(X8730="",0,IF(ISNA(MATCH(X8730,X$256:X8729,0)),1,0))</f>
        <v/>
      </c>
      <c r="AC8730">
        <f>IF(AB8730&gt;AB8729,AB8730,"")</f>
        <v/>
      </c>
    </row>
    <row r="8731">
      <c r="W8731" s="7" t="n"/>
      <c r="X8731" s="7" t="n"/>
      <c r="Z8731">
        <f>Z8730+IF(W8731="",0,IF(ISNA(MATCH(W8731,W$256:W8730,0)),1,0))</f>
        <v/>
      </c>
      <c r="AA8731">
        <f>IF(Z8731&gt;Z8730,Z8731,"")</f>
        <v/>
      </c>
      <c r="AB8731">
        <f>AB8730+IF(X8731="",0,IF(ISNA(MATCH(X8731,X$256:X8730,0)),1,0))</f>
        <v/>
      </c>
      <c r="AC8731">
        <f>IF(AB8731&gt;AB8730,AB8731,"")</f>
        <v/>
      </c>
    </row>
    <row r="8732">
      <c r="W8732" s="7" t="n"/>
      <c r="X8732" s="7" t="n"/>
      <c r="Z8732">
        <f>Z8731+IF(W8732="",0,IF(ISNA(MATCH(W8732,W$256:W8731,0)),1,0))</f>
        <v/>
      </c>
      <c r="AA8732">
        <f>IF(Z8732&gt;Z8731,Z8732,"")</f>
        <v/>
      </c>
      <c r="AB8732">
        <f>AB8731+IF(X8732="",0,IF(ISNA(MATCH(X8732,X$256:X8731,0)),1,0))</f>
        <v/>
      </c>
      <c r="AC8732">
        <f>IF(AB8732&gt;AB8731,AB8732,"")</f>
        <v/>
      </c>
    </row>
    <row r="8733">
      <c r="W8733" s="7" t="n"/>
      <c r="X8733" s="7" t="n"/>
      <c r="Z8733">
        <f>Z8732+IF(W8733="",0,IF(ISNA(MATCH(W8733,W$256:W8732,0)),1,0))</f>
        <v/>
      </c>
      <c r="AA8733">
        <f>IF(Z8733&gt;Z8732,Z8733,"")</f>
        <v/>
      </c>
      <c r="AB8733">
        <f>AB8732+IF(X8733="",0,IF(ISNA(MATCH(X8733,X$256:X8732,0)),1,0))</f>
        <v/>
      </c>
      <c r="AC8733">
        <f>IF(AB8733&gt;AB8732,AB8733,"")</f>
        <v/>
      </c>
    </row>
    <row r="8734">
      <c r="W8734" s="7" t="n"/>
      <c r="X8734" s="7" t="n"/>
      <c r="Z8734">
        <f>Z8733+IF(W8734="",0,IF(ISNA(MATCH(W8734,W$256:W8733,0)),1,0))</f>
        <v/>
      </c>
      <c r="AA8734">
        <f>IF(Z8734&gt;Z8733,Z8734,"")</f>
        <v/>
      </c>
      <c r="AB8734">
        <f>AB8733+IF(X8734="",0,IF(ISNA(MATCH(X8734,X$256:X8733,0)),1,0))</f>
        <v/>
      </c>
      <c r="AC8734">
        <f>IF(AB8734&gt;AB8733,AB8734,"")</f>
        <v/>
      </c>
    </row>
    <row r="8735">
      <c r="W8735" s="7" t="n"/>
      <c r="X8735" s="7" t="n"/>
      <c r="Z8735">
        <f>Z8734+IF(W8735="",0,IF(ISNA(MATCH(W8735,W$256:W8734,0)),1,0))</f>
        <v/>
      </c>
      <c r="AA8735">
        <f>IF(Z8735&gt;Z8734,Z8735,"")</f>
        <v/>
      </c>
      <c r="AB8735">
        <f>AB8734+IF(X8735="",0,IF(ISNA(MATCH(X8735,X$256:X8734,0)),1,0))</f>
        <v/>
      </c>
      <c r="AC8735">
        <f>IF(AB8735&gt;AB8734,AB8735,"")</f>
        <v/>
      </c>
    </row>
    <row r="8736">
      <c r="W8736" s="7" t="n"/>
      <c r="X8736" s="7" t="n"/>
      <c r="Z8736">
        <f>Z8735+IF(W8736="",0,IF(ISNA(MATCH(W8736,W$256:W8735,0)),1,0))</f>
        <v/>
      </c>
      <c r="AA8736">
        <f>IF(Z8736&gt;Z8735,Z8736,"")</f>
        <v/>
      </c>
      <c r="AB8736">
        <f>AB8735+IF(X8736="",0,IF(ISNA(MATCH(X8736,X$256:X8735,0)),1,0))</f>
        <v/>
      </c>
      <c r="AC8736">
        <f>IF(AB8736&gt;AB8735,AB8736,"")</f>
        <v/>
      </c>
    </row>
    <row r="8737">
      <c r="W8737" s="7" t="n"/>
      <c r="X8737" s="7" t="n"/>
      <c r="Z8737">
        <f>Z8736+IF(W8737="",0,IF(ISNA(MATCH(W8737,W$256:W8736,0)),1,0))</f>
        <v/>
      </c>
      <c r="AA8737">
        <f>IF(Z8737&gt;Z8736,Z8737,"")</f>
        <v/>
      </c>
      <c r="AB8737">
        <f>AB8736+IF(X8737="",0,IF(ISNA(MATCH(X8737,X$256:X8736,0)),1,0))</f>
        <v/>
      </c>
      <c r="AC8737">
        <f>IF(AB8737&gt;AB8736,AB8737,"")</f>
        <v/>
      </c>
    </row>
    <row r="8738">
      <c r="W8738" s="7" t="n"/>
      <c r="X8738" s="7" t="n"/>
      <c r="Z8738">
        <f>Z8737+IF(W8738="",0,IF(ISNA(MATCH(W8738,W$256:W8737,0)),1,0))</f>
        <v/>
      </c>
      <c r="AA8738">
        <f>IF(Z8738&gt;Z8737,Z8738,"")</f>
        <v/>
      </c>
      <c r="AB8738">
        <f>AB8737+IF(X8738="",0,IF(ISNA(MATCH(X8738,X$256:X8737,0)),1,0))</f>
        <v/>
      </c>
      <c r="AC8738">
        <f>IF(AB8738&gt;AB8737,AB8738,"")</f>
        <v/>
      </c>
    </row>
    <row r="8739">
      <c r="W8739" s="7" t="n"/>
      <c r="X8739" s="7" t="n"/>
      <c r="Z8739">
        <f>Z8738+IF(W8739="",0,IF(ISNA(MATCH(W8739,W$256:W8738,0)),1,0))</f>
        <v/>
      </c>
      <c r="AA8739">
        <f>IF(Z8739&gt;Z8738,Z8739,"")</f>
        <v/>
      </c>
      <c r="AB8739">
        <f>AB8738+IF(X8739="",0,IF(ISNA(MATCH(X8739,X$256:X8738,0)),1,0))</f>
        <v/>
      </c>
      <c r="AC8739">
        <f>IF(AB8739&gt;AB8738,AB8739,"")</f>
        <v/>
      </c>
    </row>
    <row r="8740">
      <c r="W8740" s="7" t="n"/>
      <c r="X8740" s="7" t="n"/>
      <c r="Z8740">
        <f>Z8739+IF(W8740="",0,IF(ISNA(MATCH(W8740,W$256:W8739,0)),1,0))</f>
        <v/>
      </c>
      <c r="AA8740">
        <f>IF(Z8740&gt;Z8739,Z8740,"")</f>
        <v/>
      </c>
      <c r="AB8740">
        <f>AB8739+IF(X8740="",0,IF(ISNA(MATCH(X8740,X$256:X8739,0)),1,0))</f>
        <v/>
      </c>
      <c r="AC8740">
        <f>IF(AB8740&gt;AB8739,AB8740,"")</f>
        <v/>
      </c>
    </row>
    <row r="8741">
      <c r="W8741" s="7" t="n"/>
      <c r="X8741" s="7" t="n"/>
      <c r="Z8741">
        <f>Z8740+IF(W8741="",0,IF(ISNA(MATCH(W8741,W$256:W8740,0)),1,0))</f>
        <v/>
      </c>
      <c r="AA8741">
        <f>IF(Z8741&gt;Z8740,Z8741,"")</f>
        <v/>
      </c>
      <c r="AB8741">
        <f>AB8740+IF(X8741="",0,IF(ISNA(MATCH(X8741,X$256:X8740,0)),1,0))</f>
        <v/>
      </c>
      <c r="AC8741">
        <f>IF(AB8741&gt;AB8740,AB8741,"")</f>
        <v/>
      </c>
    </row>
    <row r="8742">
      <c r="W8742" s="7" t="n"/>
      <c r="X8742" s="7" t="n"/>
      <c r="Z8742">
        <f>Z8741+IF(W8742="",0,IF(ISNA(MATCH(W8742,W$256:W8741,0)),1,0))</f>
        <v/>
      </c>
      <c r="AA8742">
        <f>IF(Z8742&gt;Z8741,Z8742,"")</f>
        <v/>
      </c>
      <c r="AB8742">
        <f>AB8741+IF(X8742="",0,IF(ISNA(MATCH(X8742,X$256:X8741,0)),1,0))</f>
        <v/>
      </c>
      <c r="AC8742">
        <f>IF(AB8742&gt;AB8741,AB8742,"")</f>
        <v/>
      </c>
    </row>
    <row r="8743">
      <c r="W8743" s="7" t="n"/>
      <c r="X8743" s="7" t="n"/>
      <c r="Z8743">
        <f>Z8742+IF(W8743="",0,IF(ISNA(MATCH(W8743,W$256:W8742,0)),1,0))</f>
        <v/>
      </c>
      <c r="AA8743">
        <f>IF(Z8743&gt;Z8742,Z8743,"")</f>
        <v/>
      </c>
      <c r="AB8743">
        <f>AB8742+IF(X8743="",0,IF(ISNA(MATCH(X8743,X$256:X8742,0)),1,0))</f>
        <v/>
      </c>
      <c r="AC8743">
        <f>IF(AB8743&gt;AB8742,AB8743,"")</f>
        <v/>
      </c>
    </row>
    <row r="8744">
      <c r="W8744" s="7" t="n"/>
      <c r="X8744" s="7" t="n"/>
      <c r="Z8744">
        <f>Z8743+IF(W8744="",0,IF(ISNA(MATCH(W8744,W$256:W8743,0)),1,0))</f>
        <v/>
      </c>
      <c r="AA8744">
        <f>IF(Z8744&gt;Z8743,Z8744,"")</f>
        <v/>
      </c>
      <c r="AB8744">
        <f>AB8743+IF(X8744="",0,IF(ISNA(MATCH(X8744,X$256:X8743,0)),1,0))</f>
        <v/>
      </c>
      <c r="AC8744">
        <f>IF(AB8744&gt;AB8743,AB8744,"")</f>
        <v/>
      </c>
    </row>
    <row r="8745">
      <c r="W8745" s="7" t="n"/>
      <c r="X8745" s="7" t="n"/>
      <c r="Z8745">
        <f>Z8744+IF(W8745="",0,IF(ISNA(MATCH(W8745,W$256:W8744,0)),1,0))</f>
        <v/>
      </c>
      <c r="AA8745">
        <f>IF(Z8745&gt;Z8744,Z8745,"")</f>
        <v/>
      </c>
      <c r="AB8745">
        <f>AB8744+IF(X8745="",0,IF(ISNA(MATCH(X8745,X$256:X8744,0)),1,0))</f>
        <v/>
      </c>
      <c r="AC8745">
        <f>IF(AB8745&gt;AB8744,AB8745,"")</f>
        <v/>
      </c>
    </row>
    <row r="8746">
      <c r="W8746" s="7" t="n"/>
      <c r="X8746" s="7" t="n"/>
      <c r="Z8746">
        <f>Z8745+IF(W8746="",0,IF(ISNA(MATCH(W8746,W$256:W8745,0)),1,0))</f>
        <v/>
      </c>
      <c r="AA8746">
        <f>IF(Z8746&gt;Z8745,Z8746,"")</f>
        <v/>
      </c>
      <c r="AB8746">
        <f>AB8745+IF(X8746="",0,IF(ISNA(MATCH(X8746,X$256:X8745,0)),1,0))</f>
        <v/>
      </c>
      <c r="AC8746">
        <f>IF(AB8746&gt;AB8745,AB8746,"")</f>
        <v/>
      </c>
    </row>
    <row r="8747">
      <c r="W8747" s="7" t="n"/>
      <c r="X8747" s="7" t="n"/>
      <c r="Z8747">
        <f>Z8746+IF(W8747="",0,IF(ISNA(MATCH(W8747,W$256:W8746,0)),1,0))</f>
        <v/>
      </c>
      <c r="AA8747">
        <f>IF(Z8747&gt;Z8746,Z8747,"")</f>
        <v/>
      </c>
      <c r="AB8747">
        <f>AB8746+IF(X8747="",0,IF(ISNA(MATCH(X8747,X$256:X8746,0)),1,0))</f>
        <v/>
      </c>
      <c r="AC8747">
        <f>IF(AB8747&gt;AB8746,AB8747,"")</f>
        <v/>
      </c>
    </row>
    <row r="8748">
      <c r="W8748" s="7" t="n"/>
      <c r="X8748" s="7" t="n"/>
      <c r="Z8748">
        <f>Z8747+IF(W8748="",0,IF(ISNA(MATCH(W8748,W$256:W8747,0)),1,0))</f>
        <v/>
      </c>
      <c r="AA8748">
        <f>IF(Z8748&gt;Z8747,Z8748,"")</f>
        <v/>
      </c>
      <c r="AB8748">
        <f>AB8747+IF(X8748="",0,IF(ISNA(MATCH(X8748,X$256:X8747,0)),1,0))</f>
        <v/>
      </c>
      <c r="AC8748">
        <f>IF(AB8748&gt;AB8747,AB8748,"")</f>
        <v/>
      </c>
    </row>
    <row r="8749">
      <c r="W8749" s="7" t="n"/>
      <c r="X8749" s="7" t="n"/>
      <c r="Z8749">
        <f>Z8748+IF(W8749="",0,IF(ISNA(MATCH(W8749,W$256:W8748,0)),1,0))</f>
        <v/>
      </c>
      <c r="AA8749">
        <f>IF(Z8749&gt;Z8748,Z8749,"")</f>
        <v/>
      </c>
      <c r="AB8749">
        <f>AB8748+IF(X8749="",0,IF(ISNA(MATCH(X8749,X$256:X8748,0)),1,0))</f>
        <v/>
      </c>
      <c r="AC8749">
        <f>IF(AB8749&gt;AB8748,AB8749,"")</f>
        <v/>
      </c>
    </row>
    <row r="8750">
      <c r="W8750" s="7" t="n"/>
      <c r="X8750" s="7" t="n"/>
      <c r="Z8750">
        <f>Z8749+IF(W8750="",0,IF(ISNA(MATCH(W8750,W$256:W8749,0)),1,0))</f>
        <v/>
      </c>
      <c r="AA8750">
        <f>IF(Z8750&gt;Z8749,Z8750,"")</f>
        <v/>
      </c>
      <c r="AB8750">
        <f>AB8749+IF(X8750="",0,IF(ISNA(MATCH(X8750,X$256:X8749,0)),1,0))</f>
        <v/>
      </c>
      <c r="AC8750">
        <f>IF(AB8750&gt;AB8749,AB8750,"")</f>
        <v/>
      </c>
    </row>
    <row r="8751">
      <c r="W8751" s="7" t="n"/>
      <c r="X8751" s="7" t="n"/>
      <c r="Z8751">
        <f>Z8750+IF(W8751="",0,IF(ISNA(MATCH(W8751,W$256:W8750,0)),1,0))</f>
        <v/>
      </c>
      <c r="AA8751">
        <f>IF(Z8751&gt;Z8750,Z8751,"")</f>
        <v/>
      </c>
      <c r="AB8751">
        <f>AB8750+IF(X8751="",0,IF(ISNA(MATCH(X8751,X$256:X8750,0)),1,0))</f>
        <v/>
      </c>
      <c r="AC8751">
        <f>IF(AB8751&gt;AB8750,AB8751,"")</f>
        <v/>
      </c>
    </row>
    <row r="8752">
      <c r="W8752" s="7" t="n"/>
      <c r="X8752" s="7" t="n"/>
      <c r="Z8752">
        <f>Z8751+IF(W8752="",0,IF(ISNA(MATCH(W8752,W$256:W8751,0)),1,0))</f>
        <v/>
      </c>
      <c r="AA8752">
        <f>IF(Z8752&gt;Z8751,Z8752,"")</f>
        <v/>
      </c>
      <c r="AB8752">
        <f>AB8751+IF(X8752="",0,IF(ISNA(MATCH(X8752,X$256:X8751,0)),1,0))</f>
        <v/>
      </c>
      <c r="AC8752">
        <f>IF(AB8752&gt;AB8751,AB8752,"")</f>
        <v/>
      </c>
    </row>
    <row r="8753">
      <c r="W8753" s="7" t="n"/>
      <c r="X8753" s="7" t="n"/>
      <c r="Z8753">
        <f>Z8752+IF(W8753="",0,IF(ISNA(MATCH(W8753,W$256:W8752,0)),1,0))</f>
        <v/>
      </c>
      <c r="AA8753">
        <f>IF(Z8753&gt;Z8752,Z8753,"")</f>
        <v/>
      </c>
      <c r="AB8753">
        <f>AB8752+IF(X8753="",0,IF(ISNA(MATCH(X8753,X$256:X8752,0)),1,0))</f>
        <v/>
      </c>
      <c r="AC8753">
        <f>IF(AB8753&gt;AB8752,AB8753,"")</f>
        <v/>
      </c>
    </row>
    <row r="8754">
      <c r="W8754" s="7" t="n"/>
      <c r="X8754" s="7" t="n"/>
      <c r="Z8754">
        <f>Z8753+IF(W8754="",0,IF(ISNA(MATCH(W8754,W$256:W8753,0)),1,0))</f>
        <v/>
      </c>
      <c r="AA8754">
        <f>IF(Z8754&gt;Z8753,Z8754,"")</f>
        <v/>
      </c>
      <c r="AB8754">
        <f>AB8753+IF(X8754="",0,IF(ISNA(MATCH(X8754,X$256:X8753,0)),1,0))</f>
        <v/>
      </c>
      <c r="AC8754">
        <f>IF(AB8754&gt;AB8753,AB8754,"")</f>
        <v/>
      </c>
    </row>
    <row r="8755">
      <c r="W8755" s="7" t="n"/>
      <c r="X8755" s="7" t="n"/>
      <c r="Z8755">
        <f>Z8754+IF(W8755="",0,IF(ISNA(MATCH(W8755,W$256:W8754,0)),1,0))</f>
        <v/>
      </c>
      <c r="AA8755">
        <f>IF(Z8755&gt;Z8754,Z8755,"")</f>
        <v/>
      </c>
      <c r="AB8755">
        <f>AB8754+IF(X8755="",0,IF(ISNA(MATCH(X8755,X$256:X8754,0)),1,0))</f>
        <v/>
      </c>
      <c r="AC8755">
        <f>IF(AB8755&gt;AB8754,AB8755,"")</f>
        <v/>
      </c>
    </row>
    <row r="8756">
      <c r="W8756" s="7" t="n"/>
      <c r="X8756" s="7" t="n"/>
      <c r="Z8756">
        <f>Z8755+IF(W8756="",0,IF(ISNA(MATCH(W8756,W$256:W8755,0)),1,0))</f>
        <v/>
      </c>
      <c r="AA8756">
        <f>IF(Z8756&gt;Z8755,Z8756,"")</f>
        <v/>
      </c>
      <c r="AB8756">
        <f>AB8755+IF(X8756="",0,IF(ISNA(MATCH(X8756,X$256:X8755,0)),1,0))</f>
        <v/>
      </c>
      <c r="AC8756">
        <f>IF(AB8756&gt;AB8755,AB8756,"")</f>
        <v/>
      </c>
    </row>
    <row r="8757">
      <c r="W8757" s="7" t="n"/>
      <c r="X8757" s="7" t="n"/>
      <c r="Z8757">
        <f>Z8756+IF(W8757="",0,IF(ISNA(MATCH(W8757,W$256:W8756,0)),1,0))</f>
        <v/>
      </c>
      <c r="AA8757">
        <f>IF(Z8757&gt;Z8756,Z8757,"")</f>
        <v/>
      </c>
      <c r="AB8757">
        <f>AB8756+IF(X8757="",0,IF(ISNA(MATCH(X8757,X$256:X8756,0)),1,0))</f>
        <v/>
      </c>
      <c r="AC8757">
        <f>IF(AB8757&gt;AB8756,AB8757,"")</f>
        <v/>
      </c>
    </row>
    <row r="8758">
      <c r="W8758" s="7" t="n"/>
      <c r="X8758" s="7" t="n"/>
      <c r="Z8758">
        <f>Z8757+IF(W8758="",0,IF(ISNA(MATCH(W8758,W$256:W8757,0)),1,0))</f>
        <v/>
      </c>
      <c r="AA8758">
        <f>IF(Z8758&gt;Z8757,Z8758,"")</f>
        <v/>
      </c>
      <c r="AB8758">
        <f>AB8757+IF(X8758="",0,IF(ISNA(MATCH(X8758,X$256:X8757,0)),1,0))</f>
        <v/>
      </c>
      <c r="AC8758">
        <f>IF(AB8758&gt;AB8757,AB8758,"")</f>
        <v/>
      </c>
    </row>
    <row r="8759">
      <c r="W8759" s="7" t="n"/>
      <c r="X8759" s="7" t="n"/>
      <c r="Z8759">
        <f>Z8758+IF(W8759="",0,IF(ISNA(MATCH(W8759,W$256:W8758,0)),1,0))</f>
        <v/>
      </c>
      <c r="AA8759">
        <f>IF(Z8759&gt;Z8758,Z8759,"")</f>
        <v/>
      </c>
      <c r="AB8759">
        <f>AB8758+IF(X8759="",0,IF(ISNA(MATCH(X8759,X$256:X8758,0)),1,0))</f>
        <v/>
      </c>
      <c r="AC8759">
        <f>IF(AB8759&gt;AB8758,AB8759,"")</f>
        <v/>
      </c>
    </row>
    <row r="8760">
      <c r="W8760" s="7" t="n"/>
      <c r="X8760" s="7" t="n"/>
      <c r="Z8760">
        <f>Z8759+IF(W8760="",0,IF(ISNA(MATCH(W8760,W$256:W8759,0)),1,0))</f>
        <v/>
      </c>
      <c r="AA8760">
        <f>IF(Z8760&gt;Z8759,Z8760,"")</f>
        <v/>
      </c>
      <c r="AB8760">
        <f>AB8759+IF(X8760="",0,IF(ISNA(MATCH(X8760,X$256:X8759,0)),1,0))</f>
        <v/>
      </c>
      <c r="AC8760">
        <f>IF(AB8760&gt;AB8759,AB8760,"")</f>
        <v/>
      </c>
    </row>
    <row r="8761">
      <c r="W8761" s="7" t="n"/>
      <c r="X8761" s="7" t="n"/>
      <c r="Z8761">
        <f>Z8760+IF(W8761="",0,IF(ISNA(MATCH(W8761,W$256:W8760,0)),1,0))</f>
        <v/>
      </c>
      <c r="AA8761">
        <f>IF(Z8761&gt;Z8760,Z8761,"")</f>
        <v/>
      </c>
      <c r="AB8761">
        <f>AB8760+IF(X8761="",0,IF(ISNA(MATCH(X8761,X$256:X8760,0)),1,0))</f>
        <v/>
      </c>
      <c r="AC8761">
        <f>IF(AB8761&gt;AB8760,AB8761,"")</f>
        <v/>
      </c>
    </row>
    <row r="8762">
      <c r="W8762" s="7" t="n"/>
      <c r="X8762" s="7" t="n"/>
      <c r="Z8762">
        <f>Z8761+IF(W8762="",0,IF(ISNA(MATCH(W8762,W$256:W8761,0)),1,0))</f>
        <v/>
      </c>
      <c r="AA8762">
        <f>IF(Z8762&gt;Z8761,Z8762,"")</f>
        <v/>
      </c>
      <c r="AB8762">
        <f>AB8761+IF(X8762="",0,IF(ISNA(MATCH(X8762,X$256:X8761,0)),1,0))</f>
        <v/>
      </c>
      <c r="AC8762">
        <f>IF(AB8762&gt;AB8761,AB8762,"")</f>
        <v/>
      </c>
    </row>
    <row r="8763">
      <c r="W8763" s="7" t="n"/>
      <c r="X8763" s="7" t="n"/>
      <c r="Z8763">
        <f>Z8762+IF(W8763="",0,IF(ISNA(MATCH(W8763,W$256:W8762,0)),1,0))</f>
        <v/>
      </c>
      <c r="AA8763">
        <f>IF(Z8763&gt;Z8762,Z8763,"")</f>
        <v/>
      </c>
      <c r="AB8763">
        <f>AB8762+IF(X8763="",0,IF(ISNA(MATCH(X8763,X$256:X8762,0)),1,0))</f>
        <v/>
      </c>
      <c r="AC8763">
        <f>IF(AB8763&gt;AB8762,AB8763,"")</f>
        <v/>
      </c>
    </row>
    <row r="8764">
      <c r="W8764" s="7" t="n"/>
      <c r="X8764" s="7" t="n"/>
      <c r="Z8764">
        <f>Z8763+IF(W8764="",0,IF(ISNA(MATCH(W8764,W$256:W8763,0)),1,0))</f>
        <v/>
      </c>
      <c r="AA8764">
        <f>IF(Z8764&gt;Z8763,Z8764,"")</f>
        <v/>
      </c>
      <c r="AB8764">
        <f>AB8763+IF(X8764="",0,IF(ISNA(MATCH(X8764,X$256:X8763,0)),1,0))</f>
        <v/>
      </c>
      <c r="AC8764">
        <f>IF(AB8764&gt;AB8763,AB8764,"")</f>
        <v/>
      </c>
    </row>
    <row r="8765">
      <c r="W8765" s="7" t="n"/>
      <c r="X8765" s="7" t="n"/>
      <c r="Z8765">
        <f>Z8764+IF(W8765="",0,IF(ISNA(MATCH(W8765,W$256:W8764,0)),1,0))</f>
        <v/>
      </c>
      <c r="AA8765">
        <f>IF(Z8765&gt;Z8764,Z8765,"")</f>
        <v/>
      </c>
      <c r="AB8765">
        <f>AB8764+IF(X8765="",0,IF(ISNA(MATCH(X8765,X$256:X8764,0)),1,0))</f>
        <v/>
      </c>
      <c r="AC8765">
        <f>IF(AB8765&gt;AB8764,AB8765,"")</f>
        <v/>
      </c>
    </row>
    <row r="8766">
      <c r="W8766" s="7" t="n"/>
      <c r="X8766" s="7" t="n"/>
      <c r="Z8766">
        <f>Z8765+IF(W8766="",0,IF(ISNA(MATCH(W8766,W$256:W8765,0)),1,0))</f>
        <v/>
      </c>
      <c r="AA8766">
        <f>IF(Z8766&gt;Z8765,Z8766,"")</f>
        <v/>
      </c>
      <c r="AB8766">
        <f>AB8765+IF(X8766="",0,IF(ISNA(MATCH(X8766,X$256:X8765,0)),1,0))</f>
        <v/>
      </c>
      <c r="AC8766">
        <f>IF(AB8766&gt;AB8765,AB8766,"")</f>
        <v/>
      </c>
    </row>
    <row r="8767">
      <c r="W8767" s="7" t="n"/>
      <c r="X8767" s="7" t="n"/>
      <c r="Z8767">
        <f>Z8766+IF(W8767="",0,IF(ISNA(MATCH(W8767,W$256:W8766,0)),1,0))</f>
        <v/>
      </c>
      <c r="AA8767">
        <f>IF(Z8767&gt;Z8766,Z8767,"")</f>
        <v/>
      </c>
      <c r="AB8767">
        <f>AB8766+IF(X8767="",0,IF(ISNA(MATCH(X8767,X$256:X8766,0)),1,0))</f>
        <v/>
      </c>
      <c r="AC8767">
        <f>IF(AB8767&gt;AB8766,AB8767,"")</f>
        <v/>
      </c>
    </row>
    <row r="8768">
      <c r="W8768" s="7" t="n"/>
      <c r="X8768" s="7" t="n"/>
      <c r="Z8768">
        <f>Z8767+IF(W8768="",0,IF(ISNA(MATCH(W8768,W$256:W8767,0)),1,0))</f>
        <v/>
      </c>
      <c r="AA8768">
        <f>IF(Z8768&gt;Z8767,Z8768,"")</f>
        <v/>
      </c>
      <c r="AB8768">
        <f>AB8767+IF(X8768="",0,IF(ISNA(MATCH(X8768,X$256:X8767,0)),1,0))</f>
        <v/>
      </c>
      <c r="AC8768">
        <f>IF(AB8768&gt;AB8767,AB8768,"")</f>
        <v/>
      </c>
    </row>
    <row r="8769">
      <c r="W8769" s="7" t="n"/>
      <c r="X8769" s="7" t="n"/>
      <c r="Z8769">
        <f>Z8768+IF(W8769="",0,IF(ISNA(MATCH(W8769,W$256:W8768,0)),1,0))</f>
        <v/>
      </c>
      <c r="AA8769">
        <f>IF(Z8769&gt;Z8768,Z8769,"")</f>
        <v/>
      </c>
      <c r="AB8769">
        <f>AB8768+IF(X8769="",0,IF(ISNA(MATCH(X8769,X$256:X8768,0)),1,0))</f>
        <v/>
      </c>
      <c r="AC8769">
        <f>IF(AB8769&gt;AB8768,AB8769,"")</f>
        <v/>
      </c>
    </row>
    <row r="8770">
      <c r="W8770" s="7" t="n"/>
      <c r="X8770" s="7" t="n"/>
      <c r="Z8770">
        <f>Z8769+IF(W8770="",0,IF(ISNA(MATCH(W8770,W$256:W8769,0)),1,0))</f>
        <v/>
      </c>
      <c r="AA8770">
        <f>IF(Z8770&gt;Z8769,Z8770,"")</f>
        <v/>
      </c>
      <c r="AB8770">
        <f>AB8769+IF(X8770="",0,IF(ISNA(MATCH(X8770,X$256:X8769,0)),1,0))</f>
        <v/>
      </c>
      <c r="AC8770">
        <f>IF(AB8770&gt;AB8769,AB8770,"")</f>
        <v/>
      </c>
    </row>
    <row r="8771">
      <c r="W8771" s="7" t="n"/>
      <c r="X8771" s="7" t="n"/>
      <c r="Z8771">
        <f>Z8770+IF(W8771="",0,IF(ISNA(MATCH(W8771,W$256:W8770,0)),1,0))</f>
        <v/>
      </c>
      <c r="AA8771">
        <f>IF(Z8771&gt;Z8770,Z8771,"")</f>
        <v/>
      </c>
      <c r="AB8771">
        <f>AB8770+IF(X8771="",0,IF(ISNA(MATCH(X8771,X$256:X8770,0)),1,0))</f>
        <v/>
      </c>
      <c r="AC8771">
        <f>IF(AB8771&gt;AB8770,AB8771,"")</f>
        <v/>
      </c>
    </row>
    <row r="8772">
      <c r="W8772" s="7" t="n"/>
      <c r="X8772" s="7" t="n"/>
      <c r="Z8772">
        <f>Z8771+IF(W8772="",0,IF(ISNA(MATCH(W8772,W$256:W8771,0)),1,0))</f>
        <v/>
      </c>
      <c r="AA8772">
        <f>IF(Z8772&gt;Z8771,Z8772,"")</f>
        <v/>
      </c>
      <c r="AB8772">
        <f>AB8771+IF(X8772="",0,IF(ISNA(MATCH(X8772,X$256:X8771,0)),1,0))</f>
        <v/>
      </c>
      <c r="AC8772">
        <f>IF(AB8772&gt;AB8771,AB8772,"")</f>
        <v/>
      </c>
    </row>
    <row r="8773">
      <c r="W8773" s="7" t="n"/>
      <c r="X8773" s="7" t="n"/>
      <c r="Z8773">
        <f>Z8772+IF(W8773="",0,IF(ISNA(MATCH(W8773,W$256:W8772,0)),1,0))</f>
        <v/>
      </c>
      <c r="AA8773">
        <f>IF(Z8773&gt;Z8772,Z8773,"")</f>
        <v/>
      </c>
      <c r="AB8773">
        <f>AB8772+IF(X8773="",0,IF(ISNA(MATCH(X8773,X$256:X8772,0)),1,0))</f>
        <v/>
      </c>
      <c r="AC8773">
        <f>IF(AB8773&gt;AB8772,AB8773,"")</f>
        <v/>
      </c>
    </row>
    <row r="8774">
      <c r="W8774" s="7" t="n"/>
      <c r="X8774" s="7" t="n"/>
      <c r="Z8774">
        <f>Z8773+IF(W8774="",0,IF(ISNA(MATCH(W8774,W$256:W8773,0)),1,0))</f>
        <v/>
      </c>
      <c r="AA8774">
        <f>IF(Z8774&gt;Z8773,Z8774,"")</f>
        <v/>
      </c>
      <c r="AB8774">
        <f>AB8773+IF(X8774="",0,IF(ISNA(MATCH(X8774,X$256:X8773,0)),1,0))</f>
        <v/>
      </c>
      <c r="AC8774">
        <f>IF(AB8774&gt;AB8773,AB8774,"")</f>
        <v/>
      </c>
    </row>
    <row r="8775">
      <c r="W8775" s="7" t="n"/>
      <c r="X8775" s="7" t="n"/>
      <c r="Z8775">
        <f>Z8774+IF(W8775="",0,IF(ISNA(MATCH(W8775,W$256:W8774,0)),1,0))</f>
        <v/>
      </c>
      <c r="AA8775">
        <f>IF(Z8775&gt;Z8774,Z8775,"")</f>
        <v/>
      </c>
      <c r="AB8775">
        <f>AB8774+IF(X8775="",0,IF(ISNA(MATCH(X8775,X$256:X8774,0)),1,0))</f>
        <v/>
      </c>
      <c r="AC8775">
        <f>IF(AB8775&gt;AB8774,AB8775,"")</f>
        <v/>
      </c>
    </row>
    <row r="8776">
      <c r="W8776" s="7" t="n"/>
      <c r="X8776" s="7" t="n"/>
      <c r="Z8776">
        <f>Z8775+IF(W8776="",0,IF(ISNA(MATCH(W8776,W$256:W8775,0)),1,0))</f>
        <v/>
      </c>
      <c r="AA8776">
        <f>IF(Z8776&gt;Z8775,Z8776,"")</f>
        <v/>
      </c>
      <c r="AB8776">
        <f>AB8775+IF(X8776="",0,IF(ISNA(MATCH(X8776,X$256:X8775,0)),1,0))</f>
        <v/>
      </c>
      <c r="AC8776">
        <f>IF(AB8776&gt;AB8775,AB8776,"")</f>
        <v/>
      </c>
    </row>
    <row r="8777">
      <c r="W8777" s="7" t="n"/>
      <c r="X8777" s="7" t="n"/>
      <c r="Z8777">
        <f>Z8776+IF(W8777="",0,IF(ISNA(MATCH(W8777,W$256:W8776,0)),1,0))</f>
        <v/>
      </c>
      <c r="AA8777">
        <f>IF(Z8777&gt;Z8776,Z8777,"")</f>
        <v/>
      </c>
      <c r="AB8777">
        <f>AB8776+IF(X8777="",0,IF(ISNA(MATCH(X8777,X$256:X8776,0)),1,0))</f>
        <v/>
      </c>
      <c r="AC8777">
        <f>IF(AB8777&gt;AB8776,AB8777,"")</f>
        <v/>
      </c>
    </row>
    <row r="8778">
      <c r="W8778" s="7" t="n"/>
      <c r="X8778" s="7" t="n"/>
      <c r="Z8778">
        <f>Z8777+IF(W8778="",0,IF(ISNA(MATCH(W8778,W$256:W8777,0)),1,0))</f>
        <v/>
      </c>
      <c r="AA8778">
        <f>IF(Z8778&gt;Z8777,Z8778,"")</f>
        <v/>
      </c>
      <c r="AB8778">
        <f>AB8777+IF(X8778="",0,IF(ISNA(MATCH(X8778,X$256:X8777,0)),1,0))</f>
        <v/>
      </c>
      <c r="AC8778">
        <f>IF(AB8778&gt;AB8777,AB8778,"")</f>
        <v/>
      </c>
    </row>
    <row r="8779">
      <c r="W8779" s="7" t="n"/>
      <c r="X8779" s="7" t="n"/>
      <c r="Z8779">
        <f>Z8778+IF(W8779="",0,IF(ISNA(MATCH(W8779,W$256:W8778,0)),1,0))</f>
        <v/>
      </c>
      <c r="AA8779">
        <f>IF(Z8779&gt;Z8778,Z8779,"")</f>
        <v/>
      </c>
      <c r="AB8779">
        <f>AB8778+IF(X8779="",0,IF(ISNA(MATCH(X8779,X$256:X8778,0)),1,0))</f>
        <v/>
      </c>
      <c r="AC8779">
        <f>IF(AB8779&gt;AB8778,AB8779,"")</f>
        <v/>
      </c>
    </row>
    <row r="8780">
      <c r="W8780" s="7" t="n"/>
      <c r="X8780" s="7" t="n"/>
      <c r="Z8780">
        <f>Z8779+IF(W8780="",0,IF(ISNA(MATCH(W8780,W$256:W8779,0)),1,0))</f>
        <v/>
      </c>
      <c r="AA8780">
        <f>IF(Z8780&gt;Z8779,Z8780,"")</f>
        <v/>
      </c>
      <c r="AB8780">
        <f>AB8779+IF(X8780="",0,IF(ISNA(MATCH(X8780,X$256:X8779,0)),1,0))</f>
        <v/>
      </c>
      <c r="AC8780">
        <f>IF(AB8780&gt;AB8779,AB8780,"")</f>
        <v/>
      </c>
    </row>
    <row r="8781">
      <c r="W8781" s="7" t="n"/>
      <c r="X8781" s="7" t="n"/>
      <c r="Z8781">
        <f>Z8780+IF(W8781="",0,IF(ISNA(MATCH(W8781,W$256:W8780,0)),1,0))</f>
        <v/>
      </c>
      <c r="AA8781">
        <f>IF(Z8781&gt;Z8780,Z8781,"")</f>
        <v/>
      </c>
      <c r="AB8781">
        <f>AB8780+IF(X8781="",0,IF(ISNA(MATCH(X8781,X$256:X8780,0)),1,0))</f>
        <v/>
      </c>
      <c r="AC8781">
        <f>IF(AB8781&gt;AB8780,AB8781,"")</f>
        <v/>
      </c>
    </row>
    <row r="8782">
      <c r="W8782" s="7" t="n"/>
      <c r="X8782" s="7" t="n"/>
      <c r="Z8782">
        <f>Z8781+IF(W8782="",0,IF(ISNA(MATCH(W8782,W$256:W8781,0)),1,0))</f>
        <v/>
      </c>
      <c r="AA8782">
        <f>IF(Z8782&gt;Z8781,Z8782,"")</f>
        <v/>
      </c>
      <c r="AB8782">
        <f>AB8781+IF(X8782="",0,IF(ISNA(MATCH(X8782,X$256:X8781,0)),1,0))</f>
        <v/>
      </c>
      <c r="AC8782">
        <f>IF(AB8782&gt;AB8781,AB8782,"")</f>
        <v/>
      </c>
    </row>
    <row r="8783">
      <c r="W8783" s="7" t="n"/>
      <c r="X8783" s="7" t="n"/>
      <c r="Z8783">
        <f>Z8782+IF(W8783="",0,IF(ISNA(MATCH(W8783,W$256:W8782,0)),1,0))</f>
        <v/>
      </c>
      <c r="AA8783">
        <f>IF(Z8783&gt;Z8782,Z8783,"")</f>
        <v/>
      </c>
      <c r="AB8783">
        <f>AB8782+IF(X8783="",0,IF(ISNA(MATCH(X8783,X$256:X8782,0)),1,0))</f>
        <v/>
      </c>
      <c r="AC8783">
        <f>IF(AB8783&gt;AB8782,AB8783,"")</f>
        <v/>
      </c>
    </row>
    <row r="8784">
      <c r="W8784" s="7" t="n"/>
      <c r="X8784" s="7" t="n"/>
      <c r="Z8784">
        <f>Z8783+IF(W8784="",0,IF(ISNA(MATCH(W8784,W$256:W8783,0)),1,0))</f>
        <v/>
      </c>
      <c r="AA8784">
        <f>IF(Z8784&gt;Z8783,Z8784,"")</f>
        <v/>
      </c>
      <c r="AB8784">
        <f>AB8783+IF(X8784="",0,IF(ISNA(MATCH(X8784,X$256:X8783,0)),1,0))</f>
        <v/>
      </c>
      <c r="AC8784">
        <f>IF(AB8784&gt;AB8783,AB8784,"")</f>
        <v/>
      </c>
    </row>
    <row r="8785">
      <c r="W8785" s="7" t="n"/>
      <c r="X8785" s="7" t="n"/>
      <c r="Z8785">
        <f>Z8784+IF(W8785="",0,IF(ISNA(MATCH(W8785,W$256:W8784,0)),1,0))</f>
        <v/>
      </c>
      <c r="AA8785">
        <f>IF(Z8785&gt;Z8784,Z8785,"")</f>
        <v/>
      </c>
      <c r="AB8785">
        <f>AB8784+IF(X8785="",0,IF(ISNA(MATCH(X8785,X$256:X8784,0)),1,0))</f>
        <v/>
      </c>
      <c r="AC8785">
        <f>IF(AB8785&gt;AB8784,AB8785,"")</f>
        <v/>
      </c>
    </row>
    <row r="8786">
      <c r="W8786" s="7" t="n"/>
      <c r="X8786" s="7" t="n"/>
      <c r="Z8786">
        <f>Z8785+IF(W8786="",0,IF(ISNA(MATCH(W8786,W$256:W8785,0)),1,0))</f>
        <v/>
      </c>
      <c r="AA8786">
        <f>IF(Z8786&gt;Z8785,Z8786,"")</f>
        <v/>
      </c>
      <c r="AB8786">
        <f>AB8785+IF(X8786="",0,IF(ISNA(MATCH(X8786,X$256:X8785,0)),1,0))</f>
        <v/>
      </c>
      <c r="AC8786">
        <f>IF(AB8786&gt;AB8785,AB8786,"")</f>
        <v/>
      </c>
    </row>
    <row r="8787">
      <c r="W8787" s="7" t="n"/>
      <c r="X8787" s="7" t="n"/>
      <c r="Z8787">
        <f>Z8786+IF(W8787="",0,IF(ISNA(MATCH(W8787,W$256:W8786,0)),1,0))</f>
        <v/>
      </c>
      <c r="AA8787">
        <f>IF(Z8787&gt;Z8786,Z8787,"")</f>
        <v/>
      </c>
      <c r="AB8787">
        <f>AB8786+IF(X8787="",0,IF(ISNA(MATCH(X8787,X$256:X8786,0)),1,0))</f>
        <v/>
      </c>
      <c r="AC8787">
        <f>IF(AB8787&gt;AB8786,AB8787,"")</f>
        <v/>
      </c>
    </row>
    <row r="8788">
      <c r="W8788" s="7" t="n"/>
      <c r="X8788" s="7" t="n"/>
      <c r="Z8788">
        <f>Z8787+IF(W8788="",0,IF(ISNA(MATCH(W8788,W$256:W8787,0)),1,0))</f>
        <v/>
      </c>
      <c r="AA8788">
        <f>IF(Z8788&gt;Z8787,Z8788,"")</f>
        <v/>
      </c>
      <c r="AB8788">
        <f>AB8787+IF(X8788="",0,IF(ISNA(MATCH(X8788,X$256:X8787,0)),1,0))</f>
        <v/>
      </c>
      <c r="AC8788">
        <f>IF(AB8788&gt;AB8787,AB8788,"")</f>
        <v/>
      </c>
    </row>
    <row r="8789">
      <c r="W8789" s="7" t="n"/>
      <c r="X8789" s="7" t="n"/>
      <c r="Z8789">
        <f>Z8788+IF(W8789="",0,IF(ISNA(MATCH(W8789,W$256:W8788,0)),1,0))</f>
        <v/>
      </c>
      <c r="AA8789">
        <f>IF(Z8789&gt;Z8788,Z8789,"")</f>
        <v/>
      </c>
      <c r="AB8789">
        <f>AB8788+IF(X8789="",0,IF(ISNA(MATCH(X8789,X$256:X8788,0)),1,0))</f>
        <v/>
      </c>
      <c r="AC8789">
        <f>IF(AB8789&gt;AB8788,AB8789,"")</f>
        <v/>
      </c>
    </row>
    <row r="8790">
      <c r="W8790" s="7" t="n"/>
      <c r="X8790" s="7" t="n"/>
      <c r="Z8790">
        <f>Z8789+IF(W8790="",0,IF(ISNA(MATCH(W8790,W$256:W8789,0)),1,0))</f>
        <v/>
      </c>
      <c r="AA8790">
        <f>IF(Z8790&gt;Z8789,Z8790,"")</f>
        <v/>
      </c>
      <c r="AB8790">
        <f>AB8789+IF(X8790="",0,IF(ISNA(MATCH(X8790,X$256:X8789,0)),1,0))</f>
        <v/>
      </c>
      <c r="AC8790">
        <f>IF(AB8790&gt;AB8789,AB8790,"")</f>
        <v/>
      </c>
    </row>
    <row r="8791">
      <c r="W8791" s="7" t="n"/>
      <c r="X8791" s="7" t="n"/>
      <c r="Z8791">
        <f>Z8790+IF(W8791="",0,IF(ISNA(MATCH(W8791,W$256:W8790,0)),1,0))</f>
        <v/>
      </c>
      <c r="AA8791">
        <f>IF(Z8791&gt;Z8790,Z8791,"")</f>
        <v/>
      </c>
      <c r="AB8791">
        <f>AB8790+IF(X8791="",0,IF(ISNA(MATCH(X8791,X$256:X8790,0)),1,0))</f>
        <v/>
      </c>
      <c r="AC8791">
        <f>IF(AB8791&gt;AB8790,AB8791,"")</f>
        <v/>
      </c>
    </row>
    <row r="8792">
      <c r="W8792" s="7" t="n"/>
      <c r="X8792" s="7" t="n"/>
      <c r="Z8792">
        <f>Z8791+IF(W8792="",0,IF(ISNA(MATCH(W8792,W$256:W8791,0)),1,0))</f>
        <v/>
      </c>
      <c r="AA8792">
        <f>IF(Z8792&gt;Z8791,Z8792,"")</f>
        <v/>
      </c>
      <c r="AB8792">
        <f>AB8791+IF(X8792="",0,IF(ISNA(MATCH(X8792,X$256:X8791,0)),1,0))</f>
        <v/>
      </c>
      <c r="AC8792">
        <f>IF(AB8792&gt;AB8791,AB8792,"")</f>
        <v/>
      </c>
    </row>
    <row r="8793">
      <c r="W8793" s="7" t="n"/>
      <c r="X8793" s="7" t="n"/>
      <c r="Z8793">
        <f>Z8792+IF(W8793="",0,IF(ISNA(MATCH(W8793,W$256:W8792,0)),1,0))</f>
        <v/>
      </c>
      <c r="AA8793">
        <f>IF(Z8793&gt;Z8792,Z8793,"")</f>
        <v/>
      </c>
      <c r="AB8793">
        <f>AB8792+IF(X8793="",0,IF(ISNA(MATCH(X8793,X$256:X8792,0)),1,0))</f>
        <v/>
      </c>
      <c r="AC8793">
        <f>IF(AB8793&gt;AB8792,AB8793,"")</f>
        <v/>
      </c>
    </row>
    <row r="8794">
      <c r="W8794" s="7" t="n"/>
      <c r="X8794" s="7" t="n"/>
      <c r="Z8794">
        <f>Z8793+IF(W8794="",0,IF(ISNA(MATCH(W8794,W$256:W8793,0)),1,0))</f>
        <v/>
      </c>
      <c r="AA8794">
        <f>IF(Z8794&gt;Z8793,Z8794,"")</f>
        <v/>
      </c>
      <c r="AB8794">
        <f>AB8793+IF(X8794="",0,IF(ISNA(MATCH(X8794,X$256:X8793,0)),1,0))</f>
        <v/>
      </c>
      <c r="AC8794">
        <f>IF(AB8794&gt;AB8793,AB8794,"")</f>
        <v/>
      </c>
    </row>
    <row r="8795">
      <c r="W8795" s="7" t="n"/>
      <c r="X8795" s="7" t="n"/>
      <c r="Z8795">
        <f>Z8794+IF(W8795="",0,IF(ISNA(MATCH(W8795,W$256:W8794,0)),1,0))</f>
        <v/>
      </c>
      <c r="AA8795">
        <f>IF(Z8795&gt;Z8794,Z8795,"")</f>
        <v/>
      </c>
      <c r="AB8795">
        <f>AB8794+IF(X8795="",0,IF(ISNA(MATCH(X8795,X$256:X8794,0)),1,0))</f>
        <v/>
      </c>
      <c r="AC8795">
        <f>IF(AB8795&gt;AB8794,AB8795,"")</f>
        <v/>
      </c>
    </row>
    <row r="8796">
      <c r="W8796" s="7" t="n"/>
      <c r="X8796" s="7" t="n"/>
      <c r="Z8796">
        <f>Z8795+IF(W8796="",0,IF(ISNA(MATCH(W8796,W$256:W8795,0)),1,0))</f>
        <v/>
      </c>
      <c r="AA8796">
        <f>IF(Z8796&gt;Z8795,Z8796,"")</f>
        <v/>
      </c>
      <c r="AB8796">
        <f>AB8795+IF(X8796="",0,IF(ISNA(MATCH(X8796,X$256:X8795,0)),1,0))</f>
        <v/>
      </c>
      <c r="AC8796">
        <f>IF(AB8796&gt;AB8795,AB8796,"")</f>
        <v/>
      </c>
    </row>
    <row r="8797">
      <c r="W8797" s="7" t="n"/>
      <c r="X8797" s="7" t="n"/>
      <c r="Z8797">
        <f>Z8796+IF(W8797="",0,IF(ISNA(MATCH(W8797,W$256:W8796,0)),1,0))</f>
        <v/>
      </c>
      <c r="AA8797">
        <f>IF(Z8797&gt;Z8796,Z8797,"")</f>
        <v/>
      </c>
      <c r="AB8797">
        <f>AB8796+IF(X8797="",0,IF(ISNA(MATCH(X8797,X$256:X8796,0)),1,0))</f>
        <v/>
      </c>
      <c r="AC8797">
        <f>IF(AB8797&gt;AB8796,AB8797,"")</f>
        <v/>
      </c>
    </row>
    <row r="8798">
      <c r="W8798" s="7" t="n"/>
      <c r="X8798" s="7" t="n"/>
      <c r="Z8798">
        <f>Z8797+IF(W8798="",0,IF(ISNA(MATCH(W8798,W$256:W8797,0)),1,0))</f>
        <v/>
      </c>
      <c r="AA8798">
        <f>IF(Z8798&gt;Z8797,Z8798,"")</f>
        <v/>
      </c>
      <c r="AB8798">
        <f>AB8797+IF(X8798="",0,IF(ISNA(MATCH(X8798,X$256:X8797,0)),1,0))</f>
        <v/>
      </c>
      <c r="AC8798">
        <f>IF(AB8798&gt;AB8797,AB8798,"")</f>
        <v/>
      </c>
    </row>
    <row r="8799">
      <c r="W8799" s="7" t="n"/>
      <c r="X8799" s="7" t="n"/>
      <c r="Z8799">
        <f>Z8798+IF(W8799="",0,IF(ISNA(MATCH(W8799,W$256:W8798,0)),1,0))</f>
        <v/>
      </c>
      <c r="AA8799">
        <f>IF(Z8799&gt;Z8798,Z8799,"")</f>
        <v/>
      </c>
      <c r="AB8799">
        <f>AB8798+IF(X8799="",0,IF(ISNA(MATCH(X8799,X$256:X8798,0)),1,0))</f>
        <v/>
      </c>
      <c r="AC8799">
        <f>IF(AB8799&gt;AB8798,AB8799,"")</f>
        <v/>
      </c>
    </row>
    <row r="8800">
      <c r="W8800" s="7" t="n"/>
      <c r="X8800" s="7" t="n"/>
      <c r="Z8800">
        <f>Z8799+IF(W8800="",0,IF(ISNA(MATCH(W8800,W$256:W8799,0)),1,0))</f>
        <v/>
      </c>
      <c r="AA8800">
        <f>IF(Z8800&gt;Z8799,Z8800,"")</f>
        <v/>
      </c>
      <c r="AB8800">
        <f>AB8799+IF(X8800="",0,IF(ISNA(MATCH(X8800,X$256:X8799,0)),1,0))</f>
        <v/>
      </c>
      <c r="AC8800">
        <f>IF(AB8800&gt;AB8799,AB8800,"")</f>
        <v/>
      </c>
    </row>
    <row r="8801">
      <c r="W8801" s="7" t="n"/>
      <c r="X8801" s="7" t="n"/>
      <c r="Z8801">
        <f>Z8800+IF(W8801="",0,IF(ISNA(MATCH(W8801,W$256:W8800,0)),1,0))</f>
        <v/>
      </c>
      <c r="AA8801">
        <f>IF(Z8801&gt;Z8800,Z8801,"")</f>
        <v/>
      </c>
      <c r="AB8801">
        <f>AB8800+IF(X8801="",0,IF(ISNA(MATCH(X8801,X$256:X8800,0)),1,0))</f>
        <v/>
      </c>
      <c r="AC8801">
        <f>IF(AB8801&gt;AB8800,AB8801,"")</f>
        <v/>
      </c>
    </row>
    <row r="8802">
      <c r="W8802" s="7" t="n"/>
      <c r="X8802" s="7" t="n"/>
      <c r="Z8802">
        <f>Z8801+IF(W8802="",0,IF(ISNA(MATCH(W8802,W$256:W8801,0)),1,0))</f>
        <v/>
      </c>
      <c r="AA8802">
        <f>IF(Z8802&gt;Z8801,Z8802,"")</f>
        <v/>
      </c>
      <c r="AB8802">
        <f>AB8801+IF(X8802="",0,IF(ISNA(MATCH(X8802,X$256:X8801,0)),1,0))</f>
        <v/>
      </c>
      <c r="AC8802">
        <f>IF(AB8802&gt;AB8801,AB8802,"")</f>
        <v/>
      </c>
    </row>
    <row r="8803">
      <c r="W8803" s="7" t="n"/>
      <c r="X8803" s="7" t="n"/>
      <c r="Z8803">
        <f>Z8802+IF(W8803="",0,IF(ISNA(MATCH(W8803,W$256:W8802,0)),1,0))</f>
        <v/>
      </c>
      <c r="AA8803">
        <f>IF(Z8803&gt;Z8802,Z8803,"")</f>
        <v/>
      </c>
      <c r="AB8803">
        <f>AB8802+IF(X8803="",0,IF(ISNA(MATCH(X8803,X$256:X8802,0)),1,0))</f>
        <v/>
      </c>
      <c r="AC8803">
        <f>IF(AB8803&gt;AB8802,AB8803,"")</f>
        <v/>
      </c>
    </row>
    <row r="8804">
      <c r="W8804" s="7" t="n"/>
      <c r="X8804" s="7" t="n"/>
      <c r="Z8804">
        <f>Z8803+IF(W8804="",0,IF(ISNA(MATCH(W8804,W$256:W8803,0)),1,0))</f>
        <v/>
      </c>
      <c r="AA8804">
        <f>IF(Z8804&gt;Z8803,Z8804,"")</f>
        <v/>
      </c>
      <c r="AB8804">
        <f>AB8803+IF(X8804="",0,IF(ISNA(MATCH(X8804,X$256:X8803,0)),1,0))</f>
        <v/>
      </c>
      <c r="AC8804">
        <f>IF(AB8804&gt;AB8803,AB8804,"")</f>
        <v/>
      </c>
    </row>
    <row r="8805">
      <c r="W8805" s="7" t="n"/>
      <c r="X8805" s="7" t="n"/>
      <c r="Z8805">
        <f>Z8804+IF(W8805="",0,IF(ISNA(MATCH(W8805,W$256:W8804,0)),1,0))</f>
        <v/>
      </c>
      <c r="AA8805">
        <f>IF(Z8805&gt;Z8804,Z8805,"")</f>
        <v/>
      </c>
      <c r="AB8805">
        <f>AB8804+IF(X8805="",0,IF(ISNA(MATCH(X8805,X$256:X8804,0)),1,0))</f>
        <v/>
      </c>
      <c r="AC8805">
        <f>IF(AB8805&gt;AB8804,AB8805,"")</f>
        <v/>
      </c>
    </row>
    <row r="8806">
      <c r="W8806" s="7" t="n"/>
      <c r="X8806" s="7" t="n"/>
      <c r="Z8806">
        <f>Z8805+IF(W8806="",0,IF(ISNA(MATCH(W8806,W$256:W8805,0)),1,0))</f>
        <v/>
      </c>
      <c r="AA8806">
        <f>IF(Z8806&gt;Z8805,Z8806,"")</f>
        <v/>
      </c>
      <c r="AB8806">
        <f>AB8805+IF(X8806="",0,IF(ISNA(MATCH(X8806,X$256:X8805,0)),1,0))</f>
        <v/>
      </c>
      <c r="AC8806">
        <f>IF(AB8806&gt;AB8805,AB8806,"")</f>
        <v/>
      </c>
    </row>
    <row r="8807">
      <c r="W8807" s="7" t="n"/>
      <c r="X8807" s="7" t="n"/>
      <c r="Z8807">
        <f>Z8806+IF(W8807="",0,IF(ISNA(MATCH(W8807,W$256:W8806,0)),1,0))</f>
        <v/>
      </c>
      <c r="AA8807">
        <f>IF(Z8807&gt;Z8806,Z8807,"")</f>
        <v/>
      </c>
      <c r="AB8807">
        <f>AB8806+IF(X8807="",0,IF(ISNA(MATCH(X8807,X$256:X8806,0)),1,0))</f>
        <v/>
      </c>
      <c r="AC8807">
        <f>IF(AB8807&gt;AB8806,AB8807,"")</f>
        <v/>
      </c>
    </row>
    <row r="8808">
      <c r="W8808" s="7" t="n"/>
      <c r="X8808" s="7" t="n"/>
      <c r="Z8808">
        <f>Z8807+IF(W8808="",0,IF(ISNA(MATCH(W8808,W$256:W8807,0)),1,0))</f>
        <v/>
      </c>
      <c r="AA8808">
        <f>IF(Z8808&gt;Z8807,Z8808,"")</f>
        <v/>
      </c>
      <c r="AB8808">
        <f>AB8807+IF(X8808="",0,IF(ISNA(MATCH(X8808,X$256:X8807,0)),1,0))</f>
        <v/>
      </c>
      <c r="AC8808">
        <f>IF(AB8808&gt;AB8807,AB8808,"")</f>
        <v/>
      </c>
    </row>
    <row r="8809">
      <c r="W8809" s="7" t="n"/>
      <c r="X8809" s="7" t="n"/>
      <c r="Z8809">
        <f>Z8808+IF(W8809="",0,IF(ISNA(MATCH(W8809,W$256:W8808,0)),1,0))</f>
        <v/>
      </c>
      <c r="AA8809">
        <f>IF(Z8809&gt;Z8808,Z8809,"")</f>
        <v/>
      </c>
      <c r="AB8809">
        <f>AB8808+IF(X8809="",0,IF(ISNA(MATCH(X8809,X$256:X8808,0)),1,0))</f>
        <v/>
      </c>
      <c r="AC8809">
        <f>IF(AB8809&gt;AB8808,AB8809,"")</f>
        <v/>
      </c>
    </row>
    <row r="8810">
      <c r="W8810" s="7" t="n"/>
      <c r="X8810" s="7" t="n"/>
      <c r="Z8810">
        <f>Z8809+IF(W8810="",0,IF(ISNA(MATCH(W8810,W$256:W8809,0)),1,0))</f>
        <v/>
      </c>
      <c r="AA8810">
        <f>IF(Z8810&gt;Z8809,Z8810,"")</f>
        <v/>
      </c>
      <c r="AB8810">
        <f>AB8809+IF(X8810="",0,IF(ISNA(MATCH(X8810,X$256:X8809,0)),1,0))</f>
        <v/>
      </c>
      <c r="AC8810">
        <f>IF(AB8810&gt;AB8809,AB8810,"")</f>
        <v/>
      </c>
    </row>
    <row r="8811">
      <c r="W8811" s="7" t="n"/>
      <c r="X8811" s="7" t="n"/>
      <c r="Z8811">
        <f>Z8810+IF(W8811="",0,IF(ISNA(MATCH(W8811,W$256:W8810,0)),1,0))</f>
        <v/>
      </c>
      <c r="AA8811">
        <f>IF(Z8811&gt;Z8810,Z8811,"")</f>
        <v/>
      </c>
      <c r="AB8811">
        <f>AB8810+IF(X8811="",0,IF(ISNA(MATCH(X8811,X$256:X8810,0)),1,0))</f>
        <v/>
      </c>
      <c r="AC8811">
        <f>IF(AB8811&gt;AB8810,AB8811,"")</f>
        <v/>
      </c>
    </row>
    <row r="8812">
      <c r="W8812" s="7" t="n"/>
      <c r="X8812" s="7" t="n"/>
      <c r="Z8812">
        <f>Z8811+IF(W8812="",0,IF(ISNA(MATCH(W8812,W$256:W8811,0)),1,0))</f>
        <v/>
      </c>
      <c r="AA8812">
        <f>IF(Z8812&gt;Z8811,Z8812,"")</f>
        <v/>
      </c>
      <c r="AB8812">
        <f>AB8811+IF(X8812="",0,IF(ISNA(MATCH(X8812,X$256:X8811,0)),1,0))</f>
        <v/>
      </c>
      <c r="AC8812">
        <f>IF(AB8812&gt;AB8811,AB8812,"")</f>
        <v/>
      </c>
    </row>
    <row r="8813">
      <c r="W8813" s="7" t="n"/>
      <c r="X8813" s="7" t="n"/>
      <c r="Z8813">
        <f>Z8812+IF(W8813="",0,IF(ISNA(MATCH(W8813,W$256:W8812,0)),1,0))</f>
        <v/>
      </c>
      <c r="AA8813">
        <f>IF(Z8813&gt;Z8812,Z8813,"")</f>
        <v/>
      </c>
      <c r="AB8813">
        <f>AB8812+IF(X8813="",0,IF(ISNA(MATCH(X8813,X$256:X8812,0)),1,0))</f>
        <v/>
      </c>
      <c r="AC8813">
        <f>IF(AB8813&gt;AB8812,AB8813,"")</f>
        <v/>
      </c>
    </row>
    <row r="8814">
      <c r="W8814" s="7" t="n"/>
      <c r="X8814" s="7" t="n"/>
      <c r="Z8814">
        <f>Z8813+IF(W8814="",0,IF(ISNA(MATCH(W8814,W$256:W8813,0)),1,0))</f>
        <v/>
      </c>
      <c r="AA8814">
        <f>IF(Z8814&gt;Z8813,Z8814,"")</f>
        <v/>
      </c>
      <c r="AB8814">
        <f>AB8813+IF(X8814="",0,IF(ISNA(MATCH(X8814,X$256:X8813,0)),1,0))</f>
        <v/>
      </c>
      <c r="AC8814">
        <f>IF(AB8814&gt;AB8813,AB8814,"")</f>
        <v/>
      </c>
    </row>
    <row r="8815">
      <c r="W8815" s="7" t="n"/>
      <c r="X8815" s="7" t="n"/>
      <c r="Z8815">
        <f>Z8814+IF(W8815="",0,IF(ISNA(MATCH(W8815,W$256:W8814,0)),1,0))</f>
        <v/>
      </c>
      <c r="AA8815">
        <f>IF(Z8815&gt;Z8814,Z8815,"")</f>
        <v/>
      </c>
      <c r="AB8815">
        <f>AB8814+IF(X8815="",0,IF(ISNA(MATCH(X8815,X$256:X8814,0)),1,0))</f>
        <v/>
      </c>
      <c r="AC8815">
        <f>IF(AB8815&gt;AB8814,AB8815,"")</f>
        <v/>
      </c>
    </row>
    <row r="8816">
      <c r="W8816" s="7" t="n"/>
      <c r="X8816" s="7" t="n"/>
      <c r="Z8816">
        <f>Z8815+IF(W8816="",0,IF(ISNA(MATCH(W8816,W$256:W8815,0)),1,0))</f>
        <v/>
      </c>
      <c r="AA8816">
        <f>IF(Z8816&gt;Z8815,Z8816,"")</f>
        <v/>
      </c>
      <c r="AB8816">
        <f>AB8815+IF(X8816="",0,IF(ISNA(MATCH(X8816,X$256:X8815,0)),1,0))</f>
        <v/>
      </c>
      <c r="AC8816">
        <f>IF(AB8816&gt;AB8815,AB8816,"")</f>
        <v/>
      </c>
    </row>
    <row r="8817">
      <c r="W8817" s="7" t="n"/>
      <c r="X8817" s="7" t="n"/>
      <c r="Z8817">
        <f>Z8816+IF(W8817="",0,IF(ISNA(MATCH(W8817,W$256:W8816,0)),1,0))</f>
        <v/>
      </c>
      <c r="AA8817">
        <f>IF(Z8817&gt;Z8816,Z8817,"")</f>
        <v/>
      </c>
      <c r="AB8817">
        <f>AB8816+IF(X8817="",0,IF(ISNA(MATCH(X8817,X$256:X8816,0)),1,0))</f>
        <v/>
      </c>
      <c r="AC8817">
        <f>IF(AB8817&gt;AB8816,AB8817,"")</f>
        <v/>
      </c>
    </row>
    <row r="8818">
      <c r="W8818" s="7" t="n"/>
      <c r="X8818" s="7" t="n"/>
      <c r="Z8818">
        <f>Z8817+IF(W8818="",0,IF(ISNA(MATCH(W8818,W$256:W8817,0)),1,0))</f>
        <v/>
      </c>
      <c r="AA8818">
        <f>IF(Z8818&gt;Z8817,Z8818,"")</f>
        <v/>
      </c>
      <c r="AB8818">
        <f>AB8817+IF(X8818="",0,IF(ISNA(MATCH(X8818,X$256:X8817,0)),1,0))</f>
        <v/>
      </c>
      <c r="AC8818">
        <f>IF(AB8818&gt;AB8817,AB8818,"")</f>
        <v/>
      </c>
    </row>
    <row r="8819">
      <c r="W8819" s="7" t="n"/>
      <c r="X8819" s="7" t="n"/>
      <c r="Z8819">
        <f>Z8818+IF(W8819="",0,IF(ISNA(MATCH(W8819,W$256:W8818,0)),1,0))</f>
        <v/>
      </c>
      <c r="AA8819">
        <f>IF(Z8819&gt;Z8818,Z8819,"")</f>
        <v/>
      </c>
      <c r="AB8819">
        <f>AB8818+IF(X8819="",0,IF(ISNA(MATCH(X8819,X$256:X8818,0)),1,0))</f>
        <v/>
      </c>
      <c r="AC8819">
        <f>IF(AB8819&gt;AB8818,AB8819,"")</f>
        <v/>
      </c>
    </row>
    <row r="8820">
      <c r="W8820" s="7" t="n"/>
      <c r="X8820" s="7" t="n"/>
      <c r="Z8820">
        <f>Z8819+IF(W8820="",0,IF(ISNA(MATCH(W8820,W$256:W8819,0)),1,0))</f>
        <v/>
      </c>
      <c r="AA8820">
        <f>IF(Z8820&gt;Z8819,Z8820,"")</f>
        <v/>
      </c>
      <c r="AB8820">
        <f>AB8819+IF(X8820="",0,IF(ISNA(MATCH(X8820,X$256:X8819,0)),1,0))</f>
        <v/>
      </c>
      <c r="AC8820">
        <f>IF(AB8820&gt;AB8819,AB8820,"")</f>
        <v/>
      </c>
    </row>
    <row r="8821">
      <c r="W8821" s="7" t="n"/>
      <c r="X8821" s="7" t="n"/>
      <c r="Z8821">
        <f>Z8820+IF(W8821="",0,IF(ISNA(MATCH(W8821,W$256:W8820,0)),1,0))</f>
        <v/>
      </c>
      <c r="AA8821">
        <f>IF(Z8821&gt;Z8820,Z8821,"")</f>
        <v/>
      </c>
      <c r="AB8821">
        <f>AB8820+IF(X8821="",0,IF(ISNA(MATCH(X8821,X$256:X8820,0)),1,0))</f>
        <v/>
      </c>
      <c r="AC8821">
        <f>IF(AB8821&gt;AB8820,AB8821,"")</f>
        <v/>
      </c>
    </row>
    <row r="8822">
      <c r="W8822" s="7" t="n"/>
      <c r="X8822" s="7" t="n"/>
      <c r="Z8822">
        <f>Z8821+IF(W8822="",0,IF(ISNA(MATCH(W8822,W$256:W8821,0)),1,0))</f>
        <v/>
      </c>
      <c r="AA8822">
        <f>IF(Z8822&gt;Z8821,Z8822,"")</f>
        <v/>
      </c>
      <c r="AB8822">
        <f>AB8821+IF(X8822="",0,IF(ISNA(MATCH(X8822,X$256:X8821,0)),1,0))</f>
        <v/>
      </c>
      <c r="AC8822">
        <f>IF(AB8822&gt;AB8821,AB8822,"")</f>
        <v/>
      </c>
    </row>
    <row r="8823">
      <c r="W8823" s="7" t="n"/>
      <c r="X8823" s="7" t="n"/>
      <c r="Z8823">
        <f>Z8822+IF(W8823="",0,IF(ISNA(MATCH(W8823,W$256:W8822,0)),1,0))</f>
        <v/>
      </c>
      <c r="AA8823">
        <f>IF(Z8823&gt;Z8822,Z8823,"")</f>
        <v/>
      </c>
      <c r="AB8823">
        <f>AB8822+IF(X8823="",0,IF(ISNA(MATCH(X8823,X$256:X8822,0)),1,0))</f>
        <v/>
      </c>
      <c r="AC8823">
        <f>IF(AB8823&gt;AB8822,AB8823,"")</f>
        <v/>
      </c>
    </row>
    <row r="8824">
      <c r="W8824" s="7" t="n"/>
      <c r="X8824" s="7" t="n"/>
      <c r="Z8824">
        <f>Z8823+IF(W8824="",0,IF(ISNA(MATCH(W8824,W$256:W8823,0)),1,0))</f>
        <v/>
      </c>
      <c r="AA8824">
        <f>IF(Z8824&gt;Z8823,Z8824,"")</f>
        <v/>
      </c>
      <c r="AB8824">
        <f>AB8823+IF(X8824="",0,IF(ISNA(MATCH(X8824,X$256:X8823,0)),1,0))</f>
        <v/>
      </c>
      <c r="AC8824">
        <f>IF(AB8824&gt;AB8823,AB8824,"")</f>
        <v/>
      </c>
    </row>
    <row r="8825">
      <c r="W8825" s="7" t="n"/>
      <c r="X8825" s="7" t="n"/>
      <c r="Z8825">
        <f>Z8824+IF(W8825="",0,IF(ISNA(MATCH(W8825,W$256:W8824,0)),1,0))</f>
        <v/>
      </c>
      <c r="AA8825">
        <f>IF(Z8825&gt;Z8824,Z8825,"")</f>
        <v/>
      </c>
      <c r="AB8825">
        <f>AB8824+IF(X8825="",0,IF(ISNA(MATCH(X8825,X$256:X8824,0)),1,0))</f>
        <v/>
      </c>
      <c r="AC8825">
        <f>IF(AB8825&gt;AB8824,AB8825,"")</f>
        <v/>
      </c>
    </row>
    <row r="8826">
      <c r="W8826" s="7" t="n"/>
      <c r="X8826" s="7" t="n"/>
      <c r="Z8826">
        <f>Z8825+IF(W8826="",0,IF(ISNA(MATCH(W8826,W$256:W8825,0)),1,0))</f>
        <v/>
      </c>
      <c r="AA8826">
        <f>IF(Z8826&gt;Z8825,Z8826,"")</f>
        <v/>
      </c>
      <c r="AB8826">
        <f>AB8825+IF(X8826="",0,IF(ISNA(MATCH(X8826,X$256:X8825,0)),1,0))</f>
        <v/>
      </c>
      <c r="AC8826">
        <f>IF(AB8826&gt;AB8825,AB8826,"")</f>
        <v/>
      </c>
    </row>
    <row r="8827">
      <c r="W8827" s="7" t="n"/>
      <c r="X8827" s="7" t="n"/>
      <c r="Z8827">
        <f>Z8826+IF(W8827="",0,IF(ISNA(MATCH(W8827,W$256:W8826,0)),1,0))</f>
        <v/>
      </c>
      <c r="AA8827">
        <f>IF(Z8827&gt;Z8826,Z8827,"")</f>
        <v/>
      </c>
      <c r="AB8827">
        <f>AB8826+IF(X8827="",0,IF(ISNA(MATCH(X8827,X$256:X8826,0)),1,0))</f>
        <v/>
      </c>
      <c r="AC8827">
        <f>IF(AB8827&gt;AB8826,AB8827,"")</f>
        <v/>
      </c>
    </row>
    <row r="8828">
      <c r="W8828" s="7" t="n"/>
      <c r="X8828" s="7" t="n"/>
      <c r="Z8828">
        <f>Z8827+IF(W8828="",0,IF(ISNA(MATCH(W8828,W$256:W8827,0)),1,0))</f>
        <v/>
      </c>
      <c r="AA8828">
        <f>IF(Z8828&gt;Z8827,Z8828,"")</f>
        <v/>
      </c>
      <c r="AB8828">
        <f>AB8827+IF(X8828="",0,IF(ISNA(MATCH(X8828,X$256:X8827,0)),1,0))</f>
        <v/>
      </c>
      <c r="AC8828">
        <f>IF(AB8828&gt;AB8827,AB8828,"")</f>
        <v/>
      </c>
    </row>
    <row r="8829">
      <c r="W8829" s="7" t="n"/>
      <c r="X8829" s="7" t="n"/>
      <c r="Z8829">
        <f>Z8828+IF(W8829="",0,IF(ISNA(MATCH(W8829,W$256:W8828,0)),1,0))</f>
        <v/>
      </c>
      <c r="AA8829">
        <f>IF(Z8829&gt;Z8828,Z8829,"")</f>
        <v/>
      </c>
      <c r="AB8829">
        <f>AB8828+IF(X8829="",0,IF(ISNA(MATCH(X8829,X$256:X8828,0)),1,0))</f>
        <v/>
      </c>
      <c r="AC8829">
        <f>IF(AB8829&gt;AB8828,AB8829,"")</f>
        <v/>
      </c>
    </row>
    <row r="8830">
      <c r="W8830" s="7" t="n"/>
      <c r="X8830" s="7" t="n"/>
      <c r="Z8830">
        <f>Z8829+IF(W8830="",0,IF(ISNA(MATCH(W8830,W$256:W8829,0)),1,0))</f>
        <v/>
      </c>
      <c r="AA8830">
        <f>IF(Z8830&gt;Z8829,Z8830,"")</f>
        <v/>
      </c>
      <c r="AB8830">
        <f>AB8829+IF(X8830="",0,IF(ISNA(MATCH(X8830,X$256:X8829,0)),1,0))</f>
        <v/>
      </c>
      <c r="AC8830">
        <f>IF(AB8830&gt;AB8829,AB8830,"")</f>
        <v/>
      </c>
    </row>
    <row r="8831">
      <c r="W8831" s="7" t="n"/>
      <c r="X8831" s="7" t="n"/>
      <c r="Z8831">
        <f>Z8830+IF(W8831="",0,IF(ISNA(MATCH(W8831,W$256:W8830,0)),1,0))</f>
        <v/>
      </c>
      <c r="AA8831">
        <f>IF(Z8831&gt;Z8830,Z8831,"")</f>
        <v/>
      </c>
      <c r="AB8831">
        <f>AB8830+IF(X8831="",0,IF(ISNA(MATCH(X8831,X$256:X8830,0)),1,0))</f>
        <v/>
      </c>
      <c r="AC8831">
        <f>IF(AB8831&gt;AB8830,AB8831,"")</f>
        <v/>
      </c>
    </row>
    <row r="8832">
      <c r="W8832" s="7" t="n"/>
      <c r="X8832" s="7" t="n"/>
      <c r="Z8832">
        <f>Z8831+IF(W8832="",0,IF(ISNA(MATCH(W8832,W$256:W8831,0)),1,0))</f>
        <v/>
      </c>
      <c r="AA8832">
        <f>IF(Z8832&gt;Z8831,Z8832,"")</f>
        <v/>
      </c>
      <c r="AB8832">
        <f>AB8831+IF(X8832="",0,IF(ISNA(MATCH(X8832,X$256:X8831,0)),1,0))</f>
        <v/>
      </c>
      <c r="AC8832">
        <f>IF(AB8832&gt;AB8831,AB8832,"")</f>
        <v/>
      </c>
    </row>
    <row r="8833">
      <c r="W8833" s="7" t="n"/>
      <c r="X8833" s="7" t="n"/>
      <c r="Z8833">
        <f>Z8832+IF(W8833="",0,IF(ISNA(MATCH(W8833,W$256:W8832,0)),1,0))</f>
        <v/>
      </c>
      <c r="AA8833">
        <f>IF(Z8833&gt;Z8832,Z8833,"")</f>
        <v/>
      </c>
      <c r="AB8833">
        <f>AB8832+IF(X8833="",0,IF(ISNA(MATCH(X8833,X$256:X8832,0)),1,0))</f>
        <v/>
      </c>
      <c r="AC8833">
        <f>IF(AB8833&gt;AB8832,AB8833,"")</f>
        <v/>
      </c>
    </row>
    <row r="8834">
      <c r="W8834" s="7" t="n"/>
      <c r="X8834" s="7" t="n"/>
      <c r="Z8834">
        <f>Z8833+IF(W8834="",0,IF(ISNA(MATCH(W8834,W$256:W8833,0)),1,0))</f>
        <v/>
      </c>
      <c r="AA8834">
        <f>IF(Z8834&gt;Z8833,Z8834,"")</f>
        <v/>
      </c>
      <c r="AB8834">
        <f>AB8833+IF(X8834="",0,IF(ISNA(MATCH(X8834,X$256:X8833,0)),1,0))</f>
        <v/>
      </c>
      <c r="AC8834">
        <f>IF(AB8834&gt;AB8833,AB8834,"")</f>
        <v/>
      </c>
    </row>
    <row r="8835">
      <c r="W8835" s="7" t="n"/>
      <c r="X8835" s="7" t="n"/>
      <c r="Z8835">
        <f>Z8834+IF(W8835="",0,IF(ISNA(MATCH(W8835,W$256:W8834,0)),1,0))</f>
        <v/>
      </c>
      <c r="AA8835">
        <f>IF(Z8835&gt;Z8834,Z8835,"")</f>
        <v/>
      </c>
      <c r="AB8835">
        <f>AB8834+IF(X8835="",0,IF(ISNA(MATCH(X8835,X$256:X8834,0)),1,0))</f>
        <v/>
      </c>
      <c r="AC8835">
        <f>IF(AB8835&gt;AB8834,AB8835,"")</f>
        <v/>
      </c>
    </row>
    <row r="8836">
      <c r="W8836" s="7" t="n"/>
      <c r="X8836" s="7" t="n"/>
      <c r="Z8836">
        <f>Z8835+IF(W8836="",0,IF(ISNA(MATCH(W8836,W$256:W8835,0)),1,0))</f>
        <v/>
      </c>
      <c r="AA8836">
        <f>IF(Z8836&gt;Z8835,Z8836,"")</f>
        <v/>
      </c>
      <c r="AB8836">
        <f>AB8835+IF(X8836="",0,IF(ISNA(MATCH(X8836,X$256:X8835,0)),1,0))</f>
        <v/>
      </c>
      <c r="AC8836">
        <f>IF(AB8836&gt;AB8835,AB8836,"")</f>
        <v/>
      </c>
    </row>
    <row r="8837">
      <c r="W8837" s="7" t="n"/>
      <c r="X8837" s="7" t="n"/>
      <c r="Z8837">
        <f>Z8836+IF(W8837="",0,IF(ISNA(MATCH(W8837,W$256:W8836,0)),1,0))</f>
        <v/>
      </c>
      <c r="AA8837">
        <f>IF(Z8837&gt;Z8836,Z8837,"")</f>
        <v/>
      </c>
      <c r="AB8837">
        <f>AB8836+IF(X8837="",0,IF(ISNA(MATCH(X8837,X$256:X8836,0)),1,0))</f>
        <v/>
      </c>
      <c r="AC8837">
        <f>IF(AB8837&gt;AB8836,AB8837,"")</f>
        <v/>
      </c>
    </row>
    <row r="8838">
      <c r="W8838" s="7" t="n"/>
      <c r="X8838" s="7" t="n"/>
      <c r="Z8838">
        <f>Z8837+IF(W8838="",0,IF(ISNA(MATCH(W8838,W$256:W8837,0)),1,0))</f>
        <v/>
      </c>
      <c r="AA8838">
        <f>IF(Z8838&gt;Z8837,Z8838,"")</f>
        <v/>
      </c>
      <c r="AB8838">
        <f>AB8837+IF(X8838="",0,IF(ISNA(MATCH(X8838,X$256:X8837,0)),1,0))</f>
        <v/>
      </c>
      <c r="AC8838">
        <f>IF(AB8838&gt;AB8837,AB8838,"")</f>
        <v/>
      </c>
    </row>
    <row r="8839">
      <c r="W8839" s="7" t="n"/>
      <c r="X8839" s="7" t="n"/>
      <c r="Z8839">
        <f>Z8838+IF(W8839="",0,IF(ISNA(MATCH(W8839,W$256:W8838,0)),1,0))</f>
        <v/>
      </c>
      <c r="AA8839">
        <f>IF(Z8839&gt;Z8838,Z8839,"")</f>
        <v/>
      </c>
      <c r="AB8839">
        <f>AB8838+IF(X8839="",0,IF(ISNA(MATCH(X8839,X$256:X8838,0)),1,0))</f>
        <v/>
      </c>
      <c r="AC8839">
        <f>IF(AB8839&gt;AB8838,AB8839,"")</f>
        <v/>
      </c>
    </row>
    <row r="8840">
      <c r="W8840" s="7" t="n"/>
      <c r="X8840" s="7" t="n"/>
      <c r="Z8840">
        <f>Z8839+IF(W8840="",0,IF(ISNA(MATCH(W8840,W$256:W8839,0)),1,0))</f>
        <v/>
      </c>
      <c r="AA8840">
        <f>IF(Z8840&gt;Z8839,Z8840,"")</f>
        <v/>
      </c>
      <c r="AB8840">
        <f>AB8839+IF(X8840="",0,IF(ISNA(MATCH(X8840,X$256:X8839,0)),1,0))</f>
        <v/>
      </c>
      <c r="AC8840">
        <f>IF(AB8840&gt;AB8839,AB8840,"")</f>
        <v/>
      </c>
    </row>
    <row r="8841">
      <c r="W8841" s="7" t="n"/>
      <c r="X8841" s="7" t="n"/>
      <c r="Z8841">
        <f>Z8840+IF(W8841="",0,IF(ISNA(MATCH(W8841,W$256:W8840,0)),1,0))</f>
        <v/>
      </c>
      <c r="AA8841">
        <f>IF(Z8841&gt;Z8840,Z8841,"")</f>
        <v/>
      </c>
      <c r="AB8841">
        <f>AB8840+IF(X8841="",0,IF(ISNA(MATCH(X8841,X$256:X8840,0)),1,0))</f>
        <v/>
      </c>
      <c r="AC8841">
        <f>IF(AB8841&gt;AB8840,AB8841,"")</f>
        <v/>
      </c>
    </row>
    <row r="8842">
      <c r="W8842" s="7" t="n"/>
      <c r="X8842" s="7" t="n"/>
      <c r="Z8842">
        <f>Z8841+IF(W8842="",0,IF(ISNA(MATCH(W8842,W$256:W8841,0)),1,0))</f>
        <v/>
      </c>
      <c r="AA8842">
        <f>IF(Z8842&gt;Z8841,Z8842,"")</f>
        <v/>
      </c>
      <c r="AB8842">
        <f>AB8841+IF(X8842="",0,IF(ISNA(MATCH(X8842,X$256:X8841,0)),1,0))</f>
        <v/>
      </c>
      <c r="AC8842">
        <f>IF(AB8842&gt;AB8841,AB8842,"")</f>
        <v/>
      </c>
    </row>
    <row r="8843">
      <c r="W8843" s="7" t="n"/>
      <c r="X8843" s="7" t="n"/>
      <c r="Z8843">
        <f>Z8842+IF(W8843="",0,IF(ISNA(MATCH(W8843,W$256:W8842,0)),1,0))</f>
        <v/>
      </c>
      <c r="AA8843">
        <f>IF(Z8843&gt;Z8842,Z8843,"")</f>
        <v/>
      </c>
      <c r="AB8843">
        <f>AB8842+IF(X8843="",0,IF(ISNA(MATCH(X8843,X$256:X8842,0)),1,0))</f>
        <v/>
      </c>
      <c r="AC8843">
        <f>IF(AB8843&gt;AB8842,AB8843,"")</f>
        <v/>
      </c>
    </row>
    <row r="8844">
      <c r="W8844" s="7" t="n"/>
      <c r="X8844" s="7" t="n"/>
      <c r="Z8844">
        <f>Z8843+IF(W8844="",0,IF(ISNA(MATCH(W8844,W$256:W8843,0)),1,0))</f>
        <v/>
      </c>
      <c r="AA8844">
        <f>IF(Z8844&gt;Z8843,Z8844,"")</f>
        <v/>
      </c>
      <c r="AB8844">
        <f>AB8843+IF(X8844="",0,IF(ISNA(MATCH(X8844,X$256:X8843,0)),1,0))</f>
        <v/>
      </c>
      <c r="AC8844">
        <f>IF(AB8844&gt;AB8843,AB8844,"")</f>
        <v/>
      </c>
    </row>
    <row r="8845">
      <c r="W8845" s="7" t="n"/>
      <c r="X8845" s="7" t="n"/>
      <c r="Z8845">
        <f>Z8844+IF(W8845="",0,IF(ISNA(MATCH(W8845,W$256:W8844,0)),1,0))</f>
        <v/>
      </c>
      <c r="AA8845">
        <f>IF(Z8845&gt;Z8844,Z8845,"")</f>
        <v/>
      </c>
      <c r="AB8845">
        <f>AB8844+IF(X8845="",0,IF(ISNA(MATCH(X8845,X$256:X8844,0)),1,0))</f>
        <v/>
      </c>
      <c r="AC8845">
        <f>IF(AB8845&gt;AB8844,AB8845,"")</f>
        <v/>
      </c>
    </row>
    <row r="8846">
      <c r="W8846" s="7" t="n"/>
      <c r="X8846" s="7" t="n"/>
      <c r="Z8846">
        <f>Z8845+IF(W8846="",0,IF(ISNA(MATCH(W8846,W$256:W8845,0)),1,0))</f>
        <v/>
      </c>
      <c r="AA8846">
        <f>IF(Z8846&gt;Z8845,Z8846,"")</f>
        <v/>
      </c>
      <c r="AB8846">
        <f>AB8845+IF(X8846="",0,IF(ISNA(MATCH(X8846,X$256:X8845,0)),1,0))</f>
        <v/>
      </c>
      <c r="AC8846">
        <f>IF(AB8846&gt;AB8845,AB8846,"")</f>
        <v/>
      </c>
    </row>
    <row r="8847">
      <c r="W8847" s="7" t="n"/>
      <c r="X8847" s="7" t="n"/>
      <c r="Z8847">
        <f>Z8846+IF(W8847="",0,IF(ISNA(MATCH(W8847,W$256:W8846,0)),1,0))</f>
        <v/>
      </c>
      <c r="AA8847">
        <f>IF(Z8847&gt;Z8846,Z8847,"")</f>
        <v/>
      </c>
      <c r="AB8847">
        <f>AB8846+IF(X8847="",0,IF(ISNA(MATCH(X8847,X$256:X8846,0)),1,0))</f>
        <v/>
      </c>
      <c r="AC8847">
        <f>IF(AB8847&gt;AB8846,AB8847,"")</f>
        <v/>
      </c>
    </row>
    <row r="8848">
      <c r="W8848" s="7" t="n"/>
      <c r="X8848" s="7" t="n"/>
      <c r="Z8848">
        <f>Z8847+IF(W8848="",0,IF(ISNA(MATCH(W8848,W$256:W8847,0)),1,0))</f>
        <v/>
      </c>
      <c r="AA8848">
        <f>IF(Z8848&gt;Z8847,Z8848,"")</f>
        <v/>
      </c>
      <c r="AB8848">
        <f>AB8847+IF(X8848="",0,IF(ISNA(MATCH(X8848,X$256:X8847,0)),1,0))</f>
        <v/>
      </c>
      <c r="AC8848">
        <f>IF(AB8848&gt;AB8847,AB8848,"")</f>
        <v/>
      </c>
    </row>
    <row r="8849">
      <c r="W8849" s="7" t="n"/>
      <c r="X8849" s="7" t="n"/>
      <c r="Z8849">
        <f>Z8848+IF(W8849="",0,IF(ISNA(MATCH(W8849,W$256:W8848,0)),1,0))</f>
        <v/>
      </c>
      <c r="AA8849">
        <f>IF(Z8849&gt;Z8848,Z8849,"")</f>
        <v/>
      </c>
      <c r="AB8849">
        <f>AB8848+IF(X8849="",0,IF(ISNA(MATCH(X8849,X$256:X8848,0)),1,0))</f>
        <v/>
      </c>
      <c r="AC8849">
        <f>IF(AB8849&gt;AB8848,AB8849,"")</f>
        <v/>
      </c>
    </row>
    <row r="8850">
      <c r="W8850" s="7" t="n"/>
      <c r="X8850" s="7" t="n"/>
      <c r="Z8850">
        <f>Z8849+IF(W8850="",0,IF(ISNA(MATCH(W8850,W$256:W8849,0)),1,0))</f>
        <v/>
      </c>
      <c r="AA8850">
        <f>IF(Z8850&gt;Z8849,Z8850,"")</f>
        <v/>
      </c>
      <c r="AB8850">
        <f>AB8849+IF(X8850="",0,IF(ISNA(MATCH(X8850,X$256:X8849,0)),1,0))</f>
        <v/>
      </c>
      <c r="AC8850">
        <f>IF(AB8850&gt;AB8849,AB8850,"")</f>
        <v/>
      </c>
    </row>
    <row r="8851">
      <c r="W8851" s="7" t="n"/>
      <c r="X8851" s="7" t="n"/>
      <c r="Z8851">
        <f>Z8850+IF(W8851="",0,IF(ISNA(MATCH(W8851,W$256:W8850,0)),1,0))</f>
        <v/>
      </c>
      <c r="AA8851">
        <f>IF(Z8851&gt;Z8850,Z8851,"")</f>
        <v/>
      </c>
      <c r="AB8851">
        <f>AB8850+IF(X8851="",0,IF(ISNA(MATCH(X8851,X$256:X8850,0)),1,0))</f>
        <v/>
      </c>
      <c r="AC8851">
        <f>IF(AB8851&gt;AB8850,AB8851,"")</f>
        <v/>
      </c>
    </row>
    <row r="8852">
      <c r="W8852" s="7" t="n"/>
      <c r="X8852" s="7" t="n"/>
      <c r="Z8852">
        <f>Z8851+IF(W8852="",0,IF(ISNA(MATCH(W8852,W$256:W8851,0)),1,0))</f>
        <v/>
      </c>
      <c r="AA8852">
        <f>IF(Z8852&gt;Z8851,Z8852,"")</f>
        <v/>
      </c>
      <c r="AB8852">
        <f>AB8851+IF(X8852="",0,IF(ISNA(MATCH(X8852,X$256:X8851,0)),1,0))</f>
        <v/>
      </c>
      <c r="AC8852">
        <f>IF(AB8852&gt;AB8851,AB8852,"")</f>
        <v/>
      </c>
    </row>
    <row r="8853">
      <c r="W8853" s="7" t="n"/>
      <c r="X8853" s="7" t="n"/>
      <c r="Z8853">
        <f>Z8852+IF(W8853="",0,IF(ISNA(MATCH(W8853,W$256:W8852,0)),1,0))</f>
        <v/>
      </c>
      <c r="AA8853">
        <f>IF(Z8853&gt;Z8852,Z8853,"")</f>
        <v/>
      </c>
      <c r="AB8853">
        <f>AB8852+IF(X8853="",0,IF(ISNA(MATCH(X8853,X$256:X8852,0)),1,0))</f>
        <v/>
      </c>
      <c r="AC8853">
        <f>IF(AB8853&gt;AB8852,AB8853,"")</f>
        <v/>
      </c>
    </row>
    <row r="8854">
      <c r="W8854" s="7" t="n"/>
      <c r="X8854" s="7" t="n"/>
      <c r="Z8854">
        <f>Z8853+IF(W8854="",0,IF(ISNA(MATCH(W8854,W$256:W8853,0)),1,0))</f>
        <v/>
      </c>
      <c r="AA8854">
        <f>IF(Z8854&gt;Z8853,Z8854,"")</f>
        <v/>
      </c>
      <c r="AB8854">
        <f>AB8853+IF(X8854="",0,IF(ISNA(MATCH(X8854,X$256:X8853,0)),1,0))</f>
        <v/>
      </c>
      <c r="AC8854">
        <f>IF(AB8854&gt;AB8853,AB8854,"")</f>
        <v/>
      </c>
    </row>
    <row r="8855">
      <c r="W8855" s="7" t="n"/>
      <c r="X8855" s="7" t="n"/>
      <c r="Z8855">
        <f>Z8854+IF(W8855="",0,IF(ISNA(MATCH(W8855,W$256:W8854,0)),1,0))</f>
        <v/>
      </c>
      <c r="AA8855">
        <f>IF(Z8855&gt;Z8854,Z8855,"")</f>
        <v/>
      </c>
      <c r="AB8855">
        <f>AB8854+IF(X8855="",0,IF(ISNA(MATCH(X8855,X$256:X8854,0)),1,0))</f>
        <v/>
      </c>
      <c r="AC8855">
        <f>IF(AB8855&gt;AB8854,AB8855,"")</f>
        <v/>
      </c>
    </row>
    <row r="8856">
      <c r="W8856" s="7" t="n"/>
      <c r="X8856" s="7" t="n"/>
      <c r="Z8856">
        <f>Z8855+IF(W8856="",0,IF(ISNA(MATCH(W8856,W$256:W8855,0)),1,0))</f>
        <v/>
      </c>
      <c r="AA8856">
        <f>IF(Z8856&gt;Z8855,Z8856,"")</f>
        <v/>
      </c>
      <c r="AB8856">
        <f>AB8855+IF(X8856="",0,IF(ISNA(MATCH(X8856,X$256:X8855,0)),1,0))</f>
        <v/>
      </c>
      <c r="AC8856">
        <f>IF(AB8856&gt;AB8855,AB8856,"")</f>
        <v/>
      </c>
    </row>
    <row r="8857">
      <c r="W8857" s="7" t="n"/>
      <c r="X8857" s="7" t="n"/>
      <c r="Z8857">
        <f>Z8856+IF(W8857="",0,IF(ISNA(MATCH(W8857,W$256:W8856,0)),1,0))</f>
        <v/>
      </c>
      <c r="AA8857">
        <f>IF(Z8857&gt;Z8856,Z8857,"")</f>
        <v/>
      </c>
      <c r="AB8857">
        <f>AB8856+IF(X8857="",0,IF(ISNA(MATCH(X8857,X$256:X8856,0)),1,0))</f>
        <v/>
      </c>
      <c r="AC8857">
        <f>IF(AB8857&gt;AB8856,AB8857,"")</f>
        <v/>
      </c>
    </row>
    <row r="8858">
      <c r="W8858" s="7" t="n"/>
      <c r="X8858" s="7" t="n"/>
      <c r="Z8858">
        <f>Z8857+IF(W8858="",0,IF(ISNA(MATCH(W8858,W$256:W8857,0)),1,0))</f>
        <v/>
      </c>
      <c r="AA8858">
        <f>IF(Z8858&gt;Z8857,Z8858,"")</f>
        <v/>
      </c>
      <c r="AB8858">
        <f>AB8857+IF(X8858="",0,IF(ISNA(MATCH(X8858,X$256:X8857,0)),1,0))</f>
        <v/>
      </c>
      <c r="AC8858">
        <f>IF(AB8858&gt;AB8857,AB8858,"")</f>
        <v/>
      </c>
    </row>
    <row r="8859">
      <c r="W8859" s="7" t="n"/>
      <c r="X8859" s="7" t="n"/>
      <c r="Z8859">
        <f>Z8858+IF(W8859="",0,IF(ISNA(MATCH(W8859,W$256:W8858,0)),1,0))</f>
        <v/>
      </c>
      <c r="AA8859">
        <f>IF(Z8859&gt;Z8858,Z8859,"")</f>
        <v/>
      </c>
      <c r="AB8859">
        <f>AB8858+IF(X8859="",0,IF(ISNA(MATCH(X8859,X$256:X8858,0)),1,0))</f>
        <v/>
      </c>
      <c r="AC8859">
        <f>IF(AB8859&gt;AB8858,AB8859,"")</f>
        <v/>
      </c>
    </row>
    <row r="8860">
      <c r="W8860" s="7" t="n"/>
      <c r="X8860" s="7" t="n"/>
      <c r="Z8860">
        <f>Z8859+IF(W8860="",0,IF(ISNA(MATCH(W8860,W$256:W8859,0)),1,0))</f>
        <v/>
      </c>
      <c r="AA8860">
        <f>IF(Z8860&gt;Z8859,Z8860,"")</f>
        <v/>
      </c>
      <c r="AB8860">
        <f>AB8859+IF(X8860="",0,IF(ISNA(MATCH(X8860,X$256:X8859,0)),1,0))</f>
        <v/>
      </c>
      <c r="AC8860">
        <f>IF(AB8860&gt;AB8859,AB8860,"")</f>
        <v/>
      </c>
    </row>
    <row r="8861">
      <c r="W8861" s="7" t="n"/>
      <c r="X8861" s="7" t="n"/>
      <c r="Z8861">
        <f>Z8860+IF(W8861="",0,IF(ISNA(MATCH(W8861,W$256:W8860,0)),1,0))</f>
        <v/>
      </c>
      <c r="AA8861">
        <f>IF(Z8861&gt;Z8860,Z8861,"")</f>
        <v/>
      </c>
      <c r="AB8861">
        <f>AB8860+IF(X8861="",0,IF(ISNA(MATCH(X8861,X$256:X8860,0)),1,0))</f>
        <v/>
      </c>
      <c r="AC8861">
        <f>IF(AB8861&gt;AB8860,AB8861,"")</f>
        <v/>
      </c>
    </row>
    <row r="8862">
      <c r="W8862" s="7" t="n"/>
      <c r="X8862" s="7" t="n"/>
      <c r="Z8862">
        <f>Z8861+IF(W8862="",0,IF(ISNA(MATCH(W8862,W$256:W8861,0)),1,0))</f>
        <v/>
      </c>
      <c r="AA8862">
        <f>IF(Z8862&gt;Z8861,Z8862,"")</f>
        <v/>
      </c>
      <c r="AB8862">
        <f>AB8861+IF(X8862="",0,IF(ISNA(MATCH(X8862,X$256:X8861,0)),1,0))</f>
        <v/>
      </c>
      <c r="AC8862">
        <f>IF(AB8862&gt;AB8861,AB8862,"")</f>
        <v/>
      </c>
    </row>
    <row r="8863">
      <c r="W8863" s="7" t="n"/>
      <c r="X8863" s="7" t="n"/>
      <c r="Z8863">
        <f>Z8862+IF(W8863="",0,IF(ISNA(MATCH(W8863,W$256:W8862,0)),1,0))</f>
        <v/>
      </c>
      <c r="AA8863">
        <f>IF(Z8863&gt;Z8862,Z8863,"")</f>
        <v/>
      </c>
      <c r="AB8863">
        <f>AB8862+IF(X8863="",0,IF(ISNA(MATCH(X8863,X$256:X8862,0)),1,0))</f>
        <v/>
      </c>
      <c r="AC8863">
        <f>IF(AB8863&gt;AB8862,AB8863,"")</f>
        <v/>
      </c>
    </row>
    <row r="8864">
      <c r="W8864" s="7" t="n"/>
      <c r="X8864" s="7" t="n"/>
      <c r="Z8864">
        <f>Z8863+IF(W8864="",0,IF(ISNA(MATCH(W8864,W$256:W8863,0)),1,0))</f>
        <v/>
      </c>
      <c r="AA8864">
        <f>IF(Z8864&gt;Z8863,Z8864,"")</f>
        <v/>
      </c>
      <c r="AB8864">
        <f>AB8863+IF(X8864="",0,IF(ISNA(MATCH(X8864,X$256:X8863,0)),1,0))</f>
        <v/>
      </c>
      <c r="AC8864">
        <f>IF(AB8864&gt;AB8863,AB8864,"")</f>
        <v/>
      </c>
    </row>
    <row r="8865">
      <c r="W8865" s="7" t="n"/>
      <c r="X8865" s="7" t="n"/>
      <c r="Z8865">
        <f>Z8864+IF(W8865="",0,IF(ISNA(MATCH(W8865,W$256:W8864,0)),1,0))</f>
        <v/>
      </c>
      <c r="AA8865">
        <f>IF(Z8865&gt;Z8864,Z8865,"")</f>
        <v/>
      </c>
      <c r="AB8865">
        <f>AB8864+IF(X8865="",0,IF(ISNA(MATCH(X8865,X$256:X8864,0)),1,0))</f>
        <v/>
      </c>
      <c r="AC8865">
        <f>IF(AB8865&gt;AB8864,AB8865,"")</f>
        <v/>
      </c>
    </row>
    <row r="8866">
      <c r="W8866" s="7" t="n"/>
      <c r="X8866" s="7" t="n"/>
      <c r="Z8866">
        <f>Z8865+IF(W8866="",0,IF(ISNA(MATCH(W8866,W$256:W8865,0)),1,0))</f>
        <v/>
      </c>
      <c r="AA8866">
        <f>IF(Z8866&gt;Z8865,Z8866,"")</f>
        <v/>
      </c>
      <c r="AB8866">
        <f>AB8865+IF(X8866="",0,IF(ISNA(MATCH(X8866,X$256:X8865,0)),1,0))</f>
        <v/>
      </c>
      <c r="AC8866">
        <f>IF(AB8866&gt;AB8865,AB8866,"")</f>
        <v/>
      </c>
    </row>
    <row r="8867">
      <c r="W8867" s="7" t="n"/>
      <c r="X8867" s="7" t="n"/>
      <c r="Z8867">
        <f>Z8866+IF(W8867="",0,IF(ISNA(MATCH(W8867,W$256:W8866,0)),1,0))</f>
        <v/>
      </c>
      <c r="AA8867">
        <f>IF(Z8867&gt;Z8866,Z8867,"")</f>
        <v/>
      </c>
      <c r="AB8867">
        <f>AB8866+IF(X8867="",0,IF(ISNA(MATCH(X8867,X$256:X8866,0)),1,0))</f>
        <v/>
      </c>
      <c r="AC8867">
        <f>IF(AB8867&gt;AB8866,AB8867,"")</f>
        <v/>
      </c>
    </row>
    <row r="8868">
      <c r="W8868" s="7" t="n"/>
      <c r="X8868" s="7" t="n"/>
      <c r="Z8868">
        <f>Z8867+IF(W8868="",0,IF(ISNA(MATCH(W8868,W$256:W8867,0)),1,0))</f>
        <v/>
      </c>
      <c r="AA8868">
        <f>IF(Z8868&gt;Z8867,Z8868,"")</f>
        <v/>
      </c>
      <c r="AB8868">
        <f>AB8867+IF(X8868="",0,IF(ISNA(MATCH(X8868,X$256:X8867,0)),1,0))</f>
        <v/>
      </c>
      <c r="AC8868">
        <f>IF(AB8868&gt;AB8867,AB8868,"")</f>
        <v/>
      </c>
    </row>
    <row r="8869">
      <c r="W8869" s="7" t="n"/>
      <c r="X8869" s="7" t="n"/>
      <c r="Z8869">
        <f>Z8868+IF(W8869="",0,IF(ISNA(MATCH(W8869,W$256:W8868,0)),1,0))</f>
        <v/>
      </c>
      <c r="AA8869">
        <f>IF(Z8869&gt;Z8868,Z8869,"")</f>
        <v/>
      </c>
      <c r="AB8869">
        <f>AB8868+IF(X8869="",0,IF(ISNA(MATCH(X8869,X$256:X8868,0)),1,0))</f>
        <v/>
      </c>
      <c r="AC8869">
        <f>IF(AB8869&gt;AB8868,AB8869,"")</f>
        <v/>
      </c>
    </row>
    <row r="8870">
      <c r="W8870" s="7" t="n"/>
      <c r="X8870" s="7" t="n"/>
      <c r="Z8870">
        <f>Z8869+IF(W8870="",0,IF(ISNA(MATCH(W8870,W$256:W8869,0)),1,0))</f>
        <v/>
      </c>
      <c r="AA8870">
        <f>IF(Z8870&gt;Z8869,Z8870,"")</f>
        <v/>
      </c>
      <c r="AB8870">
        <f>AB8869+IF(X8870="",0,IF(ISNA(MATCH(X8870,X$256:X8869,0)),1,0))</f>
        <v/>
      </c>
      <c r="AC8870">
        <f>IF(AB8870&gt;AB8869,AB8870,"")</f>
        <v/>
      </c>
    </row>
    <row r="8871">
      <c r="W8871" s="7" t="n"/>
      <c r="X8871" s="7" t="n"/>
      <c r="Z8871">
        <f>Z8870+IF(W8871="",0,IF(ISNA(MATCH(W8871,W$256:W8870,0)),1,0))</f>
        <v/>
      </c>
      <c r="AA8871">
        <f>IF(Z8871&gt;Z8870,Z8871,"")</f>
        <v/>
      </c>
      <c r="AB8871">
        <f>AB8870+IF(X8871="",0,IF(ISNA(MATCH(X8871,X$256:X8870,0)),1,0))</f>
        <v/>
      </c>
      <c r="AC8871">
        <f>IF(AB8871&gt;AB8870,AB8871,"")</f>
        <v/>
      </c>
    </row>
    <row r="8872">
      <c r="W8872" s="7" t="n"/>
      <c r="X8872" s="7" t="n"/>
      <c r="Z8872">
        <f>Z8871+IF(W8872="",0,IF(ISNA(MATCH(W8872,W$256:W8871,0)),1,0))</f>
        <v/>
      </c>
      <c r="AA8872">
        <f>IF(Z8872&gt;Z8871,Z8872,"")</f>
        <v/>
      </c>
      <c r="AB8872">
        <f>AB8871+IF(X8872="",0,IF(ISNA(MATCH(X8872,X$256:X8871,0)),1,0))</f>
        <v/>
      </c>
      <c r="AC8872">
        <f>IF(AB8872&gt;AB8871,AB8872,"")</f>
        <v/>
      </c>
    </row>
    <row r="8873">
      <c r="W8873" s="7" t="n"/>
      <c r="X8873" s="7" t="n"/>
      <c r="Z8873">
        <f>Z8872+IF(W8873="",0,IF(ISNA(MATCH(W8873,W$256:W8872,0)),1,0))</f>
        <v/>
      </c>
      <c r="AA8873">
        <f>IF(Z8873&gt;Z8872,Z8873,"")</f>
        <v/>
      </c>
      <c r="AB8873">
        <f>AB8872+IF(X8873="",0,IF(ISNA(MATCH(X8873,X$256:X8872,0)),1,0))</f>
        <v/>
      </c>
      <c r="AC8873">
        <f>IF(AB8873&gt;AB8872,AB8873,"")</f>
        <v/>
      </c>
    </row>
    <row r="8874">
      <c r="W8874" s="7" t="n"/>
      <c r="X8874" s="7" t="n"/>
      <c r="Z8874">
        <f>Z8873+IF(W8874="",0,IF(ISNA(MATCH(W8874,W$256:W8873,0)),1,0))</f>
        <v/>
      </c>
      <c r="AA8874">
        <f>IF(Z8874&gt;Z8873,Z8874,"")</f>
        <v/>
      </c>
      <c r="AB8874">
        <f>AB8873+IF(X8874="",0,IF(ISNA(MATCH(X8874,X$256:X8873,0)),1,0))</f>
        <v/>
      </c>
      <c r="AC8874">
        <f>IF(AB8874&gt;AB8873,AB8874,"")</f>
        <v/>
      </c>
    </row>
    <row r="8875">
      <c r="W8875" s="7" t="n"/>
      <c r="X8875" s="7" t="n"/>
      <c r="Z8875">
        <f>Z8874+IF(W8875="",0,IF(ISNA(MATCH(W8875,W$256:W8874,0)),1,0))</f>
        <v/>
      </c>
      <c r="AA8875">
        <f>IF(Z8875&gt;Z8874,Z8875,"")</f>
        <v/>
      </c>
      <c r="AB8875">
        <f>AB8874+IF(X8875="",0,IF(ISNA(MATCH(X8875,X$256:X8874,0)),1,0))</f>
        <v/>
      </c>
      <c r="AC8875">
        <f>IF(AB8875&gt;AB8874,AB8875,"")</f>
        <v/>
      </c>
    </row>
    <row r="8876">
      <c r="W8876" s="7" t="n"/>
      <c r="X8876" s="7" t="n"/>
      <c r="Z8876">
        <f>Z8875+IF(W8876="",0,IF(ISNA(MATCH(W8876,W$256:W8875,0)),1,0))</f>
        <v/>
      </c>
      <c r="AA8876">
        <f>IF(Z8876&gt;Z8875,Z8876,"")</f>
        <v/>
      </c>
      <c r="AB8876">
        <f>AB8875+IF(X8876="",0,IF(ISNA(MATCH(X8876,X$256:X8875,0)),1,0))</f>
        <v/>
      </c>
      <c r="AC8876">
        <f>IF(AB8876&gt;AB8875,AB8876,"")</f>
        <v/>
      </c>
    </row>
    <row r="8877">
      <c r="W8877" s="7" t="n"/>
      <c r="X8877" s="7" t="n"/>
      <c r="Z8877">
        <f>Z8876+IF(W8877="",0,IF(ISNA(MATCH(W8877,W$256:W8876,0)),1,0))</f>
        <v/>
      </c>
      <c r="AA8877">
        <f>IF(Z8877&gt;Z8876,Z8877,"")</f>
        <v/>
      </c>
      <c r="AB8877">
        <f>AB8876+IF(X8877="",0,IF(ISNA(MATCH(X8877,X$256:X8876,0)),1,0))</f>
        <v/>
      </c>
      <c r="AC8877">
        <f>IF(AB8877&gt;AB8876,AB8877,"")</f>
        <v/>
      </c>
    </row>
    <row r="8878">
      <c r="W8878" s="7" t="n"/>
      <c r="X8878" s="7" t="n"/>
      <c r="Z8878">
        <f>Z8877+IF(W8878="",0,IF(ISNA(MATCH(W8878,W$256:W8877,0)),1,0))</f>
        <v/>
      </c>
      <c r="AA8878">
        <f>IF(Z8878&gt;Z8877,Z8878,"")</f>
        <v/>
      </c>
      <c r="AB8878">
        <f>AB8877+IF(X8878="",0,IF(ISNA(MATCH(X8878,X$256:X8877,0)),1,0))</f>
        <v/>
      </c>
      <c r="AC8878">
        <f>IF(AB8878&gt;AB8877,AB8878,"")</f>
        <v/>
      </c>
    </row>
    <row r="8879">
      <c r="W8879" s="7" t="n"/>
      <c r="X8879" s="7" t="n"/>
      <c r="Z8879">
        <f>Z8878+IF(W8879="",0,IF(ISNA(MATCH(W8879,W$256:W8878,0)),1,0))</f>
        <v/>
      </c>
      <c r="AA8879">
        <f>IF(Z8879&gt;Z8878,Z8879,"")</f>
        <v/>
      </c>
      <c r="AB8879">
        <f>AB8878+IF(X8879="",0,IF(ISNA(MATCH(X8879,X$256:X8878,0)),1,0))</f>
        <v/>
      </c>
      <c r="AC8879">
        <f>IF(AB8879&gt;AB8878,AB8879,"")</f>
        <v/>
      </c>
    </row>
    <row r="8880">
      <c r="W8880" s="7" t="n"/>
      <c r="X8880" s="7" t="n"/>
      <c r="Z8880">
        <f>Z8879+IF(W8880="",0,IF(ISNA(MATCH(W8880,W$256:W8879,0)),1,0))</f>
        <v/>
      </c>
      <c r="AA8880">
        <f>IF(Z8880&gt;Z8879,Z8880,"")</f>
        <v/>
      </c>
      <c r="AB8880">
        <f>AB8879+IF(X8880="",0,IF(ISNA(MATCH(X8880,X$256:X8879,0)),1,0))</f>
        <v/>
      </c>
      <c r="AC8880">
        <f>IF(AB8880&gt;AB8879,AB8880,"")</f>
        <v/>
      </c>
    </row>
    <row r="8881">
      <c r="W8881" s="7" t="n"/>
      <c r="X8881" s="7" t="n"/>
      <c r="Z8881">
        <f>Z8880+IF(W8881="",0,IF(ISNA(MATCH(W8881,W$256:W8880,0)),1,0))</f>
        <v/>
      </c>
      <c r="AA8881">
        <f>IF(Z8881&gt;Z8880,Z8881,"")</f>
        <v/>
      </c>
      <c r="AB8881">
        <f>AB8880+IF(X8881="",0,IF(ISNA(MATCH(X8881,X$256:X8880,0)),1,0))</f>
        <v/>
      </c>
      <c r="AC8881">
        <f>IF(AB8881&gt;AB8880,AB8881,"")</f>
        <v/>
      </c>
    </row>
    <row r="8882">
      <c r="W8882" s="7" t="n"/>
      <c r="X8882" s="7" t="n"/>
      <c r="Z8882">
        <f>Z8881+IF(W8882="",0,IF(ISNA(MATCH(W8882,W$256:W8881,0)),1,0))</f>
        <v/>
      </c>
      <c r="AA8882">
        <f>IF(Z8882&gt;Z8881,Z8882,"")</f>
        <v/>
      </c>
      <c r="AB8882">
        <f>AB8881+IF(X8882="",0,IF(ISNA(MATCH(X8882,X$256:X8881,0)),1,0))</f>
        <v/>
      </c>
      <c r="AC8882">
        <f>IF(AB8882&gt;AB8881,AB8882,"")</f>
        <v/>
      </c>
    </row>
    <row r="8883">
      <c r="W8883" s="7" t="n"/>
      <c r="X8883" s="7" t="n"/>
      <c r="Z8883">
        <f>Z8882+IF(W8883="",0,IF(ISNA(MATCH(W8883,W$256:W8882,0)),1,0))</f>
        <v/>
      </c>
      <c r="AA8883">
        <f>IF(Z8883&gt;Z8882,Z8883,"")</f>
        <v/>
      </c>
      <c r="AB8883">
        <f>AB8882+IF(X8883="",0,IF(ISNA(MATCH(X8883,X$256:X8882,0)),1,0))</f>
        <v/>
      </c>
      <c r="AC8883">
        <f>IF(AB8883&gt;AB8882,AB8883,"")</f>
        <v/>
      </c>
    </row>
    <row r="8884">
      <c r="W8884" s="7" t="n"/>
      <c r="X8884" s="7" t="n"/>
      <c r="Z8884">
        <f>Z8883+IF(W8884="",0,IF(ISNA(MATCH(W8884,W$256:W8883,0)),1,0))</f>
        <v/>
      </c>
      <c r="AA8884">
        <f>IF(Z8884&gt;Z8883,Z8884,"")</f>
        <v/>
      </c>
      <c r="AB8884">
        <f>AB8883+IF(X8884="",0,IF(ISNA(MATCH(X8884,X$256:X8883,0)),1,0))</f>
        <v/>
      </c>
      <c r="AC8884">
        <f>IF(AB8884&gt;AB8883,AB8884,"")</f>
        <v/>
      </c>
    </row>
    <row r="8885">
      <c r="W8885" s="7" t="n"/>
      <c r="X8885" s="7" t="n"/>
      <c r="Z8885">
        <f>Z8884+IF(W8885="",0,IF(ISNA(MATCH(W8885,W$256:W8884,0)),1,0))</f>
        <v/>
      </c>
      <c r="AA8885">
        <f>IF(Z8885&gt;Z8884,Z8885,"")</f>
        <v/>
      </c>
      <c r="AB8885">
        <f>AB8884+IF(X8885="",0,IF(ISNA(MATCH(X8885,X$256:X8884,0)),1,0))</f>
        <v/>
      </c>
      <c r="AC8885">
        <f>IF(AB8885&gt;AB8884,AB8885,"")</f>
        <v/>
      </c>
    </row>
    <row r="8886">
      <c r="W8886" s="7" t="n"/>
      <c r="X8886" s="7" t="n"/>
      <c r="Z8886">
        <f>Z8885+IF(W8886="",0,IF(ISNA(MATCH(W8886,W$256:W8885,0)),1,0))</f>
        <v/>
      </c>
      <c r="AA8886">
        <f>IF(Z8886&gt;Z8885,Z8886,"")</f>
        <v/>
      </c>
      <c r="AB8886">
        <f>AB8885+IF(X8886="",0,IF(ISNA(MATCH(X8886,X$256:X8885,0)),1,0))</f>
        <v/>
      </c>
      <c r="AC8886">
        <f>IF(AB8886&gt;AB8885,AB8886,"")</f>
        <v/>
      </c>
    </row>
    <row r="8887">
      <c r="W8887" s="7" t="n"/>
      <c r="X8887" s="7" t="n"/>
      <c r="Z8887">
        <f>Z8886+IF(W8887="",0,IF(ISNA(MATCH(W8887,W$256:W8886,0)),1,0))</f>
        <v/>
      </c>
      <c r="AA8887">
        <f>IF(Z8887&gt;Z8886,Z8887,"")</f>
        <v/>
      </c>
      <c r="AB8887">
        <f>AB8886+IF(X8887="",0,IF(ISNA(MATCH(X8887,X$256:X8886,0)),1,0))</f>
        <v/>
      </c>
      <c r="AC8887">
        <f>IF(AB8887&gt;AB8886,AB8887,"")</f>
        <v/>
      </c>
    </row>
    <row r="8888">
      <c r="W8888" s="7" t="n"/>
      <c r="X8888" s="7" t="n"/>
      <c r="Z8888">
        <f>Z8887+IF(W8888="",0,IF(ISNA(MATCH(W8888,W$256:W8887,0)),1,0))</f>
        <v/>
      </c>
      <c r="AA8888">
        <f>IF(Z8888&gt;Z8887,Z8888,"")</f>
        <v/>
      </c>
      <c r="AB8888">
        <f>AB8887+IF(X8888="",0,IF(ISNA(MATCH(X8888,X$256:X8887,0)),1,0))</f>
        <v/>
      </c>
      <c r="AC8888">
        <f>IF(AB8888&gt;AB8887,AB8888,"")</f>
        <v/>
      </c>
    </row>
    <row r="8889">
      <c r="W8889" s="7" t="n"/>
      <c r="X8889" s="7" t="n"/>
      <c r="Z8889">
        <f>Z8888+IF(W8889="",0,IF(ISNA(MATCH(W8889,W$256:W8888,0)),1,0))</f>
        <v/>
      </c>
      <c r="AA8889">
        <f>IF(Z8889&gt;Z8888,Z8889,"")</f>
        <v/>
      </c>
      <c r="AB8889">
        <f>AB8888+IF(X8889="",0,IF(ISNA(MATCH(X8889,X$256:X8888,0)),1,0))</f>
        <v/>
      </c>
      <c r="AC8889">
        <f>IF(AB8889&gt;AB8888,AB8889,"")</f>
        <v/>
      </c>
    </row>
    <row r="8890">
      <c r="W8890" s="7" t="n"/>
      <c r="X8890" s="7" t="n"/>
      <c r="Z8890">
        <f>Z8889+IF(W8890="",0,IF(ISNA(MATCH(W8890,W$256:W8889,0)),1,0))</f>
        <v/>
      </c>
      <c r="AA8890">
        <f>IF(Z8890&gt;Z8889,Z8890,"")</f>
        <v/>
      </c>
      <c r="AB8890">
        <f>AB8889+IF(X8890="",0,IF(ISNA(MATCH(X8890,X$256:X8889,0)),1,0))</f>
        <v/>
      </c>
      <c r="AC8890">
        <f>IF(AB8890&gt;AB8889,AB8890,"")</f>
        <v/>
      </c>
    </row>
    <row r="8891">
      <c r="W8891" s="7" t="n"/>
      <c r="X8891" s="7" t="n"/>
      <c r="Z8891">
        <f>Z8890+IF(W8891="",0,IF(ISNA(MATCH(W8891,W$256:W8890,0)),1,0))</f>
        <v/>
      </c>
      <c r="AA8891">
        <f>IF(Z8891&gt;Z8890,Z8891,"")</f>
        <v/>
      </c>
      <c r="AB8891">
        <f>AB8890+IF(X8891="",0,IF(ISNA(MATCH(X8891,X$256:X8890,0)),1,0))</f>
        <v/>
      </c>
      <c r="AC8891">
        <f>IF(AB8891&gt;AB8890,AB8891,"")</f>
        <v/>
      </c>
    </row>
    <row r="8892">
      <c r="W8892" s="7" t="n"/>
      <c r="X8892" s="7" t="n"/>
      <c r="Z8892">
        <f>Z8891+IF(W8892="",0,IF(ISNA(MATCH(W8892,W$256:W8891,0)),1,0))</f>
        <v/>
      </c>
      <c r="AA8892">
        <f>IF(Z8892&gt;Z8891,Z8892,"")</f>
        <v/>
      </c>
      <c r="AB8892">
        <f>AB8891+IF(X8892="",0,IF(ISNA(MATCH(X8892,X$256:X8891,0)),1,0))</f>
        <v/>
      </c>
      <c r="AC8892">
        <f>IF(AB8892&gt;AB8891,AB8892,"")</f>
        <v/>
      </c>
    </row>
    <row r="8893">
      <c r="W8893" s="7" t="n"/>
      <c r="X8893" s="7" t="n"/>
      <c r="Z8893">
        <f>Z8892+IF(W8893="",0,IF(ISNA(MATCH(W8893,W$256:W8892,0)),1,0))</f>
        <v/>
      </c>
      <c r="AA8893">
        <f>IF(Z8893&gt;Z8892,Z8893,"")</f>
        <v/>
      </c>
      <c r="AB8893">
        <f>AB8892+IF(X8893="",0,IF(ISNA(MATCH(X8893,X$256:X8892,0)),1,0))</f>
        <v/>
      </c>
      <c r="AC8893">
        <f>IF(AB8893&gt;AB8892,AB8893,"")</f>
        <v/>
      </c>
    </row>
    <row r="8894">
      <c r="W8894" s="7" t="n"/>
      <c r="X8894" s="7" t="n"/>
      <c r="Z8894">
        <f>Z8893+IF(W8894="",0,IF(ISNA(MATCH(W8894,W$256:W8893,0)),1,0))</f>
        <v/>
      </c>
      <c r="AA8894">
        <f>IF(Z8894&gt;Z8893,Z8894,"")</f>
        <v/>
      </c>
      <c r="AB8894">
        <f>AB8893+IF(X8894="",0,IF(ISNA(MATCH(X8894,X$256:X8893,0)),1,0))</f>
        <v/>
      </c>
      <c r="AC8894">
        <f>IF(AB8894&gt;AB8893,AB8894,"")</f>
        <v/>
      </c>
    </row>
    <row r="8895">
      <c r="W8895" s="7" t="n"/>
      <c r="X8895" s="7" t="n"/>
      <c r="Z8895">
        <f>Z8894+IF(W8895="",0,IF(ISNA(MATCH(W8895,W$256:W8894,0)),1,0))</f>
        <v/>
      </c>
      <c r="AA8895">
        <f>IF(Z8895&gt;Z8894,Z8895,"")</f>
        <v/>
      </c>
      <c r="AB8895">
        <f>AB8894+IF(X8895="",0,IF(ISNA(MATCH(X8895,X$256:X8894,0)),1,0))</f>
        <v/>
      </c>
      <c r="AC8895">
        <f>IF(AB8895&gt;AB8894,AB8895,"")</f>
        <v/>
      </c>
    </row>
    <row r="8896">
      <c r="W8896" s="7" t="n"/>
      <c r="X8896" s="7" t="n"/>
      <c r="Z8896">
        <f>Z8895+IF(W8896="",0,IF(ISNA(MATCH(W8896,W$256:W8895,0)),1,0))</f>
        <v/>
      </c>
      <c r="AA8896">
        <f>IF(Z8896&gt;Z8895,Z8896,"")</f>
        <v/>
      </c>
      <c r="AB8896">
        <f>AB8895+IF(X8896="",0,IF(ISNA(MATCH(X8896,X$256:X8895,0)),1,0))</f>
        <v/>
      </c>
      <c r="AC8896">
        <f>IF(AB8896&gt;AB8895,AB8896,"")</f>
        <v/>
      </c>
    </row>
    <row r="8897">
      <c r="W8897" s="7" t="n"/>
      <c r="X8897" s="7" t="n"/>
      <c r="Z8897">
        <f>Z8896+IF(W8897="",0,IF(ISNA(MATCH(W8897,W$256:W8896,0)),1,0))</f>
        <v/>
      </c>
      <c r="AA8897">
        <f>IF(Z8897&gt;Z8896,Z8897,"")</f>
        <v/>
      </c>
      <c r="AB8897">
        <f>AB8896+IF(X8897="",0,IF(ISNA(MATCH(X8897,X$256:X8896,0)),1,0))</f>
        <v/>
      </c>
      <c r="AC8897">
        <f>IF(AB8897&gt;AB8896,AB8897,"")</f>
        <v/>
      </c>
    </row>
    <row r="8898">
      <c r="W8898" s="7" t="n"/>
      <c r="X8898" s="7" t="n"/>
      <c r="Z8898">
        <f>Z8897+IF(W8898="",0,IF(ISNA(MATCH(W8898,W$256:W8897,0)),1,0))</f>
        <v/>
      </c>
      <c r="AA8898">
        <f>IF(Z8898&gt;Z8897,Z8898,"")</f>
        <v/>
      </c>
      <c r="AB8898">
        <f>AB8897+IF(X8898="",0,IF(ISNA(MATCH(X8898,X$256:X8897,0)),1,0))</f>
        <v/>
      </c>
      <c r="AC8898">
        <f>IF(AB8898&gt;AB8897,AB8898,"")</f>
        <v/>
      </c>
    </row>
    <row r="8899">
      <c r="W8899" s="7" t="n"/>
      <c r="X8899" s="7" t="n"/>
      <c r="Z8899">
        <f>Z8898+IF(W8899="",0,IF(ISNA(MATCH(W8899,W$256:W8898,0)),1,0))</f>
        <v/>
      </c>
      <c r="AA8899">
        <f>IF(Z8899&gt;Z8898,Z8899,"")</f>
        <v/>
      </c>
      <c r="AB8899">
        <f>AB8898+IF(X8899="",0,IF(ISNA(MATCH(X8899,X$256:X8898,0)),1,0))</f>
        <v/>
      </c>
      <c r="AC8899">
        <f>IF(AB8899&gt;AB8898,AB8899,"")</f>
        <v/>
      </c>
    </row>
    <row r="8900">
      <c r="W8900" s="7" t="n"/>
      <c r="X8900" s="7" t="n"/>
      <c r="Z8900">
        <f>Z8899+IF(W8900="",0,IF(ISNA(MATCH(W8900,W$256:W8899,0)),1,0))</f>
        <v/>
      </c>
      <c r="AA8900">
        <f>IF(Z8900&gt;Z8899,Z8900,"")</f>
        <v/>
      </c>
      <c r="AB8900">
        <f>AB8899+IF(X8900="",0,IF(ISNA(MATCH(X8900,X$256:X8899,0)),1,0))</f>
        <v/>
      </c>
      <c r="AC8900">
        <f>IF(AB8900&gt;AB8899,AB8900,"")</f>
        <v/>
      </c>
    </row>
    <row r="8901">
      <c r="W8901" s="7" t="n"/>
      <c r="X8901" s="7" t="n"/>
      <c r="Z8901">
        <f>Z8900+IF(W8901="",0,IF(ISNA(MATCH(W8901,W$256:W8900,0)),1,0))</f>
        <v/>
      </c>
      <c r="AA8901">
        <f>IF(Z8901&gt;Z8900,Z8901,"")</f>
        <v/>
      </c>
      <c r="AB8901">
        <f>AB8900+IF(X8901="",0,IF(ISNA(MATCH(X8901,X$256:X8900,0)),1,0))</f>
        <v/>
      </c>
      <c r="AC8901">
        <f>IF(AB8901&gt;AB8900,AB8901,"")</f>
        <v/>
      </c>
    </row>
    <row r="8902">
      <c r="W8902" s="7" t="n"/>
      <c r="X8902" s="7" t="n"/>
      <c r="Z8902">
        <f>Z8901+IF(W8902="",0,IF(ISNA(MATCH(W8902,W$256:W8901,0)),1,0))</f>
        <v/>
      </c>
      <c r="AA8902">
        <f>IF(Z8902&gt;Z8901,Z8902,"")</f>
        <v/>
      </c>
      <c r="AB8902">
        <f>AB8901+IF(X8902="",0,IF(ISNA(MATCH(X8902,X$256:X8901,0)),1,0))</f>
        <v/>
      </c>
      <c r="AC8902">
        <f>IF(AB8902&gt;AB8901,AB8902,"")</f>
        <v/>
      </c>
    </row>
    <row r="8903">
      <c r="W8903" s="7" t="n"/>
      <c r="X8903" s="7" t="n"/>
      <c r="Z8903">
        <f>Z8902+IF(W8903="",0,IF(ISNA(MATCH(W8903,W$256:W8902,0)),1,0))</f>
        <v/>
      </c>
      <c r="AA8903">
        <f>IF(Z8903&gt;Z8902,Z8903,"")</f>
        <v/>
      </c>
      <c r="AB8903">
        <f>AB8902+IF(X8903="",0,IF(ISNA(MATCH(X8903,X$256:X8902,0)),1,0))</f>
        <v/>
      </c>
      <c r="AC8903">
        <f>IF(AB8903&gt;AB8902,AB8903,"")</f>
        <v/>
      </c>
    </row>
    <row r="8904">
      <c r="W8904" s="7" t="n"/>
      <c r="X8904" s="7" t="n"/>
      <c r="Z8904">
        <f>Z8903+IF(W8904="",0,IF(ISNA(MATCH(W8904,W$256:W8903,0)),1,0))</f>
        <v/>
      </c>
      <c r="AA8904">
        <f>IF(Z8904&gt;Z8903,Z8904,"")</f>
        <v/>
      </c>
      <c r="AB8904">
        <f>AB8903+IF(X8904="",0,IF(ISNA(MATCH(X8904,X$256:X8903,0)),1,0))</f>
        <v/>
      </c>
      <c r="AC8904">
        <f>IF(AB8904&gt;AB8903,AB8904,"")</f>
        <v/>
      </c>
    </row>
    <row r="8905">
      <c r="W8905" s="7" t="n"/>
      <c r="X8905" s="7" t="n"/>
      <c r="Z8905">
        <f>Z8904+IF(W8905="",0,IF(ISNA(MATCH(W8905,W$256:W8904,0)),1,0))</f>
        <v/>
      </c>
      <c r="AA8905">
        <f>IF(Z8905&gt;Z8904,Z8905,"")</f>
        <v/>
      </c>
      <c r="AB8905">
        <f>AB8904+IF(X8905="",0,IF(ISNA(MATCH(X8905,X$256:X8904,0)),1,0))</f>
        <v/>
      </c>
      <c r="AC8905">
        <f>IF(AB8905&gt;AB8904,AB8905,"")</f>
        <v/>
      </c>
    </row>
    <row r="8906">
      <c r="W8906" s="7" t="n"/>
      <c r="X8906" s="7" t="n"/>
      <c r="Z8906">
        <f>Z8905+IF(W8906="",0,IF(ISNA(MATCH(W8906,W$256:W8905,0)),1,0))</f>
        <v/>
      </c>
      <c r="AA8906">
        <f>IF(Z8906&gt;Z8905,Z8906,"")</f>
        <v/>
      </c>
      <c r="AB8906">
        <f>AB8905+IF(X8906="",0,IF(ISNA(MATCH(X8906,X$256:X8905,0)),1,0))</f>
        <v/>
      </c>
      <c r="AC8906">
        <f>IF(AB8906&gt;AB8905,AB8906,"")</f>
        <v/>
      </c>
    </row>
    <row r="8907">
      <c r="W8907" s="7" t="n"/>
      <c r="X8907" s="7" t="n"/>
      <c r="Z8907">
        <f>Z8906+IF(W8907="",0,IF(ISNA(MATCH(W8907,W$256:W8906,0)),1,0))</f>
        <v/>
      </c>
      <c r="AA8907">
        <f>IF(Z8907&gt;Z8906,Z8907,"")</f>
        <v/>
      </c>
      <c r="AB8907">
        <f>AB8906+IF(X8907="",0,IF(ISNA(MATCH(X8907,X$256:X8906,0)),1,0))</f>
        <v/>
      </c>
      <c r="AC8907">
        <f>IF(AB8907&gt;AB8906,AB8907,"")</f>
        <v/>
      </c>
    </row>
    <row r="8908">
      <c r="W8908" s="7" t="n"/>
      <c r="X8908" s="7" t="n"/>
      <c r="Z8908">
        <f>Z8907+IF(W8908="",0,IF(ISNA(MATCH(W8908,W$256:W8907,0)),1,0))</f>
        <v/>
      </c>
      <c r="AA8908">
        <f>IF(Z8908&gt;Z8907,Z8908,"")</f>
        <v/>
      </c>
      <c r="AB8908">
        <f>AB8907+IF(X8908="",0,IF(ISNA(MATCH(X8908,X$256:X8907,0)),1,0))</f>
        <v/>
      </c>
      <c r="AC8908">
        <f>IF(AB8908&gt;AB8907,AB8908,"")</f>
        <v/>
      </c>
    </row>
    <row r="8909">
      <c r="W8909" s="7" t="n"/>
      <c r="X8909" s="7" t="n"/>
      <c r="Z8909">
        <f>Z8908+IF(W8909="",0,IF(ISNA(MATCH(W8909,W$256:W8908,0)),1,0))</f>
        <v/>
      </c>
      <c r="AA8909">
        <f>IF(Z8909&gt;Z8908,Z8909,"")</f>
        <v/>
      </c>
      <c r="AB8909">
        <f>AB8908+IF(X8909="",0,IF(ISNA(MATCH(X8909,X$256:X8908,0)),1,0))</f>
        <v/>
      </c>
      <c r="AC8909">
        <f>IF(AB8909&gt;AB8908,AB8909,"")</f>
        <v/>
      </c>
    </row>
    <row r="8910">
      <c r="W8910" s="7" t="n"/>
      <c r="X8910" s="7" t="n"/>
      <c r="Z8910">
        <f>Z8909+IF(W8910="",0,IF(ISNA(MATCH(W8910,W$256:W8909,0)),1,0))</f>
        <v/>
      </c>
      <c r="AA8910">
        <f>IF(Z8910&gt;Z8909,Z8910,"")</f>
        <v/>
      </c>
      <c r="AB8910">
        <f>AB8909+IF(X8910="",0,IF(ISNA(MATCH(X8910,X$256:X8909,0)),1,0))</f>
        <v/>
      </c>
      <c r="AC8910">
        <f>IF(AB8910&gt;AB8909,AB8910,"")</f>
        <v/>
      </c>
    </row>
    <row r="8911">
      <c r="W8911" s="7" t="n"/>
      <c r="X8911" s="7" t="n"/>
      <c r="Z8911">
        <f>Z8910+IF(W8911="",0,IF(ISNA(MATCH(W8911,W$256:W8910,0)),1,0))</f>
        <v/>
      </c>
      <c r="AA8911">
        <f>IF(Z8911&gt;Z8910,Z8911,"")</f>
        <v/>
      </c>
      <c r="AB8911">
        <f>AB8910+IF(X8911="",0,IF(ISNA(MATCH(X8911,X$256:X8910,0)),1,0))</f>
        <v/>
      </c>
      <c r="AC8911">
        <f>IF(AB8911&gt;AB8910,AB8911,"")</f>
        <v/>
      </c>
    </row>
    <row r="8912">
      <c r="W8912" s="7" t="n"/>
      <c r="X8912" s="7" t="n"/>
      <c r="Z8912">
        <f>Z8911+IF(W8912="",0,IF(ISNA(MATCH(W8912,W$256:W8911,0)),1,0))</f>
        <v/>
      </c>
      <c r="AA8912">
        <f>IF(Z8912&gt;Z8911,Z8912,"")</f>
        <v/>
      </c>
      <c r="AB8912">
        <f>AB8911+IF(X8912="",0,IF(ISNA(MATCH(X8912,X$256:X8911,0)),1,0))</f>
        <v/>
      </c>
      <c r="AC8912">
        <f>IF(AB8912&gt;AB8911,AB8912,"")</f>
        <v/>
      </c>
    </row>
    <row r="8913">
      <c r="W8913" s="7" t="n"/>
      <c r="X8913" s="7" t="n"/>
      <c r="Z8913">
        <f>Z8912+IF(W8913="",0,IF(ISNA(MATCH(W8913,W$256:W8912,0)),1,0))</f>
        <v/>
      </c>
      <c r="AA8913">
        <f>IF(Z8913&gt;Z8912,Z8913,"")</f>
        <v/>
      </c>
      <c r="AB8913">
        <f>AB8912+IF(X8913="",0,IF(ISNA(MATCH(X8913,X$256:X8912,0)),1,0))</f>
        <v/>
      </c>
      <c r="AC8913">
        <f>IF(AB8913&gt;AB8912,AB8913,"")</f>
        <v/>
      </c>
    </row>
    <row r="8914">
      <c r="W8914" s="7" t="n"/>
      <c r="X8914" s="7" t="n"/>
      <c r="Z8914">
        <f>Z8913+IF(W8914="",0,IF(ISNA(MATCH(W8914,W$256:W8913,0)),1,0))</f>
        <v/>
      </c>
      <c r="AA8914">
        <f>IF(Z8914&gt;Z8913,Z8914,"")</f>
        <v/>
      </c>
      <c r="AB8914">
        <f>AB8913+IF(X8914="",0,IF(ISNA(MATCH(X8914,X$256:X8913,0)),1,0))</f>
        <v/>
      </c>
      <c r="AC8914">
        <f>IF(AB8914&gt;AB8913,AB8914,"")</f>
        <v/>
      </c>
    </row>
    <row r="8915">
      <c r="W8915" s="7" t="n"/>
      <c r="X8915" s="7" t="n"/>
      <c r="Z8915">
        <f>Z8914+IF(W8915="",0,IF(ISNA(MATCH(W8915,W$256:W8914,0)),1,0))</f>
        <v/>
      </c>
      <c r="AA8915">
        <f>IF(Z8915&gt;Z8914,Z8915,"")</f>
        <v/>
      </c>
      <c r="AB8915">
        <f>AB8914+IF(X8915="",0,IF(ISNA(MATCH(X8915,X$256:X8914,0)),1,0))</f>
        <v/>
      </c>
      <c r="AC8915">
        <f>IF(AB8915&gt;AB8914,AB8915,"")</f>
        <v/>
      </c>
    </row>
    <row r="8916">
      <c r="W8916" s="7" t="n"/>
      <c r="X8916" s="7" t="n"/>
      <c r="Z8916">
        <f>Z8915+IF(W8916="",0,IF(ISNA(MATCH(W8916,W$256:W8915,0)),1,0))</f>
        <v/>
      </c>
      <c r="AA8916">
        <f>IF(Z8916&gt;Z8915,Z8916,"")</f>
        <v/>
      </c>
      <c r="AB8916">
        <f>AB8915+IF(X8916="",0,IF(ISNA(MATCH(X8916,X$256:X8915,0)),1,0))</f>
        <v/>
      </c>
      <c r="AC8916">
        <f>IF(AB8916&gt;AB8915,AB8916,"")</f>
        <v/>
      </c>
    </row>
    <row r="8917">
      <c r="W8917" s="7" t="n"/>
      <c r="X8917" s="7" t="n"/>
      <c r="Z8917">
        <f>Z8916+IF(W8917="",0,IF(ISNA(MATCH(W8917,W$256:W8916,0)),1,0))</f>
        <v/>
      </c>
      <c r="AA8917">
        <f>IF(Z8917&gt;Z8916,Z8917,"")</f>
        <v/>
      </c>
      <c r="AB8917">
        <f>AB8916+IF(X8917="",0,IF(ISNA(MATCH(X8917,X$256:X8916,0)),1,0))</f>
        <v/>
      </c>
      <c r="AC8917">
        <f>IF(AB8917&gt;AB8916,AB8917,"")</f>
        <v/>
      </c>
    </row>
    <row r="8918">
      <c r="W8918" s="7" t="n"/>
      <c r="X8918" s="7" t="n"/>
      <c r="Z8918">
        <f>Z8917+IF(W8918="",0,IF(ISNA(MATCH(W8918,W$256:W8917,0)),1,0))</f>
        <v/>
      </c>
      <c r="AA8918">
        <f>IF(Z8918&gt;Z8917,Z8918,"")</f>
        <v/>
      </c>
      <c r="AB8918">
        <f>AB8917+IF(X8918="",0,IF(ISNA(MATCH(X8918,X$256:X8917,0)),1,0))</f>
        <v/>
      </c>
      <c r="AC8918">
        <f>IF(AB8918&gt;AB8917,AB8918,"")</f>
        <v/>
      </c>
    </row>
    <row r="8919">
      <c r="W8919" s="7" t="n"/>
      <c r="X8919" s="7" t="n"/>
      <c r="Z8919">
        <f>Z8918+IF(W8919="",0,IF(ISNA(MATCH(W8919,W$256:W8918,0)),1,0))</f>
        <v/>
      </c>
      <c r="AA8919">
        <f>IF(Z8919&gt;Z8918,Z8919,"")</f>
        <v/>
      </c>
      <c r="AB8919">
        <f>AB8918+IF(X8919="",0,IF(ISNA(MATCH(X8919,X$256:X8918,0)),1,0))</f>
        <v/>
      </c>
      <c r="AC8919">
        <f>IF(AB8919&gt;AB8918,AB8919,"")</f>
        <v/>
      </c>
    </row>
    <row r="8920">
      <c r="W8920" s="7" t="n"/>
      <c r="X8920" s="7" t="n"/>
      <c r="Z8920">
        <f>Z8919+IF(W8920="",0,IF(ISNA(MATCH(W8920,W$256:W8919,0)),1,0))</f>
        <v/>
      </c>
      <c r="AA8920">
        <f>IF(Z8920&gt;Z8919,Z8920,"")</f>
        <v/>
      </c>
      <c r="AB8920">
        <f>AB8919+IF(X8920="",0,IF(ISNA(MATCH(X8920,X$256:X8919,0)),1,0))</f>
        <v/>
      </c>
      <c r="AC8920">
        <f>IF(AB8920&gt;AB8919,AB8920,"")</f>
        <v/>
      </c>
    </row>
    <row r="8921">
      <c r="W8921" s="7" t="n"/>
      <c r="X8921" s="7" t="n"/>
      <c r="Z8921">
        <f>Z8920+IF(W8921="",0,IF(ISNA(MATCH(W8921,W$256:W8920,0)),1,0))</f>
        <v/>
      </c>
      <c r="AA8921">
        <f>IF(Z8921&gt;Z8920,Z8921,"")</f>
        <v/>
      </c>
      <c r="AB8921">
        <f>AB8920+IF(X8921="",0,IF(ISNA(MATCH(X8921,X$256:X8920,0)),1,0))</f>
        <v/>
      </c>
      <c r="AC8921">
        <f>IF(AB8921&gt;AB8920,AB8921,"")</f>
        <v/>
      </c>
    </row>
    <row r="8922">
      <c r="W8922" s="7" t="n"/>
      <c r="X8922" s="7" t="n"/>
      <c r="Z8922">
        <f>Z8921+IF(W8922="",0,IF(ISNA(MATCH(W8922,W$256:W8921,0)),1,0))</f>
        <v/>
      </c>
      <c r="AA8922">
        <f>IF(Z8922&gt;Z8921,Z8922,"")</f>
        <v/>
      </c>
      <c r="AB8922">
        <f>AB8921+IF(X8922="",0,IF(ISNA(MATCH(X8922,X$256:X8921,0)),1,0))</f>
        <v/>
      </c>
      <c r="AC8922">
        <f>IF(AB8922&gt;AB8921,AB8922,"")</f>
        <v/>
      </c>
    </row>
    <row r="8923">
      <c r="W8923" s="7" t="n"/>
      <c r="X8923" s="7" t="n"/>
      <c r="Z8923">
        <f>Z8922+IF(W8923="",0,IF(ISNA(MATCH(W8923,W$256:W8922,0)),1,0))</f>
        <v/>
      </c>
      <c r="AA8923">
        <f>IF(Z8923&gt;Z8922,Z8923,"")</f>
        <v/>
      </c>
      <c r="AB8923">
        <f>AB8922+IF(X8923="",0,IF(ISNA(MATCH(X8923,X$256:X8922,0)),1,0))</f>
        <v/>
      </c>
      <c r="AC8923">
        <f>IF(AB8923&gt;AB8922,AB8923,"")</f>
        <v/>
      </c>
    </row>
    <row r="8924">
      <c r="W8924" s="7" t="n"/>
      <c r="X8924" s="7" t="n"/>
      <c r="Z8924">
        <f>Z8923+IF(W8924="",0,IF(ISNA(MATCH(W8924,W$256:W8923,0)),1,0))</f>
        <v/>
      </c>
      <c r="AA8924">
        <f>IF(Z8924&gt;Z8923,Z8924,"")</f>
        <v/>
      </c>
      <c r="AB8924">
        <f>AB8923+IF(X8924="",0,IF(ISNA(MATCH(X8924,X$256:X8923,0)),1,0))</f>
        <v/>
      </c>
      <c r="AC8924">
        <f>IF(AB8924&gt;AB8923,AB8924,"")</f>
        <v/>
      </c>
    </row>
    <row r="8925">
      <c r="W8925" s="7" t="n"/>
      <c r="X8925" s="7" t="n"/>
      <c r="Z8925">
        <f>Z8924+IF(W8925="",0,IF(ISNA(MATCH(W8925,W$256:W8924,0)),1,0))</f>
        <v/>
      </c>
      <c r="AA8925">
        <f>IF(Z8925&gt;Z8924,Z8925,"")</f>
        <v/>
      </c>
      <c r="AB8925">
        <f>AB8924+IF(X8925="",0,IF(ISNA(MATCH(X8925,X$256:X8924,0)),1,0))</f>
        <v/>
      </c>
      <c r="AC8925">
        <f>IF(AB8925&gt;AB8924,AB8925,"")</f>
        <v/>
      </c>
    </row>
    <row r="8926">
      <c r="W8926" s="7" t="n"/>
      <c r="X8926" s="7" t="n"/>
      <c r="Z8926">
        <f>Z8925+IF(W8926="",0,IF(ISNA(MATCH(W8926,W$256:W8925,0)),1,0))</f>
        <v/>
      </c>
      <c r="AA8926">
        <f>IF(Z8926&gt;Z8925,Z8926,"")</f>
        <v/>
      </c>
      <c r="AB8926">
        <f>AB8925+IF(X8926="",0,IF(ISNA(MATCH(X8926,X$256:X8925,0)),1,0))</f>
        <v/>
      </c>
      <c r="AC8926">
        <f>IF(AB8926&gt;AB8925,AB8926,"")</f>
        <v/>
      </c>
    </row>
    <row r="8927">
      <c r="W8927" s="7" t="n"/>
      <c r="X8927" s="7" t="n"/>
      <c r="Z8927">
        <f>Z8926+IF(W8927="",0,IF(ISNA(MATCH(W8927,W$256:W8926,0)),1,0))</f>
        <v/>
      </c>
      <c r="AA8927">
        <f>IF(Z8927&gt;Z8926,Z8927,"")</f>
        <v/>
      </c>
      <c r="AB8927">
        <f>AB8926+IF(X8927="",0,IF(ISNA(MATCH(X8927,X$256:X8926,0)),1,0))</f>
        <v/>
      </c>
      <c r="AC8927">
        <f>IF(AB8927&gt;AB8926,AB8927,"")</f>
        <v/>
      </c>
    </row>
    <row r="8928">
      <c r="W8928" s="7" t="n"/>
      <c r="X8928" s="7" t="n"/>
      <c r="Z8928">
        <f>Z8927+IF(W8928="",0,IF(ISNA(MATCH(W8928,W$256:W8927,0)),1,0))</f>
        <v/>
      </c>
      <c r="AA8928">
        <f>IF(Z8928&gt;Z8927,Z8928,"")</f>
        <v/>
      </c>
      <c r="AB8928">
        <f>AB8927+IF(X8928="",0,IF(ISNA(MATCH(X8928,X$256:X8927,0)),1,0))</f>
        <v/>
      </c>
      <c r="AC8928">
        <f>IF(AB8928&gt;AB8927,AB8928,"")</f>
        <v/>
      </c>
    </row>
    <row r="8929">
      <c r="W8929" s="7" t="n"/>
      <c r="X8929" s="7" t="n"/>
      <c r="Z8929">
        <f>Z8928+IF(W8929="",0,IF(ISNA(MATCH(W8929,W$256:W8928,0)),1,0))</f>
        <v/>
      </c>
      <c r="AA8929">
        <f>IF(Z8929&gt;Z8928,Z8929,"")</f>
        <v/>
      </c>
      <c r="AB8929">
        <f>AB8928+IF(X8929="",0,IF(ISNA(MATCH(X8929,X$256:X8928,0)),1,0))</f>
        <v/>
      </c>
      <c r="AC8929">
        <f>IF(AB8929&gt;AB8928,AB8929,"")</f>
        <v/>
      </c>
    </row>
    <row r="8930">
      <c r="W8930" s="7" t="n"/>
      <c r="X8930" s="7" t="n"/>
      <c r="Z8930">
        <f>Z8929+IF(W8930="",0,IF(ISNA(MATCH(W8930,W$256:W8929,0)),1,0))</f>
        <v/>
      </c>
      <c r="AA8930">
        <f>IF(Z8930&gt;Z8929,Z8930,"")</f>
        <v/>
      </c>
      <c r="AB8930">
        <f>AB8929+IF(X8930="",0,IF(ISNA(MATCH(X8930,X$256:X8929,0)),1,0))</f>
        <v/>
      </c>
      <c r="AC8930">
        <f>IF(AB8930&gt;AB8929,AB8930,"")</f>
        <v/>
      </c>
    </row>
    <row r="8931">
      <c r="W8931" s="7" t="n"/>
      <c r="X8931" s="7" t="n"/>
      <c r="Z8931">
        <f>Z8930+IF(W8931="",0,IF(ISNA(MATCH(W8931,W$256:W8930,0)),1,0))</f>
        <v/>
      </c>
      <c r="AA8931">
        <f>IF(Z8931&gt;Z8930,Z8931,"")</f>
        <v/>
      </c>
      <c r="AB8931">
        <f>AB8930+IF(X8931="",0,IF(ISNA(MATCH(X8931,X$256:X8930,0)),1,0))</f>
        <v/>
      </c>
      <c r="AC8931">
        <f>IF(AB8931&gt;AB8930,AB8931,"")</f>
        <v/>
      </c>
    </row>
    <row r="8932">
      <c r="W8932" s="7" t="n"/>
      <c r="X8932" s="7" t="n"/>
      <c r="Z8932">
        <f>Z8931+IF(W8932="",0,IF(ISNA(MATCH(W8932,W$256:W8931,0)),1,0))</f>
        <v/>
      </c>
      <c r="AA8932">
        <f>IF(Z8932&gt;Z8931,Z8932,"")</f>
        <v/>
      </c>
      <c r="AB8932">
        <f>AB8931+IF(X8932="",0,IF(ISNA(MATCH(X8932,X$256:X8931,0)),1,0))</f>
        <v/>
      </c>
      <c r="AC8932">
        <f>IF(AB8932&gt;AB8931,AB8932,"")</f>
        <v/>
      </c>
    </row>
    <row r="8933">
      <c r="W8933" s="7" t="n"/>
      <c r="X8933" s="7" t="n"/>
      <c r="Z8933">
        <f>Z8932+IF(W8933="",0,IF(ISNA(MATCH(W8933,W$256:W8932,0)),1,0))</f>
        <v/>
      </c>
      <c r="AA8933">
        <f>IF(Z8933&gt;Z8932,Z8933,"")</f>
        <v/>
      </c>
      <c r="AB8933">
        <f>AB8932+IF(X8933="",0,IF(ISNA(MATCH(X8933,X$256:X8932,0)),1,0))</f>
        <v/>
      </c>
      <c r="AC8933">
        <f>IF(AB8933&gt;AB8932,AB8933,"")</f>
        <v/>
      </c>
    </row>
    <row r="8934">
      <c r="W8934" s="7" t="n"/>
      <c r="X8934" s="7" t="n"/>
      <c r="Z8934">
        <f>Z8933+IF(W8934="",0,IF(ISNA(MATCH(W8934,W$256:W8933,0)),1,0))</f>
        <v/>
      </c>
      <c r="AA8934">
        <f>IF(Z8934&gt;Z8933,Z8934,"")</f>
        <v/>
      </c>
      <c r="AB8934">
        <f>AB8933+IF(X8934="",0,IF(ISNA(MATCH(X8934,X$256:X8933,0)),1,0))</f>
        <v/>
      </c>
      <c r="AC8934">
        <f>IF(AB8934&gt;AB8933,AB8934,"")</f>
        <v/>
      </c>
    </row>
    <row r="8935">
      <c r="W8935" s="7" t="n"/>
      <c r="X8935" s="7" t="n"/>
      <c r="Z8935">
        <f>Z8934+IF(W8935="",0,IF(ISNA(MATCH(W8935,W$256:W8934,0)),1,0))</f>
        <v/>
      </c>
      <c r="AA8935">
        <f>IF(Z8935&gt;Z8934,Z8935,"")</f>
        <v/>
      </c>
      <c r="AB8935">
        <f>AB8934+IF(X8935="",0,IF(ISNA(MATCH(X8935,X$256:X8934,0)),1,0))</f>
        <v/>
      </c>
      <c r="AC8935">
        <f>IF(AB8935&gt;AB8934,AB8935,"")</f>
        <v/>
      </c>
    </row>
    <row r="8936">
      <c r="W8936" s="7" t="n"/>
      <c r="X8936" s="7" t="n"/>
      <c r="Z8936">
        <f>Z8935+IF(W8936="",0,IF(ISNA(MATCH(W8936,W$256:W8935,0)),1,0))</f>
        <v/>
      </c>
      <c r="AA8936">
        <f>IF(Z8936&gt;Z8935,Z8936,"")</f>
        <v/>
      </c>
      <c r="AB8936">
        <f>AB8935+IF(X8936="",0,IF(ISNA(MATCH(X8936,X$256:X8935,0)),1,0))</f>
        <v/>
      </c>
      <c r="AC8936">
        <f>IF(AB8936&gt;AB8935,AB8936,"")</f>
        <v/>
      </c>
    </row>
    <row r="8937">
      <c r="W8937" s="7" t="n"/>
      <c r="X8937" s="7" t="n"/>
      <c r="Z8937">
        <f>Z8936+IF(W8937="",0,IF(ISNA(MATCH(W8937,W$256:W8936,0)),1,0))</f>
        <v/>
      </c>
      <c r="AA8937">
        <f>IF(Z8937&gt;Z8936,Z8937,"")</f>
        <v/>
      </c>
      <c r="AB8937">
        <f>AB8936+IF(X8937="",0,IF(ISNA(MATCH(X8937,X$256:X8936,0)),1,0))</f>
        <v/>
      </c>
      <c r="AC8937">
        <f>IF(AB8937&gt;AB8936,AB8937,"")</f>
        <v/>
      </c>
    </row>
    <row r="8938">
      <c r="W8938" s="7" t="n"/>
      <c r="X8938" s="7" t="n"/>
      <c r="Z8938">
        <f>Z8937+IF(W8938="",0,IF(ISNA(MATCH(W8938,W$256:W8937,0)),1,0))</f>
        <v/>
      </c>
      <c r="AA8938">
        <f>IF(Z8938&gt;Z8937,Z8938,"")</f>
        <v/>
      </c>
      <c r="AB8938">
        <f>AB8937+IF(X8938="",0,IF(ISNA(MATCH(X8938,X$256:X8937,0)),1,0))</f>
        <v/>
      </c>
      <c r="AC8938">
        <f>IF(AB8938&gt;AB8937,AB8938,"")</f>
        <v/>
      </c>
    </row>
    <row r="8939">
      <c r="W8939" s="7" t="n"/>
      <c r="X8939" s="7" t="n"/>
      <c r="Z8939">
        <f>Z8938+IF(W8939="",0,IF(ISNA(MATCH(W8939,W$256:W8938,0)),1,0))</f>
        <v/>
      </c>
      <c r="AA8939">
        <f>IF(Z8939&gt;Z8938,Z8939,"")</f>
        <v/>
      </c>
      <c r="AB8939">
        <f>AB8938+IF(X8939="",0,IF(ISNA(MATCH(X8939,X$256:X8938,0)),1,0))</f>
        <v/>
      </c>
      <c r="AC8939">
        <f>IF(AB8939&gt;AB8938,AB8939,"")</f>
        <v/>
      </c>
    </row>
    <row r="8940">
      <c r="W8940" s="7" t="n"/>
      <c r="X8940" s="7" t="n"/>
      <c r="Z8940">
        <f>Z8939+IF(W8940="",0,IF(ISNA(MATCH(W8940,W$256:W8939,0)),1,0))</f>
        <v/>
      </c>
      <c r="AA8940">
        <f>IF(Z8940&gt;Z8939,Z8940,"")</f>
        <v/>
      </c>
      <c r="AB8940">
        <f>AB8939+IF(X8940="",0,IF(ISNA(MATCH(X8940,X$256:X8939,0)),1,0))</f>
        <v/>
      </c>
      <c r="AC8940">
        <f>IF(AB8940&gt;AB8939,AB8940,"")</f>
        <v/>
      </c>
    </row>
    <row r="8941">
      <c r="W8941" s="7" t="n"/>
      <c r="X8941" s="7" t="n"/>
      <c r="Z8941">
        <f>Z8940+IF(W8941="",0,IF(ISNA(MATCH(W8941,W$256:W8940,0)),1,0))</f>
        <v/>
      </c>
      <c r="AA8941">
        <f>IF(Z8941&gt;Z8940,Z8941,"")</f>
        <v/>
      </c>
      <c r="AB8941">
        <f>AB8940+IF(X8941="",0,IF(ISNA(MATCH(X8941,X$256:X8940,0)),1,0))</f>
        <v/>
      </c>
      <c r="AC8941">
        <f>IF(AB8941&gt;AB8940,AB8941,"")</f>
        <v/>
      </c>
    </row>
    <row r="8942">
      <c r="W8942" s="7" t="n"/>
      <c r="X8942" s="7" t="n"/>
      <c r="Z8942">
        <f>Z8941+IF(W8942="",0,IF(ISNA(MATCH(W8942,W$256:W8941,0)),1,0))</f>
        <v/>
      </c>
      <c r="AA8942">
        <f>IF(Z8942&gt;Z8941,Z8942,"")</f>
        <v/>
      </c>
      <c r="AB8942">
        <f>AB8941+IF(X8942="",0,IF(ISNA(MATCH(X8942,X$256:X8941,0)),1,0))</f>
        <v/>
      </c>
      <c r="AC8942">
        <f>IF(AB8942&gt;AB8941,AB8942,"")</f>
        <v/>
      </c>
    </row>
    <row r="8943">
      <c r="W8943" s="7" t="n"/>
      <c r="X8943" s="7" t="n"/>
      <c r="Z8943">
        <f>Z8942+IF(W8943="",0,IF(ISNA(MATCH(W8943,W$256:W8942,0)),1,0))</f>
        <v/>
      </c>
      <c r="AA8943">
        <f>IF(Z8943&gt;Z8942,Z8943,"")</f>
        <v/>
      </c>
      <c r="AB8943">
        <f>AB8942+IF(X8943="",0,IF(ISNA(MATCH(X8943,X$256:X8942,0)),1,0))</f>
        <v/>
      </c>
      <c r="AC8943">
        <f>IF(AB8943&gt;AB8942,AB8943,"")</f>
        <v/>
      </c>
    </row>
    <row r="8944">
      <c r="W8944" s="7" t="n"/>
      <c r="X8944" s="7" t="n"/>
      <c r="Z8944">
        <f>Z8943+IF(W8944="",0,IF(ISNA(MATCH(W8944,W$256:W8943,0)),1,0))</f>
        <v/>
      </c>
      <c r="AA8944">
        <f>IF(Z8944&gt;Z8943,Z8944,"")</f>
        <v/>
      </c>
      <c r="AB8944">
        <f>AB8943+IF(X8944="",0,IF(ISNA(MATCH(X8944,X$256:X8943,0)),1,0))</f>
        <v/>
      </c>
      <c r="AC8944">
        <f>IF(AB8944&gt;AB8943,AB8944,"")</f>
        <v/>
      </c>
    </row>
    <row r="8945">
      <c r="W8945" s="7" t="n"/>
      <c r="X8945" s="7" t="n"/>
      <c r="Z8945">
        <f>Z8944+IF(W8945="",0,IF(ISNA(MATCH(W8945,W$256:W8944,0)),1,0))</f>
        <v/>
      </c>
      <c r="AA8945">
        <f>IF(Z8945&gt;Z8944,Z8945,"")</f>
        <v/>
      </c>
      <c r="AB8945">
        <f>AB8944+IF(X8945="",0,IF(ISNA(MATCH(X8945,X$256:X8944,0)),1,0))</f>
        <v/>
      </c>
      <c r="AC8945">
        <f>IF(AB8945&gt;AB8944,AB8945,"")</f>
        <v/>
      </c>
    </row>
    <row r="8946">
      <c r="W8946" s="7" t="n"/>
      <c r="X8946" s="7" t="n"/>
      <c r="Z8946">
        <f>Z8945+IF(W8946="",0,IF(ISNA(MATCH(W8946,W$256:W8945,0)),1,0))</f>
        <v/>
      </c>
      <c r="AA8946">
        <f>IF(Z8946&gt;Z8945,Z8946,"")</f>
        <v/>
      </c>
      <c r="AB8946">
        <f>AB8945+IF(X8946="",0,IF(ISNA(MATCH(X8946,X$256:X8945,0)),1,0))</f>
        <v/>
      </c>
      <c r="AC8946">
        <f>IF(AB8946&gt;AB8945,AB8946,"")</f>
        <v/>
      </c>
    </row>
    <row r="8947">
      <c r="W8947" s="7" t="n"/>
      <c r="X8947" s="7" t="n"/>
      <c r="Z8947">
        <f>Z8946+IF(W8947="",0,IF(ISNA(MATCH(W8947,W$256:W8946,0)),1,0))</f>
        <v/>
      </c>
      <c r="AA8947">
        <f>IF(Z8947&gt;Z8946,Z8947,"")</f>
        <v/>
      </c>
      <c r="AB8947">
        <f>AB8946+IF(X8947="",0,IF(ISNA(MATCH(X8947,X$256:X8946,0)),1,0))</f>
        <v/>
      </c>
      <c r="AC8947">
        <f>IF(AB8947&gt;AB8946,AB8947,"")</f>
        <v/>
      </c>
    </row>
    <row r="8948">
      <c r="W8948" s="7" t="n"/>
      <c r="X8948" s="7" t="n"/>
      <c r="Z8948">
        <f>Z8947+IF(W8948="",0,IF(ISNA(MATCH(W8948,W$256:W8947,0)),1,0))</f>
        <v/>
      </c>
      <c r="AA8948">
        <f>IF(Z8948&gt;Z8947,Z8948,"")</f>
        <v/>
      </c>
      <c r="AB8948">
        <f>AB8947+IF(X8948="",0,IF(ISNA(MATCH(X8948,X$256:X8947,0)),1,0))</f>
        <v/>
      </c>
      <c r="AC8948">
        <f>IF(AB8948&gt;AB8947,AB8948,"")</f>
        <v/>
      </c>
    </row>
    <row r="8949">
      <c r="W8949" s="7" t="n"/>
      <c r="X8949" s="7" t="n"/>
      <c r="Z8949">
        <f>Z8948+IF(W8949="",0,IF(ISNA(MATCH(W8949,W$256:W8948,0)),1,0))</f>
        <v/>
      </c>
      <c r="AA8949">
        <f>IF(Z8949&gt;Z8948,Z8949,"")</f>
        <v/>
      </c>
      <c r="AB8949">
        <f>AB8948+IF(X8949="",0,IF(ISNA(MATCH(X8949,X$256:X8948,0)),1,0))</f>
        <v/>
      </c>
      <c r="AC8949">
        <f>IF(AB8949&gt;AB8948,AB8949,"")</f>
        <v/>
      </c>
    </row>
    <row r="8950">
      <c r="W8950" s="7" t="n"/>
      <c r="X8950" s="7" t="n"/>
      <c r="Z8950">
        <f>Z8949+IF(W8950="",0,IF(ISNA(MATCH(W8950,W$256:W8949,0)),1,0))</f>
        <v/>
      </c>
      <c r="AA8950">
        <f>IF(Z8950&gt;Z8949,Z8950,"")</f>
        <v/>
      </c>
      <c r="AB8950">
        <f>AB8949+IF(X8950="",0,IF(ISNA(MATCH(X8950,X$256:X8949,0)),1,0))</f>
        <v/>
      </c>
      <c r="AC8950">
        <f>IF(AB8950&gt;AB8949,AB8950,"")</f>
        <v/>
      </c>
    </row>
    <row r="8951">
      <c r="W8951" s="7" t="n"/>
      <c r="X8951" s="7" t="n"/>
      <c r="Z8951">
        <f>Z8950+IF(W8951="",0,IF(ISNA(MATCH(W8951,W$256:W8950,0)),1,0))</f>
        <v/>
      </c>
      <c r="AA8951">
        <f>IF(Z8951&gt;Z8950,Z8951,"")</f>
        <v/>
      </c>
      <c r="AB8951">
        <f>AB8950+IF(X8951="",0,IF(ISNA(MATCH(X8951,X$256:X8950,0)),1,0))</f>
        <v/>
      </c>
      <c r="AC8951">
        <f>IF(AB8951&gt;AB8950,AB8951,"")</f>
        <v/>
      </c>
    </row>
    <row r="8952">
      <c r="W8952" s="7" t="n"/>
      <c r="X8952" s="7" t="n"/>
      <c r="Z8952">
        <f>Z8951+IF(W8952="",0,IF(ISNA(MATCH(W8952,W$256:W8951,0)),1,0))</f>
        <v/>
      </c>
      <c r="AA8952">
        <f>IF(Z8952&gt;Z8951,Z8952,"")</f>
        <v/>
      </c>
      <c r="AB8952">
        <f>AB8951+IF(X8952="",0,IF(ISNA(MATCH(X8952,X$256:X8951,0)),1,0))</f>
        <v/>
      </c>
      <c r="AC8952">
        <f>IF(AB8952&gt;AB8951,AB8952,"")</f>
        <v/>
      </c>
    </row>
    <row r="8953">
      <c r="W8953" s="7" t="n"/>
      <c r="X8953" s="7" t="n"/>
      <c r="Z8953">
        <f>Z8952+IF(W8953="",0,IF(ISNA(MATCH(W8953,W$256:W8952,0)),1,0))</f>
        <v/>
      </c>
      <c r="AA8953">
        <f>IF(Z8953&gt;Z8952,Z8953,"")</f>
        <v/>
      </c>
      <c r="AB8953">
        <f>AB8952+IF(X8953="",0,IF(ISNA(MATCH(X8953,X$256:X8952,0)),1,0))</f>
        <v/>
      </c>
      <c r="AC8953">
        <f>IF(AB8953&gt;AB8952,AB8953,"")</f>
        <v/>
      </c>
    </row>
    <row r="8954">
      <c r="W8954" s="7" t="n"/>
      <c r="X8954" s="7" t="n"/>
      <c r="Z8954">
        <f>Z8953+IF(W8954="",0,IF(ISNA(MATCH(W8954,W$256:W8953,0)),1,0))</f>
        <v/>
      </c>
      <c r="AA8954">
        <f>IF(Z8954&gt;Z8953,Z8954,"")</f>
        <v/>
      </c>
      <c r="AB8954">
        <f>AB8953+IF(X8954="",0,IF(ISNA(MATCH(X8954,X$256:X8953,0)),1,0))</f>
        <v/>
      </c>
      <c r="AC8954">
        <f>IF(AB8954&gt;AB8953,AB8954,"")</f>
        <v/>
      </c>
    </row>
    <row r="8955">
      <c r="W8955" s="7" t="n"/>
      <c r="X8955" s="7" t="n"/>
      <c r="Z8955">
        <f>Z8954+IF(W8955="",0,IF(ISNA(MATCH(W8955,W$256:W8954,0)),1,0))</f>
        <v/>
      </c>
      <c r="AA8955">
        <f>IF(Z8955&gt;Z8954,Z8955,"")</f>
        <v/>
      </c>
      <c r="AB8955">
        <f>AB8954+IF(X8955="",0,IF(ISNA(MATCH(X8955,X$256:X8954,0)),1,0))</f>
        <v/>
      </c>
      <c r="AC8955">
        <f>IF(AB8955&gt;AB8954,AB8955,"")</f>
        <v/>
      </c>
    </row>
    <row r="8956">
      <c r="W8956" s="7" t="n"/>
      <c r="X8956" s="7" t="n"/>
      <c r="Z8956">
        <f>Z8955+IF(W8956="",0,IF(ISNA(MATCH(W8956,W$256:W8955,0)),1,0))</f>
        <v/>
      </c>
      <c r="AA8956">
        <f>IF(Z8956&gt;Z8955,Z8956,"")</f>
        <v/>
      </c>
      <c r="AB8956">
        <f>AB8955+IF(X8956="",0,IF(ISNA(MATCH(X8956,X$256:X8955,0)),1,0))</f>
        <v/>
      </c>
      <c r="AC8956">
        <f>IF(AB8956&gt;AB8955,AB8956,"")</f>
        <v/>
      </c>
    </row>
    <row r="8957">
      <c r="W8957" s="7" t="n"/>
      <c r="X8957" s="7" t="n"/>
      <c r="Z8957">
        <f>Z8956+IF(W8957="",0,IF(ISNA(MATCH(W8957,W$256:W8956,0)),1,0))</f>
        <v/>
      </c>
      <c r="AA8957">
        <f>IF(Z8957&gt;Z8956,Z8957,"")</f>
        <v/>
      </c>
      <c r="AB8957">
        <f>AB8956+IF(X8957="",0,IF(ISNA(MATCH(X8957,X$256:X8956,0)),1,0))</f>
        <v/>
      </c>
      <c r="AC8957">
        <f>IF(AB8957&gt;AB8956,AB8957,"")</f>
        <v/>
      </c>
    </row>
    <row r="8958">
      <c r="W8958" s="7" t="n"/>
      <c r="X8958" s="7" t="n"/>
      <c r="Z8958">
        <f>Z8957+IF(W8958="",0,IF(ISNA(MATCH(W8958,W$256:W8957,0)),1,0))</f>
        <v/>
      </c>
      <c r="AA8958">
        <f>IF(Z8958&gt;Z8957,Z8958,"")</f>
        <v/>
      </c>
      <c r="AB8958">
        <f>AB8957+IF(X8958="",0,IF(ISNA(MATCH(X8958,X$256:X8957,0)),1,0))</f>
        <v/>
      </c>
      <c r="AC8958">
        <f>IF(AB8958&gt;AB8957,AB8958,"")</f>
        <v/>
      </c>
    </row>
    <row r="8959">
      <c r="W8959" s="7" t="n"/>
      <c r="X8959" s="7" t="n"/>
      <c r="Z8959">
        <f>Z8958+IF(W8959="",0,IF(ISNA(MATCH(W8959,W$256:W8958,0)),1,0))</f>
        <v/>
      </c>
      <c r="AA8959">
        <f>IF(Z8959&gt;Z8958,Z8959,"")</f>
        <v/>
      </c>
      <c r="AB8959">
        <f>AB8958+IF(X8959="",0,IF(ISNA(MATCH(X8959,X$256:X8958,0)),1,0))</f>
        <v/>
      </c>
      <c r="AC8959">
        <f>IF(AB8959&gt;AB8958,AB8959,"")</f>
        <v/>
      </c>
    </row>
    <row r="8960">
      <c r="W8960" s="7" t="n"/>
      <c r="X8960" s="7" t="n"/>
      <c r="Z8960">
        <f>Z8959+IF(W8960="",0,IF(ISNA(MATCH(W8960,W$256:W8959,0)),1,0))</f>
        <v/>
      </c>
      <c r="AA8960">
        <f>IF(Z8960&gt;Z8959,Z8960,"")</f>
        <v/>
      </c>
      <c r="AB8960">
        <f>AB8959+IF(X8960="",0,IF(ISNA(MATCH(X8960,X$256:X8959,0)),1,0))</f>
        <v/>
      </c>
      <c r="AC8960">
        <f>IF(AB8960&gt;AB8959,AB8960,"")</f>
        <v/>
      </c>
    </row>
    <row r="8961">
      <c r="W8961" s="7" t="n"/>
      <c r="X8961" s="7" t="n"/>
      <c r="Z8961">
        <f>Z8960+IF(W8961="",0,IF(ISNA(MATCH(W8961,W$256:W8960,0)),1,0))</f>
        <v/>
      </c>
      <c r="AA8961">
        <f>IF(Z8961&gt;Z8960,Z8961,"")</f>
        <v/>
      </c>
      <c r="AB8961">
        <f>AB8960+IF(X8961="",0,IF(ISNA(MATCH(X8961,X$256:X8960,0)),1,0))</f>
        <v/>
      </c>
      <c r="AC8961">
        <f>IF(AB8961&gt;AB8960,AB8961,"")</f>
        <v/>
      </c>
    </row>
    <row r="8962">
      <c r="W8962" s="7" t="n"/>
      <c r="X8962" s="7" t="n"/>
      <c r="Z8962">
        <f>Z8961+IF(W8962="",0,IF(ISNA(MATCH(W8962,W$256:W8961,0)),1,0))</f>
        <v/>
      </c>
      <c r="AA8962">
        <f>IF(Z8962&gt;Z8961,Z8962,"")</f>
        <v/>
      </c>
      <c r="AB8962">
        <f>AB8961+IF(X8962="",0,IF(ISNA(MATCH(X8962,X$256:X8961,0)),1,0))</f>
        <v/>
      </c>
      <c r="AC8962">
        <f>IF(AB8962&gt;AB8961,AB8962,"")</f>
        <v/>
      </c>
    </row>
    <row r="8963">
      <c r="W8963" s="7" t="n"/>
      <c r="X8963" s="7" t="n"/>
      <c r="Z8963">
        <f>Z8962+IF(W8963="",0,IF(ISNA(MATCH(W8963,W$256:W8962,0)),1,0))</f>
        <v/>
      </c>
      <c r="AA8963">
        <f>IF(Z8963&gt;Z8962,Z8963,"")</f>
        <v/>
      </c>
      <c r="AB8963">
        <f>AB8962+IF(X8963="",0,IF(ISNA(MATCH(X8963,X$256:X8962,0)),1,0))</f>
        <v/>
      </c>
      <c r="AC8963">
        <f>IF(AB8963&gt;AB8962,AB8963,"")</f>
        <v/>
      </c>
    </row>
    <row r="8964">
      <c r="W8964" s="7" t="n"/>
      <c r="X8964" s="7" t="n"/>
      <c r="Z8964">
        <f>Z8963+IF(W8964="",0,IF(ISNA(MATCH(W8964,W$256:W8963,0)),1,0))</f>
        <v/>
      </c>
      <c r="AA8964">
        <f>IF(Z8964&gt;Z8963,Z8964,"")</f>
        <v/>
      </c>
      <c r="AB8964">
        <f>AB8963+IF(X8964="",0,IF(ISNA(MATCH(X8964,X$256:X8963,0)),1,0))</f>
        <v/>
      </c>
      <c r="AC8964">
        <f>IF(AB8964&gt;AB8963,AB8964,"")</f>
        <v/>
      </c>
    </row>
    <row r="8965">
      <c r="W8965" s="7" t="n"/>
      <c r="X8965" s="7" t="n"/>
      <c r="Z8965">
        <f>Z8964+IF(W8965="",0,IF(ISNA(MATCH(W8965,W$256:W8964,0)),1,0))</f>
        <v/>
      </c>
      <c r="AA8965">
        <f>IF(Z8965&gt;Z8964,Z8965,"")</f>
        <v/>
      </c>
      <c r="AB8965">
        <f>AB8964+IF(X8965="",0,IF(ISNA(MATCH(X8965,X$256:X8964,0)),1,0))</f>
        <v/>
      </c>
      <c r="AC8965">
        <f>IF(AB8965&gt;AB8964,AB8965,"")</f>
        <v/>
      </c>
    </row>
    <row r="8966">
      <c r="W8966" s="7" t="n"/>
      <c r="X8966" s="7" t="n"/>
      <c r="Z8966">
        <f>Z8965+IF(W8966="",0,IF(ISNA(MATCH(W8966,W$256:W8965,0)),1,0))</f>
        <v/>
      </c>
      <c r="AA8966">
        <f>IF(Z8966&gt;Z8965,Z8966,"")</f>
        <v/>
      </c>
      <c r="AB8966">
        <f>AB8965+IF(X8966="",0,IF(ISNA(MATCH(X8966,X$256:X8965,0)),1,0))</f>
        <v/>
      </c>
      <c r="AC8966">
        <f>IF(AB8966&gt;AB8965,AB8966,"")</f>
        <v/>
      </c>
    </row>
    <row r="8967">
      <c r="W8967" s="7" t="n"/>
      <c r="X8967" s="7" t="n"/>
      <c r="Z8967">
        <f>Z8966+IF(W8967="",0,IF(ISNA(MATCH(W8967,W$256:W8966,0)),1,0))</f>
        <v/>
      </c>
      <c r="AA8967">
        <f>IF(Z8967&gt;Z8966,Z8967,"")</f>
        <v/>
      </c>
      <c r="AB8967">
        <f>AB8966+IF(X8967="",0,IF(ISNA(MATCH(X8967,X$256:X8966,0)),1,0))</f>
        <v/>
      </c>
      <c r="AC8967">
        <f>IF(AB8967&gt;AB8966,AB8967,"")</f>
        <v/>
      </c>
    </row>
    <row r="8968">
      <c r="W8968" s="7" t="n"/>
      <c r="X8968" s="7" t="n"/>
      <c r="Z8968">
        <f>Z8967+IF(W8968="",0,IF(ISNA(MATCH(W8968,W$256:W8967,0)),1,0))</f>
        <v/>
      </c>
      <c r="AA8968">
        <f>IF(Z8968&gt;Z8967,Z8968,"")</f>
        <v/>
      </c>
      <c r="AB8968">
        <f>AB8967+IF(X8968="",0,IF(ISNA(MATCH(X8968,X$256:X8967,0)),1,0))</f>
        <v/>
      </c>
      <c r="AC8968">
        <f>IF(AB8968&gt;AB8967,AB8968,"")</f>
        <v/>
      </c>
    </row>
    <row r="8969">
      <c r="W8969" s="7" t="n"/>
      <c r="X8969" s="7" t="n"/>
      <c r="Z8969">
        <f>Z8968+IF(W8969="",0,IF(ISNA(MATCH(W8969,W$256:W8968,0)),1,0))</f>
        <v/>
      </c>
      <c r="AA8969">
        <f>IF(Z8969&gt;Z8968,Z8969,"")</f>
        <v/>
      </c>
      <c r="AB8969">
        <f>AB8968+IF(X8969="",0,IF(ISNA(MATCH(X8969,X$256:X8968,0)),1,0))</f>
        <v/>
      </c>
      <c r="AC8969">
        <f>IF(AB8969&gt;AB8968,AB8969,"")</f>
        <v/>
      </c>
    </row>
    <row r="8970">
      <c r="W8970" s="7" t="n"/>
      <c r="X8970" s="7" t="n"/>
      <c r="Z8970">
        <f>Z8969+IF(W8970="",0,IF(ISNA(MATCH(W8970,W$256:W8969,0)),1,0))</f>
        <v/>
      </c>
      <c r="AA8970">
        <f>IF(Z8970&gt;Z8969,Z8970,"")</f>
        <v/>
      </c>
      <c r="AB8970">
        <f>AB8969+IF(X8970="",0,IF(ISNA(MATCH(X8970,X$256:X8969,0)),1,0))</f>
        <v/>
      </c>
      <c r="AC8970">
        <f>IF(AB8970&gt;AB8969,AB8970,"")</f>
        <v/>
      </c>
    </row>
    <row r="8971">
      <c r="W8971" s="7" t="n"/>
      <c r="X8971" s="7" t="n"/>
      <c r="Z8971">
        <f>Z8970+IF(W8971="",0,IF(ISNA(MATCH(W8971,W$256:W8970,0)),1,0))</f>
        <v/>
      </c>
      <c r="AA8971">
        <f>IF(Z8971&gt;Z8970,Z8971,"")</f>
        <v/>
      </c>
      <c r="AB8971">
        <f>AB8970+IF(X8971="",0,IF(ISNA(MATCH(X8971,X$256:X8970,0)),1,0))</f>
        <v/>
      </c>
      <c r="AC8971">
        <f>IF(AB8971&gt;AB8970,AB8971,"")</f>
        <v/>
      </c>
    </row>
    <row r="8972">
      <c r="W8972" s="7" t="n"/>
      <c r="X8972" s="7" t="n"/>
      <c r="Z8972">
        <f>Z8971+IF(W8972="",0,IF(ISNA(MATCH(W8972,W$256:W8971,0)),1,0))</f>
        <v/>
      </c>
      <c r="AA8972">
        <f>IF(Z8972&gt;Z8971,Z8972,"")</f>
        <v/>
      </c>
      <c r="AB8972">
        <f>AB8971+IF(X8972="",0,IF(ISNA(MATCH(X8972,X$256:X8971,0)),1,0))</f>
        <v/>
      </c>
      <c r="AC8972">
        <f>IF(AB8972&gt;AB8971,AB8972,"")</f>
        <v/>
      </c>
    </row>
    <row r="8973">
      <c r="W8973" s="7" t="n"/>
      <c r="X8973" s="7" t="n"/>
      <c r="Z8973">
        <f>Z8972+IF(W8973="",0,IF(ISNA(MATCH(W8973,W$256:W8972,0)),1,0))</f>
        <v/>
      </c>
      <c r="AA8973">
        <f>IF(Z8973&gt;Z8972,Z8973,"")</f>
        <v/>
      </c>
      <c r="AB8973">
        <f>AB8972+IF(X8973="",0,IF(ISNA(MATCH(X8973,X$256:X8972,0)),1,0))</f>
        <v/>
      </c>
      <c r="AC8973">
        <f>IF(AB8973&gt;AB8972,AB8973,"")</f>
        <v/>
      </c>
    </row>
    <row r="8974">
      <c r="W8974" s="7" t="n"/>
      <c r="X8974" s="7" t="n"/>
      <c r="Z8974">
        <f>Z8973+IF(W8974="",0,IF(ISNA(MATCH(W8974,W$256:W8973,0)),1,0))</f>
        <v/>
      </c>
      <c r="AA8974">
        <f>IF(Z8974&gt;Z8973,Z8974,"")</f>
        <v/>
      </c>
      <c r="AB8974">
        <f>AB8973+IF(X8974="",0,IF(ISNA(MATCH(X8974,X$256:X8973,0)),1,0))</f>
        <v/>
      </c>
      <c r="AC8974">
        <f>IF(AB8974&gt;AB8973,AB8974,"")</f>
        <v/>
      </c>
    </row>
    <row r="8975">
      <c r="W8975" s="7" t="n"/>
      <c r="X8975" s="7" t="n"/>
      <c r="Z8975">
        <f>Z8974+IF(W8975="",0,IF(ISNA(MATCH(W8975,W$256:W8974,0)),1,0))</f>
        <v/>
      </c>
      <c r="AA8975">
        <f>IF(Z8975&gt;Z8974,Z8975,"")</f>
        <v/>
      </c>
      <c r="AB8975">
        <f>AB8974+IF(X8975="",0,IF(ISNA(MATCH(X8975,X$256:X8974,0)),1,0))</f>
        <v/>
      </c>
      <c r="AC8975">
        <f>IF(AB8975&gt;AB8974,AB8975,"")</f>
        <v/>
      </c>
    </row>
    <row r="8976">
      <c r="W8976" s="7" t="n"/>
      <c r="X8976" s="7" t="n"/>
      <c r="Z8976">
        <f>Z8975+IF(W8976="",0,IF(ISNA(MATCH(W8976,W$256:W8975,0)),1,0))</f>
        <v/>
      </c>
      <c r="AA8976">
        <f>IF(Z8976&gt;Z8975,Z8976,"")</f>
        <v/>
      </c>
      <c r="AB8976">
        <f>AB8975+IF(X8976="",0,IF(ISNA(MATCH(X8976,X$256:X8975,0)),1,0))</f>
        <v/>
      </c>
      <c r="AC8976">
        <f>IF(AB8976&gt;AB8975,AB8976,"")</f>
        <v/>
      </c>
    </row>
    <row r="8977">
      <c r="W8977" s="7" t="n"/>
      <c r="X8977" s="7" t="n"/>
      <c r="Z8977">
        <f>Z8976+IF(W8977="",0,IF(ISNA(MATCH(W8977,W$256:W8976,0)),1,0))</f>
        <v/>
      </c>
      <c r="AA8977">
        <f>IF(Z8977&gt;Z8976,Z8977,"")</f>
        <v/>
      </c>
      <c r="AB8977">
        <f>AB8976+IF(X8977="",0,IF(ISNA(MATCH(X8977,X$256:X8976,0)),1,0))</f>
        <v/>
      </c>
      <c r="AC8977">
        <f>IF(AB8977&gt;AB8976,AB8977,"")</f>
        <v/>
      </c>
    </row>
    <row r="8978">
      <c r="W8978" s="7" t="n"/>
      <c r="X8978" s="7" t="n"/>
      <c r="Z8978">
        <f>Z8977+IF(W8978="",0,IF(ISNA(MATCH(W8978,W$256:W8977,0)),1,0))</f>
        <v/>
      </c>
      <c r="AA8978">
        <f>IF(Z8978&gt;Z8977,Z8978,"")</f>
        <v/>
      </c>
      <c r="AB8978">
        <f>AB8977+IF(X8978="",0,IF(ISNA(MATCH(X8978,X$256:X8977,0)),1,0))</f>
        <v/>
      </c>
      <c r="AC8978">
        <f>IF(AB8978&gt;AB8977,AB8978,"")</f>
        <v/>
      </c>
    </row>
    <row r="8979">
      <c r="W8979" s="7" t="n"/>
      <c r="X8979" s="7" t="n"/>
      <c r="Z8979">
        <f>Z8978+IF(W8979="",0,IF(ISNA(MATCH(W8979,W$256:W8978,0)),1,0))</f>
        <v/>
      </c>
      <c r="AA8979">
        <f>IF(Z8979&gt;Z8978,Z8979,"")</f>
        <v/>
      </c>
      <c r="AB8979">
        <f>AB8978+IF(X8979="",0,IF(ISNA(MATCH(X8979,X$256:X8978,0)),1,0))</f>
        <v/>
      </c>
      <c r="AC8979">
        <f>IF(AB8979&gt;AB8978,AB8979,"")</f>
        <v/>
      </c>
    </row>
    <row r="8980">
      <c r="W8980" s="7" t="n"/>
      <c r="X8980" s="7" t="n"/>
      <c r="Z8980">
        <f>Z8979+IF(W8980="",0,IF(ISNA(MATCH(W8980,W$256:W8979,0)),1,0))</f>
        <v/>
      </c>
      <c r="AA8980">
        <f>IF(Z8980&gt;Z8979,Z8980,"")</f>
        <v/>
      </c>
      <c r="AB8980">
        <f>AB8979+IF(X8980="",0,IF(ISNA(MATCH(X8980,X$256:X8979,0)),1,0))</f>
        <v/>
      </c>
      <c r="AC8980">
        <f>IF(AB8980&gt;AB8979,AB8980,"")</f>
        <v/>
      </c>
    </row>
    <row r="8981">
      <c r="W8981" s="7" t="n"/>
      <c r="X8981" s="7" t="n"/>
      <c r="Z8981">
        <f>Z8980+IF(W8981="",0,IF(ISNA(MATCH(W8981,W$256:W8980,0)),1,0))</f>
        <v/>
      </c>
      <c r="AA8981">
        <f>IF(Z8981&gt;Z8980,Z8981,"")</f>
        <v/>
      </c>
      <c r="AB8981">
        <f>AB8980+IF(X8981="",0,IF(ISNA(MATCH(X8981,X$256:X8980,0)),1,0))</f>
        <v/>
      </c>
      <c r="AC8981">
        <f>IF(AB8981&gt;AB8980,AB8981,"")</f>
        <v/>
      </c>
    </row>
    <row r="8982">
      <c r="W8982" s="7" t="n"/>
      <c r="X8982" s="7" t="n"/>
      <c r="Z8982">
        <f>Z8981+IF(W8982="",0,IF(ISNA(MATCH(W8982,W$256:W8981,0)),1,0))</f>
        <v/>
      </c>
      <c r="AA8982">
        <f>IF(Z8982&gt;Z8981,Z8982,"")</f>
        <v/>
      </c>
      <c r="AB8982">
        <f>AB8981+IF(X8982="",0,IF(ISNA(MATCH(X8982,X$256:X8981,0)),1,0))</f>
        <v/>
      </c>
      <c r="AC8982">
        <f>IF(AB8982&gt;AB8981,AB8982,"")</f>
        <v/>
      </c>
    </row>
    <row r="8983">
      <c r="W8983" s="7" t="n"/>
      <c r="X8983" s="7" t="n"/>
      <c r="Z8983">
        <f>Z8982+IF(W8983="",0,IF(ISNA(MATCH(W8983,W$256:W8982,0)),1,0))</f>
        <v/>
      </c>
      <c r="AA8983">
        <f>IF(Z8983&gt;Z8982,Z8983,"")</f>
        <v/>
      </c>
      <c r="AB8983">
        <f>AB8982+IF(X8983="",0,IF(ISNA(MATCH(X8983,X$256:X8982,0)),1,0))</f>
        <v/>
      </c>
      <c r="AC8983">
        <f>IF(AB8983&gt;AB8982,AB8983,"")</f>
        <v/>
      </c>
    </row>
    <row r="8984">
      <c r="W8984" s="7" t="n"/>
      <c r="X8984" s="7" t="n"/>
      <c r="Z8984">
        <f>Z8983+IF(W8984="",0,IF(ISNA(MATCH(W8984,W$256:W8983,0)),1,0))</f>
        <v/>
      </c>
      <c r="AA8984">
        <f>IF(Z8984&gt;Z8983,Z8984,"")</f>
        <v/>
      </c>
      <c r="AB8984">
        <f>AB8983+IF(X8984="",0,IF(ISNA(MATCH(X8984,X$256:X8983,0)),1,0))</f>
        <v/>
      </c>
      <c r="AC8984">
        <f>IF(AB8984&gt;AB8983,AB8984,"")</f>
        <v/>
      </c>
    </row>
    <row r="8985">
      <c r="W8985" s="7" t="n"/>
      <c r="X8985" s="7" t="n"/>
      <c r="Z8985">
        <f>Z8984+IF(W8985="",0,IF(ISNA(MATCH(W8985,W$256:W8984,0)),1,0))</f>
        <v/>
      </c>
      <c r="AA8985">
        <f>IF(Z8985&gt;Z8984,Z8985,"")</f>
        <v/>
      </c>
      <c r="AB8985">
        <f>AB8984+IF(X8985="",0,IF(ISNA(MATCH(X8985,X$256:X8984,0)),1,0))</f>
        <v/>
      </c>
      <c r="AC8985">
        <f>IF(AB8985&gt;AB8984,AB8985,"")</f>
        <v/>
      </c>
    </row>
    <row r="8986">
      <c r="W8986" s="7" t="n"/>
      <c r="X8986" s="7" t="n"/>
      <c r="Z8986">
        <f>Z8985+IF(W8986="",0,IF(ISNA(MATCH(W8986,W$256:W8985,0)),1,0))</f>
        <v/>
      </c>
      <c r="AA8986">
        <f>IF(Z8986&gt;Z8985,Z8986,"")</f>
        <v/>
      </c>
      <c r="AB8986">
        <f>AB8985+IF(X8986="",0,IF(ISNA(MATCH(X8986,X$256:X8985,0)),1,0))</f>
        <v/>
      </c>
      <c r="AC8986">
        <f>IF(AB8986&gt;AB8985,AB8986,"")</f>
        <v/>
      </c>
    </row>
    <row r="8987">
      <c r="W8987" s="7" t="n"/>
      <c r="X8987" s="7" t="n"/>
      <c r="Z8987">
        <f>Z8986+IF(W8987="",0,IF(ISNA(MATCH(W8987,W$256:W8986,0)),1,0))</f>
        <v/>
      </c>
      <c r="AA8987">
        <f>IF(Z8987&gt;Z8986,Z8987,"")</f>
        <v/>
      </c>
      <c r="AB8987">
        <f>AB8986+IF(X8987="",0,IF(ISNA(MATCH(X8987,X$256:X8986,0)),1,0))</f>
        <v/>
      </c>
      <c r="AC8987">
        <f>IF(AB8987&gt;AB8986,AB8987,"")</f>
        <v/>
      </c>
    </row>
    <row r="8988">
      <c r="W8988" s="7" t="n"/>
      <c r="X8988" s="7" t="n"/>
      <c r="Z8988">
        <f>Z8987+IF(W8988="",0,IF(ISNA(MATCH(W8988,W$256:W8987,0)),1,0))</f>
        <v/>
      </c>
      <c r="AA8988">
        <f>IF(Z8988&gt;Z8987,Z8988,"")</f>
        <v/>
      </c>
      <c r="AB8988">
        <f>AB8987+IF(X8988="",0,IF(ISNA(MATCH(X8988,X$256:X8987,0)),1,0))</f>
        <v/>
      </c>
      <c r="AC8988">
        <f>IF(AB8988&gt;AB8987,AB8988,"")</f>
        <v/>
      </c>
    </row>
    <row r="8989">
      <c r="W8989" s="7" t="n"/>
      <c r="X8989" s="7" t="n"/>
      <c r="Z8989">
        <f>Z8988+IF(W8989="",0,IF(ISNA(MATCH(W8989,W$256:W8988,0)),1,0))</f>
        <v/>
      </c>
      <c r="AA8989">
        <f>IF(Z8989&gt;Z8988,Z8989,"")</f>
        <v/>
      </c>
      <c r="AB8989">
        <f>AB8988+IF(X8989="",0,IF(ISNA(MATCH(X8989,X$256:X8988,0)),1,0))</f>
        <v/>
      </c>
      <c r="AC8989">
        <f>IF(AB8989&gt;AB8988,AB8989,"")</f>
        <v/>
      </c>
    </row>
    <row r="8990">
      <c r="W8990" s="7" t="n"/>
      <c r="X8990" s="7" t="n"/>
      <c r="Z8990">
        <f>Z8989+IF(W8990="",0,IF(ISNA(MATCH(W8990,W$256:W8989,0)),1,0))</f>
        <v/>
      </c>
      <c r="AA8990">
        <f>IF(Z8990&gt;Z8989,Z8990,"")</f>
        <v/>
      </c>
      <c r="AB8990">
        <f>AB8989+IF(X8990="",0,IF(ISNA(MATCH(X8990,X$256:X8989,0)),1,0))</f>
        <v/>
      </c>
      <c r="AC8990">
        <f>IF(AB8990&gt;AB8989,AB8990,"")</f>
        <v/>
      </c>
    </row>
    <row r="8991">
      <c r="W8991" s="7" t="n"/>
      <c r="X8991" s="7" t="n"/>
      <c r="Z8991">
        <f>Z8990+IF(W8991="",0,IF(ISNA(MATCH(W8991,W$256:W8990,0)),1,0))</f>
        <v/>
      </c>
      <c r="AA8991">
        <f>IF(Z8991&gt;Z8990,Z8991,"")</f>
        <v/>
      </c>
      <c r="AB8991">
        <f>AB8990+IF(X8991="",0,IF(ISNA(MATCH(X8991,X$256:X8990,0)),1,0))</f>
        <v/>
      </c>
      <c r="AC8991">
        <f>IF(AB8991&gt;AB8990,AB8991,"")</f>
        <v/>
      </c>
    </row>
    <row r="8992">
      <c r="W8992" s="7" t="n"/>
      <c r="X8992" s="7" t="n"/>
      <c r="Z8992">
        <f>Z8991+IF(W8992="",0,IF(ISNA(MATCH(W8992,W$256:W8991,0)),1,0))</f>
        <v/>
      </c>
      <c r="AA8992">
        <f>IF(Z8992&gt;Z8991,Z8992,"")</f>
        <v/>
      </c>
      <c r="AB8992">
        <f>AB8991+IF(X8992="",0,IF(ISNA(MATCH(X8992,X$256:X8991,0)),1,0))</f>
        <v/>
      </c>
      <c r="AC8992">
        <f>IF(AB8992&gt;AB8991,AB8992,"")</f>
        <v/>
      </c>
    </row>
    <row r="8993">
      <c r="W8993" s="7" t="n"/>
      <c r="X8993" s="7" t="n"/>
      <c r="Z8993">
        <f>Z8992+IF(W8993="",0,IF(ISNA(MATCH(W8993,W$256:W8992,0)),1,0))</f>
        <v/>
      </c>
      <c r="AA8993">
        <f>IF(Z8993&gt;Z8992,Z8993,"")</f>
        <v/>
      </c>
      <c r="AB8993">
        <f>AB8992+IF(X8993="",0,IF(ISNA(MATCH(X8993,X$256:X8992,0)),1,0))</f>
        <v/>
      </c>
      <c r="AC8993">
        <f>IF(AB8993&gt;AB8992,AB8993,"")</f>
        <v/>
      </c>
    </row>
    <row r="8994">
      <c r="W8994" s="7" t="n"/>
      <c r="X8994" s="7" t="n"/>
      <c r="Z8994">
        <f>Z8993+IF(W8994="",0,IF(ISNA(MATCH(W8994,W$256:W8993,0)),1,0))</f>
        <v/>
      </c>
      <c r="AA8994">
        <f>IF(Z8994&gt;Z8993,Z8994,"")</f>
        <v/>
      </c>
      <c r="AB8994">
        <f>AB8993+IF(X8994="",0,IF(ISNA(MATCH(X8994,X$256:X8993,0)),1,0))</f>
        <v/>
      </c>
      <c r="AC8994">
        <f>IF(AB8994&gt;AB8993,AB8994,"")</f>
        <v/>
      </c>
    </row>
    <row r="8995">
      <c r="W8995" s="7" t="n"/>
      <c r="X8995" s="7" t="n"/>
      <c r="Z8995">
        <f>Z8994+IF(W8995="",0,IF(ISNA(MATCH(W8995,W$256:W8994,0)),1,0))</f>
        <v/>
      </c>
      <c r="AA8995">
        <f>IF(Z8995&gt;Z8994,Z8995,"")</f>
        <v/>
      </c>
      <c r="AB8995">
        <f>AB8994+IF(X8995="",0,IF(ISNA(MATCH(X8995,X$256:X8994,0)),1,0))</f>
        <v/>
      </c>
      <c r="AC8995">
        <f>IF(AB8995&gt;AB8994,AB8995,"")</f>
        <v/>
      </c>
    </row>
    <row r="8996">
      <c r="W8996" s="7" t="n"/>
      <c r="X8996" s="7" t="n"/>
      <c r="Z8996">
        <f>Z8995+IF(W8996="",0,IF(ISNA(MATCH(W8996,W$256:W8995,0)),1,0))</f>
        <v/>
      </c>
      <c r="AA8996">
        <f>IF(Z8996&gt;Z8995,Z8996,"")</f>
        <v/>
      </c>
      <c r="AB8996">
        <f>AB8995+IF(X8996="",0,IF(ISNA(MATCH(X8996,X$256:X8995,0)),1,0))</f>
        <v/>
      </c>
      <c r="AC8996">
        <f>IF(AB8996&gt;AB8995,AB8996,"")</f>
        <v/>
      </c>
    </row>
    <row r="8997">
      <c r="W8997" s="7" t="n"/>
      <c r="X8997" s="7" t="n"/>
      <c r="Z8997">
        <f>Z8996+IF(W8997="",0,IF(ISNA(MATCH(W8997,W$256:W8996,0)),1,0))</f>
        <v/>
      </c>
      <c r="AA8997">
        <f>IF(Z8997&gt;Z8996,Z8997,"")</f>
        <v/>
      </c>
      <c r="AB8997">
        <f>AB8996+IF(X8997="",0,IF(ISNA(MATCH(X8997,X$256:X8996,0)),1,0))</f>
        <v/>
      </c>
      <c r="AC8997">
        <f>IF(AB8997&gt;AB8996,AB8997,"")</f>
        <v/>
      </c>
    </row>
    <row r="8998">
      <c r="W8998" s="7" t="n"/>
      <c r="X8998" s="7" t="n"/>
      <c r="Z8998">
        <f>Z8997+IF(W8998="",0,IF(ISNA(MATCH(W8998,W$256:W8997,0)),1,0))</f>
        <v/>
      </c>
      <c r="AA8998">
        <f>IF(Z8998&gt;Z8997,Z8998,"")</f>
        <v/>
      </c>
      <c r="AB8998">
        <f>AB8997+IF(X8998="",0,IF(ISNA(MATCH(X8998,X$256:X8997,0)),1,0))</f>
        <v/>
      </c>
      <c r="AC8998">
        <f>IF(AB8998&gt;AB8997,AB8998,"")</f>
        <v/>
      </c>
    </row>
    <row r="8999">
      <c r="W8999" s="7" t="n"/>
      <c r="X8999" s="7" t="n"/>
      <c r="Z8999">
        <f>Z8998+IF(W8999="",0,IF(ISNA(MATCH(W8999,W$256:W8998,0)),1,0))</f>
        <v/>
      </c>
      <c r="AA8999">
        <f>IF(Z8999&gt;Z8998,Z8999,"")</f>
        <v/>
      </c>
      <c r="AB8999">
        <f>AB8998+IF(X8999="",0,IF(ISNA(MATCH(X8999,X$256:X8998,0)),1,0))</f>
        <v/>
      </c>
      <c r="AC8999">
        <f>IF(AB8999&gt;AB8998,AB8999,"")</f>
        <v/>
      </c>
    </row>
    <row r="9000">
      <c r="W9000" s="7" t="n"/>
      <c r="X9000" s="7" t="n"/>
      <c r="Z9000">
        <f>Z8999+IF(W9000="",0,IF(ISNA(MATCH(W9000,W$256:W8999,0)),1,0))</f>
        <v/>
      </c>
      <c r="AA9000">
        <f>IF(Z9000&gt;Z8999,Z9000,"")</f>
        <v/>
      </c>
      <c r="AB9000">
        <f>AB8999+IF(X9000="",0,IF(ISNA(MATCH(X9000,X$256:X8999,0)),1,0))</f>
        <v/>
      </c>
      <c r="AC9000">
        <f>IF(AB9000&gt;AB8999,AB9000,"")</f>
        <v/>
      </c>
    </row>
    <row r="9001">
      <c r="W9001" s="7" t="n"/>
      <c r="X9001" s="7" t="n"/>
      <c r="Z9001">
        <f>Z9000+IF(W9001="",0,IF(ISNA(MATCH(W9001,W$256:W9000,0)),1,0))</f>
        <v/>
      </c>
      <c r="AA9001">
        <f>IF(Z9001&gt;Z9000,Z9001,"")</f>
        <v/>
      </c>
      <c r="AB9001">
        <f>AB9000+IF(X9001="",0,IF(ISNA(MATCH(X9001,X$256:X9000,0)),1,0))</f>
        <v/>
      </c>
      <c r="AC9001">
        <f>IF(AB9001&gt;AB9000,AB9001,"")</f>
        <v/>
      </c>
    </row>
    <row r="9002">
      <c r="W9002" s="7" t="n"/>
      <c r="X9002" s="7" t="n"/>
      <c r="Z9002">
        <f>Z9001+IF(W9002="",0,IF(ISNA(MATCH(W9002,W$256:W9001,0)),1,0))</f>
        <v/>
      </c>
      <c r="AA9002">
        <f>IF(Z9002&gt;Z9001,Z9002,"")</f>
        <v/>
      </c>
      <c r="AB9002">
        <f>AB9001+IF(X9002="",0,IF(ISNA(MATCH(X9002,X$256:X9001,0)),1,0))</f>
        <v/>
      </c>
      <c r="AC9002">
        <f>IF(AB9002&gt;AB9001,AB9002,"")</f>
        <v/>
      </c>
    </row>
    <row r="9003">
      <c r="W9003" s="7" t="n"/>
      <c r="X9003" s="7" t="n"/>
      <c r="Z9003">
        <f>Z9002+IF(W9003="",0,IF(ISNA(MATCH(W9003,W$256:W9002,0)),1,0))</f>
        <v/>
      </c>
      <c r="AA9003">
        <f>IF(Z9003&gt;Z9002,Z9003,"")</f>
        <v/>
      </c>
      <c r="AB9003">
        <f>AB9002+IF(X9003="",0,IF(ISNA(MATCH(X9003,X$256:X9002,0)),1,0))</f>
        <v/>
      </c>
      <c r="AC9003">
        <f>IF(AB9003&gt;AB9002,AB9003,"")</f>
        <v/>
      </c>
    </row>
    <row r="9004">
      <c r="W9004" s="7" t="n"/>
      <c r="X9004" s="7" t="n"/>
      <c r="Z9004">
        <f>Z9003+IF(W9004="",0,IF(ISNA(MATCH(W9004,W$256:W9003,0)),1,0))</f>
        <v/>
      </c>
      <c r="AA9004">
        <f>IF(Z9004&gt;Z9003,Z9004,"")</f>
        <v/>
      </c>
      <c r="AB9004">
        <f>AB9003+IF(X9004="",0,IF(ISNA(MATCH(X9004,X$256:X9003,0)),1,0))</f>
        <v/>
      </c>
      <c r="AC9004">
        <f>IF(AB9004&gt;AB9003,AB9004,"")</f>
        <v/>
      </c>
    </row>
    <row r="9005">
      <c r="W9005" s="7" t="n"/>
      <c r="X9005" s="7" t="n"/>
      <c r="Z9005">
        <f>Z9004+IF(W9005="",0,IF(ISNA(MATCH(W9005,W$256:W9004,0)),1,0))</f>
        <v/>
      </c>
      <c r="AA9005">
        <f>IF(Z9005&gt;Z9004,Z9005,"")</f>
        <v/>
      </c>
      <c r="AB9005">
        <f>AB9004+IF(X9005="",0,IF(ISNA(MATCH(X9005,X$256:X9004,0)),1,0))</f>
        <v/>
      </c>
      <c r="AC9005">
        <f>IF(AB9005&gt;AB9004,AB9005,"")</f>
        <v/>
      </c>
    </row>
    <row r="9006">
      <c r="W9006" s="7" t="n"/>
      <c r="X9006" s="7" t="n"/>
      <c r="Z9006">
        <f>Z9005+IF(W9006="",0,IF(ISNA(MATCH(W9006,W$256:W9005,0)),1,0))</f>
        <v/>
      </c>
      <c r="AA9006">
        <f>IF(Z9006&gt;Z9005,Z9006,"")</f>
        <v/>
      </c>
      <c r="AB9006">
        <f>AB9005+IF(X9006="",0,IF(ISNA(MATCH(X9006,X$256:X9005,0)),1,0))</f>
        <v/>
      </c>
      <c r="AC9006">
        <f>IF(AB9006&gt;AB9005,AB9006,"")</f>
        <v/>
      </c>
    </row>
    <row r="9007">
      <c r="W9007" s="7" t="n"/>
      <c r="X9007" s="7" t="n"/>
      <c r="Z9007">
        <f>Z9006+IF(W9007="",0,IF(ISNA(MATCH(W9007,W$256:W9006,0)),1,0))</f>
        <v/>
      </c>
      <c r="AA9007">
        <f>IF(Z9007&gt;Z9006,Z9007,"")</f>
        <v/>
      </c>
      <c r="AB9007">
        <f>AB9006+IF(X9007="",0,IF(ISNA(MATCH(X9007,X$256:X9006,0)),1,0))</f>
        <v/>
      </c>
      <c r="AC9007">
        <f>IF(AB9007&gt;AB9006,AB9007,"")</f>
        <v/>
      </c>
    </row>
    <row r="9008">
      <c r="W9008" s="7" t="n"/>
      <c r="X9008" s="7" t="n"/>
      <c r="Z9008">
        <f>Z9007+IF(W9008="",0,IF(ISNA(MATCH(W9008,W$256:W9007,0)),1,0))</f>
        <v/>
      </c>
      <c r="AA9008">
        <f>IF(Z9008&gt;Z9007,Z9008,"")</f>
        <v/>
      </c>
      <c r="AB9008">
        <f>AB9007+IF(X9008="",0,IF(ISNA(MATCH(X9008,X$256:X9007,0)),1,0))</f>
        <v/>
      </c>
      <c r="AC9008">
        <f>IF(AB9008&gt;AB9007,AB9008,"")</f>
        <v/>
      </c>
    </row>
    <row r="9009">
      <c r="W9009" s="7" t="n"/>
      <c r="X9009" s="7" t="n"/>
      <c r="Z9009">
        <f>Z9008+IF(W9009="",0,IF(ISNA(MATCH(W9009,W$256:W9008,0)),1,0))</f>
        <v/>
      </c>
      <c r="AA9009">
        <f>IF(Z9009&gt;Z9008,Z9009,"")</f>
        <v/>
      </c>
      <c r="AB9009">
        <f>AB9008+IF(X9009="",0,IF(ISNA(MATCH(X9009,X$256:X9008,0)),1,0))</f>
        <v/>
      </c>
      <c r="AC9009">
        <f>IF(AB9009&gt;AB9008,AB9009,"")</f>
        <v/>
      </c>
    </row>
    <row r="9010">
      <c r="W9010" s="7" t="n"/>
      <c r="X9010" s="7" t="n"/>
      <c r="Z9010">
        <f>Z9009+IF(W9010="",0,IF(ISNA(MATCH(W9010,W$256:W9009,0)),1,0))</f>
        <v/>
      </c>
      <c r="AA9010">
        <f>IF(Z9010&gt;Z9009,Z9010,"")</f>
        <v/>
      </c>
      <c r="AB9010">
        <f>AB9009+IF(X9010="",0,IF(ISNA(MATCH(X9010,X$256:X9009,0)),1,0))</f>
        <v/>
      </c>
      <c r="AC9010">
        <f>IF(AB9010&gt;AB9009,AB9010,"")</f>
        <v/>
      </c>
    </row>
    <row r="9011">
      <c r="W9011" s="7" t="n"/>
      <c r="X9011" s="7" t="n"/>
      <c r="Z9011">
        <f>Z9010+IF(W9011="",0,IF(ISNA(MATCH(W9011,W$256:W9010,0)),1,0))</f>
        <v/>
      </c>
      <c r="AA9011">
        <f>IF(Z9011&gt;Z9010,Z9011,"")</f>
        <v/>
      </c>
      <c r="AB9011">
        <f>AB9010+IF(X9011="",0,IF(ISNA(MATCH(X9011,X$256:X9010,0)),1,0))</f>
        <v/>
      </c>
      <c r="AC9011">
        <f>IF(AB9011&gt;AB9010,AB9011,"")</f>
        <v/>
      </c>
    </row>
    <row r="9012">
      <c r="W9012" s="7" t="n"/>
      <c r="X9012" s="7" t="n"/>
      <c r="Z9012">
        <f>Z9011+IF(W9012="",0,IF(ISNA(MATCH(W9012,W$256:W9011,0)),1,0))</f>
        <v/>
      </c>
      <c r="AA9012">
        <f>IF(Z9012&gt;Z9011,Z9012,"")</f>
        <v/>
      </c>
      <c r="AB9012">
        <f>AB9011+IF(X9012="",0,IF(ISNA(MATCH(X9012,X$256:X9011,0)),1,0))</f>
        <v/>
      </c>
      <c r="AC9012">
        <f>IF(AB9012&gt;AB9011,AB9012,"")</f>
        <v/>
      </c>
    </row>
    <row r="9013">
      <c r="W9013" s="7" t="n"/>
      <c r="X9013" s="7" t="n"/>
      <c r="Z9013">
        <f>Z9012+IF(W9013="",0,IF(ISNA(MATCH(W9013,W$256:W9012,0)),1,0))</f>
        <v/>
      </c>
      <c r="AA9013">
        <f>IF(Z9013&gt;Z9012,Z9013,"")</f>
        <v/>
      </c>
      <c r="AB9013">
        <f>AB9012+IF(X9013="",0,IF(ISNA(MATCH(X9013,X$256:X9012,0)),1,0))</f>
        <v/>
      </c>
      <c r="AC9013">
        <f>IF(AB9013&gt;AB9012,AB9013,"")</f>
        <v/>
      </c>
    </row>
    <row r="9014">
      <c r="W9014" s="7" t="n"/>
      <c r="X9014" s="7" t="n"/>
      <c r="Z9014">
        <f>Z9013+IF(W9014="",0,IF(ISNA(MATCH(W9014,W$256:W9013,0)),1,0))</f>
        <v/>
      </c>
      <c r="AA9014">
        <f>IF(Z9014&gt;Z9013,Z9014,"")</f>
        <v/>
      </c>
      <c r="AB9014">
        <f>AB9013+IF(X9014="",0,IF(ISNA(MATCH(X9014,X$256:X9013,0)),1,0))</f>
        <v/>
      </c>
      <c r="AC9014">
        <f>IF(AB9014&gt;AB9013,AB9014,"")</f>
        <v/>
      </c>
    </row>
    <row r="9015">
      <c r="W9015" s="7" t="n"/>
      <c r="X9015" s="7" t="n"/>
      <c r="Z9015">
        <f>Z9014+IF(W9015="",0,IF(ISNA(MATCH(W9015,W$256:W9014,0)),1,0))</f>
        <v/>
      </c>
      <c r="AA9015">
        <f>IF(Z9015&gt;Z9014,Z9015,"")</f>
        <v/>
      </c>
      <c r="AB9015">
        <f>AB9014+IF(X9015="",0,IF(ISNA(MATCH(X9015,X$256:X9014,0)),1,0))</f>
        <v/>
      </c>
      <c r="AC9015">
        <f>IF(AB9015&gt;AB9014,AB9015,"")</f>
        <v/>
      </c>
    </row>
    <row r="9016">
      <c r="W9016" s="7" t="n"/>
      <c r="X9016" s="7" t="n"/>
      <c r="Z9016">
        <f>Z9015+IF(W9016="",0,IF(ISNA(MATCH(W9016,W$256:W9015,0)),1,0))</f>
        <v/>
      </c>
      <c r="AA9016">
        <f>IF(Z9016&gt;Z9015,Z9016,"")</f>
        <v/>
      </c>
      <c r="AB9016">
        <f>AB9015+IF(X9016="",0,IF(ISNA(MATCH(X9016,X$256:X9015,0)),1,0))</f>
        <v/>
      </c>
      <c r="AC9016">
        <f>IF(AB9016&gt;AB9015,AB9016,"")</f>
        <v/>
      </c>
    </row>
    <row r="9017">
      <c r="W9017" s="7" t="n"/>
      <c r="X9017" s="7" t="n"/>
      <c r="Z9017">
        <f>Z9016+IF(W9017="",0,IF(ISNA(MATCH(W9017,W$256:W9016,0)),1,0))</f>
        <v/>
      </c>
      <c r="AA9017">
        <f>IF(Z9017&gt;Z9016,Z9017,"")</f>
        <v/>
      </c>
      <c r="AB9017">
        <f>AB9016+IF(X9017="",0,IF(ISNA(MATCH(X9017,X$256:X9016,0)),1,0))</f>
        <v/>
      </c>
      <c r="AC9017">
        <f>IF(AB9017&gt;AB9016,AB9017,"")</f>
        <v/>
      </c>
    </row>
    <row r="9018">
      <c r="W9018" s="7" t="n"/>
      <c r="X9018" s="7" t="n"/>
      <c r="Z9018">
        <f>Z9017+IF(W9018="",0,IF(ISNA(MATCH(W9018,W$256:W9017,0)),1,0))</f>
        <v/>
      </c>
      <c r="AA9018">
        <f>IF(Z9018&gt;Z9017,Z9018,"")</f>
        <v/>
      </c>
      <c r="AB9018">
        <f>AB9017+IF(X9018="",0,IF(ISNA(MATCH(X9018,X$256:X9017,0)),1,0))</f>
        <v/>
      </c>
      <c r="AC9018">
        <f>IF(AB9018&gt;AB9017,AB9018,"")</f>
        <v/>
      </c>
    </row>
    <row r="9019">
      <c r="W9019" s="7" t="n"/>
      <c r="X9019" s="7" t="n"/>
      <c r="Z9019">
        <f>Z9018+IF(W9019="",0,IF(ISNA(MATCH(W9019,W$256:W9018,0)),1,0))</f>
        <v/>
      </c>
      <c r="AA9019">
        <f>IF(Z9019&gt;Z9018,Z9019,"")</f>
        <v/>
      </c>
      <c r="AB9019">
        <f>AB9018+IF(X9019="",0,IF(ISNA(MATCH(X9019,X$256:X9018,0)),1,0))</f>
        <v/>
      </c>
      <c r="AC9019">
        <f>IF(AB9019&gt;AB9018,AB9019,"")</f>
        <v/>
      </c>
    </row>
    <row r="9020">
      <c r="W9020" s="7" t="n"/>
      <c r="X9020" s="7" t="n"/>
      <c r="Z9020">
        <f>Z9019+IF(W9020="",0,IF(ISNA(MATCH(W9020,W$256:W9019,0)),1,0))</f>
        <v/>
      </c>
      <c r="AA9020">
        <f>IF(Z9020&gt;Z9019,Z9020,"")</f>
        <v/>
      </c>
      <c r="AB9020">
        <f>AB9019+IF(X9020="",0,IF(ISNA(MATCH(X9020,X$256:X9019,0)),1,0))</f>
        <v/>
      </c>
      <c r="AC9020">
        <f>IF(AB9020&gt;AB9019,AB9020,"")</f>
        <v/>
      </c>
    </row>
    <row r="9021">
      <c r="W9021" s="7" t="n"/>
      <c r="X9021" s="7" t="n"/>
      <c r="Z9021">
        <f>Z9020+IF(W9021="",0,IF(ISNA(MATCH(W9021,W$256:W9020,0)),1,0))</f>
        <v/>
      </c>
      <c r="AA9021">
        <f>IF(Z9021&gt;Z9020,Z9021,"")</f>
        <v/>
      </c>
      <c r="AB9021">
        <f>AB9020+IF(X9021="",0,IF(ISNA(MATCH(X9021,X$256:X9020,0)),1,0))</f>
        <v/>
      </c>
      <c r="AC9021">
        <f>IF(AB9021&gt;AB9020,AB9021,"")</f>
        <v/>
      </c>
    </row>
    <row r="9022">
      <c r="W9022" s="7" t="n"/>
      <c r="X9022" s="7" t="n"/>
      <c r="Z9022">
        <f>Z9021+IF(W9022="",0,IF(ISNA(MATCH(W9022,W$256:W9021,0)),1,0))</f>
        <v/>
      </c>
      <c r="AA9022">
        <f>IF(Z9022&gt;Z9021,Z9022,"")</f>
        <v/>
      </c>
      <c r="AB9022">
        <f>AB9021+IF(X9022="",0,IF(ISNA(MATCH(X9022,X$256:X9021,0)),1,0))</f>
        <v/>
      </c>
      <c r="AC9022">
        <f>IF(AB9022&gt;AB9021,AB9022,"")</f>
        <v/>
      </c>
    </row>
    <row r="9023">
      <c r="W9023" s="7" t="n"/>
      <c r="X9023" s="7" t="n"/>
      <c r="Z9023">
        <f>Z9022+IF(W9023="",0,IF(ISNA(MATCH(W9023,W$256:W9022,0)),1,0))</f>
        <v/>
      </c>
      <c r="AA9023">
        <f>IF(Z9023&gt;Z9022,Z9023,"")</f>
        <v/>
      </c>
      <c r="AB9023">
        <f>AB9022+IF(X9023="",0,IF(ISNA(MATCH(X9023,X$256:X9022,0)),1,0))</f>
        <v/>
      </c>
      <c r="AC9023">
        <f>IF(AB9023&gt;AB9022,AB9023,"")</f>
        <v/>
      </c>
    </row>
    <row r="9024">
      <c r="W9024" s="7" t="n"/>
      <c r="X9024" s="7" t="n"/>
      <c r="Z9024">
        <f>Z9023+IF(W9024="",0,IF(ISNA(MATCH(W9024,W$256:W9023,0)),1,0))</f>
        <v/>
      </c>
      <c r="AA9024">
        <f>IF(Z9024&gt;Z9023,Z9024,"")</f>
        <v/>
      </c>
      <c r="AB9024">
        <f>AB9023+IF(X9024="",0,IF(ISNA(MATCH(X9024,X$256:X9023,0)),1,0))</f>
        <v/>
      </c>
      <c r="AC9024">
        <f>IF(AB9024&gt;AB9023,AB9024,"")</f>
        <v/>
      </c>
    </row>
    <row r="9025">
      <c r="W9025" s="7" t="n"/>
      <c r="X9025" s="7" t="n"/>
      <c r="Z9025">
        <f>Z9024+IF(W9025="",0,IF(ISNA(MATCH(W9025,W$256:W9024,0)),1,0))</f>
        <v/>
      </c>
      <c r="AA9025">
        <f>IF(Z9025&gt;Z9024,Z9025,"")</f>
        <v/>
      </c>
      <c r="AB9025">
        <f>AB9024+IF(X9025="",0,IF(ISNA(MATCH(X9025,X$256:X9024,0)),1,0))</f>
        <v/>
      </c>
      <c r="AC9025">
        <f>IF(AB9025&gt;AB9024,AB9025,"")</f>
        <v/>
      </c>
    </row>
    <row r="9026">
      <c r="W9026" s="7" t="n"/>
      <c r="X9026" s="7" t="n"/>
      <c r="Z9026">
        <f>Z9025+IF(W9026="",0,IF(ISNA(MATCH(W9026,W$256:W9025,0)),1,0))</f>
        <v/>
      </c>
      <c r="AA9026">
        <f>IF(Z9026&gt;Z9025,Z9026,"")</f>
        <v/>
      </c>
      <c r="AB9026">
        <f>AB9025+IF(X9026="",0,IF(ISNA(MATCH(X9026,X$256:X9025,0)),1,0))</f>
        <v/>
      </c>
      <c r="AC9026">
        <f>IF(AB9026&gt;AB9025,AB9026,"")</f>
        <v/>
      </c>
    </row>
    <row r="9027">
      <c r="W9027" s="7" t="n"/>
      <c r="X9027" s="7" t="n"/>
      <c r="Z9027">
        <f>Z9026+IF(W9027="",0,IF(ISNA(MATCH(W9027,W$256:W9026,0)),1,0))</f>
        <v/>
      </c>
      <c r="AA9027">
        <f>IF(Z9027&gt;Z9026,Z9027,"")</f>
        <v/>
      </c>
      <c r="AB9027">
        <f>AB9026+IF(X9027="",0,IF(ISNA(MATCH(X9027,X$256:X9026,0)),1,0))</f>
        <v/>
      </c>
      <c r="AC9027">
        <f>IF(AB9027&gt;AB9026,AB9027,"")</f>
        <v/>
      </c>
    </row>
    <row r="9028">
      <c r="W9028" s="7" t="n"/>
      <c r="X9028" s="7" t="n"/>
      <c r="Z9028">
        <f>Z9027+IF(W9028="",0,IF(ISNA(MATCH(W9028,W$256:W9027,0)),1,0))</f>
        <v/>
      </c>
      <c r="AA9028">
        <f>IF(Z9028&gt;Z9027,Z9028,"")</f>
        <v/>
      </c>
      <c r="AB9028">
        <f>AB9027+IF(X9028="",0,IF(ISNA(MATCH(X9028,X$256:X9027,0)),1,0))</f>
        <v/>
      </c>
      <c r="AC9028">
        <f>IF(AB9028&gt;AB9027,AB9028,"")</f>
        <v/>
      </c>
    </row>
    <row r="9029">
      <c r="W9029" s="7" t="n"/>
      <c r="X9029" s="7" t="n"/>
      <c r="Z9029">
        <f>Z9028+IF(W9029="",0,IF(ISNA(MATCH(W9029,W$256:W9028,0)),1,0))</f>
        <v/>
      </c>
      <c r="AA9029">
        <f>IF(Z9029&gt;Z9028,Z9029,"")</f>
        <v/>
      </c>
      <c r="AB9029">
        <f>AB9028+IF(X9029="",0,IF(ISNA(MATCH(X9029,X$256:X9028,0)),1,0))</f>
        <v/>
      </c>
      <c r="AC9029">
        <f>IF(AB9029&gt;AB9028,AB9029,"")</f>
        <v/>
      </c>
    </row>
    <row r="9030">
      <c r="W9030" s="7" t="n"/>
      <c r="X9030" s="7" t="n"/>
      <c r="Z9030">
        <f>Z9029+IF(W9030="",0,IF(ISNA(MATCH(W9030,W$256:W9029,0)),1,0))</f>
        <v/>
      </c>
      <c r="AA9030">
        <f>IF(Z9030&gt;Z9029,Z9030,"")</f>
        <v/>
      </c>
      <c r="AB9030">
        <f>AB9029+IF(X9030="",0,IF(ISNA(MATCH(X9030,X$256:X9029,0)),1,0))</f>
        <v/>
      </c>
      <c r="AC9030">
        <f>IF(AB9030&gt;AB9029,AB9030,"")</f>
        <v/>
      </c>
    </row>
    <row r="9031">
      <c r="W9031" s="7" t="n"/>
      <c r="X9031" s="7" t="n"/>
      <c r="Z9031">
        <f>Z9030+IF(W9031="",0,IF(ISNA(MATCH(W9031,W$256:W9030,0)),1,0))</f>
        <v/>
      </c>
      <c r="AA9031">
        <f>IF(Z9031&gt;Z9030,Z9031,"")</f>
        <v/>
      </c>
      <c r="AB9031">
        <f>AB9030+IF(X9031="",0,IF(ISNA(MATCH(X9031,X$256:X9030,0)),1,0))</f>
        <v/>
      </c>
      <c r="AC9031">
        <f>IF(AB9031&gt;AB9030,AB9031,"")</f>
        <v/>
      </c>
    </row>
    <row r="9032">
      <c r="W9032" s="7" t="n"/>
      <c r="X9032" s="7" t="n"/>
      <c r="Z9032">
        <f>Z9031+IF(W9032="",0,IF(ISNA(MATCH(W9032,W$256:W9031,0)),1,0))</f>
        <v/>
      </c>
      <c r="AA9032">
        <f>IF(Z9032&gt;Z9031,Z9032,"")</f>
        <v/>
      </c>
      <c r="AB9032">
        <f>AB9031+IF(X9032="",0,IF(ISNA(MATCH(X9032,X$256:X9031,0)),1,0))</f>
        <v/>
      </c>
      <c r="AC9032">
        <f>IF(AB9032&gt;AB9031,AB9032,"")</f>
        <v/>
      </c>
    </row>
    <row r="9033">
      <c r="W9033" s="7" t="n"/>
      <c r="X9033" s="7" t="n"/>
      <c r="Z9033">
        <f>Z9032+IF(W9033="",0,IF(ISNA(MATCH(W9033,W$256:W9032,0)),1,0))</f>
        <v/>
      </c>
      <c r="AA9033">
        <f>IF(Z9033&gt;Z9032,Z9033,"")</f>
        <v/>
      </c>
      <c r="AB9033">
        <f>AB9032+IF(X9033="",0,IF(ISNA(MATCH(X9033,X$256:X9032,0)),1,0))</f>
        <v/>
      </c>
      <c r="AC9033">
        <f>IF(AB9033&gt;AB9032,AB9033,"")</f>
        <v/>
      </c>
    </row>
    <row r="9034">
      <c r="W9034" s="7" t="n"/>
      <c r="X9034" s="7" t="n"/>
      <c r="Z9034">
        <f>Z9033+IF(W9034="",0,IF(ISNA(MATCH(W9034,W$256:W9033,0)),1,0))</f>
        <v/>
      </c>
      <c r="AA9034">
        <f>IF(Z9034&gt;Z9033,Z9034,"")</f>
        <v/>
      </c>
      <c r="AB9034">
        <f>AB9033+IF(X9034="",0,IF(ISNA(MATCH(X9034,X$256:X9033,0)),1,0))</f>
        <v/>
      </c>
      <c r="AC9034">
        <f>IF(AB9034&gt;AB9033,AB9034,"")</f>
        <v/>
      </c>
    </row>
    <row r="9035">
      <c r="W9035" s="7" t="n"/>
      <c r="X9035" s="7" t="n"/>
      <c r="Z9035">
        <f>Z9034+IF(W9035="",0,IF(ISNA(MATCH(W9035,W$256:W9034,0)),1,0))</f>
        <v/>
      </c>
      <c r="AA9035">
        <f>IF(Z9035&gt;Z9034,Z9035,"")</f>
        <v/>
      </c>
      <c r="AB9035">
        <f>AB9034+IF(X9035="",0,IF(ISNA(MATCH(X9035,X$256:X9034,0)),1,0))</f>
        <v/>
      </c>
      <c r="AC9035">
        <f>IF(AB9035&gt;AB9034,AB9035,"")</f>
        <v/>
      </c>
    </row>
    <row r="9036">
      <c r="W9036" s="7" t="n"/>
      <c r="X9036" s="7" t="n"/>
      <c r="Z9036">
        <f>Z9035+IF(W9036="",0,IF(ISNA(MATCH(W9036,W$256:W9035,0)),1,0))</f>
        <v/>
      </c>
      <c r="AA9036">
        <f>IF(Z9036&gt;Z9035,Z9036,"")</f>
        <v/>
      </c>
      <c r="AB9036">
        <f>AB9035+IF(X9036="",0,IF(ISNA(MATCH(X9036,X$256:X9035,0)),1,0))</f>
        <v/>
      </c>
      <c r="AC9036">
        <f>IF(AB9036&gt;AB9035,AB9036,"")</f>
        <v/>
      </c>
    </row>
    <row r="9037">
      <c r="W9037" s="7" t="n"/>
      <c r="X9037" s="7" t="n"/>
      <c r="Z9037">
        <f>Z9036+IF(W9037="",0,IF(ISNA(MATCH(W9037,W$256:W9036,0)),1,0))</f>
        <v/>
      </c>
      <c r="AA9037">
        <f>IF(Z9037&gt;Z9036,Z9037,"")</f>
        <v/>
      </c>
      <c r="AB9037">
        <f>AB9036+IF(X9037="",0,IF(ISNA(MATCH(X9037,X$256:X9036,0)),1,0))</f>
        <v/>
      </c>
      <c r="AC9037">
        <f>IF(AB9037&gt;AB9036,AB9037,"")</f>
        <v/>
      </c>
    </row>
    <row r="9038">
      <c r="W9038" s="7" t="n"/>
      <c r="X9038" s="7" t="n"/>
      <c r="Z9038">
        <f>Z9037+IF(W9038="",0,IF(ISNA(MATCH(W9038,W$256:W9037,0)),1,0))</f>
        <v/>
      </c>
      <c r="AA9038">
        <f>IF(Z9038&gt;Z9037,Z9038,"")</f>
        <v/>
      </c>
      <c r="AB9038">
        <f>AB9037+IF(X9038="",0,IF(ISNA(MATCH(X9038,X$256:X9037,0)),1,0))</f>
        <v/>
      </c>
      <c r="AC9038">
        <f>IF(AB9038&gt;AB9037,AB9038,"")</f>
        <v/>
      </c>
    </row>
    <row r="9039">
      <c r="W9039" s="7" t="n"/>
      <c r="X9039" s="7" t="n"/>
      <c r="Z9039">
        <f>Z9038+IF(W9039="",0,IF(ISNA(MATCH(W9039,W$256:W9038,0)),1,0))</f>
        <v/>
      </c>
      <c r="AA9039">
        <f>IF(Z9039&gt;Z9038,Z9039,"")</f>
        <v/>
      </c>
      <c r="AB9039">
        <f>AB9038+IF(X9039="",0,IF(ISNA(MATCH(X9039,X$256:X9038,0)),1,0))</f>
        <v/>
      </c>
      <c r="AC9039">
        <f>IF(AB9039&gt;AB9038,AB9039,"")</f>
        <v/>
      </c>
    </row>
    <row r="9040">
      <c r="W9040" s="7" t="n"/>
      <c r="X9040" s="7" t="n"/>
      <c r="Z9040">
        <f>Z9039+IF(W9040="",0,IF(ISNA(MATCH(W9040,W$256:W9039,0)),1,0))</f>
        <v/>
      </c>
      <c r="AA9040">
        <f>IF(Z9040&gt;Z9039,Z9040,"")</f>
        <v/>
      </c>
      <c r="AB9040">
        <f>AB9039+IF(X9040="",0,IF(ISNA(MATCH(X9040,X$256:X9039,0)),1,0))</f>
        <v/>
      </c>
      <c r="AC9040">
        <f>IF(AB9040&gt;AB9039,AB9040,"")</f>
        <v/>
      </c>
    </row>
    <row r="9041">
      <c r="W9041" s="7" t="n"/>
      <c r="X9041" s="7" t="n"/>
      <c r="Z9041">
        <f>Z9040+IF(W9041="",0,IF(ISNA(MATCH(W9041,W$256:W9040,0)),1,0))</f>
        <v/>
      </c>
      <c r="AA9041">
        <f>IF(Z9041&gt;Z9040,Z9041,"")</f>
        <v/>
      </c>
      <c r="AB9041">
        <f>AB9040+IF(X9041="",0,IF(ISNA(MATCH(X9041,X$256:X9040,0)),1,0))</f>
        <v/>
      </c>
      <c r="AC9041">
        <f>IF(AB9041&gt;AB9040,AB9041,"")</f>
        <v/>
      </c>
    </row>
    <row r="9042">
      <c r="W9042" s="7" t="n"/>
      <c r="X9042" s="7" t="n"/>
      <c r="Z9042">
        <f>Z9041+IF(W9042="",0,IF(ISNA(MATCH(W9042,W$256:W9041,0)),1,0))</f>
        <v/>
      </c>
      <c r="AA9042">
        <f>IF(Z9042&gt;Z9041,Z9042,"")</f>
        <v/>
      </c>
      <c r="AB9042">
        <f>AB9041+IF(X9042="",0,IF(ISNA(MATCH(X9042,X$256:X9041,0)),1,0))</f>
        <v/>
      </c>
      <c r="AC9042">
        <f>IF(AB9042&gt;AB9041,AB9042,"")</f>
        <v/>
      </c>
    </row>
    <row r="9043">
      <c r="W9043" s="7" t="n"/>
      <c r="X9043" s="7" t="n"/>
      <c r="Z9043">
        <f>Z9042+IF(W9043="",0,IF(ISNA(MATCH(W9043,W$256:W9042,0)),1,0))</f>
        <v/>
      </c>
      <c r="AA9043">
        <f>IF(Z9043&gt;Z9042,Z9043,"")</f>
        <v/>
      </c>
      <c r="AB9043">
        <f>AB9042+IF(X9043="",0,IF(ISNA(MATCH(X9043,X$256:X9042,0)),1,0))</f>
        <v/>
      </c>
      <c r="AC9043">
        <f>IF(AB9043&gt;AB9042,AB9043,"")</f>
        <v/>
      </c>
    </row>
    <row r="9044">
      <c r="W9044" s="7" t="n"/>
      <c r="X9044" s="7" t="n"/>
      <c r="Z9044">
        <f>Z9043+IF(W9044="",0,IF(ISNA(MATCH(W9044,W$256:W9043,0)),1,0))</f>
        <v/>
      </c>
      <c r="AA9044">
        <f>IF(Z9044&gt;Z9043,Z9044,"")</f>
        <v/>
      </c>
      <c r="AB9044">
        <f>AB9043+IF(X9044="",0,IF(ISNA(MATCH(X9044,X$256:X9043,0)),1,0))</f>
        <v/>
      </c>
      <c r="AC9044">
        <f>IF(AB9044&gt;AB9043,AB9044,"")</f>
        <v/>
      </c>
    </row>
    <row r="9045">
      <c r="W9045" s="7" t="n"/>
      <c r="X9045" s="7" t="n"/>
      <c r="Z9045">
        <f>Z9044+IF(W9045="",0,IF(ISNA(MATCH(W9045,W$256:W9044,0)),1,0))</f>
        <v/>
      </c>
      <c r="AA9045">
        <f>IF(Z9045&gt;Z9044,Z9045,"")</f>
        <v/>
      </c>
      <c r="AB9045">
        <f>AB9044+IF(X9045="",0,IF(ISNA(MATCH(X9045,X$256:X9044,0)),1,0))</f>
        <v/>
      </c>
      <c r="AC9045">
        <f>IF(AB9045&gt;AB9044,AB9045,"")</f>
        <v/>
      </c>
    </row>
    <row r="9046">
      <c r="W9046" s="7" t="n"/>
      <c r="X9046" s="7" t="n"/>
      <c r="Z9046">
        <f>Z9045+IF(W9046="",0,IF(ISNA(MATCH(W9046,W$256:W9045,0)),1,0))</f>
        <v/>
      </c>
      <c r="AA9046">
        <f>IF(Z9046&gt;Z9045,Z9046,"")</f>
        <v/>
      </c>
      <c r="AB9046">
        <f>AB9045+IF(X9046="",0,IF(ISNA(MATCH(X9046,X$256:X9045,0)),1,0))</f>
        <v/>
      </c>
      <c r="AC9046">
        <f>IF(AB9046&gt;AB9045,AB9046,"")</f>
        <v/>
      </c>
    </row>
    <row r="9047">
      <c r="W9047" s="7" t="n"/>
      <c r="X9047" s="7" t="n"/>
      <c r="Z9047">
        <f>Z9046+IF(W9047="",0,IF(ISNA(MATCH(W9047,W$256:W9046,0)),1,0))</f>
        <v/>
      </c>
      <c r="AA9047">
        <f>IF(Z9047&gt;Z9046,Z9047,"")</f>
        <v/>
      </c>
      <c r="AB9047">
        <f>AB9046+IF(X9047="",0,IF(ISNA(MATCH(X9047,X$256:X9046,0)),1,0))</f>
        <v/>
      </c>
      <c r="AC9047">
        <f>IF(AB9047&gt;AB9046,AB9047,"")</f>
        <v/>
      </c>
    </row>
    <row r="9048">
      <c r="W9048" s="7" t="n"/>
      <c r="X9048" s="7" t="n"/>
      <c r="Z9048">
        <f>Z9047+IF(W9048="",0,IF(ISNA(MATCH(W9048,W$256:W9047,0)),1,0))</f>
        <v/>
      </c>
      <c r="AA9048">
        <f>IF(Z9048&gt;Z9047,Z9048,"")</f>
        <v/>
      </c>
      <c r="AB9048">
        <f>AB9047+IF(X9048="",0,IF(ISNA(MATCH(X9048,X$256:X9047,0)),1,0))</f>
        <v/>
      </c>
      <c r="AC9048">
        <f>IF(AB9048&gt;AB9047,AB9048,"")</f>
        <v/>
      </c>
    </row>
    <row r="9049">
      <c r="W9049" s="7" t="n"/>
      <c r="X9049" s="7" t="n"/>
      <c r="Z9049">
        <f>Z9048+IF(W9049="",0,IF(ISNA(MATCH(W9049,W$256:W9048,0)),1,0))</f>
        <v/>
      </c>
      <c r="AA9049">
        <f>IF(Z9049&gt;Z9048,Z9049,"")</f>
        <v/>
      </c>
      <c r="AB9049">
        <f>AB9048+IF(X9049="",0,IF(ISNA(MATCH(X9049,X$256:X9048,0)),1,0))</f>
        <v/>
      </c>
      <c r="AC9049">
        <f>IF(AB9049&gt;AB9048,AB9049,"")</f>
        <v/>
      </c>
    </row>
    <row r="9050">
      <c r="W9050" s="7" t="n"/>
      <c r="X9050" s="7" t="n"/>
      <c r="Z9050">
        <f>Z9049+IF(W9050="",0,IF(ISNA(MATCH(W9050,W$256:W9049,0)),1,0))</f>
        <v/>
      </c>
      <c r="AA9050">
        <f>IF(Z9050&gt;Z9049,Z9050,"")</f>
        <v/>
      </c>
      <c r="AB9050">
        <f>AB9049+IF(X9050="",0,IF(ISNA(MATCH(X9050,X$256:X9049,0)),1,0))</f>
        <v/>
      </c>
      <c r="AC9050">
        <f>IF(AB9050&gt;AB9049,AB9050,"")</f>
        <v/>
      </c>
    </row>
    <row r="9051">
      <c r="W9051" s="7" t="n"/>
      <c r="X9051" s="7" t="n"/>
      <c r="Z9051">
        <f>Z9050+IF(W9051="",0,IF(ISNA(MATCH(W9051,W$256:W9050,0)),1,0))</f>
        <v/>
      </c>
      <c r="AA9051">
        <f>IF(Z9051&gt;Z9050,Z9051,"")</f>
        <v/>
      </c>
      <c r="AB9051">
        <f>AB9050+IF(X9051="",0,IF(ISNA(MATCH(X9051,X$256:X9050,0)),1,0))</f>
        <v/>
      </c>
      <c r="AC9051">
        <f>IF(AB9051&gt;AB9050,AB9051,"")</f>
        <v/>
      </c>
    </row>
    <row r="9052">
      <c r="W9052" s="7" t="n"/>
      <c r="X9052" s="7" t="n"/>
      <c r="Z9052">
        <f>Z9051+IF(W9052="",0,IF(ISNA(MATCH(W9052,W$256:W9051,0)),1,0))</f>
        <v/>
      </c>
      <c r="AA9052">
        <f>IF(Z9052&gt;Z9051,Z9052,"")</f>
        <v/>
      </c>
      <c r="AB9052">
        <f>AB9051+IF(X9052="",0,IF(ISNA(MATCH(X9052,X$256:X9051,0)),1,0))</f>
        <v/>
      </c>
      <c r="AC9052">
        <f>IF(AB9052&gt;AB9051,AB9052,"")</f>
        <v/>
      </c>
    </row>
    <row r="9053">
      <c r="W9053" s="7" t="n"/>
      <c r="X9053" s="7" t="n"/>
      <c r="Z9053">
        <f>Z9052+IF(W9053="",0,IF(ISNA(MATCH(W9053,W$256:W9052,0)),1,0))</f>
        <v/>
      </c>
      <c r="AA9053">
        <f>IF(Z9053&gt;Z9052,Z9053,"")</f>
        <v/>
      </c>
      <c r="AB9053">
        <f>AB9052+IF(X9053="",0,IF(ISNA(MATCH(X9053,X$256:X9052,0)),1,0))</f>
        <v/>
      </c>
      <c r="AC9053">
        <f>IF(AB9053&gt;AB9052,AB9053,"")</f>
        <v/>
      </c>
    </row>
    <row r="9054">
      <c r="W9054" s="7" t="n"/>
      <c r="X9054" s="7" t="n"/>
      <c r="Z9054">
        <f>Z9053+IF(W9054="",0,IF(ISNA(MATCH(W9054,W$256:W9053,0)),1,0))</f>
        <v/>
      </c>
      <c r="AA9054">
        <f>IF(Z9054&gt;Z9053,Z9054,"")</f>
        <v/>
      </c>
      <c r="AB9054">
        <f>AB9053+IF(X9054="",0,IF(ISNA(MATCH(X9054,X$256:X9053,0)),1,0))</f>
        <v/>
      </c>
      <c r="AC9054">
        <f>IF(AB9054&gt;AB9053,AB9054,"")</f>
        <v/>
      </c>
    </row>
    <row r="9055">
      <c r="W9055" s="7" t="n"/>
      <c r="X9055" s="7" t="n"/>
      <c r="Z9055">
        <f>Z9054+IF(W9055="",0,IF(ISNA(MATCH(W9055,W$256:W9054,0)),1,0))</f>
        <v/>
      </c>
      <c r="AA9055">
        <f>IF(Z9055&gt;Z9054,Z9055,"")</f>
        <v/>
      </c>
      <c r="AB9055">
        <f>AB9054+IF(X9055="",0,IF(ISNA(MATCH(X9055,X$256:X9054,0)),1,0))</f>
        <v/>
      </c>
      <c r="AC9055">
        <f>IF(AB9055&gt;AB9054,AB9055,"")</f>
        <v/>
      </c>
    </row>
    <row r="9056">
      <c r="W9056" s="7" t="n"/>
      <c r="X9056" s="7" t="n"/>
      <c r="Z9056">
        <f>Z9055+IF(W9056="",0,IF(ISNA(MATCH(W9056,W$256:W9055,0)),1,0))</f>
        <v/>
      </c>
      <c r="AA9056">
        <f>IF(Z9056&gt;Z9055,Z9056,"")</f>
        <v/>
      </c>
      <c r="AB9056">
        <f>AB9055+IF(X9056="",0,IF(ISNA(MATCH(X9056,X$256:X9055,0)),1,0))</f>
        <v/>
      </c>
      <c r="AC9056">
        <f>IF(AB9056&gt;AB9055,AB9056,"")</f>
        <v/>
      </c>
    </row>
    <row r="9057">
      <c r="W9057" s="7" t="n"/>
      <c r="X9057" s="7" t="n"/>
      <c r="Z9057">
        <f>Z9056+IF(W9057="",0,IF(ISNA(MATCH(W9057,W$256:W9056,0)),1,0))</f>
        <v/>
      </c>
      <c r="AA9057">
        <f>IF(Z9057&gt;Z9056,Z9057,"")</f>
        <v/>
      </c>
      <c r="AB9057">
        <f>AB9056+IF(X9057="",0,IF(ISNA(MATCH(X9057,X$256:X9056,0)),1,0))</f>
        <v/>
      </c>
      <c r="AC9057">
        <f>IF(AB9057&gt;AB9056,AB9057,"")</f>
        <v/>
      </c>
    </row>
    <row r="9058">
      <c r="W9058" s="7" t="n"/>
      <c r="X9058" s="7" t="n"/>
      <c r="Z9058">
        <f>Z9057+IF(W9058="",0,IF(ISNA(MATCH(W9058,W$256:W9057,0)),1,0))</f>
        <v/>
      </c>
      <c r="AA9058">
        <f>IF(Z9058&gt;Z9057,Z9058,"")</f>
        <v/>
      </c>
      <c r="AB9058">
        <f>AB9057+IF(X9058="",0,IF(ISNA(MATCH(X9058,X$256:X9057,0)),1,0))</f>
        <v/>
      </c>
      <c r="AC9058">
        <f>IF(AB9058&gt;AB9057,AB9058,"")</f>
        <v/>
      </c>
    </row>
    <row r="9059">
      <c r="W9059" s="7" t="n"/>
      <c r="X9059" s="7" t="n"/>
      <c r="Z9059">
        <f>Z9058+IF(W9059="",0,IF(ISNA(MATCH(W9059,W$256:W9058,0)),1,0))</f>
        <v/>
      </c>
      <c r="AA9059">
        <f>IF(Z9059&gt;Z9058,Z9059,"")</f>
        <v/>
      </c>
      <c r="AB9059">
        <f>AB9058+IF(X9059="",0,IF(ISNA(MATCH(X9059,X$256:X9058,0)),1,0))</f>
        <v/>
      </c>
      <c r="AC9059">
        <f>IF(AB9059&gt;AB9058,AB9059,"")</f>
        <v/>
      </c>
    </row>
    <row r="9060">
      <c r="W9060" s="7" t="n"/>
      <c r="X9060" s="7" t="n"/>
      <c r="Z9060">
        <f>Z9059+IF(W9060="",0,IF(ISNA(MATCH(W9060,W$256:W9059,0)),1,0))</f>
        <v/>
      </c>
      <c r="AA9060">
        <f>IF(Z9060&gt;Z9059,Z9060,"")</f>
        <v/>
      </c>
      <c r="AB9060">
        <f>AB9059+IF(X9060="",0,IF(ISNA(MATCH(X9060,X$256:X9059,0)),1,0))</f>
        <v/>
      </c>
      <c r="AC9060">
        <f>IF(AB9060&gt;AB9059,AB9060,"")</f>
        <v/>
      </c>
    </row>
    <row r="9061">
      <c r="W9061" s="7" t="n"/>
      <c r="X9061" s="7" t="n"/>
      <c r="Z9061">
        <f>Z9060+IF(W9061="",0,IF(ISNA(MATCH(W9061,W$256:W9060,0)),1,0))</f>
        <v/>
      </c>
      <c r="AA9061">
        <f>IF(Z9061&gt;Z9060,Z9061,"")</f>
        <v/>
      </c>
      <c r="AB9061">
        <f>AB9060+IF(X9061="",0,IF(ISNA(MATCH(X9061,X$256:X9060,0)),1,0))</f>
        <v/>
      </c>
      <c r="AC9061">
        <f>IF(AB9061&gt;AB9060,AB9061,"")</f>
        <v/>
      </c>
    </row>
    <row r="9062">
      <c r="W9062" s="7" t="n"/>
      <c r="X9062" s="7" t="n"/>
      <c r="Z9062">
        <f>Z9061+IF(W9062="",0,IF(ISNA(MATCH(W9062,W$256:W9061,0)),1,0))</f>
        <v/>
      </c>
      <c r="AA9062">
        <f>IF(Z9062&gt;Z9061,Z9062,"")</f>
        <v/>
      </c>
      <c r="AB9062">
        <f>AB9061+IF(X9062="",0,IF(ISNA(MATCH(X9062,X$256:X9061,0)),1,0))</f>
        <v/>
      </c>
      <c r="AC9062">
        <f>IF(AB9062&gt;AB9061,AB9062,"")</f>
        <v/>
      </c>
    </row>
    <row r="9063">
      <c r="W9063" s="7" t="n"/>
      <c r="X9063" s="7" t="n"/>
      <c r="Z9063">
        <f>Z9062+IF(W9063="",0,IF(ISNA(MATCH(W9063,W$256:W9062,0)),1,0))</f>
        <v/>
      </c>
      <c r="AA9063">
        <f>IF(Z9063&gt;Z9062,Z9063,"")</f>
        <v/>
      </c>
      <c r="AB9063">
        <f>AB9062+IF(X9063="",0,IF(ISNA(MATCH(X9063,X$256:X9062,0)),1,0))</f>
        <v/>
      </c>
      <c r="AC9063">
        <f>IF(AB9063&gt;AB9062,AB9063,"")</f>
        <v/>
      </c>
    </row>
    <row r="9064">
      <c r="W9064" s="7" t="n"/>
      <c r="X9064" s="7" t="n"/>
      <c r="Z9064">
        <f>Z9063+IF(W9064="",0,IF(ISNA(MATCH(W9064,W$256:W9063,0)),1,0))</f>
        <v/>
      </c>
      <c r="AA9064">
        <f>IF(Z9064&gt;Z9063,Z9064,"")</f>
        <v/>
      </c>
      <c r="AB9064">
        <f>AB9063+IF(X9064="",0,IF(ISNA(MATCH(X9064,X$256:X9063,0)),1,0))</f>
        <v/>
      </c>
      <c r="AC9064">
        <f>IF(AB9064&gt;AB9063,AB9064,"")</f>
        <v/>
      </c>
    </row>
    <row r="9065">
      <c r="W9065" s="7" t="n"/>
      <c r="X9065" s="7" t="n"/>
      <c r="Z9065">
        <f>Z9064+IF(W9065="",0,IF(ISNA(MATCH(W9065,W$256:W9064,0)),1,0))</f>
        <v/>
      </c>
      <c r="AA9065">
        <f>IF(Z9065&gt;Z9064,Z9065,"")</f>
        <v/>
      </c>
      <c r="AB9065">
        <f>AB9064+IF(X9065="",0,IF(ISNA(MATCH(X9065,X$256:X9064,0)),1,0))</f>
        <v/>
      </c>
      <c r="AC9065">
        <f>IF(AB9065&gt;AB9064,AB9065,"")</f>
        <v/>
      </c>
    </row>
    <row r="9066">
      <c r="W9066" s="7" t="n"/>
      <c r="X9066" s="7" t="n"/>
      <c r="Z9066">
        <f>Z9065+IF(W9066="",0,IF(ISNA(MATCH(W9066,W$256:W9065,0)),1,0))</f>
        <v/>
      </c>
      <c r="AA9066">
        <f>IF(Z9066&gt;Z9065,Z9066,"")</f>
        <v/>
      </c>
      <c r="AB9066">
        <f>AB9065+IF(X9066="",0,IF(ISNA(MATCH(X9066,X$256:X9065,0)),1,0))</f>
        <v/>
      </c>
      <c r="AC9066">
        <f>IF(AB9066&gt;AB9065,AB9066,"")</f>
        <v/>
      </c>
    </row>
    <row r="9067">
      <c r="W9067" s="7" t="n"/>
      <c r="X9067" s="7" t="n"/>
      <c r="Z9067">
        <f>Z9066+IF(W9067="",0,IF(ISNA(MATCH(W9067,W$256:W9066,0)),1,0))</f>
        <v/>
      </c>
      <c r="AA9067">
        <f>IF(Z9067&gt;Z9066,Z9067,"")</f>
        <v/>
      </c>
      <c r="AB9067">
        <f>AB9066+IF(X9067="",0,IF(ISNA(MATCH(X9067,X$256:X9066,0)),1,0))</f>
        <v/>
      </c>
      <c r="AC9067">
        <f>IF(AB9067&gt;AB9066,AB9067,"")</f>
        <v/>
      </c>
    </row>
    <row r="9068">
      <c r="W9068" s="7" t="n"/>
      <c r="X9068" s="7" t="n"/>
      <c r="Z9068">
        <f>Z9067+IF(W9068="",0,IF(ISNA(MATCH(W9068,W$256:W9067,0)),1,0))</f>
        <v/>
      </c>
      <c r="AA9068">
        <f>IF(Z9068&gt;Z9067,Z9068,"")</f>
        <v/>
      </c>
      <c r="AB9068">
        <f>AB9067+IF(X9068="",0,IF(ISNA(MATCH(X9068,X$256:X9067,0)),1,0))</f>
        <v/>
      </c>
      <c r="AC9068">
        <f>IF(AB9068&gt;AB9067,AB9068,"")</f>
        <v/>
      </c>
    </row>
    <row r="9069">
      <c r="W9069" s="7" t="n"/>
      <c r="X9069" s="7" t="n"/>
      <c r="Z9069">
        <f>Z9068+IF(W9069="",0,IF(ISNA(MATCH(W9069,W$256:W9068,0)),1,0))</f>
        <v/>
      </c>
      <c r="AA9069">
        <f>IF(Z9069&gt;Z9068,Z9069,"")</f>
        <v/>
      </c>
      <c r="AB9069">
        <f>AB9068+IF(X9069="",0,IF(ISNA(MATCH(X9069,X$256:X9068,0)),1,0))</f>
        <v/>
      </c>
      <c r="AC9069">
        <f>IF(AB9069&gt;AB9068,AB9069,"")</f>
        <v/>
      </c>
    </row>
    <row r="9070">
      <c r="W9070" s="7" t="n"/>
      <c r="X9070" s="7" t="n"/>
      <c r="Z9070">
        <f>Z9069+IF(W9070="",0,IF(ISNA(MATCH(W9070,W$256:W9069,0)),1,0))</f>
        <v/>
      </c>
      <c r="AA9070">
        <f>IF(Z9070&gt;Z9069,Z9070,"")</f>
        <v/>
      </c>
      <c r="AB9070">
        <f>AB9069+IF(X9070="",0,IF(ISNA(MATCH(X9070,X$256:X9069,0)),1,0))</f>
        <v/>
      </c>
      <c r="AC9070">
        <f>IF(AB9070&gt;AB9069,AB9070,"")</f>
        <v/>
      </c>
    </row>
    <row r="9071">
      <c r="W9071" s="7" t="n"/>
      <c r="X9071" s="7" t="n"/>
      <c r="Z9071">
        <f>Z9070+IF(W9071="",0,IF(ISNA(MATCH(W9071,W$256:W9070,0)),1,0))</f>
        <v/>
      </c>
      <c r="AA9071">
        <f>IF(Z9071&gt;Z9070,Z9071,"")</f>
        <v/>
      </c>
      <c r="AB9071">
        <f>AB9070+IF(X9071="",0,IF(ISNA(MATCH(X9071,X$256:X9070,0)),1,0))</f>
        <v/>
      </c>
      <c r="AC9071">
        <f>IF(AB9071&gt;AB9070,AB9071,"")</f>
        <v/>
      </c>
    </row>
    <row r="9072">
      <c r="W9072" s="7" t="n"/>
      <c r="X9072" s="7" t="n"/>
      <c r="Z9072">
        <f>Z9071+IF(W9072="",0,IF(ISNA(MATCH(W9072,W$256:W9071,0)),1,0))</f>
        <v/>
      </c>
      <c r="AA9072">
        <f>IF(Z9072&gt;Z9071,Z9072,"")</f>
        <v/>
      </c>
      <c r="AB9072">
        <f>AB9071+IF(X9072="",0,IF(ISNA(MATCH(X9072,X$256:X9071,0)),1,0))</f>
        <v/>
      </c>
      <c r="AC9072">
        <f>IF(AB9072&gt;AB9071,AB9072,"")</f>
        <v/>
      </c>
    </row>
    <row r="9073">
      <c r="W9073" s="7" t="n"/>
      <c r="X9073" s="7" t="n"/>
      <c r="Z9073">
        <f>Z9072+IF(W9073="",0,IF(ISNA(MATCH(W9073,W$256:W9072,0)),1,0))</f>
        <v/>
      </c>
      <c r="AA9073">
        <f>IF(Z9073&gt;Z9072,Z9073,"")</f>
        <v/>
      </c>
      <c r="AB9073">
        <f>AB9072+IF(X9073="",0,IF(ISNA(MATCH(X9073,X$256:X9072,0)),1,0))</f>
        <v/>
      </c>
      <c r="AC9073">
        <f>IF(AB9073&gt;AB9072,AB9073,"")</f>
        <v/>
      </c>
    </row>
    <row r="9074">
      <c r="W9074" s="7" t="n"/>
      <c r="X9074" s="7" t="n"/>
      <c r="Z9074">
        <f>Z9073+IF(W9074="",0,IF(ISNA(MATCH(W9074,W$256:W9073,0)),1,0))</f>
        <v/>
      </c>
      <c r="AA9074">
        <f>IF(Z9074&gt;Z9073,Z9074,"")</f>
        <v/>
      </c>
      <c r="AB9074">
        <f>AB9073+IF(X9074="",0,IF(ISNA(MATCH(X9074,X$256:X9073,0)),1,0))</f>
        <v/>
      </c>
      <c r="AC9074">
        <f>IF(AB9074&gt;AB9073,AB9074,"")</f>
        <v/>
      </c>
    </row>
    <row r="9075">
      <c r="W9075" s="7" t="n"/>
      <c r="X9075" s="7" t="n"/>
      <c r="Z9075">
        <f>Z9074+IF(W9075="",0,IF(ISNA(MATCH(W9075,W$256:W9074,0)),1,0))</f>
        <v/>
      </c>
      <c r="AA9075">
        <f>IF(Z9075&gt;Z9074,Z9075,"")</f>
        <v/>
      </c>
      <c r="AB9075">
        <f>AB9074+IF(X9075="",0,IF(ISNA(MATCH(X9075,X$256:X9074,0)),1,0))</f>
        <v/>
      </c>
      <c r="AC9075">
        <f>IF(AB9075&gt;AB9074,AB9075,"")</f>
        <v/>
      </c>
    </row>
    <row r="9076">
      <c r="W9076" s="7" t="n"/>
      <c r="X9076" s="7" t="n"/>
      <c r="Z9076">
        <f>Z9075+IF(W9076="",0,IF(ISNA(MATCH(W9076,W$256:W9075,0)),1,0))</f>
        <v/>
      </c>
      <c r="AA9076">
        <f>IF(Z9076&gt;Z9075,Z9076,"")</f>
        <v/>
      </c>
      <c r="AB9076">
        <f>AB9075+IF(X9076="",0,IF(ISNA(MATCH(X9076,X$256:X9075,0)),1,0))</f>
        <v/>
      </c>
      <c r="AC9076">
        <f>IF(AB9076&gt;AB9075,AB9076,"")</f>
        <v/>
      </c>
    </row>
    <row r="9077">
      <c r="W9077" s="7" t="n"/>
      <c r="X9077" s="7" t="n"/>
      <c r="Z9077">
        <f>Z9076+IF(W9077="",0,IF(ISNA(MATCH(W9077,W$256:W9076,0)),1,0))</f>
        <v/>
      </c>
      <c r="AA9077">
        <f>IF(Z9077&gt;Z9076,Z9077,"")</f>
        <v/>
      </c>
      <c r="AB9077">
        <f>AB9076+IF(X9077="",0,IF(ISNA(MATCH(X9077,X$256:X9076,0)),1,0))</f>
        <v/>
      </c>
      <c r="AC9077">
        <f>IF(AB9077&gt;AB9076,AB9077,"")</f>
        <v/>
      </c>
    </row>
    <row r="9078">
      <c r="W9078" s="7" t="n"/>
      <c r="X9078" s="7" t="n"/>
      <c r="Z9078">
        <f>Z9077+IF(W9078="",0,IF(ISNA(MATCH(W9078,W$256:W9077,0)),1,0))</f>
        <v/>
      </c>
      <c r="AA9078">
        <f>IF(Z9078&gt;Z9077,Z9078,"")</f>
        <v/>
      </c>
      <c r="AB9078">
        <f>AB9077+IF(X9078="",0,IF(ISNA(MATCH(X9078,X$256:X9077,0)),1,0))</f>
        <v/>
      </c>
      <c r="AC9078">
        <f>IF(AB9078&gt;AB9077,AB9078,"")</f>
        <v/>
      </c>
    </row>
    <row r="9079">
      <c r="W9079" s="7" t="n"/>
      <c r="X9079" s="7" t="n"/>
      <c r="Z9079">
        <f>Z9078+IF(W9079="",0,IF(ISNA(MATCH(W9079,W$256:W9078,0)),1,0))</f>
        <v/>
      </c>
      <c r="AA9079">
        <f>IF(Z9079&gt;Z9078,Z9079,"")</f>
        <v/>
      </c>
      <c r="AB9079">
        <f>AB9078+IF(X9079="",0,IF(ISNA(MATCH(X9079,X$256:X9078,0)),1,0))</f>
        <v/>
      </c>
      <c r="AC9079">
        <f>IF(AB9079&gt;AB9078,AB9079,"")</f>
        <v/>
      </c>
    </row>
    <row r="9080">
      <c r="W9080" s="7" t="n"/>
      <c r="X9080" s="7" t="n"/>
      <c r="Z9080">
        <f>Z9079+IF(W9080="",0,IF(ISNA(MATCH(W9080,W$256:W9079,0)),1,0))</f>
        <v/>
      </c>
      <c r="AA9080">
        <f>IF(Z9080&gt;Z9079,Z9080,"")</f>
        <v/>
      </c>
      <c r="AB9080">
        <f>AB9079+IF(X9080="",0,IF(ISNA(MATCH(X9080,X$256:X9079,0)),1,0))</f>
        <v/>
      </c>
      <c r="AC9080">
        <f>IF(AB9080&gt;AB9079,AB9080,"")</f>
        <v/>
      </c>
    </row>
    <row r="9081">
      <c r="W9081" s="7" t="n"/>
      <c r="X9081" s="7" t="n"/>
      <c r="Z9081">
        <f>Z9080+IF(W9081="",0,IF(ISNA(MATCH(W9081,W$256:W9080,0)),1,0))</f>
        <v/>
      </c>
      <c r="AA9081">
        <f>IF(Z9081&gt;Z9080,Z9081,"")</f>
        <v/>
      </c>
      <c r="AB9081">
        <f>AB9080+IF(X9081="",0,IF(ISNA(MATCH(X9081,X$256:X9080,0)),1,0))</f>
        <v/>
      </c>
      <c r="AC9081">
        <f>IF(AB9081&gt;AB9080,AB9081,"")</f>
        <v/>
      </c>
    </row>
    <row r="9082">
      <c r="W9082" s="7" t="n"/>
      <c r="X9082" s="7" t="n"/>
      <c r="Z9082">
        <f>Z9081+IF(W9082="",0,IF(ISNA(MATCH(W9082,W$256:W9081,0)),1,0))</f>
        <v/>
      </c>
      <c r="AA9082">
        <f>IF(Z9082&gt;Z9081,Z9082,"")</f>
        <v/>
      </c>
      <c r="AB9082">
        <f>AB9081+IF(X9082="",0,IF(ISNA(MATCH(X9082,X$256:X9081,0)),1,0))</f>
        <v/>
      </c>
      <c r="AC9082">
        <f>IF(AB9082&gt;AB9081,AB9082,"")</f>
        <v/>
      </c>
    </row>
    <row r="9083">
      <c r="W9083" s="7" t="n"/>
      <c r="X9083" s="7" t="n"/>
      <c r="Z9083">
        <f>Z9082+IF(W9083="",0,IF(ISNA(MATCH(W9083,W$256:W9082,0)),1,0))</f>
        <v/>
      </c>
      <c r="AA9083">
        <f>IF(Z9083&gt;Z9082,Z9083,"")</f>
        <v/>
      </c>
      <c r="AB9083">
        <f>AB9082+IF(X9083="",0,IF(ISNA(MATCH(X9083,X$256:X9082,0)),1,0))</f>
        <v/>
      </c>
      <c r="AC9083">
        <f>IF(AB9083&gt;AB9082,AB9083,"")</f>
        <v/>
      </c>
    </row>
    <row r="9084">
      <c r="W9084" s="7" t="n"/>
      <c r="X9084" s="7" t="n"/>
      <c r="Z9084">
        <f>Z9083+IF(W9084="",0,IF(ISNA(MATCH(W9084,W$256:W9083,0)),1,0))</f>
        <v/>
      </c>
      <c r="AA9084">
        <f>IF(Z9084&gt;Z9083,Z9084,"")</f>
        <v/>
      </c>
      <c r="AB9084">
        <f>AB9083+IF(X9084="",0,IF(ISNA(MATCH(X9084,X$256:X9083,0)),1,0))</f>
        <v/>
      </c>
      <c r="AC9084">
        <f>IF(AB9084&gt;AB9083,AB9084,"")</f>
        <v/>
      </c>
    </row>
    <row r="9085">
      <c r="W9085" s="7" t="n"/>
      <c r="X9085" s="7" t="n"/>
      <c r="Z9085">
        <f>Z9084+IF(W9085="",0,IF(ISNA(MATCH(W9085,W$256:W9084,0)),1,0))</f>
        <v/>
      </c>
      <c r="AA9085">
        <f>IF(Z9085&gt;Z9084,Z9085,"")</f>
        <v/>
      </c>
      <c r="AB9085">
        <f>AB9084+IF(X9085="",0,IF(ISNA(MATCH(X9085,X$256:X9084,0)),1,0))</f>
        <v/>
      </c>
      <c r="AC9085">
        <f>IF(AB9085&gt;AB9084,AB9085,"")</f>
        <v/>
      </c>
    </row>
    <row r="9086">
      <c r="W9086" s="7" t="n"/>
      <c r="X9086" s="7" t="n"/>
      <c r="Z9086">
        <f>Z9085+IF(W9086="",0,IF(ISNA(MATCH(W9086,W$256:W9085,0)),1,0))</f>
        <v/>
      </c>
      <c r="AA9086">
        <f>IF(Z9086&gt;Z9085,Z9086,"")</f>
        <v/>
      </c>
      <c r="AB9086">
        <f>AB9085+IF(X9086="",0,IF(ISNA(MATCH(X9086,X$256:X9085,0)),1,0))</f>
        <v/>
      </c>
      <c r="AC9086">
        <f>IF(AB9086&gt;AB9085,AB9086,"")</f>
        <v/>
      </c>
    </row>
    <row r="9087">
      <c r="W9087" s="7" t="n"/>
      <c r="X9087" s="7" t="n"/>
      <c r="Z9087">
        <f>Z9086+IF(W9087="",0,IF(ISNA(MATCH(W9087,W$256:W9086,0)),1,0))</f>
        <v/>
      </c>
      <c r="AA9087">
        <f>IF(Z9087&gt;Z9086,Z9087,"")</f>
        <v/>
      </c>
      <c r="AB9087">
        <f>AB9086+IF(X9087="",0,IF(ISNA(MATCH(X9087,X$256:X9086,0)),1,0))</f>
        <v/>
      </c>
      <c r="AC9087">
        <f>IF(AB9087&gt;AB9086,AB9087,"")</f>
        <v/>
      </c>
    </row>
    <row r="9088">
      <c r="W9088" s="7" t="n"/>
      <c r="X9088" s="7" t="n"/>
      <c r="Z9088">
        <f>Z9087+IF(W9088="",0,IF(ISNA(MATCH(W9088,W$256:W9087,0)),1,0))</f>
        <v/>
      </c>
      <c r="AA9088">
        <f>IF(Z9088&gt;Z9087,Z9088,"")</f>
        <v/>
      </c>
      <c r="AB9088">
        <f>AB9087+IF(X9088="",0,IF(ISNA(MATCH(X9088,X$256:X9087,0)),1,0))</f>
        <v/>
      </c>
      <c r="AC9088">
        <f>IF(AB9088&gt;AB9087,AB9088,"")</f>
        <v/>
      </c>
    </row>
    <row r="9089">
      <c r="W9089" s="7" t="n"/>
      <c r="X9089" s="7" t="n"/>
      <c r="Z9089">
        <f>Z9088+IF(W9089="",0,IF(ISNA(MATCH(W9089,W$256:W9088,0)),1,0))</f>
        <v/>
      </c>
      <c r="AA9089">
        <f>IF(Z9089&gt;Z9088,Z9089,"")</f>
        <v/>
      </c>
      <c r="AB9089">
        <f>AB9088+IF(X9089="",0,IF(ISNA(MATCH(X9089,X$256:X9088,0)),1,0))</f>
        <v/>
      </c>
      <c r="AC9089">
        <f>IF(AB9089&gt;AB9088,AB9089,"")</f>
        <v/>
      </c>
    </row>
    <row r="9090">
      <c r="W9090" s="7" t="n"/>
      <c r="X9090" s="7" t="n"/>
      <c r="Z9090">
        <f>Z9089+IF(W9090="",0,IF(ISNA(MATCH(W9090,W$256:W9089,0)),1,0))</f>
        <v/>
      </c>
      <c r="AA9090">
        <f>IF(Z9090&gt;Z9089,Z9090,"")</f>
        <v/>
      </c>
      <c r="AB9090">
        <f>AB9089+IF(X9090="",0,IF(ISNA(MATCH(X9090,X$256:X9089,0)),1,0))</f>
        <v/>
      </c>
      <c r="AC9090">
        <f>IF(AB9090&gt;AB9089,AB9090,"")</f>
        <v/>
      </c>
    </row>
    <row r="9091">
      <c r="W9091" s="7" t="n"/>
      <c r="X9091" s="7" t="n"/>
      <c r="Z9091">
        <f>Z9090+IF(W9091="",0,IF(ISNA(MATCH(W9091,W$256:W9090,0)),1,0))</f>
        <v/>
      </c>
      <c r="AA9091">
        <f>IF(Z9091&gt;Z9090,Z9091,"")</f>
        <v/>
      </c>
      <c r="AB9091">
        <f>AB9090+IF(X9091="",0,IF(ISNA(MATCH(X9091,X$256:X9090,0)),1,0))</f>
        <v/>
      </c>
      <c r="AC9091">
        <f>IF(AB9091&gt;AB9090,AB9091,"")</f>
        <v/>
      </c>
    </row>
    <row r="9092">
      <c r="W9092" s="7" t="n"/>
      <c r="X9092" s="7" t="n"/>
      <c r="Z9092">
        <f>Z9091+IF(W9092="",0,IF(ISNA(MATCH(W9092,W$256:W9091,0)),1,0))</f>
        <v/>
      </c>
      <c r="AA9092">
        <f>IF(Z9092&gt;Z9091,Z9092,"")</f>
        <v/>
      </c>
      <c r="AB9092">
        <f>AB9091+IF(X9092="",0,IF(ISNA(MATCH(X9092,X$256:X9091,0)),1,0))</f>
        <v/>
      </c>
      <c r="AC9092">
        <f>IF(AB9092&gt;AB9091,AB9092,"")</f>
        <v/>
      </c>
    </row>
    <row r="9093">
      <c r="W9093" s="7" t="n"/>
      <c r="X9093" s="7" t="n"/>
      <c r="Z9093">
        <f>Z9092+IF(W9093="",0,IF(ISNA(MATCH(W9093,W$256:W9092,0)),1,0))</f>
        <v/>
      </c>
      <c r="AA9093">
        <f>IF(Z9093&gt;Z9092,Z9093,"")</f>
        <v/>
      </c>
      <c r="AB9093">
        <f>AB9092+IF(X9093="",0,IF(ISNA(MATCH(X9093,X$256:X9092,0)),1,0))</f>
        <v/>
      </c>
      <c r="AC9093">
        <f>IF(AB9093&gt;AB9092,AB9093,"")</f>
        <v/>
      </c>
    </row>
    <row r="9094">
      <c r="W9094" s="7" t="n"/>
      <c r="X9094" s="7" t="n"/>
      <c r="Z9094">
        <f>Z9093+IF(W9094="",0,IF(ISNA(MATCH(W9094,W$256:W9093,0)),1,0))</f>
        <v/>
      </c>
      <c r="AA9094">
        <f>IF(Z9094&gt;Z9093,Z9094,"")</f>
        <v/>
      </c>
      <c r="AB9094">
        <f>AB9093+IF(X9094="",0,IF(ISNA(MATCH(X9094,X$256:X9093,0)),1,0))</f>
        <v/>
      </c>
      <c r="AC9094">
        <f>IF(AB9094&gt;AB9093,AB9094,"")</f>
        <v/>
      </c>
    </row>
    <row r="9095">
      <c r="W9095" s="7" t="n"/>
      <c r="X9095" s="7" t="n"/>
      <c r="Z9095">
        <f>Z9094+IF(W9095="",0,IF(ISNA(MATCH(W9095,W$256:W9094,0)),1,0))</f>
        <v/>
      </c>
      <c r="AA9095">
        <f>IF(Z9095&gt;Z9094,Z9095,"")</f>
        <v/>
      </c>
      <c r="AB9095">
        <f>AB9094+IF(X9095="",0,IF(ISNA(MATCH(X9095,X$256:X9094,0)),1,0))</f>
        <v/>
      </c>
      <c r="AC9095">
        <f>IF(AB9095&gt;AB9094,AB9095,"")</f>
        <v/>
      </c>
    </row>
    <row r="9096">
      <c r="W9096" s="7" t="n"/>
      <c r="X9096" s="7" t="n"/>
      <c r="Z9096">
        <f>Z9095+IF(W9096="",0,IF(ISNA(MATCH(W9096,W$256:W9095,0)),1,0))</f>
        <v/>
      </c>
      <c r="AA9096">
        <f>IF(Z9096&gt;Z9095,Z9096,"")</f>
        <v/>
      </c>
      <c r="AB9096">
        <f>AB9095+IF(X9096="",0,IF(ISNA(MATCH(X9096,X$256:X9095,0)),1,0))</f>
        <v/>
      </c>
      <c r="AC9096">
        <f>IF(AB9096&gt;AB9095,AB9096,"")</f>
        <v/>
      </c>
    </row>
    <row r="9097">
      <c r="W9097" s="7" t="n"/>
      <c r="X9097" s="7" t="n"/>
      <c r="Z9097">
        <f>Z9096+IF(W9097="",0,IF(ISNA(MATCH(W9097,W$256:W9096,0)),1,0))</f>
        <v/>
      </c>
      <c r="AA9097">
        <f>IF(Z9097&gt;Z9096,Z9097,"")</f>
        <v/>
      </c>
      <c r="AB9097">
        <f>AB9096+IF(X9097="",0,IF(ISNA(MATCH(X9097,X$256:X9096,0)),1,0))</f>
        <v/>
      </c>
      <c r="AC9097">
        <f>IF(AB9097&gt;AB9096,AB9097,"")</f>
        <v/>
      </c>
    </row>
    <row r="9098">
      <c r="W9098" s="7" t="n"/>
      <c r="X9098" s="7" t="n"/>
      <c r="Z9098">
        <f>Z9097+IF(W9098="",0,IF(ISNA(MATCH(W9098,W$256:W9097,0)),1,0))</f>
        <v/>
      </c>
      <c r="AA9098">
        <f>IF(Z9098&gt;Z9097,Z9098,"")</f>
        <v/>
      </c>
      <c r="AB9098">
        <f>AB9097+IF(X9098="",0,IF(ISNA(MATCH(X9098,X$256:X9097,0)),1,0))</f>
        <v/>
      </c>
      <c r="AC9098">
        <f>IF(AB9098&gt;AB9097,AB9098,"")</f>
        <v/>
      </c>
    </row>
    <row r="9099">
      <c r="W9099" s="7" t="n"/>
      <c r="X9099" s="7" t="n"/>
      <c r="Z9099">
        <f>Z9098+IF(W9099="",0,IF(ISNA(MATCH(W9099,W$256:W9098,0)),1,0))</f>
        <v/>
      </c>
      <c r="AA9099">
        <f>IF(Z9099&gt;Z9098,Z9099,"")</f>
        <v/>
      </c>
      <c r="AB9099">
        <f>AB9098+IF(X9099="",0,IF(ISNA(MATCH(X9099,X$256:X9098,0)),1,0))</f>
        <v/>
      </c>
      <c r="AC9099">
        <f>IF(AB9099&gt;AB9098,AB9099,"")</f>
        <v/>
      </c>
    </row>
    <row r="9100">
      <c r="W9100" s="7" t="n"/>
      <c r="X9100" s="7" t="n"/>
      <c r="Z9100">
        <f>Z9099+IF(W9100="",0,IF(ISNA(MATCH(W9100,W$256:W9099,0)),1,0))</f>
        <v/>
      </c>
      <c r="AA9100">
        <f>IF(Z9100&gt;Z9099,Z9100,"")</f>
        <v/>
      </c>
      <c r="AB9100">
        <f>AB9099+IF(X9100="",0,IF(ISNA(MATCH(X9100,X$256:X9099,0)),1,0))</f>
        <v/>
      </c>
      <c r="AC9100">
        <f>IF(AB9100&gt;AB9099,AB9100,"")</f>
        <v/>
      </c>
    </row>
    <row r="9101">
      <c r="W9101" s="7" t="n"/>
      <c r="X9101" s="7" t="n"/>
      <c r="Z9101">
        <f>Z9100+IF(W9101="",0,IF(ISNA(MATCH(W9101,W$256:W9100,0)),1,0))</f>
        <v/>
      </c>
      <c r="AA9101">
        <f>IF(Z9101&gt;Z9100,Z9101,"")</f>
        <v/>
      </c>
      <c r="AB9101">
        <f>AB9100+IF(X9101="",0,IF(ISNA(MATCH(X9101,X$256:X9100,0)),1,0))</f>
        <v/>
      </c>
      <c r="AC9101">
        <f>IF(AB9101&gt;AB9100,AB9101,"")</f>
        <v/>
      </c>
    </row>
    <row r="9102">
      <c r="W9102" s="7" t="n"/>
      <c r="X9102" s="7" t="n"/>
      <c r="Z9102">
        <f>Z9101+IF(W9102="",0,IF(ISNA(MATCH(W9102,W$256:W9101,0)),1,0))</f>
        <v/>
      </c>
      <c r="AA9102">
        <f>IF(Z9102&gt;Z9101,Z9102,"")</f>
        <v/>
      </c>
      <c r="AB9102">
        <f>AB9101+IF(X9102="",0,IF(ISNA(MATCH(X9102,X$256:X9101,0)),1,0))</f>
        <v/>
      </c>
      <c r="AC9102">
        <f>IF(AB9102&gt;AB9101,AB9102,"")</f>
        <v/>
      </c>
    </row>
    <row r="9103">
      <c r="W9103" s="7" t="n"/>
      <c r="X9103" s="7" t="n"/>
      <c r="Z9103">
        <f>Z9102+IF(W9103="",0,IF(ISNA(MATCH(W9103,W$256:W9102,0)),1,0))</f>
        <v/>
      </c>
      <c r="AA9103">
        <f>IF(Z9103&gt;Z9102,Z9103,"")</f>
        <v/>
      </c>
      <c r="AB9103">
        <f>AB9102+IF(X9103="",0,IF(ISNA(MATCH(X9103,X$256:X9102,0)),1,0))</f>
        <v/>
      </c>
      <c r="AC9103">
        <f>IF(AB9103&gt;AB9102,AB9103,"")</f>
        <v/>
      </c>
    </row>
    <row r="9104">
      <c r="W9104" s="7" t="n"/>
      <c r="X9104" s="7" t="n"/>
      <c r="Z9104">
        <f>Z9103+IF(W9104="",0,IF(ISNA(MATCH(W9104,W$256:W9103,0)),1,0))</f>
        <v/>
      </c>
      <c r="AA9104">
        <f>IF(Z9104&gt;Z9103,Z9104,"")</f>
        <v/>
      </c>
      <c r="AB9104">
        <f>AB9103+IF(X9104="",0,IF(ISNA(MATCH(X9104,X$256:X9103,0)),1,0))</f>
        <v/>
      </c>
      <c r="AC9104">
        <f>IF(AB9104&gt;AB9103,AB9104,"")</f>
        <v/>
      </c>
    </row>
    <row r="9105">
      <c r="W9105" s="7" t="n"/>
      <c r="X9105" s="7" t="n"/>
      <c r="Z9105">
        <f>Z9104+IF(W9105="",0,IF(ISNA(MATCH(W9105,W$256:W9104,0)),1,0))</f>
        <v/>
      </c>
      <c r="AA9105">
        <f>IF(Z9105&gt;Z9104,Z9105,"")</f>
        <v/>
      </c>
      <c r="AB9105">
        <f>AB9104+IF(X9105="",0,IF(ISNA(MATCH(X9105,X$256:X9104,0)),1,0))</f>
        <v/>
      </c>
      <c r="AC9105">
        <f>IF(AB9105&gt;AB9104,AB9105,"")</f>
        <v/>
      </c>
    </row>
    <row r="9106">
      <c r="W9106" s="7" t="n"/>
      <c r="X9106" s="7" t="n"/>
      <c r="Z9106">
        <f>Z9105+IF(W9106="",0,IF(ISNA(MATCH(W9106,W$256:W9105,0)),1,0))</f>
        <v/>
      </c>
      <c r="AA9106">
        <f>IF(Z9106&gt;Z9105,Z9106,"")</f>
        <v/>
      </c>
      <c r="AB9106">
        <f>AB9105+IF(X9106="",0,IF(ISNA(MATCH(X9106,X$256:X9105,0)),1,0))</f>
        <v/>
      </c>
      <c r="AC9106">
        <f>IF(AB9106&gt;AB9105,AB9106,"")</f>
        <v/>
      </c>
    </row>
    <row r="9107">
      <c r="W9107" s="7" t="n"/>
      <c r="X9107" s="7" t="n"/>
      <c r="Z9107">
        <f>Z9106+IF(W9107="",0,IF(ISNA(MATCH(W9107,W$256:W9106,0)),1,0))</f>
        <v/>
      </c>
      <c r="AA9107">
        <f>IF(Z9107&gt;Z9106,Z9107,"")</f>
        <v/>
      </c>
      <c r="AB9107">
        <f>AB9106+IF(X9107="",0,IF(ISNA(MATCH(X9107,X$256:X9106,0)),1,0))</f>
        <v/>
      </c>
      <c r="AC9107">
        <f>IF(AB9107&gt;AB9106,AB9107,"")</f>
        <v/>
      </c>
    </row>
    <row r="9108">
      <c r="W9108" s="7" t="n"/>
      <c r="X9108" s="7" t="n"/>
      <c r="Z9108">
        <f>Z9107+IF(W9108="",0,IF(ISNA(MATCH(W9108,W$256:W9107,0)),1,0))</f>
        <v/>
      </c>
      <c r="AA9108">
        <f>IF(Z9108&gt;Z9107,Z9108,"")</f>
        <v/>
      </c>
      <c r="AB9108">
        <f>AB9107+IF(X9108="",0,IF(ISNA(MATCH(X9108,X$256:X9107,0)),1,0))</f>
        <v/>
      </c>
      <c r="AC9108">
        <f>IF(AB9108&gt;AB9107,AB9108,"")</f>
        <v/>
      </c>
    </row>
    <row r="9109">
      <c r="W9109" s="7" t="n"/>
      <c r="X9109" s="7" t="n"/>
      <c r="Z9109">
        <f>Z9108+IF(W9109="",0,IF(ISNA(MATCH(W9109,W$256:W9108,0)),1,0))</f>
        <v/>
      </c>
      <c r="AA9109">
        <f>IF(Z9109&gt;Z9108,Z9109,"")</f>
        <v/>
      </c>
      <c r="AB9109">
        <f>AB9108+IF(X9109="",0,IF(ISNA(MATCH(X9109,X$256:X9108,0)),1,0))</f>
        <v/>
      </c>
      <c r="AC9109">
        <f>IF(AB9109&gt;AB9108,AB9109,"")</f>
        <v/>
      </c>
    </row>
    <row r="9110">
      <c r="W9110" s="7" t="n"/>
      <c r="X9110" s="7" t="n"/>
      <c r="Z9110">
        <f>Z9109+IF(W9110="",0,IF(ISNA(MATCH(W9110,W$256:W9109,0)),1,0))</f>
        <v/>
      </c>
      <c r="AA9110">
        <f>IF(Z9110&gt;Z9109,Z9110,"")</f>
        <v/>
      </c>
      <c r="AB9110">
        <f>AB9109+IF(X9110="",0,IF(ISNA(MATCH(X9110,X$256:X9109,0)),1,0))</f>
        <v/>
      </c>
      <c r="AC9110">
        <f>IF(AB9110&gt;AB9109,AB9110,"")</f>
        <v/>
      </c>
    </row>
    <row r="9111">
      <c r="W9111" s="7" t="n"/>
      <c r="X9111" s="7" t="n"/>
      <c r="Z9111">
        <f>Z9110+IF(W9111="",0,IF(ISNA(MATCH(W9111,W$256:W9110,0)),1,0))</f>
        <v/>
      </c>
      <c r="AA9111">
        <f>IF(Z9111&gt;Z9110,Z9111,"")</f>
        <v/>
      </c>
      <c r="AB9111">
        <f>AB9110+IF(X9111="",0,IF(ISNA(MATCH(X9111,X$256:X9110,0)),1,0))</f>
        <v/>
      </c>
      <c r="AC9111">
        <f>IF(AB9111&gt;AB9110,AB9111,"")</f>
        <v/>
      </c>
    </row>
    <row r="9112">
      <c r="W9112" s="7" t="n"/>
      <c r="X9112" s="7" t="n"/>
      <c r="Z9112">
        <f>Z9111+IF(W9112="",0,IF(ISNA(MATCH(W9112,W$256:W9111,0)),1,0))</f>
        <v/>
      </c>
      <c r="AA9112">
        <f>IF(Z9112&gt;Z9111,Z9112,"")</f>
        <v/>
      </c>
      <c r="AB9112">
        <f>AB9111+IF(X9112="",0,IF(ISNA(MATCH(X9112,X$256:X9111,0)),1,0))</f>
        <v/>
      </c>
      <c r="AC9112">
        <f>IF(AB9112&gt;AB9111,AB9112,"")</f>
        <v/>
      </c>
    </row>
    <row r="9113">
      <c r="W9113" s="7" t="n"/>
      <c r="X9113" s="7" t="n"/>
      <c r="Z9113">
        <f>Z9112+IF(W9113="",0,IF(ISNA(MATCH(W9113,W$256:W9112,0)),1,0))</f>
        <v/>
      </c>
      <c r="AA9113">
        <f>IF(Z9113&gt;Z9112,Z9113,"")</f>
        <v/>
      </c>
      <c r="AB9113">
        <f>AB9112+IF(X9113="",0,IF(ISNA(MATCH(X9113,X$256:X9112,0)),1,0))</f>
        <v/>
      </c>
      <c r="AC9113">
        <f>IF(AB9113&gt;AB9112,AB9113,"")</f>
        <v/>
      </c>
    </row>
    <row r="9114">
      <c r="W9114" s="7" t="n"/>
      <c r="X9114" s="7" t="n"/>
      <c r="Z9114">
        <f>Z9113+IF(W9114="",0,IF(ISNA(MATCH(W9114,W$256:W9113,0)),1,0))</f>
        <v/>
      </c>
      <c r="AA9114">
        <f>IF(Z9114&gt;Z9113,Z9114,"")</f>
        <v/>
      </c>
      <c r="AB9114">
        <f>AB9113+IF(X9114="",0,IF(ISNA(MATCH(X9114,X$256:X9113,0)),1,0))</f>
        <v/>
      </c>
      <c r="AC9114">
        <f>IF(AB9114&gt;AB9113,AB9114,"")</f>
        <v/>
      </c>
    </row>
    <row r="9115">
      <c r="W9115" s="7" t="n"/>
      <c r="X9115" s="7" t="n"/>
      <c r="Z9115">
        <f>Z9114+IF(W9115="",0,IF(ISNA(MATCH(W9115,W$256:W9114,0)),1,0))</f>
        <v/>
      </c>
      <c r="AA9115">
        <f>IF(Z9115&gt;Z9114,Z9115,"")</f>
        <v/>
      </c>
      <c r="AB9115">
        <f>AB9114+IF(X9115="",0,IF(ISNA(MATCH(X9115,X$256:X9114,0)),1,0))</f>
        <v/>
      </c>
      <c r="AC9115">
        <f>IF(AB9115&gt;AB9114,AB9115,"")</f>
        <v/>
      </c>
    </row>
    <row r="9116">
      <c r="W9116" s="7" t="n"/>
      <c r="X9116" s="7" t="n"/>
      <c r="Z9116">
        <f>Z9115+IF(W9116="",0,IF(ISNA(MATCH(W9116,W$256:W9115,0)),1,0))</f>
        <v/>
      </c>
      <c r="AA9116">
        <f>IF(Z9116&gt;Z9115,Z9116,"")</f>
        <v/>
      </c>
      <c r="AB9116">
        <f>AB9115+IF(X9116="",0,IF(ISNA(MATCH(X9116,X$256:X9115,0)),1,0))</f>
        <v/>
      </c>
      <c r="AC9116">
        <f>IF(AB9116&gt;AB9115,AB9116,"")</f>
        <v/>
      </c>
    </row>
    <row r="9117">
      <c r="W9117" s="7" t="n"/>
      <c r="X9117" s="7" t="n"/>
      <c r="Z9117">
        <f>Z9116+IF(W9117="",0,IF(ISNA(MATCH(W9117,W$256:W9116,0)),1,0))</f>
        <v/>
      </c>
      <c r="AA9117">
        <f>IF(Z9117&gt;Z9116,Z9117,"")</f>
        <v/>
      </c>
      <c r="AB9117">
        <f>AB9116+IF(X9117="",0,IF(ISNA(MATCH(X9117,X$256:X9116,0)),1,0))</f>
        <v/>
      </c>
      <c r="AC9117">
        <f>IF(AB9117&gt;AB9116,AB9117,"")</f>
        <v/>
      </c>
    </row>
    <row r="9118">
      <c r="W9118" s="7" t="n"/>
      <c r="X9118" s="7" t="n"/>
      <c r="Z9118">
        <f>Z9117+IF(W9118="",0,IF(ISNA(MATCH(W9118,W$256:W9117,0)),1,0))</f>
        <v/>
      </c>
      <c r="AA9118">
        <f>IF(Z9118&gt;Z9117,Z9118,"")</f>
        <v/>
      </c>
      <c r="AB9118">
        <f>AB9117+IF(X9118="",0,IF(ISNA(MATCH(X9118,X$256:X9117,0)),1,0))</f>
        <v/>
      </c>
      <c r="AC9118">
        <f>IF(AB9118&gt;AB9117,AB9118,"")</f>
        <v/>
      </c>
    </row>
    <row r="9119">
      <c r="W9119" s="7" t="n"/>
      <c r="X9119" s="7" t="n"/>
      <c r="Z9119">
        <f>Z9118+IF(W9119="",0,IF(ISNA(MATCH(W9119,W$256:W9118,0)),1,0))</f>
        <v/>
      </c>
      <c r="AA9119">
        <f>IF(Z9119&gt;Z9118,Z9119,"")</f>
        <v/>
      </c>
      <c r="AB9119">
        <f>AB9118+IF(X9119="",0,IF(ISNA(MATCH(X9119,X$256:X9118,0)),1,0))</f>
        <v/>
      </c>
      <c r="AC9119">
        <f>IF(AB9119&gt;AB9118,AB9119,"")</f>
        <v/>
      </c>
    </row>
    <row r="9120">
      <c r="W9120" s="7" t="n"/>
      <c r="X9120" s="7" t="n"/>
      <c r="Z9120">
        <f>Z9119+IF(W9120="",0,IF(ISNA(MATCH(W9120,W$256:W9119,0)),1,0))</f>
        <v/>
      </c>
      <c r="AA9120">
        <f>IF(Z9120&gt;Z9119,Z9120,"")</f>
        <v/>
      </c>
      <c r="AB9120">
        <f>AB9119+IF(X9120="",0,IF(ISNA(MATCH(X9120,X$256:X9119,0)),1,0))</f>
        <v/>
      </c>
      <c r="AC9120">
        <f>IF(AB9120&gt;AB9119,AB9120,"")</f>
        <v/>
      </c>
    </row>
    <row r="9121">
      <c r="W9121" s="7" t="n"/>
      <c r="X9121" s="7" t="n"/>
      <c r="Z9121">
        <f>Z9120+IF(W9121="",0,IF(ISNA(MATCH(W9121,W$256:W9120,0)),1,0))</f>
        <v/>
      </c>
      <c r="AA9121">
        <f>IF(Z9121&gt;Z9120,Z9121,"")</f>
        <v/>
      </c>
      <c r="AB9121">
        <f>AB9120+IF(X9121="",0,IF(ISNA(MATCH(X9121,X$256:X9120,0)),1,0))</f>
        <v/>
      </c>
      <c r="AC9121">
        <f>IF(AB9121&gt;AB9120,AB9121,"")</f>
        <v/>
      </c>
    </row>
    <row r="9122">
      <c r="W9122" s="7" t="n"/>
      <c r="X9122" s="7" t="n"/>
      <c r="Z9122">
        <f>Z9121+IF(W9122="",0,IF(ISNA(MATCH(W9122,W$256:W9121,0)),1,0))</f>
        <v/>
      </c>
      <c r="AA9122">
        <f>IF(Z9122&gt;Z9121,Z9122,"")</f>
        <v/>
      </c>
      <c r="AB9122">
        <f>AB9121+IF(X9122="",0,IF(ISNA(MATCH(X9122,X$256:X9121,0)),1,0))</f>
        <v/>
      </c>
      <c r="AC9122">
        <f>IF(AB9122&gt;AB9121,AB9122,"")</f>
        <v/>
      </c>
    </row>
    <row r="9123">
      <c r="W9123" s="7" t="n"/>
      <c r="X9123" s="7" t="n"/>
      <c r="Z9123">
        <f>Z9122+IF(W9123="",0,IF(ISNA(MATCH(W9123,W$256:W9122,0)),1,0))</f>
        <v/>
      </c>
      <c r="AA9123">
        <f>IF(Z9123&gt;Z9122,Z9123,"")</f>
        <v/>
      </c>
      <c r="AB9123">
        <f>AB9122+IF(X9123="",0,IF(ISNA(MATCH(X9123,X$256:X9122,0)),1,0))</f>
        <v/>
      </c>
      <c r="AC9123">
        <f>IF(AB9123&gt;AB9122,AB9123,"")</f>
        <v/>
      </c>
    </row>
    <row r="9124">
      <c r="W9124" s="7" t="n"/>
      <c r="X9124" s="7" t="n"/>
      <c r="Z9124">
        <f>Z9123+IF(W9124="",0,IF(ISNA(MATCH(W9124,W$256:W9123,0)),1,0))</f>
        <v/>
      </c>
      <c r="AA9124">
        <f>IF(Z9124&gt;Z9123,Z9124,"")</f>
        <v/>
      </c>
      <c r="AB9124">
        <f>AB9123+IF(X9124="",0,IF(ISNA(MATCH(X9124,X$256:X9123,0)),1,0))</f>
        <v/>
      </c>
      <c r="AC9124">
        <f>IF(AB9124&gt;AB9123,AB9124,"")</f>
        <v/>
      </c>
    </row>
    <row r="9125">
      <c r="W9125" s="7" t="n"/>
      <c r="X9125" s="7" t="n"/>
      <c r="Z9125">
        <f>Z9124+IF(W9125="",0,IF(ISNA(MATCH(W9125,W$256:W9124,0)),1,0))</f>
        <v/>
      </c>
      <c r="AA9125">
        <f>IF(Z9125&gt;Z9124,Z9125,"")</f>
        <v/>
      </c>
      <c r="AB9125">
        <f>AB9124+IF(X9125="",0,IF(ISNA(MATCH(X9125,X$256:X9124,0)),1,0))</f>
        <v/>
      </c>
      <c r="AC9125">
        <f>IF(AB9125&gt;AB9124,AB9125,"")</f>
        <v/>
      </c>
    </row>
    <row r="9126">
      <c r="W9126" s="7" t="n"/>
      <c r="X9126" s="7" t="n"/>
      <c r="Z9126">
        <f>Z9125+IF(W9126="",0,IF(ISNA(MATCH(W9126,W$256:W9125,0)),1,0))</f>
        <v/>
      </c>
      <c r="AA9126">
        <f>IF(Z9126&gt;Z9125,Z9126,"")</f>
        <v/>
      </c>
      <c r="AB9126">
        <f>AB9125+IF(X9126="",0,IF(ISNA(MATCH(X9126,X$256:X9125,0)),1,0))</f>
        <v/>
      </c>
      <c r="AC9126">
        <f>IF(AB9126&gt;AB9125,AB9126,"")</f>
        <v/>
      </c>
    </row>
    <row r="9127">
      <c r="W9127" s="7" t="n"/>
      <c r="X9127" s="7" t="n"/>
      <c r="Z9127">
        <f>Z9126+IF(W9127="",0,IF(ISNA(MATCH(W9127,W$256:W9126,0)),1,0))</f>
        <v/>
      </c>
      <c r="AA9127">
        <f>IF(Z9127&gt;Z9126,Z9127,"")</f>
        <v/>
      </c>
      <c r="AB9127">
        <f>AB9126+IF(X9127="",0,IF(ISNA(MATCH(X9127,X$256:X9126,0)),1,0))</f>
        <v/>
      </c>
      <c r="AC9127">
        <f>IF(AB9127&gt;AB9126,AB9127,"")</f>
        <v/>
      </c>
    </row>
    <row r="9128">
      <c r="W9128" s="7" t="n"/>
      <c r="X9128" s="7" t="n"/>
      <c r="Z9128">
        <f>Z9127+IF(W9128="",0,IF(ISNA(MATCH(W9128,W$256:W9127,0)),1,0))</f>
        <v/>
      </c>
      <c r="AA9128">
        <f>IF(Z9128&gt;Z9127,Z9128,"")</f>
        <v/>
      </c>
      <c r="AB9128">
        <f>AB9127+IF(X9128="",0,IF(ISNA(MATCH(X9128,X$256:X9127,0)),1,0))</f>
        <v/>
      </c>
      <c r="AC9128">
        <f>IF(AB9128&gt;AB9127,AB9128,"")</f>
        <v/>
      </c>
    </row>
    <row r="9129">
      <c r="W9129" s="7" t="n"/>
      <c r="X9129" s="7" t="n"/>
      <c r="Z9129">
        <f>Z9128+IF(W9129="",0,IF(ISNA(MATCH(W9129,W$256:W9128,0)),1,0))</f>
        <v/>
      </c>
      <c r="AA9129">
        <f>IF(Z9129&gt;Z9128,Z9129,"")</f>
        <v/>
      </c>
      <c r="AB9129">
        <f>AB9128+IF(X9129="",0,IF(ISNA(MATCH(X9129,X$256:X9128,0)),1,0))</f>
        <v/>
      </c>
      <c r="AC9129">
        <f>IF(AB9129&gt;AB9128,AB9129,"")</f>
        <v/>
      </c>
    </row>
    <row r="9130">
      <c r="W9130" s="7" t="n"/>
      <c r="X9130" s="7" t="n"/>
      <c r="Z9130">
        <f>Z9129+IF(W9130="",0,IF(ISNA(MATCH(W9130,W$256:W9129,0)),1,0))</f>
        <v/>
      </c>
      <c r="AA9130">
        <f>IF(Z9130&gt;Z9129,Z9130,"")</f>
        <v/>
      </c>
      <c r="AB9130">
        <f>AB9129+IF(X9130="",0,IF(ISNA(MATCH(X9130,X$256:X9129,0)),1,0))</f>
        <v/>
      </c>
      <c r="AC9130">
        <f>IF(AB9130&gt;AB9129,AB9130,"")</f>
        <v/>
      </c>
    </row>
    <row r="9131">
      <c r="W9131" s="7" t="n"/>
      <c r="X9131" s="7" t="n"/>
      <c r="Z9131">
        <f>Z9130+IF(W9131="",0,IF(ISNA(MATCH(W9131,W$256:W9130,0)),1,0))</f>
        <v/>
      </c>
      <c r="AA9131">
        <f>IF(Z9131&gt;Z9130,Z9131,"")</f>
        <v/>
      </c>
      <c r="AB9131">
        <f>AB9130+IF(X9131="",0,IF(ISNA(MATCH(X9131,X$256:X9130,0)),1,0))</f>
        <v/>
      </c>
      <c r="AC9131">
        <f>IF(AB9131&gt;AB9130,AB9131,"")</f>
        <v/>
      </c>
    </row>
    <row r="9132">
      <c r="W9132" s="7" t="n"/>
      <c r="X9132" s="7" t="n"/>
      <c r="Z9132">
        <f>Z9131+IF(W9132="",0,IF(ISNA(MATCH(W9132,W$256:W9131,0)),1,0))</f>
        <v/>
      </c>
      <c r="AA9132">
        <f>IF(Z9132&gt;Z9131,Z9132,"")</f>
        <v/>
      </c>
      <c r="AB9132">
        <f>AB9131+IF(X9132="",0,IF(ISNA(MATCH(X9132,X$256:X9131,0)),1,0))</f>
        <v/>
      </c>
      <c r="AC9132">
        <f>IF(AB9132&gt;AB9131,AB9132,"")</f>
        <v/>
      </c>
    </row>
    <row r="9133">
      <c r="W9133" s="7" t="n"/>
      <c r="X9133" s="7" t="n"/>
      <c r="Z9133">
        <f>Z9132+IF(W9133="",0,IF(ISNA(MATCH(W9133,W$256:W9132,0)),1,0))</f>
        <v/>
      </c>
      <c r="AA9133">
        <f>IF(Z9133&gt;Z9132,Z9133,"")</f>
        <v/>
      </c>
      <c r="AB9133">
        <f>AB9132+IF(X9133="",0,IF(ISNA(MATCH(X9133,X$256:X9132,0)),1,0))</f>
        <v/>
      </c>
      <c r="AC9133">
        <f>IF(AB9133&gt;AB9132,AB9133,"")</f>
        <v/>
      </c>
    </row>
    <row r="9134">
      <c r="W9134" s="7" t="n"/>
      <c r="X9134" s="7" t="n"/>
      <c r="Z9134">
        <f>Z9133+IF(W9134="",0,IF(ISNA(MATCH(W9134,W$256:W9133,0)),1,0))</f>
        <v/>
      </c>
      <c r="AA9134">
        <f>IF(Z9134&gt;Z9133,Z9134,"")</f>
        <v/>
      </c>
      <c r="AB9134">
        <f>AB9133+IF(X9134="",0,IF(ISNA(MATCH(X9134,X$256:X9133,0)),1,0))</f>
        <v/>
      </c>
      <c r="AC9134">
        <f>IF(AB9134&gt;AB9133,AB9134,"")</f>
        <v/>
      </c>
    </row>
    <row r="9135">
      <c r="W9135" s="7" t="n"/>
      <c r="X9135" s="7" t="n"/>
      <c r="Z9135">
        <f>Z9134+IF(W9135="",0,IF(ISNA(MATCH(W9135,W$256:W9134,0)),1,0))</f>
        <v/>
      </c>
      <c r="AA9135">
        <f>IF(Z9135&gt;Z9134,Z9135,"")</f>
        <v/>
      </c>
      <c r="AB9135">
        <f>AB9134+IF(X9135="",0,IF(ISNA(MATCH(X9135,X$256:X9134,0)),1,0))</f>
        <v/>
      </c>
      <c r="AC9135">
        <f>IF(AB9135&gt;AB9134,AB9135,"")</f>
        <v/>
      </c>
    </row>
    <row r="9136">
      <c r="W9136" s="7" t="n"/>
      <c r="X9136" s="7" t="n"/>
      <c r="Z9136">
        <f>Z9135+IF(W9136="",0,IF(ISNA(MATCH(W9136,W$256:W9135,0)),1,0))</f>
        <v/>
      </c>
      <c r="AA9136">
        <f>IF(Z9136&gt;Z9135,Z9136,"")</f>
        <v/>
      </c>
      <c r="AB9136">
        <f>AB9135+IF(X9136="",0,IF(ISNA(MATCH(X9136,X$256:X9135,0)),1,0))</f>
        <v/>
      </c>
      <c r="AC9136">
        <f>IF(AB9136&gt;AB9135,AB9136,"")</f>
        <v/>
      </c>
    </row>
    <row r="9137">
      <c r="W9137" s="7" t="n"/>
      <c r="X9137" s="7" t="n"/>
      <c r="Z9137">
        <f>Z9136+IF(W9137="",0,IF(ISNA(MATCH(W9137,W$256:W9136,0)),1,0))</f>
        <v/>
      </c>
      <c r="AA9137">
        <f>IF(Z9137&gt;Z9136,Z9137,"")</f>
        <v/>
      </c>
      <c r="AB9137">
        <f>AB9136+IF(X9137="",0,IF(ISNA(MATCH(X9137,X$256:X9136,0)),1,0))</f>
        <v/>
      </c>
      <c r="AC9137">
        <f>IF(AB9137&gt;AB9136,AB9137,"")</f>
        <v/>
      </c>
    </row>
    <row r="9138">
      <c r="W9138" s="7" t="n"/>
      <c r="X9138" s="7" t="n"/>
      <c r="Z9138">
        <f>Z9137+IF(W9138="",0,IF(ISNA(MATCH(W9138,W$256:W9137,0)),1,0))</f>
        <v/>
      </c>
      <c r="AA9138">
        <f>IF(Z9138&gt;Z9137,Z9138,"")</f>
        <v/>
      </c>
      <c r="AB9138">
        <f>AB9137+IF(X9138="",0,IF(ISNA(MATCH(X9138,X$256:X9137,0)),1,0))</f>
        <v/>
      </c>
      <c r="AC9138">
        <f>IF(AB9138&gt;AB9137,AB9138,"")</f>
        <v/>
      </c>
    </row>
    <row r="9139">
      <c r="W9139" s="7" t="n"/>
      <c r="X9139" s="7" t="n"/>
      <c r="Z9139">
        <f>Z9138+IF(W9139="",0,IF(ISNA(MATCH(W9139,W$256:W9138,0)),1,0))</f>
        <v/>
      </c>
      <c r="AA9139">
        <f>IF(Z9139&gt;Z9138,Z9139,"")</f>
        <v/>
      </c>
      <c r="AB9139">
        <f>AB9138+IF(X9139="",0,IF(ISNA(MATCH(X9139,X$256:X9138,0)),1,0))</f>
        <v/>
      </c>
      <c r="AC9139">
        <f>IF(AB9139&gt;AB9138,AB9139,"")</f>
        <v/>
      </c>
    </row>
    <row r="9140">
      <c r="W9140" s="7" t="n"/>
      <c r="X9140" s="7" t="n"/>
      <c r="Z9140">
        <f>Z9139+IF(W9140="",0,IF(ISNA(MATCH(W9140,W$256:W9139,0)),1,0))</f>
        <v/>
      </c>
      <c r="AA9140">
        <f>IF(Z9140&gt;Z9139,Z9140,"")</f>
        <v/>
      </c>
      <c r="AB9140">
        <f>AB9139+IF(X9140="",0,IF(ISNA(MATCH(X9140,X$256:X9139,0)),1,0))</f>
        <v/>
      </c>
      <c r="AC9140">
        <f>IF(AB9140&gt;AB9139,AB9140,"")</f>
        <v/>
      </c>
    </row>
    <row r="9141">
      <c r="W9141" s="7" t="n"/>
      <c r="X9141" s="7" t="n"/>
      <c r="Z9141">
        <f>Z9140+IF(W9141="",0,IF(ISNA(MATCH(W9141,W$256:W9140,0)),1,0))</f>
        <v/>
      </c>
      <c r="AA9141">
        <f>IF(Z9141&gt;Z9140,Z9141,"")</f>
        <v/>
      </c>
      <c r="AB9141">
        <f>AB9140+IF(X9141="",0,IF(ISNA(MATCH(X9141,X$256:X9140,0)),1,0))</f>
        <v/>
      </c>
      <c r="AC9141">
        <f>IF(AB9141&gt;AB9140,AB9141,"")</f>
        <v/>
      </c>
    </row>
    <row r="9142">
      <c r="W9142" s="7" t="n"/>
      <c r="X9142" s="7" t="n"/>
      <c r="Z9142">
        <f>Z9141+IF(W9142="",0,IF(ISNA(MATCH(W9142,W$256:W9141,0)),1,0))</f>
        <v/>
      </c>
      <c r="AA9142">
        <f>IF(Z9142&gt;Z9141,Z9142,"")</f>
        <v/>
      </c>
      <c r="AB9142">
        <f>AB9141+IF(X9142="",0,IF(ISNA(MATCH(X9142,X$256:X9141,0)),1,0))</f>
        <v/>
      </c>
      <c r="AC9142">
        <f>IF(AB9142&gt;AB9141,AB9142,"")</f>
        <v/>
      </c>
    </row>
    <row r="9143">
      <c r="W9143" s="7" t="n"/>
      <c r="X9143" s="7" t="n"/>
      <c r="Z9143">
        <f>Z9142+IF(W9143="",0,IF(ISNA(MATCH(W9143,W$256:W9142,0)),1,0))</f>
        <v/>
      </c>
      <c r="AA9143">
        <f>IF(Z9143&gt;Z9142,Z9143,"")</f>
        <v/>
      </c>
      <c r="AB9143">
        <f>AB9142+IF(X9143="",0,IF(ISNA(MATCH(X9143,X$256:X9142,0)),1,0))</f>
        <v/>
      </c>
      <c r="AC9143">
        <f>IF(AB9143&gt;AB9142,AB9143,"")</f>
        <v/>
      </c>
    </row>
    <row r="9144">
      <c r="W9144" s="7" t="n"/>
      <c r="X9144" s="7" t="n"/>
      <c r="Z9144">
        <f>Z9143+IF(W9144="",0,IF(ISNA(MATCH(W9144,W$256:W9143,0)),1,0))</f>
        <v/>
      </c>
      <c r="AA9144">
        <f>IF(Z9144&gt;Z9143,Z9144,"")</f>
        <v/>
      </c>
      <c r="AB9144">
        <f>AB9143+IF(X9144="",0,IF(ISNA(MATCH(X9144,X$256:X9143,0)),1,0))</f>
        <v/>
      </c>
      <c r="AC9144">
        <f>IF(AB9144&gt;AB9143,AB9144,"")</f>
        <v/>
      </c>
    </row>
    <row r="9145">
      <c r="W9145" s="7" t="n"/>
      <c r="X9145" s="7" t="n"/>
      <c r="Z9145">
        <f>Z9144+IF(W9145="",0,IF(ISNA(MATCH(W9145,W$256:W9144,0)),1,0))</f>
        <v/>
      </c>
      <c r="AA9145">
        <f>IF(Z9145&gt;Z9144,Z9145,"")</f>
        <v/>
      </c>
      <c r="AB9145">
        <f>AB9144+IF(X9145="",0,IF(ISNA(MATCH(X9145,X$256:X9144,0)),1,0))</f>
        <v/>
      </c>
      <c r="AC9145">
        <f>IF(AB9145&gt;AB9144,AB9145,"")</f>
        <v/>
      </c>
    </row>
    <row r="9146">
      <c r="W9146" s="7" t="n"/>
      <c r="X9146" s="7" t="n"/>
      <c r="Z9146">
        <f>Z9145+IF(W9146="",0,IF(ISNA(MATCH(W9146,W$256:W9145,0)),1,0))</f>
        <v/>
      </c>
      <c r="AA9146">
        <f>IF(Z9146&gt;Z9145,Z9146,"")</f>
        <v/>
      </c>
      <c r="AB9146">
        <f>AB9145+IF(X9146="",0,IF(ISNA(MATCH(X9146,X$256:X9145,0)),1,0))</f>
        <v/>
      </c>
      <c r="AC9146">
        <f>IF(AB9146&gt;AB9145,AB9146,"")</f>
        <v/>
      </c>
    </row>
    <row r="9147">
      <c r="W9147" s="7" t="n"/>
      <c r="X9147" s="7" t="n"/>
      <c r="Z9147">
        <f>Z9146+IF(W9147="",0,IF(ISNA(MATCH(W9147,W$256:W9146,0)),1,0))</f>
        <v/>
      </c>
      <c r="AA9147">
        <f>IF(Z9147&gt;Z9146,Z9147,"")</f>
        <v/>
      </c>
      <c r="AB9147">
        <f>AB9146+IF(X9147="",0,IF(ISNA(MATCH(X9147,X$256:X9146,0)),1,0))</f>
        <v/>
      </c>
      <c r="AC9147">
        <f>IF(AB9147&gt;AB9146,AB9147,"")</f>
        <v/>
      </c>
    </row>
    <row r="9148">
      <c r="W9148" s="7" t="n"/>
      <c r="X9148" s="7" t="n"/>
      <c r="Z9148">
        <f>Z9147+IF(W9148="",0,IF(ISNA(MATCH(W9148,W$256:W9147,0)),1,0))</f>
        <v/>
      </c>
      <c r="AA9148">
        <f>IF(Z9148&gt;Z9147,Z9148,"")</f>
        <v/>
      </c>
      <c r="AB9148">
        <f>AB9147+IF(X9148="",0,IF(ISNA(MATCH(X9148,X$256:X9147,0)),1,0))</f>
        <v/>
      </c>
      <c r="AC9148">
        <f>IF(AB9148&gt;AB9147,AB9148,"")</f>
        <v/>
      </c>
    </row>
    <row r="9149">
      <c r="W9149" s="7" t="n"/>
      <c r="X9149" s="7" t="n"/>
      <c r="Z9149">
        <f>Z9148+IF(W9149="",0,IF(ISNA(MATCH(W9149,W$256:W9148,0)),1,0))</f>
        <v/>
      </c>
      <c r="AA9149">
        <f>IF(Z9149&gt;Z9148,Z9149,"")</f>
        <v/>
      </c>
      <c r="AB9149">
        <f>AB9148+IF(X9149="",0,IF(ISNA(MATCH(X9149,X$256:X9148,0)),1,0))</f>
        <v/>
      </c>
      <c r="AC9149">
        <f>IF(AB9149&gt;AB9148,AB9149,"")</f>
        <v/>
      </c>
    </row>
    <row r="9150">
      <c r="W9150" s="7" t="n"/>
      <c r="X9150" s="7" t="n"/>
      <c r="Z9150">
        <f>Z9149+IF(W9150="",0,IF(ISNA(MATCH(W9150,W$256:W9149,0)),1,0))</f>
        <v/>
      </c>
      <c r="AA9150">
        <f>IF(Z9150&gt;Z9149,Z9150,"")</f>
        <v/>
      </c>
      <c r="AB9150">
        <f>AB9149+IF(X9150="",0,IF(ISNA(MATCH(X9150,X$256:X9149,0)),1,0))</f>
        <v/>
      </c>
      <c r="AC9150">
        <f>IF(AB9150&gt;AB9149,AB9150,"")</f>
        <v/>
      </c>
    </row>
    <row r="9151">
      <c r="W9151" s="7" t="n"/>
      <c r="X9151" s="7" t="n"/>
      <c r="Z9151">
        <f>Z9150+IF(W9151="",0,IF(ISNA(MATCH(W9151,W$256:W9150,0)),1,0))</f>
        <v/>
      </c>
      <c r="AA9151">
        <f>IF(Z9151&gt;Z9150,Z9151,"")</f>
        <v/>
      </c>
      <c r="AB9151">
        <f>AB9150+IF(X9151="",0,IF(ISNA(MATCH(X9151,X$256:X9150,0)),1,0))</f>
        <v/>
      </c>
      <c r="AC9151">
        <f>IF(AB9151&gt;AB9150,AB9151,"")</f>
        <v/>
      </c>
    </row>
    <row r="9152">
      <c r="W9152" s="7" t="n"/>
      <c r="X9152" s="7" t="n"/>
      <c r="Z9152">
        <f>Z9151+IF(W9152="",0,IF(ISNA(MATCH(W9152,W$256:W9151,0)),1,0))</f>
        <v/>
      </c>
      <c r="AA9152">
        <f>IF(Z9152&gt;Z9151,Z9152,"")</f>
        <v/>
      </c>
      <c r="AB9152">
        <f>AB9151+IF(X9152="",0,IF(ISNA(MATCH(X9152,X$256:X9151,0)),1,0))</f>
        <v/>
      </c>
      <c r="AC9152">
        <f>IF(AB9152&gt;AB9151,AB9152,"")</f>
        <v/>
      </c>
    </row>
    <row r="9153">
      <c r="W9153" s="7" t="n"/>
      <c r="X9153" s="7" t="n"/>
      <c r="Z9153">
        <f>Z9152+IF(W9153="",0,IF(ISNA(MATCH(W9153,W$256:W9152,0)),1,0))</f>
        <v/>
      </c>
      <c r="AA9153">
        <f>IF(Z9153&gt;Z9152,Z9153,"")</f>
        <v/>
      </c>
      <c r="AB9153">
        <f>AB9152+IF(X9153="",0,IF(ISNA(MATCH(X9153,X$256:X9152,0)),1,0))</f>
        <v/>
      </c>
      <c r="AC9153">
        <f>IF(AB9153&gt;AB9152,AB9153,"")</f>
        <v/>
      </c>
    </row>
    <row r="9154">
      <c r="W9154" s="7" t="n"/>
      <c r="X9154" s="7" t="n"/>
      <c r="Z9154">
        <f>Z9153+IF(W9154="",0,IF(ISNA(MATCH(W9154,W$256:W9153,0)),1,0))</f>
        <v/>
      </c>
      <c r="AA9154">
        <f>IF(Z9154&gt;Z9153,Z9154,"")</f>
        <v/>
      </c>
      <c r="AB9154">
        <f>AB9153+IF(X9154="",0,IF(ISNA(MATCH(X9154,X$256:X9153,0)),1,0))</f>
        <v/>
      </c>
      <c r="AC9154">
        <f>IF(AB9154&gt;AB9153,AB9154,"")</f>
        <v/>
      </c>
    </row>
    <row r="9155">
      <c r="W9155" s="7" t="n"/>
      <c r="X9155" s="7" t="n"/>
      <c r="Z9155">
        <f>Z9154+IF(W9155="",0,IF(ISNA(MATCH(W9155,W$256:W9154,0)),1,0))</f>
        <v/>
      </c>
      <c r="AA9155">
        <f>IF(Z9155&gt;Z9154,Z9155,"")</f>
        <v/>
      </c>
      <c r="AB9155">
        <f>AB9154+IF(X9155="",0,IF(ISNA(MATCH(X9155,X$256:X9154,0)),1,0))</f>
        <v/>
      </c>
      <c r="AC9155">
        <f>IF(AB9155&gt;AB9154,AB9155,"")</f>
        <v/>
      </c>
    </row>
    <row r="9156">
      <c r="W9156" s="7" t="n"/>
      <c r="X9156" s="7" t="n"/>
      <c r="Z9156">
        <f>Z9155+IF(W9156="",0,IF(ISNA(MATCH(W9156,W$256:W9155,0)),1,0))</f>
        <v/>
      </c>
      <c r="AA9156">
        <f>IF(Z9156&gt;Z9155,Z9156,"")</f>
        <v/>
      </c>
      <c r="AB9156">
        <f>AB9155+IF(X9156="",0,IF(ISNA(MATCH(X9156,X$256:X9155,0)),1,0))</f>
        <v/>
      </c>
      <c r="AC9156">
        <f>IF(AB9156&gt;AB9155,AB9156,"")</f>
        <v/>
      </c>
    </row>
    <row r="9157">
      <c r="W9157" s="7" t="n"/>
      <c r="X9157" s="7" t="n"/>
      <c r="Z9157">
        <f>Z9156+IF(W9157="",0,IF(ISNA(MATCH(W9157,W$256:W9156,0)),1,0))</f>
        <v/>
      </c>
      <c r="AA9157">
        <f>IF(Z9157&gt;Z9156,Z9157,"")</f>
        <v/>
      </c>
      <c r="AB9157">
        <f>AB9156+IF(X9157="",0,IF(ISNA(MATCH(X9157,X$256:X9156,0)),1,0))</f>
        <v/>
      </c>
      <c r="AC9157">
        <f>IF(AB9157&gt;AB9156,AB9157,"")</f>
        <v/>
      </c>
    </row>
    <row r="9158">
      <c r="W9158" s="7" t="n"/>
      <c r="X9158" s="7" t="n"/>
      <c r="Z9158">
        <f>Z9157+IF(W9158="",0,IF(ISNA(MATCH(W9158,W$256:W9157,0)),1,0))</f>
        <v/>
      </c>
      <c r="AA9158">
        <f>IF(Z9158&gt;Z9157,Z9158,"")</f>
        <v/>
      </c>
      <c r="AB9158">
        <f>AB9157+IF(X9158="",0,IF(ISNA(MATCH(X9158,X$256:X9157,0)),1,0))</f>
        <v/>
      </c>
      <c r="AC9158">
        <f>IF(AB9158&gt;AB9157,AB9158,"")</f>
        <v/>
      </c>
    </row>
    <row r="9159">
      <c r="W9159" s="7" t="n"/>
      <c r="X9159" s="7" t="n"/>
      <c r="Z9159">
        <f>Z9158+IF(W9159="",0,IF(ISNA(MATCH(W9159,W$256:W9158,0)),1,0))</f>
        <v/>
      </c>
      <c r="AA9159">
        <f>IF(Z9159&gt;Z9158,Z9159,"")</f>
        <v/>
      </c>
      <c r="AB9159">
        <f>AB9158+IF(X9159="",0,IF(ISNA(MATCH(X9159,X$256:X9158,0)),1,0))</f>
        <v/>
      </c>
      <c r="AC9159">
        <f>IF(AB9159&gt;AB9158,AB9159,"")</f>
        <v/>
      </c>
    </row>
    <row r="9160">
      <c r="W9160" s="7" t="n"/>
      <c r="X9160" s="7" t="n"/>
      <c r="Z9160">
        <f>Z9159+IF(W9160="",0,IF(ISNA(MATCH(W9160,W$256:W9159,0)),1,0))</f>
        <v/>
      </c>
      <c r="AA9160">
        <f>IF(Z9160&gt;Z9159,Z9160,"")</f>
        <v/>
      </c>
      <c r="AB9160">
        <f>AB9159+IF(X9160="",0,IF(ISNA(MATCH(X9160,X$256:X9159,0)),1,0))</f>
        <v/>
      </c>
      <c r="AC9160">
        <f>IF(AB9160&gt;AB9159,AB9160,"")</f>
        <v/>
      </c>
    </row>
    <row r="9161">
      <c r="W9161" s="7" t="n"/>
      <c r="X9161" s="7" t="n"/>
      <c r="Z9161">
        <f>Z9160+IF(W9161="",0,IF(ISNA(MATCH(W9161,W$256:W9160,0)),1,0))</f>
        <v/>
      </c>
      <c r="AA9161">
        <f>IF(Z9161&gt;Z9160,Z9161,"")</f>
        <v/>
      </c>
      <c r="AB9161">
        <f>AB9160+IF(X9161="",0,IF(ISNA(MATCH(X9161,X$256:X9160,0)),1,0))</f>
        <v/>
      </c>
      <c r="AC9161">
        <f>IF(AB9161&gt;AB9160,AB9161,"")</f>
        <v/>
      </c>
    </row>
    <row r="9162">
      <c r="W9162" s="7" t="n"/>
      <c r="X9162" s="7" t="n"/>
      <c r="Z9162">
        <f>Z9161+IF(W9162="",0,IF(ISNA(MATCH(W9162,W$256:W9161,0)),1,0))</f>
        <v/>
      </c>
      <c r="AA9162">
        <f>IF(Z9162&gt;Z9161,Z9162,"")</f>
        <v/>
      </c>
      <c r="AB9162">
        <f>AB9161+IF(X9162="",0,IF(ISNA(MATCH(X9162,X$256:X9161,0)),1,0))</f>
        <v/>
      </c>
      <c r="AC9162">
        <f>IF(AB9162&gt;AB9161,AB9162,"")</f>
        <v/>
      </c>
    </row>
    <row r="9163">
      <c r="W9163" s="7" t="n"/>
      <c r="X9163" s="7" t="n"/>
      <c r="Z9163">
        <f>Z9162+IF(W9163="",0,IF(ISNA(MATCH(W9163,W$256:W9162,0)),1,0))</f>
        <v/>
      </c>
      <c r="AA9163">
        <f>IF(Z9163&gt;Z9162,Z9163,"")</f>
        <v/>
      </c>
      <c r="AB9163">
        <f>AB9162+IF(X9163="",0,IF(ISNA(MATCH(X9163,X$256:X9162,0)),1,0))</f>
        <v/>
      </c>
      <c r="AC9163">
        <f>IF(AB9163&gt;AB9162,AB9163,"")</f>
        <v/>
      </c>
    </row>
    <row r="9164">
      <c r="W9164" s="7" t="n"/>
      <c r="X9164" s="7" t="n"/>
      <c r="Z9164">
        <f>Z9163+IF(W9164="",0,IF(ISNA(MATCH(W9164,W$256:W9163,0)),1,0))</f>
        <v/>
      </c>
      <c r="AA9164">
        <f>IF(Z9164&gt;Z9163,Z9164,"")</f>
        <v/>
      </c>
      <c r="AB9164">
        <f>AB9163+IF(X9164="",0,IF(ISNA(MATCH(X9164,X$256:X9163,0)),1,0))</f>
        <v/>
      </c>
      <c r="AC9164">
        <f>IF(AB9164&gt;AB9163,AB9164,"")</f>
        <v/>
      </c>
    </row>
    <row r="9165">
      <c r="W9165" s="7" t="n"/>
      <c r="X9165" s="7" t="n"/>
      <c r="Z9165">
        <f>Z9164+IF(W9165="",0,IF(ISNA(MATCH(W9165,W$256:W9164,0)),1,0))</f>
        <v/>
      </c>
      <c r="AA9165">
        <f>IF(Z9165&gt;Z9164,Z9165,"")</f>
        <v/>
      </c>
      <c r="AB9165">
        <f>AB9164+IF(X9165="",0,IF(ISNA(MATCH(X9165,X$256:X9164,0)),1,0))</f>
        <v/>
      </c>
      <c r="AC9165">
        <f>IF(AB9165&gt;AB9164,AB9165,"")</f>
        <v/>
      </c>
    </row>
    <row r="9166">
      <c r="W9166" s="7" t="n"/>
      <c r="X9166" s="7" t="n"/>
      <c r="Z9166">
        <f>Z9165+IF(W9166="",0,IF(ISNA(MATCH(W9166,W$256:W9165,0)),1,0))</f>
        <v/>
      </c>
      <c r="AA9166">
        <f>IF(Z9166&gt;Z9165,Z9166,"")</f>
        <v/>
      </c>
      <c r="AB9166">
        <f>AB9165+IF(X9166="",0,IF(ISNA(MATCH(X9166,X$256:X9165,0)),1,0))</f>
        <v/>
      </c>
      <c r="AC9166">
        <f>IF(AB9166&gt;AB9165,AB9166,"")</f>
        <v/>
      </c>
    </row>
    <row r="9167">
      <c r="W9167" s="7" t="n"/>
      <c r="X9167" s="7" t="n"/>
      <c r="Z9167">
        <f>Z9166+IF(W9167="",0,IF(ISNA(MATCH(W9167,W$256:W9166,0)),1,0))</f>
        <v/>
      </c>
      <c r="AA9167">
        <f>IF(Z9167&gt;Z9166,Z9167,"")</f>
        <v/>
      </c>
      <c r="AB9167">
        <f>AB9166+IF(X9167="",0,IF(ISNA(MATCH(X9167,X$256:X9166,0)),1,0))</f>
        <v/>
      </c>
      <c r="AC9167">
        <f>IF(AB9167&gt;AB9166,AB9167,"")</f>
        <v/>
      </c>
    </row>
    <row r="9168">
      <c r="W9168" s="7" t="n"/>
      <c r="X9168" s="7" t="n"/>
      <c r="Z9168">
        <f>Z9167+IF(W9168="",0,IF(ISNA(MATCH(W9168,W$256:W9167,0)),1,0))</f>
        <v/>
      </c>
      <c r="AA9168">
        <f>IF(Z9168&gt;Z9167,Z9168,"")</f>
        <v/>
      </c>
      <c r="AB9168">
        <f>AB9167+IF(X9168="",0,IF(ISNA(MATCH(X9168,X$256:X9167,0)),1,0))</f>
        <v/>
      </c>
      <c r="AC9168">
        <f>IF(AB9168&gt;AB9167,AB9168,"")</f>
        <v/>
      </c>
    </row>
    <row r="9169">
      <c r="W9169" s="7" t="n"/>
      <c r="X9169" s="7" t="n"/>
      <c r="Z9169">
        <f>Z9168+IF(W9169="",0,IF(ISNA(MATCH(W9169,W$256:W9168,0)),1,0))</f>
        <v/>
      </c>
      <c r="AA9169">
        <f>IF(Z9169&gt;Z9168,Z9169,"")</f>
        <v/>
      </c>
      <c r="AB9169">
        <f>AB9168+IF(X9169="",0,IF(ISNA(MATCH(X9169,X$256:X9168,0)),1,0))</f>
        <v/>
      </c>
      <c r="AC9169">
        <f>IF(AB9169&gt;AB9168,AB9169,"")</f>
        <v/>
      </c>
    </row>
    <row r="9170">
      <c r="W9170" s="7" t="n"/>
      <c r="X9170" s="7" t="n"/>
      <c r="Z9170">
        <f>Z9169+IF(W9170="",0,IF(ISNA(MATCH(W9170,W$256:W9169,0)),1,0))</f>
        <v/>
      </c>
      <c r="AA9170">
        <f>IF(Z9170&gt;Z9169,Z9170,"")</f>
        <v/>
      </c>
      <c r="AB9170">
        <f>AB9169+IF(X9170="",0,IF(ISNA(MATCH(X9170,X$256:X9169,0)),1,0))</f>
        <v/>
      </c>
      <c r="AC9170">
        <f>IF(AB9170&gt;AB9169,AB9170,"")</f>
        <v/>
      </c>
    </row>
    <row r="9171">
      <c r="W9171" s="7" t="n"/>
      <c r="X9171" s="7" t="n"/>
      <c r="Z9171">
        <f>Z9170+IF(W9171="",0,IF(ISNA(MATCH(W9171,W$256:W9170,0)),1,0))</f>
        <v/>
      </c>
      <c r="AA9171">
        <f>IF(Z9171&gt;Z9170,Z9171,"")</f>
        <v/>
      </c>
      <c r="AB9171">
        <f>AB9170+IF(X9171="",0,IF(ISNA(MATCH(X9171,X$256:X9170,0)),1,0))</f>
        <v/>
      </c>
      <c r="AC9171">
        <f>IF(AB9171&gt;AB9170,AB9171,"")</f>
        <v/>
      </c>
    </row>
    <row r="9172">
      <c r="W9172" s="7" t="n"/>
      <c r="X9172" s="7" t="n"/>
      <c r="Z9172">
        <f>Z9171+IF(W9172="",0,IF(ISNA(MATCH(W9172,W$256:W9171,0)),1,0))</f>
        <v/>
      </c>
      <c r="AA9172">
        <f>IF(Z9172&gt;Z9171,Z9172,"")</f>
        <v/>
      </c>
      <c r="AB9172">
        <f>AB9171+IF(X9172="",0,IF(ISNA(MATCH(X9172,X$256:X9171,0)),1,0))</f>
        <v/>
      </c>
      <c r="AC9172">
        <f>IF(AB9172&gt;AB9171,AB9172,"")</f>
        <v/>
      </c>
    </row>
    <row r="9173">
      <c r="W9173" s="7" t="n"/>
      <c r="X9173" s="7" t="n"/>
      <c r="Z9173">
        <f>Z9172+IF(W9173="",0,IF(ISNA(MATCH(W9173,W$256:W9172,0)),1,0))</f>
        <v/>
      </c>
      <c r="AA9173">
        <f>IF(Z9173&gt;Z9172,Z9173,"")</f>
        <v/>
      </c>
      <c r="AB9173">
        <f>AB9172+IF(X9173="",0,IF(ISNA(MATCH(X9173,X$256:X9172,0)),1,0))</f>
        <v/>
      </c>
      <c r="AC9173">
        <f>IF(AB9173&gt;AB9172,AB9173,"")</f>
        <v/>
      </c>
    </row>
    <row r="9174">
      <c r="W9174" s="7" t="n"/>
      <c r="X9174" s="7" t="n"/>
      <c r="Z9174">
        <f>Z9173+IF(W9174="",0,IF(ISNA(MATCH(W9174,W$256:W9173,0)),1,0))</f>
        <v/>
      </c>
      <c r="AA9174">
        <f>IF(Z9174&gt;Z9173,Z9174,"")</f>
        <v/>
      </c>
      <c r="AB9174">
        <f>AB9173+IF(X9174="",0,IF(ISNA(MATCH(X9174,X$256:X9173,0)),1,0))</f>
        <v/>
      </c>
      <c r="AC9174">
        <f>IF(AB9174&gt;AB9173,AB9174,"")</f>
        <v/>
      </c>
    </row>
    <row r="9175">
      <c r="W9175" s="7" t="n"/>
      <c r="X9175" s="7" t="n"/>
      <c r="Z9175">
        <f>Z9174+IF(W9175="",0,IF(ISNA(MATCH(W9175,W$256:W9174,0)),1,0))</f>
        <v/>
      </c>
      <c r="AA9175">
        <f>IF(Z9175&gt;Z9174,Z9175,"")</f>
        <v/>
      </c>
      <c r="AB9175">
        <f>AB9174+IF(X9175="",0,IF(ISNA(MATCH(X9175,X$256:X9174,0)),1,0))</f>
        <v/>
      </c>
      <c r="AC9175">
        <f>IF(AB9175&gt;AB9174,AB9175,"")</f>
        <v/>
      </c>
    </row>
    <row r="9176">
      <c r="W9176" s="7" t="n"/>
      <c r="X9176" s="7" t="n"/>
      <c r="Z9176">
        <f>Z9175+IF(W9176="",0,IF(ISNA(MATCH(W9176,W$256:W9175,0)),1,0))</f>
        <v/>
      </c>
      <c r="AA9176">
        <f>IF(Z9176&gt;Z9175,Z9176,"")</f>
        <v/>
      </c>
      <c r="AB9176">
        <f>AB9175+IF(X9176="",0,IF(ISNA(MATCH(X9176,X$256:X9175,0)),1,0))</f>
        <v/>
      </c>
      <c r="AC9176">
        <f>IF(AB9176&gt;AB9175,AB9176,"")</f>
        <v/>
      </c>
    </row>
    <row r="9177">
      <c r="W9177" s="7" t="n"/>
      <c r="X9177" s="7" t="n"/>
      <c r="Z9177">
        <f>Z9176+IF(W9177="",0,IF(ISNA(MATCH(W9177,W$256:W9176,0)),1,0))</f>
        <v/>
      </c>
      <c r="AA9177">
        <f>IF(Z9177&gt;Z9176,Z9177,"")</f>
        <v/>
      </c>
      <c r="AB9177">
        <f>AB9176+IF(X9177="",0,IF(ISNA(MATCH(X9177,X$256:X9176,0)),1,0))</f>
        <v/>
      </c>
      <c r="AC9177">
        <f>IF(AB9177&gt;AB9176,AB9177,"")</f>
        <v/>
      </c>
    </row>
    <row r="9178">
      <c r="W9178" s="7" t="n"/>
      <c r="X9178" s="7" t="n"/>
      <c r="Z9178">
        <f>Z9177+IF(W9178="",0,IF(ISNA(MATCH(W9178,W$256:W9177,0)),1,0))</f>
        <v/>
      </c>
      <c r="AA9178">
        <f>IF(Z9178&gt;Z9177,Z9178,"")</f>
        <v/>
      </c>
      <c r="AB9178">
        <f>AB9177+IF(X9178="",0,IF(ISNA(MATCH(X9178,X$256:X9177,0)),1,0))</f>
        <v/>
      </c>
      <c r="AC9178">
        <f>IF(AB9178&gt;AB9177,AB9178,"")</f>
        <v/>
      </c>
    </row>
    <row r="9179">
      <c r="W9179" s="7" t="n"/>
      <c r="X9179" s="7" t="n"/>
      <c r="Z9179">
        <f>Z9178+IF(W9179="",0,IF(ISNA(MATCH(W9179,W$256:W9178,0)),1,0))</f>
        <v/>
      </c>
      <c r="AA9179">
        <f>IF(Z9179&gt;Z9178,Z9179,"")</f>
        <v/>
      </c>
      <c r="AB9179">
        <f>AB9178+IF(X9179="",0,IF(ISNA(MATCH(X9179,X$256:X9178,0)),1,0))</f>
        <v/>
      </c>
      <c r="AC9179">
        <f>IF(AB9179&gt;AB9178,AB9179,"")</f>
        <v/>
      </c>
    </row>
    <row r="9180">
      <c r="W9180" s="7" t="n"/>
      <c r="X9180" s="7" t="n"/>
      <c r="Z9180">
        <f>Z9179+IF(W9180="",0,IF(ISNA(MATCH(W9180,W$256:W9179,0)),1,0))</f>
        <v/>
      </c>
      <c r="AA9180">
        <f>IF(Z9180&gt;Z9179,Z9180,"")</f>
        <v/>
      </c>
      <c r="AB9180">
        <f>AB9179+IF(X9180="",0,IF(ISNA(MATCH(X9180,X$256:X9179,0)),1,0))</f>
        <v/>
      </c>
      <c r="AC9180">
        <f>IF(AB9180&gt;AB9179,AB9180,"")</f>
        <v/>
      </c>
    </row>
    <row r="9181">
      <c r="W9181" s="7" t="n"/>
      <c r="X9181" s="7" t="n"/>
      <c r="Z9181">
        <f>Z9180+IF(W9181="",0,IF(ISNA(MATCH(W9181,W$256:W9180,0)),1,0))</f>
        <v/>
      </c>
      <c r="AA9181">
        <f>IF(Z9181&gt;Z9180,Z9181,"")</f>
        <v/>
      </c>
      <c r="AB9181">
        <f>AB9180+IF(X9181="",0,IF(ISNA(MATCH(X9181,X$256:X9180,0)),1,0))</f>
        <v/>
      </c>
      <c r="AC9181">
        <f>IF(AB9181&gt;AB9180,AB9181,"")</f>
        <v/>
      </c>
    </row>
    <row r="9182">
      <c r="W9182" s="7" t="n"/>
      <c r="X9182" s="7" t="n"/>
      <c r="Z9182">
        <f>Z9181+IF(W9182="",0,IF(ISNA(MATCH(W9182,W$256:W9181,0)),1,0))</f>
        <v/>
      </c>
      <c r="AA9182">
        <f>IF(Z9182&gt;Z9181,Z9182,"")</f>
        <v/>
      </c>
      <c r="AB9182">
        <f>AB9181+IF(X9182="",0,IF(ISNA(MATCH(X9182,X$256:X9181,0)),1,0))</f>
        <v/>
      </c>
      <c r="AC9182">
        <f>IF(AB9182&gt;AB9181,AB9182,"")</f>
        <v/>
      </c>
    </row>
    <row r="9183">
      <c r="W9183" s="7" t="n"/>
      <c r="X9183" s="7" t="n"/>
      <c r="Z9183">
        <f>Z9182+IF(W9183="",0,IF(ISNA(MATCH(W9183,W$256:W9182,0)),1,0))</f>
        <v/>
      </c>
      <c r="AA9183">
        <f>IF(Z9183&gt;Z9182,Z9183,"")</f>
        <v/>
      </c>
      <c r="AB9183">
        <f>AB9182+IF(X9183="",0,IF(ISNA(MATCH(X9183,X$256:X9182,0)),1,0))</f>
        <v/>
      </c>
      <c r="AC9183">
        <f>IF(AB9183&gt;AB9182,AB9183,"")</f>
        <v/>
      </c>
    </row>
    <row r="9184">
      <c r="W9184" s="7" t="n"/>
      <c r="X9184" s="7" t="n"/>
      <c r="Z9184">
        <f>Z9183+IF(W9184="",0,IF(ISNA(MATCH(W9184,W$256:W9183,0)),1,0))</f>
        <v/>
      </c>
      <c r="AA9184">
        <f>IF(Z9184&gt;Z9183,Z9184,"")</f>
        <v/>
      </c>
      <c r="AB9184">
        <f>AB9183+IF(X9184="",0,IF(ISNA(MATCH(X9184,X$256:X9183,0)),1,0))</f>
        <v/>
      </c>
      <c r="AC9184">
        <f>IF(AB9184&gt;AB9183,AB9184,"")</f>
        <v/>
      </c>
    </row>
    <row r="9185">
      <c r="W9185" s="7" t="n"/>
      <c r="X9185" s="7" t="n"/>
      <c r="Z9185">
        <f>Z9184+IF(W9185="",0,IF(ISNA(MATCH(W9185,W$256:W9184,0)),1,0))</f>
        <v/>
      </c>
      <c r="AA9185">
        <f>IF(Z9185&gt;Z9184,Z9185,"")</f>
        <v/>
      </c>
      <c r="AB9185">
        <f>AB9184+IF(X9185="",0,IF(ISNA(MATCH(X9185,X$256:X9184,0)),1,0))</f>
        <v/>
      </c>
      <c r="AC9185">
        <f>IF(AB9185&gt;AB9184,AB9185,"")</f>
        <v/>
      </c>
    </row>
    <row r="9186">
      <c r="W9186" s="7" t="n"/>
      <c r="X9186" s="7" t="n"/>
      <c r="Z9186">
        <f>Z9185+IF(W9186="",0,IF(ISNA(MATCH(W9186,W$256:W9185,0)),1,0))</f>
        <v/>
      </c>
      <c r="AA9186">
        <f>IF(Z9186&gt;Z9185,Z9186,"")</f>
        <v/>
      </c>
      <c r="AB9186">
        <f>AB9185+IF(X9186="",0,IF(ISNA(MATCH(X9186,X$256:X9185,0)),1,0))</f>
        <v/>
      </c>
      <c r="AC9186">
        <f>IF(AB9186&gt;AB9185,AB9186,"")</f>
        <v/>
      </c>
    </row>
    <row r="9187">
      <c r="W9187" s="7" t="n"/>
      <c r="X9187" s="7" t="n"/>
      <c r="Z9187">
        <f>Z9186+IF(W9187="",0,IF(ISNA(MATCH(W9187,W$256:W9186,0)),1,0))</f>
        <v/>
      </c>
      <c r="AA9187">
        <f>IF(Z9187&gt;Z9186,Z9187,"")</f>
        <v/>
      </c>
      <c r="AB9187">
        <f>AB9186+IF(X9187="",0,IF(ISNA(MATCH(X9187,X$256:X9186,0)),1,0))</f>
        <v/>
      </c>
      <c r="AC9187">
        <f>IF(AB9187&gt;AB9186,AB9187,"")</f>
        <v/>
      </c>
    </row>
    <row r="9188">
      <c r="W9188" s="7" t="n"/>
      <c r="X9188" s="7" t="n"/>
      <c r="Z9188">
        <f>Z9187+IF(W9188="",0,IF(ISNA(MATCH(W9188,W$256:W9187,0)),1,0))</f>
        <v/>
      </c>
      <c r="AA9188">
        <f>IF(Z9188&gt;Z9187,Z9188,"")</f>
        <v/>
      </c>
      <c r="AB9188">
        <f>AB9187+IF(X9188="",0,IF(ISNA(MATCH(X9188,X$256:X9187,0)),1,0))</f>
        <v/>
      </c>
      <c r="AC9188">
        <f>IF(AB9188&gt;AB9187,AB9188,"")</f>
        <v/>
      </c>
    </row>
    <row r="9189">
      <c r="W9189" s="7" t="n"/>
      <c r="X9189" s="7" t="n"/>
      <c r="Z9189">
        <f>Z9188+IF(W9189="",0,IF(ISNA(MATCH(W9189,W$256:W9188,0)),1,0))</f>
        <v/>
      </c>
      <c r="AA9189">
        <f>IF(Z9189&gt;Z9188,Z9189,"")</f>
        <v/>
      </c>
      <c r="AB9189">
        <f>AB9188+IF(X9189="",0,IF(ISNA(MATCH(X9189,X$256:X9188,0)),1,0))</f>
        <v/>
      </c>
      <c r="AC9189">
        <f>IF(AB9189&gt;AB9188,AB9189,"")</f>
        <v/>
      </c>
    </row>
    <row r="9190">
      <c r="W9190" s="7" t="n"/>
      <c r="X9190" s="7" t="n"/>
      <c r="Z9190">
        <f>Z9189+IF(W9190="",0,IF(ISNA(MATCH(W9190,W$256:W9189,0)),1,0))</f>
        <v/>
      </c>
      <c r="AA9190">
        <f>IF(Z9190&gt;Z9189,Z9190,"")</f>
        <v/>
      </c>
      <c r="AB9190">
        <f>AB9189+IF(X9190="",0,IF(ISNA(MATCH(X9190,X$256:X9189,0)),1,0))</f>
        <v/>
      </c>
      <c r="AC9190">
        <f>IF(AB9190&gt;AB9189,AB9190,"")</f>
        <v/>
      </c>
    </row>
    <row r="9191">
      <c r="W9191" s="7" t="n"/>
      <c r="X9191" s="7" t="n"/>
      <c r="Z9191">
        <f>Z9190+IF(W9191="",0,IF(ISNA(MATCH(W9191,W$256:W9190,0)),1,0))</f>
        <v/>
      </c>
      <c r="AA9191">
        <f>IF(Z9191&gt;Z9190,Z9191,"")</f>
        <v/>
      </c>
      <c r="AB9191">
        <f>AB9190+IF(X9191="",0,IF(ISNA(MATCH(X9191,X$256:X9190,0)),1,0))</f>
        <v/>
      </c>
      <c r="AC9191">
        <f>IF(AB9191&gt;AB9190,AB9191,"")</f>
        <v/>
      </c>
    </row>
    <row r="9192">
      <c r="W9192" s="7" t="n"/>
      <c r="X9192" s="7" t="n"/>
      <c r="Z9192">
        <f>Z9191+IF(W9192="",0,IF(ISNA(MATCH(W9192,W$256:W9191,0)),1,0))</f>
        <v/>
      </c>
      <c r="AA9192">
        <f>IF(Z9192&gt;Z9191,Z9192,"")</f>
        <v/>
      </c>
      <c r="AB9192">
        <f>AB9191+IF(X9192="",0,IF(ISNA(MATCH(X9192,X$256:X9191,0)),1,0))</f>
        <v/>
      </c>
      <c r="AC9192">
        <f>IF(AB9192&gt;AB9191,AB9192,"")</f>
        <v/>
      </c>
    </row>
    <row r="9193">
      <c r="W9193" s="7" t="n"/>
      <c r="X9193" s="7" t="n"/>
      <c r="Z9193">
        <f>Z9192+IF(W9193="",0,IF(ISNA(MATCH(W9193,W$256:W9192,0)),1,0))</f>
        <v/>
      </c>
      <c r="AA9193">
        <f>IF(Z9193&gt;Z9192,Z9193,"")</f>
        <v/>
      </c>
      <c r="AB9193">
        <f>AB9192+IF(X9193="",0,IF(ISNA(MATCH(X9193,X$256:X9192,0)),1,0))</f>
        <v/>
      </c>
      <c r="AC9193">
        <f>IF(AB9193&gt;AB9192,AB9193,"")</f>
        <v/>
      </c>
    </row>
    <row r="9194">
      <c r="W9194" s="7" t="n"/>
      <c r="X9194" s="7" t="n"/>
      <c r="Z9194">
        <f>Z9193+IF(W9194="",0,IF(ISNA(MATCH(W9194,W$256:W9193,0)),1,0))</f>
        <v/>
      </c>
      <c r="AA9194">
        <f>IF(Z9194&gt;Z9193,Z9194,"")</f>
        <v/>
      </c>
      <c r="AB9194">
        <f>AB9193+IF(X9194="",0,IF(ISNA(MATCH(X9194,X$256:X9193,0)),1,0))</f>
        <v/>
      </c>
      <c r="AC9194">
        <f>IF(AB9194&gt;AB9193,AB9194,"")</f>
        <v/>
      </c>
    </row>
    <row r="9195">
      <c r="W9195" s="7" t="n"/>
      <c r="X9195" s="7" t="n"/>
      <c r="Z9195">
        <f>Z9194+IF(W9195="",0,IF(ISNA(MATCH(W9195,W$256:W9194,0)),1,0))</f>
        <v/>
      </c>
      <c r="AA9195">
        <f>IF(Z9195&gt;Z9194,Z9195,"")</f>
        <v/>
      </c>
      <c r="AB9195">
        <f>AB9194+IF(X9195="",0,IF(ISNA(MATCH(X9195,X$256:X9194,0)),1,0))</f>
        <v/>
      </c>
      <c r="AC9195">
        <f>IF(AB9195&gt;AB9194,AB9195,"")</f>
        <v/>
      </c>
    </row>
    <row r="9196">
      <c r="W9196" s="7" t="n"/>
      <c r="X9196" s="7" t="n"/>
      <c r="Z9196">
        <f>Z9195+IF(W9196="",0,IF(ISNA(MATCH(W9196,W$256:W9195,0)),1,0))</f>
        <v/>
      </c>
      <c r="AA9196">
        <f>IF(Z9196&gt;Z9195,Z9196,"")</f>
        <v/>
      </c>
      <c r="AB9196">
        <f>AB9195+IF(X9196="",0,IF(ISNA(MATCH(X9196,X$256:X9195,0)),1,0))</f>
        <v/>
      </c>
      <c r="AC9196">
        <f>IF(AB9196&gt;AB9195,AB9196,"")</f>
        <v/>
      </c>
    </row>
    <row r="9197">
      <c r="W9197" s="7" t="n"/>
      <c r="X9197" s="7" t="n"/>
      <c r="Z9197">
        <f>Z9196+IF(W9197="",0,IF(ISNA(MATCH(W9197,W$256:W9196,0)),1,0))</f>
        <v/>
      </c>
      <c r="AA9197">
        <f>IF(Z9197&gt;Z9196,Z9197,"")</f>
        <v/>
      </c>
      <c r="AB9197">
        <f>AB9196+IF(X9197="",0,IF(ISNA(MATCH(X9197,X$256:X9196,0)),1,0))</f>
        <v/>
      </c>
      <c r="AC9197">
        <f>IF(AB9197&gt;AB9196,AB9197,"")</f>
        <v/>
      </c>
    </row>
    <row r="9198">
      <c r="W9198" s="7" t="n"/>
      <c r="X9198" s="7" t="n"/>
      <c r="Z9198">
        <f>Z9197+IF(W9198="",0,IF(ISNA(MATCH(W9198,W$256:W9197,0)),1,0))</f>
        <v/>
      </c>
      <c r="AA9198">
        <f>IF(Z9198&gt;Z9197,Z9198,"")</f>
        <v/>
      </c>
      <c r="AB9198">
        <f>AB9197+IF(X9198="",0,IF(ISNA(MATCH(X9198,X$256:X9197,0)),1,0))</f>
        <v/>
      </c>
      <c r="AC9198">
        <f>IF(AB9198&gt;AB9197,AB9198,"")</f>
        <v/>
      </c>
    </row>
    <row r="9199">
      <c r="W9199" s="7" t="n"/>
      <c r="X9199" s="7" t="n"/>
      <c r="Z9199">
        <f>Z9198+IF(W9199="",0,IF(ISNA(MATCH(W9199,W$256:W9198,0)),1,0))</f>
        <v/>
      </c>
      <c r="AA9199">
        <f>IF(Z9199&gt;Z9198,Z9199,"")</f>
        <v/>
      </c>
      <c r="AB9199">
        <f>AB9198+IF(X9199="",0,IF(ISNA(MATCH(X9199,X$256:X9198,0)),1,0))</f>
        <v/>
      </c>
      <c r="AC9199">
        <f>IF(AB9199&gt;AB9198,AB9199,"")</f>
        <v/>
      </c>
    </row>
    <row r="9200">
      <c r="W9200" s="7" t="n"/>
      <c r="X9200" s="7" t="n"/>
      <c r="Z9200">
        <f>Z9199+IF(W9200="",0,IF(ISNA(MATCH(W9200,W$256:W9199,0)),1,0))</f>
        <v/>
      </c>
      <c r="AA9200">
        <f>IF(Z9200&gt;Z9199,Z9200,"")</f>
        <v/>
      </c>
      <c r="AB9200">
        <f>AB9199+IF(X9200="",0,IF(ISNA(MATCH(X9200,X$256:X9199,0)),1,0))</f>
        <v/>
      </c>
      <c r="AC9200">
        <f>IF(AB9200&gt;AB9199,AB9200,"")</f>
        <v/>
      </c>
    </row>
    <row r="9201">
      <c r="W9201" s="7" t="n"/>
      <c r="X9201" s="7" t="n"/>
      <c r="Z9201">
        <f>Z9200+IF(W9201="",0,IF(ISNA(MATCH(W9201,W$256:W9200,0)),1,0))</f>
        <v/>
      </c>
      <c r="AA9201">
        <f>IF(Z9201&gt;Z9200,Z9201,"")</f>
        <v/>
      </c>
      <c r="AB9201">
        <f>AB9200+IF(X9201="",0,IF(ISNA(MATCH(X9201,X$256:X9200,0)),1,0))</f>
        <v/>
      </c>
      <c r="AC9201">
        <f>IF(AB9201&gt;AB9200,AB9201,"")</f>
        <v/>
      </c>
    </row>
    <row r="9202">
      <c r="W9202" s="7" t="n"/>
      <c r="X9202" s="7" t="n"/>
      <c r="Z9202">
        <f>Z9201+IF(W9202="",0,IF(ISNA(MATCH(W9202,W$256:W9201,0)),1,0))</f>
        <v/>
      </c>
      <c r="AA9202">
        <f>IF(Z9202&gt;Z9201,Z9202,"")</f>
        <v/>
      </c>
      <c r="AB9202">
        <f>AB9201+IF(X9202="",0,IF(ISNA(MATCH(X9202,X$256:X9201,0)),1,0))</f>
        <v/>
      </c>
      <c r="AC9202">
        <f>IF(AB9202&gt;AB9201,AB9202,"")</f>
        <v/>
      </c>
    </row>
    <row r="9203">
      <c r="W9203" s="7" t="n"/>
      <c r="X9203" s="7" t="n"/>
      <c r="Z9203">
        <f>Z9202+IF(W9203="",0,IF(ISNA(MATCH(W9203,W$256:W9202,0)),1,0))</f>
        <v/>
      </c>
      <c r="AA9203">
        <f>IF(Z9203&gt;Z9202,Z9203,"")</f>
        <v/>
      </c>
      <c r="AB9203">
        <f>AB9202+IF(X9203="",0,IF(ISNA(MATCH(X9203,X$256:X9202,0)),1,0))</f>
        <v/>
      </c>
      <c r="AC9203">
        <f>IF(AB9203&gt;AB9202,AB9203,"")</f>
        <v/>
      </c>
    </row>
    <row r="9204">
      <c r="W9204" s="7" t="n"/>
      <c r="X9204" s="7" t="n"/>
      <c r="Z9204">
        <f>Z9203+IF(W9204="",0,IF(ISNA(MATCH(W9204,W$256:W9203,0)),1,0))</f>
        <v/>
      </c>
      <c r="AA9204">
        <f>IF(Z9204&gt;Z9203,Z9204,"")</f>
        <v/>
      </c>
      <c r="AB9204">
        <f>AB9203+IF(X9204="",0,IF(ISNA(MATCH(X9204,X$256:X9203,0)),1,0))</f>
        <v/>
      </c>
      <c r="AC9204">
        <f>IF(AB9204&gt;AB9203,AB9204,"")</f>
        <v/>
      </c>
    </row>
    <row r="9205">
      <c r="W9205" s="7" t="n"/>
      <c r="X9205" s="7" t="n"/>
      <c r="Z9205">
        <f>Z9204+IF(W9205="",0,IF(ISNA(MATCH(W9205,W$256:W9204,0)),1,0))</f>
        <v/>
      </c>
      <c r="AA9205">
        <f>IF(Z9205&gt;Z9204,Z9205,"")</f>
        <v/>
      </c>
      <c r="AB9205">
        <f>AB9204+IF(X9205="",0,IF(ISNA(MATCH(X9205,X$256:X9204,0)),1,0))</f>
        <v/>
      </c>
      <c r="AC9205">
        <f>IF(AB9205&gt;AB9204,AB9205,"")</f>
        <v/>
      </c>
    </row>
    <row r="9206">
      <c r="W9206" s="7" t="n"/>
      <c r="X9206" s="7" t="n"/>
      <c r="Z9206">
        <f>Z9205+IF(W9206="",0,IF(ISNA(MATCH(W9206,W$256:W9205,0)),1,0))</f>
        <v/>
      </c>
      <c r="AA9206">
        <f>IF(Z9206&gt;Z9205,Z9206,"")</f>
        <v/>
      </c>
      <c r="AB9206">
        <f>AB9205+IF(X9206="",0,IF(ISNA(MATCH(X9206,X$256:X9205,0)),1,0))</f>
        <v/>
      </c>
      <c r="AC9206">
        <f>IF(AB9206&gt;AB9205,AB9206,"")</f>
        <v/>
      </c>
    </row>
    <row r="9207">
      <c r="W9207" s="7" t="n"/>
      <c r="X9207" s="7" t="n"/>
      <c r="Z9207">
        <f>Z9206+IF(W9207="",0,IF(ISNA(MATCH(W9207,W$256:W9206,0)),1,0))</f>
        <v/>
      </c>
      <c r="AA9207">
        <f>IF(Z9207&gt;Z9206,Z9207,"")</f>
        <v/>
      </c>
      <c r="AB9207">
        <f>AB9206+IF(X9207="",0,IF(ISNA(MATCH(X9207,X$256:X9206,0)),1,0))</f>
        <v/>
      </c>
      <c r="AC9207">
        <f>IF(AB9207&gt;AB9206,AB9207,"")</f>
        <v/>
      </c>
    </row>
    <row r="9208">
      <c r="W9208" s="7" t="n"/>
      <c r="X9208" s="7" t="n"/>
      <c r="Z9208">
        <f>Z9207+IF(W9208="",0,IF(ISNA(MATCH(W9208,W$256:W9207,0)),1,0))</f>
        <v/>
      </c>
      <c r="AA9208">
        <f>IF(Z9208&gt;Z9207,Z9208,"")</f>
        <v/>
      </c>
      <c r="AB9208">
        <f>AB9207+IF(X9208="",0,IF(ISNA(MATCH(X9208,X$256:X9207,0)),1,0))</f>
        <v/>
      </c>
      <c r="AC9208">
        <f>IF(AB9208&gt;AB9207,AB9208,"")</f>
        <v/>
      </c>
    </row>
    <row r="9209">
      <c r="W9209" s="7" t="n"/>
      <c r="X9209" s="7" t="n"/>
      <c r="Z9209">
        <f>Z9208+IF(W9209="",0,IF(ISNA(MATCH(W9209,W$256:W9208,0)),1,0))</f>
        <v/>
      </c>
      <c r="AA9209">
        <f>IF(Z9209&gt;Z9208,Z9209,"")</f>
        <v/>
      </c>
      <c r="AB9209">
        <f>AB9208+IF(X9209="",0,IF(ISNA(MATCH(X9209,X$256:X9208,0)),1,0))</f>
        <v/>
      </c>
      <c r="AC9209">
        <f>IF(AB9209&gt;AB9208,AB9209,"")</f>
        <v/>
      </c>
    </row>
    <row r="9210">
      <c r="W9210" s="7" t="n"/>
      <c r="X9210" s="7" t="n"/>
      <c r="Z9210">
        <f>Z9209+IF(W9210="",0,IF(ISNA(MATCH(W9210,W$256:W9209,0)),1,0))</f>
        <v/>
      </c>
      <c r="AA9210">
        <f>IF(Z9210&gt;Z9209,Z9210,"")</f>
        <v/>
      </c>
      <c r="AB9210">
        <f>AB9209+IF(X9210="",0,IF(ISNA(MATCH(X9210,X$256:X9209,0)),1,0))</f>
        <v/>
      </c>
      <c r="AC9210">
        <f>IF(AB9210&gt;AB9209,AB9210,"")</f>
        <v/>
      </c>
    </row>
    <row r="9211">
      <c r="W9211" s="7" t="n"/>
      <c r="X9211" s="7" t="n"/>
      <c r="Z9211">
        <f>Z9210+IF(W9211="",0,IF(ISNA(MATCH(W9211,W$256:W9210,0)),1,0))</f>
        <v/>
      </c>
      <c r="AA9211">
        <f>IF(Z9211&gt;Z9210,Z9211,"")</f>
        <v/>
      </c>
      <c r="AB9211">
        <f>AB9210+IF(X9211="",0,IF(ISNA(MATCH(X9211,X$256:X9210,0)),1,0))</f>
        <v/>
      </c>
      <c r="AC9211">
        <f>IF(AB9211&gt;AB9210,AB9211,"")</f>
        <v/>
      </c>
    </row>
    <row r="9212">
      <c r="W9212" s="7" t="n"/>
      <c r="X9212" s="7" t="n"/>
      <c r="Z9212">
        <f>Z9211+IF(W9212="",0,IF(ISNA(MATCH(W9212,W$256:W9211,0)),1,0))</f>
        <v/>
      </c>
      <c r="AA9212">
        <f>IF(Z9212&gt;Z9211,Z9212,"")</f>
        <v/>
      </c>
      <c r="AB9212">
        <f>AB9211+IF(X9212="",0,IF(ISNA(MATCH(X9212,X$256:X9211,0)),1,0))</f>
        <v/>
      </c>
      <c r="AC9212">
        <f>IF(AB9212&gt;AB9211,AB9212,"")</f>
        <v/>
      </c>
    </row>
    <row r="9213">
      <c r="W9213" s="7" t="n"/>
      <c r="X9213" s="7" t="n"/>
      <c r="Z9213">
        <f>Z9212+IF(W9213="",0,IF(ISNA(MATCH(W9213,W$256:W9212,0)),1,0))</f>
        <v/>
      </c>
      <c r="AA9213">
        <f>IF(Z9213&gt;Z9212,Z9213,"")</f>
        <v/>
      </c>
      <c r="AB9213">
        <f>AB9212+IF(X9213="",0,IF(ISNA(MATCH(X9213,X$256:X9212,0)),1,0))</f>
        <v/>
      </c>
      <c r="AC9213">
        <f>IF(AB9213&gt;AB9212,AB9213,"")</f>
        <v/>
      </c>
    </row>
    <row r="9214">
      <c r="W9214" s="7" t="n"/>
      <c r="X9214" s="7" t="n"/>
      <c r="Z9214">
        <f>Z9213+IF(W9214="",0,IF(ISNA(MATCH(W9214,W$256:W9213,0)),1,0))</f>
        <v/>
      </c>
      <c r="AA9214">
        <f>IF(Z9214&gt;Z9213,Z9214,"")</f>
        <v/>
      </c>
      <c r="AB9214">
        <f>AB9213+IF(X9214="",0,IF(ISNA(MATCH(X9214,X$256:X9213,0)),1,0))</f>
        <v/>
      </c>
      <c r="AC9214">
        <f>IF(AB9214&gt;AB9213,AB9214,"")</f>
        <v/>
      </c>
    </row>
    <row r="9215">
      <c r="W9215" s="7" t="n"/>
      <c r="X9215" s="7" t="n"/>
      <c r="Z9215">
        <f>Z9214+IF(W9215="",0,IF(ISNA(MATCH(W9215,W$256:W9214,0)),1,0))</f>
        <v/>
      </c>
      <c r="AA9215">
        <f>IF(Z9215&gt;Z9214,Z9215,"")</f>
        <v/>
      </c>
      <c r="AB9215">
        <f>AB9214+IF(X9215="",0,IF(ISNA(MATCH(X9215,X$256:X9214,0)),1,0))</f>
        <v/>
      </c>
      <c r="AC9215">
        <f>IF(AB9215&gt;AB9214,AB9215,"")</f>
        <v/>
      </c>
    </row>
    <row r="9216">
      <c r="W9216" s="7" t="n"/>
      <c r="X9216" s="7" t="n"/>
      <c r="Z9216">
        <f>Z9215+IF(W9216="",0,IF(ISNA(MATCH(W9216,W$256:W9215,0)),1,0))</f>
        <v/>
      </c>
      <c r="AA9216">
        <f>IF(Z9216&gt;Z9215,Z9216,"")</f>
        <v/>
      </c>
      <c r="AB9216">
        <f>AB9215+IF(X9216="",0,IF(ISNA(MATCH(X9216,X$256:X9215,0)),1,0))</f>
        <v/>
      </c>
      <c r="AC9216">
        <f>IF(AB9216&gt;AB9215,AB9216,"")</f>
        <v/>
      </c>
    </row>
    <row r="9217">
      <c r="W9217" s="7" t="n"/>
      <c r="X9217" s="7" t="n"/>
      <c r="Z9217">
        <f>Z9216+IF(W9217="",0,IF(ISNA(MATCH(W9217,W$256:W9216,0)),1,0))</f>
        <v/>
      </c>
      <c r="AA9217">
        <f>IF(Z9217&gt;Z9216,Z9217,"")</f>
        <v/>
      </c>
      <c r="AB9217">
        <f>AB9216+IF(X9217="",0,IF(ISNA(MATCH(X9217,X$256:X9216,0)),1,0))</f>
        <v/>
      </c>
      <c r="AC9217">
        <f>IF(AB9217&gt;AB9216,AB9217,"")</f>
        <v/>
      </c>
    </row>
    <row r="9218">
      <c r="W9218" s="7" t="n"/>
      <c r="X9218" s="7" t="n"/>
      <c r="Z9218">
        <f>Z9217+IF(W9218="",0,IF(ISNA(MATCH(W9218,W$256:W9217,0)),1,0))</f>
        <v/>
      </c>
      <c r="AA9218">
        <f>IF(Z9218&gt;Z9217,Z9218,"")</f>
        <v/>
      </c>
      <c r="AB9218">
        <f>AB9217+IF(X9218="",0,IF(ISNA(MATCH(X9218,X$256:X9217,0)),1,0))</f>
        <v/>
      </c>
      <c r="AC9218">
        <f>IF(AB9218&gt;AB9217,AB9218,"")</f>
        <v/>
      </c>
    </row>
    <row r="9219">
      <c r="W9219" s="7" t="n"/>
      <c r="X9219" s="7" t="n"/>
      <c r="Z9219">
        <f>Z9218+IF(W9219="",0,IF(ISNA(MATCH(W9219,W$256:W9218,0)),1,0))</f>
        <v/>
      </c>
      <c r="AA9219">
        <f>IF(Z9219&gt;Z9218,Z9219,"")</f>
        <v/>
      </c>
      <c r="AB9219">
        <f>AB9218+IF(X9219="",0,IF(ISNA(MATCH(X9219,X$256:X9218,0)),1,0))</f>
        <v/>
      </c>
      <c r="AC9219">
        <f>IF(AB9219&gt;AB9218,AB9219,"")</f>
        <v/>
      </c>
    </row>
    <row r="9220">
      <c r="W9220" s="7" t="n"/>
      <c r="X9220" s="7" t="n"/>
      <c r="Z9220">
        <f>Z9219+IF(W9220="",0,IF(ISNA(MATCH(W9220,W$256:W9219,0)),1,0))</f>
        <v/>
      </c>
      <c r="AA9220">
        <f>IF(Z9220&gt;Z9219,Z9220,"")</f>
        <v/>
      </c>
      <c r="AB9220">
        <f>AB9219+IF(X9220="",0,IF(ISNA(MATCH(X9220,X$256:X9219,0)),1,0))</f>
        <v/>
      </c>
      <c r="AC9220">
        <f>IF(AB9220&gt;AB9219,AB9220,"")</f>
        <v/>
      </c>
    </row>
    <row r="9221">
      <c r="W9221" s="7" t="n"/>
      <c r="X9221" s="7" t="n"/>
      <c r="Z9221">
        <f>Z9220+IF(W9221="",0,IF(ISNA(MATCH(W9221,W$256:W9220,0)),1,0))</f>
        <v/>
      </c>
      <c r="AA9221">
        <f>IF(Z9221&gt;Z9220,Z9221,"")</f>
        <v/>
      </c>
      <c r="AB9221">
        <f>AB9220+IF(X9221="",0,IF(ISNA(MATCH(X9221,X$256:X9220,0)),1,0))</f>
        <v/>
      </c>
      <c r="AC9221">
        <f>IF(AB9221&gt;AB9220,AB9221,"")</f>
        <v/>
      </c>
    </row>
    <row r="9222">
      <c r="W9222" s="7" t="n"/>
      <c r="X9222" s="7" t="n"/>
      <c r="Z9222">
        <f>Z9221+IF(W9222="",0,IF(ISNA(MATCH(W9222,W$256:W9221,0)),1,0))</f>
        <v/>
      </c>
      <c r="AA9222">
        <f>IF(Z9222&gt;Z9221,Z9222,"")</f>
        <v/>
      </c>
      <c r="AB9222">
        <f>AB9221+IF(X9222="",0,IF(ISNA(MATCH(X9222,X$256:X9221,0)),1,0))</f>
        <v/>
      </c>
      <c r="AC9222">
        <f>IF(AB9222&gt;AB9221,AB9222,"")</f>
        <v/>
      </c>
    </row>
    <row r="9223">
      <c r="W9223" s="7" t="n"/>
      <c r="X9223" s="7" t="n"/>
      <c r="Z9223">
        <f>Z9222+IF(W9223="",0,IF(ISNA(MATCH(W9223,W$256:W9222,0)),1,0))</f>
        <v/>
      </c>
      <c r="AA9223">
        <f>IF(Z9223&gt;Z9222,Z9223,"")</f>
        <v/>
      </c>
      <c r="AB9223">
        <f>AB9222+IF(X9223="",0,IF(ISNA(MATCH(X9223,X$256:X9222,0)),1,0))</f>
        <v/>
      </c>
      <c r="AC9223">
        <f>IF(AB9223&gt;AB9222,AB9223,"")</f>
        <v/>
      </c>
    </row>
    <row r="9224">
      <c r="W9224" s="7" t="n"/>
      <c r="X9224" s="7" t="n"/>
      <c r="Z9224">
        <f>Z9223+IF(W9224="",0,IF(ISNA(MATCH(W9224,W$256:W9223,0)),1,0))</f>
        <v/>
      </c>
      <c r="AA9224">
        <f>IF(Z9224&gt;Z9223,Z9224,"")</f>
        <v/>
      </c>
      <c r="AB9224">
        <f>AB9223+IF(X9224="",0,IF(ISNA(MATCH(X9224,X$256:X9223,0)),1,0))</f>
        <v/>
      </c>
      <c r="AC9224">
        <f>IF(AB9224&gt;AB9223,AB9224,"")</f>
        <v/>
      </c>
    </row>
    <row r="9225">
      <c r="W9225" s="7" t="n"/>
      <c r="X9225" s="7" t="n"/>
      <c r="Z9225">
        <f>Z9224+IF(W9225="",0,IF(ISNA(MATCH(W9225,W$256:W9224,0)),1,0))</f>
        <v/>
      </c>
      <c r="AA9225">
        <f>IF(Z9225&gt;Z9224,Z9225,"")</f>
        <v/>
      </c>
      <c r="AB9225">
        <f>AB9224+IF(X9225="",0,IF(ISNA(MATCH(X9225,X$256:X9224,0)),1,0))</f>
        <v/>
      </c>
      <c r="AC9225">
        <f>IF(AB9225&gt;AB9224,AB9225,"")</f>
        <v/>
      </c>
    </row>
    <row r="9226">
      <c r="W9226" s="7" t="n"/>
      <c r="X9226" s="7" t="n"/>
      <c r="Z9226">
        <f>Z9225+IF(W9226="",0,IF(ISNA(MATCH(W9226,W$256:W9225,0)),1,0))</f>
        <v/>
      </c>
      <c r="AA9226">
        <f>IF(Z9226&gt;Z9225,Z9226,"")</f>
        <v/>
      </c>
      <c r="AB9226">
        <f>AB9225+IF(X9226="",0,IF(ISNA(MATCH(X9226,X$256:X9225,0)),1,0))</f>
        <v/>
      </c>
      <c r="AC9226">
        <f>IF(AB9226&gt;AB9225,AB9226,"")</f>
        <v/>
      </c>
    </row>
    <row r="9227">
      <c r="W9227" s="7" t="n"/>
      <c r="X9227" s="7" t="n"/>
      <c r="Z9227">
        <f>Z9226+IF(W9227="",0,IF(ISNA(MATCH(W9227,W$256:W9226,0)),1,0))</f>
        <v/>
      </c>
      <c r="AA9227">
        <f>IF(Z9227&gt;Z9226,Z9227,"")</f>
        <v/>
      </c>
      <c r="AB9227">
        <f>AB9226+IF(X9227="",0,IF(ISNA(MATCH(X9227,X$256:X9226,0)),1,0))</f>
        <v/>
      </c>
      <c r="AC9227">
        <f>IF(AB9227&gt;AB9226,AB9227,"")</f>
        <v/>
      </c>
    </row>
    <row r="9228">
      <c r="W9228" s="7" t="n"/>
      <c r="X9228" s="7" t="n"/>
      <c r="Z9228">
        <f>Z9227+IF(W9228="",0,IF(ISNA(MATCH(W9228,W$256:W9227,0)),1,0))</f>
        <v/>
      </c>
      <c r="AA9228">
        <f>IF(Z9228&gt;Z9227,Z9228,"")</f>
        <v/>
      </c>
      <c r="AB9228">
        <f>AB9227+IF(X9228="",0,IF(ISNA(MATCH(X9228,X$256:X9227,0)),1,0))</f>
        <v/>
      </c>
      <c r="AC9228">
        <f>IF(AB9228&gt;AB9227,AB9228,"")</f>
        <v/>
      </c>
    </row>
    <row r="9229">
      <c r="W9229" s="7" t="n"/>
      <c r="X9229" s="7" t="n"/>
      <c r="Z9229">
        <f>Z9228+IF(W9229="",0,IF(ISNA(MATCH(W9229,W$256:W9228,0)),1,0))</f>
        <v/>
      </c>
      <c r="AA9229">
        <f>IF(Z9229&gt;Z9228,Z9229,"")</f>
        <v/>
      </c>
      <c r="AB9229">
        <f>AB9228+IF(X9229="",0,IF(ISNA(MATCH(X9229,X$256:X9228,0)),1,0))</f>
        <v/>
      </c>
      <c r="AC9229">
        <f>IF(AB9229&gt;AB9228,AB9229,"")</f>
        <v/>
      </c>
    </row>
    <row r="9230">
      <c r="W9230" s="7" t="n"/>
      <c r="X9230" s="7" t="n"/>
      <c r="Z9230">
        <f>Z9229+IF(W9230="",0,IF(ISNA(MATCH(W9230,W$256:W9229,0)),1,0))</f>
        <v/>
      </c>
      <c r="AA9230">
        <f>IF(Z9230&gt;Z9229,Z9230,"")</f>
        <v/>
      </c>
      <c r="AB9230">
        <f>AB9229+IF(X9230="",0,IF(ISNA(MATCH(X9230,X$256:X9229,0)),1,0))</f>
        <v/>
      </c>
      <c r="AC9230">
        <f>IF(AB9230&gt;AB9229,AB9230,"")</f>
        <v/>
      </c>
    </row>
    <row r="9231">
      <c r="W9231" s="7" t="n"/>
      <c r="X9231" s="7" t="n"/>
      <c r="Z9231">
        <f>Z9230+IF(W9231="",0,IF(ISNA(MATCH(W9231,W$256:W9230,0)),1,0))</f>
        <v/>
      </c>
      <c r="AA9231">
        <f>IF(Z9231&gt;Z9230,Z9231,"")</f>
        <v/>
      </c>
      <c r="AB9231">
        <f>AB9230+IF(X9231="",0,IF(ISNA(MATCH(X9231,X$256:X9230,0)),1,0))</f>
        <v/>
      </c>
      <c r="AC9231">
        <f>IF(AB9231&gt;AB9230,AB9231,"")</f>
        <v/>
      </c>
    </row>
    <row r="9232">
      <c r="W9232" s="7" t="n"/>
      <c r="X9232" s="7" t="n"/>
      <c r="Z9232">
        <f>Z9231+IF(W9232="",0,IF(ISNA(MATCH(W9232,W$256:W9231,0)),1,0))</f>
        <v/>
      </c>
      <c r="AA9232">
        <f>IF(Z9232&gt;Z9231,Z9232,"")</f>
        <v/>
      </c>
      <c r="AB9232">
        <f>AB9231+IF(X9232="",0,IF(ISNA(MATCH(X9232,X$256:X9231,0)),1,0))</f>
        <v/>
      </c>
      <c r="AC9232">
        <f>IF(AB9232&gt;AB9231,AB9232,"")</f>
        <v/>
      </c>
    </row>
    <row r="9233">
      <c r="W9233" s="7" t="n"/>
      <c r="X9233" s="7" t="n"/>
      <c r="Z9233">
        <f>Z9232+IF(W9233="",0,IF(ISNA(MATCH(W9233,W$256:W9232,0)),1,0))</f>
        <v/>
      </c>
      <c r="AA9233">
        <f>IF(Z9233&gt;Z9232,Z9233,"")</f>
        <v/>
      </c>
      <c r="AB9233">
        <f>AB9232+IF(X9233="",0,IF(ISNA(MATCH(X9233,X$256:X9232,0)),1,0))</f>
        <v/>
      </c>
      <c r="AC9233">
        <f>IF(AB9233&gt;AB9232,AB9233,"")</f>
        <v/>
      </c>
    </row>
    <row r="9234">
      <c r="W9234" s="7" t="n"/>
      <c r="X9234" s="7" t="n"/>
      <c r="Z9234">
        <f>Z9233+IF(W9234="",0,IF(ISNA(MATCH(W9234,W$256:W9233,0)),1,0))</f>
        <v/>
      </c>
      <c r="AA9234">
        <f>IF(Z9234&gt;Z9233,Z9234,"")</f>
        <v/>
      </c>
      <c r="AB9234">
        <f>AB9233+IF(X9234="",0,IF(ISNA(MATCH(X9234,X$256:X9233,0)),1,0))</f>
        <v/>
      </c>
      <c r="AC9234">
        <f>IF(AB9234&gt;AB9233,AB9234,"")</f>
        <v/>
      </c>
    </row>
    <row r="9235">
      <c r="W9235" s="7" t="n"/>
      <c r="X9235" s="7" t="n"/>
      <c r="Z9235">
        <f>Z9234+IF(W9235="",0,IF(ISNA(MATCH(W9235,W$256:W9234,0)),1,0))</f>
        <v/>
      </c>
      <c r="AA9235">
        <f>IF(Z9235&gt;Z9234,Z9235,"")</f>
        <v/>
      </c>
      <c r="AB9235">
        <f>AB9234+IF(X9235="",0,IF(ISNA(MATCH(X9235,X$256:X9234,0)),1,0))</f>
        <v/>
      </c>
      <c r="AC9235">
        <f>IF(AB9235&gt;AB9234,AB9235,"")</f>
        <v/>
      </c>
    </row>
    <row r="9236">
      <c r="W9236" s="7" t="n"/>
      <c r="X9236" s="7" t="n"/>
      <c r="Z9236">
        <f>Z9235+IF(W9236="",0,IF(ISNA(MATCH(W9236,W$256:W9235,0)),1,0))</f>
        <v/>
      </c>
      <c r="AA9236">
        <f>IF(Z9236&gt;Z9235,Z9236,"")</f>
        <v/>
      </c>
      <c r="AB9236">
        <f>AB9235+IF(X9236="",0,IF(ISNA(MATCH(X9236,X$256:X9235,0)),1,0))</f>
        <v/>
      </c>
      <c r="AC9236">
        <f>IF(AB9236&gt;AB9235,AB9236,"")</f>
        <v/>
      </c>
    </row>
    <row r="9237">
      <c r="W9237" s="7" t="n"/>
      <c r="X9237" s="7" t="n"/>
      <c r="Z9237">
        <f>Z9236+IF(W9237="",0,IF(ISNA(MATCH(W9237,W$256:W9236,0)),1,0))</f>
        <v/>
      </c>
      <c r="AA9237">
        <f>IF(Z9237&gt;Z9236,Z9237,"")</f>
        <v/>
      </c>
      <c r="AB9237">
        <f>AB9236+IF(X9237="",0,IF(ISNA(MATCH(X9237,X$256:X9236,0)),1,0))</f>
        <v/>
      </c>
      <c r="AC9237">
        <f>IF(AB9237&gt;AB9236,AB9237,"")</f>
        <v/>
      </c>
    </row>
    <row r="9238">
      <c r="W9238" s="7" t="n"/>
      <c r="X9238" s="7" t="n"/>
      <c r="Z9238">
        <f>Z9237+IF(W9238="",0,IF(ISNA(MATCH(W9238,W$256:W9237,0)),1,0))</f>
        <v/>
      </c>
      <c r="AA9238">
        <f>IF(Z9238&gt;Z9237,Z9238,"")</f>
        <v/>
      </c>
      <c r="AB9238">
        <f>AB9237+IF(X9238="",0,IF(ISNA(MATCH(X9238,X$256:X9237,0)),1,0))</f>
        <v/>
      </c>
      <c r="AC9238">
        <f>IF(AB9238&gt;AB9237,AB9238,"")</f>
        <v/>
      </c>
    </row>
    <row r="9239">
      <c r="W9239" s="7" t="n"/>
      <c r="X9239" s="7" t="n"/>
      <c r="Z9239">
        <f>Z9238+IF(W9239="",0,IF(ISNA(MATCH(W9239,W$256:W9238,0)),1,0))</f>
        <v/>
      </c>
      <c r="AA9239">
        <f>IF(Z9239&gt;Z9238,Z9239,"")</f>
        <v/>
      </c>
      <c r="AB9239">
        <f>AB9238+IF(X9239="",0,IF(ISNA(MATCH(X9239,X$256:X9238,0)),1,0))</f>
        <v/>
      </c>
      <c r="AC9239">
        <f>IF(AB9239&gt;AB9238,AB9239,"")</f>
        <v/>
      </c>
    </row>
    <row r="9240">
      <c r="W9240" s="7" t="n"/>
      <c r="X9240" s="7" t="n"/>
      <c r="Z9240">
        <f>Z9239+IF(W9240="",0,IF(ISNA(MATCH(W9240,W$256:W9239,0)),1,0))</f>
        <v/>
      </c>
      <c r="AA9240">
        <f>IF(Z9240&gt;Z9239,Z9240,"")</f>
        <v/>
      </c>
      <c r="AB9240">
        <f>AB9239+IF(X9240="",0,IF(ISNA(MATCH(X9240,X$256:X9239,0)),1,0))</f>
        <v/>
      </c>
      <c r="AC9240">
        <f>IF(AB9240&gt;AB9239,AB9240,"")</f>
        <v/>
      </c>
    </row>
    <row r="9241">
      <c r="W9241" s="7" t="n"/>
      <c r="X9241" s="7" t="n"/>
      <c r="Z9241">
        <f>Z9240+IF(W9241="",0,IF(ISNA(MATCH(W9241,W$256:W9240,0)),1,0))</f>
        <v/>
      </c>
      <c r="AA9241">
        <f>IF(Z9241&gt;Z9240,Z9241,"")</f>
        <v/>
      </c>
      <c r="AB9241">
        <f>AB9240+IF(X9241="",0,IF(ISNA(MATCH(X9241,X$256:X9240,0)),1,0))</f>
        <v/>
      </c>
      <c r="AC9241">
        <f>IF(AB9241&gt;AB9240,AB9241,"")</f>
        <v/>
      </c>
    </row>
    <row r="9242">
      <c r="W9242" s="7" t="n"/>
      <c r="X9242" s="7" t="n"/>
      <c r="Z9242">
        <f>Z9241+IF(W9242="",0,IF(ISNA(MATCH(W9242,W$256:W9241,0)),1,0))</f>
        <v/>
      </c>
      <c r="AA9242">
        <f>IF(Z9242&gt;Z9241,Z9242,"")</f>
        <v/>
      </c>
      <c r="AB9242">
        <f>AB9241+IF(X9242="",0,IF(ISNA(MATCH(X9242,X$256:X9241,0)),1,0))</f>
        <v/>
      </c>
      <c r="AC9242">
        <f>IF(AB9242&gt;AB9241,AB9242,"")</f>
        <v/>
      </c>
    </row>
    <row r="9243">
      <c r="W9243" s="7" t="n"/>
      <c r="X9243" s="7" t="n"/>
      <c r="Z9243">
        <f>Z9242+IF(W9243="",0,IF(ISNA(MATCH(W9243,W$256:W9242,0)),1,0))</f>
        <v/>
      </c>
      <c r="AA9243">
        <f>IF(Z9243&gt;Z9242,Z9243,"")</f>
        <v/>
      </c>
      <c r="AB9243">
        <f>AB9242+IF(X9243="",0,IF(ISNA(MATCH(X9243,X$256:X9242,0)),1,0))</f>
        <v/>
      </c>
      <c r="AC9243">
        <f>IF(AB9243&gt;AB9242,AB9243,"")</f>
        <v/>
      </c>
    </row>
    <row r="9244">
      <c r="W9244" s="7" t="n"/>
      <c r="X9244" s="7" t="n"/>
      <c r="Z9244">
        <f>Z9243+IF(W9244="",0,IF(ISNA(MATCH(W9244,W$256:W9243,0)),1,0))</f>
        <v/>
      </c>
      <c r="AA9244">
        <f>IF(Z9244&gt;Z9243,Z9244,"")</f>
        <v/>
      </c>
      <c r="AB9244">
        <f>AB9243+IF(X9244="",0,IF(ISNA(MATCH(X9244,X$256:X9243,0)),1,0))</f>
        <v/>
      </c>
      <c r="AC9244">
        <f>IF(AB9244&gt;AB9243,AB9244,"")</f>
        <v/>
      </c>
    </row>
    <row r="9245">
      <c r="W9245" s="7" t="n"/>
      <c r="X9245" s="7" t="n"/>
      <c r="Z9245">
        <f>Z9244+IF(W9245="",0,IF(ISNA(MATCH(W9245,W$256:W9244,0)),1,0))</f>
        <v/>
      </c>
      <c r="AA9245">
        <f>IF(Z9245&gt;Z9244,Z9245,"")</f>
        <v/>
      </c>
      <c r="AB9245">
        <f>AB9244+IF(X9245="",0,IF(ISNA(MATCH(X9245,X$256:X9244,0)),1,0))</f>
        <v/>
      </c>
      <c r="AC9245">
        <f>IF(AB9245&gt;AB9244,AB9245,"")</f>
        <v/>
      </c>
    </row>
    <row r="9246">
      <c r="W9246" s="7" t="n"/>
      <c r="X9246" s="7" t="n"/>
      <c r="Z9246">
        <f>Z9245+IF(W9246="",0,IF(ISNA(MATCH(W9246,W$256:W9245,0)),1,0))</f>
        <v/>
      </c>
      <c r="AA9246">
        <f>IF(Z9246&gt;Z9245,Z9246,"")</f>
        <v/>
      </c>
      <c r="AB9246">
        <f>AB9245+IF(X9246="",0,IF(ISNA(MATCH(X9246,X$256:X9245,0)),1,0))</f>
        <v/>
      </c>
      <c r="AC9246">
        <f>IF(AB9246&gt;AB9245,AB9246,"")</f>
        <v/>
      </c>
    </row>
    <row r="9247">
      <c r="W9247" s="7" t="n"/>
      <c r="X9247" s="7" t="n"/>
      <c r="Z9247">
        <f>Z9246+IF(W9247="",0,IF(ISNA(MATCH(W9247,W$256:W9246,0)),1,0))</f>
        <v/>
      </c>
      <c r="AA9247">
        <f>IF(Z9247&gt;Z9246,Z9247,"")</f>
        <v/>
      </c>
      <c r="AB9247">
        <f>AB9246+IF(X9247="",0,IF(ISNA(MATCH(X9247,X$256:X9246,0)),1,0))</f>
        <v/>
      </c>
      <c r="AC9247">
        <f>IF(AB9247&gt;AB9246,AB9247,"")</f>
        <v/>
      </c>
    </row>
    <row r="9248">
      <c r="W9248" s="7" t="n"/>
      <c r="X9248" s="7" t="n"/>
      <c r="Z9248">
        <f>Z9247+IF(W9248="",0,IF(ISNA(MATCH(W9248,W$256:W9247,0)),1,0))</f>
        <v/>
      </c>
      <c r="AA9248">
        <f>IF(Z9248&gt;Z9247,Z9248,"")</f>
        <v/>
      </c>
      <c r="AB9248">
        <f>AB9247+IF(X9248="",0,IF(ISNA(MATCH(X9248,X$256:X9247,0)),1,0))</f>
        <v/>
      </c>
      <c r="AC9248">
        <f>IF(AB9248&gt;AB9247,AB9248,"")</f>
        <v/>
      </c>
    </row>
    <row r="9249">
      <c r="W9249" s="7" t="n"/>
      <c r="X9249" s="7" t="n"/>
      <c r="Z9249">
        <f>Z9248+IF(W9249="",0,IF(ISNA(MATCH(W9249,W$256:W9248,0)),1,0))</f>
        <v/>
      </c>
      <c r="AA9249">
        <f>IF(Z9249&gt;Z9248,Z9249,"")</f>
        <v/>
      </c>
      <c r="AB9249">
        <f>AB9248+IF(X9249="",0,IF(ISNA(MATCH(X9249,X$256:X9248,0)),1,0))</f>
        <v/>
      </c>
      <c r="AC9249">
        <f>IF(AB9249&gt;AB9248,AB9249,"")</f>
        <v/>
      </c>
    </row>
    <row r="9250">
      <c r="W9250" s="7" t="n"/>
      <c r="X9250" s="7" t="n"/>
      <c r="Z9250">
        <f>Z9249+IF(W9250="",0,IF(ISNA(MATCH(W9250,W$256:W9249,0)),1,0))</f>
        <v/>
      </c>
      <c r="AA9250">
        <f>IF(Z9250&gt;Z9249,Z9250,"")</f>
        <v/>
      </c>
      <c r="AB9250">
        <f>AB9249+IF(X9250="",0,IF(ISNA(MATCH(X9250,X$256:X9249,0)),1,0))</f>
        <v/>
      </c>
      <c r="AC9250">
        <f>IF(AB9250&gt;AB9249,AB9250,"")</f>
        <v/>
      </c>
    </row>
    <row r="9251">
      <c r="W9251" s="7" t="n"/>
      <c r="X9251" s="7" t="n"/>
      <c r="Z9251">
        <f>Z9250+IF(W9251="",0,IF(ISNA(MATCH(W9251,W$256:W9250,0)),1,0))</f>
        <v/>
      </c>
      <c r="AA9251">
        <f>IF(Z9251&gt;Z9250,Z9251,"")</f>
        <v/>
      </c>
      <c r="AB9251">
        <f>AB9250+IF(X9251="",0,IF(ISNA(MATCH(X9251,X$256:X9250,0)),1,0))</f>
        <v/>
      </c>
      <c r="AC9251">
        <f>IF(AB9251&gt;AB9250,AB9251,"")</f>
        <v/>
      </c>
    </row>
    <row r="9252">
      <c r="W9252" s="7" t="n"/>
      <c r="X9252" s="7" t="n"/>
      <c r="Z9252">
        <f>Z9251+IF(W9252="",0,IF(ISNA(MATCH(W9252,W$256:W9251,0)),1,0))</f>
        <v/>
      </c>
      <c r="AA9252">
        <f>IF(Z9252&gt;Z9251,Z9252,"")</f>
        <v/>
      </c>
      <c r="AB9252">
        <f>AB9251+IF(X9252="",0,IF(ISNA(MATCH(X9252,X$256:X9251,0)),1,0))</f>
        <v/>
      </c>
      <c r="AC9252">
        <f>IF(AB9252&gt;AB9251,AB9252,"")</f>
        <v/>
      </c>
    </row>
    <row r="9253">
      <c r="W9253" s="7" t="n"/>
      <c r="X9253" s="7" t="n"/>
      <c r="Z9253">
        <f>Z9252+IF(W9253="",0,IF(ISNA(MATCH(W9253,W$256:W9252,0)),1,0))</f>
        <v/>
      </c>
      <c r="AA9253">
        <f>IF(Z9253&gt;Z9252,Z9253,"")</f>
        <v/>
      </c>
      <c r="AB9253">
        <f>AB9252+IF(X9253="",0,IF(ISNA(MATCH(X9253,X$256:X9252,0)),1,0))</f>
        <v/>
      </c>
      <c r="AC9253">
        <f>IF(AB9253&gt;AB9252,AB9253,"")</f>
        <v/>
      </c>
    </row>
    <row r="9254">
      <c r="W9254" s="7" t="n"/>
      <c r="X9254" s="7" t="n"/>
      <c r="Z9254">
        <f>Z9253+IF(W9254="",0,IF(ISNA(MATCH(W9254,W$256:W9253,0)),1,0))</f>
        <v/>
      </c>
      <c r="AA9254">
        <f>IF(Z9254&gt;Z9253,Z9254,"")</f>
        <v/>
      </c>
      <c r="AB9254">
        <f>AB9253+IF(X9254="",0,IF(ISNA(MATCH(X9254,X$256:X9253,0)),1,0))</f>
        <v/>
      </c>
      <c r="AC9254">
        <f>IF(AB9254&gt;AB9253,AB9254,"")</f>
        <v/>
      </c>
    </row>
    <row r="9255">
      <c r="W9255" s="7" t="n"/>
      <c r="X9255" s="7" t="n"/>
      <c r="Z9255">
        <f>Z9254+IF(W9255="",0,IF(ISNA(MATCH(W9255,W$256:W9254,0)),1,0))</f>
        <v/>
      </c>
      <c r="AA9255">
        <f>IF(Z9255&gt;Z9254,Z9255,"")</f>
        <v/>
      </c>
      <c r="AB9255">
        <f>AB9254+IF(X9255="",0,IF(ISNA(MATCH(X9255,X$256:X9254,0)),1,0))</f>
        <v/>
      </c>
      <c r="AC9255">
        <f>IF(AB9255&gt;AB9254,AB9255,"")</f>
        <v/>
      </c>
    </row>
    <row r="9256">
      <c r="W9256" s="7" t="n"/>
      <c r="X9256" s="7" t="n"/>
      <c r="Z9256">
        <f>Z9255+IF(W9256="",0,IF(ISNA(MATCH(W9256,W$256:W9255,0)),1,0))</f>
        <v/>
      </c>
      <c r="AA9256">
        <f>IF(Z9256&gt;Z9255,Z9256,"")</f>
        <v/>
      </c>
      <c r="AB9256">
        <f>AB9255+IF(X9256="",0,IF(ISNA(MATCH(X9256,X$256:X9255,0)),1,0))</f>
        <v/>
      </c>
      <c r="AC9256">
        <f>IF(AB9256&gt;AB9255,AB9256,"")</f>
        <v/>
      </c>
    </row>
    <row r="9257">
      <c r="W9257" s="7" t="n"/>
      <c r="X9257" s="7" t="n"/>
      <c r="Z9257">
        <f>Z9256+IF(W9257="",0,IF(ISNA(MATCH(W9257,W$256:W9256,0)),1,0))</f>
        <v/>
      </c>
      <c r="AA9257">
        <f>IF(Z9257&gt;Z9256,Z9257,"")</f>
        <v/>
      </c>
      <c r="AB9257">
        <f>AB9256+IF(X9257="",0,IF(ISNA(MATCH(X9257,X$256:X9256,0)),1,0))</f>
        <v/>
      </c>
      <c r="AC9257">
        <f>IF(AB9257&gt;AB9256,AB9257,"")</f>
        <v/>
      </c>
    </row>
    <row r="9258">
      <c r="W9258" s="7" t="n"/>
      <c r="X9258" s="7" t="n"/>
      <c r="Z9258">
        <f>Z9257+IF(W9258="",0,IF(ISNA(MATCH(W9258,W$256:W9257,0)),1,0))</f>
        <v/>
      </c>
      <c r="AA9258">
        <f>IF(Z9258&gt;Z9257,Z9258,"")</f>
        <v/>
      </c>
      <c r="AB9258">
        <f>AB9257+IF(X9258="",0,IF(ISNA(MATCH(X9258,X$256:X9257,0)),1,0))</f>
        <v/>
      </c>
      <c r="AC9258">
        <f>IF(AB9258&gt;AB9257,AB9258,"")</f>
        <v/>
      </c>
    </row>
    <row r="9259">
      <c r="W9259" s="7" t="n"/>
      <c r="X9259" s="7" t="n"/>
      <c r="Z9259">
        <f>Z9258+IF(W9259="",0,IF(ISNA(MATCH(W9259,W$256:W9258,0)),1,0))</f>
        <v/>
      </c>
      <c r="AA9259">
        <f>IF(Z9259&gt;Z9258,Z9259,"")</f>
        <v/>
      </c>
      <c r="AB9259">
        <f>AB9258+IF(X9259="",0,IF(ISNA(MATCH(X9259,X$256:X9258,0)),1,0))</f>
        <v/>
      </c>
      <c r="AC9259">
        <f>IF(AB9259&gt;AB9258,AB9259,"")</f>
        <v/>
      </c>
    </row>
    <row r="9260">
      <c r="W9260" s="7" t="n"/>
      <c r="X9260" s="7" t="n"/>
      <c r="Z9260">
        <f>Z9259+IF(W9260="",0,IF(ISNA(MATCH(W9260,W$256:W9259,0)),1,0))</f>
        <v/>
      </c>
      <c r="AA9260">
        <f>IF(Z9260&gt;Z9259,Z9260,"")</f>
        <v/>
      </c>
      <c r="AB9260">
        <f>AB9259+IF(X9260="",0,IF(ISNA(MATCH(X9260,X$256:X9259,0)),1,0))</f>
        <v/>
      </c>
      <c r="AC9260">
        <f>IF(AB9260&gt;AB9259,AB9260,"")</f>
        <v/>
      </c>
    </row>
    <row r="9261">
      <c r="W9261" s="7" t="n"/>
      <c r="X9261" s="7" t="n"/>
      <c r="Z9261">
        <f>Z9260+IF(W9261="",0,IF(ISNA(MATCH(W9261,W$256:W9260,0)),1,0))</f>
        <v/>
      </c>
      <c r="AA9261">
        <f>IF(Z9261&gt;Z9260,Z9261,"")</f>
        <v/>
      </c>
      <c r="AB9261">
        <f>AB9260+IF(X9261="",0,IF(ISNA(MATCH(X9261,X$256:X9260,0)),1,0))</f>
        <v/>
      </c>
      <c r="AC9261">
        <f>IF(AB9261&gt;AB9260,AB9261,"")</f>
        <v/>
      </c>
    </row>
    <row r="9262">
      <c r="W9262" s="7" t="n"/>
      <c r="X9262" s="7" t="n"/>
      <c r="Z9262">
        <f>Z9261+IF(W9262="",0,IF(ISNA(MATCH(W9262,W$256:W9261,0)),1,0))</f>
        <v/>
      </c>
      <c r="AA9262">
        <f>IF(Z9262&gt;Z9261,Z9262,"")</f>
        <v/>
      </c>
      <c r="AB9262">
        <f>AB9261+IF(X9262="",0,IF(ISNA(MATCH(X9262,X$256:X9261,0)),1,0))</f>
        <v/>
      </c>
      <c r="AC9262">
        <f>IF(AB9262&gt;AB9261,AB9262,"")</f>
        <v/>
      </c>
    </row>
    <row r="9263">
      <c r="W9263" s="7" t="n"/>
      <c r="X9263" s="7" t="n"/>
      <c r="Z9263">
        <f>Z9262+IF(W9263="",0,IF(ISNA(MATCH(W9263,W$256:W9262,0)),1,0))</f>
        <v/>
      </c>
      <c r="AA9263">
        <f>IF(Z9263&gt;Z9262,Z9263,"")</f>
        <v/>
      </c>
      <c r="AB9263">
        <f>AB9262+IF(X9263="",0,IF(ISNA(MATCH(X9263,X$256:X9262,0)),1,0))</f>
        <v/>
      </c>
      <c r="AC9263">
        <f>IF(AB9263&gt;AB9262,AB9263,"")</f>
        <v/>
      </c>
    </row>
    <row r="9264">
      <c r="W9264" s="7" t="n"/>
      <c r="X9264" s="7" t="n"/>
      <c r="Z9264">
        <f>Z9263+IF(W9264="",0,IF(ISNA(MATCH(W9264,W$256:W9263,0)),1,0))</f>
        <v/>
      </c>
      <c r="AA9264">
        <f>IF(Z9264&gt;Z9263,Z9264,"")</f>
        <v/>
      </c>
      <c r="AB9264">
        <f>AB9263+IF(X9264="",0,IF(ISNA(MATCH(X9264,X$256:X9263,0)),1,0))</f>
        <v/>
      </c>
      <c r="AC9264">
        <f>IF(AB9264&gt;AB9263,AB9264,"")</f>
        <v/>
      </c>
    </row>
    <row r="9265">
      <c r="W9265" s="7" t="n"/>
      <c r="X9265" s="7" t="n"/>
      <c r="Z9265">
        <f>Z9264+IF(W9265="",0,IF(ISNA(MATCH(W9265,W$256:W9264,0)),1,0))</f>
        <v/>
      </c>
      <c r="AA9265">
        <f>IF(Z9265&gt;Z9264,Z9265,"")</f>
        <v/>
      </c>
      <c r="AB9265">
        <f>AB9264+IF(X9265="",0,IF(ISNA(MATCH(X9265,X$256:X9264,0)),1,0))</f>
        <v/>
      </c>
      <c r="AC9265">
        <f>IF(AB9265&gt;AB9264,AB9265,"")</f>
        <v/>
      </c>
    </row>
    <row r="9266">
      <c r="W9266" s="7" t="n"/>
      <c r="X9266" s="7" t="n"/>
      <c r="Z9266">
        <f>Z9265+IF(W9266="",0,IF(ISNA(MATCH(W9266,W$256:W9265,0)),1,0))</f>
        <v/>
      </c>
      <c r="AA9266">
        <f>IF(Z9266&gt;Z9265,Z9266,"")</f>
        <v/>
      </c>
      <c r="AB9266">
        <f>AB9265+IF(X9266="",0,IF(ISNA(MATCH(X9266,X$256:X9265,0)),1,0))</f>
        <v/>
      </c>
      <c r="AC9266">
        <f>IF(AB9266&gt;AB9265,AB9266,"")</f>
        <v/>
      </c>
    </row>
    <row r="9267">
      <c r="W9267" s="7" t="n"/>
      <c r="X9267" s="7" t="n"/>
      <c r="Z9267">
        <f>Z9266+IF(W9267="",0,IF(ISNA(MATCH(W9267,W$256:W9266,0)),1,0))</f>
        <v/>
      </c>
      <c r="AA9267">
        <f>IF(Z9267&gt;Z9266,Z9267,"")</f>
        <v/>
      </c>
      <c r="AB9267">
        <f>AB9266+IF(X9267="",0,IF(ISNA(MATCH(X9267,X$256:X9266,0)),1,0))</f>
        <v/>
      </c>
      <c r="AC9267">
        <f>IF(AB9267&gt;AB9266,AB9267,"")</f>
        <v/>
      </c>
    </row>
    <row r="9268">
      <c r="W9268" s="7" t="n"/>
      <c r="X9268" s="7" t="n"/>
      <c r="Z9268">
        <f>Z9267+IF(W9268="",0,IF(ISNA(MATCH(W9268,W$256:W9267,0)),1,0))</f>
        <v/>
      </c>
      <c r="AA9268">
        <f>IF(Z9268&gt;Z9267,Z9268,"")</f>
        <v/>
      </c>
      <c r="AB9268">
        <f>AB9267+IF(X9268="",0,IF(ISNA(MATCH(X9268,X$256:X9267,0)),1,0))</f>
        <v/>
      </c>
      <c r="AC9268">
        <f>IF(AB9268&gt;AB9267,AB9268,"")</f>
        <v/>
      </c>
    </row>
    <row r="9269">
      <c r="W9269" s="7" t="n"/>
      <c r="X9269" s="7" t="n"/>
      <c r="Z9269">
        <f>Z9268+IF(W9269="",0,IF(ISNA(MATCH(W9269,W$256:W9268,0)),1,0))</f>
        <v/>
      </c>
      <c r="AA9269">
        <f>IF(Z9269&gt;Z9268,Z9269,"")</f>
        <v/>
      </c>
      <c r="AB9269">
        <f>AB9268+IF(X9269="",0,IF(ISNA(MATCH(X9269,X$256:X9268,0)),1,0))</f>
        <v/>
      </c>
      <c r="AC9269">
        <f>IF(AB9269&gt;AB9268,AB9269,"")</f>
        <v/>
      </c>
    </row>
    <row r="9270">
      <c r="W9270" s="7" t="n"/>
      <c r="X9270" s="7" t="n"/>
      <c r="Z9270">
        <f>Z9269+IF(W9270="",0,IF(ISNA(MATCH(W9270,W$256:W9269,0)),1,0))</f>
        <v/>
      </c>
      <c r="AA9270">
        <f>IF(Z9270&gt;Z9269,Z9270,"")</f>
        <v/>
      </c>
      <c r="AB9270">
        <f>AB9269+IF(X9270="",0,IF(ISNA(MATCH(X9270,X$256:X9269,0)),1,0))</f>
        <v/>
      </c>
      <c r="AC9270">
        <f>IF(AB9270&gt;AB9269,AB9270,"")</f>
        <v/>
      </c>
    </row>
    <row r="9271">
      <c r="W9271" s="7" t="n"/>
      <c r="X9271" s="7" t="n"/>
      <c r="Z9271">
        <f>Z9270+IF(W9271="",0,IF(ISNA(MATCH(W9271,W$256:W9270,0)),1,0))</f>
        <v/>
      </c>
      <c r="AA9271">
        <f>IF(Z9271&gt;Z9270,Z9271,"")</f>
        <v/>
      </c>
      <c r="AB9271">
        <f>AB9270+IF(X9271="",0,IF(ISNA(MATCH(X9271,X$256:X9270,0)),1,0))</f>
        <v/>
      </c>
      <c r="AC9271">
        <f>IF(AB9271&gt;AB9270,AB9271,"")</f>
        <v/>
      </c>
    </row>
    <row r="9272">
      <c r="W9272" s="7" t="n"/>
      <c r="X9272" s="7" t="n"/>
      <c r="Z9272">
        <f>Z9271+IF(W9272="",0,IF(ISNA(MATCH(W9272,W$256:W9271,0)),1,0))</f>
        <v/>
      </c>
      <c r="AA9272">
        <f>IF(Z9272&gt;Z9271,Z9272,"")</f>
        <v/>
      </c>
      <c r="AB9272">
        <f>AB9271+IF(X9272="",0,IF(ISNA(MATCH(X9272,X$256:X9271,0)),1,0))</f>
        <v/>
      </c>
      <c r="AC9272">
        <f>IF(AB9272&gt;AB9271,AB9272,"")</f>
        <v/>
      </c>
    </row>
    <row r="9273">
      <c r="W9273" s="7" t="n"/>
      <c r="X9273" s="7" t="n"/>
      <c r="Z9273">
        <f>Z9272+IF(W9273="",0,IF(ISNA(MATCH(W9273,W$256:W9272,0)),1,0))</f>
        <v/>
      </c>
      <c r="AA9273">
        <f>IF(Z9273&gt;Z9272,Z9273,"")</f>
        <v/>
      </c>
      <c r="AB9273">
        <f>AB9272+IF(X9273="",0,IF(ISNA(MATCH(X9273,X$256:X9272,0)),1,0))</f>
        <v/>
      </c>
      <c r="AC9273">
        <f>IF(AB9273&gt;AB9272,AB9273,"")</f>
        <v/>
      </c>
    </row>
    <row r="9274">
      <c r="W9274" s="7" t="n"/>
      <c r="X9274" s="7" t="n"/>
      <c r="Z9274">
        <f>Z9273+IF(W9274="",0,IF(ISNA(MATCH(W9274,W$256:W9273,0)),1,0))</f>
        <v/>
      </c>
      <c r="AA9274">
        <f>IF(Z9274&gt;Z9273,Z9274,"")</f>
        <v/>
      </c>
      <c r="AB9274">
        <f>AB9273+IF(X9274="",0,IF(ISNA(MATCH(X9274,X$256:X9273,0)),1,0))</f>
        <v/>
      </c>
      <c r="AC9274">
        <f>IF(AB9274&gt;AB9273,AB9274,"")</f>
        <v/>
      </c>
    </row>
    <row r="9275">
      <c r="W9275" s="7" t="n"/>
      <c r="X9275" s="7" t="n"/>
      <c r="Z9275">
        <f>Z9274+IF(W9275="",0,IF(ISNA(MATCH(W9275,W$256:W9274,0)),1,0))</f>
        <v/>
      </c>
      <c r="AA9275">
        <f>IF(Z9275&gt;Z9274,Z9275,"")</f>
        <v/>
      </c>
      <c r="AB9275">
        <f>AB9274+IF(X9275="",0,IF(ISNA(MATCH(X9275,X$256:X9274,0)),1,0))</f>
        <v/>
      </c>
      <c r="AC9275">
        <f>IF(AB9275&gt;AB9274,AB9275,"")</f>
        <v/>
      </c>
    </row>
    <row r="9276">
      <c r="W9276" s="7" t="n"/>
      <c r="X9276" s="7" t="n"/>
      <c r="Z9276">
        <f>Z9275+IF(W9276="",0,IF(ISNA(MATCH(W9276,W$256:W9275,0)),1,0))</f>
        <v/>
      </c>
      <c r="AA9276">
        <f>IF(Z9276&gt;Z9275,Z9276,"")</f>
        <v/>
      </c>
      <c r="AB9276">
        <f>AB9275+IF(X9276="",0,IF(ISNA(MATCH(X9276,X$256:X9275,0)),1,0))</f>
        <v/>
      </c>
      <c r="AC9276">
        <f>IF(AB9276&gt;AB9275,AB9276,"")</f>
        <v/>
      </c>
    </row>
    <row r="9277">
      <c r="W9277" s="7" t="n"/>
      <c r="X9277" s="7" t="n"/>
      <c r="Z9277">
        <f>Z9276+IF(W9277="",0,IF(ISNA(MATCH(W9277,W$256:W9276,0)),1,0))</f>
        <v/>
      </c>
      <c r="AA9277">
        <f>IF(Z9277&gt;Z9276,Z9277,"")</f>
        <v/>
      </c>
      <c r="AB9277">
        <f>AB9276+IF(X9277="",0,IF(ISNA(MATCH(X9277,X$256:X9276,0)),1,0))</f>
        <v/>
      </c>
      <c r="AC9277">
        <f>IF(AB9277&gt;AB9276,AB9277,"")</f>
        <v/>
      </c>
    </row>
    <row r="9278">
      <c r="W9278" s="7" t="n"/>
      <c r="X9278" s="7" t="n"/>
      <c r="Z9278">
        <f>Z9277+IF(W9278="",0,IF(ISNA(MATCH(W9278,W$256:W9277,0)),1,0))</f>
        <v/>
      </c>
      <c r="AA9278">
        <f>IF(Z9278&gt;Z9277,Z9278,"")</f>
        <v/>
      </c>
      <c r="AB9278">
        <f>AB9277+IF(X9278="",0,IF(ISNA(MATCH(X9278,X$256:X9277,0)),1,0))</f>
        <v/>
      </c>
      <c r="AC9278">
        <f>IF(AB9278&gt;AB9277,AB9278,"")</f>
        <v/>
      </c>
    </row>
    <row r="9279">
      <c r="W9279" s="7" t="n"/>
      <c r="X9279" s="7" t="n"/>
      <c r="Z9279">
        <f>Z9278+IF(W9279="",0,IF(ISNA(MATCH(W9279,W$256:W9278,0)),1,0))</f>
        <v/>
      </c>
      <c r="AA9279">
        <f>IF(Z9279&gt;Z9278,Z9279,"")</f>
        <v/>
      </c>
      <c r="AB9279">
        <f>AB9278+IF(X9279="",0,IF(ISNA(MATCH(X9279,X$256:X9278,0)),1,0))</f>
        <v/>
      </c>
      <c r="AC9279">
        <f>IF(AB9279&gt;AB9278,AB9279,"")</f>
        <v/>
      </c>
    </row>
    <row r="9280">
      <c r="W9280" s="7" t="n"/>
      <c r="X9280" s="7" t="n"/>
      <c r="Z9280">
        <f>Z9279+IF(W9280="",0,IF(ISNA(MATCH(W9280,W$256:W9279,0)),1,0))</f>
        <v/>
      </c>
      <c r="AA9280">
        <f>IF(Z9280&gt;Z9279,Z9280,"")</f>
        <v/>
      </c>
      <c r="AB9280">
        <f>AB9279+IF(X9280="",0,IF(ISNA(MATCH(X9280,X$256:X9279,0)),1,0))</f>
        <v/>
      </c>
      <c r="AC9280">
        <f>IF(AB9280&gt;AB9279,AB9280,"")</f>
        <v/>
      </c>
    </row>
    <row r="9281">
      <c r="W9281" s="7" t="n"/>
      <c r="X9281" s="7" t="n"/>
      <c r="Z9281">
        <f>Z9280+IF(W9281="",0,IF(ISNA(MATCH(W9281,W$256:W9280,0)),1,0))</f>
        <v/>
      </c>
      <c r="AA9281">
        <f>IF(Z9281&gt;Z9280,Z9281,"")</f>
        <v/>
      </c>
      <c r="AB9281">
        <f>AB9280+IF(X9281="",0,IF(ISNA(MATCH(X9281,X$256:X9280,0)),1,0))</f>
        <v/>
      </c>
      <c r="AC9281">
        <f>IF(AB9281&gt;AB9280,AB9281,"")</f>
        <v/>
      </c>
    </row>
    <row r="9282">
      <c r="W9282" s="7" t="n"/>
      <c r="X9282" s="7" t="n"/>
      <c r="Z9282">
        <f>Z9281+IF(W9282="",0,IF(ISNA(MATCH(W9282,W$256:W9281,0)),1,0))</f>
        <v/>
      </c>
      <c r="AA9282">
        <f>IF(Z9282&gt;Z9281,Z9282,"")</f>
        <v/>
      </c>
      <c r="AB9282">
        <f>AB9281+IF(X9282="",0,IF(ISNA(MATCH(X9282,X$256:X9281,0)),1,0))</f>
        <v/>
      </c>
      <c r="AC9282">
        <f>IF(AB9282&gt;AB9281,AB9282,"")</f>
        <v/>
      </c>
    </row>
    <row r="9283">
      <c r="W9283" s="7" t="n"/>
      <c r="X9283" s="7" t="n"/>
      <c r="Z9283">
        <f>Z9282+IF(W9283="",0,IF(ISNA(MATCH(W9283,W$256:W9282,0)),1,0))</f>
        <v/>
      </c>
      <c r="AA9283">
        <f>IF(Z9283&gt;Z9282,Z9283,"")</f>
        <v/>
      </c>
      <c r="AB9283">
        <f>AB9282+IF(X9283="",0,IF(ISNA(MATCH(X9283,X$256:X9282,0)),1,0))</f>
        <v/>
      </c>
      <c r="AC9283">
        <f>IF(AB9283&gt;AB9282,AB9283,"")</f>
        <v/>
      </c>
    </row>
    <row r="9284">
      <c r="W9284" s="7" t="n"/>
      <c r="X9284" s="7" t="n"/>
      <c r="Z9284">
        <f>Z9283+IF(W9284="",0,IF(ISNA(MATCH(W9284,W$256:W9283,0)),1,0))</f>
        <v/>
      </c>
      <c r="AA9284">
        <f>IF(Z9284&gt;Z9283,Z9284,"")</f>
        <v/>
      </c>
      <c r="AB9284">
        <f>AB9283+IF(X9284="",0,IF(ISNA(MATCH(X9284,X$256:X9283,0)),1,0))</f>
        <v/>
      </c>
      <c r="AC9284">
        <f>IF(AB9284&gt;AB9283,AB9284,"")</f>
        <v/>
      </c>
    </row>
    <row r="9285">
      <c r="W9285" s="7" t="n"/>
      <c r="X9285" s="7" t="n"/>
      <c r="Z9285">
        <f>Z9284+IF(W9285="",0,IF(ISNA(MATCH(W9285,W$256:W9284,0)),1,0))</f>
        <v/>
      </c>
      <c r="AA9285">
        <f>IF(Z9285&gt;Z9284,Z9285,"")</f>
        <v/>
      </c>
      <c r="AB9285">
        <f>AB9284+IF(X9285="",0,IF(ISNA(MATCH(X9285,X$256:X9284,0)),1,0))</f>
        <v/>
      </c>
      <c r="AC9285">
        <f>IF(AB9285&gt;AB9284,AB9285,"")</f>
        <v/>
      </c>
    </row>
    <row r="9286">
      <c r="W9286" s="7" t="n"/>
      <c r="X9286" s="7" t="n"/>
      <c r="Z9286">
        <f>Z9285+IF(W9286="",0,IF(ISNA(MATCH(W9286,W$256:W9285,0)),1,0))</f>
        <v/>
      </c>
      <c r="AA9286">
        <f>IF(Z9286&gt;Z9285,Z9286,"")</f>
        <v/>
      </c>
      <c r="AB9286">
        <f>AB9285+IF(X9286="",0,IF(ISNA(MATCH(X9286,X$256:X9285,0)),1,0))</f>
        <v/>
      </c>
      <c r="AC9286">
        <f>IF(AB9286&gt;AB9285,AB9286,"")</f>
        <v/>
      </c>
    </row>
    <row r="9287">
      <c r="W9287" s="7" t="n"/>
      <c r="X9287" s="7" t="n"/>
      <c r="Z9287">
        <f>Z9286+IF(W9287="",0,IF(ISNA(MATCH(W9287,W$256:W9286,0)),1,0))</f>
        <v/>
      </c>
      <c r="AA9287">
        <f>IF(Z9287&gt;Z9286,Z9287,"")</f>
        <v/>
      </c>
      <c r="AB9287">
        <f>AB9286+IF(X9287="",0,IF(ISNA(MATCH(X9287,X$256:X9286,0)),1,0))</f>
        <v/>
      </c>
      <c r="AC9287">
        <f>IF(AB9287&gt;AB9286,AB9287,"")</f>
        <v/>
      </c>
    </row>
    <row r="9288">
      <c r="W9288" s="7" t="n"/>
      <c r="X9288" s="7" t="n"/>
      <c r="Z9288">
        <f>Z9287+IF(W9288="",0,IF(ISNA(MATCH(W9288,W$256:W9287,0)),1,0))</f>
        <v/>
      </c>
      <c r="AA9288">
        <f>IF(Z9288&gt;Z9287,Z9288,"")</f>
        <v/>
      </c>
      <c r="AB9288">
        <f>AB9287+IF(X9288="",0,IF(ISNA(MATCH(X9288,X$256:X9287,0)),1,0))</f>
        <v/>
      </c>
      <c r="AC9288">
        <f>IF(AB9288&gt;AB9287,AB9288,"")</f>
        <v/>
      </c>
    </row>
    <row r="9289">
      <c r="W9289" s="7" t="n"/>
      <c r="X9289" s="7" t="n"/>
      <c r="Z9289">
        <f>Z9288+IF(W9289="",0,IF(ISNA(MATCH(W9289,W$256:W9288,0)),1,0))</f>
        <v/>
      </c>
      <c r="AA9289">
        <f>IF(Z9289&gt;Z9288,Z9289,"")</f>
        <v/>
      </c>
      <c r="AB9289">
        <f>AB9288+IF(X9289="",0,IF(ISNA(MATCH(X9289,X$256:X9288,0)),1,0))</f>
        <v/>
      </c>
      <c r="AC9289">
        <f>IF(AB9289&gt;AB9288,AB9289,"")</f>
        <v/>
      </c>
    </row>
    <row r="9290">
      <c r="W9290" s="7" t="n"/>
      <c r="X9290" s="7" t="n"/>
      <c r="Z9290">
        <f>Z9289+IF(W9290="",0,IF(ISNA(MATCH(W9290,W$256:W9289,0)),1,0))</f>
        <v/>
      </c>
      <c r="AA9290">
        <f>IF(Z9290&gt;Z9289,Z9290,"")</f>
        <v/>
      </c>
      <c r="AB9290">
        <f>AB9289+IF(X9290="",0,IF(ISNA(MATCH(X9290,X$256:X9289,0)),1,0))</f>
        <v/>
      </c>
      <c r="AC9290">
        <f>IF(AB9290&gt;AB9289,AB9290,"")</f>
        <v/>
      </c>
    </row>
    <row r="9291">
      <c r="W9291" s="7" t="n"/>
      <c r="X9291" s="7" t="n"/>
      <c r="Z9291">
        <f>Z9290+IF(W9291="",0,IF(ISNA(MATCH(W9291,W$256:W9290,0)),1,0))</f>
        <v/>
      </c>
      <c r="AA9291">
        <f>IF(Z9291&gt;Z9290,Z9291,"")</f>
        <v/>
      </c>
      <c r="AB9291">
        <f>AB9290+IF(X9291="",0,IF(ISNA(MATCH(X9291,X$256:X9290,0)),1,0))</f>
        <v/>
      </c>
      <c r="AC9291">
        <f>IF(AB9291&gt;AB9290,AB9291,"")</f>
        <v/>
      </c>
    </row>
    <row r="9292">
      <c r="W9292" s="7" t="n"/>
      <c r="X9292" s="7" t="n"/>
      <c r="Z9292">
        <f>Z9291+IF(W9292="",0,IF(ISNA(MATCH(W9292,W$256:W9291,0)),1,0))</f>
        <v/>
      </c>
      <c r="AA9292">
        <f>IF(Z9292&gt;Z9291,Z9292,"")</f>
        <v/>
      </c>
      <c r="AB9292">
        <f>AB9291+IF(X9292="",0,IF(ISNA(MATCH(X9292,X$256:X9291,0)),1,0))</f>
        <v/>
      </c>
      <c r="AC9292">
        <f>IF(AB9292&gt;AB9291,AB9292,"")</f>
        <v/>
      </c>
    </row>
    <row r="9293">
      <c r="W9293" s="7" t="n"/>
      <c r="X9293" s="7" t="n"/>
      <c r="Z9293">
        <f>Z9292+IF(W9293="",0,IF(ISNA(MATCH(W9293,W$256:W9292,0)),1,0))</f>
        <v/>
      </c>
      <c r="AA9293">
        <f>IF(Z9293&gt;Z9292,Z9293,"")</f>
        <v/>
      </c>
      <c r="AB9293">
        <f>AB9292+IF(X9293="",0,IF(ISNA(MATCH(X9293,X$256:X9292,0)),1,0))</f>
        <v/>
      </c>
      <c r="AC9293">
        <f>IF(AB9293&gt;AB9292,AB9293,"")</f>
        <v/>
      </c>
    </row>
    <row r="9294">
      <c r="W9294" s="7" t="n"/>
      <c r="X9294" s="7" t="n"/>
      <c r="Z9294">
        <f>Z9293+IF(W9294="",0,IF(ISNA(MATCH(W9294,W$256:W9293,0)),1,0))</f>
        <v/>
      </c>
      <c r="AA9294">
        <f>IF(Z9294&gt;Z9293,Z9294,"")</f>
        <v/>
      </c>
      <c r="AB9294">
        <f>AB9293+IF(X9294="",0,IF(ISNA(MATCH(X9294,X$256:X9293,0)),1,0))</f>
        <v/>
      </c>
      <c r="AC9294">
        <f>IF(AB9294&gt;AB9293,AB9294,"")</f>
        <v/>
      </c>
    </row>
    <row r="9295">
      <c r="W9295" s="7" t="n"/>
      <c r="X9295" s="7" t="n"/>
      <c r="Z9295">
        <f>Z9294+IF(W9295="",0,IF(ISNA(MATCH(W9295,W$256:W9294,0)),1,0))</f>
        <v/>
      </c>
      <c r="AA9295">
        <f>IF(Z9295&gt;Z9294,Z9295,"")</f>
        <v/>
      </c>
      <c r="AB9295">
        <f>AB9294+IF(X9295="",0,IF(ISNA(MATCH(X9295,X$256:X9294,0)),1,0))</f>
        <v/>
      </c>
      <c r="AC9295">
        <f>IF(AB9295&gt;AB9294,AB9295,"")</f>
        <v/>
      </c>
    </row>
    <row r="9296">
      <c r="W9296" s="7" t="n"/>
      <c r="X9296" s="7" t="n"/>
      <c r="Z9296">
        <f>Z9295+IF(W9296="",0,IF(ISNA(MATCH(W9296,W$256:W9295,0)),1,0))</f>
        <v/>
      </c>
      <c r="AA9296">
        <f>IF(Z9296&gt;Z9295,Z9296,"")</f>
        <v/>
      </c>
      <c r="AB9296">
        <f>AB9295+IF(X9296="",0,IF(ISNA(MATCH(X9296,X$256:X9295,0)),1,0))</f>
        <v/>
      </c>
      <c r="AC9296">
        <f>IF(AB9296&gt;AB9295,AB9296,"")</f>
        <v/>
      </c>
    </row>
    <row r="9297">
      <c r="W9297" s="7" t="n"/>
      <c r="X9297" s="7" t="n"/>
      <c r="Z9297">
        <f>Z9296+IF(W9297="",0,IF(ISNA(MATCH(W9297,W$256:W9296,0)),1,0))</f>
        <v/>
      </c>
      <c r="AA9297">
        <f>IF(Z9297&gt;Z9296,Z9297,"")</f>
        <v/>
      </c>
      <c r="AB9297">
        <f>AB9296+IF(X9297="",0,IF(ISNA(MATCH(X9297,X$256:X9296,0)),1,0))</f>
        <v/>
      </c>
      <c r="AC9297">
        <f>IF(AB9297&gt;AB9296,AB9297,"")</f>
        <v/>
      </c>
    </row>
    <row r="9298">
      <c r="W9298" s="7" t="n"/>
      <c r="X9298" s="7" t="n"/>
      <c r="Z9298">
        <f>Z9297+IF(W9298="",0,IF(ISNA(MATCH(W9298,W$256:W9297,0)),1,0))</f>
        <v/>
      </c>
      <c r="AA9298">
        <f>IF(Z9298&gt;Z9297,Z9298,"")</f>
        <v/>
      </c>
      <c r="AB9298">
        <f>AB9297+IF(X9298="",0,IF(ISNA(MATCH(X9298,X$256:X9297,0)),1,0))</f>
        <v/>
      </c>
      <c r="AC9298">
        <f>IF(AB9298&gt;AB9297,AB9298,"")</f>
        <v/>
      </c>
    </row>
    <row r="9299">
      <c r="W9299" s="7" t="n"/>
      <c r="X9299" s="7" t="n"/>
      <c r="Z9299">
        <f>Z9298+IF(W9299="",0,IF(ISNA(MATCH(W9299,W$256:W9298,0)),1,0))</f>
        <v/>
      </c>
      <c r="AA9299">
        <f>IF(Z9299&gt;Z9298,Z9299,"")</f>
        <v/>
      </c>
      <c r="AB9299">
        <f>AB9298+IF(X9299="",0,IF(ISNA(MATCH(X9299,X$256:X9298,0)),1,0))</f>
        <v/>
      </c>
      <c r="AC9299">
        <f>IF(AB9299&gt;AB9298,AB9299,"")</f>
        <v/>
      </c>
    </row>
    <row r="9300">
      <c r="W9300" s="7" t="n"/>
      <c r="X9300" s="7" t="n"/>
      <c r="Z9300">
        <f>Z9299+IF(W9300="",0,IF(ISNA(MATCH(W9300,W$256:W9299,0)),1,0))</f>
        <v/>
      </c>
      <c r="AA9300">
        <f>IF(Z9300&gt;Z9299,Z9300,"")</f>
        <v/>
      </c>
      <c r="AB9300">
        <f>AB9299+IF(X9300="",0,IF(ISNA(MATCH(X9300,X$256:X9299,0)),1,0))</f>
        <v/>
      </c>
      <c r="AC9300">
        <f>IF(AB9300&gt;AB9299,AB9300,"")</f>
        <v/>
      </c>
    </row>
    <row r="9301">
      <c r="W9301" s="7" t="n"/>
      <c r="X9301" s="7" t="n"/>
      <c r="Z9301">
        <f>Z9300+IF(W9301="",0,IF(ISNA(MATCH(W9301,W$256:W9300,0)),1,0))</f>
        <v/>
      </c>
      <c r="AA9301">
        <f>IF(Z9301&gt;Z9300,Z9301,"")</f>
        <v/>
      </c>
      <c r="AB9301">
        <f>AB9300+IF(X9301="",0,IF(ISNA(MATCH(X9301,X$256:X9300,0)),1,0))</f>
        <v/>
      </c>
      <c r="AC9301">
        <f>IF(AB9301&gt;AB9300,AB9301,"")</f>
        <v/>
      </c>
    </row>
    <row r="9302">
      <c r="W9302" s="7" t="n"/>
      <c r="X9302" s="7" t="n"/>
      <c r="Z9302">
        <f>Z9301+IF(W9302="",0,IF(ISNA(MATCH(W9302,W$256:W9301,0)),1,0))</f>
        <v/>
      </c>
      <c r="AA9302">
        <f>IF(Z9302&gt;Z9301,Z9302,"")</f>
        <v/>
      </c>
      <c r="AB9302">
        <f>AB9301+IF(X9302="",0,IF(ISNA(MATCH(X9302,X$256:X9301,0)),1,0))</f>
        <v/>
      </c>
      <c r="AC9302">
        <f>IF(AB9302&gt;AB9301,AB9302,"")</f>
        <v/>
      </c>
    </row>
    <row r="9303">
      <c r="W9303" s="7" t="n"/>
      <c r="X9303" s="7" t="n"/>
      <c r="Z9303">
        <f>Z9302+IF(W9303="",0,IF(ISNA(MATCH(W9303,W$256:W9302,0)),1,0))</f>
        <v/>
      </c>
      <c r="AA9303">
        <f>IF(Z9303&gt;Z9302,Z9303,"")</f>
        <v/>
      </c>
      <c r="AB9303">
        <f>AB9302+IF(X9303="",0,IF(ISNA(MATCH(X9303,X$256:X9302,0)),1,0))</f>
        <v/>
      </c>
      <c r="AC9303">
        <f>IF(AB9303&gt;AB9302,AB9303,"")</f>
        <v/>
      </c>
    </row>
    <row r="9304">
      <c r="W9304" s="7" t="n"/>
      <c r="X9304" s="7" t="n"/>
      <c r="Z9304">
        <f>Z9303+IF(W9304="",0,IF(ISNA(MATCH(W9304,W$256:W9303,0)),1,0))</f>
        <v/>
      </c>
      <c r="AA9304">
        <f>IF(Z9304&gt;Z9303,Z9304,"")</f>
        <v/>
      </c>
      <c r="AB9304">
        <f>AB9303+IF(X9304="",0,IF(ISNA(MATCH(X9304,X$256:X9303,0)),1,0))</f>
        <v/>
      </c>
      <c r="AC9304">
        <f>IF(AB9304&gt;AB9303,AB9304,"")</f>
        <v/>
      </c>
    </row>
    <row r="9305">
      <c r="W9305" s="7" t="n"/>
      <c r="X9305" s="7" t="n"/>
      <c r="Z9305">
        <f>Z9304+IF(W9305="",0,IF(ISNA(MATCH(W9305,W$256:W9304,0)),1,0))</f>
        <v/>
      </c>
      <c r="AA9305">
        <f>IF(Z9305&gt;Z9304,Z9305,"")</f>
        <v/>
      </c>
      <c r="AB9305">
        <f>AB9304+IF(X9305="",0,IF(ISNA(MATCH(X9305,X$256:X9304,0)),1,0))</f>
        <v/>
      </c>
      <c r="AC9305">
        <f>IF(AB9305&gt;AB9304,AB9305,"")</f>
        <v/>
      </c>
    </row>
    <row r="9306">
      <c r="W9306" s="7" t="n"/>
      <c r="X9306" s="7" t="n"/>
      <c r="Z9306">
        <f>Z9305+IF(W9306="",0,IF(ISNA(MATCH(W9306,W$256:W9305,0)),1,0))</f>
        <v/>
      </c>
      <c r="AA9306">
        <f>IF(Z9306&gt;Z9305,Z9306,"")</f>
        <v/>
      </c>
      <c r="AB9306">
        <f>AB9305+IF(X9306="",0,IF(ISNA(MATCH(X9306,X$256:X9305,0)),1,0))</f>
        <v/>
      </c>
      <c r="AC9306">
        <f>IF(AB9306&gt;AB9305,AB9306,"")</f>
        <v/>
      </c>
    </row>
    <row r="9307">
      <c r="W9307" s="7" t="n"/>
      <c r="X9307" s="7" t="n"/>
      <c r="Z9307">
        <f>Z9306+IF(W9307="",0,IF(ISNA(MATCH(W9307,W$256:W9306,0)),1,0))</f>
        <v/>
      </c>
      <c r="AA9307">
        <f>IF(Z9307&gt;Z9306,Z9307,"")</f>
        <v/>
      </c>
      <c r="AB9307">
        <f>AB9306+IF(X9307="",0,IF(ISNA(MATCH(X9307,X$256:X9306,0)),1,0))</f>
        <v/>
      </c>
      <c r="AC9307">
        <f>IF(AB9307&gt;AB9306,AB9307,"")</f>
        <v/>
      </c>
    </row>
    <row r="9308">
      <c r="W9308" s="7" t="n"/>
      <c r="X9308" s="7" t="n"/>
      <c r="Z9308">
        <f>Z9307+IF(W9308="",0,IF(ISNA(MATCH(W9308,W$256:W9307,0)),1,0))</f>
        <v/>
      </c>
      <c r="AA9308">
        <f>IF(Z9308&gt;Z9307,Z9308,"")</f>
        <v/>
      </c>
      <c r="AB9308">
        <f>AB9307+IF(X9308="",0,IF(ISNA(MATCH(X9308,X$256:X9307,0)),1,0))</f>
        <v/>
      </c>
      <c r="AC9308">
        <f>IF(AB9308&gt;AB9307,AB9308,"")</f>
        <v/>
      </c>
    </row>
    <row r="9309">
      <c r="W9309" s="7" t="n"/>
      <c r="X9309" s="7" t="n"/>
      <c r="Z9309">
        <f>Z9308+IF(W9309="",0,IF(ISNA(MATCH(W9309,W$256:W9308,0)),1,0))</f>
        <v/>
      </c>
      <c r="AA9309">
        <f>IF(Z9309&gt;Z9308,Z9309,"")</f>
        <v/>
      </c>
      <c r="AB9309">
        <f>AB9308+IF(X9309="",0,IF(ISNA(MATCH(X9309,X$256:X9308,0)),1,0))</f>
        <v/>
      </c>
      <c r="AC9309">
        <f>IF(AB9309&gt;AB9308,AB9309,"")</f>
        <v/>
      </c>
    </row>
    <row r="9310">
      <c r="W9310" s="7" t="n"/>
      <c r="X9310" s="7" t="n"/>
      <c r="Z9310">
        <f>Z9309+IF(W9310="",0,IF(ISNA(MATCH(W9310,W$256:W9309,0)),1,0))</f>
        <v/>
      </c>
      <c r="AA9310">
        <f>IF(Z9310&gt;Z9309,Z9310,"")</f>
        <v/>
      </c>
      <c r="AB9310">
        <f>AB9309+IF(X9310="",0,IF(ISNA(MATCH(X9310,X$256:X9309,0)),1,0))</f>
        <v/>
      </c>
      <c r="AC9310">
        <f>IF(AB9310&gt;AB9309,AB9310,"")</f>
        <v/>
      </c>
    </row>
    <row r="9311">
      <c r="W9311" s="7" t="n"/>
      <c r="X9311" s="7" t="n"/>
      <c r="Z9311">
        <f>Z9310+IF(W9311="",0,IF(ISNA(MATCH(W9311,W$256:W9310,0)),1,0))</f>
        <v/>
      </c>
      <c r="AA9311">
        <f>IF(Z9311&gt;Z9310,Z9311,"")</f>
        <v/>
      </c>
      <c r="AB9311">
        <f>AB9310+IF(X9311="",0,IF(ISNA(MATCH(X9311,X$256:X9310,0)),1,0))</f>
        <v/>
      </c>
      <c r="AC9311">
        <f>IF(AB9311&gt;AB9310,AB9311,"")</f>
        <v/>
      </c>
    </row>
    <row r="9312">
      <c r="W9312" s="7" t="n"/>
      <c r="X9312" s="7" t="n"/>
      <c r="Z9312">
        <f>Z9311+IF(W9312="",0,IF(ISNA(MATCH(W9312,W$256:W9311,0)),1,0))</f>
        <v/>
      </c>
      <c r="AA9312">
        <f>IF(Z9312&gt;Z9311,Z9312,"")</f>
        <v/>
      </c>
      <c r="AB9312">
        <f>AB9311+IF(X9312="",0,IF(ISNA(MATCH(X9312,X$256:X9311,0)),1,0))</f>
        <v/>
      </c>
      <c r="AC9312">
        <f>IF(AB9312&gt;AB9311,AB9312,"")</f>
        <v/>
      </c>
    </row>
    <row r="9313">
      <c r="W9313" s="7" t="n"/>
      <c r="X9313" s="7" t="n"/>
      <c r="Z9313">
        <f>Z9312+IF(W9313="",0,IF(ISNA(MATCH(W9313,W$256:W9312,0)),1,0))</f>
        <v/>
      </c>
      <c r="AA9313">
        <f>IF(Z9313&gt;Z9312,Z9313,"")</f>
        <v/>
      </c>
      <c r="AB9313">
        <f>AB9312+IF(X9313="",0,IF(ISNA(MATCH(X9313,X$256:X9312,0)),1,0))</f>
        <v/>
      </c>
      <c r="AC9313">
        <f>IF(AB9313&gt;AB9312,AB9313,"")</f>
        <v/>
      </c>
    </row>
    <row r="9314">
      <c r="W9314" s="7" t="n"/>
      <c r="X9314" s="7" t="n"/>
      <c r="Z9314">
        <f>Z9313+IF(W9314="",0,IF(ISNA(MATCH(W9314,W$256:W9313,0)),1,0))</f>
        <v/>
      </c>
      <c r="AA9314">
        <f>IF(Z9314&gt;Z9313,Z9314,"")</f>
        <v/>
      </c>
      <c r="AB9314">
        <f>AB9313+IF(X9314="",0,IF(ISNA(MATCH(X9314,X$256:X9313,0)),1,0))</f>
        <v/>
      </c>
      <c r="AC9314">
        <f>IF(AB9314&gt;AB9313,AB9314,"")</f>
        <v/>
      </c>
    </row>
    <row r="9315">
      <c r="W9315" s="7" t="n"/>
      <c r="X9315" s="7" t="n"/>
      <c r="Z9315">
        <f>Z9314+IF(W9315="",0,IF(ISNA(MATCH(W9315,W$256:W9314,0)),1,0))</f>
        <v/>
      </c>
      <c r="AA9315">
        <f>IF(Z9315&gt;Z9314,Z9315,"")</f>
        <v/>
      </c>
      <c r="AB9315">
        <f>AB9314+IF(X9315="",0,IF(ISNA(MATCH(X9315,X$256:X9314,0)),1,0))</f>
        <v/>
      </c>
      <c r="AC9315">
        <f>IF(AB9315&gt;AB9314,AB9315,"")</f>
        <v/>
      </c>
    </row>
    <row r="9316">
      <c r="W9316" s="7" t="n"/>
      <c r="X9316" s="7" t="n"/>
      <c r="Z9316">
        <f>Z9315+IF(W9316="",0,IF(ISNA(MATCH(W9316,W$256:W9315,0)),1,0))</f>
        <v/>
      </c>
      <c r="AA9316">
        <f>IF(Z9316&gt;Z9315,Z9316,"")</f>
        <v/>
      </c>
      <c r="AB9316">
        <f>AB9315+IF(X9316="",0,IF(ISNA(MATCH(X9316,X$256:X9315,0)),1,0))</f>
        <v/>
      </c>
      <c r="AC9316">
        <f>IF(AB9316&gt;AB9315,AB9316,"")</f>
        <v/>
      </c>
    </row>
    <row r="9317">
      <c r="W9317" s="7" t="n"/>
      <c r="X9317" s="7" t="n"/>
      <c r="Z9317">
        <f>Z9316+IF(W9317="",0,IF(ISNA(MATCH(W9317,W$256:W9316,0)),1,0))</f>
        <v/>
      </c>
      <c r="AA9317">
        <f>IF(Z9317&gt;Z9316,Z9317,"")</f>
        <v/>
      </c>
      <c r="AB9317">
        <f>AB9316+IF(X9317="",0,IF(ISNA(MATCH(X9317,X$256:X9316,0)),1,0))</f>
        <v/>
      </c>
      <c r="AC9317">
        <f>IF(AB9317&gt;AB9316,AB9317,"")</f>
        <v/>
      </c>
    </row>
    <row r="9318">
      <c r="W9318" s="7" t="n"/>
      <c r="X9318" s="7" t="n"/>
      <c r="Z9318">
        <f>Z9317+IF(W9318="",0,IF(ISNA(MATCH(W9318,W$256:W9317,0)),1,0))</f>
        <v/>
      </c>
      <c r="AA9318">
        <f>IF(Z9318&gt;Z9317,Z9318,"")</f>
        <v/>
      </c>
      <c r="AB9318">
        <f>AB9317+IF(X9318="",0,IF(ISNA(MATCH(X9318,X$256:X9317,0)),1,0))</f>
        <v/>
      </c>
      <c r="AC9318">
        <f>IF(AB9318&gt;AB9317,AB9318,"")</f>
        <v/>
      </c>
    </row>
    <row r="9319">
      <c r="W9319" s="7" t="n"/>
      <c r="X9319" s="7" t="n"/>
      <c r="Z9319">
        <f>Z9318+IF(W9319="",0,IF(ISNA(MATCH(W9319,W$256:W9318,0)),1,0))</f>
        <v/>
      </c>
      <c r="AA9319">
        <f>IF(Z9319&gt;Z9318,Z9319,"")</f>
        <v/>
      </c>
      <c r="AB9319">
        <f>AB9318+IF(X9319="",0,IF(ISNA(MATCH(X9319,X$256:X9318,0)),1,0))</f>
        <v/>
      </c>
      <c r="AC9319">
        <f>IF(AB9319&gt;AB9318,AB9319,"")</f>
        <v/>
      </c>
    </row>
    <row r="9320">
      <c r="W9320" s="7" t="n"/>
      <c r="X9320" s="7" t="n"/>
      <c r="Z9320">
        <f>Z9319+IF(W9320="",0,IF(ISNA(MATCH(W9320,W$256:W9319,0)),1,0))</f>
        <v/>
      </c>
      <c r="AA9320">
        <f>IF(Z9320&gt;Z9319,Z9320,"")</f>
        <v/>
      </c>
      <c r="AB9320">
        <f>AB9319+IF(X9320="",0,IF(ISNA(MATCH(X9320,X$256:X9319,0)),1,0))</f>
        <v/>
      </c>
      <c r="AC9320">
        <f>IF(AB9320&gt;AB9319,AB9320,"")</f>
        <v/>
      </c>
    </row>
    <row r="9321">
      <c r="W9321" s="7" t="n"/>
      <c r="X9321" s="7" t="n"/>
      <c r="Z9321">
        <f>Z9320+IF(W9321="",0,IF(ISNA(MATCH(W9321,W$256:W9320,0)),1,0))</f>
        <v/>
      </c>
      <c r="AA9321">
        <f>IF(Z9321&gt;Z9320,Z9321,"")</f>
        <v/>
      </c>
      <c r="AB9321">
        <f>AB9320+IF(X9321="",0,IF(ISNA(MATCH(X9321,X$256:X9320,0)),1,0))</f>
        <v/>
      </c>
      <c r="AC9321">
        <f>IF(AB9321&gt;AB9320,AB9321,"")</f>
        <v/>
      </c>
    </row>
    <row r="9322">
      <c r="W9322" s="7" t="n"/>
      <c r="X9322" s="7" t="n"/>
      <c r="Z9322">
        <f>Z9321+IF(W9322="",0,IF(ISNA(MATCH(W9322,W$256:W9321,0)),1,0))</f>
        <v/>
      </c>
      <c r="AA9322">
        <f>IF(Z9322&gt;Z9321,Z9322,"")</f>
        <v/>
      </c>
      <c r="AB9322">
        <f>AB9321+IF(X9322="",0,IF(ISNA(MATCH(X9322,X$256:X9321,0)),1,0))</f>
        <v/>
      </c>
      <c r="AC9322">
        <f>IF(AB9322&gt;AB9321,AB9322,"")</f>
        <v/>
      </c>
    </row>
    <row r="9323">
      <c r="W9323" s="7" t="n"/>
      <c r="X9323" s="7" t="n"/>
      <c r="Z9323">
        <f>Z9322+IF(W9323="",0,IF(ISNA(MATCH(W9323,W$256:W9322,0)),1,0))</f>
        <v/>
      </c>
      <c r="AA9323">
        <f>IF(Z9323&gt;Z9322,Z9323,"")</f>
        <v/>
      </c>
      <c r="AB9323">
        <f>AB9322+IF(X9323="",0,IF(ISNA(MATCH(X9323,X$256:X9322,0)),1,0))</f>
        <v/>
      </c>
      <c r="AC9323">
        <f>IF(AB9323&gt;AB9322,AB9323,"")</f>
        <v/>
      </c>
    </row>
    <row r="9324">
      <c r="W9324" s="7" t="n"/>
      <c r="X9324" s="7" t="n"/>
      <c r="Z9324">
        <f>Z9323+IF(W9324="",0,IF(ISNA(MATCH(W9324,W$256:W9323,0)),1,0))</f>
        <v/>
      </c>
      <c r="AA9324">
        <f>IF(Z9324&gt;Z9323,Z9324,"")</f>
        <v/>
      </c>
      <c r="AB9324">
        <f>AB9323+IF(X9324="",0,IF(ISNA(MATCH(X9324,X$256:X9323,0)),1,0))</f>
        <v/>
      </c>
      <c r="AC9324">
        <f>IF(AB9324&gt;AB9323,AB9324,"")</f>
        <v/>
      </c>
    </row>
    <row r="9325">
      <c r="W9325" s="7" t="n"/>
      <c r="X9325" s="7" t="n"/>
      <c r="Z9325">
        <f>Z9324+IF(W9325="",0,IF(ISNA(MATCH(W9325,W$256:W9324,0)),1,0))</f>
        <v/>
      </c>
      <c r="AA9325">
        <f>IF(Z9325&gt;Z9324,Z9325,"")</f>
        <v/>
      </c>
      <c r="AB9325">
        <f>AB9324+IF(X9325="",0,IF(ISNA(MATCH(X9325,X$256:X9324,0)),1,0))</f>
        <v/>
      </c>
      <c r="AC9325">
        <f>IF(AB9325&gt;AB9324,AB9325,"")</f>
        <v/>
      </c>
    </row>
    <row r="9326">
      <c r="W9326" s="7" t="n"/>
      <c r="X9326" s="7" t="n"/>
      <c r="Z9326">
        <f>Z9325+IF(W9326="",0,IF(ISNA(MATCH(W9326,W$256:W9325,0)),1,0))</f>
        <v/>
      </c>
      <c r="AA9326">
        <f>IF(Z9326&gt;Z9325,Z9326,"")</f>
        <v/>
      </c>
      <c r="AB9326">
        <f>AB9325+IF(X9326="",0,IF(ISNA(MATCH(X9326,X$256:X9325,0)),1,0))</f>
        <v/>
      </c>
      <c r="AC9326">
        <f>IF(AB9326&gt;AB9325,AB9326,"")</f>
        <v/>
      </c>
    </row>
    <row r="9327">
      <c r="W9327" s="7" t="n"/>
      <c r="X9327" s="7" t="n"/>
      <c r="Z9327">
        <f>Z9326+IF(W9327="",0,IF(ISNA(MATCH(W9327,W$256:W9326,0)),1,0))</f>
        <v/>
      </c>
      <c r="AA9327">
        <f>IF(Z9327&gt;Z9326,Z9327,"")</f>
        <v/>
      </c>
      <c r="AB9327">
        <f>AB9326+IF(X9327="",0,IF(ISNA(MATCH(X9327,X$256:X9326,0)),1,0))</f>
        <v/>
      </c>
      <c r="AC9327">
        <f>IF(AB9327&gt;AB9326,AB9327,"")</f>
        <v/>
      </c>
    </row>
    <row r="9328">
      <c r="W9328" s="7" t="n"/>
      <c r="X9328" s="7" t="n"/>
      <c r="Z9328">
        <f>Z9327+IF(W9328="",0,IF(ISNA(MATCH(W9328,W$256:W9327,0)),1,0))</f>
        <v/>
      </c>
      <c r="AA9328">
        <f>IF(Z9328&gt;Z9327,Z9328,"")</f>
        <v/>
      </c>
      <c r="AB9328">
        <f>AB9327+IF(X9328="",0,IF(ISNA(MATCH(X9328,X$256:X9327,0)),1,0))</f>
        <v/>
      </c>
      <c r="AC9328">
        <f>IF(AB9328&gt;AB9327,AB9328,"")</f>
        <v/>
      </c>
    </row>
    <row r="9329">
      <c r="W9329" s="7" t="n"/>
      <c r="X9329" s="7" t="n"/>
      <c r="Z9329">
        <f>Z9328+IF(W9329="",0,IF(ISNA(MATCH(W9329,W$256:W9328,0)),1,0))</f>
        <v/>
      </c>
      <c r="AA9329">
        <f>IF(Z9329&gt;Z9328,Z9329,"")</f>
        <v/>
      </c>
      <c r="AB9329">
        <f>AB9328+IF(X9329="",0,IF(ISNA(MATCH(X9329,X$256:X9328,0)),1,0))</f>
        <v/>
      </c>
      <c r="AC9329">
        <f>IF(AB9329&gt;AB9328,AB9329,"")</f>
        <v/>
      </c>
    </row>
    <row r="9330">
      <c r="W9330" s="7" t="n"/>
      <c r="X9330" s="7" t="n"/>
      <c r="Z9330">
        <f>Z9329+IF(W9330="",0,IF(ISNA(MATCH(W9330,W$256:W9329,0)),1,0))</f>
        <v/>
      </c>
      <c r="AA9330">
        <f>IF(Z9330&gt;Z9329,Z9330,"")</f>
        <v/>
      </c>
      <c r="AB9330">
        <f>AB9329+IF(X9330="",0,IF(ISNA(MATCH(X9330,X$256:X9329,0)),1,0))</f>
        <v/>
      </c>
      <c r="AC9330">
        <f>IF(AB9330&gt;AB9329,AB9330,"")</f>
        <v/>
      </c>
    </row>
    <row r="9331">
      <c r="W9331" s="7" t="n"/>
      <c r="X9331" s="7" t="n"/>
      <c r="Z9331">
        <f>Z9330+IF(W9331="",0,IF(ISNA(MATCH(W9331,W$256:W9330,0)),1,0))</f>
        <v/>
      </c>
      <c r="AA9331">
        <f>IF(Z9331&gt;Z9330,Z9331,"")</f>
        <v/>
      </c>
      <c r="AB9331">
        <f>AB9330+IF(X9331="",0,IF(ISNA(MATCH(X9331,X$256:X9330,0)),1,0))</f>
        <v/>
      </c>
      <c r="AC9331">
        <f>IF(AB9331&gt;AB9330,AB9331,"")</f>
        <v/>
      </c>
    </row>
    <row r="9332">
      <c r="W9332" s="7" t="n"/>
      <c r="X9332" s="7" t="n"/>
      <c r="Z9332">
        <f>Z9331+IF(W9332="",0,IF(ISNA(MATCH(W9332,W$256:W9331,0)),1,0))</f>
        <v/>
      </c>
      <c r="AA9332">
        <f>IF(Z9332&gt;Z9331,Z9332,"")</f>
        <v/>
      </c>
      <c r="AB9332">
        <f>AB9331+IF(X9332="",0,IF(ISNA(MATCH(X9332,X$256:X9331,0)),1,0))</f>
        <v/>
      </c>
      <c r="AC9332">
        <f>IF(AB9332&gt;AB9331,AB9332,"")</f>
        <v/>
      </c>
    </row>
    <row r="9333">
      <c r="W9333" s="7" t="n"/>
      <c r="X9333" s="7" t="n"/>
      <c r="Z9333">
        <f>Z9332+IF(W9333="",0,IF(ISNA(MATCH(W9333,W$256:W9332,0)),1,0))</f>
        <v/>
      </c>
      <c r="AA9333">
        <f>IF(Z9333&gt;Z9332,Z9333,"")</f>
        <v/>
      </c>
      <c r="AB9333">
        <f>AB9332+IF(X9333="",0,IF(ISNA(MATCH(X9333,X$256:X9332,0)),1,0))</f>
        <v/>
      </c>
      <c r="AC9333">
        <f>IF(AB9333&gt;AB9332,AB9333,"")</f>
        <v/>
      </c>
    </row>
    <row r="9334">
      <c r="W9334" s="7" t="n"/>
      <c r="X9334" s="7" t="n"/>
      <c r="Z9334">
        <f>Z9333+IF(W9334="",0,IF(ISNA(MATCH(W9334,W$256:W9333,0)),1,0))</f>
        <v/>
      </c>
      <c r="AA9334">
        <f>IF(Z9334&gt;Z9333,Z9334,"")</f>
        <v/>
      </c>
      <c r="AB9334">
        <f>AB9333+IF(X9334="",0,IF(ISNA(MATCH(X9334,X$256:X9333,0)),1,0))</f>
        <v/>
      </c>
      <c r="AC9334">
        <f>IF(AB9334&gt;AB9333,AB9334,"")</f>
        <v/>
      </c>
    </row>
    <row r="9335">
      <c r="W9335" s="7" t="n"/>
      <c r="X9335" s="7" t="n"/>
      <c r="Z9335">
        <f>Z9334+IF(W9335="",0,IF(ISNA(MATCH(W9335,W$256:W9334,0)),1,0))</f>
        <v/>
      </c>
      <c r="AA9335">
        <f>IF(Z9335&gt;Z9334,Z9335,"")</f>
        <v/>
      </c>
      <c r="AB9335">
        <f>AB9334+IF(X9335="",0,IF(ISNA(MATCH(X9335,X$256:X9334,0)),1,0))</f>
        <v/>
      </c>
      <c r="AC9335">
        <f>IF(AB9335&gt;AB9334,AB9335,"")</f>
        <v/>
      </c>
    </row>
    <row r="9336">
      <c r="W9336" s="7" t="n"/>
      <c r="X9336" s="7" t="n"/>
      <c r="Z9336">
        <f>Z9335+IF(W9336="",0,IF(ISNA(MATCH(W9336,W$256:W9335,0)),1,0))</f>
        <v/>
      </c>
      <c r="AA9336">
        <f>IF(Z9336&gt;Z9335,Z9336,"")</f>
        <v/>
      </c>
      <c r="AB9336">
        <f>AB9335+IF(X9336="",0,IF(ISNA(MATCH(X9336,X$256:X9335,0)),1,0))</f>
        <v/>
      </c>
      <c r="AC9336">
        <f>IF(AB9336&gt;AB9335,AB9336,"")</f>
        <v/>
      </c>
    </row>
    <row r="9337">
      <c r="W9337" s="7" t="n"/>
      <c r="X9337" s="7" t="n"/>
      <c r="Z9337">
        <f>Z9336+IF(W9337="",0,IF(ISNA(MATCH(W9337,W$256:W9336,0)),1,0))</f>
        <v/>
      </c>
      <c r="AA9337">
        <f>IF(Z9337&gt;Z9336,Z9337,"")</f>
        <v/>
      </c>
      <c r="AB9337">
        <f>AB9336+IF(X9337="",0,IF(ISNA(MATCH(X9337,X$256:X9336,0)),1,0))</f>
        <v/>
      </c>
      <c r="AC9337">
        <f>IF(AB9337&gt;AB9336,AB9337,"")</f>
        <v/>
      </c>
    </row>
    <row r="9338">
      <c r="W9338" s="7" t="n"/>
      <c r="X9338" s="7" t="n"/>
      <c r="Z9338">
        <f>Z9337+IF(W9338="",0,IF(ISNA(MATCH(W9338,W$256:W9337,0)),1,0))</f>
        <v/>
      </c>
      <c r="AA9338">
        <f>IF(Z9338&gt;Z9337,Z9338,"")</f>
        <v/>
      </c>
      <c r="AB9338">
        <f>AB9337+IF(X9338="",0,IF(ISNA(MATCH(X9338,X$256:X9337,0)),1,0))</f>
        <v/>
      </c>
      <c r="AC9338">
        <f>IF(AB9338&gt;AB9337,AB9338,"")</f>
        <v/>
      </c>
    </row>
    <row r="9339">
      <c r="W9339" s="7" t="n"/>
      <c r="X9339" s="7" t="n"/>
      <c r="Z9339">
        <f>Z9338+IF(W9339="",0,IF(ISNA(MATCH(W9339,W$256:W9338,0)),1,0))</f>
        <v/>
      </c>
      <c r="AA9339">
        <f>IF(Z9339&gt;Z9338,Z9339,"")</f>
        <v/>
      </c>
      <c r="AB9339">
        <f>AB9338+IF(X9339="",0,IF(ISNA(MATCH(X9339,X$256:X9338,0)),1,0))</f>
        <v/>
      </c>
      <c r="AC9339">
        <f>IF(AB9339&gt;AB9338,AB9339,"")</f>
        <v/>
      </c>
    </row>
    <row r="9340">
      <c r="W9340" s="7" t="n"/>
      <c r="X9340" s="7" t="n"/>
      <c r="Z9340">
        <f>Z9339+IF(W9340="",0,IF(ISNA(MATCH(W9340,W$256:W9339,0)),1,0))</f>
        <v/>
      </c>
      <c r="AA9340">
        <f>IF(Z9340&gt;Z9339,Z9340,"")</f>
        <v/>
      </c>
      <c r="AB9340">
        <f>AB9339+IF(X9340="",0,IF(ISNA(MATCH(X9340,X$256:X9339,0)),1,0))</f>
        <v/>
      </c>
      <c r="AC9340">
        <f>IF(AB9340&gt;AB9339,AB9340,"")</f>
        <v/>
      </c>
    </row>
    <row r="9341">
      <c r="W9341" s="7" t="n"/>
      <c r="X9341" s="7" t="n"/>
      <c r="Z9341">
        <f>Z9340+IF(W9341="",0,IF(ISNA(MATCH(W9341,W$256:W9340,0)),1,0))</f>
        <v/>
      </c>
      <c r="AA9341">
        <f>IF(Z9341&gt;Z9340,Z9341,"")</f>
        <v/>
      </c>
      <c r="AB9341">
        <f>AB9340+IF(X9341="",0,IF(ISNA(MATCH(X9341,X$256:X9340,0)),1,0))</f>
        <v/>
      </c>
      <c r="AC9341">
        <f>IF(AB9341&gt;AB9340,AB9341,"")</f>
        <v/>
      </c>
    </row>
    <row r="9342">
      <c r="W9342" s="7" t="n"/>
      <c r="X9342" s="7" t="n"/>
      <c r="Z9342">
        <f>Z9341+IF(W9342="",0,IF(ISNA(MATCH(W9342,W$256:W9341,0)),1,0))</f>
        <v/>
      </c>
      <c r="AA9342">
        <f>IF(Z9342&gt;Z9341,Z9342,"")</f>
        <v/>
      </c>
      <c r="AB9342">
        <f>AB9341+IF(X9342="",0,IF(ISNA(MATCH(X9342,X$256:X9341,0)),1,0))</f>
        <v/>
      </c>
      <c r="AC9342">
        <f>IF(AB9342&gt;AB9341,AB9342,"")</f>
        <v/>
      </c>
    </row>
    <row r="9343">
      <c r="W9343" s="7" t="n"/>
      <c r="X9343" s="7" t="n"/>
      <c r="Z9343">
        <f>Z9342+IF(W9343="",0,IF(ISNA(MATCH(W9343,W$256:W9342,0)),1,0))</f>
        <v/>
      </c>
      <c r="AA9343">
        <f>IF(Z9343&gt;Z9342,Z9343,"")</f>
        <v/>
      </c>
      <c r="AB9343">
        <f>AB9342+IF(X9343="",0,IF(ISNA(MATCH(X9343,X$256:X9342,0)),1,0))</f>
        <v/>
      </c>
      <c r="AC9343">
        <f>IF(AB9343&gt;AB9342,AB9343,"")</f>
        <v/>
      </c>
    </row>
    <row r="9344">
      <c r="W9344" s="7" t="n"/>
      <c r="X9344" s="7" t="n"/>
      <c r="Z9344">
        <f>Z9343+IF(W9344="",0,IF(ISNA(MATCH(W9344,W$256:W9343,0)),1,0))</f>
        <v/>
      </c>
      <c r="AA9344">
        <f>IF(Z9344&gt;Z9343,Z9344,"")</f>
        <v/>
      </c>
      <c r="AB9344">
        <f>AB9343+IF(X9344="",0,IF(ISNA(MATCH(X9344,X$256:X9343,0)),1,0))</f>
        <v/>
      </c>
      <c r="AC9344">
        <f>IF(AB9344&gt;AB9343,AB9344,"")</f>
        <v/>
      </c>
    </row>
    <row r="9345">
      <c r="W9345" s="7" t="n"/>
      <c r="X9345" s="7" t="n"/>
      <c r="Z9345">
        <f>Z9344+IF(W9345="",0,IF(ISNA(MATCH(W9345,W$256:W9344,0)),1,0))</f>
        <v/>
      </c>
      <c r="AA9345">
        <f>IF(Z9345&gt;Z9344,Z9345,"")</f>
        <v/>
      </c>
      <c r="AB9345">
        <f>AB9344+IF(X9345="",0,IF(ISNA(MATCH(X9345,X$256:X9344,0)),1,0))</f>
        <v/>
      </c>
      <c r="AC9345">
        <f>IF(AB9345&gt;AB9344,AB9345,"")</f>
        <v/>
      </c>
    </row>
    <row r="9346">
      <c r="W9346" s="7" t="n"/>
      <c r="X9346" s="7" t="n"/>
      <c r="Z9346">
        <f>Z9345+IF(W9346="",0,IF(ISNA(MATCH(W9346,W$256:W9345,0)),1,0))</f>
        <v/>
      </c>
      <c r="AA9346">
        <f>IF(Z9346&gt;Z9345,Z9346,"")</f>
        <v/>
      </c>
      <c r="AB9346">
        <f>AB9345+IF(X9346="",0,IF(ISNA(MATCH(X9346,X$256:X9345,0)),1,0))</f>
        <v/>
      </c>
      <c r="AC9346">
        <f>IF(AB9346&gt;AB9345,AB9346,"")</f>
        <v/>
      </c>
    </row>
    <row r="9347">
      <c r="W9347" s="7" t="n"/>
      <c r="X9347" s="7" t="n"/>
      <c r="Z9347">
        <f>Z9346+IF(W9347="",0,IF(ISNA(MATCH(W9347,W$256:W9346,0)),1,0))</f>
        <v/>
      </c>
      <c r="AA9347">
        <f>IF(Z9347&gt;Z9346,Z9347,"")</f>
        <v/>
      </c>
      <c r="AB9347">
        <f>AB9346+IF(X9347="",0,IF(ISNA(MATCH(X9347,X$256:X9346,0)),1,0))</f>
        <v/>
      </c>
      <c r="AC9347">
        <f>IF(AB9347&gt;AB9346,AB9347,"")</f>
        <v/>
      </c>
    </row>
    <row r="9348">
      <c r="W9348" s="7" t="n"/>
      <c r="X9348" s="7" t="n"/>
      <c r="Z9348">
        <f>Z9347+IF(W9348="",0,IF(ISNA(MATCH(W9348,W$256:W9347,0)),1,0))</f>
        <v/>
      </c>
      <c r="AA9348">
        <f>IF(Z9348&gt;Z9347,Z9348,"")</f>
        <v/>
      </c>
      <c r="AB9348">
        <f>AB9347+IF(X9348="",0,IF(ISNA(MATCH(X9348,X$256:X9347,0)),1,0))</f>
        <v/>
      </c>
      <c r="AC9348">
        <f>IF(AB9348&gt;AB9347,AB9348,"")</f>
        <v/>
      </c>
    </row>
    <row r="9349">
      <c r="W9349" s="7" t="n"/>
      <c r="X9349" s="7" t="n"/>
      <c r="Z9349">
        <f>Z9348+IF(W9349="",0,IF(ISNA(MATCH(W9349,W$256:W9348,0)),1,0))</f>
        <v/>
      </c>
      <c r="AA9349">
        <f>IF(Z9349&gt;Z9348,Z9349,"")</f>
        <v/>
      </c>
      <c r="AB9349">
        <f>AB9348+IF(X9349="",0,IF(ISNA(MATCH(X9349,X$256:X9348,0)),1,0))</f>
        <v/>
      </c>
      <c r="AC9349">
        <f>IF(AB9349&gt;AB9348,AB9349,"")</f>
        <v/>
      </c>
    </row>
    <row r="9350">
      <c r="W9350" s="7" t="n"/>
      <c r="X9350" s="7" t="n"/>
      <c r="Z9350">
        <f>Z9349+IF(W9350="",0,IF(ISNA(MATCH(W9350,W$256:W9349,0)),1,0))</f>
        <v/>
      </c>
      <c r="AA9350">
        <f>IF(Z9350&gt;Z9349,Z9350,"")</f>
        <v/>
      </c>
      <c r="AB9350">
        <f>AB9349+IF(X9350="",0,IF(ISNA(MATCH(X9350,X$256:X9349,0)),1,0))</f>
        <v/>
      </c>
      <c r="AC9350">
        <f>IF(AB9350&gt;AB9349,AB9350,"")</f>
        <v/>
      </c>
    </row>
    <row r="9351">
      <c r="W9351" s="7" t="n"/>
      <c r="X9351" s="7" t="n"/>
      <c r="Z9351">
        <f>Z9350+IF(W9351="",0,IF(ISNA(MATCH(W9351,W$256:W9350,0)),1,0))</f>
        <v/>
      </c>
      <c r="AA9351">
        <f>IF(Z9351&gt;Z9350,Z9351,"")</f>
        <v/>
      </c>
      <c r="AB9351">
        <f>AB9350+IF(X9351="",0,IF(ISNA(MATCH(X9351,X$256:X9350,0)),1,0))</f>
        <v/>
      </c>
      <c r="AC9351">
        <f>IF(AB9351&gt;AB9350,AB9351,"")</f>
        <v/>
      </c>
    </row>
    <row r="9352">
      <c r="W9352" s="7" t="n"/>
      <c r="X9352" s="7" t="n"/>
      <c r="Z9352">
        <f>Z9351+IF(W9352="",0,IF(ISNA(MATCH(W9352,W$256:W9351,0)),1,0))</f>
        <v/>
      </c>
      <c r="AA9352">
        <f>IF(Z9352&gt;Z9351,Z9352,"")</f>
        <v/>
      </c>
      <c r="AB9352">
        <f>AB9351+IF(X9352="",0,IF(ISNA(MATCH(X9352,X$256:X9351,0)),1,0))</f>
        <v/>
      </c>
      <c r="AC9352">
        <f>IF(AB9352&gt;AB9351,AB9352,"")</f>
        <v/>
      </c>
    </row>
    <row r="9353">
      <c r="W9353" s="7" t="n"/>
      <c r="X9353" s="7" t="n"/>
      <c r="Z9353">
        <f>Z9352+IF(W9353="",0,IF(ISNA(MATCH(W9353,W$256:W9352,0)),1,0))</f>
        <v/>
      </c>
      <c r="AA9353">
        <f>IF(Z9353&gt;Z9352,Z9353,"")</f>
        <v/>
      </c>
      <c r="AB9353">
        <f>AB9352+IF(X9353="",0,IF(ISNA(MATCH(X9353,X$256:X9352,0)),1,0))</f>
        <v/>
      </c>
      <c r="AC9353">
        <f>IF(AB9353&gt;AB9352,AB9353,"")</f>
        <v/>
      </c>
    </row>
    <row r="9354">
      <c r="W9354" s="7" t="n"/>
      <c r="X9354" s="7" t="n"/>
      <c r="Z9354">
        <f>Z9353+IF(W9354="",0,IF(ISNA(MATCH(W9354,W$256:W9353,0)),1,0))</f>
        <v/>
      </c>
      <c r="AA9354">
        <f>IF(Z9354&gt;Z9353,Z9354,"")</f>
        <v/>
      </c>
      <c r="AB9354">
        <f>AB9353+IF(X9354="",0,IF(ISNA(MATCH(X9354,X$256:X9353,0)),1,0))</f>
        <v/>
      </c>
      <c r="AC9354">
        <f>IF(AB9354&gt;AB9353,AB9354,"")</f>
        <v/>
      </c>
    </row>
    <row r="9355">
      <c r="W9355" s="7" t="n"/>
      <c r="X9355" s="7" t="n"/>
      <c r="Z9355">
        <f>Z9354+IF(W9355="",0,IF(ISNA(MATCH(W9355,W$256:W9354,0)),1,0))</f>
        <v/>
      </c>
      <c r="AA9355">
        <f>IF(Z9355&gt;Z9354,Z9355,"")</f>
        <v/>
      </c>
      <c r="AB9355">
        <f>AB9354+IF(X9355="",0,IF(ISNA(MATCH(X9355,X$256:X9354,0)),1,0))</f>
        <v/>
      </c>
      <c r="AC9355">
        <f>IF(AB9355&gt;AB9354,AB9355,"")</f>
        <v/>
      </c>
    </row>
    <row r="9356">
      <c r="W9356" s="7" t="n"/>
      <c r="X9356" s="7" t="n"/>
      <c r="Z9356">
        <f>Z9355+IF(W9356="",0,IF(ISNA(MATCH(W9356,W$256:W9355,0)),1,0))</f>
        <v/>
      </c>
      <c r="AA9356">
        <f>IF(Z9356&gt;Z9355,Z9356,"")</f>
        <v/>
      </c>
      <c r="AB9356">
        <f>AB9355+IF(X9356="",0,IF(ISNA(MATCH(X9356,X$256:X9355,0)),1,0))</f>
        <v/>
      </c>
      <c r="AC9356">
        <f>IF(AB9356&gt;AB9355,AB9356,"")</f>
        <v/>
      </c>
    </row>
    <row r="9357">
      <c r="W9357" s="7" t="n"/>
      <c r="X9357" s="7" t="n"/>
      <c r="Z9357">
        <f>Z9356+IF(W9357="",0,IF(ISNA(MATCH(W9357,W$256:W9356,0)),1,0))</f>
        <v/>
      </c>
      <c r="AA9357">
        <f>IF(Z9357&gt;Z9356,Z9357,"")</f>
        <v/>
      </c>
      <c r="AB9357">
        <f>AB9356+IF(X9357="",0,IF(ISNA(MATCH(X9357,X$256:X9356,0)),1,0))</f>
        <v/>
      </c>
      <c r="AC9357">
        <f>IF(AB9357&gt;AB9356,AB9357,"")</f>
        <v/>
      </c>
    </row>
    <row r="9358">
      <c r="W9358" s="7" t="n"/>
      <c r="X9358" s="7" t="n"/>
      <c r="Z9358">
        <f>Z9357+IF(W9358="",0,IF(ISNA(MATCH(W9358,W$256:W9357,0)),1,0))</f>
        <v/>
      </c>
      <c r="AA9358">
        <f>IF(Z9358&gt;Z9357,Z9358,"")</f>
        <v/>
      </c>
      <c r="AB9358">
        <f>AB9357+IF(X9358="",0,IF(ISNA(MATCH(X9358,X$256:X9357,0)),1,0))</f>
        <v/>
      </c>
      <c r="AC9358">
        <f>IF(AB9358&gt;AB9357,AB9358,"")</f>
        <v/>
      </c>
    </row>
    <row r="9359">
      <c r="W9359" s="7" t="n"/>
      <c r="X9359" s="7" t="n"/>
      <c r="Z9359">
        <f>Z9358+IF(W9359="",0,IF(ISNA(MATCH(W9359,W$256:W9358,0)),1,0))</f>
        <v/>
      </c>
      <c r="AA9359">
        <f>IF(Z9359&gt;Z9358,Z9359,"")</f>
        <v/>
      </c>
      <c r="AB9359">
        <f>AB9358+IF(X9359="",0,IF(ISNA(MATCH(X9359,X$256:X9358,0)),1,0))</f>
        <v/>
      </c>
      <c r="AC9359">
        <f>IF(AB9359&gt;AB9358,AB9359,"")</f>
        <v/>
      </c>
    </row>
    <row r="9360">
      <c r="W9360" s="7" t="n"/>
      <c r="X9360" s="7" t="n"/>
      <c r="Z9360">
        <f>Z9359+IF(W9360="",0,IF(ISNA(MATCH(W9360,W$256:W9359,0)),1,0))</f>
        <v/>
      </c>
      <c r="AA9360">
        <f>IF(Z9360&gt;Z9359,Z9360,"")</f>
        <v/>
      </c>
      <c r="AB9360">
        <f>AB9359+IF(X9360="",0,IF(ISNA(MATCH(X9360,X$256:X9359,0)),1,0))</f>
        <v/>
      </c>
      <c r="AC9360">
        <f>IF(AB9360&gt;AB9359,AB9360,"")</f>
        <v/>
      </c>
    </row>
    <row r="9361">
      <c r="W9361" s="7" t="n"/>
      <c r="X9361" s="7" t="n"/>
      <c r="Z9361">
        <f>Z9360+IF(W9361="",0,IF(ISNA(MATCH(W9361,W$256:W9360,0)),1,0))</f>
        <v/>
      </c>
      <c r="AA9361">
        <f>IF(Z9361&gt;Z9360,Z9361,"")</f>
        <v/>
      </c>
      <c r="AB9361">
        <f>AB9360+IF(X9361="",0,IF(ISNA(MATCH(X9361,X$256:X9360,0)),1,0))</f>
        <v/>
      </c>
      <c r="AC9361">
        <f>IF(AB9361&gt;AB9360,AB9361,"")</f>
        <v/>
      </c>
    </row>
    <row r="9362">
      <c r="W9362" s="7" t="n"/>
      <c r="X9362" s="7" t="n"/>
      <c r="Z9362">
        <f>Z9361+IF(W9362="",0,IF(ISNA(MATCH(W9362,W$256:W9361,0)),1,0))</f>
        <v/>
      </c>
      <c r="AA9362">
        <f>IF(Z9362&gt;Z9361,Z9362,"")</f>
        <v/>
      </c>
      <c r="AB9362">
        <f>AB9361+IF(X9362="",0,IF(ISNA(MATCH(X9362,X$256:X9361,0)),1,0))</f>
        <v/>
      </c>
      <c r="AC9362">
        <f>IF(AB9362&gt;AB9361,AB9362,"")</f>
        <v/>
      </c>
    </row>
    <row r="9363">
      <c r="W9363" s="7" t="n"/>
      <c r="X9363" s="7" t="n"/>
      <c r="Z9363">
        <f>Z9362+IF(W9363="",0,IF(ISNA(MATCH(W9363,W$256:W9362,0)),1,0))</f>
        <v/>
      </c>
      <c r="AA9363">
        <f>IF(Z9363&gt;Z9362,Z9363,"")</f>
        <v/>
      </c>
      <c r="AB9363">
        <f>AB9362+IF(X9363="",0,IF(ISNA(MATCH(X9363,X$256:X9362,0)),1,0))</f>
        <v/>
      </c>
      <c r="AC9363">
        <f>IF(AB9363&gt;AB9362,AB9363,"")</f>
        <v/>
      </c>
    </row>
    <row r="9364">
      <c r="W9364" s="7" t="n"/>
      <c r="X9364" s="7" t="n"/>
      <c r="Z9364">
        <f>Z9363+IF(W9364="",0,IF(ISNA(MATCH(W9364,W$256:W9363,0)),1,0))</f>
        <v/>
      </c>
      <c r="AA9364">
        <f>IF(Z9364&gt;Z9363,Z9364,"")</f>
        <v/>
      </c>
      <c r="AB9364">
        <f>AB9363+IF(X9364="",0,IF(ISNA(MATCH(X9364,X$256:X9363,0)),1,0))</f>
        <v/>
      </c>
      <c r="AC9364">
        <f>IF(AB9364&gt;AB9363,AB9364,"")</f>
        <v/>
      </c>
    </row>
    <row r="9365">
      <c r="W9365" s="7" t="n"/>
      <c r="X9365" s="7" t="n"/>
      <c r="Z9365">
        <f>Z9364+IF(W9365="",0,IF(ISNA(MATCH(W9365,W$256:W9364,0)),1,0))</f>
        <v/>
      </c>
      <c r="AA9365">
        <f>IF(Z9365&gt;Z9364,Z9365,"")</f>
        <v/>
      </c>
      <c r="AB9365">
        <f>AB9364+IF(X9365="",0,IF(ISNA(MATCH(X9365,X$256:X9364,0)),1,0))</f>
        <v/>
      </c>
      <c r="AC9365">
        <f>IF(AB9365&gt;AB9364,AB9365,"")</f>
        <v/>
      </c>
    </row>
    <row r="9366">
      <c r="W9366" s="7" t="n"/>
      <c r="X9366" s="7" t="n"/>
      <c r="Z9366">
        <f>Z9365+IF(W9366="",0,IF(ISNA(MATCH(W9366,W$256:W9365,0)),1,0))</f>
        <v/>
      </c>
      <c r="AA9366">
        <f>IF(Z9366&gt;Z9365,Z9366,"")</f>
        <v/>
      </c>
      <c r="AB9366">
        <f>AB9365+IF(X9366="",0,IF(ISNA(MATCH(X9366,X$256:X9365,0)),1,0))</f>
        <v/>
      </c>
      <c r="AC9366">
        <f>IF(AB9366&gt;AB9365,AB9366,"")</f>
        <v/>
      </c>
    </row>
    <row r="9367">
      <c r="W9367" s="7" t="n"/>
      <c r="X9367" s="7" t="n"/>
      <c r="Z9367">
        <f>Z9366+IF(W9367="",0,IF(ISNA(MATCH(W9367,W$256:W9366,0)),1,0))</f>
        <v/>
      </c>
      <c r="AA9367">
        <f>IF(Z9367&gt;Z9366,Z9367,"")</f>
        <v/>
      </c>
      <c r="AB9367">
        <f>AB9366+IF(X9367="",0,IF(ISNA(MATCH(X9367,X$256:X9366,0)),1,0))</f>
        <v/>
      </c>
      <c r="AC9367">
        <f>IF(AB9367&gt;AB9366,AB9367,"")</f>
        <v/>
      </c>
    </row>
    <row r="9368">
      <c r="W9368" s="7" t="n"/>
      <c r="X9368" s="7" t="n"/>
      <c r="Z9368">
        <f>Z9367+IF(W9368="",0,IF(ISNA(MATCH(W9368,W$256:W9367,0)),1,0))</f>
        <v/>
      </c>
      <c r="AA9368">
        <f>IF(Z9368&gt;Z9367,Z9368,"")</f>
        <v/>
      </c>
      <c r="AB9368">
        <f>AB9367+IF(X9368="",0,IF(ISNA(MATCH(X9368,X$256:X9367,0)),1,0))</f>
        <v/>
      </c>
      <c r="AC9368">
        <f>IF(AB9368&gt;AB9367,AB9368,"")</f>
        <v/>
      </c>
    </row>
    <row r="9369">
      <c r="W9369" s="7" t="n"/>
      <c r="X9369" s="7" t="n"/>
      <c r="Z9369">
        <f>Z9368+IF(W9369="",0,IF(ISNA(MATCH(W9369,W$256:W9368,0)),1,0))</f>
        <v/>
      </c>
      <c r="AA9369">
        <f>IF(Z9369&gt;Z9368,Z9369,"")</f>
        <v/>
      </c>
      <c r="AB9369">
        <f>AB9368+IF(X9369="",0,IF(ISNA(MATCH(X9369,X$256:X9368,0)),1,0))</f>
        <v/>
      </c>
      <c r="AC9369">
        <f>IF(AB9369&gt;AB9368,AB9369,"")</f>
        <v/>
      </c>
    </row>
    <row r="9370">
      <c r="W9370" s="7" t="n"/>
      <c r="X9370" s="7" t="n"/>
      <c r="Z9370">
        <f>Z9369+IF(W9370="",0,IF(ISNA(MATCH(W9370,W$256:W9369,0)),1,0))</f>
        <v/>
      </c>
      <c r="AA9370">
        <f>IF(Z9370&gt;Z9369,Z9370,"")</f>
        <v/>
      </c>
      <c r="AB9370">
        <f>AB9369+IF(X9370="",0,IF(ISNA(MATCH(X9370,X$256:X9369,0)),1,0))</f>
        <v/>
      </c>
      <c r="AC9370">
        <f>IF(AB9370&gt;AB9369,AB9370,"")</f>
        <v/>
      </c>
    </row>
    <row r="9371">
      <c r="W9371" s="7" t="n"/>
      <c r="X9371" s="7" t="n"/>
      <c r="Z9371">
        <f>Z9370+IF(W9371="",0,IF(ISNA(MATCH(W9371,W$256:W9370,0)),1,0))</f>
        <v/>
      </c>
      <c r="AA9371">
        <f>IF(Z9371&gt;Z9370,Z9371,"")</f>
        <v/>
      </c>
      <c r="AB9371">
        <f>AB9370+IF(X9371="",0,IF(ISNA(MATCH(X9371,X$256:X9370,0)),1,0))</f>
        <v/>
      </c>
      <c r="AC9371">
        <f>IF(AB9371&gt;AB9370,AB9371,"")</f>
        <v/>
      </c>
    </row>
    <row r="9372">
      <c r="W9372" s="7" t="n"/>
      <c r="X9372" s="7" t="n"/>
      <c r="Z9372">
        <f>Z9371+IF(W9372="",0,IF(ISNA(MATCH(W9372,W$256:W9371,0)),1,0))</f>
        <v/>
      </c>
      <c r="AA9372">
        <f>IF(Z9372&gt;Z9371,Z9372,"")</f>
        <v/>
      </c>
      <c r="AB9372">
        <f>AB9371+IF(X9372="",0,IF(ISNA(MATCH(X9372,X$256:X9371,0)),1,0))</f>
        <v/>
      </c>
      <c r="AC9372">
        <f>IF(AB9372&gt;AB9371,AB9372,"")</f>
        <v/>
      </c>
    </row>
    <row r="9373">
      <c r="W9373" s="7" t="n"/>
      <c r="X9373" s="7" t="n"/>
      <c r="Z9373">
        <f>Z9372+IF(W9373="",0,IF(ISNA(MATCH(W9373,W$256:W9372,0)),1,0))</f>
        <v/>
      </c>
      <c r="AA9373">
        <f>IF(Z9373&gt;Z9372,Z9373,"")</f>
        <v/>
      </c>
      <c r="AB9373">
        <f>AB9372+IF(X9373="",0,IF(ISNA(MATCH(X9373,X$256:X9372,0)),1,0))</f>
        <v/>
      </c>
      <c r="AC9373">
        <f>IF(AB9373&gt;AB9372,AB9373,"")</f>
        <v/>
      </c>
    </row>
    <row r="9374">
      <c r="W9374" s="7" t="n"/>
      <c r="X9374" s="7" t="n"/>
      <c r="Z9374">
        <f>Z9373+IF(W9374="",0,IF(ISNA(MATCH(W9374,W$256:W9373,0)),1,0))</f>
        <v/>
      </c>
      <c r="AA9374">
        <f>IF(Z9374&gt;Z9373,Z9374,"")</f>
        <v/>
      </c>
      <c r="AB9374">
        <f>AB9373+IF(X9374="",0,IF(ISNA(MATCH(X9374,X$256:X9373,0)),1,0))</f>
        <v/>
      </c>
      <c r="AC9374">
        <f>IF(AB9374&gt;AB9373,AB9374,"")</f>
        <v/>
      </c>
    </row>
    <row r="9375">
      <c r="W9375" s="7" t="n"/>
      <c r="X9375" s="7" t="n"/>
      <c r="Z9375">
        <f>Z9374+IF(W9375="",0,IF(ISNA(MATCH(W9375,W$256:W9374,0)),1,0))</f>
        <v/>
      </c>
      <c r="AA9375">
        <f>IF(Z9375&gt;Z9374,Z9375,"")</f>
        <v/>
      </c>
      <c r="AB9375">
        <f>AB9374+IF(X9375="",0,IF(ISNA(MATCH(X9375,X$256:X9374,0)),1,0))</f>
        <v/>
      </c>
      <c r="AC9375">
        <f>IF(AB9375&gt;AB9374,AB9375,"")</f>
        <v/>
      </c>
    </row>
    <row r="9376">
      <c r="W9376" s="7" t="n"/>
      <c r="X9376" s="7" t="n"/>
      <c r="Z9376">
        <f>Z9375+IF(W9376="",0,IF(ISNA(MATCH(W9376,W$256:W9375,0)),1,0))</f>
        <v/>
      </c>
      <c r="AA9376">
        <f>IF(Z9376&gt;Z9375,Z9376,"")</f>
        <v/>
      </c>
      <c r="AB9376">
        <f>AB9375+IF(X9376="",0,IF(ISNA(MATCH(X9376,X$256:X9375,0)),1,0))</f>
        <v/>
      </c>
      <c r="AC9376">
        <f>IF(AB9376&gt;AB9375,AB9376,"")</f>
        <v/>
      </c>
    </row>
    <row r="9377">
      <c r="W9377" s="7" t="n"/>
      <c r="X9377" s="7" t="n"/>
      <c r="Z9377">
        <f>Z9376+IF(W9377="",0,IF(ISNA(MATCH(W9377,W$256:W9376,0)),1,0))</f>
        <v/>
      </c>
      <c r="AA9377">
        <f>IF(Z9377&gt;Z9376,Z9377,"")</f>
        <v/>
      </c>
      <c r="AB9377">
        <f>AB9376+IF(X9377="",0,IF(ISNA(MATCH(X9377,X$256:X9376,0)),1,0))</f>
        <v/>
      </c>
      <c r="AC9377">
        <f>IF(AB9377&gt;AB9376,AB9377,"")</f>
        <v/>
      </c>
    </row>
    <row r="9378">
      <c r="W9378" s="7" t="n"/>
      <c r="X9378" s="7" t="n"/>
      <c r="Z9378">
        <f>Z9377+IF(W9378="",0,IF(ISNA(MATCH(W9378,W$256:W9377,0)),1,0))</f>
        <v/>
      </c>
      <c r="AA9378">
        <f>IF(Z9378&gt;Z9377,Z9378,"")</f>
        <v/>
      </c>
      <c r="AB9378">
        <f>AB9377+IF(X9378="",0,IF(ISNA(MATCH(X9378,X$256:X9377,0)),1,0))</f>
        <v/>
      </c>
      <c r="AC9378">
        <f>IF(AB9378&gt;AB9377,AB9378,"")</f>
        <v/>
      </c>
    </row>
    <row r="9379">
      <c r="W9379" s="7" t="n"/>
      <c r="X9379" s="7" t="n"/>
      <c r="Z9379">
        <f>Z9378+IF(W9379="",0,IF(ISNA(MATCH(W9379,W$256:W9378,0)),1,0))</f>
        <v/>
      </c>
      <c r="AA9379">
        <f>IF(Z9379&gt;Z9378,Z9379,"")</f>
        <v/>
      </c>
      <c r="AB9379">
        <f>AB9378+IF(X9379="",0,IF(ISNA(MATCH(X9379,X$256:X9378,0)),1,0))</f>
        <v/>
      </c>
      <c r="AC9379">
        <f>IF(AB9379&gt;AB9378,AB9379,"")</f>
        <v/>
      </c>
    </row>
    <row r="9380">
      <c r="W9380" s="7" t="n"/>
      <c r="X9380" s="7" t="n"/>
      <c r="Z9380">
        <f>Z9379+IF(W9380="",0,IF(ISNA(MATCH(W9380,W$256:W9379,0)),1,0))</f>
        <v/>
      </c>
      <c r="AA9380">
        <f>IF(Z9380&gt;Z9379,Z9380,"")</f>
        <v/>
      </c>
      <c r="AB9380">
        <f>AB9379+IF(X9380="",0,IF(ISNA(MATCH(X9380,X$256:X9379,0)),1,0))</f>
        <v/>
      </c>
      <c r="AC9380">
        <f>IF(AB9380&gt;AB9379,AB9380,"")</f>
        <v/>
      </c>
    </row>
    <row r="9381">
      <c r="W9381" s="7" t="n"/>
      <c r="X9381" s="7" t="n"/>
      <c r="Z9381">
        <f>Z9380+IF(W9381="",0,IF(ISNA(MATCH(W9381,W$256:W9380,0)),1,0))</f>
        <v/>
      </c>
      <c r="AA9381">
        <f>IF(Z9381&gt;Z9380,Z9381,"")</f>
        <v/>
      </c>
      <c r="AB9381">
        <f>AB9380+IF(X9381="",0,IF(ISNA(MATCH(X9381,X$256:X9380,0)),1,0))</f>
        <v/>
      </c>
      <c r="AC9381">
        <f>IF(AB9381&gt;AB9380,AB9381,"")</f>
        <v/>
      </c>
    </row>
    <row r="9382">
      <c r="W9382" s="7" t="n"/>
      <c r="X9382" s="7" t="n"/>
      <c r="Z9382">
        <f>Z9381+IF(W9382="",0,IF(ISNA(MATCH(W9382,W$256:W9381,0)),1,0))</f>
        <v/>
      </c>
      <c r="AA9382">
        <f>IF(Z9382&gt;Z9381,Z9382,"")</f>
        <v/>
      </c>
      <c r="AB9382">
        <f>AB9381+IF(X9382="",0,IF(ISNA(MATCH(X9382,X$256:X9381,0)),1,0))</f>
        <v/>
      </c>
      <c r="AC9382">
        <f>IF(AB9382&gt;AB9381,AB9382,"")</f>
        <v/>
      </c>
    </row>
    <row r="9383">
      <c r="W9383" s="7" t="n"/>
      <c r="X9383" s="7" t="n"/>
      <c r="Z9383">
        <f>Z9382+IF(W9383="",0,IF(ISNA(MATCH(W9383,W$256:W9382,0)),1,0))</f>
        <v/>
      </c>
      <c r="AA9383">
        <f>IF(Z9383&gt;Z9382,Z9383,"")</f>
        <v/>
      </c>
      <c r="AB9383">
        <f>AB9382+IF(X9383="",0,IF(ISNA(MATCH(X9383,X$256:X9382,0)),1,0))</f>
        <v/>
      </c>
      <c r="AC9383">
        <f>IF(AB9383&gt;AB9382,AB9383,"")</f>
        <v/>
      </c>
    </row>
    <row r="9384">
      <c r="W9384" s="7" t="n"/>
      <c r="X9384" s="7" t="n"/>
      <c r="Z9384">
        <f>Z9383+IF(W9384="",0,IF(ISNA(MATCH(W9384,W$256:W9383,0)),1,0))</f>
        <v/>
      </c>
      <c r="AA9384">
        <f>IF(Z9384&gt;Z9383,Z9384,"")</f>
        <v/>
      </c>
      <c r="AB9384">
        <f>AB9383+IF(X9384="",0,IF(ISNA(MATCH(X9384,X$256:X9383,0)),1,0))</f>
        <v/>
      </c>
      <c r="AC9384">
        <f>IF(AB9384&gt;AB9383,AB9384,"")</f>
        <v/>
      </c>
    </row>
    <row r="9385">
      <c r="W9385" s="7" t="n"/>
      <c r="X9385" s="7" t="n"/>
      <c r="Z9385">
        <f>Z9384+IF(W9385="",0,IF(ISNA(MATCH(W9385,W$256:W9384,0)),1,0))</f>
        <v/>
      </c>
      <c r="AA9385">
        <f>IF(Z9385&gt;Z9384,Z9385,"")</f>
        <v/>
      </c>
      <c r="AB9385">
        <f>AB9384+IF(X9385="",0,IF(ISNA(MATCH(X9385,X$256:X9384,0)),1,0))</f>
        <v/>
      </c>
      <c r="AC9385">
        <f>IF(AB9385&gt;AB9384,AB9385,"")</f>
        <v/>
      </c>
    </row>
    <row r="9386">
      <c r="W9386" s="7" t="n"/>
      <c r="X9386" s="7" t="n"/>
      <c r="Z9386">
        <f>Z9385+IF(W9386="",0,IF(ISNA(MATCH(W9386,W$256:W9385,0)),1,0))</f>
        <v/>
      </c>
      <c r="AA9386">
        <f>IF(Z9386&gt;Z9385,Z9386,"")</f>
        <v/>
      </c>
      <c r="AB9386">
        <f>AB9385+IF(X9386="",0,IF(ISNA(MATCH(X9386,X$256:X9385,0)),1,0))</f>
        <v/>
      </c>
      <c r="AC9386">
        <f>IF(AB9386&gt;AB9385,AB9386,"")</f>
        <v/>
      </c>
    </row>
    <row r="9387">
      <c r="W9387" s="7" t="n"/>
      <c r="X9387" s="7" t="n"/>
      <c r="Z9387">
        <f>Z9386+IF(W9387="",0,IF(ISNA(MATCH(W9387,W$256:W9386,0)),1,0))</f>
        <v/>
      </c>
      <c r="AA9387">
        <f>IF(Z9387&gt;Z9386,Z9387,"")</f>
        <v/>
      </c>
      <c r="AB9387">
        <f>AB9386+IF(X9387="",0,IF(ISNA(MATCH(X9387,X$256:X9386,0)),1,0))</f>
        <v/>
      </c>
      <c r="AC9387">
        <f>IF(AB9387&gt;AB9386,AB9387,"")</f>
        <v/>
      </c>
    </row>
    <row r="9388">
      <c r="W9388" s="7" t="n"/>
      <c r="X9388" s="7" t="n"/>
      <c r="Z9388">
        <f>Z9387+IF(W9388="",0,IF(ISNA(MATCH(W9388,W$256:W9387,0)),1,0))</f>
        <v/>
      </c>
      <c r="AA9388">
        <f>IF(Z9388&gt;Z9387,Z9388,"")</f>
        <v/>
      </c>
      <c r="AB9388">
        <f>AB9387+IF(X9388="",0,IF(ISNA(MATCH(X9388,X$256:X9387,0)),1,0))</f>
        <v/>
      </c>
      <c r="AC9388">
        <f>IF(AB9388&gt;AB9387,AB9388,"")</f>
        <v/>
      </c>
    </row>
    <row r="9389">
      <c r="W9389" s="7" t="n"/>
      <c r="X9389" s="7" t="n"/>
      <c r="Z9389">
        <f>Z9388+IF(W9389="",0,IF(ISNA(MATCH(W9389,W$256:W9388,0)),1,0))</f>
        <v/>
      </c>
      <c r="AA9389">
        <f>IF(Z9389&gt;Z9388,Z9389,"")</f>
        <v/>
      </c>
      <c r="AB9389">
        <f>AB9388+IF(X9389="",0,IF(ISNA(MATCH(X9389,X$256:X9388,0)),1,0))</f>
        <v/>
      </c>
      <c r="AC9389">
        <f>IF(AB9389&gt;AB9388,AB9389,"")</f>
        <v/>
      </c>
    </row>
    <row r="9390">
      <c r="W9390" s="7" t="n"/>
      <c r="X9390" s="7" t="n"/>
      <c r="Z9390">
        <f>Z9389+IF(W9390="",0,IF(ISNA(MATCH(W9390,W$256:W9389,0)),1,0))</f>
        <v/>
      </c>
      <c r="AA9390">
        <f>IF(Z9390&gt;Z9389,Z9390,"")</f>
        <v/>
      </c>
      <c r="AB9390">
        <f>AB9389+IF(X9390="",0,IF(ISNA(MATCH(X9390,X$256:X9389,0)),1,0))</f>
        <v/>
      </c>
      <c r="AC9390">
        <f>IF(AB9390&gt;AB9389,AB9390,"")</f>
        <v/>
      </c>
    </row>
    <row r="9391">
      <c r="W9391" s="7" t="n"/>
      <c r="X9391" s="7" t="n"/>
      <c r="Z9391">
        <f>Z9390+IF(W9391="",0,IF(ISNA(MATCH(W9391,W$256:W9390,0)),1,0))</f>
        <v/>
      </c>
      <c r="AA9391">
        <f>IF(Z9391&gt;Z9390,Z9391,"")</f>
        <v/>
      </c>
      <c r="AB9391">
        <f>AB9390+IF(X9391="",0,IF(ISNA(MATCH(X9391,X$256:X9390,0)),1,0))</f>
        <v/>
      </c>
      <c r="AC9391">
        <f>IF(AB9391&gt;AB9390,AB9391,"")</f>
        <v/>
      </c>
    </row>
    <row r="9392">
      <c r="W9392" s="7" t="n"/>
      <c r="X9392" s="7" t="n"/>
      <c r="Z9392">
        <f>Z9391+IF(W9392="",0,IF(ISNA(MATCH(W9392,W$256:W9391,0)),1,0))</f>
        <v/>
      </c>
      <c r="AA9392">
        <f>IF(Z9392&gt;Z9391,Z9392,"")</f>
        <v/>
      </c>
      <c r="AB9392">
        <f>AB9391+IF(X9392="",0,IF(ISNA(MATCH(X9392,X$256:X9391,0)),1,0))</f>
        <v/>
      </c>
      <c r="AC9392">
        <f>IF(AB9392&gt;AB9391,AB9392,"")</f>
        <v/>
      </c>
    </row>
    <row r="9393">
      <c r="W9393" s="7" t="n"/>
      <c r="X9393" s="7" t="n"/>
      <c r="Z9393">
        <f>Z9392+IF(W9393="",0,IF(ISNA(MATCH(W9393,W$256:W9392,0)),1,0))</f>
        <v/>
      </c>
      <c r="AA9393">
        <f>IF(Z9393&gt;Z9392,Z9393,"")</f>
        <v/>
      </c>
      <c r="AB9393">
        <f>AB9392+IF(X9393="",0,IF(ISNA(MATCH(X9393,X$256:X9392,0)),1,0))</f>
        <v/>
      </c>
      <c r="AC9393">
        <f>IF(AB9393&gt;AB9392,AB9393,"")</f>
        <v/>
      </c>
    </row>
    <row r="9394">
      <c r="W9394" s="7" t="n"/>
      <c r="X9394" s="7" t="n"/>
      <c r="Z9394">
        <f>Z9393+IF(W9394="",0,IF(ISNA(MATCH(W9394,W$256:W9393,0)),1,0))</f>
        <v/>
      </c>
      <c r="AA9394">
        <f>IF(Z9394&gt;Z9393,Z9394,"")</f>
        <v/>
      </c>
      <c r="AB9394">
        <f>AB9393+IF(X9394="",0,IF(ISNA(MATCH(X9394,X$256:X9393,0)),1,0))</f>
        <v/>
      </c>
      <c r="AC9394">
        <f>IF(AB9394&gt;AB9393,AB9394,"")</f>
        <v/>
      </c>
    </row>
    <row r="9395">
      <c r="W9395" s="7" t="n"/>
      <c r="X9395" s="7" t="n"/>
      <c r="Z9395">
        <f>Z9394+IF(W9395="",0,IF(ISNA(MATCH(W9395,W$256:W9394,0)),1,0))</f>
        <v/>
      </c>
      <c r="AA9395">
        <f>IF(Z9395&gt;Z9394,Z9395,"")</f>
        <v/>
      </c>
      <c r="AB9395">
        <f>AB9394+IF(X9395="",0,IF(ISNA(MATCH(X9395,X$256:X9394,0)),1,0))</f>
        <v/>
      </c>
      <c r="AC9395">
        <f>IF(AB9395&gt;AB9394,AB9395,"")</f>
        <v/>
      </c>
    </row>
    <row r="9396">
      <c r="W9396" s="7" t="n"/>
      <c r="X9396" s="7" t="n"/>
      <c r="Z9396">
        <f>Z9395+IF(W9396="",0,IF(ISNA(MATCH(W9396,W$256:W9395,0)),1,0))</f>
        <v/>
      </c>
      <c r="AA9396">
        <f>IF(Z9396&gt;Z9395,Z9396,"")</f>
        <v/>
      </c>
      <c r="AB9396">
        <f>AB9395+IF(X9396="",0,IF(ISNA(MATCH(X9396,X$256:X9395,0)),1,0))</f>
        <v/>
      </c>
      <c r="AC9396">
        <f>IF(AB9396&gt;AB9395,AB9396,"")</f>
        <v/>
      </c>
    </row>
    <row r="9397">
      <c r="W9397" s="7" t="n"/>
      <c r="X9397" s="7" t="n"/>
      <c r="Z9397">
        <f>Z9396+IF(W9397="",0,IF(ISNA(MATCH(W9397,W$256:W9396,0)),1,0))</f>
        <v/>
      </c>
      <c r="AA9397">
        <f>IF(Z9397&gt;Z9396,Z9397,"")</f>
        <v/>
      </c>
      <c r="AB9397">
        <f>AB9396+IF(X9397="",0,IF(ISNA(MATCH(X9397,X$256:X9396,0)),1,0))</f>
        <v/>
      </c>
      <c r="AC9397">
        <f>IF(AB9397&gt;AB9396,AB9397,"")</f>
        <v/>
      </c>
    </row>
    <row r="9398">
      <c r="W9398" s="7" t="n"/>
      <c r="X9398" s="7" t="n"/>
      <c r="Z9398">
        <f>Z9397+IF(W9398="",0,IF(ISNA(MATCH(W9398,W$256:W9397,0)),1,0))</f>
        <v/>
      </c>
      <c r="AA9398">
        <f>IF(Z9398&gt;Z9397,Z9398,"")</f>
        <v/>
      </c>
      <c r="AB9398">
        <f>AB9397+IF(X9398="",0,IF(ISNA(MATCH(X9398,X$256:X9397,0)),1,0))</f>
        <v/>
      </c>
      <c r="AC9398">
        <f>IF(AB9398&gt;AB9397,AB9398,"")</f>
        <v/>
      </c>
    </row>
    <row r="9399">
      <c r="W9399" s="7" t="n"/>
      <c r="X9399" s="7" t="n"/>
      <c r="Z9399">
        <f>Z9398+IF(W9399="",0,IF(ISNA(MATCH(W9399,W$256:W9398,0)),1,0))</f>
        <v/>
      </c>
      <c r="AA9399">
        <f>IF(Z9399&gt;Z9398,Z9399,"")</f>
        <v/>
      </c>
      <c r="AB9399">
        <f>AB9398+IF(X9399="",0,IF(ISNA(MATCH(X9399,X$256:X9398,0)),1,0))</f>
        <v/>
      </c>
      <c r="AC9399">
        <f>IF(AB9399&gt;AB9398,AB9399,"")</f>
        <v/>
      </c>
    </row>
    <row r="9400">
      <c r="W9400" s="7" t="n"/>
      <c r="X9400" s="7" t="n"/>
      <c r="Z9400">
        <f>Z9399+IF(W9400="",0,IF(ISNA(MATCH(W9400,W$256:W9399,0)),1,0))</f>
        <v/>
      </c>
      <c r="AA9400">
        <f>IF(Z9400&gt;Z9399,Z9400,"")</f>
        <v/>
      </c>
      <c r="AB9400">
        <f>AB9399+IF(X9400="",0,IF(ISNA(MATCH(X9400,X$256:X9399,0)),1,0))</f>
        <v/>
      </c>
      <c r="AC9400">
        <f>IF(AB9400&gt;AB9399,AB9400,"")</f>
        <v/>
      </c>
    </row>
    <row r="9401">
      <c r="W9401" s="7" t="n"/>
      <c r="X9401" s="7" t="n"/>
      <c r="Z9401">
        <f>Z9400+IF(W9401="",0,IF(ISNA(MATCH(W9401,W$256:W9400,0)),1,0))</f>
        <v/>
      </c>
      <c r="AA9401">
        <f>IF(Z9401&gt;Z9400,Z9401,"")</f>
        <v/>
      </c>
      <c r="AB9401">
        <f>AB9400+IF(X9401="",0,IF(ISNA(MATCH(X9401,X$256:X9400,0)),1,0))</f>
        <v/>
      </c>
      <c r="AC9401">
        <f>IF(AB9401&gt;AB9400,AB9401,"")</f>
        <v/>
      </c>
    </row>
    <row r="9402">
      <c r="W9402" s="7" t="n"/>
      <c r="X9402" s="7" t="n"/>
      <c r="Z9402">
        <f>Z9401+IF(W9402="",0,IF(ISNA(MATCH(W9402,W$256:W9401,0)),1,0))</f>
        <v/>
      </c>
      <c r="AA9402">
        <f>IF(Z9402&gt;Z9401,Z9402,"")</f>
        <v/>
      </c>
      <c r="AB9402">
        <f>AB9401+IF(X9402="",0,IF(ISNA(MATCH(X9402,X$256:X9401,0)),1,0))</f>
        <v/>
      </c>
      <c r="AC9402">
        <f>IF(AB9402&gt;AB9401,AB9402,"")</f>
        <v/>
      </c>
    </row>
    <row r="9403">
      <c r="W9403" s="7" t="n"/>
      <c r="X9403" s="7" t="n"/>
      <c r="Z9403">
        <f>Z9402+IF(W9403="",0,IF(ISNA(MATCH(W9403,W$256:W9402,0)),1,0))</f>
        <v/>
      </c>
      <c r="AA9403">
        <f>IF(Z9403&gt;Z9402,Z9403,"")</f>
        <v/>
      </c>
      <c r="AB9403">
        <f>AB9402+IF(X9403="",0,IF(ISNA(MATCH(X9403,X$256:X9402,0)),1,0))</f>
        <v/>
      </c>
      <c r="AC9403">
        <f>IF(AB9403&gt;AB9402,AB9403,"")</f>
        <v/>
      </c>
    </row>
    <row r="9404">
      <c r="W9404" s="7" t="n"/>
      <c r="X9404" s="7" t="n"/>
      <c r="Z9404">
        <f>Z9403+IF(W9404="",0,IF(ISNA(MATCH(W9404,W$256:W9403,0)),1,0))</f>
        <v/>
      </c>
      <c r="AA9404">
        <f>IF(Z9404&gt;Z9403,Z9404,"")</f>
        <v/>
      </c>
      <c r="AB9404">
        <f>AB9403+IF(X9404="",0,IF(ISNA(MATCH(X9404,X$256:X9403,0)),1,0))</f>
        <v/>
      </c>
      <c r="AC9404">
        <f>IF(AB9404&gt;AB9403,AB9404,"")</f>
        <v/>
      </c>
    </row>
    <row r="9405">
      <c r="W9405" s="7" t="n"/>
      <c r="X9405" s="7" t="n"/>
      <c r="Z9405">
        <f>Z9404+IF(W9405="",0,IF(ISNA(MATCH(W9405,W$256:W9404,0)),1,0))</f>
        <v/>
      </c>
      <c r="AA9405">
        <f>IF(Z9405&gt;Z9404,Z9405,"")</f>
        <v/>
      </c>
      <c r="AB9405">
        <f>AB9404+IF(X9405="",0,IF(ISNA(MATCH(X9405,X$256:X9404,0)),1,0))</f>
        <v/>
      </c>
      <c r="AC9405">
        <f>IF(AB9405&gt;AB9404,AB9405,"")</f>
        <v/>
      </c>
    </row>
    <row r="9406">
      <c r="W9406" s="7" t="n"/>
      <c r="X9406" s="7" t="n"/>
      <c r="Z9406">
        <f>Z9405+IF(W9406="",0,IF(ISNA(MATCH(W9406,W$256:W9405,0)),1,0))</f>
        <v/>
      </c>
      <c r="AA9406">
        <f>IF(Z9406&gt;Z9405,Z9406,"")</f>
        <v/>
      </c>
      <c r="AB9406">
        <f>AB9405+IF(X9406="",0,IF(ISNA(MATCH(X9406,X$256:X9405,0)),1,0))</f>
        <v/>
      </c>
      <c r="AC9406">
        <f>IF(AB9406&gt;AB9405,AB9406,"")</f>
        <v/>
      </c>
    </row>
    <row r="9407">
      <c r="W9407" s="7" t="n"/>
      <c r="X9407" s="7" t="n"/>
      <c r="Z9407">
        <f>Z9406+IF(W9407="",0,IF(ISNA(MATCH(W9407,W$256:W9406,0)),1,0))</f>
        <v/>
      </c>
      <c r="AA9407">
        <f>IF(Z9407&gt;Z9406,Z9407,"")</f>
        <v/>
      </c>
      <c r="AB9407">
        <f>AB9406+IF(X9407="",0,IF(ISNA(MATCH(X9407,X$256:X9406,0)),1,0))</f>
        <v/>
      </c>
      <c r="AC9407">
        <f>IF(AB9407&gt;AB9406,AB9407,"")</f>
        <v/>
      </c>
    </row>
    <row r="9408">
      <c r="W9408" s="7" t="n"/>
      <c r="X9408" s="7" t="n"/>
      <c r="Z9408">
        <f>Z9407+IF(W9408="",0,IF(ISNA(MATCH(W9408,W$256:W9407,0)),1,0))</f>
        <v/>
      </c>
      <c r="AA9408">
        <f>IF(Z9408&gt;Z9407,Z9408,"")</f>
        <v/>
      </c>
      <c r="AB9408">
        <f>AB9407+IF(X9408="",0,IF(ISNA(MATCH(X9408,X$256:X9407,0)),1,0))</f>
        <v/>
      </c>
      <c r="AC9408">
        <f>IF(AB9408&gt;AB9407,AB9408,"")</f>
        <v/>
      </c>
    </row>
    <row r="9409">
      <c r="W9409" s="7" t="n"/>
      <c r="X9409" s="7" t="n"/>
      <c r="Z9409">
        <f>Z9408+IF(W9409="",0,IF(ISNA(MATCH(W9409,W$256:W9408,0)),1,0))</f>
        <v/>
      </c>
      <c r="AA9409">
        <f>IF(Z9409&gt;Z9408,Z9409,"")</f>
        <v/>
      </c>
      <c r="AB9409">
        <f>AB9408+IF(X9409="",0,IF(ISNA(MATCH(X9409,X$256:X9408,0)),1,0))</f>
        <v/>
      </c>
      <c r="AC9409">
        <f>IF(AB9409&gt;AB9408,AB9409,"")</f>
        <v/>
      </c>
    </row>
    <row r="9410">
      <c r="W9410" s="7" t="n"/>
      <c r="X9410" s="7" t="n"/>
      <c r="Z9410">
        <f>Z9409+IF(W9410="",0,IF(ISNA(MATCH(W9410,W$256:W9409,0)),1,0))</f>
        <v/>
      </c>
      <c r="AA9410">
        <f>IF(Z9410&gt;Z9409,Z9410,"")</f>
        <v/>
      </c>
      <c r="AB9410">
        <f>AB9409+IF(X9410="",0,IF(ISNA(MATCH(X9410,X$256:X9409,0)),1,0))</f>
        <v/>
      </c>
      <c r="AC9410">
        <f>IF(AB9410&gt;AB9409,AB9410,"")</f>
        <v/>
      </c>
    </row>
    <row r="9411">
      <c r="W9411" s="7" t="n"/>
      <c r="X9411" s="7" t="n"/>
      <c r="Z9411">
        <f>Z9410+IF(W9411="",0,IF(ISNA(MATCH(W9411,W$256:W9410,0)),1,0))</f>
        <v/>
      </c>
      <c r="AA9411">
        <f>IF(Z9411&gt;Z9410,Z9411,"")</f>
        <v/>
      </c>
      <c r="AB9411">
        <f>AB9410+IF(X9411="",0,IF(ISNA(MATCH(X9411,X$256:X9410,0)),1,0))</f>
        <v/>
      </c>
      <c r="AC9411">
        <f>IF(AB9411&gt;AB9410,AB9411,"")</f>
        <v/>
      </c>
    </row>
    <row r="9412">
      <c r="W9412" s="7" t="n"/>
      <c r="X9412" s="7" t="n"/>
      <c r="Z9412">
        <f>Z9411+IF(W9412="",0,IF(ISNA(MATCH(W9412,W$256:W9411,0)),1,0))</f>
        <v/>
      </c>
      <c r="AA9412">
        <f>IF(Z9412&gt;Z9411,Z9412,"")</f>
        <v/>
      </c>
      <c r="AB9412">
        <f>AB9411+IF(X9412="",0,IF(ISNA(MATCH(X9412,X$256:X9411,0)),1,0))</f>
        <v/>
      </c>
      <c r="AC9412">
        <f>IF(AB9412&gt;AB9411,AB9412,"")</f>
        <v/>
      </c>
    </row>
    <row r="9413">
      <c r="W9413" s="7" t="n"/>
      <c r="X9413" s="7" t="n"/>
      <c r="Z9413">
        <f>Z9412+IF(W9413="",0,IF(ISNA(MATCH(W9413,W$256:W9412,0)),1,0))</f>
        <v/>
      </c>
      <c r="AA9413">
        <f>IF(Z9413&gt;Z9412,Z9413,"")</f>
        <v/>
      </c>
      <c r="AB9413">
        <f>AB9412+IF(X9413="",0,IF(ISNA(MATCH(X9413,X$256:X9412,0)),1,0))</f>
        <v/>
      </c>
      <c r="AC9413">
        <f>IF(AB9413&gt;AB9412,AB9413,"")</f>
        <v/>
      </c>
    </row>
    <row r="9414">
      <c r="W9414" s="7" t="n"/>
      <c r="X9414" s="7" t="n"/>
      <c r="Z9414">
        <f>Z9413+IF(W9414="",0,IF(ISNA(MATCH(W9414,W$256:W9413,0)),1,0))</f>
        <v/>
      </c>
      <c r="AA9414">
        <f>IF(Z9414&gt;Z9413,Z9414,"")</f>
        <v/>
      </c>
      <c r="AB9414">
        <f>AB9413+IF(X9414="",0,IF(ISNA(MATCH(X9414,X$256:X9413,0)),1,0))</f>
        <v/>
      </c>
      <c r="AC9414">
        <f>IF(AB9414&gt;AB9413,AB9414,"")</f>
        <v/>
      </c>
    </row>
    <row r="9415">
      <c r="W9415" s="7" t="n"/>
      <c r="X9415" s="7" t="n"/>
      <c r="Z9415">
        <f>Z9414+IF(W9415="",0,IF(ISNA(MATCH(W9415,W$256:W9414,0)),1,0))</f>
        <v/>
      </c>
      <c r="AA9415">
        <f>IF(Z9415&gt;Z9414,Z9415,"")</f>
        <v/>
      </c>
      <c r="AB9415">
        <f>AB9414+IF(X9415="",0,IF(ISNA(MATCH(X9415,X$256:X9414,0)),1,0))</f>
        <v/>
      </c>
      <c r="AC9415">
        <f>IF(AB9415&gt;AB9414,AB9415,"")</f>
        <v/>
      </c>
    </row>
    <row r="9416">
      <c r="W9416" s="7" t="n"/>
      <c r="X9416" s="7" t="n"/>
      <c r="Z9416">
        <f>Z9415+IF(W9416="",0,IF(ISNA(MATCH(W9416,W$256:W9415,0)),1,0))</f>
        <v/>
      </c>
      <c r="AA9416">
        <f>IF(Z9416&gt;Z9415,Z9416,"")</f>
        <v/>
      </c>
      <c r="AB9416">
        <f>AB9415+IF(X9416="",0,IF(ISNA(MATCH(X9416,X$256:X9415,0)),1,0))</f>
        <v/>
      </c>
      <c r="AC9416">
        <f>IF(AB9416&gt;AB9415,AB9416,"")</f>
        <v/>
      </c>
    </row>
    <row r="9417">
      <c r="W9417" s="7" t="n"/>
      <c r="X9417" s="7" t="n"/>
      <c r="Z9417">
        <f>Z9416+IF(W9417="",0,IF(ISNA(MATCH(W9417,W$256:W9416,0)),1,0))</f>
        <v/>
      </c>
      <c r="AA9417">
        <f>IF(Z9417&gt;Z9416,Z9417,"")</f>
        <v/>
      </c>
      <c r="AB9417">
        <f>AB9416+IF(X9417="",0,IF(ISNA(MATCH(X9417,X$256:X9416,0)),1,0))</f>
        <v/>
      </c>
      <c r="AC9417">
        <f>IF(AB9417&gt;AB9416,AB9417,"")</f>
        <v/>
      </c>
    </row>
    <row r="9418">
      <c r="W9418" s="7" t="n"/>
      <c r="X9418" s="7" t="n"/>
      <c r="Z9418">
        <f>Z9417+IF(W9418="",0,IF(ISNA(MATCH(W9418,W$256:W9417,0)),1,0))</f>
        <v/>
      </c>
      <c r="AA9418">
        <f>IF(Z9418&gt;Z9417,Z9418,"")</f>
        <v/>
      </c>
      <c r="AB9418">
        <f>AB9417+IF(X9418="",0,IF(ISNA(MATCH(X9418,X$256:X9417,0)),1,0))</f>
        <v/>
      </c>
      <c r="AC9418">
        <f>IF(AB9418&gt;AB9417,AB9418,"")</f>
        <v/>
      </c>
    </row>
    <row r="9419">
      <c r="W9419" s="7" t="n"/>
      <c r="X9419" s="7" t="n"/>
      <c r="Z9419">
        <f>Z9418+IF(W9419="",0,IF(ISNA(MATCH(W9419,W$256:W9418,0)),1,0))</f>
        <v/>
      </c>
      <c r="AA9419">
        <f>IF(Z9419&gt;Z9418,Z9419,"")</f>
        <v/>
      </c>
      <c r="AB9419">
        <f>AB9418+IF(X9419="",0,IF(ISNA(MATCH(X9419,X$256:X9418,0)),1,0))</f>
        <v/>
      </c>
      <c r="AC9419">
        <f>IF(AB9419&gt;AB9418,AB9419,"")</f>
        <v/>
      </c>
    </row>
    <row r="9420">
      <c r="W9420" s="7" t="n"/>
      <c r="X9420" s="7" t="n"/>
      <c r="Z9420">
        <f>Z9419+IF(W9420="",0,IF(ISNA(MATCH(W9420,W$256:W9419,0)),1,0))</f>
        <v/>
      </c>
      <c r="AA9420">
        <f>IF(Z9420&gt;Z9419,Z9420,"")</f>
        <v/>
      </c>
      <c r="AB9420">
        <f>AB9419+IF(X9420="",0,IF(ISNA(MATCH(X9420,X$256:X9419,0)),1,0))</f>
        <v/>
      </c>
      <c r="AC9420">
        <f>IF(AB9420&gt;AB9419,AB9420,"")</f>
        <v/>
      </c>
    </row>
    <row r="9421">
      <c r="W9421" s="7" t="n"/>
      <c r="X9421" s="7" t="n"/>
      <c r="Z9421">
        <f>Z9420+IF(W9421="",0,IF(ISNA(MATCH(W9421,W$256:W9420,0)),1,0))</f>
        <v/>
      </c>
      <c r="AA9421">
        <f>IF(Z9421&gt;Z9420,Z9421,"")</f>
        <v/>
      </c>
      <c r="AB9421">
        <f>AB9420+IF(X9421="",0,IF(ISNA(MATCH(X9421,X$256:X9420,0)),1,0))</f>
        <v/>
      </c>
      <c r="AC9421">
        <f>IF(AB9421&gt;AB9420,AB9421,"")</f>
        <v/>
      </c>
    </row>
    <row r="9422">
      <c r="W9422" s="7" t="n"/>
      <c r="X9422" s="7" t="n"/>
      <c r="Z9422">
        <f>Z9421+IF(W9422="",0,IF(ISNA(MATCH(W9422,W$256:W9421,0)),1,0))</f>
        <v/>
      </c>
      <c r="AA9422">
        <f>IF(Z9422&gt;Z9421,Z9422,"")</f>
        <v/>
      </c>
      <c r="AB9422">
        <f>AB9421+IF(X9422="",0,IF(ISNA(MATCH(X9422,X$256:X9421,0)),1,0))</f>
        <v/>
      </c>
      <c r="AC9422">
        <f>IF(AB9422&gt;AB9421,AB9422,"")</f>
        <v/>
      </c>
    </row>
    <row r="9423">
      <c r="W9423" s="7" t="n"/>
      <c r="X9423" s="7" t="n"/>
      <c r="Z9423">
        <f>Z9422+IF(W9423="",0,IF(ISNA(MATCH(W9423,W$256:W9422,0)),1,0))</f>
        <v/>
      </c>
      <c r="AA9423">
        <f>IF(Z9423&gt;Z9422,Z9423,"")</f>
        <v/>
      </c>
      <c r="AB9423">
        <f>AB9422+IF(X9423="",0,IF(ISNA(MATCH(X9423,X$256:X9422,0)),1,0))</f>
        <v/>
      </c>
      <c r="AC9423">
        <f>IF(AB9423&gt;AB9422,AB9423,"")</f>
        <v/>
      </c>
    </row>
    <row r="9424">
      <c r="W9424" s="7" t="n"/>
      <c r="X9424" s="7" t="n"/>
      <c r="Z9424">
        <f>Z9423+IF(W9424="",0,IF(ISNA(MATCH(W9424,W$256:W9423,0)),1,0))</f>
        <v/>
      </c>
      <c r="AA9424">
        <f>IF(Z9424&gt;Z9423,Z9424,"")</f>
        <v/>
      </c>
      <c r="AB9424">
        <f>AB9423+IF(X9424="",0,IF(ISNA(MATCH(X9424,X$256:X9423,0)),1,0))</f>
        <v/>
      </c>
      <c r="AC9424">
        <f>IF(AB9424&gt;AB9423,AB9424,"")</f>
        <v/>
      </c>
    </row>
    <row r="9425">
      <c r="W9425" s="7" t="n"/>
      <c r="X9425" s="7" t="n"/>
      <c r="Z9425">
        <f>Z9424+IF(W9425="",0,IF(ISNA(MATCH(W9425,W$256:W9424,0)),1,0))</f>
        <v/>
      </c>
      <c r="AA9425">
        <f>IF(Z9425&gt;Z9424,Z9425,"")</f>
        <v/>
      </c>
      <c r="AB9425">
        <f>AB9424+IF(X9425="",0,IF(ISNA(MATCH(X9425,X$256:X9424,0)),1,0))</f>
        <v/>
      </c>
      <c r="AC9425">
        <f>IF(AB9425&gt;AB9424,AB9425,"")</f>
        <v/>
      </c>
    </row>
    <row r="9426">
      <c r="W9426" s="7" t="n"/>
      <c r="X9426" s="7" t="n"/>
      <c r="Z9426">
        <f>Z9425+IF(W9426="",0,IF(ISNA(MATCH(W9426,W$256:W9425,0)),1,0))</f>
        <v/>
      </c>
      <c r="AA9426">
        <f>IF(Z9426&gt;Z9425,Z9426,"")</f>
        <v/>
      </c>
      <c r="AB9426">
        <f>AB9425+IF(X9426="",0,IF(ISNA(MATCH(X9426,X$256:X9425,0)),1,0))</f>
        <v/>
      </c>
      <c r="AC9426">
        <f>IF(AB9426&gt;AB9425,AB9426,"")</f>
        <v/>
      </c>
    </row>
    <row r="9427">
      <c r="W9427" s="7" t="n"/>
      <c r="X9427" s="7" t="n"/>
      <c r="Z9427">
        <f>Z9426+IF(W9427="",0,IF(ISNA(MATCH(W9427,W$256:W9426,0)),1,0))</f>
        <v/>
      </c>
      <c r="AA9427">
        <f>IF(Z9427&gt;Z9426,Z9427,"")</f>
        <v/>
      </c>
      <c r="AB9427">
        <f>AB9426+IF(X9427="",0,IF(ISNA(MATCH(X9427,X$256:X9426,0)),1,0))</f>
        <v/>
      </c>
      <c r="AC9427">
        <f>IF(AB9427&gt;AB9426,AB9427,"")</f>
        <v/>
      </c>
    </row>
    <row r="9428">
      <c r="W9428" s="7" t="n"/>
      <c r="X9428" s="7" t="n"/>
      <c r="Z9428">
        <f>Z9427+IF(W9428="",0,IF(ISNA(MATCH(W9428,W$256:W9427,0)),1,0))</f>
        <v/>
      </c>
      <c r="AA9428">
        <f>IF(Z9428&gt;Z9427,Z9428,"")</f>
        <v/>
      </c>
      <c r="AB9428">
        <f>AB9427+IF(X9428="",0,IF(ISNA(MATCH(X9428,X$256:X9427,0)),1,0))</f>
        <v/>
      </c>
      <c r="AC9428">
        <f>IF(AB9428&gt;AB9427,AB9428,"")</f>
        <v/>
      </c>
    </row>
    <row r="9429">
      <c r="W9429" s="7" t="n"/>
      <c r="X9429" s="7" t="n"/>
      <c r="Z9429">
        <f>Z9428+IF(W9429="",0,IF(ISNA(MATCH(W9429,W$256:W9428,0)),1,0))</f>
        <v/>
      </c>
      <c r="AA9429">
        <f>IF(Z9429&gt;Z9428,Z9429,"")</f>
        <v/>
      </c>
      <c r="AB9429">
        <f>AB9428+IF(X9429="",0,IF(ISNA(MATCH(X9429,X$256:X9428,0)),1,0))</f>
        <v/>
      </c>
      <c r="AC9429">
        <f>IF(AB9429&gt;AB9428,AB9429,"")</f>
        <v/>
      </c>
    </row>
    <row r="9430">
      <c r="W9430" s="7" t="n"/>
      <c r="X9430" s="7" t="n"/>
      <c r="Z9430">
        <f>Z9429+IF(W9430="",0,IF(ISNA(MATCH(W9430,W$256:W9429,0)),1,0))</f>
        <v/>
      </c>
      <c r="AA9430">
        <f>IF(Z9430&gt;Z9429,Z9430,"")</f>
        <v/>
      </c>
      <c r="AB9430">
        <f>AB9429+IF(X9430="",0,IF(ISNA(MATCH(X9430,X$256:X9429,0)),1,0))</f>
        <v/>
      </c>
      <c r="AC9430">
        <f>IF(AB9430&gt;AB9429,AB9430,"")</f>
        <v/>
      </c>
    </row>
    <row r="9431">
      <c r="W9431" s="7" t="n"/>
      <c r="X9431" s="7" t="n"/>
      <c r="Z9431">
        <f>Z9430+IF(W9431="",0,IF(ISNA(MATCH(W9431,W$256:W9430,0)),1,0))</f>
        <v/>
      </c>
      <c r="AA9431">
        <f>IF(Z9431&gt;Z9430,Z9431,"")</f>
        <v/>
      </c>
      <c r="AB9431">
        <f>AB9430+IF(X9431="",0,IF(ISNA(MATCH(X9431,X$256:X9430,0)),1,0))</f>
        <v/>
      </c>
      <c r="AC9431">
        <f>IF(AB9431&gt;AB9430,AB9431,"")</f>
        <v/>
      </c>
    </row>
    <row r="9432">
      <c r="W9432" s="7" t="n"/>
      <c r="X9432" s="7" t="n"/>
      <c r="Z9432">
        <f>Z9431+IF(W9432="",0,IF(ISNA(MATCH(W9432,W$256:W9431,0)),1,0))</f>
        <v/>
      </c>
      <c r="AA9432">
        <f>IF(Z9432&gt;Z9431,Z9432,"")</f>
        <v/>
      </c>
      <c r="AB9432">
        <f>AB9431+IF(X9432="",0,IF(ISNA(MATCH(X9432,X$256:X9431,0)),1,0))</f>
        <v/>
      </c>
      <c r="AC9432">
        <f>IF(AB9432&gt;AB9431,AB9432,"")</f>
        <v/>
      </c>
    </row>
    <row r="9433">
      <c r="W9433" s="7" t="n"/>
      <c r="X9433" s="7" t="n"/>
      <c r="Z9433">
        <f>Z9432+IF(W9433="",0,IF(ISNA(MATCH(W9433,W$256:W9432,0)),1,0))</f>
        <v/>
      </c>
      <c r="AA9433">
        <f>IF(Z9433&gt;Z9432,Z9433,"")</f>
        <v/>
      </c>
      <c r="AB9433">
        <f>AB9432+IF(X9433="",0,IF(ISNA(MATCH(X9433,X$256:X9432,0)),1,0))</f>
        <v/>
      </c>
      <c r="AC9433">
        <f>IF(AB9433&gt;AB9432,AB9433,"")</f>
        <v/>
      </c>
    </row>
    <row r="9434">
      <c r="W9434" s="7" t="n"/>
      <c r="X9434" s="7" t="n"/>
      <c r="Z9434">
        <f>Z9433+IF(W9434="",0,IF(ISNA(MATCH(W9434,W$256:W9433,0)),1,0))</f>
        <v/>
      </c>
      <c r="AA9434">
        <f>IF(Z9434&gt;Z9433,Z9434,"")</f>
        <v/>
      </c>
      <c r="AB9434">
        <f>AB9433+IF(X9434="",0,IF(ISNA(MATCH(X9434,X$256:X9433,0)),1,0))</f>
        <v/>
      </c>
      <c r="AC9434">
        <f>IF(AB9434&gt;AB9433,AB9434,"")</f>
        <v/>
      </c>
    </row>
    <row r="9435">
      <c r="W9435" s="7" t="n"/>
      <c r="X9435" s="7" t="n"/>
      <c r="Z9435">
        <f>Z9434+IF(W9435="",0,IF(ISNA(MATCH(W9435,W$256:W9434,0)),1,0))</f>
        <v/>
      </c>
      <c r="AA9435">
        <f>IF(Z9435&gt;Z9434,Z9435,"")</f>
        <v/>
      </c>
      <c r="AB9435">
        <f>AB9434+IF(X9435="",0,IF(ISNA(MATCH(X9435,X$256:X9434,0)),1,0))</f>
        <v/>
      </c>
      <c r="AC9435">
        <f>IF(AB9435&gt;AB9434,AB9435,"")</f>
        <v/>
      </c>
    </row>
    <row r="9436">
      <c r="W9436" s="7" t="n"/>
      <c r="X9436" s="7" t="n"/>
      <c r="Z9436">
        <f>Z9435+IF(W9436="",0,IF(ISNA(MATCH(W9436,W$256:W9435,0)),1,0))</f>
        <v/>
      </c>
      <c r="AA9436">
        <f>IF(Z9436&gt;Z9435,Z9436,"")</f>
        <v/>
      </c>
      <c r="AB9436">
        <f>AB9435+IF(X9436="",0,IF(ISNA(MATCH(X9436,X$256:X9435,0)),1,0))</f>
        <v/>
      </c>
      <c r="AC9436">
        <f>IF(AB9436&gt;AB9435,AB9436,"")</f>
        <v/>
      </c>
    </row>
    <row r="9437">
      <c r="W9437" s="7" t="n"/>
      <c r="X9437" s="7" t="n"/>
      <c r="Z9437">
        <f>Z9436+IF(W9437="",0,IF(ISNA(MATCH(W9437,W$256:W9436,0)),1,0))</f>
        <v/>
      </c>
      <c r="AA9437">
        <f>IF(Z9437&gt;Z9436,Z9437,"")</f>
        <v/>
      </c>
      <c r="AB9437">
        <f>AB9436+IF(X9437="",0,IF(ISNA(MATCH(X9437,X$256:X9436,0)),1,0))</f>
        <v/>
      </c>
      <c r="AC9437">
        <f>IF(AB9437&gt;AB9436,AB9437,"")</f>
        <v/>
      </c>
    </row>
    <row r="9438">
      <c r="W9438" s="7" t="n"/>
      <c r="X9438" s="7" t="n"/>
      <c r="Z9438">
        <f>Z9437+IF(W9438="",0,IF(ISNA(MATCH(W9438,W$256:W9437,0)),1,0))</f>
        <v/>
      </c>
      <c r="AA9438">
        <f>IF(Z9438&gt;Z9437,Z9438,"")</f>
        <v/>
      </c>
      <c r="AB9438">
        <f>AB9437+IF(X9438="",0,IF(ISNA(MATCH(X9438,X$256:X9437,0)),1,0))</f>
        <v/>
      </c>
      <c r="AC9438">
        <f>IF(AB9438&gt;AB9437,AB9438,"")</f>
        <v/>
      </c>
    </row>
    <row r="9439">
      <c r="W9439" s="7" t="n"/>
      <c r="X9439" s="7" t="n"/>
      <c r="Z9439">
        <f>Z9438+IF(W9439="",0,IF(ISNA(MATCH(W9439,W$256:W9438,0)),1,0))</f>
        <v/>
      </c>
      <c r="AA9439">
        <f>IF(Z9439&gt;Z9438,Z9439,"")</f>
        <v/>
      </c>
      <c r="AB9439">
        <f>AB9438+IF(X9439="",0,IF(ISNA(MATCH(X9439,X$256:X9438,0)),1,0))</f>
        <v/>
      </c>
      <c r="AC9439">
        <f>IF(AB9439&gt;AB9438,AB9439,"")</f>
        <v/>
      </c>
    </row>
    <row r="9440">
      <c r="W9440" s="7" t="n"/>
      <c r="X9440" s="7" t="n"/>
      <c r="Z9440">
        <f>Z9439+IF(W9440="",0,IF(ISNA(MATCH(W9440,W$256:W9439,0)),1,0))</f>
        <v/>
      </c>
      <c r="AA9440">
        <f>IF(Z9440&gt;Z9439,Z9440,"")</f>
        <v/>
      </c>
      <c r="AB9440">
        <f>AB9439+IF(X9440="",0,IF(ISNA(MATCH(X9440,X$256:X9439,0)),1,0))</f>
        <v/>
      </c>
      <c r="AC9440">
        <f>IF(AB9440&gt;AB9439,AB9440,"")</f>
        <v/>
      </c>
    </row>
    <row r="9441">
      <c r="W9441" s="7" t="n"/>
      <c r="X9441" s="7" t="n"/>
      <c r="Z9441">
        <f>Z9440+IF(W9441="",0,IF(ISNA(MATCH(W9441,W$256:W9440,0)),1,0))</f>
        <v/>
      </c>
      <c r="AA9441">
        <f>IF(Z9441&gt;Z9440,Z9441,"")</f>
        <v/>
      </c>
      <c r="AB9441">
        <f>AB9440+IF(X9441="",0,IF(ISNA(MATCH(X9441,X$256:X9440,0)),1,0))</f>
        <v/>
      </c>
      <c r="AC9441">
        <f>IF(AB9441&gt;AB9440,AB9441,"")</f>
        <v/>
      </c>
    </row>
    <row r="9442">
      <c r="W9442" s="7" t="n"/>
      <c r="X9442" s="7" t="n"/>
      <c r="Z9442">
        <f>Z9441+IF(W9442="",0,IF(ISNA(MATCH(W9442,W$256:W9441,0)),1,0))</f>
        <v/>
      </c>
      <c r="AA9442">
        <f>IF(Z9442&gt;Z9441,Z9442,"")</f>
        <v/>
      </c>
      <c r="AB9442">
        <f>AB9441+IF(X9442="",0,IF(ISNA(MATCH(X9442,X$256:X9441,0)),1,0))</f>
        <v/>
      </c>
      <c r="AC9442">
        <f>IF(AB9442&gt;AB9441,AB9442,"")</f>
        <v/>
      </c>
    </row>
    <row r="9443">
      <c r="W9443" s="7" t="n"/>
      <c r="X9443" s="7" t="n"/>
      <c r="Z9443">
        <f>Z9442+IF(W9443="",0,IF(ISNA(MATCH(W9443,W$256:W9442,0)),1,0))</f>
        <v/>
      </c>
      <c r="AA9443">
        <f>IF(Z9443&gt;Z9442,Z9443,"")</f>
        <v/>
      </c>
      <c r="AB9443">
        <f>AB9442+IF(X9443="",0,IF(ISNA(MATCH(X9443,X$256:X9442,0)),1,0))</f>
        <v/>
      </c>
      <c r="AC9443">
        <f>IF(AB9443&gt;AB9442,AB9443,"")</f>
        <v/>
      </c>
    </row>
    <row r="9444">
      <c r="W9444" s="7" t="n"/>
      <c r="X9444" s="7" t="n"/>
      <c r="Z9444">
        <f>Z9443+IF(W9444="",0,IF(ISNA(MATCH(W9444,W$256:W9443,0)),1,0))</f>
        <v/>
      </c>
      <c r="AA9444">
        <f>IF(Z9444&gt;Z9443,Z9444,"")</f>
        <v/>
      </c>
      <c r="AB9444">
        <f>AB9443+IF(X9444="",0,IF(ISNA(MATCH(X9444,X$256:X9443,0)),1,0))</f>
        <v/>
      </c>
      <c r="AC9444">
        <f>IF(AB9444&gt;AB9443,AB9444,"")</f>
        <v/>
      </c>
    </row>
    <row r="9445">
      <c r="W9445" s="7" t="n"/>
      <c r="X9445" s="7" t="n"/>
      <c r="Z9445">
        <f>Z9444+IF(W9445="",0,IF(ISNA(MATCH(W9445,W$256:W9444,0)),1,0))</f>
        <v/>
      </c>
      <c r="AA9445">
        <f>IF(Z9445&gt;Z9444,Z9445,"")</f>
        <v/>
      </c>
      <c r="AB9445">
        <f>AB9444+IF(X9445="",0,IF(ISNA(MATCH(X9445,X$256:X9444,0)),1,0))</f>
        <v/>
      </c>
      <c r="AC9445">
        <f>IF(AB9445&gt;AB9444,AB9445,"")</f>
        <v/>
      </c>
    </row>
    <row r="9446">
      <c r="W9446" s="7" t="n"/>
      <c r="X9446" s="7" t="n"/>
      <c r="Z9446">
        <f>Z9445+IF(W9446="",0,IF(ISNA(MATCH(W9446,W$256:W9445,0)),1,0))</f>
        <v/>
      </c>
      <c r="AA9446">
        <f>IF(Z9446&gt;Z9445,Z9446,"")</f>
        <v/>
      </c>
      <c r="AB9446">
        <f>AB9445+IF(X9446="",0,IF(ISNA(MATCH(X9446,X$256:X9445,0)),1,0))</f>
        <v/>
      </c>
      <c r="AC9446">
        <f>IF(AB9446&gt;AB9445,AB9446,"")</f>
        <v/>
      </c>
    </row>
    <row r="9447">
      <c r="W9447" s="7" t="n"/>
      <c r="X9447" s="7" t="n"/>
      <c r="Z9447">
        <f>Z9446+IF(W9447="",0,IF(ISNA(MATCH(W9447,W$256:W9446,0)),1,0))</f>
        <v/>
      </c>
      <c r="AA9447">
        <f>IF(Z9447&gt;Z9446,Z9447,"")</f>
        <v/>
      </c>
      <c r="AB9447">
        <f>AB9446+IF(X9447="",0,IF(ISNA(MATCH(X9447,X$256:X9446,0)),1,0))</f>
        <v/>
      </c>
      <c r="AC9447">
        <f>IF(AB9447&gt;AB9446,AB9447,"")</f>
        <v/>
      </c>
    </row>
    <row r="9448">
      <c r="W9448" s="7" t="n"/>
      <c r="X9448" s="7" t="n"/>
      <c r="Z9448">
        <f>Z9447+IF(W9448="",0,IF(ISNA(MATCH(W9448,W$256:W9447,0)),1,0))</f>
        <v/>
      </c>
      <c r="AA9448">
        <f>IF(Z9448&gt;Z9447,Z9448,"")</f>
        <v/>
      </c>
      <c r="AB9448">
        <f>AB9447+IF(X9448="",0,IF(ISNA(MATCH(X9448,X$256:X9447,0)),1,0))</f>
        <v/>
      </c>
      <c r="AC9448">
        <f>IF(AB9448&gt;AB9447,AB9448,"")</f>
        <v/>
      </c>
    </row>
    <row r="9449">
      <c r="W9449" s="7" t="n"/>
      <c r="X9449" s="7" t="n"/>
      <c r="Z9449">
        <f>Z9448+IF(W9449="",0,IF(ISNA(MATCH(W9449,W$256:W9448,0)),1,0))</f>
        <v/>
      </c>
      <c r="AA9449">
        <f>IF(Z9449&gt;Z9448,Z9449,"")</f>
        <v/>
      </c>
      <c r="AB9449">
        <f>AB9448+IF(X9449="",0,IF(ISNA(MATCH(X9449,X$256:X9448,0)),1,0))</f>
        <v/>
      </c>
      <c r="AC9449">
        <f>IF(AB9449&gt;AB9448,AB9449,"")</f>
        <v/>
      </c>
    </row>
    <row r="9450">
      <c r="W9450" s="7" t="n"/>
      <c r="X9450" s="7" t="n"/>
      <c r="Z9450">
        <f>Z9449+IF(W9450="",0,IF(ISNA(MATCH(W9450,W$256:W9449,0)),1,0))</f>
        <v/>
      </c>
      <c r="AA9450">
        <f>IF(Z9450&gt;Z9449,Z9450,"")</f>
        <v/>
      </c>
      <c r="AB9450">
        <f>AB9449+IF(X9450="",0,IF(ISNA(MATCH(X9450,X$256:X9449,0)),1,0))</f>
        <v/>
      </c>
      <c r="AC9450">
        <f>IF(AB9450&gt;AB9449,AB9450,"")</f>
        <v/>
      </c>
    </row>
    <row r="9451">
      <c r="W9451" s="7" t="n"/>
      <c r="X9451" s="7" t="n"/>
      <c r="Z9451">
        <f>Z9450+IF(W9451="",0,IF(ISNA(MATCH(W9451,W$256:W9450,0)),1,0))</f>
        <v/>
      </c>
      <c r="AA9451">
        <f>IF(Z9451&gt;Z9450,Z9451,"")</f>
        <v/>
      </c>
      <c r="AB9451">
        <f>AB9450+IF(X9451="",0,IF(ISNA(MATCH(X9451,X$256:X9450,0)),1,0))</f>
        <v/>
      </c>
      <c r="AC9451">
        <f>IF(AB9451&gt;AB9450,AB9451,"")</f>
        <v/>
      </c>
    </row>
    <row r="9452">
      <c r="W9452" s="7" t="n"/>
      <c r="X9452" s="7" t="n"/>
      <c r="Z9452">
        <f>Z9451+IF(W9452="",0,IF(ISNA(MATCH(W9452,W$256:W9451,0)),1,0))</f>
        <v/>
      </c>
      <c r="AA9452">
        <f>IF(Z9452&gt;Z9451,Z9452,"")</f>
        <v/>
      </c>
      <c r="AB9452">
        <f>AB9451+IF(X9452="",0,IF(ISNA(MATCH(X9452,X$256:X9451,0)),1,0))</f>
        <v/>
      </c>
      <c r="AC9452">
        <f>IF(AB9452&gt;AB9451,AB9452,"")</f>
        <v/>
      </c>
    </row>
    <row r="9453">
      <c r="W9453" s="7" t="n"/>
      <c r="X9453" s="7" t="n"/>
      <c r="Z9453">
        <f>Z9452+IF(W9453="",0,IF(ISNA(MATCH(W9453,W$256:W9452,0)),1,0))</f>
        <v/>
      </c>
      <c r="AA9453">
        <f>IF(Z9453&gt;Z9452,Z9453,"")</f>
        <v/>
      </c>
      <c r="AB9453">
        <f>AB9452+IF(X9453="",0,IF(ISNA(MATCH(X9453,X$256:X9452,0)),1,0))</f>
        <v/>
      </c>
      <c r="AC9453">
        <f>IF(AB9453&gt;AB9452,AB9453,"")</f>
        <v/>
      </c>
    </row>
    <row r="9454">
      <c r="W9454" s="7" t="n"/>
      <c r="X9454" s="7" t="n"/>
      <c r="Z9454">
        <f>Z9453+IF(W9454="",0,IF(ISNA(MATCH(W9454,W$256:W9453,0)),1,0))</f>
        <v/>
      </c>
      <c r="AA9454">
        <f>IF(Z9454&gt;Z9453,Z9454,"")</f>
        <v/>
      </c>
      <c r="AB9454">
        <f>AB9453+IF(X9454="",0,IF(ISNA(MATCH(X9454,X$256:X9453,0)),1,0))</f>
        <v/>
      </c>
      <c r="AC9454">
        <f>IF(AB9454&gt;AB9453,AB9454,"")</f>
        <v/>
      </c>
    </row>
    <row r="9455">
      <c r="W9455" s="7" t="n"/>
      <c r="X9455" s="7" t="n"/>
      <c r="Z9455">
        <f>Z9454+IF(W9455="",0,IF(ISNA(MATCH(W9455,W$256:W9454,0)),1,0))</f>
        <v/>
      </c>
      <c r="AA9455">
        <f>IF(Z9455&gt;Z9454,Z9455,"")</f>
        <v/>
      </c>
      <c r="AB9455">
        <f>AB9454+IF(X9455="",0,IF(ISNA(MATCH(X9455,X$256:X9454,0)),1,0))</f>
        <v/>
      </c>
      <c r="AC9455">
        <f>IF(AB9455&gt;AB9454,AB9455,"")</f>
        <v/>
      </c>
    </row>
    <row r="9456">
      <c r="W9456" s="7" t="n"/>
      <c r="X9456" s="7" t="n"/>
      <c r="Z9456">
        <f>Z9455+IF(W9456="",0,IF(ISNA(MATCH(W9456,W$256:W9455,0)),1,0))</f>
        <v/>
      </c>
      <c r="AA9456">
        <f>IF(Z9456&gt;Z9455,Z9456,"")</f>
        <v/>
      </c>
      <c r="AB9456">
        <f>AB9455+IF(X9456="",0,IF(ISNA(MATCH(X9456,X$256:X9455,0)),1,0))</f>
        <v/>
      </c>
      <c r="AC9456">
        <f>IF(AB9456&gt;AB9455,AB9456,"")</f>
        <v/>
      </c>
    </row>
    <row r="9457">
      <c r="W9457" s="7" t="n"/>
      <c r="X9457" s="7" t="n"/>
      <c r="Z9457">
        <f>Z9456+IF(W9457="",0,IF(ISNA(MATCH(W9457,W$256:W9456,0)),1,0))</f>
        <v/>
      </c>
      <c r="AA9457">
        <f>IF(Z9457&gt;Z9456,Z9457,"")</f>
        <v/>
      </c>
      <c r="AB9457">
        <f>AB9456+IF(X9457="",0,IF(ISNA(MATCH(X9457,X$256:X9456,0)),1,0))</f>
        <v/>
      </c>
      <c r="AC9457">
        <f>IF(AB9457&gt;AB9456,AB9457,"")</f>
        <v/>
      </c>
    </row>
    <row r="9458">
      <c r="W9458" s="7" t="n"/>
      <c r="X9458" s="7" t="n"/>
      <c r="Z9458">
        <f>Z9457+IF(W9458="",0,IF(ISNA(MATCH(W9458,W$256:W9457,0)),1,0))</f>
        <v/>
      </c>
      <c r="AA9458">
        <f>IF(Z9458&gt;Z9457,Z9458,"")</f>
        <v/>
      </c>
      <c r="AB9458">
        <f>AB9457+IF(X9458="",0,IF(ISNA(MATCH(X9458,X$256:X9457,0)),1,0))</f>
        <v/>
      </c>
      <c r="AC9458">
        <f>IF(AB9458&gt;AB9457,AB9458,"")</f>
        <v/>
      </c>
    </row>
    <row r="9459">
      <c r="W9459" s="7" t="n"/>
      <c r="X9459" s="7" t="n"/>
      <c r="Z9459">
        <f>Z9458+IF(W9459="",0,IF(ISNA(MATCH(W9459,W$256:W9458,0)),1,0))</f>
        <v/>
      </c>
      <c r="AA9459">
        <f>IF(Z9459&gt;Z9458,Z9459,"")</f>
        <v/>
      </c>
      <c r="AB9459">
        <f>AB9458+IF(X9459="",0,IF(ISNA(MATCH(X9459,X$256:X9458,0)),1,0))</f>
        <v/>
      </c>
      <c r="AC9459">
        <f>IF(AB9459&gt;AB9458,AB9459,"")</f>
        <v/>
      </c>
    </row>
    <row r="9460">
      <c r="W9460" s="7" t="n"/>
      <c r="X9460" s="7" t="n"/>
      <c r="Z9460">
        <f>Z9459+IF(W9460="",0,IF(ISNA(MATCH(W9460,W$256:W9459,0)),1,0))</f>
        <v/>
      </c>
      <c r="AA9460">
        <f>IF(Z9460&gt;Z9459,Z9460,"")</f>
        <v/>
      </c>
      <c r="AB9460">
        <f>AB9459+IF(X9460="",0,IF(ISNA(MATCH(X9460,X$256:X9459,0)),1,0))</f>
        <v/>
      </c>
      <c r="AC9460">
        <f>IF(AB9460&gt;AB9459,AB9460,"")</f>
        <v/>
      </c>
    </row>
    <row r="9461">
      <c r="W9461" s="7" t="n"/>
      <c r="X9461" s="7" t="n"/>
      <c r="Z9461">
        <f>Z9460+IF(W9461="",0,IF(ISNA(MATCH(W9461,W$256:W9460,0)),1,0))</f>
        <v/>
      </c>
      <c r="AA9461">
        <f>IF(Z9461&gt;Z9460,Z9461,"")</f>
        <v/>
      </c>
      <c r="AB9461">
        <f>AB9460+IF(X9461="",0,IF(ISNA(MATCH(X9461,X$256:X9460,0)),1,0))</f>
        <v/>
      </c>
      <c r="AC9461">
        <f>IF(AB9461&gt;AB9460,AB9461,"")</f>
        <v/>
      </c>
    </row>
    <row r="9462">
      <c r="W9462" s="7" t="n"/>
      <c r="X9462" s="7" t="n"/>
      <c r="Z9462">
        <f>Z9461+IF(W9462="",0,IF(ISNA(MATCH(W9462,W$256:W9461,0)),1,0))</f>
        <v/>
      </c>
      <c r="AA9462">
        <f>IF(Z9462&gt;Z9461,Z9462,"")</f>
        <v/>
      </c>
      <c r="AB9462">
        <f>AB9461+IF(X9462="",0,IF(ISNA(MATCH(X9462,X$256:X9461,0)),1,0))</f>
        <v/>
      </c>
      <c r="AC9462">
        <f>IF(AB9462&gt;AB9461,AB9462,"")</f>
        <v/>
      </c>
    </row>
    <row r="9463">
      <c r="W9463" s="7" t="n"/>
      <c r="X9463" s="7" t="n"/>
      <c r="Z9463">
        <f>Z9462+IF(W9463="",0,IF(ISNA(MATCH(W9463,W$256:W9462,0)),1,0))</f>
        <v/>
      </c>
      <c r="AA9463">
        <f>IF(Z9463&gt;Z9462,Z9463,"")</f>
        <v/>
      </c>
      <c r="AB9463">
        <f>AB9462+IF(X9463="",0,IF(ISNA(MATCH(X9463,X$256:X9462,0)),1,0))</f>
        <v/>
      </c>
      <c r="AC9463">
        <f>IF(AB9463&gt;AB9462,AB9463,"")</f>
        <v/>
      </c>
    </row>
    <row r="9464">
      <c r="W9464" s="7" t="n"/>
      <c r="X9464" s="7" t="n"/>
      <c r="Z9464">
        <f>Z9463+IF(W9464="",0,IF(ISNA(MATCH(W9464,W$256:W9463,0)),1,0))</f>
        <v/>
      </c>
      <c r="AA9464">
        <f>IF(Z9464&gt;Z9463,Z9464,"")</f>
        <v/>
      </c>
      <c r="AB9464">
        <f>AB9463+IF(X9464="",0,IF(ISNA(MATCH(X9464,X$256:X9463,0)),1,0))</f>
        <v/>
      </c>
      <c r="AC9464">
        <f>IF(AB9464&gt;AB9463,AB9464,"")</f>
        <v/>
      </c>
    </row>
    <row r="9465">
      <c r="W9465" s="7" t="n"/>
      <c r="X9465" s="7" t="n"/>
      <c r="Z9465">
        <f>Z9464+IF(W9465="",0,IF(ISNA(MATCH(W9465,W$256:W9464,0)),1,0))</f>
        <v/>
      </c>
      <c r="AA9465">
        <f>IF(Z9465&gt;Z9464,Z9465,"")</f>
        <v/>
      </c>
      <c r="AB9465">
        <f>AB9464+IF(X9465="",0,IF(ISNA(MATCH(X9465,X$256:X9464,0)),1,0))</f>
        <v/>
      </c>
      <c r="AC9465">
        <f>IF(AB9465&gt;AB9464,AB9465,"")</f>
        <v/>
      </c>
    </row>
    <row r="9466">
      <c r="W9466" s="7" t="n"/>
      <c r="X9466" s="7" t="n"/>
      <c r="Z9466">
        <f>Z9465+IF(W9466="",0,IF(ISNA(MATCH(W9466,W$256:W9465,0)),1,0))</f>
        <v/>
      </c>
      <c r="AA9466">
        <f>IF(Z9466&gt;Z9465,Z9466,"")</f>
        <v/>
      </c>
      <c r="AB9466">
        <f>AB9465+IF(X9466="",0,IF(ISNA(MATCH(X9466,X$256:X9465,0)),1,0))</f>
        <v/>
      </c>
      <c r="AC9466">
        <f>IF(AB9466&gt;AB9465,AB9466,"")</f>
        <v/>
      </c>
    </row>
    <row r="9467">
      <c r="W9467" s="7" t="n"/>
      <c r="X9467" s="7" t="n"/>
      <c r="Z9467">
        <f>Z9466+IF(W9467="",0,IF(ISNA(MATCH(W9467,W$256:W9466,0)),1,0))</f>
        <v/>
      </c>
      <c r="AA9467">
        <f>IF(Z9467&gt;Z9466,Z9467,"")</f>
        <v/>
      </c>
      <c r="AB9467">
        <f>AB9466+IF(X9467="",0,IF(ISNA(MATCH(X9467,X$256:X9466,0)),1,0))</f>
        <v/>
      </c>
      <c r="AC9467">
        <f>IF(AB9467&gt;AB9466,AB9467,"")</f>
        <v/>
      </c>
    </row>
    <row r="9468">
      <c r="W9468" s="7" t="n"/>
      <c r="X9468" s="7" t="n"/>
      <c r="Z9468">
        <f>Z9467+IF(W9468="",0,IF(ISNA(MATCH(W9468,W$256:W9467,0)),1,0))</f>
        <v/>
      </c>
      <c r="AA9468">
        <f>IF(Z9468&gt;Z9467,Z9468,"")</f>
        <v/>
      </c>
      <c r="AB9468">
        <f>AB9467+IF(X9468="",0,IF(ISNA(MATCH(X9468,X$256:X9467,0)),1,0))</f>
        <v/>
      </c>
      <c r="AC9468">
        <f>IF(AB9468&gt;AB9467,AB9468,"")</f>
        <v/>
      </c>
    </row>
    <row r="9469">
      <c r="W9469" s="7" t="n"/>
      <c r="X9469" s="7" t="n"/>
      <c r="Z9469">
        <f>Z9468+IF(W9469="",0,IF(ISNA(MATCH(W9469,W$256:W9468,0)),1,0))</f>
        <v/>
      </c>
      <c r="AA9469">
        <f>IF(Z9469&gt;Z9468,Z9469,"")</f>
        <v/>
      </c>
      <c r="AB9469">
        <f>AB9468+IF(X9469="",0,IF(ISNA(MATCH(X9469,X$256:X9468,0)),1,0))</f>
        <v/>
      </c>
      <c r="AC9469">
        <f>IF(AB9469&gt;AB9468,AB9469,"")</f>
        <v/>
      </c>
    </row>
    <row r="9470">
      <c r="W9470" s="7" t="n"/>
      <c r="X9470" s="7" t="n"/>
      <c r="Z9470">
        <f>Z9469+IF(W9470="",0,IF(ISNA(MATCH(W9470,W$256:W9469,0)),1,0))</f>
        <v/>
      </c>
      <c r="AA9470">
        <f>IF(Z9470&gt;Z9469,Z9470,"")</f>
        <v/>
      </c>
      <c r="AB9470">
        <f>AB9469+IF(X9470="",0,IF(ISNA(MATCH(X9470,X$256:X9469,0)),1,0))</f>
        <v/>
      </c>
      <c r="AC9470">
        <f>IF(AB9470&gt;AB9469,AB9470,"")</f>
        <v/>
      </c>
    </row>
    <row r="9471">
      <c r="W9471" s="7" t="n"/>
      <c r="X9471" s="7" t="n"/>
      <c r="Z9471">
        <f>Z9470+IF(W9471="",0,IF(ISNA(MATCH(W9471,W$256:W9470,0)),1,0))</f>
        <v/>
      </c>
      <c r="AA9471">
        <f>IF(Z9471&gt;Z9470,Z9471,"")</f>
        <v/>
      </c>
      <c r="AB9471">
        <f>AB9470+IF(X9471="",0,IF(ISNA(MATCH(X9471,X$256:X9470,0)),1,0))</f>
        <v/>
      </c>
      <c r="AC9471">
        <f>IF(AB9471&gt;AB9470,AB9471,"")</f>
        <v/>
      </c>
    </row>
    <row r="9472">
      <c r="W9472" s="7" t="n"/>
      <c r="X9472" s="7" t="n"/>
      <c r="Z9472">
        <f>Z9471+IF(W9472="",0,IF(ISNA(MATCH(W9472,W$256:W9471,0)),1,0))</f>
        <v/>
      </c>
      <c r="AA9472">
        <f>IF(Z9472&gt;Z9471,Z9472,"")</f>
        <v/>
      </c>
      <c r="AB9472">
        <f>AB9471+IF(X9472="",0,IF(ISNA(MATCH(X9472,X$256:X9471,0)),1,0))</f>
        <v/>
      </c>
      <c r="AC9472">
        <f>IF(AB9472&gt;AB9471,AB9472,"")</f>
        <v/>
      </c>
    </row>
    <row r="9473">
      <c r="W9473" s="7" t="n"/>
      <c r="X9473" s="7" t="n"/>
      <c r="Z9473">
        <f>Z9472+IF(W9473="",0,IF(ISNA(MATCH(W9473,W$256:W9472,0)),1,0))</f>
        <v/>
      </c>
      <c r="AA9473">
        <f>IF(Z9473&gt;Z9472,Z9473,"")</f>
        <v/>
      </c>
      <c r="AB9473">
        <f>AB9472+IF(X9473="",0,IF(ISNA(MATCH(X9473,X$256:X9472,0)),1,0))</f>
        <v/>
      </c>
      <c r="AC9473">
        <f>IF(AB9473&gt;AB9472,AB9473,"")</f>
        <v/>
      </c>
    </row>
    <row r="9474">
      <c r="W9474" s="7" t="n"/>
      <c r="X9474" s="7" t="n"/>
      <c r="Z9474">
        <f>Z9473+IF(W9474="",0,IF(ISNA(MATCH(W9474,W$256:W9473,0)),1,0))</f>
        <v/>
      </c>
      <c r="AA9474">
        <f>IF(Z9474&gt;Z9473,Z9474,"")</f>
        <v/>
      </c>
      <c r="AB9474">
        <f>AB9473+IF(X9474="",0,IF(ISNA(MATCH(X9474,X$256:X9473,0)),1,0))</f>
        <v/>
      </c>
      <c r="AC9474">
        <f>IF(AB9474&gt;AB9473,AB9474,"")</f>
        <v/>
      </c>
    </row>
    <row r="9475">
      <c r="W9475" s="7" t="n"/>
      <c r="X9475" s="7" t="n"/>
      <c r="Z9475">
        <f>Z9474+IF(W9475="",0,IF(ISNA(MATCH(W9475,W$256:W9474,0)),1,0))</f>
        <v/>
      </c>
      <c r="AA9475">
        <f>IF(Z9475&gt;Z9474,Z9475,"")</f>
        <v/>
      </c>
      <c r="AB9475">
        <f>AB9474+IF(X9475="",0,IF(ISNA(MATCH(X9475,X$256:X9474,0)),1,0))</f>
        <v/>
      </c>
      <c r="AC9475">
        <f>IF(AB9475&gt;AB9474,AB9475,"")</f>
        <v/>
      </c>
    </row>
    <row r="9476">
      <c r="W9476" s="7" t="n"/>
      <c r="X9476" s="7" t="n"/>
      <c r="Z9476">
        <f>Z9475+IF(W9476="",0,IF(ISNA(MATCH(W9476,W$256:W9475,0)),1,0))</f>
        <v/>
      </c>
      <c r="AA9476">
        <f>IF(Z9476&gt;Z9475,Z9476,"")</f>
        <v/>
      </c>
      <c r="AB9476">
        <f>AB9475+IF(X9476="",0,IF(ISNA(MATCH(X9476,X$256:X9475,0)),1,0))</f>
        <v/>
      </c>
      <c r="AC9476">
        <f>IF(AB9476&gt;AB9475,AB9476,"")</f>
        <v/>
      </c>
    </row>
    <row r="9477">
      <c r="W9477" s="7" t="n"/>
      <c r="X9477" s="7" t="n"/>
      <c r="Z9477">
        <f>Z9476+IF(W9477="",0,IF(ISNA(MATCH(W9477,W$256:W9476,0)),1,0))</f>
        <v/>
      </c>
      <c r="AA9477">
        <f>IF(Z9477&gt;Z9476,Z9477,"")</f>
        <v/>
      </c>
      <c r="AB9477">
        <f>AB9476+IF(X9477="",0,IF(ISNA(MATCH(X9477,X$256:X9476,0)),1,0))</f>
        <v/>
      </c>
      <c r="AC9477">
        <f>IF(AB9477&gt;AB9476,AB9477,"")</f>
        <v/>
      </c>
    </row>
    <row r="9478">
      <c r="W9478" s="7" t="n"/>
      <c r="X9478" s="7" t="n"/>
      <c r="Z9478">
        <f>Z9477+IF(W9478="",0,IF(ISNA(MATCH(W9478,W$256:W9477,0)),1,0))</f>
        <v/>
      </c>
      <c r="AA9478">
        <f>IF(Z9478&gt;Z9477,Z9478,"")</f>
        <v/>
      </c>
      <c r="AB9478">
        <f>AB9477+IF(X9478="",0,IF(ISNA(MATCH(X9478,X$256:X9477,0)),1,0))</f>
        <v/>
      </c>
      <c r="AC9478">
        <f>IF(AB9478&gt;AB9477,AB9478,"")</f>
        <v/>
      </c>
    </row>
    <row r="9479">
      <c r="W9479" s="7" t="n"/>
      <c r="X9479" s="7" t="n"/>
      <c r="Z9479">
        <f>Z9478+IF(W9479="",0,IF(ISNA(MATCH(W9479,W$256:W9478,0)),1,0))</f>
        <v/>
      </c>
      <c r="AA9479">
        <f>IF(Z9479&gt;Z9478,Z9479,"")</f>
        <v/>
      </c>
      <c r="AB9479">
        <f>AB9478+IF(X9479="",0,IF(ISNA(MATCH(X9479,X$256:X9478,0)),1,0))</f>
        <v/>
      </c>
      <c r="AC9479">
        <f>IF(AB9479&gt;AB9478,AB9479,"")</f>
        <v/>
      </c>
    </row>
    <row r="9480">
      <c r="W9480" s="7" t="n"/>
      <c r="X9480" s="7" t="n"/>
      <c r="Z9480">
        <f>Z9479+IF(W9480="",0,IF(ISNA(MATCH(W9480,W$256:W9479,0)),1,0))</f>
        <v/>
      </c>
      <c r="AA9480">
        <f>IF(Z9480&gt;Z9479,Z9480,"")</f>
        <v/>
      </c>
      <c r="AB9480">
        <f>AB9479+IF(X9480="",0,IF(ISNA(MATCH(X9480,X$256:X9479,0)),1,0))</f>
        <v/>
      </c>
      <c r="AC9480">
        <f>IF(AB9480&gt;AB9479,AB9480,"")</f>
        <v/>
      </c>
    </row>
    <row r="9481">
      <c r="W9481" s="7" t="n"/>
      <c r="X9481" s="7" t="n"/>
      <c r="Z9481">
        <f>Z9480+IF(W9481="",0,IF(ISNA(MATCH(W9481,W$256:W9480,0)),1,0))</f>
        <v/>
      </c>
      <c r="AA9481">
        <f>IF(Z9481&gt;Z9480,Z9481,"")</f>
        <v/>
      </c>
      <c r="AB9481">
        <f>AB9480+IF(X9481="",0,IF(ISNA(MATCH(X9481,X$256:X9480,0)),1,0))</f>
        <v/>
      </c>
      <c r="AC9481">
        <f>IF(AB9481&gt;AB9480,AB9481,"")</f>
        <v/>
      </c>
    </row>
    <row r="9482">
      <c r="W9482" s="7" t="n"/>
      <c r="X9482" s="7" t="n"/>
      <c r="Z9482">
        <f>Z9481+IF(W9482="",0,IF(ISNA(MATCH(W9482,W$256:W9481,0)),1,0))</f>
        <v/>
      </c>
      <c r="AA9482">
        <f>IF(Z9482&gt;Z9481,Z9482,"")</f>
        <v/>
      </c>
      <c r="AB9482">
        <f>AB9481+IF(X9482="",0,IF(ISNA(MATCH(X9482,X$256:X9481,0)),1,0))</f>
        <v/>
      </c>
      <c r="AC9482">
        <f>IF(AB9482&gt;AB9481,AB9482,"")</f>
        <v/>
      </c>
    </row>
    <row r="9483">
      <c r="W9483" s="7" t="n"/>
      <c r="X9483" s="7" t="n"/>
      <c r="Z9483">
        <f>Z9482+IF(W9483="",0,IF(ISNA(MATCH(W9483,W$256:W9482,0)),1,0))</f>
        <v/>
      </c>
      <c r="AA9483">
        <f>IF(Z9483&gt;Z9482,Z9483,"")</f>
        <v/>
      </c>
      <c r="AB9483">
        <f>AB9482+IF(X9483="",0,IF(ISNA(MATCH(X9483,X$256:X9482,0)),1,0))</f>
        <v/>
      </c>
      <c r="AC9483">
        <f>IF(AB9483&gt;AB9482,AB9483,"")</f>
        <v/>
      </c>
    </row>
    <row r="9484">
      <c r="W9484" s="7" t="n"/>
      <c r="X9484" s="7" t="n"/>
      <c r="Z9484">
        <f>Z9483+IF(W9484="",0,IF(ISNA(MATCH(W9484,W$256:W9483,0)),1,0))</f>
        <v/>
      </c>
      <c r="AA9484">
        <f>IF(Z9484&gt;Z9483,Z9484,"")</f>
        <v/>
      </c>
      <c r="AB9484">
        <f>AB9483+IF(X9484="",0,IF(ISNA(MATCH(X9484,X$256:X9483,0)),1,0))</f>
        <v/>
      </c>
      <c r="AC9484">
        <f>IF(AB9484&gt;AB9483,AB9484,"")</f>
        <v/>
      </c>
    </row>
    <row r="9485">
      <c r="W9485" s="7" t="n"/>
      <c r="X9485" s="7" t="n"/>
      <c r="Z9485">
        <f>Z9484+IF(W9485="",0,IF(ISNA(MATCH(W9485,W$256:W9484,0)),1,0))</f>
        <v/>
      </c>
      <c r="AA9485">
        <f>IF(Z9485&gt;Z9484,Z9485,"")</f>
        <v/>
      </c>
      <c r="AB9485">
        <f>AB9484+IF(X9485="",0,IF(ISNA(MATCH(X9485,X$256:X9484,0)),1,0))</f>
        <v/>
      </c>
      <c r="AC9485">
        <f>IF(AB9485&gt;AB9484,AB9485,"")</f>
        <v/>
      </c>
    </row>
    <row r="9486">
      <c r="W9486" s="7" t="n"/>
      <c r="X9486" s="7" t="n"/>
      <c r="Z9486">
        <f>Z9485+IF(W9486="",0,IF(ISNA(MATCH(W9486,W$256:W9485,0)),1,0))</f>
        <v/>
      </c>
      <c r="AA9486">
        <f>IF(Z9486&gt;Z9485,Z9486,"")</f>
        <v/>
      </c>
      <c r="AB9486">
        <f>AB9485+IF(X9486="",0,IF(ISNA(MATCH(X9486,X$256:X9485,0)),1,0))</f>
        <v/>
      </c>
      <c r="AC9486">
        <f>IF(AB9486&gt;AB9485,AB9486,"")</f>
        <v/>
      </c>
    </row>
    <row r="9487">
      <c r="W9487" s="7" t="n"/>
      <c r="X9487" s="7" t="n"/>
      <c r="Z9487">
        <f>Z9486+IF(W9487="",0,IF(ISNA(MATCH(W9487,W$256:W9486,0)),1,0))</f>
        <v/>
      </c>
      <c r="AA9487">
        <f>IF(Z9487&gt;Z9486,Z9487,"")</f>
        <v/>
      </c>
      <c r="AB9487">
        <f>AB9486+IF(X9487="",0,IF(ISNA(MATCH(X9487,X$256:X9486,0)),1,0))</f>
        <v/>
      </c>
      <c r="AC9487">
        <f>IF(AB9487&gt;AB9486,AB9487,"")</f>
        <v/>
      </c>
    </row>
    <row r="9488">
      <c r="W9488" s="7" t="n"/>
      <c r="X9488" s="7" t="n"/>
      <c r="Z9488">
        <f>Z9487+IF(W9488="",0,IF(ISNA(MATCH(W9488,W$256:W9487,0)),1,0))</f>
        <v/>
      </c>
      <c r="AA9488">
        <f>IF(Z9488&gt;Z9487,Z9488,"")</f>
        <v/>
      </c>
      <c r="AB9488">
        <f>AB9487+IF(X9488="",0,IF(ISNA(MATCH(X9488,X$256:X9487,0)),1,0))</f>
        <v/>
      </c>
      <c r="AC9488">
        <f>IF(AB9488&gt;AB9487,AB9488,"")</f>
        <v/>
      </c>
    </row>
    <row r="9489">
      <c r="W9489" s="7" t="n"/>
      <c r="X9489" s="7" t="n"/>
      <c r="Z9489">
        <f>Z9488+IF(W9489="",0,IF(ISNA(MATCH(W9489,W$256:W9488,0)),1,0))</f>
        <v/>
      </c>
      <c r="AA9489">
        <f>IF(Z9489&gt;Z9488,Z9489,"")</f>
        <v/>
      </c>
      <c r="AB9489">
        <f>AB9488+IF(X9489="",0,IF(ISNA(MATCH(X9489,X$256:X9488,0)),1,0))</f>
        <v/>
      </c>
      <c r="AC9489">
        <f>IF(AB9489&gt;AB9488,AB9489,"")</f>
        <v/>
      </c>
    </row>
    <row r="9490">
      <c r="W9490" s="7" t="n"/>
      <c r="X9490" s="7" t="n"/>
      <c r="Z9490">
        <f>Z9489+IF(W9490="",0,IF(ISNA(MATCH(W9490,W$256:W9489,0)),1,0))</f>
        <v/>
      </c>
      <c r="AA9490">
        <f>IF(Z9490&gt;Z9489,Z9490,"")</f>
        <v/>
      </c>
      <c r="AB9490">
        <f>AB9489+IF(X9490="",0,IF(ISNA(MATCH(X9490,X$256:X9489,0)),1,0))</f>
        <v/>
      </c>
      <c r="AC9490">
        <f>IF(AB9490&gt;AB9489,AB9490,"")</f>
        <v/>
      </c>
    </row>
    <row r="9491">
      <c r="W9491" s="7" t="n"/>
      <c r="X9491" s="7" t="n"/>
      <c r="Z9491">
        <f>Z9490+IF(W9491="",0,IF(ISNA(MATCH(W9491,W$256:W9490,0)),1,0))</f>
        <v/>
      </c>
      <c r="AA9491">
        <f>IF(Z9491&gt;Z9490,Z9491,"")</f>
        <v/>
      </c>
      <c r="AB9491">
        <f>AB9490+IF(X9491="",0,IF(ISNA(MATCH(X9491,X$256:X9490,0)),1,0))</f>
        <v/>
      </c>
      <c r="AC9491">
        <f>IF(AB9491&gt;AB9490,AB9491,"")</f>
        <v/>
      </c>
    </row>
    <row r="9492">
      <c r="W9492" s="7" t="n"/>
      <c r="X9492" s="7" t="n"/>
      <c r="Z9492">
        <f>Z9491+IF(W9492="",0,IF(ISNA(MATCH(W9492,W$256:W9491,0)),1,0))</f>
        <v/>
      </c>
      <c r="AA9492">
        <f>IF(Z9492&gt;Z9491,Z9492,"")</f>
        <v/>
      </c>
      <c r="AB9492">
        <f>AB9491+IF(X9492="",0,IF(ISNA(MATCH(X9492,X$256:X9491,0)),1,0))</f>
        <v/>
      </c>
      <c r="AC9492">
        <f>IF(AB9492&gt;AB9491,AB9492,"")</f>
        <v/>
      </c>
    </row>
    <row r="9493">
      <c r="W9493" s="7" t="n"/>
      <c r="X9493" s="7" t="n"/>
      <c r="Z9493">
        <f>Z9492+IF(W9493="",0,IF(ISNA(MATCH(W9493,W$256:W9492,0)),1,0))</f>
        <v/>
      </c>
      <c r="AA9493">
        <f>IF(Z9493&gt;Z9492,Z9493,"")</f>
        <v/>
      </c>
      <c r="AB9493">
        <f>AB9492+IF(X9493="",0,IF(ISNA(MATCH(X9493,X$256:X9492,0)),1,0))</f>
        <v/>
      </c>
      <c r="AC9493">
        <f>IF(AB9493&gt;AB9492,AB9493,"")</f>
        <v/>
      </c>
    </row>
    <row r="9494">
      <c r="W9494" s="7" t="n"/>
      <c r="X9494" s="7" t="n"/>
      <c r="Z9494">
        <f>Z9493+IF(W9494="",0,IF(ISNA(MATCH(W9494,W$256:W9493,0)),1,0))</f>
        <v/>
      </c>
      <c r="AA9494">
        <f>IF(Z9494&gt;Z9493,Z9494,"")</f>
        <v/>
      </c>
      <c r="AB9494">
        <f>AB9493+IF(X9494="",0,IF(ISNA(MATCH(X9494,X$256:X9493,0)),1,0))</f>
        <v/>
      </c>
      <c r="AC9494">
        <f>IF(AB9494&gt;AB9493,AB9494,"")</f>
        <v/>
      </c>
    </row>
    <row r="9495">
      <c r="W9495" s="7" t="n"/>
      <c r="X9495" s="7" t="n"/>
      <c r="Z9495">
        <f>Z9494+IF(W9495="",0,IF(ISNA(MATCH(W9495,W$256:W9494,0)),1,0))</f>
        <v/>
      </c>
      <c r="AA9495">
        <f>IF(Z9495&gt;Z9494,Z9495,"")</f>
        <v/>
      </c>
      <c r="AB9495">
        <f>AB9494+IF(X9495="",0,IF(ISNA(MATCH(X9495,X$256:X9494,0)),1,0))</f>
        <v/>
      </c>
      <c r="AC9495">
        <f>IF(AB9495&gt;AB9494,AB9495,"")</f>
        <v/>
      </c>
    </row>
    <row r="9496">
      <c r="W9496" s="7" t="n"/>
      <c r="X9496" s="7" t="n"/>
      <c r="Z9496">
        <f>Z9495+IF(W9496="",0,IF(ISNA(MATCH(W9496,W$256:W9495,0)),1,0))</f>
        <v/>
      </c>
      <c r="AA9496">
        <f>IF(Z9496&gt;Z9495,Z9496,"")</f>
        <v/>
      </c>
      <c r="AB9496">
        <f>AB9495+IF(X9496="",0,IF(ISNA(MATCH(X9496,X$256:X9495,0)),1,0))</f>
        <v/>
      </c>
      <c r="AC9496">
        <f>IF(AB9496&gt;AB9495,AB9496,"")</f>
        <v/>
      </c>
    </row>
    <row r="9497">
      <c r="W9497" s="7" t="n"/>
      <c r="X9497" s="7" t="n"/>
      <c r="Z9497">
        <f>Z9496+IF(W9497="",0,IF(ISNA(MATCH(W9497,W$256:W9496,0)),1,0))</f>
        <v/>
      </c>
      <c r="AA9497">
        <f>IF(Z9497&gt;Z9496,Z9497,"")</f>
        <v/>
      </c>
      <c r="AB9497">
        <f>AB9496+IF(X9497="",0,IF(ISNA(MATCH(X9497,X$256:X9496,0)),1,0))</f>
        <v/>
      </c>
      <c r="AC9497">
        <f>IF(AB9497&gt;AB9496,AB9497,"")</f>
        <v/>
      </c>
    </row>
    <row r="9498">
      <c r="W9498" s="7" t="n"/>
      <c r="X9498" s="7" t="n"/>
      <c r="Z9498">
        <f>Z9497+IF(W9498="",0,IF(ISNA(MATCH(W9498,W$256:W9497,0)),1,0))</f>
        <v/>
      </c>
      <c r="AA9498">
        <f>IF(Z9498&gt;Z9497,Z9498,"")</f>
        <v/>
      </c>
      <c r="AB9498">
        <f>AB9497+IF(X9498="",0,IF(ISNA(MATCH(X9498,X$256:X9497,0)),1,0))</f>
        <v/>
      </c>
      <c r="AC9498">
        <f>IF(AB9498&gt;AB9497,AB9498,"")</f>
        <v/>
      </c>
    </row>
    <row r="9499">
      <c r="W9499" s="7" t="n"/>
      <c r="X9499" s="7" t="n"/>
      <c r="Z9499">
        <f>Z9498+IF(W9499="",0,IF(ISNA(MATCH(W9499,W$256:W9498,0)),1,0))</f>
        <v/>
      </c>
      <c r="AA9499">
        <f>IF(Z9499&gt;Z9498,Z9499,"")</f>
        <v/>
      </c>
      <c r="AB9499">
        <f>AB9498+IF(X9499="",0,IF(ISNA(MATCH(X9499,X$256:X9498,0)),1,0))</f>
        <v/>
      </c>
      <c r="AC9499">
        <f>IF(AB9499&gt;AB9498,AB9499,"")</f>
        <v/>
      </c>
    </row>
    <row r="9500">
      <c r="W9500" s="7" t="n"/>
      <c r="X9500" s="7" t="n"/>
      <c r="Z9500">
        <f>Z9499+IF(W9500="",0,IF(ISNA(MATCH(W9500,W$256:W9499,0)),1,0))</f>
        <v/>
      </c>
      <c r="AA9500">
        <f>IF(Z9500&gt;Z9499,Z9500,"")</f>
        <v/>
      </c>
      <c r="AB9500">
        <f>AB9499+IF(X9500="",0,IF(ISNA(MATCH(X9500,X$256:X9499,0)),1,0))</f>
        <v/>
      </c>
      <c r="AC9500">
        <f>IF(AB9500&gt;AB9499,AB9500,"")</f>
        <v/>
      </c>
    </row>
    <row r="9501">
      <c r="W9501" s="7" t="n"/>
      <c r="X9501" s="7" t="n"/>
      <c r="Z9501">
        <f>Z9500+IF(W9501="",0,IF(ISNA(MATCH(W9501,W$256:W9500,0)),1,0))</f>
        <v/>
      </c>
      <c r="AA9501">
        <f>IF(Z9501&gt;Z9500,Z9501,"")</f>
        <v/>
      </c>
      <c r="AB9501">
        <f>AB9500+IF(X9501="",0,IF(ISNA(MATCH(X9501,X$256:X9500,0)),1,0))</f>
        <v/>
      </c>
      <c r="AC9501">
        <f>IF(AB9501&gt;AB9500,AB9501,"")</f>
        <v/>
      </c>
    </row>
    <row r="9502">
      <c r="W9502" s="7" t="n"/>
      <c r="X9502" s="7" t="n"/>
      <c r="Z9502">
        <f>Z9501+IF(W9502="",0,IF(ISNA(MATCH(W9502,W$256:W9501,0)),1,0))</f>
        <v/>
      </c>
      <c r="AA9502">
        <f>IF(Z9502&gt;Z9501,Z9502,"")</f>
        <v/>
      </c>
      <c r="AB9502">
        <f>AB9501+IF(X9502="",0,IF(ISNA(MATCH(X9502,X$256:X9501,0)),1,0))</f>
        <v/>
      </c>
      <c r="AC9502">
        <f>IF(AB9502&gt;AB9501,AB9502,"")</f>
        <v/>
      </c>
    </row>
    <row r="9503">
      <c r="W9503" s="7" t="n"/>
      <c r="X9503" s="7" t="n"/>
      <c r="Z9503">
        <f>Z9502+IF(W9503="",0,IF(ISNA(MATCH(W9503,W$256:W9502,0)),1,0))</f>
        <v/>
      </c>
      <c r="AA9503">
        <f>IF(Z9503&gt;Z9502,Z9503,"")</f>
        <v/>
      </c>
      <c r="AB9503">
        <f>AB9502+IF(X9503="",0,IF(ISNA(MATCH(X9503,X$256:X9502,0)),1,0))</f>
        <v/>
      </c>
      <c r="AC9503">
        <f>IF(AB9503&gt;AB9502,AB9503,"")</f>
        <v/>
      </c>
    </row>
    <row r="9504">
      <c r="W9504" s="7" t="n"/>
      <c r="X9504" s="7" t="n"/>
      <c r="Z9504">
        <f>Z9503+IF(W9504="",0,IF(ISNA(MATCH(W9504,W$256:W9503,0)),1,0))</f>
        <v/>
      </c>
      <c r="AA9504">
        <f>IF(Z9504&gt;Z9503,Z9504,"")</f>
        <v/>
      </c>
      <c r="AB9504">
        <f>AB9503+IF(X9504="",0,IF(ISNA(MATCH(X9504,X$256:X9503,0)),1,0))</f>
        <v/>
      </c>
      <c r="AC9504">
        <f>IF(AB9504&gt;AB9503,AB9504,"")</f>
        <v/>
      </c>
    </row>
    <row r="9505">
      <c r="W9505" s="7" t="n"/>
      <c r="X9505" s="7" t="n"/>
      <c r="Z9505">
        <f>Z9504+IF(W9505="",0,IF(ISNA(MATCH(W9505,W$256:W9504,0)),1,0))</f>
        <v/>
      </c>
      <c r="AA9505">
        <f>IF(Z9505&gt;Z9504,Z9505,"")</f>
        <v/>
      </c>
      <c r="AB9505">
        <f>AB9504+IF(X9505="",0,IF(ISNA(MATCH(X9505,X$256:X9504,0)),1,0))</f>
        <v/>
      </c>
      <c r="AC9505">
        <f>IF(AB9505&gt;AB9504,AB9505,"")</f>
        <v/>
      </c>
    </row>
    <row r="9506">
      <c r="W9506" s="7" t="n"/>
      <c r="X9506" s="7" t="n"/>
      <c r="Z9506">
        <f>Z9505+IF(W9506="",0,IF(ISNA(MATCH(W9506,W$256:W9505,0)),1,0))</f>
        <v/>
      </c>
      <c r="AA9506">
        <f>IF(Z9506&gt;Z9505,Z9506,"")</f>
        <v/>
      </c>
      <c r="AB9506">
        <f>AB9505+IF(X9506="",0,IF(ISNA(MATCH(X9506,X$256:X9505,0)),1,0))</f>
        <v/>
      </c>
      <c r="AC9506">
        <f>IF(AB9506&gt;AB9505,AB9506,"")</f>
        <v/>
      </c>
    </row>
    <row r="9507">
      <c r="W9507" s="7" t="n"/>
      <c r="X9507" s="7" t="n"/>
      <c r="Z9507">
        <f>Z9506+IF(W9507="",0,IF(ISNA(MATCH(W9507,W$256:W9506,0)),1,0))</f>
        <v/>
      </c>
      <c r="AA9507">
        <f>IF(Z9507&gt;Z9506,Z9507,"")</f>
        <v/>
      </c>
      <c r="AB9507">
        <f>AB9506+IF(X9507="",0,IF(ISNA(MATCH(X9507,X$256:X9506,0)),1,0))</f>
        <v/>
      </c>
      <c r="AC9507">
        <f>IF(AB9507&gt;AB9506,AB9507,"")</f>
        <v/>
      </c>
    </row>
    <row r="9508">
      <c r="W9508" s="7" t="n"/>
      <c r="X9508" s="7" t="n"/>
      <c r="Z9508">
        <f>Z9507+IF(W9508="",0,IF(ISNA(MATCH(W9508,W$256:W9507,0)),1,0))</f>
        <v/>
      </c>
      <c r="AA9508">
        <f>IF(Z9508&gt;Z9507,Z9508,"")</f>
        <v/>
      </c>
      <c r="AB9508">
        <f>AB9507+IF(X9508="",0,IF(ISNA(MATCH(X9508,X$256:X9507,0)),1,0))</f>
        <v/>
      </c>
      <c r="AC9508">
        <f>IF(AB9508&gt;AB9507,AB9508,"")</f>
        <v/>
      </c>
    </row>
    <row r="9509">
      <c r="W9509" s="7" t="n"/>
      <c r="X9509" s="7" t="n"/>
      <c r="Z9509">
        <f>Z9508+IF(W9509="",0,IF(ISNA(MATCH(W9509,W$256:W9508,0)),1,0))</f>
        <v/>
      </c>
      <c r="AA9509">
        <f>IF(Z9509&gt;Z9508,Z9509,"")</f>
        <v/>
      </c>
      <c r="AB9509">
        <f>AB9508+IF(X9509="",0,IF(ISNA(MATCH(X9509,X$256:X9508,0)),1,0))</f>
        <v/>
      </c>
      <c r="AC9509">
        <f>IF(AB9509&gt;AB9508,AB9509,"")</f>
        <v/>
      </c>
    </row>
    <row r="9510">
      <c r="W9510" s="7" t="n"/>
      <c r="X9510" s="7" t="n"/>
      <c r="Z9510">
        <f>Z9509+IF(W9510="",0,IF(ISNA(MATCH(W9510,W$256:W9509,0)),1,0))</f>
        <v/>
      </c>
      <c r="AA9510">
        <f>IF(Z9510&gt;Z9509,Z9510,"")</f>
        <v/>
      </c>
      <c r="AB9510">
        <f>AB9509+IF(X9510="",0,IF(ISNA(MATCH(X9510,X$256:X9509,0)),1,0))</f>
        <v/>
      </c>
      <c r="AC9510">
        <f>IF(AB9510&gt;AB9509,AB9510,"")</f>
        <v/>
      </c>
    </row>
    <row r="9511">
      <c r="W9511" s="7" t="n"/>
      <c r="X9511" s="7" t="n"/>
      <c r="Z9511">
        <f>Z9510+IF(W9511="",0,IF(ISNA(MATCH(W9511,W$256:W9510,0)),1,0))</f>
        <v/>
      </c>
      <c r="AA9511">
        <f>IF(Z9511&gt;Z9510,Z9511,"")</f>
        <v/>
      </c>
      <c r="AB9511">
        <f>AB9510+IF(X9511="",0,IF(ISNA(MATCH(X9511,X$256:X9510,0)),1,0))</f>
        <v/>
      </c>
      <c r="AC9511">
        <f>IF(AB9511&gt;AB9510,AB9511,"")</f>
        <v/>
      </c>
    </row>
    <row r="9512">
      <c r="W9512" s="7" t="n"/>
      <c r="X9512" s="7" t="n"/>
      <c r="Z9512">
        <f>Z9511+IF(W9512="",0,IF(ISNA(MATCH(W9512,W$256:W9511,0)),1,0))</f>
        <v/>
      </c>
      <c r="AA9512">
        <f>IF(Z9512&gt;Z9511,Z9512,"")</f>
        <v/>
      </c>
      <c r="AB9512">
        <f>AB9511+IF(X9512="",0,IF(ISNA(MATCH(X9512,X$256:X9511,0)),1,0))</f>
        <v/>
      </c>
      <c r="AC9512">
        <f>IF(AB9512&gt;AB9511,AB9512,"")</f>
        <v/>
      </c>
    </row>
    <row r="9513">
      <c r="W9513" s="7" t="n"/>
      <c r="X9513" s="7" t="n"/>
      <c r="Z9513">
        <f>Z9512+IF(W9513="",0,IF(ISNA(MATCH(W9513,W$256:W9512,0)),1,0))</f>
        <v/>
      </c>
      <c r="AA9513">
        <f>IF(Z9513&gt;Z9512,Z9513,"")</f>
        <v/>
      </c>
      <c r="AB9513">
        <f>AB9512+IF(X9513="",0,IF(ISNA(MATCH(X9513,X$256:X9512,0)),1,0))</f>
        <v/>
      </c>
      <c r="AC9513">
        <f>IF(AB9513&gt;AB9512,AB9513,"")</f>
        <v/>
      </c>
    </row>
    <row r="9514">
      <c r="W9514" s="7" t="n"/>
      <c r="X9514" s="7" t="n"/>
      <c r="Z9514">
        <f>Z9513+IF(W9514="",0,IF(ISNA(MATCH(W9514,W$256:W9513,0)),1,0))</f>
        <v/>
      </c>
      <c r="AA9514">
        <f>IF(Z9514&gt;Z9513,Z9514,"")</f>
        <v/>
      </c>
      <c r="AB9514">
        <f>AB9513+IF(X9514="",0,IF(ISNA(MATCH(X9514,X$256:X9513,0)),1,0))</f>
        <v/>
      </c>
      <c r="AC9514">
        <f>IF(AB9514&gt;AB9513,AB9514,"")</f>
        <v/>
      </c>
    </row>
    <row r="9515">
      <c r="W9515" s="7" t="n"/>
      <c r="X9515" s="7" t="n"/>
      <c r="Z9515">
        <f>Z9514+IF(W9515="",0,IF(ISNA(MATCH(W9515,W$256:W9514,0)),1,0))</f>
        <v/>
      </c>
      <c r="AA9515">
        <f>IF(Z9515&gt;Z9514,Z9515,"")</f>
        <v/>
      </c>
      <c r="AB9515">
        <f>AB9514+IF(X9515="",0,IF(ISNA(MATCH(X9515,X$256:X9514,0)),1,0))</f>
        <v/>
      </c>
      <c r="AC9515">
        <f>IF(AB9515&gt;AB9514,AB9515,"")</f>
        <v/>
      </c>
    </row>
    <row r="9516">
      <c r="W9516" s="7" t="n"/>
      <c r="X9516" s="7" t="n"/>
      <c r="Z9516">
        <f>Z9515+IF(W9516="",0,IF(ISNA(MATCH(W9516,W$256:W9515,0)),1,0))</f>
        <v/>
      </c>
      <c r="AA9516">
        <f>IF(Z9516&gt;Z9515,Z9516,"")</f>
        <v/>
      </c>
      <c r="AB9516">
        <f>AB9515+IF(X9516="",0,IF(ISNA(MATCH(X9516,X$256:X9515,0)),1,0))</f>
        <v/>
      </c>
      <c r="AC9516">
        <f>IF(AB9516&gt;AB9515,AB9516,"")</f>
        <v/>
      </c>
    </row>
    <row r="9517">
      <c r="W9517" s="7" t="n"/>
      <c r="X9517" s="7" t="n"/>
      <c r="Z9517">
        <f>Z9516+IF(W9517="",0,IF(ISNA(MATCH(W9517,W$256:W9516,0)),1,0))</f>
        <v/>
      </c>
      <c r="AA9517">
        <f>IF(Z9517&gt;Z9516,Z9517,"")</f>
        <v/>
      </c>
      <c r="AB9517">
        <f>AB9516+IF(X9517="",0,IF(ISNA(MATCH(X9517,X$256:X9516,0)),1,0))</f>
        <v/>
      </c>
      <c r="AC9517">
        <f>IF(AB9517&gt;AB9516,AB9517,"")</f>
        <v/>
      </c>
    </row>
    <row r="9518">
      <c r="W9518" s="7" t="n"/>
      <c r="X9518" s="7" t="n"/>
      <c r="Z9518">
        <f>Z9517+IF(W9518="",0,IF(ISNA(MATCH(W9518,W$256:W9517,0)),1,0))</f>
        <v/>
      </c>
      <c r="AA9518">
        <f>IF(Z9518&gt;Z9517,Z9518,"")</f>
        <v/>
      </c>
      <c r="AB9518">
        <f>AB9517+IF(X9518="",0,IF(ISNA(MATCH(X9518,X$256:X9517,0)),1,0))</f>
        <v/>
      </c>
      <c r="AC9518">
        <f>IF(AB9518&gt;AB9517,AB9518,"")</f>
        <v/>
      </c>
    </row>
    <row r="9519">
      <c r="W9519" s="7" t="n"/>
      <c r="X9519" s="7" t="n"/>
      <c r="Z9519">
        <f>Z9518+IF(W9519="",0,IF(ISNA(MATCH(W9519,W$256:W9518,0)),1,0))</f>
        <v/>
      </c>
      <c r="AA9519">
        <f>IF(Z9519&gt;Z9518,Z9519,"")</f>
        <v/>
      </c>
      <c r="AB9519">
        <f>AB9518+IF(X9519="",0,IF(ISNA(MATCH(X9519,X$256:X9518,0)),1,0))</f>
        <v/>
      </c>
      <c r="AC9519">
        <f>IF(AB9519&gt;AB9518,AB9519,"")</f>
        <v/>
      </c>
    </row>
    <row r="9520">
      <c r="W9520" s="7" t="n"/>
      <c r="X9520" s="7" t="n"/>
      <c r="Z9520">
        <f>Z9519+IF(W9520="",0,IF(ISNA(MATCH(W9520,W$256:W9519,0)),1,0))</f>
        <v/>
      </c>
      <c r="AA9520">
        <f>IF(Z9520&gt;Z9519,Z9520,"")</f>
        <v/>
      </c>
      <c r="AB9520">
        <f>AB9519+IF(X9520="",0,IF(ISNA(MATCH(X9520,X$256:X9519,0)),1,0))</f>
        <v/>
      </c>
      <c r="AC9520">
        <f>IF(AB9520&gt;AB9519,AB9520,"")</f>
        <v/>
      </c>
    </row>
    <row r="9521">
      <c r="W9521" s="7" t="n"/>
      <c r="X9521" s="7" t="n"/>
      <c r="Z9521">
        <f>Z9520+IF(W9521="",0,IF(ISNA(MATCH(W9521,W$256:W9520,0)),1,0))</f>
        <v/>
      </c>
      <c r="AA9521">
        <f>IF(Z9521&gt;Z9520,Z9521,"")</f>
        <v/>
      </c>
      <c r="AB9521">
        <f>AB9520+IF(X9521="",0,IF(ISNA(MATCH(X9521,X$256:X9520,0)),1,0))</f>
        <v/>
      </c>
      <c r="AC9521">
        <f>IF(AB9521&gt;AB9520,AB9521,"")</f>
        <v/>
      </c>
    </row>
    <row r="9522">
      <c r="W9522" s="7" t="n"/>
      <c r="X9522" s="7" t="n"/>
      <c r="Z9522">
        <f>Z9521+IF(W9522="",0,IF(ISNA(MATCH(W9522,W$256:W9521,0)),1,0))</f>
        <v/>
      </c>
      <c r="AA9522">
        <f>IF(Z9522&gt;Z9521,Z9522,"")</f>
        <v/>
      </c>
      <c r="AB9522">
        <f>AB9521+IF(X9522="",0,IF(ISNA(MATCH(X9522,X$256:X9521,0)),1,0))</f>
        <v/>
      </c>
      <c r="AC9522">
        <f>IF(AB9522&gt;AB9521,AB9522,"")</f>
        <v/>
      </c>
    </row>
    <row r="9523">
      <c r="W9523" s="7" t="n"/>
      <c r="X9523" s="7" t="n"/>
      <c r="Z9523">
        <f>Z9522+IF(W9523="",0,IF(ISNA(MATCH(W9523,W$256:W9522,0)),1,0))</f>
        <v/>
      </c>
      <c r="AA9523">
        <f>IF(Z9523&gt;Z9522,Z9523,"")</f>
        <v/>
      </c>
      <c r="AB9523">
        <f>AB9522+IF(X9523="",0,IF(ISNA(MATCH(X9523,X$256:X9522,0)),1,0))</f>
        <v/>
      </c>
      <c r="AC9523">
        <f>IF(AB9523&gt;AB9522,AB9523,"")</f>
        <v/>
      </c>
    </row>
    <row r="9524">
      <c r="W9524" s="7" t="n"/>
      <c r="X9524" s="7" t="n"/>
      <c r="Z9524">
        <f>Z9523+IF(W9524="",0,IF(ISNA(MATCH(W9524,W$256:W9523,0)),1,0))</f>
        <v/>
      </c>
      <c r="AA9524">
        <f>IF(Z9524&gt;Z9523,Z9524,"")</f>
        <v/>
      </c>
      <c r="AB9524">
        <f>AB9523+IF(X9524="",0,IF(ISNA(MATCH(X9524,X$256:X9523,0)),1,0))</f>
        <v/>
      </c>
      <c r="AC9524">
        <f>IF(AB9524&gt;AB9523,AB9524,"")</f>
        <v/>
      </c>
    </row>
    <row r="9525">
      <c r="W9525" s="7" t="n"/>
      <c r="X9525" s="7" t="n"/>
      <c r="Z9525">
        <f>Z9524+IF(W9525="",0,IF(ISNA(MATCH(W9525,W$256:W9524,0)),1,0))</f>
        <v/>
      </c>
      <c r="AA9525">
        <f>IF(Z9525&gt;Z9524,Z9525,"")</f>
        <v/>
      </c>
      <c r="AB9525">
        <f>AB9524+IF(X9525="",0,IF(ISNA(MATCH(X9525,X$256:X9524,0)),1,0))</f>
        <v/>
      </c>
      <c r="AC9525">
        <f>IF(AB9525&gt;AB9524,AB9525,"")</f>
        <v/>
      </c>
    </row>
    <row r="9526">
      <c r="W9526" s="7" t="n"/>
      <c r="X9526" s="7" t="n"/>
      <c r="Z9526">
        <f>Z9525+IF(W9526="",0,IF(ISNA(MATCH(W9526,W$256:W9525,0)),1,0))</f>
        <v/>
      </c>
      <c r="AA9526">
        <f>IF(Z9526&gt;Z9525,Z9526,"")</f>
        <v/>
      </c>
      <c r="AB9526">
        <f>AB9525+IF(X9526="",0,IF(ISNA(MATCH(X9526,X$256:X9525,0)),1,0))</f>
        <v/>
      </c>
      <c r="AC9526">
        <f>IF(AB9526&gt;AB9525,AB9526,"")</f>
        <v/>
      </c>
    </row>
    <row r="9527">
      <c r="W9527" s="7" t="n"/>
      <c r="X9527" s="7" t="n"/>
      <c r="Z9527">
        <f>Z9526+IF(W9527="",0,IF(ISNA(MATCH(W9527,W$256:W9526,0)),1,0))</f>
        <v/>
      </c>
      <c r="AA9527">
        <f>IF(Z9527&gt;Z9526,Z9527,"")</f>
        <v/>
      </c>
      <c r="AB9527">
        <f>AB9526+IF(X9527="",0,IF(ISNA(MATCH(X9527,X$256:X9526,0)),1,0))</f>
        <v/>
      </c>
      <c r="AC9527">
        <f>IF(AB9527&gt;AB9526,AB9527,"")</f>
        <v/>
      </c>
    </row>
    <row r="9528">
      <c r="W9528" s="7" t="n"/>
      <c r="X9528" s="7" t="n"/>
      <c r="Z9528">
        <f>Z9527+IF(W9528="",0,IF(ISNA(MATCH(W9528,W$256:W9527,0)),1,0))</f>
        <v/>
      </c>
      <c r="AA9528">
        <f>IF(Z9528&gt;Z9527,Z9528,"")</f>
        <v/>
      </c>
      <c r="AB9528">
        <f>AB9527+IF(X9528="",0,IF(ISNA(MATCH(X9528,X$256:X9527,0)),1,0))</f>
        <v/>
      </c>
      <c r="AC9528">
        <f>IF(AB9528&gt;AB9527,AB9528,"")</f>
        <v/>
      </c>
    </row>
    <row r="9529">
      <c r="W9529" s="7" t="n"/>
      <c r="X9529" s="7" t="n"/>
      <c r="Z9529">
        <f>Z9528+IF(W9529="",0,IF(ISNA(MATCH(W9529,W$256:W9528,0)),1,0))</f>
        <v/>
      </c>
      <c r="AA9529">
        <f>IF(Z9529&gt;Z9528,Z9529,"")</f>
        <v/>
      </c>
      <c r="AB9529">
        <f>AB9528+IF(X9529="",0,IF(ISNA(MATCH(X9529,X$256:X9528,0)),1,0))</f>
        <v/>
      </c>
      <c r="AC9529">
        <f>IF(AB9529&gt;AB9528,AB9529,"")</f>
        <v/>
      </c>
    </row>
    <row r="9530">
      <c r="W9530" s="7" t="n"/>
      <c r="X9530" s="7" t="n"/>
      <c r="Z9530">
        <f>Z9529+IF(W9530="",0,IF(ISNA(MATCH(W9530,W$256:W9529,0)),1,0))</f>
        <v/>
      </c>
      <c r="AA9530">
        <f>IF(Z9530&gt;Z9529,Z9530,"")</f>
        <v/>
      </c>
      <c r="AB9530">
        <f>AB9529+IF(X9530="",0,IF(ISNA(MATCH(X9530,X$256:X9529,0)),1,0))</f>
        <v/>
      </c>
      <c r="AC9530">
        <f>IF(AB9530&gt;AB9529,AB9530,"")</f>
        <v/>
      </c>
    </row>
    <row r="9531">
      <c r="W9531" s="7" t="n"/>
      <c r="X9531" s="7" t="n"/>
      <c r="Z9531">
        <f>Z9530+IF(W9531="",0,IF(ISNA(MATCH(W9531,W$256:W9530,0)),1,0))</f>
        <v/>
      </c>
      <c r="AA9531">
        <f>IF(Z9531&gt;Z9530,Z9531,"")</f>
        <v/>
      </c>
      <c r="AB9531">
        <f>AB9530+IF(X9531="",0,IF(ISNA(MATCH(X9531,X$256:X9530,0)),1,0))</f>
        <v/>
      </c>
      <c r="AC9531">
        <f>IF(AB9531&gt;AB9530,AB9531,"")</f>
        <v/>
      </c>
    </row>
    <row r="9532">
      <c r="W9532" s="7" t="n"/>
      <c r="X9532" s="7" t="n"/>
      <c r="Z9532">
        <f>Z9531+IF(W9532="",0,IF(ISNA(MATCH(W9532,W$256:W9531,0)),1,0))</f>
        <v/>
      </c>
      <c r="AA9532">
        <f>IF(Z9532&gt;Z9531,Z9532,"")</f>
        <v/>
      </c>
      <c r="AB9532">
        <f>AB9531+IF(X9532="",0,IF(ISNA(MATCH(X9532,X$256:X9531,0)),1,0))</f>
        <v/>
      </c>
      <c r="AC9532">
        <f>IF(AB9532&gt;AB9531,AB9532,"")</f>
        <v/>
      </c>
    </row>
    <row r="9533">
      <c r="W9533" s="7" t="n"/>
      <c r="X9533" s="7" t="n"/>
      <c r="Z9533">
        <f>Z9532+IF(W9533="",0,IF(ISNA(MATCH(W9533,W$256:W9532,0)),1,0))</f>
        <v/>
      </c>
      <c r="AA9533">
        <f>IF(Z9533&gt;Z9532,Z9533,"")</f>
        <v/>
      </c>
      <c r="AB9533">
        <f>AB9532+IF(X9533="",0,IF(ISNA(MATCH(X9533,X$256:X9532,0)),1,0))</f>
        <v/>
      </c>
      <c r="AC9533">
        <f>IF(AB9533&gt;AB9532,AB9533,"")</f>
        <v/>
      </c>
    </row>
    <row r="9534">
      <c r="W9534" s="7" t="n"/>
      <c r="X9534" s="7" t="n"/>
      <c r="Z9534">
        <f>Z9533+IF(W9534="",0,IF(ISNA(MATCH(W9534,W$256:W9533,0)),1,0))</f>
        <v/>
      </c>
      <c r="AA9534">
        <f>IF(Z9534&gt;Z9533,Z9534,"")</f>
        <v/>
      </c>
      <c r="AB9534">
        <f>AB9533+IF(X9534="",0,IF(ISNA(MATCH(X9534,X$256:X9533,0)),1,0))</f>
        <v/>
      </c>
      <c r="AC9534">
        <f>IF(AB9534&gt;AB9533,AB9534,"")</f>
        <v/>
      </c>
    </row>
    <row r="9535">
      <c r="W9535" s="7" t="n"/>
      <c r="X9535" s="7" t="n"/>
      <c r="Z9535">
        <f>Z9534+IF(W9535="",0,IF(ISNA(MATCH(W9535,W$256:W9534,0)),1,0))</f>
        <v/>
      </c>
      <c r="AA9535">
        <f>IF(Z9535&gt;Z9534,Z9535,"")</f>
        <v/>
      </c>
      <c r="AB9535">
        <f>AB9534+IF(X9535="",0,IF(ISNA(MATCH(X9535,X$256:X9534,0)),1,0))</f>
        <v/>
      </c>
      <c r="AC9535">
        <f>IF(AB9535&gt;AB9534,AB9535,"")</f>
        <v/>
      </c>
    </row>
    <row r="9536">
      <c r="W9536" s="7" t="n"/>
      <c r="X9536" s="7" t="n"/>
      <c r="Z9536">
        <f>Z9535+IF(W9536="",0,IF(ISNA(MATCH(W9536,W$256:W9535,0)),1,0))</f>
        <v/>
      </c>
      <c r="AA9536">
        <f>IF(Z9536&gt;Z9535,Z9536,"")</f>
        <v/>
      </c>
      <c r="AB9536">
        <f>AB9535+IF(X9536="",0,IF(ISNA(MATCH(X9536,X$256:X9535,0)),1,0))</f>
        <v/>
      </c>
      <c r="AC9536">
        <f>IF(AB9536&gt;AB9535,AB9536,"")</f>
        <v/>
      </c>
    </row>
    <row r="9537">
      <c r="W9537" s="7" t="n"/>
      <c r="X9537" s="7" t="n"/>
      <c r="Z9537">
        <f>Z9536+IF(W9537="",0,IF(ISNA(MATCH(W9537,W$256:W9536,0)),1,0))</f>
        <v/>
      </c>
      <c r="AA9537">
        <f>IF(Z9537&gt;Z9536,Z9537,"")</f>
        <v/>
      </c>
      <c r="AB9537">
        <f>AB9536+IF(X9537="",0,IF(ISNA(MATCH(X9537,X$256:X9536,0)),1,0))</f>
        <v/>
      </c>
      <c r="AC9537">
        <f>IF(AB9537&gt;AB9536,AB9537,"")</f>
        <v/>
      </c>
    </row>
    <row r="9538">
      <c r="W9538" s="7" t="n"/>
      <c r="X9538" s="7" t="n"/>
      <c r="Z9538">
        <f>Z9537+IF(W9538="",0,IF(ISNA(MATCH(W9538,W$256:W9537,0)),1,0))</f>
        <v/>
      </c>
      <c r="AA9538">
        <f>IF(Z9538&gt;Z9537,Z9538,"")</f>
        <v/>
      </c>
      <c r="AB9538">
        <f>AB9537+IF(X9538="",0,IF(ISNA(MATCH(X9538,X$256:X9537,0)),1,0))</f>
        <v/>
      </c>
      <c r="AC9538">
        <f>IF(AB9538&gt;AB9537,AB9538,"")</f>
        <v/>
      </c>
    </row>
    <row r="9539">
      <c r="W9539" s="7" t="n"/>
      <c r="X9539" s="7" t="n"/>
      <c r="Z9539">
        <f>Z9538+IF(W9539="",0,IF(ISNA(MATCH(W9539,W$256:W9538,0)),1,0))</f>
        <v/>
      </c>
      <c r="AA9539">
        <f>IF(Z9539&gt;Z9538,Z9539,"")</f>
        <v/>
      </c>
      <c r="AB9539">
        <f>AB9538+IF(X9539="",0,IF(ISNA(MATCH(X9539,X$256:X9538,0)),1,0))</f>
        <v/>
      </c>
      <c r="AC9539">
        <f>IF(AB9539&gt;AB9538,AB9539,"")</f>
        <v/>
      </c>
    </row>
    <row r="9540">
      <c r="W9540" s="7" t="n"/>
      <c r="X9540" s="7" t="n"/>
      <c r="Z9540">
        <f>Z9539+IF(W9540="",0,IF(ISNA(MATCH(W9540,W$256:W9539,0)),1,0))</f>
        <v/>
      </c>
      <c r="AA9540">
        <f>IF(Z9540&gt;Z9539,Z9540,"")</f>
        <v/>
      </c>
      <c r="AB9540">
        <f>AB9539+IF(X9540="",0,IF(ISNA(MATCH(X9540,X$256:X9539,0)),1,0))</f>
        <v/>
      </c>
      <c r="AC9540">
        <f>IF(AB9540&gt;AB9539,AB9540,"")</f>
        <v/>
      </c>
    </row>
    <row r="9541">
      <c r="W9541" s="7" t="n"/>
      <c r="X9541" s="7" t="n"/>
      <c r="Z9541">
        <f>Z9540+IF(W9541="",0,IF(ISNA(MATCH(W9541,W$256:W9540,0)),1,0))</f>
        <v/>
      </c>
      <c r="AA9541">
        <f>IF(Z9541&gt;Z9540,Z9541,"")</f>
        <v/>
      </c>
      <c r="AB9541">
        <f>AB9540+IF(X9541="",0,IF(ISNA(MATCH(X9541,X$256:X9540,0)),1,0))</f>
        <v/>
      </c>
      <c r="AC9541">
        <f>IF(AB9541&gt;AB9540,AB9541,"")</f>
        <v/>
      </c>
    </row>
    <row r="9542">
      <c r="W9542" s="7" t="n"/>
      <c r="X9542" s="7" t="n"/>
      <c r="Z9542">
        <f>Z9541+IF(W9542="",0,IF(ISNA(MATCH(W9542,W$256:W9541,0)),1,0))</f>
        <v/>
      </c>
      <c r="AA9542">
        <f>IF(Z9542&gt;Z9541,Z9542,"")</f>
        <v/>
      </c>
      <c r="AB9542">
        <f>AB9541+IF(X9542="",0,IF(ISNA(MATCH(X9542,X$256:X9541,0)),1,0))</f>
        <v/>
      </c>
      <c r="AC9542">
        <f>IF(AB9542&gt;AB9541,AB9542,"")</f>
        <v/>
      </c>
    </row>
    <row r="9543">
      <c r="W9543" s="7" t="n"/>
      <c r="X9543" s="7" t="n"/>
      <c r="Z9543">
        <f>Z9542+IF(W9543="",0,IF(ISNA(MATCH(W9543,W$256:W9542,0)),1,0))</f>
        <v/>
      </c>
      <c r="AA9543">
        <f>IF(Z9543&gt;Z9542,Z9543,"")</f>
        <v/>
      </c>
      <c r="AB9543">
        <f>AB9542+IF(X9543="",0,IF(ISNA(MATCH(X9543,X$256:X9542,0)),1,0))</f>
        <v/>
      </c>
      <c r="AC9543">
        <f>IF(AB9543&gt;AB9542,AB9543,"")</f>
        <v/>
      </c>
    </row>
    <row r="9544">
      <c r="W9544" s="7" t="n"/>
      <c r="X9544" s="7" t="n"/>
      <c r="Z9544">
        <f>Z9543+IF(W9544="",0,IF(ISNA(MATCH(W9544,W$256:W9543,0)),1,0))</f>
        <v/>
      </c>
      <c r="AA9544">
        <f>IF(Z9544&gt;Z9543,Z9544,"")</f>
        <v/>
      </c>
      <c r="AB9544">
        <f>AB9543+IF(X9544="",0,IF(ISNA(MATCH(X9544,X$256:X9543,0)),1,0))</f>
        <v/>
      </c>
      <c r="AC9544">
        <f>IF(AB9544&gt;AB9543,AB9544,"")</f>
        <v/>
      </c>
    </row>
    <row r="9545">
      <c r="W9545" s="7" t="n"/>
      <c r="X9545" s="7" t="n"/>
      <c r="Z9545">
        <f>Z9544+IF(W9545="",0,IF(ISNA(MATCH(W9545,W$256:W9544,0)),1,0))</f>
        <v/>
      </c>
      <c r="AA9545">
        <f>IF(Z9545&gt;Z9544,Z9545,"")</f>
        <v/>
      </c>
      <c r="AB9545">
        <f>AB9544+IF(X9545="",0,IF(ISNA(MATCH(X9545,X$256:X9544,0)),1,0))</f>
        <v/>
      </c>
      <c r="AC9545">
        <f>IF(AB9545&gt;AB9544,AB9545,"")</f>
        <v/>
      </c>
    </row>
    <row r="9546">
      <c r="W9546" s="7" t="n"/>
      <c r="X9546" s="7" t="n"/>
      <c r="Z9546">
        <f>Z9545+IF(W9546="",0,IF(ISNA(MATCH(W9546,W$256:W9545,0)),1,0))</f>
        <v/>
      </c>
      <c r="AA9546">
        <f>IF(Z9546&gt;Z9545,Z9546,"")</f>
        <v/>
      </c>
      <c r="AB9546">
        <f>AB9545+IF(X9546="",0,IF(ISNA(MATCH(X9546,X$256:X9545,0)),1,0))</f>
        <v/>
      </c>
      <c r="AC9546">
        <f>IF(AB9546&gt;AB9545,AB9546,"")</f>
        <v/>
      </c>
    </row>
    <row r="9547">
      <c r="W9547" s="7" t="n"/>
      <c r="X9547" s="7" t="n"/>
      <c r="Z9547">
        <f>Z9546+IF(W9547="",0,IF(ISNA(MATCH(W9547,W$256:W9546,0)),1,0))</f>
        <v/>
      </c>
      <c r="AA9547">
        <f>IF(Z9547&gt;Z9546,Z9547,"")</f>
        <v/>
      </c>
      <c r="AB9547">
        <f>AB9546+IF(X9547="",0,IF(ISNA(MATCH(X9547,X$256:X9546,0)),1,0))</f>
        <v/>
      </c>
      <c r="AC9547">
        <f>IF(AB9547&gt;AB9546,AB9547,"")</f>
        <v/>
      </c>
    </row>
    <row r="9548">
      <c r="W9548" s="7" t="n"/>
      <c r="X9548" s="7" t="n"/>
      <c r="Z9548">
        <f>Z9547+IF(W9548="",0,IF(ISNA(MATCH(W9548,W$256:W9547,0)),1,0))</f>
        <v/>
      </c>
      <c r="AA9548">
        <f>IF(Z9548&gt;Z9547,Z9548,"")</f>
        <v/>
      </c>
      <c r="AB9548">
        <f>AB9547+IF(X9548="",0,IF(ISNA(MATCH(X9548,X$256:X9547,0)),1,0))</f>
        <v/>
      </c>
      <c r="AC9548">
        <f>IF(AB9548&gt;AB9547,AB9548,"")</f>
        <v/>
      </c>
    </row>
    <row r="9549">
      <c r="W9549" s="7" t="n"/>
      <c r="X9549" s="7" t="n"/>
      <c r="Z9549">
        <f>Z9548+IF(W9549="",0,IF(ISNA(MATCH(W9549,W$256:W9548,0)),1,0))</f>
        <v/>
      </c>
      <c r="AA9549">
        <f>IF(Z9549&gt;Z9548,Z9549,"")</f>
        <v/>
      </c>
      <c r="AB9549">
        <f>AB9548+IF(X9549="",0,IF(ISNA(MATCH(X9549,X$256:X9548,0)),1,0))</f>
        <v/>
      </c>
      <c r="AC9549">
        <f>IF(AB9549&gt;AB9548,AB9549,"")</f>
        <v/>
      </c>
    </row>
    <row r="9550">
      <c r="W9550" s="7" t="n"/>
      <c r="X9550" s="7" t="n"/>
      <c r="Z9550">
        <f>Z9549+IF(W9550="",0,IF(ISNA(MATCH(W9550,W$256:W9549,0)),1,0))</f>
        <v/>
      </c>
      <c r="AA9550">
        <f>IF(Z9550&gt;Z9549,Z9550,"")</f>
        <v/>
      </c>
      <c r="AB9550">
        <f>AB9549+IF(X9550="",0,IF(ISNA(MATCH(X9550,X$256:X9549,0)),1,0))</f>
        <v/>
      </c>
      <c r="AC9550">
        <f>IF(AB9550&gt;AB9549,AB9550,"")</f>
        <v/>
      </c>
    </row>
    <row r="9551">
      <c r="W9551" s="7" t="n"/>
      <c r="X9551" s="7" t="n"/>
      <c r="Z9551">
        <f>Z9550+IF(W9551="",0,IF(ISNA(MATCH(W9551,W$256:W9550,0)),1,0))</f>
        <v/>
      </c>
      <c r="AA9551">
        <f>IF(Z9551&gt;Z9550,Z9551,"")</f>
        <v/>
      </c>
      <c r="AB9551">
        <f>AB9550+IF(X9551="",0,IF(ISNA(MATCH(X9551,X$256:X9550,0)),1,0))</f>
        <v/>
      </c>
      <c r="AC9551">
        <f>IF(AB9551&gt;AB9550,AB9551,"")</f>
        <v/>
      </c>
    </row>
    <row r="9552">
      <c r="W9552" s="7" t="n"/>
      <c r="X9552" s="7" t="n"/>
      <c r="Z9552">
        <f>Z9551+IF(W9552="",0,IF(ISNA(MATCH(W9552,W$256:W9551,0)),1,0))</f>
        <v/>
      </c>
      <c r="AA9552">
        <f>IF(Z9552&gt;Z9551,Z9552,"")</f>
        <v/>
      </c>
      <c r="AB9552">
        <f>AB9551+IF(X9552="",0,IF(ISNA(MATCH(X9552,X$256:X9551,0)),1,0))</f>
        <v/>
      </c>
      <c r="AC9552">
        <f>IF(AB9552&gt;AB9551,AB9552,"")</f>
        <v/>
      </c>
    </row>
    <row r="9553">
      <c r="W9553" s="7" t="n"/>
      <c r="X9553" s="7" t="n"/>
      <c r="Z9553">
        <f>Z9552+IF(W9553="",0,IF(ISNA(MATCH(W9553,W$256:W9552,0)),1,0))</f>
        <v/>
      </c>
      <c r="AA9553">
        <f>IF(Z9553&gt;Z9552,Z9553,"")</f>
        <v/>
      </c>
      <c r="AB9553">
        <f>AB9552+IF(X9553="",0,IF(ISNA(MATCH(X9553,X$256:X9552,0)),1,0))</f>
        <v/>
      </c>
      <c r="AC9553">
        <f>IF(AB9553&gt;AB9552,AB9553,"")</f>
        <v/>
      </c>
    </row>
    <row r="9554">
      <c r="W9554" s="7" t="n"/>
      <c r="X9554" s="7" t="n"/>
      <c r="Z9554">
        <f>Z9553+IF(W9554="",0,IF(ISNA(MATCH(W9554,W$256:W9553,0)),1,0))</f>
        <v/>
      </c>
      <c r="AA9554">
        <f>IF(Z9554&gt;Z9553,Z9554,"")</f>
        <v/>
      </c>
      <c r="AB9554">
        <f>AB9553+IF(X9554="",0,IF(ISNA(MATCH(X9554,X$256:X9553,0)),1,0))</f>
        <v/>
      </c>
      <c r="AC9554">
        <f>IF(AB9554&gt;AB9553,AB9554,"")</f>
        <v/>
      </c>
    </row>
    <row r="9555">
      <c r="W9555" s="7" t="n"/>
      <c r="X9555" s="7" t="n"/>
      <c r="Z9555">
        <f>Z9554+IF(W9555="",0,IF(ISNA(MATCH(W9555,W$256:W9554,0)),1,0))</f>
        <v/>
      </c>
      <c r="AA9555">
        <f>IF(Z9555&gt;Z9554,Z9555,"")</f>
        <v/>
      </c>
      <c r="AB9555">
        <f>AB9554+IF(X9555="",0,IF(ISNA(MATCH(X9555,X$256:X9554,0)),1,0))</f>
        <v/>
      </c>
      <c r="AC9555">
        <f>IF(AB9555&gt;AB9554,AB9555,"")</f>
        <v/>
      </c>
    </row>
    <row r="9556">
      <c r="W9556" s="7" t="n"/>
      <c r="X9556" s="7" t="n"/>
      <c r="Z9556">
        <f>Z9555+IF(W9556="",0,IF(ISNA(MATCH(W9556,W$256:W9555,0)),1,0))</f>
        <v/>
      </c>
      <c r="AA9556">
        <f>IF(Z9556&gt;Z9555,Z9556,"")</f>
        <v/>
      </c>
      <c r="AB9556">
        <f>AB9555+IF(X9556="",0,IF(ISNA(MATCH(X9556,X$256:X9555,0)),1,0))</f>
        <v/>
      </c>
      <c r="AC9556">
        <f>IF(AB9556&gt;AB9555,AB9556,"")</f>
        <v/>
      </c>
    </row>
    <row r="9557">
      <c r="W9557" s="7" t="n"/>
      <c r="X9557" s="7" t="n"/>
      <c r="Z9557">
        <f>Z9556+IF(W9557="",0,IF(ISNA(MATCH(W9557,W$256:W9556,0)),1,0))</f>
        <v/>
      </c>
      <c r="AA9557">
        <f>IF(Z9557&gt;Z9556,Z9557,"")</f>
        <v/>
      </c>
      <c r="AB9557">
        <f>AB9556+IF(X9557="",0,IF(ISNA(MATCH(X9557,X$256:X9556,0)),1,0))</f>
        <v/>
      </c>
      <c r="AC9557">
        <f>IF(AB9557&gt;AB9556,AB9557,"")</f>
        <v/>
      </c>
    </row>
    <row r="9558">
      <c r="W9558" s="7" t="n"/>
      <c r="X9558" s="7" t="n"/>
      <c r="Z9558">
        <f>Z9557+IF(W9558="",0,IF(ISNA(MATCH(W9558,W$256:W9557,0)),1,0))</f>
        <v/>
      </c>
      <c r="AA9558">
        <f>IF(Z9558&gt;Z9557,Z9558,"")</f>
        <v/>
      </c>
      <c r="AB9558">
        <f>AB9557+IF(X9558="",0,IF(ISNA(MATCH(X9558,X$256:X9557,0)),1,0))</f>
        <v/>
      </c>
      <c r="AC9558">
        <f>IF(AB9558&gt;AB9557,AB9558,"")</f>
        <v/>
      </c>
    </row>
    <row r="9559">
      <c r="W9559" s="7" t="n"/>
      <c r="X9559" s="7" t="n"/>
      <c r="Z9559">
        <f>Z9558+IF(W9559="",0,IF(ISNA(MATCH(W9559,W$256:W9558,0)),1,0))</f>
        <v/>
      </c>
      <c r="AA9559">
        <f>IF(Z9559&gt;Z9558,Z9559,"")</f>
        <v/>
      </c>
      <c r="AB9559">
        <f>AB9558+IF(X9559="",0,IF(ISNA(MATCH(X9559,X$256:X9558,0)),1,0))</f>
        <v/>
      </c>
      <c r="AC9559">
        <f>IF(AB9559&gt;AB9558,AB9559,"")</f>
        <v/>
      </c>
    </row>
    <row r="9560">
      <c r="W9560" s="7" t="n"/>
      <c r="X9560" s="7" t="n"/>
      <c r="Z9560">
        <f>Z9559+IF(W9560="",0,IF(ISNA(MATCH(W9560,W$256:W9559,0)),1,0))</f>
        <v/>
      </c>
      <c r="AA9560">
        <f>IF(Z9560&gt;Z9559,Z9560,"")</f>
        <v/>
      </c>
      <c r="AB9560">
        <f>AB9559+IF(X9560="",0,IF(ISNA(MATCH(X9560,X$256:X9559,0)),1,0))</f>
        <v/>
      </c>
      <c r="AC9560">
        <f>IF(AB9560&gt;AB9559,AB9560,"")</f>
        <v/>
      </c>
    </row>
    <row r="9561">
      <c r="W9561" s="7" t="n"/>
      <c r="X9561" s="7" t="n"/>
      <c r="Z9561">
        <f>Z9560+IF(W9561="",0,IF(ISNA(MATCH(W9561,W$256:W9560,0)),1,0))</f>
        <v/>
      </c>
      <c r="AA9561">
        <f>IF(Z9561&gt;Z9560,Z9561,"")</f>
        <v/>
      </c>
      <c r="AB9561">
        <f>AB9560+IF(X9561="",0,IF(ISNA(MATCH(X9561,X$256:X9560,0)),1,0))</f>
        <v/>
      </c>
      <c r="AC9561">
        <f>IF(AB9561&gt;AB9560,AB9561,"")</f>
        <v/>
      </c>
    </row>
    <row r="9562">
      <c r="W9562" s="7" t="n"/>
      <c r="X9562" s="7" t="n"/>
      <c r="Z9562">
        <f>Z9561+IF(W9562="",0,IF(ISNA(MATCH(W9562,W$256:W9561,0)),1,0))</f>
        <v/>
      </c>
      <c r="AA9562">
        <f>IF(Z9562&gt;Z9561,Z9562,"")</f>
        <v/>
      </c>
      <c r="AB9562">
        <f>AB9561+IF(X9562="",0,IF(ISNA(MATCH(X9562,X$256:X9561,0)),1,0))</f>
        <v/>
      </c>
      <c r="AC9562">
        <f>IF(AB9562&gt;AB9561,AB9562,"")</f>
        <v/>
      </c>
    </row>
    <row r="9563">
      <c r="W9563" s="7" t="n"/>
      <c r="X9563" s="7" t="n"/>
      <c r="Z9563">
        <f>Z9562+IF(W9563="",0,IF(ISNA(MATCH(W9563,W$256:W9562,0)),1,0))</f>
        <v/>
      </c>
      <c r="AA9563">
        <f>IF(Z9563&gt;Z9562,Z9563,"")</f>
        <v/>
      </c>
      <c r="AB9563">
        <f>AB9562+IF(X9563="",0,IF(ISNA(MATCH(X9563,X$256:X9562,0)),1,0))</f>
        <v/>
      </c>
      <c r="AC9563">
        <f>IF(AB9563&gt;AB9562,AB9563,"")</f>
        <v/>
      </c>
    </row>
    <row r="9564">
      <c r="W9564" s="7" t="n"/>
      <c r="X9564" s="7" t="n"/>
      <c r="Z9564">
        <f>Z9563+IF(W9564="",0,IF(ISNA(MATCH(W9564,W$256:W9563,0)),1,0))</f>
        <v/>
      </c>
      <c r="AA9564">
        <f>IF(Z9564&gt;Z9563,Z9564,"")</f>
        <v/>
      </c>
      <c r="AB9564">
        <f>AB9563+IF(X9564="",0,IF(ISNA(MATCH(X9564,X$256:X9563,0)),1,0))</f>
        <v/>
      </c>
      <c r="AC9564">
        <f>IF(AB9564&gt;AB9563,AB9564,"")</f>
        <v/>
      </c>
    </row>
    <row r="9565">
      <c r="W9565" s="7" t="n"/>
      <c r="X9565" s="7" t="n"/>
      <c r="Z9565">
        <f>Z9564+IF(W9565="",0,IF(ISNA(MATCH(W9565,W$256:W9564,0)),1,0))</f>
        <v/>
      </c>
      <c r="AA9565">
        <f>IF(Z9565&gt;Z9564,Z9565,"")</f>
        <v/>
      </c>
      <c r="AB9565">
        <f>AB9564+IF(X9565="",0,IF(ISNA(MATCH(X9565,X$256:X9564,0)),1,0))</f>
        <v/>
      </c>
      <c r="AC9565">
        <f>IF(AB9565&gt;AB9564,AB9565,"")</f>
        <v/>
      </c>
    </row>
    <row r="9566">
      <c r="W9566" s="7" t="n"/>
      <c r="X9566" s="7" t="n"/>
      <c r="Z9566">
        <f>Z9565+IF(W9566="",0,IF(ISNA(MATCH(W9566,W$256:W9565,0)),1,0))</f>
        <v/>
      </c>
      <c r="AA9566">
        <f>IF(Z9566&gt;Z9565,Z9566,"")</f>
        <v/>
      </c>
      <c r="AB9566">
        <f>AB9565+IF(X9566="",0,IF(ISNA(MATCH(X9566,X$256:X9565,0)),1,0))</f>
        <v/>
      </c>
      <c r="AC9566">
        <f>IF(AB9566&gt;AB9565,AB9566,"")</f>
        <v/>
      </c>
    </row>
    <row r="9567">
      <c r="W9567" s="7" t="n"/>
      <c r="X9567" s="7" t="n"/>
      <c r="Z9567">
        <f>Z9566+IF(W9567="",0,IF(ISNA(MATCH(W9567,W$256:W9566,0)),1,0))</f>
        <v/>
      </c>
      <c r="AA9567">
        <f>IF(Z9567&gt;Z9566,Z9567,"")</f>
        <v/>
      </c>
      <c r="AB9567">
        <f>AB9566+IF(X9567="",0,IF(ISNA(MATCH(X9567,X$256:X9566,0)),1,0))</f>
        <v/>
      </c>
      <c r="AC9567">
        <f>IF(AB9567&gt;AB9566,AB9567,"")</f>
        <v/>
      </c>
    </row>
    <row r="9568">
      <c r="W9568" s="7" t="n"/>
      <c r="X9568" s="7" t="n"/>
      <c r="Z9568">
        <f>Z9567+IF(W9568="",0,IF(ISNA(MATCH(W9568,W$256:W9567,0)),1,0))</f>
        <v/>
      </c>
      <c r="AA9568">
        <f>IF(Z9568&gt;Z9567,Z9568,"")</f>
        <v/>
      </c>
      <c r="AB9568">
        <f>AB9567+IF(X9568="",0,IF(ISNA(MATCH(X9568,X$256:X9567,0)),1,0))</f>
        <v/>
      </c>
      <c r="AC9568">
        <f>IF(AB9568&gt;AB9567,AB9568,"")</f>
        <v/>
      </c>
    </row>
    <row r="9569">
      <c r="W9569" s="7" t="n"/>
      <c r="X9569" s="7" t="n"/>
      <c r="Z9569">
        <f>Z9568+IF(W9569="",0,IF(ISNA(MATCH(W9569,W$256:W9568,0)),1,0))</f>
        <v/>
      </c>
      <c r="AA9569">
        <f>IF(Z9569&gt;Z9568,Z9569,"")</f>
        <v/>
      </c>
      <c r="AB9569">
        <f>AB9568+IF(X9569="",0,IF(ISNA(MATCH(X9569,X$256:X9568,0)),1,0))</f>
        <v/>
      </c>
      <c r="AC9569">
        <f>IF(AB9569&gt;AB9568,AB9569,"")</f>
        <v/>
      </c>
    </row>
    <row r="9570">
      <c r="W9570" s="7" t="n"/>
      <c r="X9570" s="7" t="n"/>
      <c r="Z9570">
        <f>Z9569+IF(W9570="",0,IF(ISNA(MATCH(W9570,W$256:W9569,0)),1,0))</f>
        <v/>
      </c>
      <c r="AA9570">
        <f>IF(Z9570&gt;Z9569,Z9570,"")</f>
        <v/>
      </c>
      <c r="AB9570">
        <f>AB9569+IF(X9570="",0,IF(ISNA(MATCH(X9570,X$256:X9569,0)),1,0))</f>
        <v/>
      </c>
      <c r="AC9570">
        <f>IF(AB9570&gt;AB9569,AB9570,"")</f>
        <v/>
      </c>
    </row>
    <row r="9571">
      <c r="W9571" s="7" t="n"/>
      <c r="X9571" s="7" t="n"/>
      <c r="Z9571">
        <f>Z9570+IF(W9571="",0,IF(ISNA(MATCH(W9571,W$256:W9570,0)),1,0))</f>
        <v/>
      </c>
      <c r="AA9571">
        <f>IF(Z9571&gt;Z9570,Z9571,"")</f>
        <v/>
      </c>
      <c r="AB9571">
        <f>AB9570+IF(X9571="",0,IF(ISNA(MATCH(X9571,X$256:X9570,0)),1,0))</f>
        <v/>
      </c>
      <c r="AC9571">
        <f>IF(AB9571&gt;AB9570,AB9571,"")</f>
        <v/>
      </c>
    </row>
    <row r="9572">
      <c r="W9572" s="7" t="n"/>
      <c r="X9572" s="7" t="n"/>
      <c r="Z9572">
        <f>Z9571+IF(W9572="",0,IF(ISNA(MATCH(W9572,W$256:W9571,0)),1,0))</f>
        <v/>
      </c>
      <c r="AA9572">
        <f>IF(Z9572&gt;Z9571,Z9572,"")</f>
        <v/>
      </c>
      <c r="AB9572">
        <f>AB9571+IF(X9572="",0,IF(ISNA(MATCH(X9572,X$256:X9571,0)),1,0))</f>
        <v/>
      </c>
      <c r="AC9572">
        <f>IF(AB9572&gt;AB9571,AB9572,"")</f>
        <v/>
      </c>
    </row>
    <row r="9573">
      <c r="W9573" s="7" t="n"/>
      <c r="X9573" s="7" t="n"/>
      <c r="Z9573">
        <f>Z9572+IF(W9573="",0,IF(ISNA(MATCH(W9573,W$256:W9572,0)),1,0))</f>
        <v/>
      </c>
      <c r="AA9573">
        <f>IF(Z9573&gt;Z9572,Z9573,"")</f>
        <v/>
      </c>
      <c r="AB9573">
        <f>AB9572+IF(X9573="",0,IF(ISNA(MATCH(X9573,X$256:X9572,0)),1,0))</f>
        <v/>
      </c>
      <c r="AC9573">
        <f>IF(AB9573&gt;AB9572,AB9573,"")</f>
        <v/>
      </c>
    </row>
    <row r="9574">
      <c r="W9574" s="7" t="n"/>
      <c r="X9574" s="7" t="n"/>
      <c r="Z9574">
        <f>Z9573+IF(W9574="",0,IF(ISNA(MATCH(W9574,W$256:W9573,0)),1,0))</f>
        <v/>
      </c>
      <c r="AA9574">
        <f>IF(Z9574&gt;Z9573,Z9574,"")</f>
        <v/>
      </c>
      <c r="AB9574">
        <f>AB9573+IF(X9574="",0,IF(ISNA(MATCH(X9574,X$256:X9573,0)),1,0))</f>
        <v/>
      </c>
      <c r="AC9574">
        <f>IF(AB9574&gt;AB9573,AB9574,"")</f>
        <v/>
      </c>
    </row>
    <row r="9575">
      <c r="W9575" s="7" t="n"/>
      <c r="X9575" s="7" t="n"/>
      <c r="Z9575">
        <f>Z9574+IF(W9575="",0,IF(ISNA(MATCH(W9575,W$256:W9574,0)),1,0))</f>
        <v/>
      </c>
      <c r="AA9575">
        <f>IF(Z9575&gt;Z9574,Z9575,"")</f>
        <v/>
      </c>
      <c r="AB9575">
        <f>AB9574+IF(X9575="",0,IF(ISNA(MATCH(X9575,X$256:X9574,0)),1,0))</f>
        <v/>
      </c>
      <c r="AC9575">
        <f>IF(AB9575&gt;AB9574,AB9575,"")</f>
        <v/>
      </c>
    </row>
    <row r="9576">
      <c r="W9576" s="7" t="n"/>
      <c r="X9576" s="7" t="n"/>
      <c r="Z9576">
        <f>Z9575+IF(W9576="",0,IF(ISNA(MATCH(W9576,W$256:W9575,0)),1,0))</f>
        <v/>
      </c>
      <c r="AA9576">
        <f>IF(Z9576&gt;Z9575,Z9576,"")</f>
        <v/>
      </c>
      <c r="AB9576">
        <f>AB9575+IF(X9576="",0,IF(ISNA(MATCH(X9576,X$256:X9575,0)),1,0))</f>
        <v/>
      </c>
      <c r="AC9576">
        <f>IF(AB9576&gt;AB9575,AB9576,"")</f>
        <v/>
      </c>
    </row>
    <row r="9577">
      <c r="W9577" s="7" t="n"/>
      <c r="X9577" s="7" t="n"/>
      <c r="Z9577">
        <f>Z9576+IF(W9577="",0,IF(ISNA(MATCH(W9577,W$256:W9576,0)),1,0))</f>
        <v/>
      </c>
      <c r="AA9577">
        <f>IF(Z9577&gt;Z9576,Z9577,"")</f>
        <v/>
      </c>
      <c r="AB9577">
        <f>AB9576+IF(X9577="",0,IF(ISNA(MATCH(X9577,X$256:X9576,0)),1,0))</f>
        <v/>
      </c>
      <c r="AC9577">
        <f>IF(AB9577&gt;AB9576,AB9577,"")</f>
        <v/>
      </c>
    </row>
    <row r="9578">
      <c r="W9578" s="7" t="n"/>
      <c r="X9578" s="7" t="n"/>
      <c r="Z9578">
        <f>Z9577+IF(W9578="",0,IF(ISNA(MATCH(W9578,W$256:W9577,0)),1,0))</f>
        <v/>
      </c>
      <c r="AA9578">
        <f>IF(Z9578&gt;Z9577,Z9578,"")</f>
        <v/>
      </c>
      <c r="AB9578">
        <f>AB9577+IF(X9578="",0,IF(ISNA(MATCH(X9578,X$256:X9577,0)),1,0))</f>
        <v/>
      </c>
      <c r="AC9578">
        <f>IF(AB9578&gt;AB9577,AB9578,"")</f>
        <v/>
      </c>
    </row>
    <row r="9579">
      <c r="W9579" s="7" t="n"/>
      <c r="X9579" s="7" t="n"/>
      <c r="Z9579">
        <f>Z9578+IF(W9579="",0,IF(ISNA(MATCH(W9579,W$256:W9578,0)),1,0))</f>
        <v/>
      </c>
      <c r="AA9579">
        <f>IF(Z9579&gt;Z9578,Z9579,"")</f>
        <v/>
      </c>
      <c r="AB9579">
        <f>AB9578+IF(X9579="",0,IF(ISNA(MATCH(X9579,X$256:X9578,0)),1,0))</f>
        <v/>
      </c>
      <c r="AC9579">
        <f>IF(AB9579&gt;AB9578,AB9579,"")</f>
        <v/>
      </c>
    </row>
    <row r="9580">
      <c r="W9580" s="7" t="n"/>
      <c r="X9580" s="7" t="n"/>
      <c r="Z9580">
        <f>Z9579+IF(W9580="",0,IF(ISNA(MATCH(W9580,W$256:W9579,0)),1,0))</f>
        <v/>
      </c>
      <c r="AA9580">
        <f>IF(Z9580&gt;Z9579,Z9580,"")</f>
        <v/>
      </c>
      <c r="AB9580">
        <f>AB9579+IF(X9580="",0,IF(ISNA(MATCH(X9580,X$256:X9579,0)),1,0))</f>
        <v/>
      </c>
      <c r="AC9580">
        <f>IF(AB9580&gt;AB9579,AB9580,"")</f>
        <v/>
      </c>
    </row>
    <row r="9581">
      <c r="W9581" s="7" t="n"/>
      <c r="X9581" s="7" t="n"/>
      <c r="Z9581">
        <f>Z9580+IF(W9581="",0,IF(ISNA(MATCH(W9581,W$256:W9580,0)),1,0))</f>
        <v/>
      </c>
      <c r="AA9581">
        <f>IF(Z9581&gt;Z9580,Z9581,"")</f>
        <v/>
      </c>
      <c r="AB9581">
        <f>AB9580+IF(X9581="",0,IF(ISNA(MATCH(X9581,X$256:X9580,0)),1,0))</f>
        <v/>
      </c>
      <c r="AC9581">
        <f>IF(AB9581&gt;AB9580,AB9581,"")</f>
        <v/>
      </c>
    </row>
    <row r="9582">
      <c r="W9582" s="7" t="n"/>
      <c r="X9582" s="7" t="n"/>
      <c r="Z9582">
        <f>Z9581+IF(W9582="",0,IF(ISNA(MATCH(W9582,W$256:W9581,0)),1,0))</f>
        <v/>
      </c>
      <c r="AA9582">
        <f>IF(Z9582&gt;Z9581,Z9582,"")</f>
        <v/>
      </c>
      <c r="AB9582">
        <f>AB9581+IF(X9582="",0,IF(ISNA(MATCH(X9582,X$256:X9581,0)),1,0))</f>
        <v/>
      </c>
      <c r="AC9582">
        <f>IF(AB9582&gt;AB9581,AB9582,"")</f>
        <v/>
      </c>
    </row>
    <row r="9583">
      <c r="W9583" s="7" t="n"/>
      <c r="X9583" s="7" t="n"/>
      <c r="Z9583">
        <f>Z9582+IF(W9583="",0,IF(ISNA(MATCH(W9583,W$256:W9582,0)),1,0))</f>
        <v/>
      </c>
      <c r="AA9583">
        <f>IF(Z9583&gt;Z9582,Z9583,"")</f>
        <v/>
      </c>
      <c r="AB9583">
        <f>AB9582+IF(X9583="",0,IF(ISNA(MATCH(X9583,X$256:X9582,0)),1,0))</f>
        <v/>
      </c>
      <c r="AC9583">
        <f>IF(AB9583&gt;AB9582,AB9583,"")</f>
        <v/>
      </c>
    </row>
    <row r="9584">
      <c r="W9584" s="7" t="n"/>
      <c r="X9584" s="7" t="n"/>
      <c r="Z9584">
        <f>Z9583+IF(W9584="",0,IF(ISNA(MATCH(W9584,W$256:W9583,0)),1,0))</f>
        <v/>
      </c>
      <c r="AA9584">
        <f>IF(Z9584&gt;Z9583,Z9584,"")</f>
        <v/>
      </c>
      <c r="AB9584">
        <f>AB9583+IF(X9584="",0,IF(ISNA(MATCH(X9584,X$256:X9583,0)),1,0))</f>
        <v/>
      </c>
      <c r="AC9584">
        <f>IF(AB9584&gt;AB9583,AB9584,"")</f>
        <v/>
      </c>
    </row>
    <row r="9585">
      <c r="W9585" s="7" t="n"/>
      <c r="X9585" s="7" t="n"/>
      <c r="Z9585">
        <f>Z9584+IF(W9585="",0,IF(ISNA(MATCH(W9585,W$256:W9584,0)),1,0))</f>
        <v/>
      </c>
      <c r="AA9585">
        <f>IF(Z9585&gt;Z9584,Z9585,"")</f>
        <v/>
      </c>
      <c r="AB9585">
        <f>AB9584+IF(X9585="",0,IF(ISNA(MATCH(X9585,X$256:X9584,0)),1,0))</f>
        <v/>
      </c>
      <c r="AC9585">
        <f>IF(AB9585&gt;AB9584,AB9585,"")</f>
        <v/>
      </c>
    </row>
    <row r="9586">
      <c r="W9586" s="7" t="n"/>
      <c r="X9586" s="7" t="n"/>
      <c r="Z9586">
        <f>Z9585+IF(W9586="",0,IF(ISNA(MATCH(W9586,W$256:W9585,0)),1,0))</f>
        <v/>
      </c>
      <c r="AA9586">
        <f>IF(Z9586&gt;Z9585,Z9586,"")</f>
        <v/>
      </c>
      <c r="AB9586">
        <f>AB9585+IF(X9586="",0,IF(ISNA(MATCH(X9586,X$256:X9585,0)),1,0))</f>
        <v/>
      </c>
      <c r="AC9586">
        <f>IF(AB9586&gt;AB9585,AB9586,"")</f>
        <v/>
      </c>
    </row>
    <row r="9587">
      <c r="W9587" s="7" t="n"/>
      <c r="X9587" s="7" t="n"/>
      <c r="Z9587">
        <f>Z9586+IF(W9587="",0,IF(ISNA(MATCH(W9587,W$256:W9586,0)),1,0))</f>
        <v/>
      </c>
      <c r="AA9587">
        <f>IF(Z9587&gt;Z9586,Z9587,"")</f>
        <v/>
      </c>
      <c r="AB9587">
        <f>AB9586+IF(X9587="",0,IF(ISNA(MATCH(X9587,X$256:X9586,0)),1,0))</f>
        <v/>
      </c>
      <c r="AC9587">
        <f>IF(AB9587&gt;AB9586,AB9587,"")</f>
        <v/>
      </c>
    </row>
    <row r="9588">
      <c r="W9588" s="7" t="n"/>
      <c r="X9588" s="7" t="n"/>
      <c r="Z9588">
        <f>Z9587+IF(W9588="",0,IF(ISNA(MATCH(W9588,W$256:W9587,0)),1,0))</f>
        <v/>
      </c>
      <c r="AA9588">
        <f>IF(Z9588&gt;Z9587,Z9588,"")</f>
        <v/>
      </c>
      <c r="AB9588">
        <f>AB9587+IF(X9588="",0,IF(ISNA(MATCH(X9588,X$256:X9587,0)),1,0))</f>
        <v/>
      </c>
      <c r="AC9588">
        <f>IF(AB9588&gt;AB9587,AB9588,"")</f>
        <v/>
      </c>
    </row>
    <row r="9589">
      <c r="W9589" s="7" t="n"/>
      <c r="X9589" s="7" t="n"/>
      <c r="Z9589">
        <f>Z9588+IF(W9589="",0,IF(ISNA(MATCH(W9589,W$256:W9588,0)),1,0))</f>
        <v/>
      </c>
      <c r="AA9589">
        <f>IF(Z9589&gt;Z9588,Z9589,"")</f>
        <v/>
      </c>
      <c r="AB9589">
        <f>AB9588+IF(X9589="",0,IF(ISNA(MATCH(X9589,X$256:X9588,0)),1,0))</f>
        <v/>
      </c>
      <c r="AC9589">
        <f>IF(AB9589&gt;AB9588,AB9589,"")</f>
        <v/>
      </c>
    </row>
    <row r="9590">
      <c r="W9590" s="7" t="n"/>
      <c r="X9590" s="7" t="n"/>
      <c r="Z9590">
        <f>Z9589+IF(W9590="",0,IF(ISNA(MATCH(W9590,W$256:W9589,0)),1,0))</f>
        <v/>
      </c>
      <c r="AA9590">
        <f>IF(Z9590&gt;Z9589,Z9590,"")</f>
        <v/>
      </c>
      <c r="AB9590">
        <f>AB9589+IF(X9590="",0,IF(ISNA(MATCH(X9590,X$256:X9589,0)),1,0))</f>
        <v/>
      </c>
      <c r="AC9590">
        <f>IF(AB9590&gt;AB9589,AB9590,"")</f>
        <v/>
      </c>
    </row>
    <row r="9591">
      <c r="W9591" s="7" t="n"/>
      <c r="X9591" s="7" t="n"/>
      <c r="Z9591">
        <f>Z9590+IF(W9591="",0,IF(ISNA(MATCH(W9591,W$256:W9590,0)),1,0))</f>
        <v/>
      </c>
      <c r="AA9591">
        <f>IF(Z9591&gt;Z9590,Z9591,"")</f>
        <v/>
      </c>
      <c r="AB9591">
        <f>AB9590+IF(X9591="",0,IF(ISNA(MATCH(X9591,X$256:X9590,0)),1,0))</f>
        <v/>
      </c>
      <c r="AC9591">
        <f>IF(AB9591&gt;AB9590,AB9591,"")</f>
        <v/>
      </c>
    </row>
    <row r="9592">
      <c r="W9592" s="7" t="n"/>
      <c r="X9592" s="7" t="n"/>
      <c r="Z9592">
        <f>Z9591+IF(W9592="",0,IF(ISNA(MATCH(W9592,W$256:W9591,0)),1,0))</f>
        <v/>
      </c>
      <c r="AA9592">
        <f>IF(Z9592&gt;Z9591,Z9592,"")</f>
        <v/>
      </c>
      <c r="AB9592">
        <f>AB9591+IF(X9592="",0,IF(ISNA(MATCH(X9592,X$256:X9591,0)),1,0))</f>
        <v/>
      </c>
      <c r="AC9592">
        <f>IF(AB9592&gt;AB9591,AB9592,"")</f>
        <v/>
      </c>
    </row>
    <row r="9593">
      <c r="W9593" s="7" t="n"/>
      <c r="X9593" s="7" t="n"/>
      <c r="Z9593">
        <f>Z9592+IF(W9593="",0,IF(ISNA(MATCH(W9593,W$256:W9592,0)),1,0))</f>
        <v/>
      </c>
      <c r="AA9593">
        <f>IF(Z9593&gt;Z9592,Z9593,"")</f>
        <v/>
      </c>
      <c r="AB9593">
        <f>AB9592+IF(X9593="",0,IF(ISNA(MATCH(X9593,X$256:X9592,0)),1,0))</f>
        <v/>
      </c>
      <c r="AC9593">
        <f>IF(AB9593&gt;AB9592,AB9593,"")</f>
        <v/>
      </c>
    </row>
    <row r="9594">
      <c r="W9594" s="7" t="n"/>
      <c r="X9594" s="7" t="n"/>
      <c r="Z9594">
        <f>Z9593+IF(W9594="",0,IF(ISNA(MATCH(W9594,W$256:W9593,0)),1,0))</f>
        <v/>
      </c>
      <c r="AA9594">
        <f>IF(Z9594&gt;Z9593,Z9594,"")</f>
        <v/>
      </c>
      <c r="AB9594">
        <f>AB9593+IF(X9594="",0,IF(ISNA(MATCH(X9594,X$256:X9593,0)),1,0))</f>
        <v/>
      </c>
      <c r="AC9594">
        <f>IF(AB9594&gt;AB9593,AB9594,"")</f>
        <v/>
      </c>
    </row>
    <row r="9595">
      <c r="W9595" s="7" t="n"/>
      <c r="X9595" s="7" t="n"/>
      <c r="Z9595">
        <f>Z9594+IF(W9595="",0,IF(ISNA(MATCH(W9595,W$256:W9594,0)),1,0))</f>
        <v/>
      </c>
      <c r="AA9595">
        <f>IF(Z9595&gt;Z9594,Z9595,"")</f>
        <v/>
      </c>
      <c r="AB9595">
        <f>AB9594+IF(X9595="",0,IF(ISNA(MATCH(X9595,X$256:X9594,0)),1,0))</f>
        <v/>
      </c>
      <c r="AC9595">
        <f>IF(AB9595&gt;AB9594,AB9595,"")</f>
        <v/>
      </c>
    </row>
    <row r="9596">
      <c r="W9596" s="7" t="n"/>
      <c r="X9596" s="7" t="n"/>
      <c r="Z9596">
        <f>Z9595+IF(W9596="",0,IF(ISNA(MATCH(W9596,W$256:W9595,0)),1,0))</f>
        <v/>
      </c>
      <c r="AA9596">
        <f>IF(Z9596&gt;Z9595,Z9596,"")</f>
        <v/>
      </c>
      <c r="AB9596">
        <f>AB9595+IF(X9596="",0,IF(ISNA(MATCH(X9596,X$256:X9595,0)),1,0))</f>
        <v/>
      </c>
      <c r="AC9596">
        <f>IF(AB9596&gt;AB9595,AB9596,"")</f>
        <v/>
      </c>
    </row>
    <row r="9597">
      <c r="W9597" s="7" t="n"/>
      <c r="X9597" s="7" t="n"/>
      <c r="Z9597">
        <f>Z9596+IF(W9597="",0,IF(ISNA(MATCH(W9597,W$256:W9596,0)),1,0))</f>
        <v/>
      </c>
      <c r="AA9597">
        <f>IF(Z9597&gt;Z9596,Z9597,"")</f>
        <v/>
      </c>
      <c r="AB9597">
        <f>AB9596+IF(X9597="",0,IF(ISNA(MATCH(X9597,X$256:X9596,0)),1,0))</f>
        <v/>
      </c>
      <c r="AC9597">
        <f>IF(AB9597&gt;AB9596,AB9597,"")</f>
        <v/>
      </c>
    </row>
    <row r="9598">
      <c r="W9598" s="7" t="n"/>
      <c r="X9598" s="7" t="n"/>
      <c r="Z9598">
        <f>Z9597+IF(W9598="",0,IF(ISNA(MATCH(W9598,W$256:W9597,0)),1,0))</f>
        <v/>
      </c>
      <c r="AA9598">
        <f>IF(Z9598&gt;Z9597,Z9598,"")</f>
        <v/>
      </c>
      <c r="AB9598">
        <f>AB9597+IF(X9598="",0,IF(ISNA(MATCH(X9598,X$256:X9597,0)),1,0))</f>
        <v/>
      </c>
      <c r="AC9598">
        <f>IF(AB9598&gt;AB9597,AB9598,"")</f>
        <v/>
      </c>
    </row>
    <row r="9599">
      <c r="W9599" s="7" t="n"/>
      <c r="X9599" s="7" t="n"/>
      <c r="Z9599">
        <f>Z9598+IF(W9599="",0,IF(ISNA(MATCH(W9599,W$256:W9598,0)),1,0))</f>
        <v/>
      </c>
      <c r="AA9599">
        <f>IF(Z9599&gt;Z9598,Z9599,"")</f>
        <v/>
      </c>
      <c r="AB9599">
        <f>AB9598+IF(X9599="",0,IF(ISNA(MATCH(X9599,X$256:X9598,0)),1,0))</f>
        <v/>
      </c>
      <c r="AC9599">
        <f>IF(AB9599&gt;AB9598,AB9599,"")</f>
        <v/>
      </c>
    </row>
    <row r="9600">
      <c r="W9600" s="7" t="n"/>
      <c r="X9600" s="7" t="n"/>
      <c r="Z9600">
        <f>Z9599+IF(W9600="",0,IF(ISNA(MATCH(W9600,W$256:W9599,0)),1,0))</f>
        <v/>
      </c>
      <c r="AA9600">
        <f>IF(Z9600&gt;Z9599,Z9600,"")</f>
        <v/>
      </c>
      <c r="AB9600">
        <f>AB9599+IF(X9600="",0,IF(ISNA(MATCH(X9600,X$256:X9599,0)),1,0))</f>
        <v/>
      </c>
      <c r="AC9600">
        <f>IF(AB9600&gt;AB9599,AB9600,"")</f>
        <v/>
      </c>
    </row>
    <row r="9601">
      <c r="W9601" s="7" t="n"/>
      <c r="X9601" s="7" t="n"/>
      <c r="Z9601">
        <f>Z9600+IF(W9601="",0,IF(ISNA(MATCH(W9601,W$256:W9600,0)),1,0))</f>
        <v/>
      </c>
      <c r="AA9601">
        <f>IF(Z9601&gt;Z9600,Z9601,"")</f>
        <v/>
      </c>
      <c r="AB9601">
        <f>AB9600+IF(X9601="",0,IF(ISNA(MATCH(X9601,X$256:X9600,0)),1,0))</f>
        <v/>
      </c>
      <c r="AC9601">
        <f>IF(AB9601&gt;AB9600,AB9601,"")</f>
        <v/>
      </c>
    </row>
    <row r="9602">
      <c r="W9602" s="7" t="n"/>
      <c r="X9602" s="7" t="n"/>
      <c r="Z9602">
        <f>Z9601+IF(W9602="",0,IF(ISNA(MATCH(W9602,W$256:W9601,0)),1,0))</f>
        <v/>
      </c>
      <c r="AA9602">
        <f>IF(Z9602&gt;Z9601,Z9602,"")</f>
        <v/>
      </c>
      <c r="AB9602">
        <f>AB9601+IF(X9602="",0,IF(ISNA(MATCH(X9602,X$256:X9601,0)),1,0))</f>
        <v/>
      </c>
      <c r="AC9602">
        <f>IF(AB9602&gt;AB9601,AB9602,"")</f>
        <v/>
      </c>
    </row>
    <row r="9603">
      <c r="W9603" s="7" t="n"/>
      <c r="X9603" s="7" t="n"/>
      <c r="Z9603">
        <f>Z9602+IF(W9603="",0,IF(ISNA(MATCH(W9603,W$256:W9602,0)),1,0))</f>
        <v/>
      </c>
      <c r="AA9603">
        <f>IF(Z9603&gt;Z9602,Z9603,"")</f>
        <v/>
      </c>
      <c r="AB9603">
        <f>AB9602+IF(X9603="",0,IF(ISNA(MATCH(X9603,X$256:X9602,0)),1,0))</f>
        <v/>
      </c>
      <c r="AC9603">
        <f>IF(AB9603&gt;AB9602,AB9603,"")</f>
        <v/>
      </c>
    </row>
    <row r="9604">
      <c r="W9604" s="7" t="n"/>
      <c r="X9604" s="7" t="n"/>
      <c r="Z9604">
        <f>Z9603+IF(W9604="",0,IF(ISNA(MATCH(W9604,W$256:W9603,0)),1,0))</f>
        <v/>
      </c>
      <c r="AA9604">
        <f>IF(Z9604&gt;Z9603,Z9604,"")</f>
        <v/>
      </c>
      <c r="AB9604">
        <f>AB9603+IF(X9604="",0,IF(ISNA(MATCH(X9604,X$256:X9603,0)),1,0))</f>
        <v/>
      </c>
      <c r="AC9604">
        <f>IF(AB9604&gt;AB9603,AB9604,"")</f>
        <v/>
      </c>
    </row>
    <row r="9605">
      <c r="W9605" s="7" t="n"/>
      <c r="X9605" s="7" t="n"/>
      <c r="Z9605">
        <f>Z9604+IF(W9605="",0,IF(ISNA(MATCH(W9605,W$256:W9604,0)),1,0))</f>
        <v/>
      </c>
      <c r="AA9605">
        <f>IF(Z9605&gt;Z9604,Z9605,"")</f>
        <v/>
      </c>
      <c r="AB9605">
        <f>AB9604+IF(X9605="",0,IF(ISNA(MATCH(X9605,X$256:X9604,0)),1,0))</f>
        <v/>
      </c>
      <c r="AC9605">
        <f>IF(AB9605&gt;AB9604,AB9605,"")</f>
        <v/>
      </c>
    </row>
    <row r="9606">
      <c r="W9606" s="7" t="n"/>
      <c r="X9606" s="7" t="n"/>
      <c r="Z9606">
        <f>Z9605+IF(W9606="",0,IF(ISNA(MATCH(W9606,W$256:W9605,0)),1,0))</f>
        <v/>
      </c>
      <c r="AA9606">
        <f>IF(Z9606&gt;Z9605,Z9606,"")</f>
        <v/>
      </c>
      <c r="AB9606">
        <f>AB9605+IF(X9606="",0,IF(ISNA(MATCH(X9606,X$256:X9605,0)),1,0))</f>
        <v/>
      </c>
      <c r="AC9606">
        <f>IF(AB9606&gt;AB9605,AB9606,"")</f>
        <v/>
      </c>
    </row>
    <row r="9607">
      <c r="W9607" s="7" t="n"/>
      <c r="X9607" s="7" t="n"/>
      <c r="Z9607">
        <f>Z9606+IF(W9607="",0,IF(ISNA(MATCH(W9607,W$256:W9606,0)),1,0))</f>
        <v/>
      </c>
      <c r="AA9607">
        <f>IF(Z9607&gt;Z9606,Z9607,"")</f>
        <v/>
      </c>
      <c r="AB9607">
        <f>AB9606+IF(X9607="",0,IF(ISNA(MATCH(X9607,X$256:X9606,0)),1,0))</f>
        <v/>
      </c>
      <c r="AC9607">
        <f>IF(AB9607&gt;AB9606,AB9607,"")</f>
        <v/>
      </c>
    </row>
    <row r="9608">
      <c r="W9608" s="7" t="n"/>
      <c r="X9608" s="7" t="n"/>
      <c r="Z9608">
        <f>Z9607+IF(W9608="",0,IF(ISNA(MATCH(W9608,W$256:W9607,0)),1,0))</f>
        <v/>
      </c>
      <c r="AA9608">
        <f>IF(Z9608&gt;Z9607,Z9608,"")</f>
        <v/>
      </c>
      <c r="AB9608">
        <f>AB9607+IF(X9608="",0,IF(ISNA(MATCH(X9608,X$256:X9607,0)),1,0))</f>
        <v/>
      </c>
      <c r="AC9608">
        <f>IF(AB9608&gt;AB9607,AB9608,"")</f>
        <v/>
      </c>
    </row>
    <row r="9609">
      <c r="W9609" s="7" t="n"/>
      <c r="X9609" s="7" t="n"/>
      <c r="Z9609">
        <f>Z9608+IF(W9609="",0,IF(ISNA(MATCH(W9609,W$256:W9608,0)),1,0))</f>
        <v/>
      </c>
      <c r="AA9609">
        <f>IF(Z9609&gt;Z9608,Z9609,"")</f>
        <v/>
      </c>
      <c r="AB9609">
        <f>AB9608+IF(X9609="",0,IF(ISNA(MATCH(X9609,X$256:X9608,0)),1,0))</f>
        <v/>
      </c>
      <c r="AC9609">
        <f>IF(AB9609&gt;AB9608,AB9609,"")</f>
        <v/>
      </c>
    </row>
    <row r="9610">
      <c r="W9610" s="7" t="n"/>
      <c r="X9610" s="7" t="n"/>
      <c r="Z9610">
        <f>Z9609+IF(W9610="",0,IF(ISNA(MATCH(W9610,W$256:W9609,0)),1,0))</f>
        <v/>
      </c>
      <c r="AA9610">
        <f>IF(Z9610&gt;Z9609,Z9610,"")</f>
        <v/>
      </c>
      <c r="AB9610">
        <f>AB9609+IF(X9610="",0,IF(ISNA(MATCH(X9610,X$256:X9609,0)),1,0))</f>
        <v/>
      </c>
      <c r="AC9610">
        <f>IF(AB9610&gt;AB9609,AB9610,"")</f>
        <v/>
      </c>
    </row>
    <row r="9611">
      <c r="W9611" s="7" t="n"/>
      <c r="X9611" s="7" t="n"/>
      <c r="Z9611">
        <f>Z9610+IF(W9611="",0,IF(ISNA(MATCH(W9611,W$256:W9610,0)),1,0))</f>
        <v/>
      </c>
      <c r="AA9611">
        <f>IF(Z9611&gt;Z9610,Z9611,"")</f>
        <v/>
      </c>
      <c r="AB9611">
        <f>AB9610+IF(X9611="",0,IF(ISNA(MATCH(X9611,X$256:X9610,0)),1,0))</f>
        <v/>
      </c>
      <c r="AC9611">
        <f>IF(AB9611&gt;AB9610,AB9611,"")</f>
        <v/>
      </c>
    </row>
    <row r="9612">
      <c r="W9612" s="7" t="n"/>
      <c r="X9612" s="7" t="n"/>
      <c r="Z9612">
        <f>Z9611+IF(W9612="",0,IF(ISNA(MATCH(W9612,W$256:W9611,0)),1,0))</f>
        <v/>
      </c>
      <c r="AA9612">
        <f>IF(Z9612&gt;Z9611,Z9612,"")</f>
        <v/>
      </c>
      <c r="AB9612">
        <f>AB9611+IF(X9612="",0,IF(ISNA(MATCH(X9612,X$256:X9611,0)),1,0))</f>
        <v/>
      </c>
      <c r="AC9612">
        <f>IF(AB9612&gt;AB9611,AB9612,"")</f>
        <v/>
      </c>
    </row>
    <row r="9613">
      <c r="W9613" s="7" t="n"/>
      <c r="X9613" s="7" t="n"/>
      <c r="Z9613">
        <f>Z9612+IF(W9613="",0,IF(ISNA(MATCH(W9613,W$256:W9612,0)),1,0))</f>
        <v/>
      </c>
      <c r="AA9613">
        <f>IF(Z9613&gt;Z9612,Z9613,"")</f>
        <v/>
      </c>
      <c r="AB9613">
        <f>AB9612+IF(X9613="",0,IF(ISNA(MATCH(X9613,X$256:X9612,0)),1,0))</f>
        <v/>
      </c>
      <c r="AC9613">
        <f>IF(AB9613&gt;AB9612,AB9613,"")</f>
        <v/>
      </c>
    </row>
    <row r="9614">
      <c r="W9614" s="7" t="n"/>
      <c r="X9614" s="7" t="n"/>
      <c r="Z9614">
        <f>Z9613+IF(W9614="",0,IF(ISNA(MATCH(W9614,W$256:W9613,0)),1,0))</f>
        <v/>
      </c>
      <c r="AA9614">
        <f>IF(Z9614&gt;Z9613,Z9614,"")</f>
        <v/>
      </c>
      <c r="AB9614">
        <f>AB9613+IF(X9614="",0,IF(ISNA(MATCH(X9614,X$256:X9613,0)),1,0))</f>
        <v/>
      </c>
      <c r="AC9614">
        <f>IF(AB9614&gt;AB9613,AB9614,"")</f>
        <v/>
      </c>
    </row>
    <row r="9615">
      <c r="W9615" s="7" t="n"/>
      <c r="X9615" s="7" t="n"/>
      <c r="Z9615">
        <f>Z9614+IF(W9615="",0,IF(ISNA(MATCH(W9615,W$256:W9614,0)),1,0))</f>
        <v/>
      </c>
      <c r="AA9615">
        <f>IF(Z9615&gt;Z9614,Z9615,"")</f>
        <v/>
      </c>
      <c r="AB9615">
        <f>AB9614+IF(X9615="",0,IF(ISNA(MATCH(X9615,X$256:X9614,0)),1,0))</f>
        <v/>
      </c>
      <c r="AC9615">
        <f>IF(AB9615&gt;AB9614,AB9615,"")</f>
        <v/>
      </c>
    </row>
    <row r="9616">
      <c r="W9616" s="7" t="n"/>
      <c r="X9616" s="7" t="n"/>
      <c r="Z9616">
        <f>Z9615+IF(W9616="",0,IF(ISNA(MATCH(W9616,W$256:W9615,0)),1,0))</f>
        <v/>
      </c>
      <c r="AA9616">
        <f>IF(Z9616&gt;Z9615,Z9616,"")</f>
        <v/>
      </c>
      <c r="AB9616">
        <f>AB9615+IF(X9616="",0,IF(ISNA(MATCH(X9616,X$256:X9615,0)),1,0))</f>
        <v/>
      </c>
      <c r="AC9616">
        <f>IF(AB9616&gt;AB9615,AB9616,"")</f>
        <v/>
      </c>
    </row>
    <row r="9617">
      <c r="W9617" s="7" t="n"/>
      <c r="X9617" s="7" t="n"/>
      <c r="Z9617">
        <f>Z9616+IF(W9617="",0,IF(ISNA(MATCH(W9617,W$256:W9616,0)),1,0))</f>
        <v/>
      </c>
      <c r="AA9617">
        <f>IF(Z9617&gt;Z9616,Z9617,"")</f>
        <v/>
      </c>
      <c r="AB9617">
        <f>AB9616+IF(X9617="",0,IF(ISNA(MATCH(X9617,X$256:X9616,0)),1,0))</f>
        <v/>
      </c>
      <c r="AC9617">
        <f>IF(AB9617&gt;AB9616,AB9617,"")</f>
        <v/>
      </c>
    </row>
    <row r="9618">
      <c r="W9618" s="7" t="n"/>
      <c r="X9618" s="7" t="n"/>
      <c r="Z9618">
        <f>Z9617+IF(W9618="",0,IF(ISNA(MATCH(W9618,W$256:W9617,0)),1,0))</f>
        <v/>
      </c>
      <c r="AA9618">
        <f>IF(Z9618&gt;Z9617,Z9618,"")</f>
        <v/>
      </c>
      <c r="AB9618">
        <f>AB9617+IF(X9618="",0,IF(ISNA(MATCH(X9618,X$256:X9617,0)),1,0))</f>
        <v/>
      </c>
      <c r="AC9618">
        <f>IF(AB9618&gt;AB9617,AB9618,"")</f>
        <v/>
      </c>
    </row>
    <row r="9619">
      <c r="W9619" s="7" t="n"/>
      <c r="X9619" s="7" t="n"/>
      <c r="Z9619">
        <f>Z9618+IF(W9619="",0,IF(ISNA(MATCH(W9619,W$256:W9618,0)),1,0))</f>
        <v/>
      </c>
      <c r="AA9619">
        <f>IF(Z9619&gt;Z9618,Z9619,"")</f>
        <v/>
      </c>
      <c r="AB9619">
        <f>AB9618+IF(X9619="",0,IF(ISNA(MATCH(X9619,X$256:X9618,0)),1,0))</f>
        <v/>
      </c>
      <c r="AC9619">
        <f>IF(AB9619&gt;AB9618,AB9619,"")</f>
        <v/>
      </c>
    </row>
    <row r="9620">
      <c r="W9620" s="7" t="n"/>
      <c r="X9620" s="7" t="n"/>
      <c r="Z9620">
        <f>Z9619+IF(W9620="",0,IF(ISNA(MATCH(W9620,W$256:W9619,0)),1,0))</f>
        <v/>
      </c>
      <c r="AA9620">
        <f>IF(Z9620&gt;Z9619,Z9620,"")</f>
        <v/>
      </c>
      <c r="AB9620">
        <f>AB9619+IF(X9620="",0,IF(ISNA(MATCH(X9620,X$256:X9619,0)),1,0))</f>
        <v/>
      </c>
      <c r="AC9620">
        <f>IF(AB9620&gt;AB9619,AB9620,"")</f>
        <v/>
      </c>
    </row>
    <row r="9621">
      <c r="W9621" s="7" t="n"/>
      <c r="X9621" s="7" t="n"/>
      <c r="Z9621">
        <f>Z9620+IF(W9621="",0,IF(ISNA(MATCH(W9621,W$256:W9620,0)),1,0))</f>
        <v/>
      </c>
      <c r="AA9621">
        <f>IF(Z9621&gt;Z9620,Z9621,"")</f>
        <v/>
      </c>
      <c r="AB9621">
        <f>AB9620+IF(X9621="",0,IF(ISNA(MATCH(X9621,X$256:X9620,0)),1,0))</f>
        <v/>
      </c>
      <c r="AC9621">
        <f>IF(AB9621&gt;AB9620,AB9621,"")</f>
        <v/>
      </c>
    </row>
    <row r="9622">
      <c r="W9622" s="7" t="n"/>
      <c r="X9622" s="7" t="n"/>
      <c r="Z9622">
        <f>Z9621+IF(W9622="",0,IF(ISNA(MATCH(W9622,W$256:W9621,0)),1,0))</f>
        <v/>
      </c>
      <c r="AA9622">
        <f>IF(Z9622&gt;Z9621,Z9622,"")</f>
        <v/>
      </c>
      <c r="AB9622">
        <f>AB9621+IF(X9622="",0,IF(ISNA(MATCH(X9622,X$256:X9621,0)),1,0))</f>
        <v/>
      </c>
      <c r="AC9622">
        <f>IF(AB9622&gt;AB9621,AB9622,"")</f>
        <v/>
      </c>
    </row>
    <row r="9623">
      <c r="W9623" s="7" t="n"/>
      <c r="X9623" s="7" t="n"/>
      <c r="Z9623">
        <f>Z9622+IF(W9623="",0,IF(ISNA(MATCH(W9623,W$256:W9622,0)),1,0))</f>
        <v/>
      </c>
      <c r="AA9623">
        <f>IF(Z9623&gt;Z9622,Z9623,"")</f>
        <v/>
      </c>
      <c r="AB9623">
        <f>AB9622+IF(X9623="",0,IF(ISNA(MATCH(X9623,X$256:X9622,0)),1,0))</f>
        <v/>
      </c>
      <c r="AC9623">
        <f>IF(AB9623&gt;AB9622,AB9623,"")</f>
        <v/>
      </c>
    </row>
    <row r="9624">
      <c r="W9624" s="7" t="n"/>
      <c r="X9624" s="7" t="n"/>
      <c r="Z9624">
        <f>Z9623+IF(W9624="",0,IF(ISNA(MATCH(W9624,W$256:W9623,0)),1,0))</f>
        <v/>
      </c>
      <c r="AA9624">
        <f>IF(Z9624&gt;Z9623,Z9624,"")</f>
        <v/>
      </c>
      <c r="AB9624">
        <f>AB9623+IF(X9624="",0,IF(ISNA(MATCH(X9624,X$256:X9623,0)),1,0))</f>
        <v/>
      </c>
      <c r="AC9624">
        <f>IF(AB9624&gt;AB9623,AB9624,"")</f>
        <v/>
      </c>
    </row>
    <row r="9625">
      <c r="W9625" s="7" t="n"/>
      <c r="X9625" s="7" t="n"/>
      <c r="Z9625">
        <f>Z9624+IF(W9625="",0,IF(ISNA(MATCH(W9625,W$256:W9624,0)),1,0))</f>
        <v/>
      </c>
      <c r="AA9625">
        <f>IF(Z9625&gt;Z9624,Z9625,"")</f>
        <v/>
      </c>
      <c r="AB9625">
        <f>AB9624+IF(X9625="",0,IF(ISNA(MATCH(X9625,X$256:X9624,0)),1,0))</f>
        <v/>
      </c>
      <c r="AC9625">
        <f>IF(AB9625&gt;AB9624,AB9625,"")</f>
        <v/>
      </c>
    </row>
    <row r="9626">
      <c r="W9626" s="7" t="n"/>
      <c r="X9626" s="7" t="n"/>
      <c r="Z9626">
        <f>Z9625+IF(W9626="",0,IF(ISNA(MATCH(W9626,W$256:W9625,0)),1,0))</f>
        <v/>
      </c>
      <c r="AA9626">
        <f>IF(Z9626&gt;Z9625,Z9626,"")</f>
        <v/>
      </c>
      <c r="AB9626">
        <f>AB9625+IF(X9626="",0,IF(ISNA(MATCH(X9626,X$256:X9625,0)),1,0))</f>
        <v/>
      </c>
      <c r="AC9626">
        <f>IF(AB9626&gt;AB9625,AB9626,"")</f>
        <v/>
      </c>
    </row>
    <row r="9627">
      <c r="W9627" s="7" t="n"/>
      <c r="X9627" s="7" t="n"/>
      <c r="Z9627">
        <f>Z9626+IF(W9627="",0,IF(ISNA(MATCH(W9627,W$256:W9626,0)),1,0))</f>
        <v/>
      </c>
      <c r="AA9627">
        <f>IF(Z9627&gt;Z9626,Z9627,"")</f>
        <v/>
      </c>
      <c r="AB9627">
        <f>AB9626+IF(X9627="",0,IF(ISNA(MATCH(X9627,X$256:X9626,0)),1,0))</f>
        <v/>
      </c>
      <c r="AC9627">
        <f>IF(AB9627&gt;AB9626,AB9627,"")</f>
        <v/>
      </c>
    </row>
    <row r="9628">
      <c r="W9628" s="7" t="n"/>
      <c r="X9628" s="7" t="n"/>
      <c r="Z9628">
        <f>Z9627+IF(W9628="",0,IF(ISNA(MATCH(W9628,W$256:W9627,0)),1,0))</f>
        <v/>
      </c>
      <c r="AA9628">
        <f>IF(Z9628&gt;Z9627,Z9628,"")</f>
        <v/>
      </c>
      <c r="AB9628">
        <f>AB9627+IF(X9628="",0,IF(ISNA(MATCH(X9628,X$256:X9627,0)),1,0))</f>
        <v/>
      </c>
      <c r="AC9628">
        <f>IF(AB9628&gt;AB9627,AB9628,"")</f>
        <v/>
      </c>
    </row>
    <row r="9629">
      <c r="W9629" s="7" t="n"/>
      <c r="X9629" s="7" t="n"/>
      <c r="Z9629">
        <f>Z9628+IF(W9629="",0,IF(ISNA(MATCH(W9629,W$256:W9628,0)),1,0))</f>
        <v/>
      </c>
      <c r="AA9629">
        <f>IF(Z9629&gt;Z9628,Z9629,"")</f>
        <v/>
      </c>
      <c r="AB9629">
        <f>AB9628+IF(X9629="",0,IF(ISNA(MATCH(X9629,X$256:X9628,0)),1,0))</f>
        <v/>
      </c>
      <c r="AC9629">
        <f>IF(AB9629&gt;AB9628,AB9629,"")</f>
        <v/>
      </c>
    </row>
    <row r="9630">
      <c r="W9630" s="7" t="n"/>
      <c r="X9630" s="7" t="n"/>
      <c r="Z9630">
        <f>Z9629+IF(W9630="",0,IF(ISNA(MATCH(W9630,W$256:W9629,0)),1,0))</f>
        <v/>
      </c>
      <c r="AA9630">
        <f>IF(Z9630&gt;Z9629,Z9630,"")</f>
        <v/>
      </c>
      <c r="AB9630">
        <f>AB9629+IF(X9630="",0,IF(ISNA(MATCH(X9630,X$256:X9629,0)),1,0))</f>
        <v/>
      </c>
      <c r="AC9630">
        <f>IF(AB9630&gt;AB9629,AB9630,"")</f>
        <v/>
      </c>
    </row>
    <row r="9631">
      <c r="W9631" s="7" t="n"/>
      <c r="X9631" s="7" t="n"/>
      <c r="Z9631">
        <f>Z9630+IF(W9631="",0,IF(ISNA(MATCH(W9631,W$256:W9630,0)),1,0))</f>
        <v/>
      </c>
      <c r="AA9631">
        <f>IF(Z9631&gt;Z9630,Z9631,"")</f>
        <v/>
      </c>
      <c r="AB9631">
        <f>AB9630+IF(X9631="",0,IF(ISNA(MATCH(X9631,X$256:X9630,0)),1,0))</f>
        <v/>
      </c>
      <c r="AC9631">
        <f>IF(AB9631&gt;AB9630,AB9631,"")</f>
        <v/>
      </c>
    </row>
    <row r="9632">
      <c r="W9632" s="7" t="n"/>
      <c r="X9632" s="7" t="n"/>
      <c r="Z9632">
        <f>Z9631+IF(W9632="",0,IF(ISNA(MATCH(W9632,W$256:W9631,0)),1,0))</f>
        <v/>
      </c>
      <c r="AA9632">
        <f>IF(Z9632&gt;Z9631,Z9632,"")</f>
        <v/>
      </c>
      <c r="AB9632">
        <f>AB9631+IF(X9632="",0,IF(ISNA(MATCH(X9632,X$256:X9631,0)),1,0))</f>
        <v/>
      </c>
      <c r="AC9632">
        <f>IF(AB9632&gt;AB9631,AB9632,"")</f>
        <v/>
      </c>
    </row>
    <row r="9633">
      <c r="W9633" s="7" t="n"/>
      <c r="X9633" s="7" t="n"/>
      <c r="Z9633">
        <f>Z9632+IF(W9633="",0,IF(ISNA(MATCH(W9633,W$256:W9632,0)),1,0))</f>
        <v/>
      </c>
      <c r="AA9633">
        <f>IF(Z9633&gt;Z9632,Z9633,"")</f>
        <v/>
      </c>
      <c r="AB9633">
        <f>AB9632+IF(X9633="",0,IF(ISNA(MATCH(X9633,X$256:X9632,0)),1,0))</f>
        <v/>
      </c>
      <c r="AC9633">
        <f>IF(AB9633&gt;AB9632,AB9633,"")</f>
        <v/>
      </c>
    </row>
    <row r="9634">
      <c r="W9634" s="7" t="n"/>
      <c r="X9634" s="7" t="n"/>
      <c r="Z9634">
        <f>Z9633+IF(W9634="",0,IF(ISNA(MATCH(W9634,W$256:W9633,0)),1,0))</f>
        <v/>
      </c>
      <c r="AA9634">
        <f>IF(Z9634&gt;Z9633,Z9634,"")</f>
        <v/>
      </c>
      <c r="AB9634">
        <f>AB9633+IF(X9634="",0,IF(ISNA(MATCH(X9634,X$256:X9633,0)),1,0))</f>
        <v/>
      </c>
      <c r="AC9634">
        <f>IF(AB9634&gt;AB9633,AB9634,"")</f>
        <v/>
      </c>
    </row>
    <row r="9635">
      <c r="W9635" s="7" t="n"/>
      <c r="X9635" s="7" t="n"/>
      <c r="Z9635">
        <f>Z9634+IF(W9635="",0,IF(ISNA(MATCH(W9635,W$256:W9634,0)),1,0))</f>
        <v/>
      </c>
      <c r="AA9635">
        <f>IF(Z9635&gt;Z9634,Z9635,"")</f>
        <v/>
      </c>
      <c r="AB9635">
        <f>AB9634+IF(X9635="",0,IF(ISNA(MATCH(X9635,X$256:X9634,0)),1,0))</f>
        <v/>
      </c>
      <c r="AC9635">
        <f>IF(AB9635&gt;AB9634,AB9635,"")</f>
        <v/>
      </c>
    </row>
    <row r="9636">
      <c r="W9636" s="7" t="n"/>
      <c r="X9636" s="7" t="n"/>
      <c r="Z9636">
        <f>Z9635+IF(W9636="",0,IF(ISNA(MATCH(W9636,W$256:W9635,0)),1,0))</f>
        <v/>
      </c>
      <c r="AA9636">
        <f>IF(Z9636&gt;Z9635,Z9636,"")</f>
        <v/>
      </c>
      <c r="AB9636">
        <f>AB9635+IF(X9636="",0,IF(ISNA(MATCH(X9636,X$256:X9635,0)),1,0))</f>
        <v/>
      </c>
      <c r="AC9636">
        <f>IF(AB9636&gt;AB9635,AB9636,"")</f>
        <v/>
      </c>
    </row>
    <row r="9637">
      <c r="W9637" s="7" t="n"/>
      <c r="X9637" s="7" t="n"/>
      <c r="Z9637">
        <f>Z9636+IF(W9637="",0,IF(ISNA(MATCH(W9637,W$256:W9636,0)),1,0))</f>
        <v/>
      </c>
      <c r="AA9637">
        <f>IF(Z9637&gt;Z9636,Z9637,"")</f>
        <v/>
      </c>
      <c r="AB9637">
        <f>AB9636+IF(X9637="",0,IF(ISNA(MATCH(X9637,X$256:X9636,0)),1,0))</f>
        <v/>
      </c>
      <c r="AC9637">
        <f>IF(AB9637&gt;AB9636,AB9637,"")</f>
        <v/>
      </c>
    </row>
    <row r="9638">
      <c r="W9638" s="7" t="n"/>
      <c r="X9638" s="7" t="n"/>
      <c r="Z9638">
        <f>Z9637+IF(W9638="",0,IF(ISNA(MATCH(W9638,W$256:W9637,0)),1,0))</f>
        <v/>
      </c>
      <c r="AA9638">
        <f>IF(Z9638&gt;Z9637,Z9638,"")</f>
        <v/>
      </c>
      <c r="AB9638">
        <f>AB9637+IF(X9638="",0,IF(ISNA(MATCH(X9638,X$256:X9637,0)),1,0))</f>
        <v/>
      </c>
      <c r="AC9638">
        <f>IF(AB9638&gt;AB9637,AB9638,"")</f>
        <v/>
      </c>
    </row>
    <row r="9639">
      <c r="W9639" s="7" t="n"/>
      <c r="X9639" s="7" t="n"/>
      <c r="Z9639">
        <f>Z9638+IF(W9639="",0,IF(ISNA(MATCH(W9639,W$256:W9638,0)),1,0))</f>
        <v/>
      </c>
      <c r="AA9639">
        <f>IF(Z9639&gt;Z9638,Z9639,"")</f>
        <v/>
      </c>
      <c r="AB9639">
        <f>AB9638+IF(X9639="",0,IF(ISNA(MATCH(X9639,X$256:X9638,0)),1,0))</f>
        <v/>
      </c>
      <c r="AC9639">
        <f>IF(AB9639&gt;AB9638,AB9639,"")</f>
        <v/>
      </c>
    </row>
    <row r="9640">
      <c r="W9640" s="7" t="n"/>
      <c r="X9640" s="7" t="n"/>
      <c r="Z9640">
        <f>Z9639+IF(W9640="",0,IF(ISNA(MATCH(W9640,W$256:W9639,0)),1,0))</f>
        <v/>
      </c>
      <c r="AA9640">
        <f>IF(Z9640&gt;Z9639,Z9640,"")</f>
        <v/>
      </c>
      <c r="AB9640">
        <f>AB9639+IF(X9640="",0,IF(ISNA(MATCH(X9640,X$256:X9639,0)),1,0))</f>
        <v/>
      </c>
      <c r="AC9640">
        <f>IF(AB9640&gt;AB9639,AB9640,"")</f>
        <v/>
      </c>
    </row>
    <row r="9641">
      <c r="W9641" s="7" t="n"/>
      <c r="X9641" s="7" t="n"/>
      <c r="Z9641">
        <f>Z9640+IF(W9641="",0,IF(ISNA(MATCH(W9641,W$256:W9640,0)),1,0))</f>
        <v/>
      </c>
      <c r="AA9641">
        <f>IF(Z9641&gt;Z9640,Z9641,"")</f>
        <v/>
      </c>
      <c r="AB9641">
        <f>AB9640+IF(X9641="",0,IF(ISNA(MATCH(X9641,X$256:X9640,0)),1,0))</f>
        <v/>
      </c>
      <c r="AC9641">
        <f>IF(AB9641&gt;AB9640,AB9641,"")</f>
        <v/>
      </c>
    </row>
    <row r="9642">
      <c r="W9642" s="7" t="n"/>
      <c r="X9642" s="7" t="n"/>
      <c r="Z9642">
        <f>Z9641+IF(W9642="",0,IF(ISNA(MATCH(W9642,W$256:W9641,0)),1,0))</f>
        <v/>
      </c>
      <c r="AA9642">
        <f>IF(Z9642&gt;Z9641,Z9642,"")</f>
        <v/>
      </c>
      <c r="AB9642">
        <f>AB9641+IF(X9642="",0,IF(ISNA(MATCH(X9642,X$256:X9641,0)),1,0))</f>
        <v/>
      </c>
      <c r="AC9642">
        <f>IF(AB9642&gt;AB9641,AB9642,"")</f>
        <v/>
      </c>
    </row>
    <row r="9643">
      <c r="W9643" s="7" t="n"/>
      <c r="X9643" s="7" t="n"/>
      <c r="Z9643">
        <f>Z9642+IF(W9643="",0,IF(ISNA(MATCH(W9643,W$256:W9642,0)),1,0))</f>
        <v/>
      </c>
      <c r="AA9643">
        <f>IF(Z9643&gt;Z9642,Z9643,"")</f>
        <v/>
      </c>
      <c r="AB9643">
        <f>AB9642+IF(X9643="",0,IF(ISNA(MATCH(X9643,X$256:X9642,0)),1,0))</f>
        <v/>
      </c>
      <c r="AC9643">
        <f>IF(AB9643&gt;AB9642,AB9643,"")</f>
        <v/>
      </c>
    </row>
    <row r="9644">
      <c r="W9644" s="7" t="n"/>
      <c r="X9644" s="7" t="n"/>
      <c r="Z9644">
        <f>Z9643+IF(W9644="",0,IF(ISNA(MATCH(W9644,W$256:W9643,0)),1,0))</f>
        <v/>
      </c>
      <c r="AA9644">
        <f>IF(Z9644&gt;Z9643,Z9644,"")</f>
        <v/>
      </c>
      <c r="AB9644">
        <f>AB9643+IF(X9644="",0,IF(ISNA(MATCH(X9644,X$256:X9643,0)),1,0))</f>
        <v/>
      </c>
      <c r="AC9644">
        <f>IF(AB9644&gt;AB9643,AB9644,"")</f>
        <v/>
      </c>
    </row>
    <row r="9645">
      <c r="W9645" s="7" t="n"/>
      <c r="X9645" s="7" t="n"/>
      <c r="Z9645">
        <f>Z9644+IF(W9645="",0,IF(ISNA(MATCH(W9645,W$256:W9644,0)),1,0))</f>
        <v/>
      </c>
      <c r="AA9645">
        <f>IF(Z9645&gt;Z9644,Z9645,"")</f>
        <v/>
      </c>
      <c r="AB9645">
        <f>AB9644+IF(X9645="",0,IF(ISNA(MATCH(X9645,X$256:X9644,0)),1,0))</f>
        <v/>
      </c>
      <c r="AC9645">
        <f>IF(AB9645&gt;AB9644,AB9645,"")</f>
        <v/>
      </c>
    </row>
    <row r="9646">
      <c r="W9646" s="7" t="n"/>
      <c r="X9646" s="7" t="n"/>
      <c r="Z9646">
        <f>Z9645+IF(W9646="",0,IF(ISNA(MATCH(W9646,W$256:W9645,0)),1,0))</f>
        <v/>
      </c>
      <c r="AA9646">
        <f>IF(Z9646&gt;Z9645,Z9646,"")</f>
        <v/>
      </c>
      <c r="AB9646">
        <f>AB9645+IF(X9646="",0,IF(ISNA(MATCH(X9646,X$256:X9645,0)),1,0))</f>
        <v/>
      </c>
      <c r="AC9646">
        <f>IF(AB9646&gt;AB9645,AB9646,"")</f>
        <v/>
      </c>
    </row>
    <row r="9647">
      <c r="W9647" s="7" t="n"/>
      <c r="X9647" s="7" t="n"/>
      <c r="Z9647">
        <f>Z9646+IF(W9647="",0,IF(ISNA(MATCH(W9647,W$256:W9646,0)),1,0))</f>
        <v/>
      </c>
      <c r="AA9647">
        <f>IF(Z9647&gt;Z9646,Z9647,"")</f>
        <v/>
      </c>
      <c r="AB9647">
        <f>AB9646+IF(X9647="",0,IF(ISNA(MATCH(X9647,X$256:X9646,0)),1,0))</f>
        <v/>
      </c>
      <c r="AC9647">
        <f>IF(AB9647&gt;AB9646,AB9647,"")</f>
        <v/>
      </c>
    </row>
    <row r="9648">
      <c r="W9648" s="7" t="n"/>
      <c r="X9648" s="7" t="n"/>
      <c r="Z9648">
        <f>Z9647+IF(W9648="",0,IF(ISNA(MATCH(W9648,W$256:W9647,0)),1,0))</f>
        <v/>
      </c>
      <c r="AA9648">
        <f>IF(Z9648&gt;Z9647,Z9648,"")</f>
        <v/>
      </c>
      <c r="AB9648">
        <f>AB9647+IF(X9648="",0,IF(ISNA(MATCH(X9648,X$256:X9647,0)),1,0))</f>
        <v/>
      </c>
      <c r="AC9648">
        <f>IF(AB9648&gt;AB9647,AB9648,"")</f>
        <v/>
      </c>
    </row>
    <row r="9649">
      <c r="W9649" s="7" t="n"/>
      <c r="X9649" s="7" t="n"/>
      <c r="Z9649">
        <f>Z9648+IF(W9649="",0,IF(ISNA(MATCH(W9649,W$256:W9648,0)),1,0))</f>
        <v/>
      </c>
      <c r="AA9649">
        <f>IF(Z9649&gt;Z9648,Z9649,"")</f>
        <v/>
      </c>
      <c r="AB9649">
        <f>AB9648+IF(X9649="",0,IF(ISNA(MATCH(X9649,X$256:X9648,0)),1,0))</f>
        <v/>
      </c>
      <c r="AC9649">
        <f>IF(AB9649&gt;AB9648,AB9649,"")</f>
        <v/>
      </c>
    </row>
    <row r="9650">
      <c r="W9650" s="7" t="n"/>
      <c r="X9650" s="7" t="n"/>
      <c r="Z9650">
        <f>Z9649+IF(W9650="",0,IF(ISNA(MATCH(W9650,W$256:W9649,0)),1,0))</f>
        <v/>
      </c>
      <c r="AA9650">
        <f>IF(Z9650&gt;Z9649,Z9650,"")</f>
        <v/>
      </c>
      <c r="AB9650">
        <f>AB9649+IF(X9650="",0,IF(ISNA(MATCH(X9650,X$256:X9649,0)),1,0))</f>
        <v/>
      </c>
      <c r="AC9650">
        <f>IF(AB9650&gt;AB9649,AB9650,"")</f>
        <v/>
      </c>
    </row>
    <row r="9651">
      <c r="W9651" s="7" t="n"/>
      <c r="X9651" s="7" t="n"/>
      <c r="Z9651">
        <f>Z9650+IF(W9651="",0,IF(ISNA(MATCH(W9651,W$256:W9650,0)),1,0))</f>
        <v/>
      </c>
      <c r="AA9651">
        <f>IF(Z9651&gt;Z9650,Z9651,"")</f>
        <v/>
      </c>
      <c r="AB9651">
        <f>AB9650+IF(X9651="",0,IF(ISNA(MATCH(X9651,X$256:X9650,0)),1,0))</f>
        <v/>
      </c>
      <c r="AC9651">
        <f>IF(AB9651&gt;AB9650,AB9651,"")</f>
        <v/>
      </c>
    </row>
    <row r="9652">
      <c r="W9652" s="7" t="n"/>
      <c r="X9652" s="7" t="n"/>
      <c r="Z9652">
        <f>Z9651+IF(W9652="",0,IF(ISNA(MATCH(W9652,W$256:W9651,0)),1,0))</f>
        <v/>
      </c>
      <c r="AA9652">
        <f>IF(Z9652&gt;Z9651,Z9652,"")</f>
        <v/>
      </c>
      <c r="AB9652">
        <f>AB9651+IF(X9652="",0,IF(ISNA(MATCH(X9652,X$256:X9651,0)),1,0))</f>
        <v/>
      </c>
      <c r="AC9652">
        <f>IF(AB9652&gt;AB9651,AB9652,"")</f>
        <v/>
      </c>
    </row>
    <row r="9653">
      <c r="W9653" s="7" t="n"/>
      <c r="X9653" s="7" t="n"/>
      <c r="Z9653">
        <f>Z9652+IF(W9653="",0,IF(ISNA(MATCH(W9653,W$256:W9652,0)),1,0))</f>
        <v/>
      </c>
      <c r="AA9653">
        <f>IF(Z9653&gt;Z9652,Z9653,"")</f>
        <v/>
      </c>
      <c r="AB9653">
        <f>AB9652+IF(X9653="",0,IF(ISNA(MATCH(X9653,X$256:X9652,0)),1,0))</f>
        <v/>
      </c>
      <c r="AC9653">
        <f>IF(AB9653&gt;AB9652,AB9653,"")</f>
        <v/>
      </c>
    </row>
    <row r="9654">
      <c r="W9654" s="7" t="n"/>
      <c r="X9654" s="7" t="n"/>
      <c r="Z9654">
        <f>Z9653+IF(W9654="",0,IF(ISNA(MATCH(W9654,W$256:W9653,0)),1,0))</f>
        <v/>
      </c>
      <c r="AA9654">
        <f>IF(Z9654&gt;Z9653,Z9654,"")</f>
        <v/>
      </c>
      <c r="AB9654">
        <f>AB9653+IF(X9654="",0,IF(ISNA(MATCH(X9654,X$256:X9653,0)),1,0))</f>
        <v/>
      </c>
      <c r="AC9654">
        <f>IF(AB9654&gt;AB9653,AB9654,"")</f>
        <v/>
      </c>
    </row>
    <row r="9655">
      <c r="W9655" s="7" t="n"/>
      <c r="X9655" s="7" t="n"/>
      <c r="Z9655">
        <f>Z9654+IF(W9655="",0,IF(ISNA(MATCH(W9655,W$256:W9654,0)),1,0))</f>
        <v/>
      </c>
      <c r="AA9655">
        <f>IF(Z9655&gt;Z9654,Z9655,"")</f>
        <v/>
      </c>
      <c r="AB9655">
        <f>AB9654+IF(X9655="",0,IF(ISNA(MATCH(X9655,X$256:X9654,0)),1,0))</f>
        <v/>
      </c>
      <c r="AC9655">
        <f>IF(AB9655&gt;AB9654,AB9655,"")</f>
        <v/>
      </c>
    </row>
    <row r="9656">
      <c r="W9656" s="7" t="n"/>
      <c r="X9656" s="7" t="n"/>
      <c r="Z9656">
        <f>Z9655+IF(W9656="",0,IF(ISNA(MATCH(W9656,W$256:W9655,0)),1,0))</f>
        <v/>
      </c>
      <c r="AA9656">
        <f>IF(Z9656&gt;Z9655,Z9656,"")</f>
        <v/>
      </c>
      <c r="AB9656">
        <f>AB9655+IF(X9656="",0,IF(ISNA(MATCH(X9656,X$256:X9655,0)),1,0))</f>
        <v/>
      </c>
      <c r="AC9656">
        <f>IF(AB9656&gt;AB9655,AB9656,"")</f>
        <v/>
      </c>
    </row>
    <row r="9657">
      <c r="W9657" s="7" t="n"/>
      <c r="X9657" s="7" t="n"/>
      <c r="Z9657">
        <f>Z9656+IF(W9657="",0,IF(ISNA(MATCH(W9657,W$256:W9656,0)),1,0))</f>
        <v/>
      </c>
      <c r="AA9657">
        <f>IF(Z9657&gt;Z9656,Z9657,"")</f>
        <v/>
      </c>
      <c r="AB9657">
        <f>AB9656+IF(X9657="",0,IF(ISNA(MATCH(X9657,X$256:X9656,0)),1,0))</f>
        <v/>
      </c>
      <c r="AC9657">
        <f>IF(AB9657&gt;AB9656,AB9657,"")</f>
        <v/>
      </c>
    </row>
    <row r="9658">
      <c r="W9658" s="7" t="n"/>
      <c r="X9658" s="7" t="n"/>
      <c r="Z9658">
        <f>Z9657+IF(W9658="",0,IF(ISNA(MATCH(W9658,W$256:W9657,0)),1,0))</f>
        <v/>
      </c>
      <c r="AA9658">
        <f>IF(Z9658&gt;Z9657,Z9658,"")</f>
        <v/>
      </c>
      <c r="AB9658">
        <f>AB9657+IF(X9658="",0,IF(ISNA(MATCH(X9658,X$256:X9657,0)),1,0))</f>
        <v/>
      </c>
      <c r="AC9658">
        <f>IF(AB9658&gt;AB9657,AB9658,"")</f>
        <v/>
      </c>
    </row>
    <row r="9659">
      <c r="W9659" s="7" t="n"/>
      <c r="X9659" s="7" t="n"/>
      <c r="Z9659">
        <f>Z9658+IF(W9659="",0,IF(ISNA(MATCH(W9659,W$256:W9658,0)),1,0))</f>
        <v/>
      </c>
      <c r="AA9659">
        <f>IF(Z9659&gt;Z9658,Z9659,"")</f>
        <v/>
      </c>
      <c r="AB9659">
        <f>AB9658+IF(X9659="",0,IF(ISNA(MATCH(X9659,X$256:X9658,0)),1,0))</f>
        <v/>
      </c>
      <c r="AC9659">
        <f>IF(AB9659&gt;AB9658,AB9659,"")</f>
        <v/>
      </c>
    </row>
    <row r="9660">
      <c r="W9660" s="7" t="n"/>
      <c r="X9660" s="7" t="n"/>
      <c r="Z9660">
        <f>Z9659+IF(W9660="",0,IF(ISNA(MATCH(W9660,W$256:W9659,0)),1,0))</f>
        <v/>
      </c>
      <c r="AA9660">
        <f>IF(Z9660&gt;Z9659,Z9660,"")</f>
        <v/>
      </c>
      <c r="AB9660">
        <f>AB9659+IF(X9660="",0,IF(ISNA(MATCH(X9660,X$256:X9659,0)),1,0))</f>
        <v/>
      </c>
      <c r="AC9660">
        <f>IF(AB9660&gt;AB9659,AB9660,"")</f>
        <v/>
      </c>
    </row>
    <row r="9661">
      <c r="W9661" s="7" t="n"/>
      <c r="X9661" s="7" t="n"/>
      <c r="Z9661">
        <f>Z9660+IF(W9661="",0,IF(ISNA(MATCH(W9661,W$256:W9660,0)),1,0))</f>
        <v/>
      </c>
      <c r="AA9661">
        <f>IF(Z9661&gt;Z9660,Z9661,"")</f>
        <v/>
      </c>
      <c r="AB9661">
        <f>AB9660+IF(X9661="",0,IF(ISNA(MATCH(X9661,X$256:X9660,0)),1,0))</f>
        <v/>
      </c>
      <c r="AC9661">
        <f>IF(AB9661&gt;AB9660,AB9661,"")</f>
        <v/>
      </c>
    </row>
    <row r="9662">
      <c r="W9662" s="7" t="n"/>
      <c r="X9662" s="7" t="n"/>
      <c r="Z9662">
        <f>Z9661+IF(W9662="",0,IF(ISNA(MATCH(W9662,W$256:W9661,0)),1,0))</f>
        <v/>
      </c>
      <c r="AA9662">
        <f>IF(Z9662&gt;Z9661,Z9662,"")</f>
        <v/>
      </c>
      <c r="AB9662">
        <f>AB9661+IF(X9662="",0,IF(ISNA(MATCH(X9662,X$256:X9661,0)),1,0))</f>
        <v/>
      </c>
      <c r="AC9662">
        <f>IF(AB9662&gt;AB9661,AB9662,"")</f>
        <v/>
      </c>
    </row>
    <row r="9663">
      <c r="W9663" s="7" t="n"/>
      <c r="X9663" s="7" t="n"/>
      <c r="Z9663">
        <f>Z9662+IF(W9663="",0,IF(ISNA(MATCH(W9663,W$256:W9662,0)),1,0))</f>
        <v/>
      </c>
      <c r="AA9663">
        <f>IF(Z9663&gt;Z9662,Z9663,"")</f>
        <v/>
      </c>
      <c r="AB9663">
        <f>AB9662+IF(X9663="",0,IF(ISNA(MATCH(X9663,X$256:X9662,0)),1,0))</f>
        <v/>
      </c>
      <c r="AC9663">
        <f>IF(AB9663&gt;AB9662,AB9663,"")</f>
        <v/>
      </c>
    </row>
    <row r="9664">
      <c r="W9664" s="7" t="n"/>
      <c r="X9664" s="7" t="n"/>
      <c r="Z9664">
        <f>Z9663+IF(W9664="",0,IF(ISNA(MATCH(W9664,W$256:W9663,0)),1,0))</f>
        <v/>
      </c>
      <c r="AA9664">
        <f>IF(Z9664&gt;Z9663,Z9664,"")</f>
        <v/>
      </c>
      <c r="AB9664">
        <f>AB9663+IF(X9664="",0,IF(ISNA(MATCH(X9664,X$256:X9663,0)),1,0))</f>
        <v/>
      </c>
      <c r="AC9664">
        <f>IF(AB9664&gt;AB9663,AB9664,"")</f>
        <v/>
      </c>
    </row>
    <row r="9665">
      <c r="W9665" s="7" t="n"/>
      <c r="X9665" s="7" t="n"/>
      <c r="Z9665">
        <f>Z9664+IF(W9665="",0,IF(ISNA(MATCH(W9665,W$256:W9664,0)),1,0))</f>
        <v/>
      </c>
      <c r="AA9665">
        <f>IF(Z9665&gt;Z9664,Z9665,"")</f>
        <v/>
      </c>
      <c r="AB9665">
        <f>AB9664+IF(X9665="",0,IF(ISNA(MATCH(X9665,X$256:X9664,0)),1,0))</f>
        <v/>
      </c>
      <c r="AC9665">
        <f>IF(AB9665&gt;AB9664,AB9665,"")</f>
        <v/>
      </c>
    </row>
    <row r="9666">
      <c r="W9666" s="7" t="n"/>
      <c r="X9666" s="7" t="n"/>
      <c r="Z9666">
        <f>Z9665+IF(W9666="",0,IF(ISNA(MATCH(W9666,W$256:W9665,0)),1,0))</f>
        <v/>
      </c>
      <c r="AA9666">
        <f>IF(Z9666&gt;Z9665,Z9666,"")</f>
        <v/>
      </c>
      <c r="AB9666">
        <f>AB9665+IF(X9666="",0,IF(ISNA(MATCH(X9666,X$256:X9665,0)),1,0))</f>
        <v/>
      </c>
      <c r="AC9666">
        <f>IF(AB9666&gt;AB9665,AB9666,"")</f>
        <v/>
      </c>
    </row>
    <row r="9667">
      <c r="W9667" s="7" t="n"/>
      <c r="X9667" s="7" t="n"/>
      <c r="Z9667">
        <f>Z9666+IF(W9667="",0,IF(ISNA(MATCH(W9667,W$256:W9666,0)),1,0))</f>
        <v/>
      </c>
      <c r="AA9667">
        <f>IF(Z9667&gt;Z9666,Z9667,"")</f>
        <v/>
      </c>
      <c r="AB9667">
        <f>AB9666+IF(X9667="",0,IF(ISNA(MATCH(X9667,X$256:X9666,0)),1,0))</f>
        <v/>
      </c>
      <c r="AC9667">
        <f>IF(AB9667&gt;AB9666,AB9667,"")</f>
        <v/>
      </c>
    </row>
    <row r="9668">
      <c r="W9668" s="7" t="n"/>
      <c r="X9668" s="7" t="n"/>
      <c r="Z9668">
        <f>Z9667+IF(W9668="",0,IF(ISNA(MATCH(W9668,W$256:W9667,0)),1,0))</f>
        <v/>
      </c>
      <c r="AA9668">
        <f>IF(Z9668&gt;Z9667,Z9668,"")</f>
        <v/>
      </c>
      <c r="AB9668">
        <f>AB9667+IF(X9668="",0,IF(ISNA(MATCH(X9668,X$256:X9667,0)),1,0))</f>
        <v/>
      </c>
      <c r="AC9668">
        <f>IF(AB9668&gt;AB9667,AB9668,"")</f>
        <v/>
      </c>
    </row>
    <row r="9669">
      <c r="W9669" s="7" t="n"/>
      <c r="X9669" s="7" t="n"/>
      <c r="Z9669">
        <f>Z9668+IF(W9669="",0,IF(ISNA(MATCH(W9669,W$256:W9668,0)),1,0))</f>
        <v/>
      </c>
      <c r="AA9669">
        <f>IF(Z9669&gt;Z9668,Z9669,"")</f>
        <v/>
      </c>
      <c r="AB9669">
        <f>AB9668+IF(X9669="",0,IF(ISNA(MATCH(X9669,X$256:X9668,0)),1,0))</f>
        <v/>
      </c>
      <c r="AC9669">
        <f>IF(AB9669&gt;AB9668,AB9669,"")</f>
        <v/>
      </c>
    </row>
    <row r="9670">
      <c r="W9670" s="7" t="n"/>
      <c r="X9670" s="7" t="n"/>
      <c r="Z9670">
        <f>Z9669+IF(W9670="",0,IF(ISNA(MATCH(W9670,W$256:W9669,0)),1,0))</f>
        <v/>
      </c>
      <c r="AA9670">
        <f>IF(Z9670&gt;Z9669,Z9670,"")</f>
        <v/>
      </c>
      <c r="AB9670">
        <f>AB9669+IF(X9670="",0,IF(ISNA(MATCH(X9670,X$256:X9669,0)),1,0))</f>
        <v/>
      </c>
      <c r="AC9670">
        <f>IF(AB9670&gt;AB9669,AB9670,"")</f>
        <v/>
      </c>
    </row>
    <row r="9671">
      <c r="W9671" s="7" t="n"/>
      <c r="X9671" s="7" t="n"/>
      <c r="Z9671">
        <f>Z9670+IF(W9671="",0,IF(ISNA(MATCH(W9671,W$256:W9670,0)),1,0))</f>
        <v/>
      </c>
      <c r="AA9671">
        <f>IF(Z9671&gt;Z9670,Z9671,"")</f>
        <v/>
      </c>
      <c r="AB9671">
        <f>AB9670+IF(X9671="",0,IF(ISNA(MATCH(X9671,X$256:X9670,0)),1,0))</f>
        <v/>
      </c>
      <c r="AC9671">
        <f>IF(AB9671&gt;AB9670,AB9671,"")</f>
        <v/>
      </c>
    </row>
    <row r="9672">
      <c r="W9672" s="7" t="n"/>
      <c r="X9672" s="7" t="n"/>
      <c r="Z9672">
        <f>Z9671+IF(W9672="",0,IF(ISNA(MATCH(W9672,W$256:W9671,0)),1,0))</f>
        <v/>
      </c>
      <c r="AA9672">
        <f>IF(Z9672&gt;Z9671,Z9672,"")</f>
        <v/>
      </c>
      <c r="AB9672">
        <f>AB9671+IF(X9672="",0,IF(ISNA(MATCH(X9672,X$256:X9671,0)),1,0))</f>
        <v/>
      </c>
      <c r="AC9672">
        <f>IF(AB9672&gt;AB9671,AB9672,"")</f>
        <v/>
      </c>
    </row>
    <row r="9673">
      <c r="W9673" s="7" t="n"/>
      <c r="X9673" s="7" t="n"/>
      <c r="Z9673">
        <f>Z9672+IF(W9673="",0,IF(ISNA(MATCH(W9673,W$256:W9672,0)),1,0))</f>
        <v/>
      </c>
      <c r="AA9673">
        <f>IF(Z9673&gt;Z9672,Z9673,"")</f>
        <v/>
      </c>
      <c r="AB9673">
        <f>AB9672+IF(X9673="",0,IF(ISNA(MATCH(X9673,X$256:X9672,0)),1,0))</f>
        <v/>
      </c>
      <c r="AC9673">
        <f>IF(AB9673&gt;AB9672,AB9673,"")</f>
        <v/>
      </c>
    </row>
    <row r="9674">
      <c r="W9674" s="7" t="n"/>
      <c r="X9674" s="7" t="n"/>
      <c r="Z9674">
        <f>Z9673+IF(W9674="",0,IF(ISNA(MATCH(W9674,W$256:W9673,0)),1,0))</f>
        <v/>
      </c>
      <c r="AA9674">
        <f>IF(Z9674&gt;Z9673,Z9674,"")</f>
        <v/>
      </c>
      <c r="AB9674">
        <f>AB9673+IF(X9674="",0,IF(ISNA(MATCH(X9674,X$256:X9673,0)),1,0))</f>
        <v/>
      </c>
      <c r="AC9674">
        <f>IF(AB9674&gt;AB9673,AB9674,"")</f>
        <v/>
      </c>
    </row>
    <row r="9675">
      <c r="W9675" s="7" t="n"/>
      <c r="X9675" s="7" t="n"/>
      <c r="Z9675">
        <f>Z9674+IF(W9675="",0,IF(ISNA(MATCH(W9675,W$256:W9674,0)),1,0))</f>
        <v/>
      </c>
      <c r="AA9675">
        <f>IF(Z9675&gt;Z9674,Z9675,"")</f>
        <v/>
      </c>
      <c r="AB9675">
        <f>AB9674+IF(X9675="",0,IF(ISNA(MATCH(X9675,X$256:X9674,0)),1,0))</f>
        <v/>
      </c>
      <c r="AC9675">
        <f>IF(AB9675&gt;AB9674,AB9675,"")</f>
        <v/>
      </c>
    </row>
    <row r="9676">
      <c r="W9676" s="7" t="n"/>
      <c r="X9676" s="7" t="n"/>
      <c r="Z9676">
        <f>Z9675+IF(W9676="",0,IF(ISNA(MATCH(W9676,W$256:W9675,0)),1,0))</f>
        <v/>
      </c>
      <c r="AA9676">
        <f>IF(Z9676&gt;Z9675,Z9676,"")</f>
        <v/>
      </c>
      <c r="AB9676">
        <f>AB9675+IF(X9676="",0,IF(ISNA(MATCH(X9676,X$256:X9675,0)),1,0))</f>
        <v/>
      </c>
      <c r="AC9676">
        <f>IF(AB9676&gt;AB9675,AB9676,"")</f>
        <v/>
      </c>
    </row>
    <row r="9677">
      <c r="W9677" s="7" t="n"/>
      <c r="X9677" s="7" t="n"/>
      <c r="Z9677">
        <f>Z9676+IF(W9677="",0,IF(ISNA(MATCH(W9677,W$256:W9676,0)),1,0))</f>
        <v/>
      </c>
      <c r="AA9677">
        <f>IF(Z9677&gt;Z9676,Z9677,"")</f>
        <v/>
      </c>
      <c r="AB9677">
        <f>AB9676+IF(X9677="",0,IF(ISNA(MATCH(X9677,X$256:X9676,0)),1,0))</f>
        <v/>
      </c>
      <c r="AC9677">
        <f>IF(AB9677&gt;AB9676,AB9677,"")</f>
        <v/>
      </c>
    </row>
    <row r="9678">
      <c r="W9678" s="7" t="n"/>
      <c r="X9678" s="7" t="n"/>
      <c r="Z9678">
        <f>Z9677+IF(W9678="",0,IF(ISNA(MATCH(W9678,W$256:W9677,0)),1,0))</f>
        <v/>
      </c>
      <c r="AA9678">
        <f>IF(Z9678&gt;Z9677,Z9678,"")</f>
        <v/>
      </c>
      <c r="AB9678">
        <f>AB9677+IF(X9678="",0,IF(ISNA(MATCH(X9678,X$256:X9677,0)),1,0))</f>
        <v/>
      </c>
      <c r="AC9678">
        <f>IF(AB9678&gt;AB9677,AB9678,"")</f>
        <v/>
      </c>
    </row>
    <row r="9679">
      <c r="W9679" s="7" t="n"/>
      <c r="X9679" s="7" t="n"/>
      <c r="Z9679">
        <f>Z9678+IF(W9679="",0,IF(ISNA(MATCH(W9679,W$256:W9678,0)),1,0))</f>
        <v/>
      </c>
      <c r="AA9679">
        <f>IF(Z9679&gt;Z9678,Z9679,"")</f>
        <v/>
      </c>
      <c r="AB9679">
        <f>AB9678+IF(X9679="",0,IF(ISNA(MATCH(X9679,X$256:X9678,0)),1,0))</f>
        <v/>
      </c>
      <c r="AC9679">
        <f>IF(AB9679&gt;AB9678,AB9679,"")</f>
        <v/>
      </c>
    </row>
    <row r="9680">
      <c r="W9680" s="7" t="n"/>
      <c r="X9680" s="7" t="n"/>
      <c r="Z9680">
        <f>Z9679+IF(W9680="",0,IF(ISNA(MATCH(W9680,W$256:W9679,0)),1,0))</f>
        <v/>
      </c>
      <c r="AA9680">
        <f>IF(Z9680&gt;Z9679,Z9680,"")</f>
        <v/>
      </c>
      <c r="AB9680">
        <f>AB9679+IF(X9680="",0,IF(ISNA(MATCH(X9680,X$256:X9679,0)),1,0))</f>
        <v/>
      </c>
      <c r="AC9680">
        <f>IF(AB9680&gt;AB9679,AB9680,"")</f>
        <v/>
      </c>
    </row>
    <row r="9681">
      <c r="W9681" s="7" t="n"/>
      <c r="X9681" s="7" t="n"/>
      <c r="Z9681">
        <f>Z9680+IF(W9681="",0,IF(ISNA(MATCH(W9681,W$256:W9680,0)),1,0))</f>
        <v/>
      </c>
      <c r="AA9681">
        <f>IF(Z9681&gt;Z9680,Z9681,"")</f>
        <v/>
      </c>
      <c r="AB9681">
        <f>AB9680+IF(X9681="",0,IF(ISNA(MATCH(X9681,X$256:X9680,0)),1,0))</f>
        <v/>
      </c>
      <c r="AC9681">
        <f>IF(AB9681&gt;AB9680,AB9681,"")</f>
        <v/>
      </c>
    </row>
    <row r="9682">
      <c r="W9682" s="7" t="n"/>
      <c r="X9682" s="7" t="n"/>
      <c r="Z9682">
        <f>Z9681+IF(W9682="",0,IF(ISNA(MATCH(W9682,W$256:W9681,0)),1,0))</f>
        <v/>
      </c>
      <c r="AA9682">
        <f>IF(Z9682&gt;Z9681,Z9682,"")</f>
        <v/>
      </c>
      <c r="AB9682">
        <f>AB9681+IF(X9682="",0,IF(ISNA(MATCH(X9682,X$256:X9681,0)),1,0))</f>
        <v/>
      </c>
      <c r="AC9682">
        <f>IF(AB9682&gt;AB9681,AB9682,"")</f>
        <v/>
      </c>
    </row>
    <row r="9683">
      <c r="W9683" s="7" t="n"/>
      <c r="X9683" s="7" t="n"/>
      <c r="Z9683">
        <f>Z9682+IF(W9683="",0,IF(ISNA(MATCH(W9683,W$256:W9682,0)),1,0))</f>
        <v/>
      </c>
      <c r="AA9683">
        <f>IF(Z9683&gt;Z9682,Z9683,"")</f>
        <v/>
      </c>
      <c r="AB9683">
        <f>AB9682+IF(X9683="",0,IF(ISNA(MATCH(X9683,X$256:X9682,0)),1,0))</f>
        <v/>
      </c>
      <c r="AC9683">
        <f>IF(AB9683&gt;AB9682,AB9683,"")</f>
        <v/>
      </c>
    </row>
    <row r="9684">
      <c r="W9684" s="7" t="n"/>
      <c r="X9684" s="7" t="n"/>
      <c r="Z9684">
        <f>Z9683+IF(W9684="",0,IF(ISNA(MATCH(W9684,W$256:W9683,0)),1,0))</f>
        <v/>
      </c>
      <c r="AA9684">
        <f>IF(Z9684&gt;Z9683,Z9684,"")</f>
        <v/>
      </c>
      <c r="AB9684">
        <f>AB9683+IF(X9684="",0,IF(ISNA(MATCH(X9684,X$256:X9683,0)),1,0))</f>
        <v/>
      </c>
      <c r="AC9684">
        <f>IF(AB9684&gt;AB9683,AB9684,"")</f>
        <v/>
      </c>
    </row>
    <row r="9685">
      <c r="W9685" s="7" t="n"/>
      <c r="X9685" s="7" t="n"/>
      <c r="Z9685">
        <f>Z9684+IF(W9685="",0,IF(ISNA(MATCH(W9685,W$256:W9684,0)),1,0))</f>
        <v/>
      </c>
      <c r="AA9685">
        <f>IF(Z9685&gt;Z9684,Z9685,"")</f>
        <v/>
      </c>
      <c r="AB9685">
        <f>AB9684+IF(X9685="",0,IF(ISNA(MATCH(X9685,X$256:X9684,0)),1,0))</f>
        <v/>
      </c>
      <c r="AC9685">
        <f>IF(AB9685&gt;AB9684,AB9685,"")</f>
        <v/>
      </c>
    </row>
    <row r="9686">
      <c r="W9686" s="7" t="n"/>
      <c r="X9686" s="7" t="n"/>
      <c r="Z9686">
        <f>Z9685+IF(W9686="",0,IF(ISNA(MATCH(W9686,W$256:W9685,0)),1,0))</f>
        <v/>
      </c>
      <c r="AA9686">
        <f>IF(Z9686&gt;Z9685,Z9686,"")</f>
        <v/>
      </c>
      <c r="AB9686">
        <f>AB9685+IF(X9686="",0,IF(ISNA(MATCH(X9686,X$256:X9685,0)),1,0))</f>
        <v/>
      </c>
      <c r="AC9686">
        <f>IF(AB9686&gt;AB9685,AB9686,"")</f>
        <v/>
      </c>
    </row>
    <row r="9687">
      <c r="W9687" s="7" t="n"/>
      <c r="X9687" s="7" t="n"/>
      <c r="Z9687">
        <f>Z9686+IF(W9687="",0,IF(ISNA(MATCH(W9687,W$256:W9686,0)),1,0))</f>
        <v/>
      </c>
      <c r="AA9687">
        <f>IF(Z9687&gt;Z9686,Z9687,"")</f>
        <v/>
      </c>
      <c r="AB9687">
        <f>AB9686+IF(X9687="",0,IF(ISNA(MATCH(X9687,X$256:X9686,0)),1,0))</f>
        <v/>
      </c>
      <c r="AC9687">
        <f>IF(AB9687&gt;AB9686,AB9687,"")</f>
        <v/>
      </c>
    </row>
    <row r="9688">
      <c r="W9688" s="7" t="n"/>
      <c r="X9688" s="7" t="n"/>
      <c r="Z9688">
        <f>Z9687+IF(W9688="",0,IF(ISNA(MATCH(W9688,W$256:W9687,0)),1,0))</f>
        <v/>
      </c>
      <c r="AA9688">
        <f>IF(Z9688&gt;Z9687,Z9688,"")</f>
        <v/>
      </c>
      <c r="AB9688">
        <f>AB9687+IF(X9688="",0,IF(ISNA(MATCH(X9688,X$256:X9687,0)),1,0))</f>
        <v/>
      </c>
      <c r="AC9688">
        <f>IF(AB9688&gt;AB9687,AB9688,"")</f>
        <v/>
      </c>
    </row>
    <row r="9689">
      <c r="W9689" s="7" t="n"/>
      <c r="X9689" s="7" t="n"/>
      <c r="Z9689">
        <f>Z9688+IF(W9689="",0,IF(ISNA(MATCH(W9689,W$256:W9688,0)),1,0))</f>
        <v/>
      </c>
      <c r="AA9689">
        <f>IF(Z9689&gt;Z9688,Z9689,"")</f>
        <v/>
      </c>
      <c r="AB9689">
        <f>AB9688+IF(X9689="",0,IF(ISNA(MATCH(X9689,X$256:X9688,0)),1,0))</f>
        <v/>
      </c>
      <c r="AC9689">
        <f>IF(AB9689&gt;AB9688,AB9689,"")</f>
        <v/>
      </c>
    </row>
    <row r="9690">
      <c r="W9690" s="7" t="n"/>
      <c r="X9690" s="7" t="n"/>
      <c r="Z9690">
        <f>Z9689+IF(W9690="",0,IF(ISNA(MATCH(W9690,W$256:W9689,0)),1,0))</f>
        <v/>
      </c>
      <c r="AA9690">
        <f>IF(Z9690&gt;Z9689,Z9690,"")</f>
        <v/>
      </c>
      <c r="AB9690">
        <f>AB9689+IF(X9690="",0,IF(ISNA(MATCH(X9690,X$256:X9689,0)),1,0))</f>
        <v/>
      </c>
      <c r="AC9690">
        <f>IF(AB9690&gt;AB9689,AB9690,"")</f>
        <v/>
      </c>
    </row>
    <row r="9691">
      <c r="W9691" s="7" t="n"/>
      <c r="X9691" s="7" t="n"/>
      <c r="Z9691">
        <f>Z9690+IF(W9691="",0,IF(ISNA(MATCH(W9691,W$256:W9690,0)),1,0))</f>
        <v/>
      </c>
      <c r="AA9691">
        <f>IF(Z9691&gt;Z9690,Z9691,"")</f>
        <v/>
      </c>
      <c r="AB9691">
        <f>AB9690+IF(X9691="",0,IF(ISNA(MATCH(X9691,X$256:X9690,0)),1,0))</f>
        <v/>
      </c>
      <c r="AC9691">
        <f>IF(AB9691&gt;AB9690,AB9691,"")</f>
        <v/>
      </c>
    </row>
    <row r="9692">
      <c r="W9692" s="7" t="n"/>
      <c r="X9692" s="7" t="n"/>
      <c r="Z9692">
        <f>Z9691+IF(W9692="",0,IF(ISNA(MATCH(W9692,W$256:W9691,0)),1,0))</f>
        <v/>
      </c>
      <c r="AA9692">
        <f>IF(Z9692&gt;Z9691,Z9692,"")</f>
        <v/>
      </c>
      <c r="AB9692">
        <f>AB9691+IF(X9692="",0,IF(ISNA(MATCH(X9692,X$256:X9691,0)),1,0))</f>
        <v/>
      </c>
      <c r="AC9692">
        <f>IF(AB9692&gt;AB9691,AB9692,"")</f>
        <v/>
      </c>
    </row>
    <row r="9693">
      <c r="W9693" s="7" t="n"/>
      <c r="X9693" s="7" t="n"/>
      <c r="Z9693">
        <f>Z9692+IF(W9693="",0,IF(ISNA(MATCH(W9693,W$256:W9692,0)),1,0))</f>
        <v/>
      </c>
      <c r="AA9693">
        <f>IF(Z9693&gt;Z9692,Z9693,"")</f>
        <v/>
      </c>
      <c r="AB9693">
        <f>AB9692+IF(X9693="",0,IF(ISNA(MATCH(X9693,X$256:X9692,0)),1,0))</f>
        <v/>
      </c>
      <c r="AC9693">
        <f>IF(AB9693&gt;AB9692,AB9693,"")</f>
        <v/>
      </c>
    </row>
    <row r="9694">
      <c r="W9694" s="7" t="n"/>
      <c r="X9694" s="7" t="n"/>
      <c r="Z9694">
        <f>Z9693+IF(W9694="",0,IF(ISNA(MATCH(W9694,W$256:W9693,0)),1,0))</f>
        <v/>
      </c>
      <c r="AA9694">
        <f>IF(Z9694&gt;Z9693,Z9694,"")</f>
        <v/>
      </c>
      <c r="AB9694">
        <f>AB9693+IF(X9694="",0,IF(ISNA(MATCH(X9694,X$256:X9693,0)),1,0))</f>
        <v/>
      </c>
      <c r="AC9694">
        <f>IF(AB9694&gt;AB9693,AB9694,"")</f>
        <v/>
      </c>
    </row>
    <row r="9695">
      <c r="W9695" s="7" t="n"/>
      <c r="X9695" s="7" t="n"/>
      <c r="Z9695">
        <f>Z9694+IF(W9695="",0,IF(ISNA(MATCH(W9695,W$256:W9694,0)),1,0))</f>
        <v/>
      </c>
      <c r="AA9695">
        <f>IF(Z9695&gt;Z9694,Z9695,"")</f>
        <v/>
      </c>
      <c r="AB9695">
        <f>AB9694+IF(X9695="",0,IF(ISNA(MATCH(X9695,X$256:X9694,0)),1,0))</f>
        <v/>
      </c>
      <c r="AC9695">
        <f>IF(AB9695&gt;AB9694,AB9695,"")</f>
        <v/>
      </c>
    </row>
    <row r="9696">
      <c r="W9696" s="7" t="n"/>
      <c r="X9696" s="7" t="n"/>
      <c r="Z9696">
        <f>Z9695+IF(W9696="",0,IF(ISNA(MATCH(W9696,W$256:W9695,0)),1,0))</f>
        <v/>
      </c>
      <c r="AA9696">
        <f>IF(Z9696&gt;Z9695,Z9696,"")</f>
        <v/>
      </c>
      <c r="AB9696">
        <f>AB9695+IF(X9696="",0,IF(ISNA(MATCH(X9696,X$256:X9695,0)),1,0))</f>
        <v/>
      </c>
      <c r="AC9696">
        <f>IF(AB9696&gt;AB9695,AB9696,"")</f>
        <v/>
      </c>
    </row>
    <row r="9697">
      <c r="W9697" s="7" t="n"/>
      <c r="X9697" s="7" t="n"/>
      <c r="Z9697">
        <f>Z9696+IF(W9697="",0,IF(ISNA(MATCH(W9697,W$256:W9696,0)),1,0))</f>
        <v/>
      </c>
      <c r="AA9697">
        <f>IF(Z9697&gt;Z9696,Z9697,"")</f>
        <v/>
      </c>
      <c r="AB9697">
        <f>AB9696+IF(X9697="",0,IF(ISNA(MATCH(X9697,X$256:X9696,0)),1,0))</f>
        <v/>
      </c>
      <c r="AC9697">
        <f>IF(AB9697&gt;AB9696,AB9697,"")</f>
        <v/>
      </c>
    </row>
    <row r="9698">
      <c r="W9698" s="7" t="n"/>
      <c r="X9698" s="7" t="n"/>
      <c r="Z9698">
        <f>Z9697+IF(W9698="",0,IF(ISNA(MATCH(W9698,W$256:W9697,0)),1,0))</f>
        <v/>
      </c>
      <c r="AA9698">
        <f>IF(Z9698&gt;Z9697,Z9698,"")</f>
        <v/>
      </c>
      <c r="AB9698">
        <f>AB9697+IF(X9698="",0,IF(ISNA(MATCH(X9698,X$256:X9697,0)),1,0))</f>
        <v/>
      </c>
      <c r="AC9698">
        <f>IF(AB9698&gt;AB9697,AB9698,"")</f>
        <v/>
      </c>
    </row>
    <row r="9699">
      <c r="W9699" s="7" t="n"/>
      <c r="X9699" s="7" t="n"/>
      <c r="Z9699">
        <f>Z9698+IF(W9699="",0,IF(ISNA(MATCH(W9699,W$256:W9698,0)),1,0))</f>
        <v/>
      </c>
      <c r="AA9699">
        <f>IF(Z9699&gt;Z9698,Z9699,"")</f>
        <v/>
      </c>
      <c r="AB9699">
        <f>AB9698+IF(X9699="",0,IF(ISNA(MATCH(X9699,X$256:X9698,0)),1,0))</f>
        <v/>
      </c>
      <c r="AC9699">
        <f>IF(AB9699&gt;AB9698,AB9699,"")</f>
        <v/>
      </c>
    </row>
    <row r="9700">
      <c r="W9700" s="7" t="n"/>
      <c r="X9700" s="7" t="n"/>
      <c r="Z9700">
        <f>Z9699+IF(W9700="",0,IF(ISNA(MATCH(W9700,W$256:W9699,0)),1,0))</f>
        <v/>
      </c>
      <c r="AA9700">
        <f>IF(Z9700&gt;Z9699,Z9700,"")</f>
        <v/>
      </c>
      <c r="AB9700">
        <f>AB9699+IF(X9700="",0,IF(ISNA(MATCH(X9700,X$256:X9699,0)),1,0))</f>
        <v/>
      </c>
      <c r="AC9700">
        <f>IF(AB9700&gt;AB9699,AB9700,"")</f>
        <v/>
      </c>
    </row>
    <row r="9701">
      <c r="W9701" s="7" t="n"/>
      <c r="X9701" s="7" t="n"/>
      <c r="Z9701">
        <f>Z9700+IF(W9701="",0,IF(ISNA(MATCH(W9701,W$256:W9700,0)),1,0))</f>
        <v/>
      </c>
      <c r="AA9701">
        <f>IF(Z9701&gt;Z9700,Z9701,"")</f>
        <v/>
      </c>
      <c r="AB9701">
        <f>AB9700+IF(X9701="",0,IF(ISNA(MATCH(X9701,X$256:X9700,0)),1,0))</f>
        <v/>
      </c>
      <c r="AC9701">
        <f>IF(AB9701&gt;AB9700,AB9701,"")</f>
        <v/>
      </c>
    </row>
    <row r="9702">
      <c r="W9702" s="7" t="n"/>
      <c r="X9702" s="7" t="n"/>
      <c r="Z9702">
        <f>Z9701+IF(W9702="",0,IF(ISNA(MATCH(W9702,W$256:W9701,0)),1,0))</f>
        <v/>
      </c>
      <c r="AA9702">
        <f>IF(Z9702&gt;Z9701,Z9702,"")</f>
        <v/>
      </c>
      <c r="AB9702">
        <f>AB9701+IF(X9702="",0,IF(ISNA(MATCH(X9702,X$256:X9701,0)),1,0))</f>
        <v/>
      </c>
      <c r="AC9702">
        <f>IF(AB9702&gt;AB9701,AB9702,"")</f>
        <v/>
      </c>
    </row>
    <row r="9703">
      <c r="W9703" s="7" t="n"/>
      <c r="X9703" s="7" t="n"/>
      <c r="Z9703">
        <f>Z9702+IF(W9703="",0,IF(ISNA(MATCH(W9703,W$256:W9702,0)),1,0))</f>
        <v/>
      </c>
      <c r="AA9703">
        <f>IF(Z9703&gt;Z9702,Z9703,"")</f>
        <v/>
      </c>
      <c r="AB9703">
        <f>AB9702+IF(X9703="",0,IF(ISNA(MATCH(X9703,X$256:X9702,0)),1,0))</f>
        <v/>
      </c>
      <c r="AC9703">
        <f>IF(AB9703&gt;AB9702,AB9703,"")</f>
        <v/>
      </c>
    </row>
    <row r="9704">
      <c r="W9704" s="7" t="n"/>
      <c r="X9704" s="7" t="n"/>
      <c r="Z9704">
        <f>Z9703+IF(W9704="",0,IF(ISNA(MATCH(W9704,W$256:W9703,0)),1,0))</f>
        <v/>
      </c>
      <c r="AA9704">
        <f>IF(Z9704&gt;Z9703,Z9704,"")</f>
        <v/>
      </c>
      <c r="AB9704">
        <f>AB9703+IF(X9704="",0,IF(ISNA(MATCH(X9704,X$256:X9703,0)),1,0))</f>
        <v/>
      </c>
      <c r="AC9704">
        <f>IF(AB9704&gt;AB9703,AB9704,"")</f>
        <v/>
      </c>
    </row>
    <row r="9705">
      <c r="W9705" s="7" t="n"/>
      <c r="X9705" s="7" t="n"/>
      <c r="Z9705">
        <f>Z9704+IF(W9705="",0,IF(ISNA(MATCH(W9705,W$256:W9704,0)),1,0))</f>
        <v/>
      </c>
      <c r="AA9705">
        <f>IF(Z9705&gt;Z9704,Z9705,"")</f>
        <v/>
      </c>
      <c r="AB9705">
        <f>AB9704+IF(X9705="",0,IF(ISNA(MATCH(X9705,X$256:X9704,0)),1,0))</f>
        <v/>
      </c>
      <c r="AC9705">
        <f>IF(AB9705&gt;AB9704,AB9705,"")</f>
        <v/>
      </c>
    </row>
    <row r="9706">
      <c r="W9706" s="7" t="n"/>
      <c r="X9706" s="7" t="n"/>
      <c r="Z9706">
        <f>Z9705+IF(W9706="",0,IF(ISNA(MATCH(W9706,W$256:W9705,0)),1,0))</f>
        <v/>
      </c>
      <c r="AA9706">
        <f>IF(Z9706&gt;Z9705,Z9706,"")</f>
        <v/>
      </c>
      <c r="AB9706">
        <f>AB9705+IF(X9706="",0,IF(ISNA(MATCH(X9706,X$256:X9705,0)),1,0))</f>
        <v/>
      </c>
      <c r="AC9706">
        <f>IF(AB9706&gt;AB9705,AB9706,"")</f>
        <v/>
      </c>
    </row>
    <row r="9707">
      <c r="W9707" s="7" t="n"/>
      <c r="X9707" s="7" t="n"/>
      <c r="Z9707">
        <f>Z9706+IF(W9707="",0,IF(ISNA(MATCH(W9707,W$256:W9706,0)),1,0))</f>
        <v/>
      </c>
      <c r="AA9707">
        <f>IF(Z9707&gt;Z9706,Z9707,"")</f>
        <v/>
      </c>
      <c r="AB9707">
        <f>AB9706+IF(X9707="",0,IF(ISNA(MATCH(X9707,X$256:X9706,0)),1,0))</f>
        <v/>
      </c>
      <c r="AC9707">
        <f>IF(AB9707&gt;AB9706,AB9707,"")</f>
        <v/>
      </c>
    </row>
    <row r="9708">
      <c r="W9708" s="7" t="n"/>
      <c r="X9708" s="7" t="n"/>
      <c r="Z9708">
        <f>Z9707+IF(W9708="",0,IF(ISNA(MATCH(W9708,W$256:W9707,0)),1,0))</f>
        <v/>
      </c>
      <c r="AA9708">
        <f>IF(Z9708&gt;Z9707,Z9708,"")</f>
        <v/>
      </c>
      <c r="AB9708">
        <f>AB9707+IF(X9708="",0,IF(ISNA(MATCH(X9708,X$256:X9707,0)),1,0))</f>
        <v/>
      </c>
      <c r="AC9708">
        <f>IF(AB9708&gt;AB9707,AB9708,"")</f>
        <v/>
      </c>
    </row>
    <row r="9709">
      <c r="W9709" s="7" t="n"/>
      <c r="X9709" s="7" t="n"/>
      <c r="Z9709">
        <f>Z9708+IF(W9709="",0,IF(ISNA(MATCH(W9709,W$256:W9708,0)),1,0))</f>
        <v/>
      </c>
      <c r="AA9709">
        <f>IF(Z9709&gt;Z9708,Z9709,"")</f>
        <v/>
      </c>
      <c r="AB9709">
        <f>AB9708+IF(X9709="",0,IF(ISNA(MATCH(X9709,X$256:X9708,0)),1,0))</f>
        <v/>
      </c>
      <c r="AC9709">
        <f>IF(AB9709&gt;AB9708,AB9709,"")</f>
        <v/>
      </c>
    </row>
    <row r="9710">
      <c r="W9710" s="7" t="n"/>
      <c r="X9710" s="7" t="n"/>
      <c r="Z9710">
        <f>Z9709+IF(W9710="",0,IF(ISNA(MATCH(W9710,W$256:W9709,0)),1,0))</f>
        <v/>
      </c>
      <c r="AA9710">
        <f>IF(Z9710&gt;Z9709,Z9710,"")</f>
        <v/>
      </c>
      <c r="AB9710">
        <f>AB9709+IF(X9710="",0,IF(ISNA(MATCH(X9710,X$256:X9709,0)),1,0))</f>
        <v/>
      </c>
      <c r="AC9710">
        <f>IF(AB9710&gt;AB9709,AB9710,"")</f>
        <v/>
      </c>
    </row>
    <row r="9711">
      <c r="W9711" s="7" t="n"/>
      <c r="X9711" s="7" t="n"/>
      <c r="Z9711">
        <f>Z9710+IF(W9711="",0,IF(ISNA(MATCH(W9711,W$256:W9710,0)),1,0))</f>
        <v/>
      </c>
      <c r="AA9711">
        <f>IF(Z9711&gt;Z9710,Z9711,"")</f>
        <v/>
      </c>
      <c r="AB9711">
        <f>AB9710+IF(X9711="",0,IF(ISNA(MATCH(X9711,X$256:X9710,0)),1,0))</f>
        <v/>
      </c>
      <c r="AC9711">
        <f>IF(AB9711&gt;AB9710,AB9711,"")</f>
        <v/>
      </c>
    </row>
    <row r="9712">
      <c r="W9712" s="7" t="n"/>
      <c r="X9712" s="7" t="n"/>
      <c r="Z9712">
        <f>Z9711+IF(W9712="",0,IF(ISNA(MATCH(W9712,W$256:W9711,0)),1,0))</f>
        <v/>
      </c>
      <c r="AA9712">
        <f>IF(Z9712&gt;Z9711,Z9712,"")</f>
        <v/>
      </c>
      <c r="AB9712">
        <f>AB9711+IF(X9712="",0,IF(ISNA(MATCH(X9712,X$256:X9711,0)),1,0))</f>
        <v/>
      </c>
      <c r="AC9712">
        <f>IF(AB9712&gt;AB9711,AB9712,"")</f>
        <v/>
      </c>
    </row>
    <row r="9713">
      <c r="W9713" s="7" t="n"/>
      <c r="X9713" s="7" t="n"/>
      <c r="Z9713">
        <f>Z9712+IF(W9713="",0,IF(ISNA(MATCH(W9713,W$256:W9712,0)),1,0))</f>
        <v/>
      </c>
      <c r="AA9713">
        <f>IF(Z9713&gt;Z9712,Z9713,"")</f>
        <v/>
      </c>
      <c r="AB9713">
        <f>AB9712+IF(X9713="",0,IF(ISNA(MATCH(X9713,X$256:X9712,0)),1,0))</f>
        <v/>
      </c>
      <c r="AC9713">
        <f>IF(AB9713&gt;AB9712,AB9713,"")</f>
        <v/>
      </c>
    </row>
    <row r="9714">
      <c r="W9714" s="7" t="n"/>
      <c r="X9714" s="7" t="n"/>
      <c r="Z9714">
        <f>Z9713+IF(W9714="",0,IF(ISNA(MATCH(W9714,W$256:W9713,0)),1,0))</f>
        <v/>
      </c>
      <c r="AA9714">
        <f>IF(Z9714&gt;Z9713,Z9714,"")</f>
        <v/>
      </c>
      <c r="AB9714">
        <f>AB9713+IF(X9714="",0,IF(ISNA(MATCH(X9714,X$256:X9713,0)),1,0))</f>
        <v/>
      </c>
      <c r="AC9714">
        <f>IF(AB9714&gt;AB9713,AB9714,"")</f>
        <v/>
      </c>
    </row>
    <row r="9715">
      <c r="W9715" s="7" t="n"/>
      <c r="X9715" s="7" t="n"/>
      <c r="Z9715">
        <f>Z9714+IF(W9715="",0,IF(ISNA(MATCH(W9715,W$256:W9714,0)),1,0))</f>
        <v/>
      </c>
      <c r="AA9715">
        <f>IF(Z9715&gt;Z9714,Z9715,"")</f>
        <v/>
      </c>
      <c r="AB9715">
        <f>AB9714+IF(X9715="",0,IF(ISNA(MATCH(X9715,X$256:X9714,0)),1,0))</f>
        <v/>
      </c>
      <c r="AC9715">
        <f>IF(AB9715&gt;AB9714,AB9715,"")</f>
        <v/>
      </c>
    </row>
    <row r="9716">
      <c r="W9716" s="7" t="n"/>
      <c r="X9716" s="7" t="n"/>
      <c r="Z9716">
        <f>Z9715+IF(W9716="",0,IF(ISNA(MATCH(W9716,W$256:W9715,0)),1,0))</f>
        <v/>
      </c>
      <c r="AA9716">
        <f>IF(Z9716&gt;Z9715,Z9716,"")</f>
        <v/>
      </c>
      <c r="AB9716">
        <f>AB9715+IF(X9716="",0,IF(ISNA(MATCH(X9716,X$256:X9715,0)),1,0))</f>
        <v/>
      </c>
      <c r="AC9716">
        <f>IF(AB9716&gt;AB9715,AB9716,"")</f>
        <v/>
      </c>
    </row>
    <row r="9717">
      <c r="W9717" s="7" t="n"/>
      <c r="X9717" s="7" t="n"/>
      <c r="Z9717">
        <f>Z9716+IF(W9717="",0,IF(ISNA(MATCH(W9717,W$256:W9716,0)),1,0))</f>
        <v/>
      </c>
      <c r="AA9717">
        <f>IF(Z9717&gt;Z9716,Z9717,"")</f>
        <v/>
      </c>
      <c r="AB9717">
        <f>AB9716+IF(X9717="",0,IF(ISNA(MATCH(X9717,X$256:X9716,0)),1,0))</f>
        <v/>
      </c>
      <c r="AC9717">
        <f>IF(AB9717&gt;AB9716,AB9717,"")</f>
        <v/>
      </c>
    </row>
    <row r="9718">
      <c r="W9718" s="7" t="n"/>
      <c r="X9718" s="7" t="n"/>
      <c r="Z9718">
        <f>Z9717+IF(W9718="",0,IF(ISNA(MATCH(W9718,W$256:W9717,0)),1,0))</f>
        <v/>
      </c>
      <c r="AA9718">
        <f>IF(Z9718&gt;Z9717,Z9718,"")</f>
        <v/>
      </c>
      <c r="AB9718">
        <f>AB9717+IF(X9718="",0,IF(ISNA(MATCH(X9718,X$256:X9717,0)),1,0))</f>
        <v/>
      </c>
      <c r="AC9718">
        <f>IF(AB9718&gt;AB9717,AB9718,"")</f>
        <v/>
      </c>
    </row>
    <row r="9719">
      <c r="W9719" s="7" t="n"/>
      <c r="X9719" s="7" t="n"/>
      <c r="Z9719">
        <f>Z9718+IF(W9719="",0,IF(ISNA(MATCH(W9719,W$256:W9718,0)),1,0))</f>
        <v/>
      </c>
      <c r="AA9719">
        <f>IF(Z9719&gt;Z9718,Z9719,"")</f>
        <v/>
      </c>
      <c r="AB9719">
        <f>AB9718+IF(X9719="",0,IF(ISNA(MATCH(X9719,X$256:X9718,0)),1,0))</f>
        <v/>
      </c>
      <c r="AC9719">
        <f>IF(AB9719&gt;AB9718,AB9719,"")</f>
        <v/>
      </c>
    </row>
    <row r="9720">
      <c r="W9720" s="7" t="n"/>
      <c r="X9720" s="7" t="n"/>
      <c r="Z9720">
        <f>Z9719+IF(W9720="",0,IF(ISNA(MATCH(W9720,W$256:W9719,0)),1,0))</f>
        <v/>
      </c>
      <c r="AA9720">
        <f>IF(Z9720&gt;Z9719,Z9720,"")</f>
        <v/>
      </c>
      <c r="AB9720">
        <f>AB9719+IF(X9720="",0,IF(ISNA(MATCH(X9720,X$256:X9719,0)),1,0))</f>
        <v/>
      </c>
      <c r="AC9720">
        <f>IF(AB9720&gt;AB9719,AB9720,"")</f>
        <v/>
      </c>
    </row>
    <row r="9721">
      <c r="W9721" s="7" t="n"/>
      <c r="X9721" s="7" t="n"/>
      <c r="Z9721">
        <f>Z9720+IF(W9721="",0,IF(ISNA(MATCH(W9721,W$256:W9720,0)),1,0))</f>
        <v/>
      </c>
      <c r="AA9721">
        <f>IF(Z9721&gt;Z9720,Z9721,"")</f>
        <v/>
      </c>
      <c r="AB9721">
        <f>AB9720+IF(X9721="",0,IF(ISNA(MATCH(X9721,X$256:X9720,0)),1,0))</f>
        <v/>
      </c>
      <c r="AC9721">
        <f>IF(AB9721&gt;AB9720,AB9721,"")</f>
        <v/>
      </c>
    </row>
    <row r="9722">
      <c r="W9722" s="7" t="n"/>
      <c r="X9722" s="7" t="n"/>
      <c r="Z9722">
        <f>Z9721+IF(W9722="",0,IF(ISNA(MATCH(W9722,W$256:W9721,0)),1,0))</f>
        <v/>
      </c>
      <c r="AA9722">
        <f>IF(Z9722&gt;Z9721,Z9722,"")</f>
        <v/>
      </c>
      <c r="AB9722">
        <f>AB9721+IF(X9722="",0,IF(ISNA(MATCH(X9722,X$256:X9721,0)),1,0))</f>
        <v/>
      </c>
      <c r="AC9722">
        <f>IF(AB9722&gt;AB9721,AB9722,"")</f>
        <v/>
      </c>
    </row>
    <row r="9723">
      <c r="W9723" s="7" t="n"/>
      <c r="X9723" s="7" t="n"/>
      <c r="Z9723">
        <f>Z9722+IF(W9723="",0,IF(ISNA(MATCH(W9723,W$256:W9722,0)),1,0))</f>
        <v/>
      </c>
      <c r="AA9723">
        <f>IF(Z9723&gt;Z9722,Z9723,"")</f>
        <v/>
      </c>
      <c r="AB9723">
        <f>AB9722+IF(X9723="",0,IF(ISNA(MATCH(X9723,X$256:X9722,0)),1,0))</f>
        <v/>
      </c>
      <c r="AC9723">
        <f>IF(AB9723&gt;AB9722,AB9723,"")</f>
        <v/>
      </c>
    </row>
    <row r="9724">
      <c r="W9724" s="7" t="n"/>
      <c r="X9724" s="7" t="n"/>
      <c r="Z9724">
        <f>Z9723+IF(W9724="",0,IF(ISNA(MATCH(W9724,W$256:W9723,0)),1,0))</f>
        <v/>
      </c>
      <c r="AA9724">
        <f>IF(Z9724&gt;Z9723,Z9724,"")</f>
        <v/>
      </c>
      <c r="AB9724">
        <f>AB9723+IF(X9724="",0,IF(ISNA(MATCH(X9724,X$256:X9723,0)),1,0))</f>
        <v/>
      </c>
      <c r="AC9724">
        <f>IF(AB9724&gt;AB9723,AB9724,"")</f>
        <v/>
      </c>
    </row>
    <row r="9725">
      <c r="W9725" s="7" t="n"/>
      <c r="X9725" s="7" t="n"/>
      <c r="Z9725">
        <f>Z9724+IF(W9725="",0,IF(ISNA(MATCH(W9725,W$256:W9724,0)),1,0))</f>
        <v/>
      </c>
      <c r="AA9725">
        <f>IF(Z9725&gt;Z9724,Z9725,"")</f>
        <v/>
      </c>
      <c r="AB9725">
        <f>AB9724+IF(X9725="",0,IF(ISNA(MATCH(X9725,X$256:X9724,0)),1,0))</f>
        <v/>
      </c>
      <c r="AC9725">
        <f>IF(AB9725&gt;AB9724,AB9725,"")</f>
        <v/>
      </c>
    </row>
    <row r="9726">
      <c r="W9726" s="7" t="n"/>
      <c r="X9726" s="7" t="n"/>
      <c r="Z9726">
        <f>Z9725+IF(W9726="",0,IF(ISNA(MATCH(W9726,W$256:W9725,0)),1,0))</f>
        <v/>
      </c>
      <c r="AA9726">
        <f>IF(Z9726&gt;Z9725,Z9726,"")</f>
        <v/>
      </c>
      <c r="AB9726">
        <f>AB9725+IF(X9726="",0,IF(ISNA(MATCH(X9726,X$256:X9725,0)),1,0))</f>
        <v/>
      </c>
      <c r="AC9726">
        <f>IF(AB9726&gt;AB9725,AB9726,"")</f>
        <v/>
      </c>
    </row>
    <row r="9727">
      <c r="W9727" s="7" t="n"/>
      <c r="X9727" s="7" t="n"/>
      <c r="Z9727">
        <f>Z9726+IF(W9727="",0,IF(ISNA(MATCH(W9727,W$256:W9726,0)),1,0))</f>
        <v/>
      </c>
      <c r="AA9727">
        <f>IF(Z9727&gt;Z9726,Z9727,"")</f>
        <v/>
      </c>
      <c r="AB9727">
        <f>AB9726+IF(X9727="",0,IF(ISNA(MATCH(X9727,X$256:X9726,0)),1,0))</f>
        <v/>
      </c>
      <c r="AC9727">
        <f>IF(AB9727&gt;AB9726,AB9727,"")</f>
        <v/>
      </c>
    </row>
    <row r="9728">
      <c r="W9728" s="7" t="n"/>
      <c r="X9728" s="7" t="n"/>
      <c r="Z9728">
        <f>Z9727+IF(W9728="",0,IF(ISNA(MATCH(W9728,W$256:W9727,0)),1,0))</f>
        <v/>
      </c>
      <c r="AA9728">
        <f>IF(Z9728&gt;Z9727,Z9728,"")</f>
        <v/>
      </c>
      <c r="AB9728">
        <f>AB9727+IF(X9728="",0,IF(ISNA(MATCH(X9728,X$256:X9727,0)),1,0))</f>
        <v/>
      </c>
      <c r="AC9728">
        <f>IF(AB9728&gt;AB9727,AB9728,"")</f>
        <v/>
      </c>
    </row>
    <row r="9729">
      <c r="W9729" s="7" t="n"/>
      <c r="X9729" s="7" t="n"/>
      <c r="Z9729">
        <f>Z9728+IF(W9729="",0,IF(ISNA(MATCH(W9729,W$256:W9728,0)),1,0))</f>
        <v/>
      </c>
      <c r="AA9729">
        <f>IF(Z9729&gt;Z9728,Z9729,"")</f>
        <v/>
      </c>
      <c r="AB9729">
        <f>AB9728+IF(X9729="",0,IF(ISNA(MATCH(X9729,X$256:X9728,0)),1,0))</f>
        <v/>
      </c>
      <c r="AC9729">
        <f>IF(AB9729&gt;AB9728,AB9729,"")</f>
        <v/>
      </c>
    </row>
    <row r="9730">
      <c r="W9730" s="7" t="n"/>
      <c r="X9730" s="7" t="n"/>
      <c r="Z9730">
        <f>Z9729+IF(W9730="",0,IF(ISNA(MATCH(W9730,W$256:W9729,0)),1,0))</f>
        <v/>
      </c>
      <c r="AA9730">
        <f>IF(Z9730&gt;Z9729,Z9730,"")</f>
        <v/>
      </c>
      <c r="AB9730">
        <f>AB9729+IF(X9730="",0,IF(ISNA(MATCH(X9730,X$256:X9729,0)),1,0))</f>
        <v/>
      </c>
      <c r="AC9730">
        <f>IF(AB9730&gt;AB9729,AB9730,"")</f>
        <v/>
      </c>
    </row>
    <row r="9731">
      <c r="W9731" s="7" t="n"/>
      <c r="X9731" s="7" t="n"/>
      <c r="Z9731">
        <f>Z9730+IF(W9731="",0,IF(ISNA(MATCH(W9731,W$256:W9730,0)),1,0))</f>
        <v/>
      </c>
      <c r="AA9731">
        <f>IF(Z9731&gt;Z9730,Z9731,"")</f>
        <v/>
      </c>
      <c r="AB9731">
        <f>AB9730+IF(X9731="",0,IF(ISNA(MATCH(X9731,X$256:X9730,0)),1,0))</f>
        <v/>
      </c>
      <c r="AC9731">
        <f>IF(AB9731&gt;AB9730,AB9731,"")</f>
        <v/>
      </c>
    </row>
    <row r="9732">
      <c r="W9732" s="7" t="n"/>
      <c r="X9732" s="7" t="n"/>
      <c r="Z9732">
        <f>Z9731+IF(W9732="",0,IF(ISNA(MATCH(W9732,W$256:W9731,0)),1,0))</f>
        <v/>
      </c>
      <c r="AA9732">
        <f>IF(Z9732&gt;Z9731,Z9732,"")</f>
        <v/>
      </c>
      <c r="AB9732">
        <f>AB9731+IF(X9732="",0,IF(ISNA(MATCH(X9732,X$256:X9731,0)),1,0))</f>
        <v/>
      </c>
      <c r="AC9732">
        <f>IF(AB9732&gt;AB9731,AB9732,"")</f>
        <v/>
      </c>
    </row>
    <row r="9733">
      <c r="W9733" s="7" t="n"/>
      <c r="X9733" s="7" t="n"/>
      <c r="Z9733">
        <f>Z9732+IF(W9733="",0,IF(ISNA(MATCH(W9733,W$256:W9732,0)),1,0))</f>
        <v/>
      </c>
      <c r="AA9733">
        <f>IF(Z9733&gt;Z9732,Z9733,"")</f>
        <v/>
      </c>
      <c r="AB9733">
        <f>AB9732+IF(X9733="",0,IF(ISNA(MATCH(X9733,X$256:X9732,0)),1,0))</f>
        <v/>
      </c>
      <c r="AC9733">
        <f>IF(AB9733&gt;AB9732,AB9733,"")</f>
        <v/>
      </c>
    </row>
    <row r="9734">
      <c r="W9734" s="7" t="n"/>
      <c r="X9734" s="7" t="n"/>
      <c r="Z9734">
        <f>Z9733+IF(W9734="",0,IF(ISNA(MATCH(W9734,W$256:W9733,0)),1,0))</f>
        <v/>
      </c>
      <c r="AA9734">
        <f>IF(Z9734&gt;Z9733,Z9734,"")</f>
        <v/>
      </c>
      <c r="AB9734">
        <f>AB9733+IF(X9734="",0,IF(ISNA(MATCH(X9734,X$256:X9733,0)),1,0))</f>
        <v/>
      </c>
      <c r="AC9734">
        <f>IF(AB9734&gt;AB9733,AB9734,"")</f>
        <v/>
      </c>
    </row>
    <row r="9735">
      <c r="W9735" s="7" t="n"/>
      <c r="X9735" s="7" t="n"/>
      <c r="Z9735">
        <f>Z9734+IF(W9735="",0,IF(ISNA(MATCH(W9735,W$256:W9734,0)),1,0))</f>
        <v/>
      </c>
      <c r="AA9735">
        <f>IF(Z9735&gt;Z9734,Z9735,"")</f>
        <v/>
      </c>
      <c r="AB9735">
        <f>AB9734+IF(X9735="",0,IF(ISNA(MATCH(X9735,X$256:X9734,0)),1,0))</f>
        <v/>
      </c>
      <c r="AC9735">
        <f>IF(AB9735&gt;AB9734,AB9735,"")</f>
        <v/>
      </c>
    </row>
    <row r="9736">
      <c r="W9736" s="7" t="n"/>
      <c r="X9736" s="7" t="n"/>
      <c r="Z9736">
        <f>Z9735+IF(W9736="",0,IF(ISNA(MATCH(W9736,W$256:W9735,0)),1,0))</f>
        <v/>
      </c>
      <c r="AA9736">
        <f>IF(Z9736&gt;Z9735,Z9736,"")</f>
        <v/>
      </c>
      <c r="AB9736">
        <f>AB9735+IF(X9736="",0,IF(ISNA(MATCH(X9736,X$256:X9735,0)),1,0))</f>
        <v/>
      </c>
      <c r="AC9736">
        <f>IF(AB9736&gt;AB9735,AB9736,"")</f>
        <v/>
      </c>
    </row>
    <row r="9737">
      <c r="W9737" s="7" t="n"/>
      <c r="X9737" s="7" t="n"/>
      <c r="Z9737">
        <f>Z9736+IF(W9737="",0,IF(ISNA(MATCH(W9737,W$256:W9736,0)),1,0))</f>
        <v/>
      </c>
      <c r="AA9737">
        <f>IF(Z9737&gt;Z9736,Z9737,"")</f>
        <v/>
      </c>
      <c r="AB9737">
        <f>AB9736+IF(X9737="",0,IF(ISNA(MATCH(X9737,X$256:X9736,0)),1,0))</f>
        <v/>
      </c>
      <c r="AC9737">
        <f>IF(AB9737&gt;AB9736,AB9737,"")</f>
        <v/>
      </c>
    </row>
    <row r="9738">
      <c r="W9738" s="7" t="n"/>
      <c r="X9738" s="7" t="n"/>
      <c r="Z9738">
        <f>Z9737+IF(W9738="",0,IF(ISNA(MATCH(W9738,W$256:W9737,0)),1,0))</f>
        <v/>
      </c>
      <c r="AA9738">
        <f>IF(Z9738&gt;Z9737,Z9738,"")</f>
        <v/>
      </c>
      <c r="AB9738">
        <f>AB9737+IF(X9738="",0,IF(ISNA(MATCH(X9738,X$256:X9737,0)),1,0))</f>
        <v/>
      </c>
      <c r="AC9738">
        <f>IF(AB9738&gt;AB9737,AB9738,"")</f>
        <v/>
      </c>
    </row>
    <row r="9739">
      <c r="W9739" s="7" t="n"/>
      <c r="X9739" s="7" t="n"/>
      <c r="Z9739">
        <f>Z9738+IF(W9739="",0,IF(ISNA(MATCH(W9739,W$256:W9738,0)),1,0))</f>
        <v/>
      </c>
      <c r="AA9739">
        <f>IF(Z9739&gt;Z9738,Z9739,"")</f>
        <v/>
      </c>
      <c r="AB9739">
        <f>AB9738+IF(X9739="",0,IF(ISNA(MATCH(X9739,X$256:X9738,0)),1,0))</f>
        <v/>
      </c>
      <c r="AC9739">
        <f>IF(AB9739&gt;AB9738,AB9739,"")</f>
        <v/>
      </c>
    </row>
    <row r="9740">
      <c r="W9740" s="7" t="n"/>
      <c r="X9740" s="7" t="n"/>
      <c r="Z9740">
        <f>Z9739+IF(W9740="",0,IF(ISNA(MATCH(W9740,W$256:W9739,0)),1,0))</f>
        <v/>
      </c>
      <c r="AA9740">
        <f>IF(Z9740&gt;Z9739,Z9740,"")</f>
        <v/>
      </c>
      <c r="AB9740">
        <f>AB9739+IF(X9740="",0,IF(ISNA(MATCH(X9740,X$256:X9739,0)),1,0))</f>
        <v/>
      </c>
      <c r="AC9740">
        <f>IF(AB9740&gt;AB9739,AB9740,"")</f>
        <v/>
      </c>
    </row>
    <row r="9741">
      <c r="W9741" s="7" t="n"/>
      <c r="X9741" s="7" t="n"/>
      <c r="Z9741">
        <f>Z9740+IF(W9741="",0,IF(ISNA(MATCH(W9741,W$256:W9740,0)),1,0))</f>
        <v/>
      </c>
      <c r="AA9741">
        <f>IF(Z9741&gt;Z9740,Z9741,"")</f>
        <v/>
      </c>
      <c r="AB9741">
        <f>AB9740+IF(X9741="",0,IF(ISNA(MATCH(X9741,X$256:X9740,0)),1,0))</f>
        <v/>
      </c>
      <c r="AC9741">
        <f>IF(AB9741&gt;AB9740,AB9741,"")</f>
        <v/>
      </c>
    </row>
    <row r="9742">
      <c r="W9742" s="7" t="n"/>
      <c r="X9742" s="7" t="n"/>
      <c r="Z9742">
        <f>Z9741+IF(W9742="",0,IF(ISNA(MATCH(W9742,W$256:W9741,0)),1,0))</f>
        <v/>
      </c>
      <c r="AA9742">
        <f>IF(Z9742&gt;Z9741,Z9742,"")</f>
        <v/>
      </c>
      <c r="AB9742">
        <f>AB9741+IF(X9742="",0,IF(ISNA(MATCH(X9742,X$256:X9741,0)),1,0))</f>
        <v/>
      </c>
      <c r="AC9742">
        <f>IF(AB9742&gt;AB9741,AB9742,"")</f>
        <v/>
      </c>
    </row>
    <row r="9743">
      <c r="W9743" s="7" t="n"/>
      <c r="X9743" s="7" t="n"/>
      <c r="Z9743">
        <f>Z9742+IF(W9743="",0,IF(ISNA(MATCH(W9743,W$256:W9742,0)),1,0))</f>
        <v/>
      </c>
      <c r="AA9743">
        <f>IF(Z9743&gt;Z9742,Z9743,"")</f>
        <v/>
      </c>
      <c r="AB9743">
        <f>AB9742+IF(X9743="",0,IF(ISNA(MATCH(X9743,X$256:X9742,0)),1,0))</f>
        <v/>
      </c>
      <c r="AC9743">
        <f>IF(AB9743&gt;AB9742,AB9743,"")</f>
        <v/>
      </c>
    </row>
    <row r="9744">
      <c r="W9744" s="7" t="n"/>
      <c r="X9744" s="7" t="n"/>
      <c r="Z9744">
        <f>Z9743+IF(W9744="",0,IF(ISNA(MATCH(W9744,W$256:W9743,0)),1,0))</f>
        <v/>
      </c>
      <c r="AA9744">
        <f>IF(Z9744&gt;Z9743,Z9744,"")</f>
        <v/>
      </c>
      <c r="AB9744">
        <f>AB9743+IF(X9744="",0,IF(ISNA(MATCH(X9744,X$256:X9743,0)),1,0))</f>
        <v/>
      </c>
      <c r="AC9744">
        <f>IF(AB9744&gt;AB9743,AB9744,"")</f>
        <v/>
      </c>
    </row>
    <row r="9745">
      <c r="W9745" s="7" t="n"/>
      <c r="X9745" s="7" t="n"/>
      <c r="Z9745">
        <f>Z9744+IF(W9745="",0,IF(ISNA(MATCH(W9745,W$256:W9744,0)),1,0))</f>
        <v/>
      </c>
      <c r="AA9745">
        <f>IF(Z9745&gt;Z9744,Z9745,"")</f>
        <v/>
      </c>
      <c r="AB9745">
        <f>AB9744+IF(X9745="",0,IF(ISNA(MATCH(X9745,X$256:X9744,0)),1,0))</f>
        <v/>
      </c>
      <c r="AC9745">
        <f>IF(AB9745&gt;AB9744,AB9745,"")</f>
        <v/>
      </c>
    </row>
    <row r="9746">
      <c r="W9746" s="7" t="n"/>
      <c r="X9746" s="7" t="n"/>
      <c r="Z9746">
        <f>Z9745+IF(W9746="",0,IF(ISNA(MATCH(W9746,W$256:W9745,0)),1,0))</f>
        <v/>
      </c>
      <c r="AA9746">
        <f>IF(Z9746&gt;Z9745,Z9746,"")</f>
        <v/>
      </c>
      <c r="AB9746">
        <f>AB9745+IF(X9746="",0,IF(ISNA(MATCH(X9746,X$256:X9745,0)),1,0))</f>
        <v/>
      </c>
      <c r="AC9746">
        <f>IF(AB9746&gt;AB9745,AB9746,"")</f>
        <v/>
      </c>
    </row>
    <row r="9747">
      <c r="W9747" s="7" t="n"/>
      <c r="X9747" s="7" t="n"/>
      <c r="Z9747">
        <f>Z9746+IF(W9747="",0,IF(ISNA(MATCH(W9747,W$256:W9746,0)),1,0))</f>
        <v/>
      </c>
      <c r="AA9747">
        <f>IF(Z9747&gt;Z9746,Z9747,"")</f>
        <v/>
      </c>
      <c r="AB9747">
        <f>AB9746+IF(X9747="",0,IF(ISNA(MATCH(X9747,X$256:X9746,0)),1,0))</f>
        <v/>
      </c>
      <c r="AC9747">
        <f>IF(AB9747&gt;AB9746,AB9747,"")</f>
        <v/>
      </c>
    </row>
    <row r="9748">
      <c r="W9748" s="7" t="n"/>
      <c r="X9748" s="7" t="n"/>
      <c r="Z9748">
        <f>Z9747+IF(W9748="",0,IF(ISNA(MATCH(W9748,W$256:W9747,0)),1,0))</f>
        <v/>
      </c>
      <c r="AA9748">
        <f>IF(Z9748&gt;Z9747,Z9748,"")</f>
        <v/>
      </c>
      <c r="AB9748">
        <f>AB9747+IF(X9748="",0,IF(ISNA(MATCH(X9748,X$256:X9747,0)),1,0))</f>
        <v/>
      </c>
      <c r="AC9748">
        <f>IF(AB9748&gt;AB9747,AB9748,"")</f>
        <v/>
      </c>
    </row>
    <row r="9749">
      <c r="W9749" s="7" t="n"/>
      <c r="X9749" s="7" t="n"/>
      <c r="Z9749">
        <f>Z9748+IF(W9749="",0,IF(ISNA(MATCH(W9749,W$256:W9748,0)),1,0))</f>
        <v/>
      </c>
      <c r="AA9749">
        <f>IF(Z9749&gt;Z9748,Z9749,"")</f>
        <v/>
      </c>
      <c r="AB9749">
        <f>AB9748+IF(X9749="",0,IF(ISNA(MATCH(X9749,X$256:X9748,0)),1,0))</f>
        <v/>
      </c>
      <c r="AC9749">
        <f>IF(AB9749&gt;AB9748,AB9749,"")</f>
        <v/>
      </c>
    </row>
    <row r="9750">
      <c r="W9750" s="7" t="n"/>
      <c r="X9750" s="7" t="n"/>
      <c r="Z9750">
        <f>Z9749+IF(W9750="",0,IF(ISNA(MATCH(W9750,W$256:W9749,0)),1,0))</f>
        <v/>
      </c>
      <c r="AA9750">
        <f>IF(Z9750&gt;Z9749,Z9750,"")</f>
        <v/>
      </c>
      <c r="AB9750">
        <f>AB9749+IF(X9750="",0,IF(ISNA(MATCH(X9750,X$256:X9749,0)),1,0))</f>
        <v/>
      </c>
      <c r="AC9750">
        <f>IF(AB9750&gt;AB9749,AB9750,"")</f>
        <v/>
      </c>
    </row>
    <row r="9751">
      <c r="W9751" s="7" t="n"/>
      <c r="X9751" s="7" t="n"/>
      <c r="Z9751">
        <f>Z9750+IF(W9751="",0,IF(ISNA(MATCH(W9751,W$256:W9750,0)),1,0))</f>
        <v/>
      </c>
      <c r="AA9751">
        <f>IF(Z9751&gt;Z9750,Z9751,"")</f>
        <v/>
      </c>
      <c r="AB9751">
        <f>AB9750+IF(X9751="",0,IF(ISNA(MATCH(X9751,X$256:X9750,0)),1,0))</f>
        <v/>
      </c>
      <c r="AC9751">
        <f>IF(AB9751&gt;AB9750,AB9751,"")</f>
        <v/>
      </c>
    </row>
    <row r="9752">
      <c r="W9752" s="7" t="n"/>
      <c r="X9752" s="7" t="n"/>
      <c r="Z9752">
        <f>Z9751+IF(W9752="",0,IF(ISNA(MATCH(W9752,W$256:W9751,0)),1,0))</f>
        <v/>
      </c>
      <c r="AA9752">
        <f>IF(Z9752&gt;Z9751,Z9752,"")</f>
        <v/>
      </c>
      <c r="AB9752">
        <f>AB9751+IF(X9752="",0,IF(ISNA(MATCH(X9752,X$256:X9751,0)),1,0))</f>
        <v/>
      </c>
      <c r="AC9752">
        <f>IF(AB9752&gt;AB9751,AB9752,"")</f>
        <v/>
      </c>
    </row>
    <row r="9753">
      <c r="W9753" s="7" t="n"/>
      <c r="X9753" s="7" t="n"/>
      <c r="Z9753">
        <f>Z9752+IF(W9753="",0,IF(ISNA(MATCH(W9753,W$256:W9752,0)),1,0))</f>
        <v/>
      </c>
      <c r="AA9753">
        <f>IF(Z9753&gt;Z9752,Z9753,"")</f>
        <v/>
      </c>
      <c r="AB9753">
        <f>AB9752+IF(X9753="",0,IF(ISNA(MATCH(X9753,X$256:X9752,0)),1,0))</f>
        <v/>
      </c>
      <c r="AC9753">
        <f>IF(AB9753&gt;AB9752,AB9753,"")</f>
        <v/>
      </c>
    </row>
    <row r="9754">
      <c r="W9754" s="7" t="n"/>
      <c r="X9754" s="7" t="n"/>
      <c r="Z9754">
        <f>Z9753+IF(W9754="",0,IF(ISNA(MATCH(W9754,W$256:W9753,0)),1,0))</f>
        <v/>
      </c>
      <c r="AA9754">
        <f>IF(Z9754&gt;Z9753,Z9754,"")</f>
        <v/>
      </c>
      <c r="AB9754">
        <f>AB9753+IF(X9754="",0,IF(ISNA(MATCH(X9754,X$256:X9753,0)),1,0))</f>
        <v/>
      </c>
      <c r="AC9754">
        <f>IF(AB9754&gt;AB9753,AB9754,"")</f>
        <v/>
      </c>
    </row>
    <row r="9755">
      <c r="W9755" s="7" t="n"/>
      <c r="X9755" s="7" t="n"/>
      <c r="Z9755">
        <f>Z9754+IF(W9755="",0,IF(ISNA(MATCH(W9755,W$256:W9754,0)),1,0))</f>
        <v/>
      </c>
      <c r="AA9755">
        <f>IF(Z9755&gt;Z9754,Z9755,"")</f>
        <v/>
      </c>
      <c r="AB9755">
        <f>AB9754+IF(X9755="",0,IF(ISNA(MATCH(X9755,X$256:X9754,0)),1,0))</f>
        <v/>
      </c>
      <c r="AC9755">
        <f>IF(AB9755&gt;AB9754,AB9755,"")</f>
        <v/>
      </c>
    </row>
    <row r="9756">
      <c r="W9756" s="7" t="n"/>
      <c r="X9756" s="7" t="n"/>
      <c r="Z9756">
        <f>Z9755+IF(W9756="",0,IF(ISNA(MATCH(W9756,W$256:W9755,0)),1,0))</f>
        <v/>
      </c>
      <c r="AA9756">
        <f>IF(Z9756&gt;Z9755,Z9756,"")</f>
        <v/>
      </c>
      <c r="AB9756">
        <f>AB9755+IF(X9756="",0,IF(ISNA(MATCH(X9756,X$256:X9755,0)),1,0))</f>
        <v/>
      </c>
      <c r="AC9756">
        <f>IF(AB9756&gt;AB9755,AB9756,"")</f>
        <v/>
      </c>
    </row>
    <row r="9757">
      <c r="W9757" s="7" t="n"/>
      <c r="X9757" s="7" t="n"/>
      <c r="Z9757">
        <f>Z9756+IF(W9757="",0,IF(ISNA(MATCH(W9757,W$256:W9756,0)),1,0))</f>
        <v/>
      </c>
      <c r="AA9757">
        <f>IF(Z9757&gt;Z9756,Z9757,"")</f>
        <v/>
      </c>
      <c r="AB9757">
        <f>AB9756+IF(X9757="",0,IF(ISNA(MATCH(X9757,X$256:X9756,0)),1,0))</f>
        <v/>
      </c>
      <c r="AC9757">
        <f>IF(AB9757&gt;AB9756,AB9757,"")</f>
        <v/>
      </c>
    </row>
    <row r="9758">
      <c r="W9758" s="7" t="n"/>
      <c r="X9758" s="7" t="n"/>
      <c r="Z9758">
        <f>Z9757+IF(W9758="",0,IF(ISNA(MATCH(W9758,W$256:W9757,0)),1,0))</f>
        <v/>
      </c>
      <c r="AA9758">
        <f>IF(Z9758&gt;Z9757,Z9758,"")</f>
        <v/>
      </c>
      <c r="AB9758">
        <f>AB9757+IF(X9758="",0,IF(ISNA(MATCH(X9758,X$256:X9757,0)),1,0))</f>
        <v/>
      </c>
      <c r="AC9758">
        <f>IF(AB9758&gt;AB9757,AB9758,"")</f>
        <v/>
      </c>
    </row>
    <row r="9759">
      <c r="W9759" s="7" t="n"/>
      <c r="X9759" s="7" t="n"/>
      <c r="Z9759">
        <f>Z9758+IF(W9759="",0,IF(ISNA(MATCH(W9759,W$256:W9758,0)),1,0))</f>
        <v/>
      </c>
      <c r="AA9759">
        <f>IF(Z9759&gt;Z9758,Z9759,"")</f>
        <v/>
      </c>
      <c r="AB9759">
        <f>AB9758+IF(X9759="",0,IF(ISNA(MATCH(X9759,X$256:X9758,0)),1,0))</f>
        <v/>
      </c>
      <c r="AC9759">
        <f>IF(AB9759&gt;AB9758,AB9759,"")</f>
        <v/>
      </c>
    </row>
    <row r="9760">
      <c r="W9760" s="7" t="n"/>
      <c r="X9760" s="7" t="n"/>
      <c r="Z9760">
        <f>Z9759+IF(W9760="",0,IF(ISNA(MATCH(W9760,W$256:W9759,0)),1,0))</f>
        <v/>
      </c>
      <c r="AA9760">
        <f>IF(Z9760&gt;Z9759,Z9760,"")</f>
        <v/>
      </c>
      <c r="AB9760">
        <f>AB9759+IF(X9760="",0,IF(ISNA(MATCH(X9760,X$256:X9759,0)),1,0))</f>
        <v/>
      </c>
      <c r="AC9760">
        <f>IF(AB9760&gt;AB9759,AB9760,"")</f>
        <v/>
      </c>
    </row>
    <row r="9761">
      <c r="W9761" s="7" t="n"/>
      <c r="X9761" s="7" t="n"/>
      <c r="Z9761">
        <f>Z9760+IF(W9761="",0,IF(ISNA(MATCH(W9761,W$256:W9760,0)),1,0))</f>
        <v/>
      </c>
      <c r="AA9761">
        <f>IF(Z9761&gt;Z9760,Z9761,"")</f>
        <v/>
      </c>
      <c r="AB9761">
        <f>AB9760+IF(X9761="",0,IF(ISNA(MATCH(X9761,X$256:X9760,0)),1,0))</f>
        <v/>
      </c>
      <c r="AC9761">
        <f>IF(AB9761&gt;AB9760,AB9761,"")</f>
        <v/>
      </c>
    </row>
    <row r="9762">
      <c r="W9762" s="7" t="n"/>
      <c r="X9762" s="7" t="n"/>
      <c r="Z9762">
        <f>Z9761+IF(W9762="",0,IF(ISNA(MATCH(W9762,W$256:W9761,0)),1,0))</f>
        <v/>
      </c>
      <c r="AA9762">
        <f>IF(Z9762&gt;Z9761,Z9762,"")</f>
        <v/>
      </c>
      <c r="AB9762">
        <f>AB9761+IF(X9762="",0,IF(ISNA(MATCH(X9762,X$256:X9761,0)),1,0))</f>
        <v/>
      </c>
      <c r="AC9762">
        <f>IF(AB9762&gt;AB9761,AB9762,"")</f>
        <v/>
      </c>
    </row>
    <row r="9763">
      <c r="W9763" s="7" t="n"/>
      <c r="X9763" s="7" t="n"/>
      <c r="Z9763">
        <f>Z9762+IF(W9763="",0,IF(ISNA(MATCH(W9763,W$256:W9762,0)),1,0))</f>
        <v/>
      </c>
      <c r="AA9763">
        <f>IF(Z9763&gt;Z9762,Z9763,"")</f>
        <v/>
      </c>
      <c r="AB9763">
        <f>AB9762+IF(X9763="",0,IF(ISNA(MATCH(X9763,X$256:X9762,0)),1,0))</f>
        <v/>
      </c>
      <c r="AC9763">
        <f>IF(AB9763&gt;AB9762,AB9763,"")</f>
        <v/>
      </c>
    </row>
    <row r="9764">
      <c r="W9764" s="7" t="n"/>
      <c r="X9764" s="7" t="n"/>
      <c r="Z9764">
        <f>Z9763+IF(W9764="",0,IF(ISNA(MATCH(W9764,W$256:W9763,0)),1,0))</f>
        <v/>
      </c>
      <c r="AA9764">
        <f>IF(Z9764&gt;Z9763,Z9764,"")</f>
        <v/>
      </c>
      <c r="AB9764">
        <f>AB9763+IF(X9764="",0,IF(ISNA(MATCH(X9764,X$256:X9763,0)),1,0))</f>
        <v/>
      </c>
      <c r="AC9764">
        <f>IF(AB9764&gt;AB9763,AB9764,"")</f>
        <v/>
      </c>
    </row>
    <row r="9765">
      <c r="W9765" s="7" t="n"/>
      <c r="X9765" s="7" t="n"/>
      <c r="Z9765">
        <f>Z9764+IF(W9765="",0,IF(ISNA(MATCH(W9765,W$256:W9764,0)),1,0))</f>
        <v/>
      </c>
      <c r="AA9765">
        <f>IF(Z9765&gt;Z9764,Z9765,"")</f>
        <v/>
      </c>
      <c r="AB9765">
        <f>AB9764+IF(X9765="",0,IF(ISNA(MATCH(X9765,X$256:X9764,0)),1,0))</f>
        <v/>
      </c>
      <c r="AC9765">
        <f>IF(AB9765&gt;AB9764,AB9765,"")</f>
        <v/>
      </c>
    </row>
    <row r="9766">
      <c r="W9766" s="7" t="n"/>
      <c r="X9766" s="7" t="n"/>
      <c r="Z9766">
        <f>Z9765+IF(W9766="",0,IF(ISNA(MATCH(W9766,W$256:W9765,0)),1,0))</f>
        <v/>
      </c>
      <c r="AA9766">
        <f>IF(Z9766&gt;Z9765,Z9766,"")</f>
        <v/>
      </c>
      <c r="AB9766">
        <f>AB9765+IF(X9766="",0,IF(ISNA(MATCH(X9766,X$256:X9765,0)),1,0))</f>
        <v/>
      </c>
      <c r="AC9766">
        <f>IF(AB9766&gt;AB9765,AB9766,"")</f>
        <v/>
      </c>
    </row>
    <row r="9767">
      <c r="W9767" s="7" t="n"/>
      <c r="X9767" s="7" t="n"/>
      <c r="Z9767">
        <f>Z9766+IF(W9767="",0,IF(ISNA(MATCH(W9767,W$256:W9766,0)),1,0))</f>
        <v/>
      </c>
      <c r="AA9767">
        <f>IF(Z9767&gt;Z9766,Z9767,"")</f>
        <v/>
      </c>
      <c r="AB9767">
        <f>AB9766+IF(X9767="",0,IF(ISNA(MATCH(X9767,X$256:X9766,0)),1,0))</f>
        <v/>
      </c>
      <c r="AC9767">
        <f>IF(AB9767&gt;AB9766,AB9767,"")</f>
        <v/>
      </c>
    </row>
    <row r="9768">
      <c r="W9768" s="7" t="n"/>
      <c r="X9768" s="7" t="n"/>
      <c r="Z9768">
        <f>Z9767+IF(W9768="",0,IF(ISNA(MATCH(W9768,W$256:W9767,0)),1,0))</f>
        <v/>
      </c>
      <c r="AA9768">
        <f>IF(Z9768&gt;Z9767,Z9768,"")</f>
        <v/>
      </c>
      <c r="AB9768">
        <f>AB9767+IF(X9768="",0,IF(ISNA(MATCH(X9768,X$256:X9767,0)),1,0))</f>
        <v/>
      </c>
      <c r="AC9768">
        <f>IF(AB9768&gt;AB9767,AB9768,"")</f>
        <v/>
      </c>
    </row>
    <row r="9769">
      <c r="W9769" s="7" t="n"/>
      <c r="X9769" s="7" t="n"/>
      <c r="Z9769">
        <f>Z9768+IF(W9769="",0,IF(ISNA(MATCH(W9769,W$256:W9768,0)),1,0))</f>
        <v/>
      </c>
      <c r="AA9769">
        <f>IF(Z9769&gt;Z9768,Z9769,"")</f>
        <v/>
      </c>
      <c r="AB9769">
        <f>AB9768+IF(X9769="",0,IF(ISNA(MATCH(X9769,X$256:X9768,0)),1,0))</f>
        <v/>
      </c>
      <c r="AC9769">
        <f>IF(AB9769&gt;AB9768,AB9769,"")</f>
        <v/>
      </c>
    </row>
    <row r="9770">
      <c r="W9770" s="7" t="n"/>
      <c r="X9770" s="7" t="n"/>
      <c r="Z9770">
        <f>Z9769+IF(W9770="",0,IF(ISNA(MATCH(W9770,W$256:W9769,0)),1,0))</f>
        <v/>
      </c>
      <c r="AA9770">
        <f>IF(Z9770&gt;Z9769,Z9770,"")</f>
        <v/>
      </c>
      <c r="AB9770">
        <f>AB9769+IF(X9770="",0,IF(ISNA(MATCH(X9770,X$256:X9769,0)),1,0))</f>
        <v/>
      </c>
      <c r="AC9770">
        <f>IF(AB9770&gt;AB9769,AB9770,"")</f>
        <v/>
      </c>
    </row>
    <row r="9771">
      <c r="W9771" s="7" t="n"/>
      <c r="X9771" s="7" t="n"/>
      <c r="Z9771">
        <f>Z9770+IF(W9771="",0,IF(ISNA(MATCH(W9771,W$256:W9770,0)),1,0))</f>
        <v/>
      </c>
      <c r="AA9771">
        <f>IF(Z9771&gt;Z9770,Z9771,"")</f>
        <v/>
      </c>
      <c r="AB9771">
        <f>AB9770+IF(X9771="",0,IF(ISNA(MATCH(X9771,X$256:X9770,0)),1,0))</f>
        <v/>
      </c>
      <c r="AC9771">
        <f>IF(AB9771&gt;AB9770,AB9771,"")</f>
        <v/>
      </c>
    </row>
    <row r="9772">
      <c r="W9772" s="7" t="n"/>
      <c r="X9772" s="7" t="n"/>
      <c r="Z9772">
        <f>Z9771+IF(W9772="",0,IF(ISNA(MATCH(W9772,W$256:W9771,0)),1,0))</f>
        <v/>
      </c>
      <c r="AA9772">
        <f>IF(Z9772&gt;Z9771,Z9772,"")</f>
        <v/>
      </c>
      <c r="AB9772">
        <f>AB9771+IF(X9772="",0,IF(ISNA(MATCH(X9772,X$256:X9771,0)),1,0))</f>
        <v/>
      </c>
      <c r="AC9772">
        <f>IF(AB9772&gt;AB9771,AB9772,"")</f>
        <v/>
      </c>
    </row>
    <row r="9773">
      <c r="W9773" s="7" t="n"/>
      <c r="X9773" s="7" t="n"/>
      <c r="Z9773">
        <f>Z9772+IF(W9773="",0,IF(ISNA(MATCH(W9773,W$256:W9772,0)),1,0))</f>
        <v/>
      </c>
      <c r="AA9773">
        <f>IF(Z9773&gt;Z9772,Z9773,"")</f>
        <v/>
      </c>
      <c r="AB9773">
        <f>AB9772+IF(X9773="",0,IF(ISNA(MATCH(X9773,X$256:X9772,0)),1,0))</f>
        <v/>
      </c>
      <c r="AC9773">
        <f>IF(AB9773&gt;AB9772,AB9773,"")</f>
        <v/>
      </c>
    </row>
    <row r="9774">
      <c r="W9774" s="7" t="n"/>
      <c r="X9774" s="7" t="n"/>
      <c r="Z9774">
        <f>Z9773+IF(W9774="",0,IF(ISNA(MATCH(W9774,W$256:W9773,0)),1,0))</f>
        <v/>
      </c>
      <c r="AA9774">
        <f>IF(Z9774&gt;Z9773,Z9774,"")</f>
        <v/>
      </c>
      <c r="AB9774">
        <f>AB9773+IF(X9774="",0,IF(ISNA(MATCH(X9774,X$256:X9773,0)),1,0))</f>
        <v/>
      </c>
      <c r="AC9774">
        <f>IF(AB9774&gt;AB9773,AB9774,"")</f>
        <v/>
      </c>
    </row>
    <row r="9775">
      <c r="W9775" s="7" t="n"/>
      <c r="X9775" s="7" t="n"/>
      <c r="Z9775">
        <f>Z9774+IF(W9775="",0,IF(ISNA(MATCH(W9775,W$256:W9774,0)),1,0))</f>
        <v/>
      </c>
      <c r="AA9775">
        <f>IF(Z9775&gt;Z9774,Z9775,"")</f>
        <v/>
      </c>
      <c r="AB9775">
        <f>AB9774+IF(X9775="",0,IF(ISNA(MATCH(X9775,X$256:X9774,0)),1,0))</f>
        <v/>
      </c>
      <c r="AC9775">
        <f>IF(AB9775&gt;AB9774,AB9775,"")</f>
        <v/>
      </c>
    </row>
    <row r="9776">
      <c r="W9776" s="7" t="n"/>
      <c r="X9776" s="7" t="n"/>
      <c r="Z9776">
        <f>Z9775+IF(W9776="",0,IF(ISNA(MATCH(W9776,W$256:W9775,0)),1,0))</f>
        <v/>
      </c>
      <c r="AA9776">
        <f>IF(Z9776&gt;Z9775,Z9776,"")</f>
        <v/>
      </c>
      <c r="AB9776">
        <f>AB9775+IF(X9776="",0,IF(ISNA(MATCH(X9776,X$256:X9775,0)),1,0))</f>
        <v/>
      </c>
      <c r="AC9776">
        <f>IF(AB9776&gt;AB9775,AB9776,"")</f>
        <v/>
      </c>
    </row>
    <row r="9777">
      <c r="W9777" s="7" t="n"/>
      <c r="X9777" s="7" t="n"/>
      <c r="Z9777">
        <f>Z9776+IF(W9777="",0,IF(ISNA(MATCH(W9777,W$256:W9776,0)),1,0))</f>
        <v/>
      </c>
      <c r="AA9777">
        <f>IF(Z9777&gt;Z9776,Z9777,"")</f>
        <v/>
      </c>
      <c r="AB9777">
        <f>AB9776+IF(X9777="",0,IF(ISNA(MATCH(X9777,X$256:X9776,0)),1,0))</f>
        <v/>
      </c>
      <c r="AC9777">
        <f>IF(AB9777&gt;AB9776,AB9777,"")</f>
        <v/>
      </c>
    </row>
    <row r="9778">
      <c r="W9778" s="7" t="n"/>
      <c r="X9778" s="7" t="n"/>
      <c r="Z9778">
        <f>Z9777+IF(W9778="",0,IF(ISNA(MATCH(W9778,W$256:W9777,0)),1,0))</f>
        <v/>
      </c>
      <c r="AA9778">
        <f>IF(Z9778&gt;Z9777,Z9778,"")</f>
        <v/>
      </c>
      <c r="AB9778">
        <f>AB9777+IF(X9778="",0,IF(ISNA(MATCH(X9778,X$256:X9777,0)),1,0))</f>
        <v/>
      </c>
      <c r="AC9778">
        <f>IF(AB9778&gt;AB9777,AB9778,"")</f>
        <v/>
      </c>
    </row>
    <row r="9779">
      <c r="W9779" s="7" t="n"/>
      <c r="X9779" s="7" t="n"/>
      <c r="Z9779">
        <f>Z9778+IF(W9779="",0,IF(ISNA(MATCH(W9779,W$256:W9778,0)),1,0))</f>
        <v/>
      </c>
      <c r="AA9779">
        <f>IF(Z9779&gt;Z9778,Z9779,"")</f>
        <v/>
      </c>
      <c r="AB9779">
        <f>AB9778+IF(X9779="",0,IF(ISNA(MATCH(X9779,X$256:X9778,0)),1,0))</f>
        <v/>
      </c>
      <c r="AC9779">
        <f>IF(AB9779&gt;AB9778,AB9779,"")</f>
        <v/>
      </c>
    </row>
    <row r="9780">
      <c r="W9780" s="7" t="n"/>
      <c r="X9780" s="7" t="n"/>
      <c r="Z9780">
        <f>Z9779+IF(W9780="",0,IF(ISNA(MATCH(W9780,W$256:W9779,0)),1,0))</f>
        <v/>
      </c>
      <c r="AA9780">
        <f>IF(Z9780&gt;Z9779,Z9780,"")</f>
        <v/>
      </c>
      <c r="AB9780">
        <f>AB9779+IF(X9780="",0,IF(ISNA(MATCH(X9780,X$256:X9779,0)),1,0))</f>
        <v/>
      </c>
      <c r="AC9780">
        <f>IF(AB9780&gt;AB9779,AB9780,"")</f>
        <v/>
      </c>
    </row>
    <row r="9781">
      <c r="W9781" s="7" t="n"/>
      <c r="X9781" s="7" t="n"/>
      <c r="Z9781">
        <f>Z9780+IF(W9781="",0,IF(ISNA(MATCH(W9781,W$256:W9780,0)),1,0))</f>
        <v/>
      </c>
      <c r="AA9781">
        <f>IF(Z9781&gt;Z9780,Z9781,"")</f>
        <v/>
      </c>
      <c r="AB9781">
        <f>AB9780+IF(X9781="",0,IF(ISNA(MATCH(X9781,X$256:X9780,0)),1,0))</f>
        <v/>
      </c>
      <c r="AC9781">
        <f>IF(AB9781&gt;AB9780,AB9781,"")</f>
        <v/>
      </c>
    </row>
    <row r="9782">
      <c r="W9782" s="7" t="n"/>
      <c r="X9782" s="7" t="n"/>
      <c r="Z9782">
        <f>Z9781+IF(W9782="",0,IF(ISNA(MATCH(W9782,W$256:W9781,0)),1,0))</f>
        <v/>
      </c>
      <c r="AA9782">
        <f>IF(Z9782&gt;Z9781,Z9782,"")</f>
        <v/>
      </c>
      <c r="AB9782">
        <f>AB9781+IF(X9782="",0,IF(ISNA(MATCH(X9782,X$256:X9781,0)),1,0))</f>
        <v/>
      </c>
      <c r="AC9782">
        <f>IF(AB9782&gt;AB9781,AB9782,"")</f>
        <v/>
      </c>
    </row>
    <row r="9783">
      <c r="W9783" s="7" t="n"/>
      <c r="X9783" s="7" t="n"/>
      <c r="Z9783">
        <f>Z9782+IF(W9783="",0,IF(ISNA(MATCH(W9783,W$256:W9782,0)),1,0))</f>
        <v/>
      </c>
      <c r="AA9783">
        <f>IF(Z9783&gt;Z9782,Z9783,"")</f>
        <v/>
      </c>
      <c r="AB9783">
        <f>AB9782+IF(X9783="",0,IF(ISNA(MATCH(X9783,X$256:X9782,0)),1,0))</f>
        <v/>
      </c>
      <c r="AC9783">
        <f>IF(AB9783&gt;AB9782,AB9783,"")</f>
        <v/>
      </c>
    </row>
    <row r="9784">
      <c r="W9784" s="7" t="n"/>
      <c r="X9784" s="7" t="n"/>
      <c r="Z9784">
        <f>Z9783+IF(W9784="",0,IF(ISNA(MATCH(W9784,W$256:W9783,0)),1,0))</f>
        <v/>
      </c>
      <c r="AA9784">
        <f>IF(Z9784&gt;Z9783,Z9784,"")</f>
        <v/>
      </c>
      <c r="AB9784">
        <f>AB9783+IF(X9784="",0,IF(ISNA(MATCH(X9784,X$256:X9783,0)),1,0))</f>
        <v/>
      </c>
      <c r="AC9784">
        <f>IF(AB9784&gt;AB9783,AB9784,"")</f>
        <v/>
      </c>
    </row>
    <row r="9785">
      <c r="W9785" s="7" t="n"/>
      <c r="X9785" s="7" t="n"/>
      <c r="Z9785">
        <f>Z9784+IF(W9785="",0,IF(ISNA(MATCH(W9785,W$256:W9784,0)),1,0))</f>
        <v/>
      </c>
      <c r="AA9785">
        <f>IF(Z9785&gt;Z9784,Z9785,"")</f>
        <v/>
      </c>
      <c r="AB9785">
        <f>AB9784+IF(X9785="",0,IF(ISNA(MATCH(X9785,X$256:X9784,0)),1,0))</f>
        <v/>
      </c>
      <c r="AC9785">
        <f>IF(AB9785&gt;AB9784,AB9785,"")</f>
        <v/>
      </c>
    </row>
    <row r="9786">
      <c r="W9786" s="7" t="n"/>
      <c r="X9786" s="7" t="n"/>
      <c r="Z9786">
        <f>Z9785+IF(W9786="",0,IF(ISNA(MATCH(W9786,W$256:W9785,0)),1,0))</f>
        <v/>
      </c>
      <c r="AA9786">
        <f>IF(Z9786&gt;Z9785,Z9786,"")</f>
        <v/>
      </c>
      <c r="AB9786">
        <f>AB9785+IF(X9786="",0,IF(ISNA(MATCH(X9786,X$256:X9785,0)),1,0))</f>
        <v/>
      </c>
      <c r="AC9786">
        <f>IF(AB9786&gt;AB9785,AB9786,"")</f>
        <v/>
      </c>
    </row>
    <row r="9787">
      <c r="W9787" s="7" t="n"/>
      <c r="X9787" s="7" t="n"/>
      <c r="Z9787">
        <f>Z9786+IF(W9787="",0,IF(ISNA(MATCH(W9787,W$256:W9786,0)),1,0))</f>
        <v/>
      </c>
      <c r="AA9787">
        <f>IF(Z9787&gt;Z9786,Z9787,"")</f>
        <v/>
      </c>
      <c r="AB9787">
        <f>AB9786+IF(X9787="",0,IF(ISNA(MATCH(X9787,X$256:X9786,0)),1,0))</f>
        <v/>
      </c>
      <c r="AC9787">
        <f>IF(AB9787&gt;AB9786,AB9787,"")</f>
        <v/>
      </c>
    </row>
    <row r="9788">
      <c r="W9788" s="7" t="n"/>
      <c r="X9788" s="7" t="n"/>
      <c r="Z9788">
        <f>Z9787+IF(W9788="",0,IF(ISNA(MATCH(W9788,W$256:W9787,0)),1,0))</f>
        <v/>
      </c>
      <c r="AA9788">
        <f>IF(Z9788&gt;Z9787,Z9788,"")</f>
        <v/>
      </c>
      <c r="AB9788">
        <f>AB9787+IF(X9788="",0,IF(ISNA(MATCH(X9788,X$256:X9787,0)),1,0))</f>
        <v/>
      </c>
      <c r="AC9788">
        <f>IF(AB9788&gt;AB9787,AB9788,"")</f>
        <v/>
      </c>
    </row>
    <row r="9789">
      <c r="W9789" s="7" t="n"/>
      <c r="X9789" s="7" t="n"/>
      <c r="Z9789">
        <f>Z9788+IF(W9789="",0,IF(ISNA(MATCH(W9789,W$256:W9788,0)),1,0))</f>
        <v/>
      </c>
      <c r="AA9789">
        <f>IF(Z9789&gt;Z9788,Z9789,"")</f>
        <v/>
      </c>
      <c r="AB9789">
        <f>AB9788+IF(X9789="",0,IF(ISNA(MATCH(X9789,X$256:X9788,0)),1,0))</f>
        <v/>
      </c>
      <c r="AC9789">
        <f>IF(AB9789&gt;AB9788,AB9789,"")</f>
        <v/>
      </c>
    </row>
    <row r="9790">
      <c r="W9790" s="7" t="n"/>
      <c r="X9790" s="7" t="n"/>
      <c r="Z9790">
        <f>Z9789+IF(W9790="",0,IF(ISNA(MATCH(W9790,W$256:W9789,0)),1,0))</f>
        <v/>
      </c>
      <c r="AA9790">
        <f>IF(Z9790&gt;Z9789,Z9790,"")</f>
        <v/>
      </c>
      <c r="AB9790">
        <f>AB9789+IF(X9790="",0,IF(ISNA(MATCH(X9790,X$256:X9789,0)),1,0))</f>
        <v/>
      </c>
      <c r="AC9790">
        <f>IF(AB9790&gt;AB9789,AB9790,"")</f>
        <v/>
      </c>
    </row>
    <row r="9791">
      <c r="W9791" s="7" t="n"/>
      <c r="X9791" s="7" t="n"/>
      <c r="Z9791">
        <f>Z9790+IF(W9791="",0,IF(ISNA(MATCH(W9791,W$256:W9790,0)),1,0))</f>
        <v/>
      </c>
      <c r="AA9791">
        <f>IF(Z9791&gt;Z9790,Z9791,"")</f>
        <v/>
      </c>
      <c r="AB9791">
        <f>AB9790+IF(X9791="",0,IF(ISNA(MATCH(X9791,X$256:X9790,0)),1,0))</f>
        <v/>
      </c>
      <c r="AC9791">
        <f>IF(AB9791&gt;AB9790,AB9791,"")</f>
        <v/>
      </c>
    </row>
    <row r="9792">
      <c r="W9792" s="7" t="n"/>
      <c r="X9792" s="7" t="n"/>
      <c r="Z9792">
        <f>Z9791+IF(W9792="",0,IF(ISNA(MATCH(W9792,W$256:W9791,0)),1,0))</f>
        <v/>
      </c>
      <c r="AA9792">
        <f>IF(Z9792&gt;Z9791,Z9792,"")</f>
        <v/>
      </c>
      <c r="AB9792">
        <f>AB9791+IF(X9792="",0,IF(ISNA(MATCH(X9792,X$256:X9791,0)),1,0))</f>
        <v/>
      </c>
      <c r="AC9792">
        <f>IF(AB9792&gt;AB9791,AB9792,"")</f>
        <v/>
      </c>
    </row>
    <row r="9793">
      <c r="W9793" s="7" t="n"/>
      <c r="X9793" s="7" t="n"/>
      <c r="Z9793">
        <f>Z9792+IF(W9793="",0,IF(ISNA(MATCH(W9793,W$256:W9792,0)),1,0))</f>
        <v/>
      </c>
      <c r="AA9793">
        <f>IF(Z9793&gt;Z9792,Z9793,"")</f>
        <v/>
      </c>
      <c r="AB9793">
        <f>AB9792+IF(X9793="",0,IF(ISNA(MATCH(X9793,X$256:X9792,0)),1,0))</f>
        <v/>
      </c>
      <c r="AC9793">
        <f>IF(AB9793&gt;AB9792,AB9793,"")</f>
        <v/>
      </c>
    </row>
    <row r="9794">
      <c r="W9794" s="7" t="n"/>
      <c r="X9794" s="7" t="n"/>
      <c r="Z9794">
        <f>Z9793+IF(W9794="",0,IF(ISNA(MATCH(W9794,W$256:W9793,0)),1,0))</f>
        <v/>
      </c>
      <c r="AA9794">
        <f>IF(Z9794&gt;Z9793,Z9794,"")</f>
        <v/>
      </c>
      <c r="AB9794">
        <f>AB9793+IF(X9794="",0,IF(ISNA(MATCH(X9794,X$256:X9793,0)),1,0))</f>
        <v/>
      </c>
      <c r="AC9794">
        <f>IF(AB9794&gt;AB9793,AB9794,"")</f>
        <v/>
      </c>
    </row>
    <row r="9795">
      <c r="W9795" s="7" t="n"/>
      <c r="X9795" s="7" t="n"/>
      <c r="Z9795">
        <f>Z9794+IF(W9795="",0,IF(ISNA(MATCH(W9795,W$256:W9794,0)),1,0))</f>
        <v/>
      </c>
      <c r="AA9795">
        <f>IF(Z9795&gt;Z9794,Z9795,"")</f>
        <v/>
      </c>
      <c r="AB9795">
        <f>AB9794+IF(X9795="",0,IF(ISNA(MATCH(X9795,X$256:X9794,0)),1,0))</f>
        <v/>
      </c>
      <c r="AC9795">
        <f>IF(AB9795&gt;AB9794,AB9795,"")</f>
        <v/>
      </c>
    </row>
    <row r="9796">
      <c r="W9796" s="7" t="n"/>
      <c r="X9796" s="7" t="n"/>
      <c r="Z9796">
        <f>Z9795+IF(W9796="",0,IF(ISNA(MATCH(W9796,W$256:W9795,0)),1,0))</f>
        <v/>
      </c>
      <c r="AA9796">
        <f>IF(Z9796&gt;Z9795,Z9796,"")</f>
        <v/>
      </c>
      <c r="AB9796">
        <f>AB9795+IF(X9796="",0,IF(ISNA(MATCH(X9796,X$256:X9795,0)),1,0))</f>
        <v/>
      </c>
      <c r="AC9796">
        <f>IF(AB9796&gt;AB9795,AB9796,"")</f>
        <v/>
      </c>
    </row>
    <row r="9797">
      <c r="W9797" s="7" t="n"/>
      <c r="X9797" s="7" t="n"/>
      <c r="Z9797">
        <f>Z9796+IF(W9797="",0,IF(ISNA(MATCH(W9797,W$256:W9796,0)),1,0))</f>
        <v/>
      </c>
      <c r="AA9797">
        <f>IF(Z9797&gt;Z9796,Z9797,"")</f>
        <v/>
      </c>
      <c r="AB9797">
        <f>AB9796+IF(X9797="",0,IF(ISNA(MATCH(X9797,X$256:X9796,0)),1,0))</f>
        <v/>
      </c>
      <c r="AC9797">
        <f>IF(AB9797&gt;AB9796,AB9797,"")</f>
        <v/>
      </c>
    </row>
    <row r="9798">
      <c r="W9798" s="7" t="n"/>
      <c r="X9798" s="7" t="n"/>
      <c r="Z9798">
        <f>Z9797+IF(W9798="",0,IF(ISNA(MATCH(W9798,W$256:W9797,0)),1,0))</f>
        <v/>
      </c>
      <c r="AA9798">
        <f>IF(Z9798&gt;Z9797,Z9798,"")</f>
        <v/>
      </c>
      <c r="AB9798">
        <f>AB9797+IF(X9798="",0,IF(ISNA(MATCH(X9798,X$256:X9797,0)),1,0))</f>
        <v/>
      </c>
      <c r="AC9798">
        <f>IF(AB9798&gt;AB9797,AB9798,"")</f>
        <v/>
      </c>
    </row>
    <row r="9799">
      <c r="W9799" s="7" t="n"/>
      <c r="X9799" s="7" t="n"/>
      <c r="Z9799">
        <f>Z9798+IF(W9799="",0,IF(ISNA(MATCH(W9799,W$256:W9798,0)),1,0))</f>
        <v/>
      </c>
      <c r="AA9799">
        <f>IF(Z9799&gt;Z9798,Z9799,"")</f>
        <v/>
      </c>
      <c r="AB9799">
        <f>AB9798+IF(X9799="",0,IF(ISNA(MATCH(X9799,X$256:X9798,0)),1,0))</f>
        <v/>
      </c>
      <c r="AC9799">
        <f>IF(AB9799&gt;AB9798,AB9799,"")</f>
        <v/>
      </c>
    </row>
    <row r="9800">
      <c r="W9800" s="7" t="n"/>
      <c r="X9800" s="7" t="n"/>
      <c r="Z9800">
        <f>Z9799+IF(W9800="",0,IF(ISNA(MATCH(W9800,W$256:W9799,0)),1,0))</f>
        <v/>
      </c>
      <c r="AA9800">
        <f>IF(Z9800&gt;Z9799,Z9800,"")</f>
        <v/>
      </c>
      <c r="AB9800">
        <f>AB9799+IF(X9800="",0,IF(ISNA(MATCH(X9800,X$256:X9799,0)),1,0))</f>
        <v/>
      </c>
      <c r="AC9800">
        <f>IF(AB9800&gt;AB9799,AB9800,"")</f>
        <v/>
      </c>
    </row>
    <row r="9801">
      <c r="W9801" s="7" t="n"/>
      <c r="X9801" s="7" t="n"/>
      <c r="Z9801">
        <f>Z9800+IF(W9801="",0,IF(ISNA(MATCH(W9801,W$256:W9800,0)),1,0))</f>
        <v/>
      </c>
      <c r="AA9801">
        <f>IF(Z9801&gt;Z9800,Z9801,"")</f>
        <v/>
      </c>
      <c r="AB9801">
        <f>AB9800+IF(X9801="",0,IF(ISNA(MATCH(X9801,X$256:X9800,0)),1,0))</f>
        <v/>
      </c>
      <c r="AC9801">
        <f>IF(AB9801&gt;AB9800,AB9801,"")</f>
        <v/>
      </c>
    </row>
    <row r="9802">
      <c r="W9802" s="7" t="n"/>
      <c r="X9802" s="7" t="n"/>
      <c r="Z9802">
        <f>Z9801+IF(W9802="",0,IF(ISNA(MATCH(W9802,W$256:W9801,0)),1,0))</f>
        <v/>
      </c>
      <c r="AA9802">
        <f>IF(Z9802&gt;Z9801,Z9802,"")</f>
        <v/>
      </c>
      <c r="AB9802">
        <f>AB9801+IF(X9802="",0,IF(ISNA(MATCH(X9802,X$256:X9801,0)),1,0))</f>
        <v/>
      </c>
      <c r="AC9802">
        <f>IF(AB9802&gt;AB9801,AB9802,"")</f>
        <v/>
      </c>
    </row>
    <row r="9803">
      <c r="W9803" s="7" t="n"/>
      <c r="X9803" s="7" t="n"/>
      <c r="Z9803">
        <f>Z9802+IF(W9803="",0,IF(ISNA(MATCH(W9803,W$256:W9802,0)),1,0))</f>
        <v/>
      </c>
      <c r="AA9803">
        <f>IF(Z9803&gt;Z9802,Z9803,"")</f>
        <v/>
      </c>
      <c r="AB9803">
        <f>AB9802+IF(X9803="",0,IF(ISNA(MATCH(X9803,X$256:X9802,0)),1,0))</f>
        <v/>
      </c>
      <c r="AC9803">
        <f>IF(AB9803&gt;AB9802,AB9803,"")</f>
        <v/>
      </c>
    </row>
    <row r="9804">
      <c r="W9804" s="7" t="n"/>
      <c r="X9804" s="7" t="n"/>
      <c r="Z9804">
        <f>Z9803+IF(W9804="",0,IF(ISNA(MATCH(W9804,W$256:W9803,0)),1,0))</f>
        <v/>
      </c>
      <c r="AA9804">
        <f>IF(Z9804&gt;Z9803,Z9804,"")</f>
        <v/>
      </c>
      <c r="AB9804">
        <f>AB9803+IF(X9804="",0,IF(ISNA(MATCH(X9804,X$256:X9803,0)),1,0))</f>
        <v/>
      </c>
      <c r="AC9804">
        <f>IF(AB9804&gt;AB9803,AB9804,"")</f>
        <v/>
      </c>
    </row>
    <row r="9805">
      <c r="W9805" s="7" t="n"/>
      <c r="X9805" s="7" t="n"/>
      <c r="Z9805">
        <f>Z9804+IF(W9805="",0,IF(ISNA(MATCH(W9805,W$256:W9804,0)),1,0))</f>
        <v/>
      </c>
      <c r="AA9805">
        <f>IF(Z9805&gt;Z9804,Z9805,"")</f>
        <v/>
      </c>
      <c r="AB9805">
        <f>AB9804+IF(X9805="",0,IF(ISNA(MATCH(X9805,X$256:X9804,0)),1,0))</f>
        <v/>
      </c>
      <c r="AC9805">
        <f>IF(AB9805&gt;AB9804,AB9805,"")</f>
        <v/>
      </c>
    </row>
    <row r="9806">
      <c r="W9806" s="7" t="n"/>
      <c r="X9806" s="7" t="n"/>
      <c r="Z9806">
        <f>Z9805+IF(W9806="",0,IF(ISNA(MATCH(W9806,W$256:W9805,0)),1,0))</f>
        <v/>
      </c>
      <c r="AA9806">
        <f>IF(Z9806&gt;Z9805,Z9806,"")</f>
        <v/>
      </c>
      <c r="AB9806">
        <f>AB9805+IF(X9806="",0,IF(ISNA(MATCH(X9806,X$256:X9805,0)),1,0))</f>
        <v/>
      </c>
      <c r="AC9806">
        <f>IF(AB9806&gt;AB9805,AB9806,"")</f>
        <v/>
      </c>
    </row>
    <row r="9807">
      <c r="W9807" s="7" t="n"/>
      <c r="X9807" s="7" t="n"/>
      <c r="Z9807">
        <f>Z9806+IF(W9807="",0,IF(ISNA(MATCH(W9807,W$256:W9806,0)),1,0))</f>
        <v/>
      </c>
      <c r="AA9807">
        <f>IF(Z9807&gt;Z9806,Z9807,"")</f>
        <v/>
      </c>
      <c r="AB9807">
        <f>AB9806+IF(X9807="",0,IF(ISNA(MATCH(X9807,X$256:X9806,0)),1,0))</f>
        <v/>
      </c>
      <c r="AC9807">
        <f>IF(AB9807&gt;AB9806,AB9807,"")</f>
        <v/>
      </c>
    </row>
    <row r="9808">
      <c r="W9808" s="7" t="n"/>
      <c r="X9808" s="7" t="n"/>
      <c r="Z9808">
        <f>Z9807+IF(W9808="",0,IF(ISNA(MATCH(W9808,W$256:W9807,0)),1,0))</f>
        <v/>
      </c>
      <c r="AA9808">
        <f>IF(Z9808&gt;Z9807,Z9808,"")</f>
        <v/>
      </c>
      <c r="AB9808">
        <f>AB9807+IF(X9808="",0,IF(ISNA(MATCH(X9808,X$256:X9807,0)),1,0))</f>
        <v/>
      </c>
      <c r="AC9808">
        <f>IF(AB9808&gt;AB9807,AB9808,"")</f>
        <v/>
      </c>
    </row>
    <row r="9809">
      <c r="W9809" s="7" t="n"/>
      <c r="X9809" s="7" t="n"/>
      <c r="Z9809">
        <f>Z9808+IF(W9809="",0,IF(ISNA(MATCH(W9809,W$256:W9808,0)),1,0))</f>
        <v/>
      </c>
      <c r="AA9809">
        <f>IF(Z9809&gt;Z9808,Z9809,"")</f>
        <v/>
      </c>
      <c r="AB9809">
        <f>AB9808+IF(X9809="",0,IF(ISNA(MATCH(X9809,X$256:X9808,0)),1,0))</f>
        <v/>
      </c>
      <c r="AC9809">
        <f>IF(AB9809&gt;AB9808,AB9809,"")</f>
        <v/>
      </c>
    </row>
    <row r="9810">
      <c r="W9810" s="7" t="n"/>
      <c r="X9810" s="7" t="n"/>
      <c r="Z9810">
        <f>Z9809+IF(W9810="",0,IF(ISNA(MATCH(W9810,W$256:W9809,0)),1,0))</f>
        <v/>
      </c>
      <c r="AA9810">
        <f>IF(Z9810&gt;Z9809,Z9810,"")</f>
        <v/>
      </c>
      <c r="AB9810">
        <f>AB9809+IF(X9810="",0,IF(ISNA(MATCH(X9810,X$256:X9809,0)),1,0))</f>
        <v/>
      </c>
      <c r="AC9810">
        <f>IF(AB9810&gt;AB9809,AB9810,"")</f>
        <v/>
      </c>
    </row>
    <row r="9811">
      <c r="W9811" s="7" t="n"/>
      <c r="X9811" s="7" t="n"/>
      <c r="Z9811">
        <f>Z9810+IF(W9811="",0,IF(ISNA(MATCH(W9811,W$256:W9810,0)),1,0))</f>
        <v/>
      </c>
      <c r="AA9811">
        <f>IF(Z9811&gt;Z9810,Z9811,"")</f>
        <v/>
      </c>
      <c r="AB9811">
        <f>AB9810+IF(X9811="",0,IF(ISNA(MATCH(X9811,X$256:X9810,0)),1,0))</f>
        <v/>
      </c>
      <c r="AC9811">
        <f>IF(AB9811&gt;AB9810,AB9811,"")</f>
        <v/>
      </c>
    </row>
    <row r="9812">
      <c r="W9812" s="7" t="n"/>
      <c r="X9812" s="7" t="n"/>
      <c r="Z9812">
        <f>Z9811+IF(W9812="",0,IF(ISNA(MATCH(W9812,W$256:W9811,0)),1,0))</f>
        <v/>
      </c>
      <c r="AA9812">
        <f>IF(Z9812&gt;Z9811,Z9812,"")</f>
        <v/>
      </c>
      <c r="AB9812">
        <f>AB9811+IF(X9812="",0,IF(ISNA(MATCH(X9812,X$256:X9811,0)),1,0))</f>
        <v/>
      </c>
      <c r="AC9812">
        <f>IF(AB9812&gt;AB9811,AB9812,"")</f>
        <v/>
      </c>
    </row>
    <row r="9813">
      <c r="W9813" s="7" t="n"/>
      <c r="X9813" s="7" t="n"/>
      <c r="Z9813">
        <f>Z9812+IF(W9813="",0,IF(ISNA(MATCH(W9813,W$256:W9812,0)),1,0))</f>
        <v/>
      </c>
      <c r="AA9813">
        <f>IF(Z9813&gt;Z9812,Z9813,"")</f>
        <v/>
      </c>
      <c r="AB9813">
        <f>AB9812+IF(X9813="",0,IF(ISNA(MATCH(X9813,X$256:X9812,0)),1,0))</f>
        <v/>
      </c>
      <c r="AC9813">
        <f>IF(AB9813&gt;AB9812,AB9813,"")</f>
        <v/>
      </c>
    </row>
    <row r="9814">
      <c r="W9814" s="7" t="n"/>
      <c r="X9814" s="7" t="n"/>
      <c r="Z9814">
        <f>Z9813+IF(W9814="",0,IF(ISNA(MATCH(W9814,W$256:W9813,0)),1,0))</f>
        <v/>
      </c>
      <c r="AA9814">
        <f>IF(Z9814&gt;Z9813,Z9814,"")</f>
        <v/>
      </c>
      <c r="AB9814">
        <f>AB9813+IF(X9814="",0,IF(ISNA(MATCH(X9814,X$256:X9813,0)),1,0))</f>
        <v/>
      </c>
      <c r="AC9814">
        <f>IF(AB9814&gt;AB9813,AB9814,"")</f>
        <v/>
      </c>
    </row>
    <row r="9815">
      <c r="W9815" s="7" t="n"/>
      <c r="X9815" s="7" t="n"/>
      <c r="Z9815">
        <f>Z9814+IF(W9815="",0,IF(ISNA(MATCH(W9815,W$256:W9814,0)),1,0))</f>
        <v/>
      </c>
      <c r="AA9815">
        <f>IF(Z9815&gt;Z9814,Z9815,"")</f>
        <v/>
      </c>
      <c r="AB9815">
        <f>AB9814+IF(X9815="",0,IF(ISNA(MATCH(X9815,X$256:X9814,0)),1,0))</f>
        <v/>
      </c>
      <c r="AC9815">
        <f>IF(AB9815&gt;AB9814,AB9815,"")</f>
        <v/>
      </c>
    </row>
    <row r="9816">
      <c r="W9816" s="7" t="n"/>
      <c r="X9816" s="7" t="n"/>
      <c r="Z9816">
        <f>Z9815+IF(W9816="",0,IF(ISNA(MATCH(W9816,W$256:W9815,0)),1,0))</f>
        <v/>
      </c>
      <c r="AA9816">
        <f>IF(Z9816&gt;Z9815,Z9816,"")</f>
        <v/>
      </c>
      <c r="AB9816">
        <f>AB9815+IF(X9816="",0,IF(ISNA(MATCH(X9816,X$256:X9815,0)),1,0))</f>
        <v/>
      </c>
      <c r="AC9816">
        <f>IF(AB9816&gt;AB9815,AB9816,"")</f>
        <v/>
      </c>
    </row>
    <row r="9817">
      <c r="W9817" s="7" t="n"/>
      <c r="X9817" s="7" t="n"/>
      <c r="Z9817">
        <f>Z9816+IF(W9817="",0,IF(ISNA(MATCH(W9817,W$256:W9816,0)),1,0))</f>
        <v/>
      </c>
      <c r="AA9817">
        <f>IF(Z9817&gt;Z9816,Z9817,"")</f>
        <v/>
      </c>
      <c r="AB9817">
        <f>AB9816+IF(X9817="",0,IF(ISNA(MATCH(X9817,X$256:X9816,0)),1,0))</f>
        <v/>
      </c>
      <c r="AC9817">
        <f>IF(AB9817&gt;AB9816,AB9817,"")</f>
        <v/>
      </c>
    </row>
    <row r="9818">
      <c r="W9818" s="7" t="n"/>
      <c r="X9818" s="7" t="n"/>
      <c r="Z9818">
        <f>Z9817+IF(W9818="",0,IF(ISNA(MATCH(W9818,W$256:W9817,0)),1,0))</f>
        <v/>
      </c>
      <c r="AA9818">
        <f>IF(Z9818&gt;Z9817,Z9818,"")</f>
        <v/>
      </c>
      <c r="AB9818">
        <f>AB9817+IF(X9818="",0,IF(ISNA(MATCH(X9818,X$256:X9817,0)),1,0))</f>
        <v/>
      </c>
      <c r="AC9818">
        <f>IF(AB9818&gt;AB9817,AB9818,"")</f>
        <v/>
      </c>
    </row>
    <row r="9819">
      <c r="W9819" s="7" t="n"/>
      <c r="X9819" s="7" t="n"/>
      <c r="Z9819">
        <f>Z9818+IF(W9819="",0,IF(ISNA(MATCH(W9819,W$256:W9818,0)),1,0))</f>
        <v/>
      </c>
      <c r="AA9819">
        <f>IF(Z9819&gt;Z9818,Z9819,"")</f>
        <v/>
      </c>
      <c r="AB9819">
        <f>AB9818+IF(X9819="",0,IF(ISNA(MATCH(X9819,X$256:X9818,0)),1,0))</f>
        <v/>
      </c>
      <c r="AC9819">
        <f>IF(AB9819&gt;AB9818,AB9819,"")</f>
        <v/>
      </c>
    </row>
    <row r="9820">
      <c r="W9820" s="7" t="n"/>
      <c r="X9820" s="7" t="n"/>
      <c r="Z9820">
        <f>Z9819+IF(W9820="",0,IF(ISNA(MATCH(W9820,W$256:W9819,0)),1,0))</f>
        <v/>
      </c>
      <c r="AA9820">
        <f>IF(Z9820&gt;Z9819,Z9820,"")</f>
        <v/>
      </c>
      <c r="AB9820">
        <f>AB9819+IF(X9820="",0,IF(ISNA(MATCH(X9820,X$256:X9819,0)),1,0))</f>
        <v/>
      </c>
      <c r="AC9820">
        <f>IF(AB9820&gt;AB9819,AB9820,"")</f>
        <v/>
      </c>
    </row>
    <row r="9821">
      <c r="W9821" s="7" t="n"/>
      <c r="X9821" s="7" t="n"/>
      <c r="Z9821">
        <f>Z9820+IF(W9821="",0,IF(ISNA(MATCH(W9821,W$256:W9820,0)),1,0))</f>
        <v/>
      </c>
      <c r="AA9821">
        <f>IF(Z9821&gt;Z9820,Z9821,"")</f>
        <v/>
      </c>
      <c r="AB9821">
        <f>AB9820+IF(X9821="",0,IF(ISNA(MATCH(X9821,X$256:X9820,0)),1,0))</f>
        <v/>
      </c>
      <c r="AC9821">
        <f>IF(AB9821&gt;AB9820,AB9821,"")</f>
        <v/>
      </c>
    </row>
    <row r="9822">
      <c r="W9822" s="7" t="n"/>
      <c r="X9822" s="7" t="n"/>
      <c r="Z9822">
        <f>Z9821+IF(W9822="",0,IF(ISNA(MATCH(W9822,W$256:W9821,0)),1,0))</f>
        <v/>
      </c>
      <c r="AA9822">
        <f>IF(Z9822&gt;Z9821,Z9822,"")</f>
        <v/>
      </c>
      <c r="AB9822">
        <f>AB9821+IF(X9822="",0,IF(ISNA(MATCH(X9822,X$256:X9821,0)),1,0))</f>
        <v/>
      </c>
      <c r="AC9822">
        <f>IF(AB9822&gt;AB9821,AB9822,"")</f>
        <v/>
      </c>
    </row>
    <row r="9823">
      <c r="W9823" s="7" t="n"/>
      <c r="X9823" s="7" t="n"/>
      <c r="Z9823">
        <f>Z9822+IF(W9823="",0,IF(ISNA(MATCH(W9823,W$256:W9822,0)),1,0))</f>
        <v/>
      </c>
      <c r="AA9823">
        <f>IF(Z9823&gt;Z9822,Z9823,"")</f>
        <v/>
      </c>
      <c r="AB9823">
        <f>AB9822+IF(X9823="",0,IF(ISNA(MATCH(X9823,X$256:X9822,0)),1,0))</f>
        <v/>
      </c>
      <c r="AC9823">
        <f>IF(AB9823&gt;AB9822,AB9823,"")</f>
        <v/>
      </c>
    </row>
    <row r="9824">
      <c r="W9824" s="7" t="n"/>
      <c r="X9824" s="7" t="n"/>
      <c r="Z9824">
        <f>Z9823+IF(W9824="",0,IF(ISNA(MATCH(W9824,W$256:W9823,0)),1,0))</f>
        <v/>
      </c>
      <c r="AA9824">
        <f>IF(Z9824&gt;Z9823,Z9824,"")</f>
        <v/>
      </c>
      <c r="AB9824">
        <f>AB9823+IF(X9824="",0,IF(ISNA(MATCH(X9824,X$256:X9823,0)),1,0))</f>
        <v/>
      </c>
      <c r="AC9824">
        <f>IF(AB9824&gt;AB9823,AB9824,"")</f>
        <v/>
      </c>
    </row>
    <row r="9825">
      <c r="W9825" s="7" t="n"/>
      <c r="X9825" s="7" t="n"/>
      <c r="Z9825">
        <f>Z9824+IF(W9825="",0,IF(ISNA(MATCH(W9825,W$256:W9824,0)),1,0))</f>
        <v/>
      </c>
      <c r="AA9825">
        <f>IF(Z9825&gt;Z9824,Z9825,"")</f>
        <v/>
      </c>
      <c r="AB9825">
        <f>AB9824+IF(X9825="",0,IF(ISNA(MATCH(X9825,X$256:X9824,0)),1,0))</f>
        <v/>
      </c>
      <c r="AC9825">
        <f>IF(AB9825&gt;AB9824,AB9825,"")</f>
        <v/>
      </c>
    </row>
    <row r="9826">
      <c r="W9826" s="7" t="n"/>
      <c r="X9826" s="7" t="n"/>
      <c r="Z9826">
        <f>Z9825+IF(W9826="",0,IF(ISNA(MATCH(W9826,W$256:W9825,0)),1,0))</f>
        <v/>
      </c>
      <c r="AA9826">
        <f>IF(Z9826&gt;Z9825,Z9826,"")</f>
        <v/>
      </c>
      <c r="AB9826">
        <f>AB9825+IF(X9826="",0,IF(ISNA(MATCH(X9826,X$256:X9825,0)),1,0))</f>
        <v/>
      </c>
      <c r="AC9826">
        <f>IF(AB9826&gt;AB9825,AB9826,"")</f>
        <v/>
      </c>
    </row>
    <row r="9827">
      <c r="W9827" s="7" t="n"/>
      <c r="X9827" s="7" t="n"/>
      <c r="Z9827">
        <f>Z9826+IF(W9827="",0,IF(ISNA(MATCH(W9827,W$256:W9826,0)),1,0))</f>
        <v/>
      </c>
      <c r="AA9827">
        <f>IF(Z9827&gt;Z9826,Z9827,"")</f>
        <v/>
      </c>
      <c r="AB9827">
        <f>AB9826+IF(X9827="",0,IF(ISNA(MATCH(X9827,X$256:X9826,0)),1,0))</f>
        <v/>
      </c>
      <c r="AC9827">
        <f>IF(AB9827&gt;AB9826,AB9827,"")</f>
        <v/>
      </c>
    </row>
    <row r="9828">
      <c r="W9828" s="7" t="n"/>
      <c r="X9828" s="7" t="n"/>
      <c r="Z9828">
        <f>Z9827+IF(W9828="",0,IF(ISNA(MATCH(W9828,W$256:W9827,0)),1,0))</f>
        <v/>
      </c>
      <c r="AA9828">
        <f>IF(Z9828&gt;Z9827,Z9828,"")</f>
        <v/>
      </c>
      <c r="AB9828">
        <f>AB9827+IF(X9828="",0,IF(ISNA(MATCH(X9828,X$256:X9827,0)),1,0))</f>
        <v/>
      </c>
      <c r="AC9828">
        <f>IF(AB9828&gt;AB9827,AB9828,"")</f>
        <v/>
      </c>
    </row>
    <row r="9829">
      <c r="W9829" s="7" t="n"/>
      <c r="X9829" s="7" t="n"/>
      <c r="Z9829">
        <f>Z9828+IF(W9829="",0,IF(ISNA(MATCH(W9829,W$256:W9828,0)),1,0))</f>
        <v/>
      </c>
      <c r="AA9829">
        <f>IF(Z9829&gt;Z9828,Z9829,"")</f>
        <v/>
      </c>
      <c r="AB9829">
        <f>AB9828+IF(X9829="",0,IF(ISNA(MATCH(X9829,X$256:X9828,0)),1,0))</f>
        <v/>
      </c>
      <c r="AC9829">
        <f>IF(AB9829&gt;AB9828,AB9829,"")</f>
        <v/>
      </c>
    </row>
    <row r="9830">
      <c r="W9830" s="7" t="n"/>
      <c r="X9830" s="7" t="n"/>
      <c r="Z9830">
        <f>Z9829+IF(W9830="",0,IF(ISNA(MATCH(W9830,W$256:W9829,0)),1,0))</f>
        <v/>
      </c>
      <c r="AA9830">
        <f>IF(Z9830&gt;Z9829,Z9830,"")</f>
        <v/>
      </c>
      <c r="AB9830">
        <f>AB9829+IF(X9830="",0,IF(ISNA(MATCH(X9830,X$256:X9829,0)),1,0))</f>
        <v/>
      </c>
      <c r="AC9830">
        <f>IF(AB9830&gt;AB9829,AB9830,"")</f>
        <v/>
      </c>
    </row>
    <row r="9831">
      <c r="W9831" s="7" t="n"/>
      <c r="X9831" s="7" t="n"/>
      <c r="Z9831">
        <f>Z9830+IF(W9831="",0,IF(ISNA(MATCH(W9831,W$256:W9830,0)),1,0))</f>
        <v/>
      </c>
      <c r="AA9831">
        <f>IF(Z9831&gt;Z9830,Z9831,"")</f>
        <v/>
      </c>
      <c r="AB9831">
        <f>AB9830+IF(X9831="",0,IF(ISNA(MATCH(X9831,X$256:X9830,0)),1,0))</f>
        <v/>
      </c>
      <c r="AC9831">
        <f>IF(AB9831&gt;AB9830,AB9831,"")</f>
        <v/>
      </c>
    </row>
    <row r="9832">
      <c r="W9832" s="7" t="n"/>
      <c r="X9832" s="7" t="n"/>
      <c r="Z9832">
        <f>Z9831+IF(W9832="",0,IF(ISNA(MATCH(W9832,W$256:W9831,0)),1,0))</f>
        <v/>
      </c>
      <c r="AA9832">
        <f>IF(Z9832&gt;Z9831,Z9832,"")</f>
        <v/>
      </c>
      <c r="AB9832">
        <f>AB9831+IF(X9832="",0,IF(ISNA(MATCH(X9832,X$256:X9831,0)),1,0))</f>
        <v/>
      </c>
      <c r="AC9832">
        <f>IF(AB9832&gt;AB9831,AB9832,"")</f>
        <v/>
      </c>
    </row>
    <row r="9833">
      <c r="W9833" s="7" t="n"/>
      <c r="X9833" s="7" t="n"/>
      <c r="Z9833">
        <f>Z9832+IF(W9833="",0,IF(ISNA(MATCH(W9833,W$256:W9832,0)),1,0))</f>
        <v/>
      </c>
      <c r="AA9833">
        <f>IF(Z9833&gt;Z9832,Z9833,"")</f>
        <v/>
      </c>
      <c r="AB9833">
        <f>AB9832+IF(X9833="",0,IF(ISNA(MATCH(X9833,X$256:X9832,0)),1,0))</f>
        <v/>
      </c>
      <c r="AC9833">
        <f>IF(AB9833&gt;AB9832,AB9833,"")</f>
        <v/>
      </c>
    </row>
    <row r="9834">
      <c r="W9834" s="7" t="n"/>
      <c r="X9834" s="7" t="n"/>
      <c r="Z9834">
        <f>Z9833+IF(W9834="",0,IF(ISNA(MATCH(W9834,W$256:W9833,0)),1,0))</f>
        <v/>
      </c>
      <c r="AA9834">
        <f>IF(Z9834&gt;Z9833,Z9834,"")</f>
        <v/>
      </c>
      <c r="AB9834">
        <f>AB9833+IF(X9834="",0,IF(ISNA(MATCH(X9834,X$256:X9833,0)),1,0))</f>
        <v/>
      </c>
      <c r="AC9834">
        <f>IF(AB9834&gt;AB9833,AB9834,"")</f>
        <v/>
      </c>
    </row>
    <row r="9835">
      <c r="W9835" s="7" t="n"/>
      <c r="X9835" s="7" t="n"/>
      <c r="Z9835">
        <f>Z9834+IF(W9835="",0,IF(ISNA(MATCH(W9835,W$256:W9834,0)),1,0))</f>
        <v/>
      </c>
      <c r="AA9835">
        <f>IF(Z9835&gt;Z9834,Z9835,"")</f>
        <v/>
      </c>
      <c r="AB9835">
        <f>AB9834+IF(X9835="",0,IF(ISNA(MATCH(X9835,X$256:X9834,0)),1,0))</f>
        <v/>
      </c>
      <c r="AC9835">
        <f>IF(AB9835&gt;AB9834,AB9835,"")</f>
        <v/>
      </c>
    </row>
    <row r="9836">
      <c r="W9836" s="7" t="n"/>
      <c r="X9836" s="7" t="n"/>
      <c r="Z9836">
        <f>Z9835+IF(W9836="",0,IF(ISNA(MATCH(W9836,W$256:W9835,0)),1,0))</f>
        <v/>
      </c>
      <c r="AA9836">
        <f>IF(Z9836&gt;Z9835,Z9836,"")</f>
        <v/>
      </c>
      <c r="AB9836">
        <f>AB9835+IF(X9836="",0,IF(ISNA(MATCH(X9836,X$256:X9835,0)),1,0))</f>
        <v/>
      </c>
      <c r="AC9836">
        <f>IF(AB9836&gt;AB9835,AB9836,"")</f>
        <v/>
      </c>
    </row>
    <row r="9837">
      <c r="W9837" s="7" t="n"/>
      <c r="X9837" s="7" t="n"/>
      <c r="Z9837">
        <f>Z9836+IF(W9837="",0,IF(ISNA(MATCH(W9837,W$256:W9836,0)),1,0))</f>
        <v/>
      </c>
      <c r="AA9837">
        <f>IF(Z9837&gt;Z9836,Z9837,"")</f>
        <v/>
      </c>
      <c r="AB9837">
        <f>AB9836+IF(X9837="",0,IF(ISNA(MATCH(X9837,X$256:X9836,0)),1,0))</f>
        <v/>
      </c>
      <c r="AC9837">
        <f>IF(AB9837&gt;AB9836,AB9837,"")</f>
        <v/>
      </c>
    </row>
    <row r="9838">
      <c r="W9838" s="7" t="n"/>
      <c r="X9838" s="7" t="n"/>
      <c r="Z9838">
        <f>Z9837+IF(W9838="",0,IF(ISNA(MATCH(W9838,W$256:W9837,0)),1,0))</f>
        <v/>
      </c>
      <c r="AA9838">
        <f>IF(Z9838&gt;Z9837,Z9838,"")</f>
        <v/>
      </c>
      <c r="AB9838">
        <f>AB9837+IF(X9838="",0,IF(ISNA(MATCH(X9838,X$256:X9837,0)),1,0))</f>
        <v/>
      </c>
      <c r="AC9838">
        <f>IF(AB9838&gt;AB9837,AB9838,"")</f>
        <v/>
      </c>
    </row>
    <row r="9839">
      <c r="W9839" s="7" t="n"/>
      <c r="X9839" s="7" t="n"/>
      <c r="Z9839">
        <f>Z9838+IF(W9839="",0,IF(ISNA(MATCH(W9839,W$256:W9838,0)),1,0))</f>
        <v/>
      </c>
      <c r="AA9839">
        <f>IF(Z9839&gt;Z9838,Z9839,"")</f>
        <v/>
      </c>
      <c r="AB9839">
        <f>AB9838+IF(X9839="",0,IF(ISNA(MATCH(X9839,X$256:X9838,0)),1,0))</f>
        <v/>
      </c>
      <c r="AC9839">
        <f>IF(AB9839&gt;AB9838,AB9839,"")</f>
        <v/>
      </c>
    </row>
    <row r="9840">
      <c r="W9840" s="7" t="n"/>
      <c r="X9840" s="7" t="n"/>
      <c r="Z9840">
        <f>Z9839+IF(W9840="",0,IF(ISNA(MATCH(W9840,W$256:W9839,0)),1,0))</f>
        <v/>
      </c>
      <c r="AA9840">
        <f>IF(Z9840&gt;Z9839,Z9840,"")</f>
        <v/>
      </c>
      <c r="AB9840">
        <f>AB9839+IF(X9840="",0,IF(ISNA(MATCH(X9840,X$256:X9839,0)),1,0))</f>
        <v/>
      </c>
      <c r="AC9840">
        <f>IF(AB9840&gt;AB9839,AB9840,"")</f>
        <v/>
      </c>
    </row>
    <row r="9841">
      <c r="W9841" s="7" t="n"/>
      <c r="X9841" s="7" t="n"/>
      <c r="Z9841">
        <f>Z9840+IF(W9841="",0,IF(ISNA(MATCH(W9841,W$256:W9840,0)),1,0))</f>
        <v/>
      </c>
      <c r="AA9841">
        <f>IF(Z9841&gt;Z9840,Z9841,"")</f>
        <v/>
      </c>
      <c r="AB9841">
        <f>AB9840+IF(X9841="",0,IF(ISNA(MATCH(X9841,X$256:X9840,0)),1,0))</f>
        <v/>
      </c>
      <c r="AC9841">
        <f>IF(AB9841&gt;AB9840,AB9841,"")</f>
        <v/>
      </c>
    </row>
    <row r="9842">
      <c r="W9842" s="7" t="n"/>
      <c r="X9842" s="7" t="n"/>
      <c r="Z9842">
        <f>Z9841+IF(W9842="",0,IF(ISNA(MATCH(W9842,W$256:W9841,0)),1,0))</f>
        <v/>
      </c>
      <c r="AA9842">
        <f>IF(Z9842&gt;Z9841,Z9842,"")</f>
        <v/>
      </c>
      <c r="AB9842">
        <f>AB9841+IF(X9842="",0,IF(ISNA(MATCH(X9842,X$256:X9841,0)),1,0))</f>
        <v/>
      </c>
      <c r="AC9842">
        <f>IF(AB9842&gt;AB9841,AB9842,"")</f>
        <v/>
      </c>
    </row>
    <row r="9843">
      <c r="W9843" s="7" t="n"/>
      <c r="X9843" s="7" t="n"/>
      <c r="Z9843">
        <f>Z9842+IF(W9843="",0,IF(ISNA(MATCH(W9843,W$256:W9842,0)),1,0))</f>
        <v/>
      </c>
      <c r="AA9843">
        <f>IF(Z9843&gt;Z9842,Z9843,"")</f>
        <v/>
      </c>
      <c r="AB9843">
        <f>AB9842+IF(X9843="",0,IF(ISNA(MATCH(X9843,X$256:X9842,0)),1,0))</f>
        <v/>
      </c>
      <c r="AC9843">
        <f>IF(AB9843&gt;AB9842,AB9843,"")</f>
        <v/>
      </c>
    </row>
    <row r="9844">
      <c r="W9844" s="7" t="n"/>
      <c r="X9844" s="7" t="n"/>
      <c r="Z9844">
        <f>Z9843+IF(W9844="",0,IF(ISNA(MATCH(W9844,W$256:W9843,0)),1,0))</f>
        <v/>
      </c>
      <c r="AA9844">
        <f>IF(Z9844&gt;Z9843,Z9844,"")</f>
        <v/>
      </c>
      <c r="AB9844">
        <f>AB9843+IF(X9844="",0,IF(ISNA(MATCH(X9844,X$256:X9843,0)),1,0))</f>
        <v/>
      </c>
      <c r="AC9844">
        <f>IF(AB9844&gt;AB9843,AB9844,"")</f>
        <v/>
      </c>
    </row>
    <row r="9845">
      <c r="W9845" s="7" t="n"/>
      <c r="X9845" s="7" t="n"/>
      <c r="Z9845">
        <f>Z9844+IF(W9845="",0,IF(ISNA(MATCH(W9845,W$256:W9844,0)),1,0))</f>
        <v/>
      </c>
      <c r="AA9845">
        <f>IF(Z9845&gt;Z9844,Z9845,"")</f>
        <v/>
      </c>
      <c r="AB9845">
        <f>AB9844+IF(X9845="",0,IF(ISNA(MATCH(X9845,X$256:X9844,0)),1,0))</f>
        <v/>
      </c>
      <c r="AC9845">
        <f>IF(AB9845&gt;AB9844,AB9845,"")</f>
        <v/>
      </c>
    </row>
    <row r="9846">
      <c r="W9846" s="7" t="n"/>
      <c r="X9846" s="7" t="n"/>
      <c r="Z9846">
        <f>Z9845+IF(W9846="",0,IF(ISNA(MATCH(W9846,W$256:W9845,0)),1,0))</f>
        <v/>
      </c>
      <c r="AA9846">
        <f>IF(Z9846&gt;Z9845,Z9846,"")</f>
        <v/>
      </c>
      <c r="AB9846">
        <f>AB9845+IF(X9846="",0,IF(ISNA(MATCH(X9846,X$256:X9845,0)),1,0))</f>
        <v/>
      </c>
      <c r="AC9846">
        <f>IF(AB9846&gt;AB9845,AB9846,"")</f>
        <v/>
      </c>
    </row>
    <row r="9847">
      <c r="W9847" s="7" t="n"/>
      <c r="X9847" s="7" t="n"/>
      <c r="Z9847">
        <f>Z9846+IF(W9847="",0,IF(ISNA(MATCH(W9847,W$256:W9846,0)),1,0))</f>
        <v/>
      </c>
      <c r="AA9847">
        <f>IF(Z9847&gt;Z9846,Z9847,"")</f>
        <v/>
      </c>
      <c r="AB9847">
        <f>AB9846+IF(X9847="",0,IF(ISNA(MATCH(X9847,X$256:X9846,0)),1,0))</f>
        <v/>
      </c>
      <c r="AC9847">
        <f>IF(AB9847&gt;AB9846,AB9847,"")</f>
        <v/>
      </c>
    </row>
    <row r="9848">
      <c r="W9848" s="7" t="n"/>
      <c r="X9848" s="7" t="n"/>
      <c r="Z9848">
        <f>Z9847+IF(W9848="",0,IF(ISNA(MATCH(W9848,W$256:W9847,0)),1,0))</f>
        <v/>
      </c>
      <c r="AA9848">
        <f>IF(Z9848&gt;Z9847,Z9848,"")</f>
        <v/>
      </c>
      <c r="AB9848">
        <f>AB9847+IF(X9848="",0,IF(ISNA(MATCH(X9848,X$256:X9847,0)),1,0))</f>
        <v/>
      </c>
      <c r="AC9848">
        <f>IF(AB9848&gt;AB9847,AB9848,"")</f>
        <v/>
      </c>
    </row>
    <row r="9849">
      <c r="W9849" s="7" t="n"/>
      <c r="X9849" s="7" t="n"/>
      <c r="Z9849">
        <f>Z9848+IF(W9849="",0,IF(ISNA(MATCH(W9849,W$256:W9848,0)),1,0))</f>
        <v/>
      </c>
      <c r="AA9849">
        <f>IF(Z9849&gt;Z9848,Z9849,"")</f>
        <v/>
      </c>
      <c r="AB9849">
        <f>AB9848+IF(X9849="",0,IF(ISNA(MATCH(X9849,X$256:X9848,0)),1,0))</f>
        <v/>
      </c>
      <c r="AC9849">
        <f>IF(AB9849&gt;AB9848,AB9849,"")</f>
        <v/>
      </c>
    </row>
    <row r="9850">
      <c r="W9850" s="7" t="n"/>
      <c r="X9850" s="7" t="n"/>
      <c r="Z9850">
        <f>Z9849+IF(W9850="",0,IF(ISNA(MATCH(W9850,W$256:W9849,0)),1,0))</f>
        <v/>
      </c>
      <c r="AA9850">
        <f>IF(Z9850&gt;Z9849,Z9850,"")</f>
        <v/>
      </c>
      <c r="AB9850">
        <f>AB9849+IF(X9850="",0,IF(ISNA(MATCH(X9850,X$256:X9849,0)),1,0))</f>
        <v/>
      </c>
      <c r="AC9850">
        <f>IF(AB9850&gt;AB9849,AB9850,"")</f>
        <v/>
      </c>
    </row>
    <row r="9851">
      <c r="W9851" s="7" t="n"/>
      <c r="X9851" s="7" t="n"/>
      <c r="Z9851">
        <f>Z9850+IF(W9851="",0,IF(ISNA(MATCH(W9851,W$256:W9850,0)),1,0))</f>
        <v/>
      </c>
      <c r="AA9851">
        <f>IF(Z9851&gt;Z9850,Z9851,"")</f>
        <v/>
      </c>
      <c r="AB9851">
        <f>AB9850+IF(X9851="",0,IF(ISNA(MATCH(X9851,X$256:X9850,0)),1,0))</f>
        <v/>
      </c>
      <c r="AC9851">
        <f>IF(AB9851&gt;AB9850,AB9851,"")</f>
        <v/>
      </c>
    </row>
    <row r="9852">
      <c r="W9852" s="7" t="n"/>
      <c r="X9852" s="7" t="n"/>
      <c r="Z9852">
        <f>Z9851+IF(W9852="",0,IF(ISNA(MATCH(W9852,W$256:W9851,0)),1,0))</f>
        <v/>
      </c>
      <c r="AA9852">
        <f>IF(Z9852&gt;Z9851,Z9852,"")</f>
        <v/>
      </c>
      <c r="AB9852">
        <f>AB9851+IF(X9852="",0,IF(ISNA(MATCH(X9852,X$256:X9851,0)),1,0))</f>
        <v/>
      </c>
      <c r="AC9852">
        <f>IF(AB9852&gt;AB9851,AB9852,"")</f>
        <v/>
      </c>
    </row>
    <row r="9853">
      <c r="W9853" s="7" t="n"/>
      <c r="X9853" s="7" t="n"/>
      <c r="Z9853">
        <f>Z9852+IF(W9853="",0,IF(ISNA(MATCH(W9853,W$256:W9852,0)),1,0))</f>
        <v/>
      </c>
      <c r="AA9853">
        <f>IF(Z9853&gt;Z9852,Z9853,"")</f>
        <v/>
      </c>
      <c r="AB9853">
        <f>AB9852+IF(X9853="",0,IF(ISNA(MATCH(X9853,X$256:X9852,0)),1,0))</f>
        <v/>
      </c>
      <c r="AC9853">
        <f>IF(AB9853&gt;AB9852,AB9853,"")</f>
        <v/>
      </c>
    </row>
    <row r="9854">
      <c r="W9854" s="7" t="n"/>
      <c r="X9854" s="7" t="n"/>
      <c r="Z9854">
        <f>Z9853+IF(W9854="",0,IF(ISNA(MATCH(W9854,W$256:W9853,0)),1,0))</f>
        <v/>
      </c>
      <c r="AA9854">
        <f>IF(Z9854&gt;Z9853,Z9854,"")</f>
        <v/>
      </c>
      <c r="AB9854">
        <f>AB9853+IF(X9854="",0,IF(ISNA(MATCH(X9854,X$256:X9853,0)),1,0))</f>
        <v/>
      </c>
      <c r="AC9854">
        <f>IF(AB9854&gt;AB9853,AB9854,"")</f>
        <v/>
      </c>
    </row>
    <row r="9855">
      <c r="W9855" s="7" t="n"/>
      <c r="X9855" s="7" t="n"/>
      <c r="Z9855">
        <f>Z9854+IF(W9855="",0,IF(ISNA(MATCH(W9855,W$256:W9854,0)),1,0))</f>
        <v/>
      </c>
      <c r="AA9855">
        <f>IF(Z9855&gt;Z9854,Z9855,"")</f>
        <v/>
      </c>
      <c r="AB9855">
        <f>AB9854+IF(X9855="",0,IF(ISNA(MATCH(X9855,X$256:X9854,0)),1,0))</f>
        <v/>
      </c>
      <c r="AC9855">
        <f>IF(AB9855&gt;AB9854,AB9855,"")</f>
        <v/>
      </c>
    </row>
    <row r="9856">
      <c r="W9856" s="7" t="n"/>
      <c r="X9856" s="7" t="n"/>
      <c r="Z9856">
        <f>Z9855+IF(W9856="",0,IF(ISNA(MATCH(W9856,W$256:W9855,0)),1,0))</f>
        <v/>
      </c>
      <c r="AA9856">
        <f>IF(Z9856&gt;Z9855,Z9856,"")</f>
        <v/>
      </c>
      <c r="AB9856">
        <f>AB9855+IF(X9856="",0,IF(ISNA(MATCH(X9856,X$256:X9855,0)),1,0))</f>
        <v/>
      </c>
      <c r="AC9856">
        <f>IF(AB9856&gt;AB9855,AB9856,"")</f>
        <v/>
      </c>
    </row>
    <row r="9857">
      <c r="W9857" s="7" t="n"/>
      <c r="X9857" s="7" t="n"/>
      <c r="Z9857">
        <f>Z9856+IF(W9857="",0,IF(ISNA(MATCH(W9857,W$256:W9856,0)),1,0))</f>
        <v/>
      </c>
      <c r="AA9857">
        <f>IF(Z9857&gt;Z9856,Z9857,"")</f>
        <v/>
      </c>
      <c r="AB9857">
        <f>AB9856+IF(X9857="",0,IF(ISNA(MATCH(X9857,X$256:X9856,0)),1,0))</f>
        <v/>
      </c>
      <c r="AC9857">
        <f>IF(AB9857&gt;AB9856,AB9857,"")</f>
        <v/>
      </c>
    </row>
    <row r="9858">
      <c r="W9858" s="7" t="n"/>
      <c r="X9858" s="7" t="n"/>
      <c r="Z9858">
        <f>Z9857+IF(W9858="",0,IF(ISNA(MATCH(W9858,W$256:W9857,0)),1,0))</f>
        <v/>
      </c>
      <c r="AA9858">
        <f>IF(Z9858&gt;Z9857,Z9858,"")</f>
        <v/>
      </c>
      <c r="AB9858">
        <f>AB9857+IF(X9858="",0,IF(ISNA(MATCH(X9858,X$256:X9857,0)),1,0))</f>
        <v/>
      </c>
      <c r="AC9858">
        <f>IF(AB9858&gt;AB9857,AB9858,"")</f>
        <v/>
      </c>
    </row>
    <row r="9859">
      <c r="W9859" s="7" t="n"/>
      <c r="X9859" s="7" t="n"/>
      <c r="Z9859">
        <f>Z9858+IF(W9859="",0,IF(ISNA(MATCH(W9859,W$256:W9858,0)),1,0))</f>
        <v/>
      </c>
      <c r="AA9859">
        <f>IF(Z9859&gt;Z9858,Z9859,"")</f>
        <v/>
      </c>
      <c r="AB9859">
        <f>AB9858+IF(X9859="",0,IF(ISNA(MATCH(X9859,X$256:X9858,0)),1,0))</f>
        <v/>
      </c>
      <c r="AC9859">
        <f>IF(AB9859&gt;AB9858,AB9859,"")</f>
        <v/>
      </c>
    </row>
    <row r="9860">
      <c r="W9860" s="7" t="n"/>
      <c r="X9860" s="7" t="n"/>
      <c r="Z9860">
        <f>Z9859+IF(W9860="",0,IF(ISNA(MATCH(W9860,W$256:W9859,0)),1,0))</f>
        <v/>
      </c>
      <c r="AA9860">
        <f>IF(Z9860&gt;Z9859,Z9860,"")</f>
        <v/>
      </c>
      <c r="AB9860">
        <f>AB9859+IF(X9860="",0,IF(ISNA(MATCH(X9860,X$256:X9859,0)),1,0))</f>
        <v/>
      </c>
      <c r="AC9860">
        <f>IF(AB9860&gt;AB9859,AB9860,"")</f>
        <v/>
      </c>
    </row>
    <row r="9861">
      <c r="W9861" s="7" t="n"/>
      <c r="X9861" s="7" t="n"/>
      <c r="Z9861">
        <f>Z9860+IF(W9861="",0,IF(ISNA(MATCH(W9861,W$256:W9860,0)),1,0))</f>
        <v/>
      </c>
      <c r="AA9861">
        <f>IF(Z9861&gt;Z9860,Z9861,"")</f>
        <v/>
      </c>
      <c r="AB9861">
        <f>AB9860+IF(X9861="",0,IF(ISNA(MATCH(X9861,X$256:X9860,0)),1,0))</f>
        <v/>
      </c>
      <c r="AC9861">
        <f>IF(AB9861&gt;AB9860,AB9861,"")</f>
        <v/>
      </c>
    </row>
    <row r="9862">
      <c r="W9862" s="7" t="n"/>
      <c r="X9862" s="7" t="n"/>
      <c r="Z9862">
        <f>Z9861+IF(W9862="",0,IF(ISNA(MATCH(W9862,W$256:W9861,0)),1,0))</f>
        <v/>
      </c>
      <c r="AA9862">
        <f>IF(Z9862&gt;Z9861,Z9862,"")</f>
        <v/>
      </c>
      <c r="AB9862">
        <f>AB9861+IF(X9862="",0,IF(ISNA(MATCH(X9862,X$256:X9861,0)),1,0))</f>
        <v/>
      </c>
      <c r="AC9862">
        <f>IF(AB9862&gt;AB9861,AB9862,"")</f>
        <v/>
      </c>
    </row>
    <row r="9863">
      <c r="W9863" s="7" t="n"/>
      <c r="X9863" s="7" t="n"/>
      <c r="Z9863">
        <f>Z9862+IF(W9863="",0,IF(ISNA(MATCH(W9863,W$256:W9862,0)),1,0))</f>
        <v/>
      </c>
      <c r="AA9863">
        <f>IF(Z9863&gt;Z9862,Z9863,"")</f>
        <v/>
      </c>
      <c r="AB9863">
        <f>AB9862+IF(X9863="",0,IF(ISNA(MATCH(X9863,X$256:X9862,0)),1,0))</f>
        <v/>
      </c>
      <c r="AC9863">
        <f>IF(AB9863&gt;AB9862,AB9863,"")</f>
        <v/>
      </c>
    </row>
    <row r="9864">
      <c r="W9864" s="7" t="n"/>
      <c r="X9864" s="7" t="n"/>
      <c r="Z9864">
        <f>Z9863+IF(W9864="",0,IF(ISNA(MATCH(W9864,W$256:W9863,0)),1,0))</f>
        <v/>
      </c>
      <c r="AA9864">
        <f>IF(Z9864&gt;Z9863,Z9864,"")</f>
        <v/>
      </c>
      <c r="AB9864">
        <f>AB9863+IF(X9864="",0,IF(ISNA(MATCH(X9864,X$256:X9863,0)),1,0))</f>
        <v/>
      </c>
      <c r="AC9864">
        <f>IF(AB9864&gt;AB9863,AB9864,"")</f>
        <v/>
      </c>
    </row>
    <row r="9865">
      <c r="W9865" s="7" t="n"/>
      <c r="X9865" s="7" t="n"/>
      <c r="Z9865">
        <f>Z9864+IF(W9865="",0,IF(ISNA(MATCH(W9865,W$256:W9864,0)),1,0))</f>
        <v/>
      </c>
      <c r="AA9865">
        <f>IF(Z9865&gt;Z9864,Z9865,"")</f>
        <v/>
      </c>
      <c r="AB9865">
        <f>AB9864+IF(X9865="",0,IF(ISNA(MATCH(X9865,X$256:X9864,0)),1,0))</f>
        <v/>
      </c>
      <c r="AC9865">
        <f>IF(AB9865&gt;AB9864,AB9865,"")</f>
        <v/>
      </c>
    </row>
    <row r="9866">
      <c r="W9866" s="7" t="n"/>
      <c r="X9866" s="7" t="n"/>
      <c r="Z9866">
        <f>Z9865+IF(W9866="",0,IF(ISNA(MATCH(W9866,W$256:W9865,0)),1,0))</f>
        <v/>
      </c>
      <c r="AA9866">
        <f>IF(Z9866&gt;Z9865,Z9866,"")</f>
        <v/>
      </c>
      <c r="AB9866">
        <f>AB9865+IF(X9866="",0,IF(ISNA(MATCH(X9866,X$256:X9865,0)),1,0))</f>
        <v/>
      </c>
      <c r="AC9866">
        <f>IF(AB9866&gt;AB9865,AB9866,"")</f>
        <v/>
      </c>
    </row>
    <row r="9867">
      <c r="W9867" s="7" t="n"/>
      <c r="X9867" s="7" t="n"/>
      <c r="Z9867">
        <f>Z9866+IF(W9867="",0,IF(ISNA(MATCH(W9867,W$256:W9866,0)),1,0))</f>
        <v/>
      </c>
      <c r="AA9867">
        <f>IF(Z9867&gt;Z9866,Z9867,"")</f>
        <v/>
      </c>
      <c r="AB9867">
        <f>AB9866+IF(X9867="",0,IF(ISNA(MATCH(X9867,X$256:X9866,0)),1,0))</f>
        <v/>
      </c>
      <c r="AC9867">
        <f>IF(AB9867&gt;AB9866,AB9867,"")</f>
        <v/>
      </c>
    </row>
    <row r="9868">
      <c r="W9868" s="7" t="n"/>
      <c r="X9868" s="7" t="n"/>
      <c r="Z9868">
        <f>Z9867+IF(W9868="",0,IF(ISNA(MATCH(W9868,W$256:W9867,0)),1,0))</f>
        <v/>
      </c>
      <c r="AA9868">
        <f>IF(Z9868&gt;Z9867,Z9868,"")</f>
        <v/>
      </c>
      <c r="AB9868">
        <f>AB9867+IF(X9868="",0,IF(ISNA(MATCH(X9868,X$256:X9867,0)),1,0))</f>
        <v/>
      </c>
      <c r="AC9868">
        <f>IF(AB9868&gt;AB9867,AB9868,"")</f>
        <v/>
      </c>
    </row>
    <row r="9869">
      <c r="W9869" s="7" t="n"/>
      <c r="X9869" s="7" t="n"/>
      <c r="Z9869">
        <f>Z9868+IF(W9869="",0,IF(ISNA(MATCH(W9869,W$256:W9868,0)),1,0))</f>
        <v/>
      </c>
      <c r="AA9869">
        <f>IF(Z9869&gt;Z9868,Z9869,"")</f>
        <v/>
      </c>
      <c r="AB9869">
        <f>AB9868+IF(X9869="",0,IF(ISNA(MATCH(X9869,X$256:X9868,0)),1,0))</f>
        <v/>
      </c>
      <c r="AC9869">
        <f>IF(AB9869&gt;AB9868,AB9869,"")</f>
        <v/>
      </c>
    </row>
    <row r="9870">
      <c r="W9870" s="7" t="n"/>
      <c r="X9870" s="7" t="n"/>
      <c r="Z9870">
        <f>Z9869+IF(W9870="",0,IF(ISNA(MATCH(W9870,W$256:W9869,0)),1,0))</f>
        <v/>
      </c>
      <c r="AA9870">
        <f>IF(Z9870&gt;Z9869,Z9870,"")</f>
        <v/>
      </c>
      <c r="AB9870">
        <f>AB9869+IF(X9870="",0,IF(ISNA(MATCH(X9870,X$256:X9869,0)),1,0))</f>
        <v/>
      </c>
      <c r="AC9870">
        <f>IF(AB9870&gt;AB9869,AB9870,"")</f>
        <v/>
      </c>
    </row>
    <row r="9871">
      <c r="W9871" s="7" t="n"/>
      <c r="X9871" s="7" t="n"/>
      <c r="Z9871">
        <f>Z9870+IF(W9871="",0,IF(ISNA(MATCH(W9871,W$256:W9870,0)),1,0))</f>
        <v/>
      </c>
      <c r="AA9871">
        <f>IF(Z9871&gt;Z9870,Z9871,"")</f>
        <v/>
      </c>
      <c r="AB9871">
        <f>AB9870+IF(X9871="",0,IF(ISNA(MATCH(X9871,X$256:X9870,0)),1,0))</f>
        <v/>
      </c>
      <c r="AC9871">
        <f>IF(AB9871&gt;AB9870,AB9871,"")</f>
        <v/>
      </c>
    </row>
    <row r="9872">
      <c r="W9872" s="7" t="n"/>
      <c r="X9872" s="7" t="n"/>
      <c r="Z9872">
        <f>Z9871+IF(W9872="",0,IF(ISNA(MATCH(W9872,W$256:W9871,0)),1,0))</f>
        <v/>
      </c>
      <c r="AA9872">
        <f>IF(Z9872&gt;Z9871,Z9872,"")</f>
        <v/>
      </c>
      <c r="AB9872">
        <f>AB9871+IF(X9872="",0,IF(ISNA(MATCH(X9872,X$256:X9871,0)),1,0))</f>
        <v/>
      </c>
      <c r="AC9872">
        <f>IF(AB9872&gt;AB9871,AB9872,"")</f>
        <v/>
      </c>
    </row>
    <row r="9873">
      <c r="W9873" s="7" t="n"/>
      <c r="X9873" s="7" t="n"/>
      <c r="Z9873">
        <f>Z9872+IF(W9873="",0,IF(ISNA(MATCH(W9873,W$256:W9872,0)),1,0))</f>
        <v/>
      </c>
      <c r="AA9873">
        <f>IF(Z9873&gt;Z9872,Z9873,"")</f>
        <v/>
      </c>
      <c r="AB9873">
        <f>AB9872+IF(X9873="",0,IF(ISNA(MATCH(X9873,X$256:X9872,0)),1,0))</f>
        <v/>
      </c>
      <c r="AC9873">
        <f>IF(AB9873&gt;AB9872,AB9873,"")</f>
        <v/>
      </c>
    </row>
    <row r="9874">
      <c r="W9874" s="7" t="n"/>
      <c r="X9874" s="7" t="n"/>
      <c r="Z9874">
        <f>Z9873+IF(W9874="",0,IF(ISNA(MATCH(W9874,W$256:W9873,0)),1,0))</f>
        <v/>
      </c>
      <c r="AA9874">
        <f>IF(Z9874&gt;Z9873,Z9874,"")</f>
        <v/>
      </c>
      <c r="AB9874">
        <f>AB9873+IF(X9874="",0,IF(ISNA(MATCH(X9874,X$256:X9873,0)),1,0))</f>
        <v/>
      </c>
      <c r="AC9874">
        <f>IF(AB9874&gt;AB9873,AB9874,"")</f>
        <v/>
      </c>
    </row>
    <row r="9875">
      <c r="W9875" s="7" t="n"/>
      <c r="X9875" s="7" t="n"/>
      <c r="Z9875">
        <f>Z9874+IF(W9875="",0,IF(ISNA(MATCH(W9875,W$256:W9874,0)),1,0))</f>
        <v/>
      </c>
      <c r="AA9875">
        <f>IF(Z9875&gt;Z9874,Z9875,"")</f>
        <v/>
      </c>
      <c r="AB9875">
        <f>AB9874+IF(X9875="",0,IF(ISNA(MATCH(X9875,X$256:X9874,0)),1,0))</f>
        <v/>
      </c>
      <c r="AC9875">
        <f>IF(AB9875&gt;AB9874,AB9875,"")</f>
        <v/>
      </c>
    </row>
    <row r="9876">
      <c r="W9876" s="7" t="n"/>
      <c r="X9876" s="7" t="n"/>
      <c r="Z9876">
        <f>Z9875+IF(W9876="",0,IF(ISNA(MATCH(W9876,W$256:W9875,0)),1,0))</f>
        <v/>
      </c>
      <c r="AA9876">
        <f>IF(Z9876&gt;Z9875,Z9876,"")</f>
        <v/>
      </c>
      <c r="AB9876">
        <f>AB9875+IF(X9876="",0,IF(ISNA(MATCH(X9876,X$256:X9875,0)),1,0))</f>
        <v/>
      </c>
      <c r="AC9876">
        <f>IF(AB9876&gt;AB9875,AB9876,"")</f>
        <v/>
      </c>
    </row>
    <row r="9877">
      <c r="W9877" s="7" t="n"/>
      <c r="X9877" s="7" t="n"/>
      <c r="Z9877">
        <f>Z9876+IF(W9877="",0,IF(ISNA(MATCH(W9877,W$256:W9876,0)),1,0))</f>
        <v/>
      </c>
      <c r="AA9877">
        <f>IF(Z9877&gt;Z9876,Z9877,"")</f>
        <v/>
      </c>
      <c r="AB9877">
        <f>AB9876+IF(X9877="",0,IF(ISNA(MATCH(X9877,X$256:X9876,0)),1,0))</f>
        <v/>
      </c>
      <c r="AC9877">
        <f>IF(AB9877&gt;AB9876,AB9877,"")</f>
        <v/>
      </c>
    </row>
    <row r="9878">
      <c r="W9878" s="7" t="n"/>
      <c r="X9878" s="7" t="n"/>
      <c r="Z9878">
        <f>Z9877+IF(W9878="",0,IF(ISNA(MATCH(W9878,W$256:W9877,0)),1,0))</f>
        <v/>
      </c>
      <c r="AA9878">
        <f>IF(Z9878&gt;Z9877,Z9878,"")</f>
        <v/>
      </c>
      <c r="AB9878">
        <f>AB9877+IF(X9878="",0,IF(ISNA(MATCH(X9878,X$256:X9877,0)),1,0))</f>
        <v/>
      </c>
      <c r="AC9878">
        <f>IF(AB9878&gt;AB9877,AB9878,"")</f>
        <v/>
      </c>
    </row>
    <row r="9879">
      <c r="W9879" s="7" t="n"/>
      <c r="X9879" s="7" t="n"/>
      <c r="Z9879">
        <f>Z9878+IF(W9879="",0,IF(ISNA(MATCH(W9879,W$256:W9878,0)),1,0))</f>
        <v/>
      </c>
      <c r="AA9879">
        <f>IF(Z9879&gt;Z9878,Z9879,"")</f>
        <v/>
      </c>
      <c r="AB9879">
        <f>AB9878+IF(X9879="",0,IF(ISNA(MATCH(X9879,X$256:X9878,0)),1,0))</f>
        <v/>
      </c>
      <c r="AC9879">
        <f>IF(AB9879&gt;AB9878,AB9879,"")</f>
        <v/>
      </c>
    </row>
    <row r="9880">
      <c r="W9880" s="7" t="n"/>
      <c r="X9880" s="7" t="n"/>
      <c r="Z9880">
        <f>Z9879+IF(W9880="",0,IF(ISNA(MATCH(W9880,W$256:W9879,0)),1,0))</f>
        <v/>
      </c>
      <c r="AA9880">
        <f>IF(Z9880&gt;Z9879,Z9880,"")</f>
        <v/>
      </c>
      <c r="AB9880">
        <f>AB9879+IF(X9880="",0,IF(ISNA(MATCH(X9880,X$256:X9879,0)),1,0))</f>
        <v/>
      </c>
      <c r="AC9880">
        <f>IF(AB9880&gt;AB9879,AB9880,"")</f>
        <v/>
      </c>
    </row>
    <row r="9881">
      <c r="W9881" s="7" t="n"/>
      <c r="X9881" s="7" t="n"/>
      <c r="Z9881">
        <f>Z9880+IF(W9881="",0,IF(ISNA(MATCH(W9881,W$256:W9880,0)),1,0))</f>
        <v/>
      </c>
      <c r="AA9881">
        <f>IF(Z9881&gt;Z9880,Z9881,"")</f>
        <v/>
      </c>
      <c r="AB9881">
        <f>AB9880+IF(X9881="",0,IF(ISNA(MATCH(X9881,X$256:X9880,0)),1,0))</f>
        <v/>
      </c>
      <c r="AC9881">
        <f>IF(AB9881&gt;AB9880,AB9881,"")</f>
        <v/>
      </c>
    </row>
    <row r="9882">
      <c r="W9882" s="7" t="n"/>
      <c r="X9882" s="7" t="n"/>
      <c r="Z9882">
        <f>Z9881+IF(W9882="",0,IF(ISNA(MATCH(W9882,W$256:W9881,0)),1,0))</f>
        <v/>
      </c>
      <c r="AA9882">
        <f>IF(Z9882&gt;Z9881,Z9882,"")</f>
        <v/>
      </c>
      <c r="AB9882">
        <f>AB9881+IF(X9882="",0,IF(ISNA(MATCH(X9882,X$256:X9881,0)),1,0))</f>
        <v/>
      </c>
      <c r="AC9882">
        <f>IF(AB9882&gt;AB9881,AB9882,"")</f>
        <v/>
      </c>
    </row>
    <row r="9883">
      <c r="W9883" s="7" t="n"/>
      <c r="X9883" s="7" t="n"/>
      <c r="Z9883">
        <f>Z9882+IF(W9883="",0,IF(ISNA(MATCH(W9883,W$256:W9882,0)),1,0))</f>
        <v/>
      </c>
      <c r="AA9883">
        <f>IF(Z9883&gt;Z9882,Z9883,"")</f>
        <v/>
      </c>
      <c r="AB9883">
        <f>AB9882+IF(X9883="",0,IF(ISNA(MATCH(X9883,X$256:X9882,0)),1,0))</f>
        <v/>
      </c>
      <c r="AC9883">
        <f>IF(AB9883&gt;AB9882,AB9883,"")</f>
        <v/>
      </c>
    </row>
    <row r="9884">
      <c r="W9884" s="7" t="n"/>
      <c r="X9884" s="7" t="n"/>
      <c r="Z9884">
        <f>Z9883+IF(W9884="",0,IF(ISNA(MATCH(W9884,W$256:W9883,0)),1,0))</f>
        <v/>
      </c>
      <c r="AA9884">
        <f>IF(Z9884&gt;Z9883,Z9884,"")</f>
        <v/>
      </c>
      <c r="AB9884">
        <f>AB9883+IF(X9884="",0,IF(ISNA(MATCH(X9884,X$256:X9883,0)),1,0))</f>
        <v/>
      </c>
      <c r="AC9884">
        <f>IF(AB9884&gt;AB9883,AB9884,"")</f>
        <v/>
      </c>
    </row>
    <row r="9885">
      <c r="W9885" s="7" t="n"/>
      <c r="X9885" s="7" t="n"/>
      <c r="Z9885">
        <f>Z9884+IF(W9885="",0,IF(ISNA(MATCH(W9885,W$256:W9884,0)),1,0))</f>
        <v/>
      </c>
      <c r="AA9885">
        <f>IF(Z9885&gt;Z9884,Z9885,"")</f>
        <v/>
      </c>
      <c r="AB9885">
        <f>AB9884+IF(X9885="",0,IF(ISNA(MATCH(X9885,X$256:X9884,0)),1,0))</f>
        <v/>
      </c>
      <c r="AC9885">
        <f>IF(AB9885&gt;AB9884,AB9885,"")</f>
        <v/>
      </c>
    </row>
    <row r="9886">
      <c r="W9886" s="7" t="n"/>
      <c r="X9886" s="7" t="n"/>
      <c r="Z9886">
        <f>Z9885+IF(W9886="",0,IF(ISNA(MATCH(W9886,W$256:W9885,0)),1,0))</f>
        <v/>
      </c>
      <c r="AA9886">
        <f>IF(Z9886&gt;Z9885,Z9886,"")</f>
        <v/>
      </c>
      <c r="AB9886">
        <f>AB9885+IF(X9886="",0,IF(ISNA(MATCH(X9886,X$256:X9885,0)),1,0))</f>
        <v/>
      </c>
      <c r="AC9886">
        <f>IF(AB9886&gt;AB9885,AB9886,"")</f>
        <v/>
      </c>
    </row>
    <row r="9887">
      <c r="W9887" s="7" t="n"/>
      <c r="X9887" s="7" t="n"/>
      <c r="Z9887">
        <f>Z9886+IF(W9887="",0,IF(ISNA(MATCH(W9887,W$256:W9886,0)),1,0))</f>
        <v/>
      </c>
      <c r="AA9887">
        <f>IF(Z9887&gt;Z9886,Z9887,"")</f>
        <v/>
      </c>
      <c r="AB9887">
        <f>AB9886+IF(X9887="",0,IF(ISNA(MATCH(X9887,X$256:X9886,0)),1,0))</f>
        <v/>
      </c>
      <c r="AC9887">
        <f>IF(AB9887&gt;AB9886,AB9887,"")</f>
        <v/>
      </c>
    </row>
    <row r="9888">
      <c r="W9888" s="7" t="n"/>
      <c r="X9888" s="7" t="n"/>
      <c r="Z9888">
        <f>Z9887+IF(W9888="",0,IF(ISNA(MATCH(W9888,W$256:W9887,0)),1,0))</f>
        <v/>
      </c>
      <c r="AA9888">
        <f>IF(Z9888&gt;Z9887,Z9888,"")</f>
        <v/>
      </c>
      <c r="AB9888">
        <f>AB9887+IF(X9888="",0,IF(ISNA(MATCH(X9888,X$256:X9887,0)),1,0))</f>
        <v/>
      </c>
      <c r="AC9888">
        <f>IF(AB9888&gt;AB9887,AB9888,"")</f>
        <v/>
      </c>
    </row>
    <row r="9889">
      <c r="W9889" s="7" t="n"/>
      <c r="X9889" s="7" t="n"/>
      <c r="Z9889">
        <f>Z9888+IF(W9889="",0,IF(ISNA(MATCH(W9889,W$256:W9888,0)),1,0))</f>
        <v/>
      </c>
      <c r="AA9889">
        <f>IF(Z9889&gt;Z9888,Z9889,"")</f>
        <v/>
      </c>
      <c r="AB9889">
        <f>AB9888+IF(X9889="",0,IF(ISNA(MATCH(X9889,X$256:X9888,0)),1,0))</f>
        <v/>
      </c>
      <c r="AC9889">
        <f>IF(AB9889&gt;AB9888,AB9889,"")</f>
        <v/>
      </c>
    </row>
    <row r="9890">
      <c r="W9890" s="7" t="n"/>
      <c r="X9890" s="7" t="n"/>
      <c r="Z9890">
        <f>Z9889+IF(W9890="",0,IF(ISNA(MATCH(W9890,W$256:W9889,0)),1,0))</f>
        <v/>
      </c>
      <c r="AA9890">
        <f>IF(Z9890&gt;Z9889,Z9890,"")</f>
        <v/>
      </c>
      <c r="AB9890">
        <f>AB9889+IF(X9890="",0,IF(ISNA(MATCH(X9890,X$256:X9889,0)),1,0))</f>
        <v/>
      </c>
      <c r="AC9890">
        <f>IF(AB9890&gt;AB9889,AB9890,"")</f>
        <v/>
      </c>
    </row>
    <row r="9891">
      <c r="W9891" s="7" t="n"/>
      <c r="X9891" s="7" t="n"/>
      <c r="Z9891">
        <f>Z9890+IF(W9891="",0,IF(ISNA(MATCH(W9891,W$256:W9890,0)),1,0))</f>
        <v/>
      </c>
      <c r="AA9891">
        <f>IF(Z9891&gt;Z9890,Z9891,"")</f>
        <v/>
      </c>
      <c r="AB9891">
        <f>AB9890+IF(X9891="",0,IF(ISNA(MATCH(X9891,X$256:X9890,0)),1,0))</f>
        <v/>
      </c>
      <c r="AC9891">
        <f>IF(AB9891&gt;AB9890,AB9891,"")</f>
        <v/>
      </c>
    </row>
    <row r="9892">
      <c r="W9892" s="7" t="n"/>
      <c r="X9892" s="7" t="n"/>
      <c r="Z9892">
        <f>Z9891+IF(W9892="",0,IF(ISNA(MATCH(W9892,W$256:W9891,0)),1,0))</f>
        <v/>
      </c>
      <c r="AA9892">
        <f>IF(Z9892&gt;Z9891,Z9892,"")</f>
        <v/>
      </c>
      <c r="AB9892">
        <f>AB9891+IF(X9892="",0,IF(ISNA(MATCH(X9892,X$256:X9891,0)),1,0))</f>
        <v/>
      </c>
      <c r="AC9892">
        <f>IF(AB9892&gt;AB9891,AB9892,"")</f>
        <v/>
      </c>
    </row>
    <row r="9893">
      <c r="W9893" s="7" t="n"/>
      <c r="X9893" s="7" t="n"/>
      <c r="Z9893">
        <f>Z9892+IF(W9893="",0,IF(ISNA(MATCH(W9893,W$256:W9892,0)),1,0))</f>
        <v/>
      </c>
      <c r="AA9893">
        <f>IF(Z9893&gt;Z9892,Z9893,"")</f>
        <v/>
      </c>
      <c r="AB9893">
        <f>AB9892+IF(X9893="",0,IF(ISNA(MATCH(X9893,X$256:X9892,0)),1,0))</f>
        <v/>
      </c>
      <c r="AC9893">
        <f>IF(AB9893&gt;AB9892,AB9893,"")</f>
        <v/>
      </c>
    </row>
    <row r="9894">
      <c r="W9894" s="7" t="n"/>
      <c r="X9894" s="7" t="n"/>
      <c r="Z9894">
        <f>Z9893+IF(W9894="",0,IF(ISNA(MATCH(W9894,W$256:W9893,0)),1,0))</f>
        <v/>
      </c>
      <c r="AA9894">
        <f>IF(Z9894&gt;Z9893,Z9894,"")</f>
        <v/>
      </c>
      <c r="AB9894">
        <f>AB9893+IF(X9894="",0,IF(ISNA(MATCH(X9894,X$256:X9893,0)),1,0))</f>
        <v/>
      </c>
      <c r="AC9894">
        <f>IF(AB9894&gt;AB9893,AB9894,"")</f>
        <v/>
      </c>
    </row>
    <row r="9895">
      <c r="W9895" s="7" t="n"/>
      <c r="X9895" s="7" t="n"/>
      <c r="Z9895">
        <f>Z9894+IF(W9895="",0,IF(ISNA(MATCH(W9895,W$256:W9894,0)),1,0))</f>
        <v/>
      </c>
      <c r="AA9895">
        <f>IF(Z9895&gt;Z9894,Z9895,"")</f>
        <v/>
      </c>
      <c r="AB9895">
        <f>AB9894+IF(X9895="",0,IF(ISNA(MATCH(X9895,X$256:X9894,0)),1,0))</f>
        <v/>
      </c>
      <c r="AC9895">
        <f>IF(AB9895&gt;AB9894,AB9895,"")</f>
        <v/>
      </c>
    </row>
    <row r="9896">
      <c r="W9896" s="7" t="n"/>
      <c r="X9896" s="7" t="n"/>
      <c r="Z9896">
        <f>Z9895+IF(W9896="",0,IF(ISNA(MATCH(W9896,W$256:W9895,0)),1,0))</f>
        <v/>
      </c>
      <c r="AA9896">
        <f>IF(Z9896&gt;Z9895,Z9896,"")</f>
        <v/>
      </c>
      <c r="AB9896">
        <f>AB9895+IF(X9896="",0,IF(ISNA(MATCH(X9896,X$256:X9895,0)),1,0))</f>
        <v/>
      </c>
      <c r="AC9896">
        <f>IF(AB9896&gt;AB9895,AB9896,"")</f>
        <v/>
      </c>
    </row>
    <row r="9897">
      <c r="W9897" s="7" t="n"/>
      <c r="X9897" s="7" t="n"/>
      <c r="Z9897">
        <f>Z9896+IF(W9897="",0,IF(ISNA(MATCH(W9897,W$256:W9896,0)),1,0))</f>
        <v/>
      </c>
      <c r="AA9897">
        <f>IF(Z9897&gt;Z9896,Z9897,"")</f>
        <v/>
      </c>
      <c r="AB9897">
        <f>AB9896+IF(X9897="",0,IF(ISNA(MATCH(X9897,X$256:X9896,0)),1,0))</f>
        <v/>
      </c>
      <c r="AC9897">
        <f>IF(AB9897&gt;AB9896,AB9897,"")</f>
        <v/>
      </c>
    </row>
    <row r="9898">
      <c r="W9898" s="7" t="n"/>
      <c r="X9898" s="7" t="n"/>
      <c r="Z9898">
        <f>Z9897+IF(W9898="",0,IF(ISNA(MATCH(W9898,W$256:W9897,0)),1,0))</f>
        <v/>
      </c>
      <c r="AA9898">
        <f>IF(Z9898&gt;Z9897,Z9898,"")</f>
        <v/>
      </c>
      <c r="AB9898">
        <f>AB9897+IF(X9898="",0,IF(ISNA(MATCH(X9898,X$256:X9897,0)),1,0))</f>
        <v/>
      </c>
      <c r="AC9898">
        <f>IF(AB9898&gt;AB9897,AB9898,"")</f>
        <v/>
      </c>
    </row>
    <row r="9899">
      <c r="W9899" s="7" t="n"/>
      <c r="X9899" s="7" t="n"/>
      <c r="Z9899">
        <f>Z9898+IF(W9899="",0,IF(ISNA(MATCH(W9899,W$256:W9898,0)),1,0))</f>
        <v/>
      </c>
      <c r="AA9899">
        <f>IF(Z9899&gt;Z9898,Z9899,"")</f>
        <v/>
      </c>
      <c r="AB9899">
        <f>AB9898+IF(X9899="",0,IF(ISNA(MATCH(X9899,X$256:X9898,0)),1,0))</f>
        <v/>
      </c>
      <c r="AC9899">
        <f>IF(AB9899&gt;AB9898,AB9899,"")</f>
        <v/>
      </c>
    </row>
    <row r="9900">
      <c r="W9900" s="7" t="n"/>
      <c r="X9900" s="7" t="n"/>
      <c r="Z9900">
        <f>Z9899+IF(W9900="",0,IF(ISNA(MATCH(W9900,W$256:W9899,0)),1,0))</f>
        <v/>
      </c>
      <c r="AA9900">
        <f>IF(Z9900&gt;Z9899,Z9900,"")</f>
        <v/>
      </c>
      <c r="AB9900">
        <f>AB9899+IF(X9900="",0,IF(ISNA(MATCH(X9900,X$256:X9899,0)),1,0))</f>
        <v/>
      </c>
      <c r="AC9900">
        <f>IF(AB9900&gt;AB9899,AB9900,"")</f>
        <v/>
      </c>
    </row>
    <row r="9901">
      <c r="W9901" s="7" t="n"/>
      <c r="X9901" s="7" t="n"/>
      <c r="Z9901">
        <f>Z9900+IF(W9901="",0,IF(ISNA(MATCH(W9901,W$256:W9900,0)),1,0))</f>
        <v/>
      </c>
      <c r="AA9901">
        <f>IF(Z9901&gt;Z9900,Z9901,"")</f>
        <v/>
      </c>
      <c r="AB9901">
        <f>AB9900+IF(X9901="",0,IF(ISNA(MATCH(X9901,X$256:X9900,0)),1,0))</f>
        <v/>
      </c>
      <c r="AC9901">
        <f>IF(AB9901&gt;AB9900,AB9901,"")</f>
        <v/>
      </c>
    </row>
    <row r="9902">
      <c r="W9902" s="7" t="n"/>
      <c r="X9902" s="7" t="n"/>
      <c r="Z9902">
        <f>Z9901+IF(W9902="",0,IF(ISNA(MATCH(W9902,W$256:W9901,0)),1,0))</f>
        <v/>
      </c>
      <c r="AA9902">
        <f>IF(Z9902&gt;Z9901,Z9902,"")</f>
        <v/>
      </c>
      <c r="AB9902">
        <f>AB9901+IF(X9902="",0,IF(ISNA(MATCH(X9902,X$256:X9901,0)),1,0))</f>
        <v/>
      </c>
      <c r="AC9902">
        <f>IF(AB9902&gt;AB9901,AB9902,"")</f>
        <v/>
      </c>
    </row>
    <row r="9903">
      <c r="W9903" s="7" t="n"/>
      <c r="X9903" s="7" t="n"/>
      <c r="Z9903">
        <f>Z9902+IF(W9903="",0,IF(ISNA(MATCH(W9903,W$256:W9902,0)),1,0))</f>
        <v/>
      </c>
      <c r="AA9903">
        <f>IF(Z9903&gt;Z9902,Z9903,"")</f>
        <v/>
      </c>
      <c r="AB9903">
        <f>AB9902+IF(X9903="",0,IF(ISNA(MATCH(X9903,X$256:X9902,0)),1,0))</f>
        <v/>
      </c>
      <c r="AC9903">
        <f>IF(AB9903&gt;AB9902,AB9903,"")</f>
        <v/>
      </c>
    </row>
    <row r="9904">
      <c r="W9904" s="7" t="n"/>
      <c r="X9904" s="7" t="n"/>
      <c r="Z9904">
        <f>Z9903+IF(W9904="",0,IF(ISNA(MATCH(W9904,W$256:W9903,0)),1,0))</f>
        <v/>
      </c>
      <c r="AA9904">
        <f>IF(Z9904&gt;Z9903,Z9904,"")</f>
        <v/>
      </c>
      <c r="AB9904">
        <f>AB9903+IF(X9904="",0,IF(ISNA(MATCH(X9904,X$256:X9903,0)),1,0))</f>
        <v/>
      </c>
      <c r="AC9904">
        <f>IF(AB9904&gt;AB9903,AB9904,"")</f>
        <v/>
      </c>
    </row>
    <row r="9905">
      <c r="W9905" s="7" t="n"/>
      <c r="X9905" s="7" t="n"/>
      <c r="Z9905">
        <f>Z9904+IF(W9905="",0,IF(ISNA(MATCH(W9905,W$256:W9904,0)),1,0))</f>
        <v/>
      </c>
      <c r="AA9905">
        <f>IF(Z9905&gt;Z9904,Z9905,"")</f>
        <v/>
      </c>
      <c r="AB9905">
        <f>AB9904+IF(X9905="",0,IF(ISNA(MATCH(X9905,X$256:X9904,0)),1,0))</f>
        <v/>
      </c>
      <c r="AC9905">
        <f>IF(AB9905&gt;AB9904,AB9905,"")</f>
        <v/>
      </c>
    </row>
    <row r="9906">
      <c r="W9906" s="7" t="n"/>
      <c r="X9906" s="7" t="n"/>
      <c r="Z9906">
        <f>Z9905+IF(W9906="",0,IF(ISNA(MATCH(W9906,W$256:W9905,0)),1,0))</f>
        <v/>
      </c>
      <c r="AA9906">
        <f>IF(Z9906&gt;Z9905,Z9906,"")</f>
        <v/>
      </c>
      <c r="AB9906">
        <f>AB9905+IF(X9906="",0,IF(ISNA(MATCH(X9906,X$256:X9905,0)),1,0))</f>
        <v/>
      </c>
      <c r="AC9906">
        <f>IF(AB9906&gt;AB9905,AB9906,"")</f>
        <v/>
      </c>
    </row>
    <row r="9907">
      <c r="W9907" s="7" t="n"/>
      <c r="X9907" s="7" t="n"/>
      <c r="Z9907">
        <f>Z9906+IF(W9907="",0,IF(ISNA(MATCH(W9907,W$256:W9906,0)),1,0))</f>
        <v/>
      </c>
      <c r="AA9907">
        <f>IF(Z9907&gt;Z9906,Z9907,"")</f>
        <v/>
      </c>
      <c r="AB9907">
        <f>AB9906+IF(X9907="",0,IF(ISNA(MATCH(X9907,X$256:X9906,0)),1,0))</f>
        <v/>
      </c>
      <c r="AC9907">
        <f>IF(AB9907&gt;AB9906,AB9907,"")</f>
        <v/>
      </c>
    </row>
    <row r="9908">
      <c r="W9908" s="7" t="n"/>
      <c r="X9908" s="7" t="n"/>
      <c r="Z9908">
        <f>Z9907+IF(W9908="",0,IF(ISNA(MATCH(W9908,W$256:W9907,0)),1,0))</f>
        <v/>
      </c>
      <c r="AA9908">
        <f>IF(Z9908&gt;Z9907,Z9908,"")</f>
        <v/>
      </c>
      <c r="AB9908">
        <f>AB9907+IF(X9908="",0,IF(ISNA(MATCH(X9908,X$256:X9907,0)),1,0))</f>
        <v/>
      </c>
      <c r="AC9908">
        <f>IF(AB9908&gt;AB9907,AB9908,"")</f>
        <v/>
      </c>
    </row>
    <row r="9909">
      <c r="W9909" s="7" t="n"/>
      <c r="X9909" s="7" t="n"/>
      <c r="Z9909">
        <f>Z9908+IF(W9909="",0,IF(ISNA(MATCH(W9909,W$256:W9908,0)),1,0))</f>
        <v/>
      </c>
      <c r="AA9909">
        <f>IF(Z9909&gt;Z9908,Z9909,"")</f>
        <v/>
      </c>
      <c r="AB9909">
        <f>AB9908+IF(X9909="",0,IF(ISNA(MATCH(X9909,X$256:X9908,0)),1,0))</f>
        <v/>
      </c>
      <c r="AC9909">
        <f>IF(AB9909&gt;AB9908,AB9909,"")</f>
        <v/>
      </c>
    </row>
    <row r="9910">
      <c r="W9910" s="7" t="n"/>
      <c r="X9910" s="7" t="n"/>
      <c r="Z9910">
        <f>Z9909+IF(W9910="",0,IF(ISNA(MATCH(W9910,W$256:W9909,0)),1,0))</f>
        <v/>
      </c>
      <c r="AA9910">
        <f>IF(Z9910&gt;Z9909,Z9910,"")</f>
        <v/>
      </c>
      <c r="AB9910">
        <f>AB9909+IF(X9910="",0,IF(ISNA(MATCH(X9910,X$256:X9909,0)),1,0))</f>
        <v/>
      </c>
      <c r="AC9910">
        <f>IF(AB9910&gt;AB9909,AB9910,"")</f>
        <v/>
      </c>
    </row>
    <row r="9911">
      <c r="W9911" s="7" t="n"/>
      <c r="X9911" s="7" t="n"/>
      <c r="Z9911">
        <f>Z9910+IF(W9911="",0,IF(ISNA(MATCH(W9911,W$256:W9910,0)),1,0))</f>
        <v/>
      </c>
      <c r="AA9911">
        <f>IF(Z9911&gt;Z9910,Z9911,"")</f>
        <v/>
      </c>
      <c r="AB9911">
        <f>AB9910+IF(X9911="",0,IF(ISNA(MATCH(X9911,X$256:X9910,0)),1,0))</f>
        <v/>
      </c>
      <c r="AC9911">
        <f>IF(AB9911&gt;AB9910,AB9911,"")</f>
        <v/>
      </c>
    </row>
    <row r="9912">
      <c r="W9912" s="7" t="n"/>
      <c r="X9912" s="7" t="n"/>
      <c r="Z9912">
        <f>Z9911+IF(W9912="",0,IF(ISNA(MATCH(W9912,W$256:W9911,0)),1,0))</f>
        <v/>
      </c>
      <c r="AA9912">
        <f>IF(Z9912&gt;Z9911,Z9912,"")</f>
        <v/>
      </c>
      <c r="AB9912">
        <f>AB9911+IF(X9912="",0,IF(ISNA(MATCH(X9912,X$256:X9911,0)),1,0))</f>
        <v/>
      </c>
      <c r="AC9912">
        <f>IF(AB9912&gt;AB9911,AB9912,"")</f>
        <v/>
      </c>
    </row>
    <row r="9913">
      <c r="W9913" s="7" t="n"/>
      <c r="X9913" s="7" t="n"/>
      <c r="Z9913">
        <f>Z9912+IF(W9913="",0,IF(ISNA(MATCH(W9913,W$256:W9912,0)),1,0))</f>
        <v/>
      </c>
      <c r="AA9913">
        <f>IF(Z9913&gt;Z9912,Z9913,"")</f>
        <v/>
      </c>
      <c r="AB9913">
        <f>AB9912+IF(X9913="",0,IF(ISNA(MATCH(X9913,X$256:X9912,0)),1,0))</f>
        <v/>
      </c>
      <c r="AC9913">
        <f>IF(AB9913&gt;AB9912,AB9913,"")</f>
        <v/>
      </c>
    </row>
    <row r="9914">
      <c r="W9914" s="7" t="n"/>
      <c r="X9914" s="7" t="n"/>
      <c r="Z9914">
        <f>Z9913+IF(W9914="",0,IF(ISNA(MATCH(W9914,W$256:W9913,0)),1,0))</f>
        <v/>
      </c>
      <c r="AA9914">
        <f>IF(Z9914&gt;Z9913,Z9914,"")</f>
        <v/>
      </c>
      <c r="AB9914">
        <f>AB9913+IF(X9914="",0,IF(ISNA(MATCH(X9914,X$256:X9913,0)),1,0))</f>
        <v/>
      </c>
      <c r="AC9914">
        <f>IF(AB9914&gt;AB9913,AB9914,"")</f>
        <v/>
      </c>
    </row>
    <row r="9915">
      <c r="W9915" s="7" t="n"/>
      <c r="X9915" s="7" t="n"/>
      <c r="Z9915">
        <f>Z9914+IF(W9915="",0,IF(ISNA(MATCH(W9915,W$256:W9914,0)),1,0))</f>
        <v/>
      </c>
      <c r="AA9915">
        <f>IF(Z9915&gt;Z9914,Z9915,"")</f>
        <v/>
      </c>
      <c r="AB9915">
        <f>AB9914+IF(X9915="",0,IF(ISNA(MATCH(X9915,X$256:X9914,0)),1,0))</f>
        <v/>
      </c>
      <c r="AC9915">
        <f>IF(AB9915&gt;AB9914,AB9915,"")</f>
        <v/>
      </c>
    </row>
    <row r="9916">
      <c r="W9916" s="7" t="n"/>
      <c r="X9916" s="7" t="n"/>
      <c r="Z9916">
        <f>Z9915+IF(W9916="",0,IF(ISNA(MATCH(W9916,W$256:W9915,0)),1,0))</f>
        <v/>
      </c>
      <c r="AA9916">
        <f>IF(Z9916&gt;Z9915,Z9916,"")</f>
        <v/>
      </c>
      <c r="AB9916">
        <f>AB9915+IF(X9916="",0,IF(ISNA(MATCH(X9916,X$256:X9915,0)),1,0))</f>
        <v/>
      </c>
      <c r="AC9916">
        <f>IF(AB9916&gt;AB9915,AB9916,"")</f>
        <v/>
      </c>
    </row>
    <row r="9917">
      <c r="W9917" s="7" t="n"/>
      <c r="X9917" s="7" t="n"/>
      <c r="Z9917">
        <f>Z9916+IF(W9917="",0,IF(ISNA(MATCH(W9917,W$256:W9916,0)),1,0))</f>
        <v/>
      </c>
      <c r="AA9917">
        <f>IF(Z9917&gt;Z9916,Z9917,"")</f>
        <v/>
      </c>
      <c r="AB9917">
        <f>AB9916+IF(X9917="",0,IF(ISNA(MATCH(X9917,X$256:X9916,0)),1,0))</f>
        <v/>
      </c>
      <c r="AC9917">
        <f>IF(AB9917&gt;AB9916,AB9917,"")</f>
        <v/>
      </c>
    </row>
    <row r="9918">
      <c r="W9918" s="7" t="n"/>
      <c r="X9918" s="7" t="n"/>
      <c r="Z9918">
        <f>Z9917+IF(W9918="",0,IF(ISNA(MATCH(W9918,W$256:W9917,0)),1,0))</f>
        <v/>
      </c>
      <c r="AA9918">
        <f>IF(Z9918&gt;Z9917,Z9918,"")</f>
        <v/>
      </c>
      <c r="AB9918">
        <f>AB9917+IF(X9918="",0,IF(ISNA(MATCH(X9918,X$256:X9917,0)),1,0))</f>
        <v/>
      </c>
      <c r="AC9918">
        <f>IF(AB9918&gt;AB9917,AB9918,"")</f>
        <v/>
      </c>
    </row>
    <row r="9919">
      <c r="W9919" s="7" t="n"/>
      <c r="X9919" s="7" t="n"/>
      <c r="Z9919">
        <f>Z9918+IF(W9919="",0,IF(ISNA(MATCH(W9919,W$256:W9918,0)),1,0))</f>
        <v/>
      </c>
      <c r="AA9919">
        <f>IF(Z9919&gt;Z9918,Z9919,"")</f>
        <v/>
      </c>
      <c r="AB9919">
        <f>AB9918+IF(X9919="",0,IF(ISNA(MATCH(X9919,X$256:X9918,0)),1,0))</f>
        <v/>
      </c>
      <c r="AC9919">
        <f>IF(AB9919&gt;AB9918,AB9919,"")</f>
        <v/>
      </c>
    </row>
    <row r="9920">
      <c r="W9920" s="7" t="n"/>
      <c r="X9920" s="7" t="n"/>
      <c r="Z9920">
        <f>Z9919+IF(W9920="",0,IF(ISNA(MATCH(W9920,W$256:W9919,0)),1,0))</f>
        <v/>
      </c>
      <c r="AA9920">
        <f>IF(Z9920&gt;Z9919,Z9920,"")</f>
        <v/>
      </c>
      <c r="AB9920">
        <f>AB9919+IF(X9920="",0,IF(ISNA(MATCH(X9920,X$256:X9919,0)),1,0))</f>
        <v/>
      </c>
      <c r="AC9920">
        <f>IF(AB9920&gt;AB9919,AB9920,"")</f>
        <v/>
      </c>
    </row>
    <row r="9921">
      <c r="W9921" s="7" t="n"/>
      <c r="X9921" s="7" t="n"/>
      <c r="Z9921">
        <f>Z9920+IF(W9921="",0,IF(ISNA(MATCH(W9921,W$256:W9920,0)),1,0))</f>
        <v/>
      </c>
      <c r="AA9921">
        <f>IF(Z9921&gt;Z9920,Z9921,"")</f>
        <v/>
      </c>
      <c r="AB9921">
        <f>AB9920+IF(X9921="",0,IF(ISNA(MATCH(X9921,X$256:X9920,0)),1,0))</f>
        <v/>
      </c>
      <c r="AC9921">
        <f>IF(AB9921&gt;AB9920,AB9921,"")</f>
        <v/>
      </c>
    </row>
    <row r="9922">
      <c r="W9922" s="7" t="n"/>
      <c r="X9922" s="7" t="n"/>
      <c r="Z9922">
        <f>Z9921+IF(W9922="",0,IF(ISNA(MATCH(W9922,W$256:W9921,0)),1,0))</f>
        <v/>
      </c>
      <c r="AA9922">
        <f>IF(Z9922&gt;Z9921,Z9922,"")</f>
        <v/>
      </c>
      <c r="AB9922">
        <f>AB9921+IF(X9922="",0,IF(ISNA(MATCH(X9922,X$256:X9921,0)),1,0))</f>
        <v/>
      </c>
      <c r="AC9922">
        <f>IF(AB9922&gt;AB9921,AB9922,"")</f>
        <v/>
      </c>
    </row>
    <row r="9923">
      <c r="W9923" s="7" t="n"/>
      <c r="X9923" s="7" t="n"/>
      <c r="Z9923">
        <f>Z9922+IF(W9923="",0,IF(ISNA(MATCH(W9923,W$256:W9922,0)),1,0))</f>
        <v/>
      </c>
      <c r="AA9923">
        <f>IF(Z9923&gt;Z9922,Z9923,"")</f>
        <v/>
      </c>
      <c r="AB9923">
        <f>AB9922+IF(X9923="",0,IF(ISNA(MATCH(X9923,X$256:X9922,0)),1,0))</f>
        <v/>
      </c>
      <c r="AC9923">
        <f>IF(AB9923&gt;AB9922,AB9923,"")</f>
        <v/>
      </c>
    </row>
    <row r="9924">
      <c r="W9924" s="7" t="n"/>
      <c r="X9924" s="7" t="n"/>
      <c r="Z9924">
        <f>Z9923+IF(W9924="",0,IF(ISNA(MATCH(W9924,W$256:W9923,0)),1,0))</f>
        <v/>
      </c>
      <c r="AA9924">
        <f>IF(Z9924&gt;Z9923,Z9924,"")</f>
        <v/>
      </c>
      <c r="AB9924">
        <f>AB9923+IF(X9924="",0,IF(ISNA(MATCH(X9924,X$256:X9923,0)),1,0))</f>
        <v/>
      </c>
      <c r="AC9924">
        <f>IF(AB9924&gt;AB9923,AB9924,"")</f>
        <v/>
      </c>
    </row>
    <row r="9925">
      <c r="W9925" s="7" t="n"/>
      <c r="X9925" s="7" t="n"/>
      <c r="Z9925">
        <f>Z9924+IF(W9925="",0,IF(ISNA(MATCH(W9925,W$256:W9924,0)),1,0))</f>
        <v/>
      </c>
      <c r="AA9925">
        <f>IF(Z9925&gt;Z9924,Z9925,"")</f>
        <v/>
      </c>
      <c r="AB9925">
        <f>AB9924+IF(X9925="",0,IF(ISNA(MATCH(X9925,X$256:X9924,0)),1,0))</f>
        <v/>
      </c>
      <c r="AC9925">
        <f>IF(AB9925&gt;AB9924,AB9925,"")</f>
        <v/>
      </c>
    </row>
    <row r="9926">
      <c r="W9926" s="7" t="n"/>
      <c r="X9926" s="7" t="n"/>
      <c r="Z9926">
        <f>Z9925+IF(W9926="",0,IF(ISNA(MATCH(W9926,W$256:W9925,0)),1,0))</f>
        <v/>
      </c>
      <c r="AA9926">
        <f>IF(Z9926&gt;Z9925,Z9926,"")</f>
        <v/>
      </c>
      <c r="AB9926">
        <f>AB9925+IF(X9926="",0,IF(ISNA(MATCH(X9926,X$256:X9925,0)),1,0))</f>
        <v/>
      </c>
      <c r="AC9926">
        <f>IF(AB9926&gt;AB9925,AB9926,"")</f>
        <v/>
      </c>
    </row>
    <row r="9927">
      <c r="W9927" s="7" t="n"/>
      <c r="X9927" s="7" t="n"/>
      <c r="Z9927">
        <f>Z9926+IF(W9927="",0,IF(ISNA(MATCH(W9927,W$256:W9926,0)),1,0))</f>
        <v/>
      </c>
      <c r="AA9927">
        <f>IF(Z9927&gt;Z9926,Z9927,"")</f>
        <v/>
      </c>
      <c r="AB9927">
        <f>AB9926+IF(X9927="",0,IF(ISNA(MATCH(X9927,X$256:X9926,0)),1,0))</f>
        <v/>
      </c>
      <c r="AC9927">
        <f>IF(AB9927&gt;AB9926,AB9927,"")</f>
        <v/>
      </c>
    </row>
    <row r="9928">
      <c r="W9928" s="7" t="n"/>
      <c r="X9928" s="7" t="n"/>
      <c r="Z9928">
        <f>Z9927+IF(W9928="",0,IF(ISNA(MATCH(W9928,W$256:W9927,0)),1,0))</f>
        <v/>
      </c>
      <c r="AA9928">
        <f>IF(Z9928&gt;Z9927,Z9928,"")</f>
        <v/>
      </c>
      <c r="AB9928">
        <f>AB9927+IF(X9928="",0,IF(ISNA(MATCH(X9928,X$256:X9927,0)),1,0))</f>
        <v/>
      </c>
      <c r="AC9928">
        <f>IF(AB9928&gt;AB9927,AB9928,"")</f>
        <v/>
      </c>
    </row>
    <row r="9929">
      <c r="W9929" s="7" t="n"/>
      <c r="X9929" s="7" t="n"/>
      <c r="Z9929">
        <f>Z9928+IF(W9929="",0,IF(ISNA(MATCH(W9929,W$256:W9928,0)),1,0))</f>
        <v/>
      </c>
      <c r="AA9929">
        <f>IF(Z9929&gt;Z9928,Z9929,"")</f>
        <v/>
      </c>
      <c r="AB9929">
        <f>AB9928+IF(X9929="",0,IF(ISNA(MATCH(X9929,X$256:X9928,0)),1,0))</f>
        <v/>
      </c>
      <c r="AC9929">
        <f>IF(AB9929&gt;AB9928,AB9929,"")</f>
        <v/>
      </c>
    </row>
    <row r="9930">
      <c r="W9930" s="7" t="n"/>
      <c r="X9930" s="7" t="n"/>
      <c r="Z9930">
        <f>Z9929+IF(W9930="",0,IF(ISNA(MATCH(W9930,W$256:W9929,0)),1,0))</f>
        <v/>
      </c>
      <c r="AA9930">
        <f>IF(Z9930&gt;Z9929,Z9930,"")</f>
        <v/>
      </c>
      <c r="AB9930">
        <f>AB9929+IF(X9930="",0,IF(ISNA(MATCH(X9930,X$256:X9929,0)),1,0))</f>
        <v/>
      </c>
      <c r="AC9930">
        <f>IF(AB9930&gt;AB9929,AB9930,"")</f>
        <v/>
      </c>
    </row>
    <row r="9931">
      <c r="W9931" s="7" t="n"/>
      <c r="X9931" s="7" t="n"/>
      <c r="Z9931">
        <f>Z9930+IF(W9931="",0,IF(ISNA(MATCH(W9931,W$256:W9930,0)),1,0))</f>
        <v/>
      </c>
      <c r="AA9931">
        <f>IF(Z9931&gt;Z9930,Z9931,"")</f>
        <v/>
      </c>
      <c r="AB9931">
        <f>AB9930+IF(X9931="",0,IF(ISNA(MATCH(X9931,X$256:X9930,0)),1,0))</f>
        <v/>
      </c>
      <c r="AC9931">
        <f>IF(AB9931&gt;AB9930,AB9931,"")</f>
        <v/>
      </c>
    </row>
    <row r="9932">
      <c r="W9932" s="7" t="n"/>
      <c r="X9932" s="7" t="n"/>
      <c r="Z9932">
        <f>Z9931+IF(W9932="",0,IF(ISNA(MATCH(W9932,W$256:W9931,0)),1,0))</f>
        <v/>
      </c>
      <c r="AA9932">
        <f>IF(Z9932&gt;Z9931,Z9932,"")</f>
        <v/>
      </c>
      <c r="AB9932">
        <f>AB9931+IF(X9932="",0,IF(ISNA(MATCH(X9932,X$256:X9931,0)),1,0))</f>
        <v/>
      </c>
      <c r="AC9932">
        <f>IF(AB9932&gt;AB9931,AB9932,"")</f>
        <v/>
      </c>
    </row>
    <row r="9933">
      <c r="W9933" s="7" t="n"/>
      <c r="X9933" s="7" t="n"/>
      <c r="Z9933">
        <f>Z9932+IF(W9933="",0,IF(ISNA(MATCH(W9933,W$256:W9932,0)),1,0))</f>
        <v/>
      </c>
      <c r="AA9933">
        <f>IF(Z9933&gt;Z9932,Z9933,"")</f>
        <v/>
      </c>
      <c r="AB9933">
        <f>AB9932+IF(X9933="",0,IF(ISNA(MATCH(X9933,X$256:X9932,0)),1,0))</f>
        <v/>
      </c>
      <c r="AC9933">
        <f>IF(AB9933&gt;AB9932,AB9933,"")</f>
        <v/>
      </c>
    </row>
    <row r="9934">
      <c r="W9934" s="7" t="n"/>
      <c r="X9934" s="7" t="n"/>
      <c r="Z9934">
        <f>Z9933+IF(W9934="",0,IF(ISNA(MATCH(W9934,W$256:W9933,0)),1,0))</f>
        <v/>
      </c>
      <c r="AA9934">
        <f>IF(Z9934&gt;Z9933,Z9934,"")</f>
        <v/>
      </c>
      <c r="AB9934">
        <f>AB9933+IF(X9934="",0,IF(ISNA(MATCH(X9934,X$256:X9933,0)),1,0))</f>
        <v/>
      </c>
      <c r="AC9934">
        <f>IF(AB9934&gt;AB9933,AB9934,"")</f>
        <v/>
      </c>
    </row>
    <row r="9935">
      <c r="W9935" s="7" t="n"/>
      <c r="X9935" s="7" t="n"/>
      <c r="Z9935">
        <f>Z9934+IF(W9935="",0,IF(ISNA(MATCH(W9935,W$256:W9934,0)),1,0))</f>
        <v/>
      </c>
      <c r="AA9935">
        <f>IF(Z9935&gt;Z9934,Z9935,"")</f>
        <v/>
      </c>
      <c r="AB9935">
        <f>AB9934+IF(X9935="",0,IF(ISNA(MATCH(X9935,X$256:X9934,0)),1,0))</f>
        <v/>
      </c>
      <c r="AC9935">
        <f>IF(AB9935&gt;AB9934,AB9935,"")</f>
        <v/>
      </c>
    </row>
    <row r="9936">
      <c r="W9936" s="7" t="n"/>
      <c r="X9936" s="7" t="n"/>
      <c r="Z9936">
        <f>Z9935+IF(W9936="",0,IF(ISNA(MATCH(W9936,W$256:W9935,0)),1,0))</f>
        <v/>
      </c>
      <c r="AA9936">
        <f>IF(Z9936&gt;Z9935,Z9936,"")</f>
        <v/>
      </c>
      <c r="AB9936">
        <f>AB9935+IF(X9936="",0,IF(ISNA(MATCH(X9936,X$256:X9935,0)),1,0))</f>
        <v/>
      </c>
      <c r="AC9936">
        <f>IF(AB9936&gt;AB9935,AB9936,"")</f>
        <v/>
      </c>
    </row>
    <row r="9937">
      <c r="W9937" s="7" t="n"/>
      <c r="X9937" s="7" t="n"/>
      <c r="Z9937">
        <f>Z9936+IF(W9937="",0,IF(ISNA(MATCH(W9937,W$256:W9936,0)),1,0))</f>
        <v/>
      </c>
      <c r="AA9937">
        <f>IF(Z9937&gt;Z9936,Z9937,"")</f>
        <v/>
      </c>
      <c r="AB9937">
        <f>AB9936+IF(X9937="",0,IF(ISNA(MATCH(X9937,X$256:X9936,0)),1,0))</f>
        <v/>
      </c>
      <c r="AC9937">
        <f>IF(AB9937&gt;AB9936,AB9937,"")</f>
        <v/>
      </c>
    </row>
    <row r="9938">
      <c r="W9938" s="7" t="n"/>
      <c r="X9938" s="7" t="n"/>
      <c r="Z9938">
        <f>Z9937+IF(W9938="",0,IF(ISNA(MATCH(W9938,W$256:W9937,0)),1,0))</f>
        <v/>
      </c>
      <c r="AA9938">
        <f>IF(Z9938&gt;Z9937,Z9938,"")</f>
        <v/>
      </c>
      <c r="AB9938">
        <f>AB9937+IF(X9938="",0,IF(ISNA(MATCH(X9938,X$256:X9937,0)),1,0))</f>
        <v/>
      </c>
      <c r="AC9938">
        <f>IF(AB9938&gt;AB9937,AB9938,"")</f>
        <v/>
      </c>
    </row>
    <row r="9939">
      <c r="W9939" s="7" t="n"/>
      <c r="X9939" s="7" t="n"/>
      <c r="Z9939">
        <f>Z9938+IF(W9939="",0,IF(ISNA(MATCH(W9939,W$256:W9938,0)),1,0))</f>
        <v/>
      </c>
      <c r="AA9939">
        <f>IF(Z9939&gt;Z9938,Z9939,"")</f>
        <v/>
      </c>
      <c r="AB9939">
        <f>AB9938+IF(X9939="",0,IF(ISNA(MATCH(X9939,X$256:X9938,0)),1,0))</f>
        <v/>
      </c>
      <c r="AC9939">
        <f>IF(AB9939&gt;AB9938,AB9939,"")</f>
        <v/>
      </c>
    </row>
    <row r="9940">
      <c r="W9940" s="7" t="n"/>
      <c r="X9940" s="7" t="n"/>
      <c r="Z9940">
        <f>Z9939+IF(W9940="",0,IF(ISNA(MATCH(W9940,W$256:W9939,0)),1,0))</f>
        <v/>
      </c>
      <c r="AA9940">
        <f>IF(Z9940&gt;Z9939,Z9940,"")</f>
        <v/>
      </c>
      <c r="AB9940">
        <f>AB9939+IF(X9940="",0,IF(ISNA(MATCH(X9940,X$256:X9939,0)),1,0))</f>
        <v/>
      </c>
      <c r="AC9940">
        <f>IF(AB9940&gt;AB9939,AB9940,"")</f>
        <v/>
      </c>
    </row>
    <row r="9941">
      <c r="W9941" s="7" t="n"/>
      <c r="X9941" s="7" t="n"/>
      <c r="Z9941">
        <f>Z9940+IF(W9941="",0,IF(ISNA(MATCH(W9941,W$256:W9940,0)),1,0))</f>
        <v/>
      </c>
      <c r="AA9941">
        <f>IF(Z9941&gt;Z9940,Z9941,"")</f>
        <v/>
      </c>
      <c r="AB9941">
        <f>AB9940+IF(X9941="",0,IF(ISNA(MATCH(X9941,X$256:X9940,0)),1,0))</f>
        <v/>
      </c>
      <c r="AC9941">
        <f>IF(AB9941&gt;AB9940,AB9941,"")</f>
        <v/>
      </c>
    </row>
    <row r="9942">
      <c r="W9942" s="7" t="n"/>
      <c r="X9942" s="7" t="n"/>
      <c r="Z9942">
        <f>Z9941+IF(W9942="",0,IF(ISNA(MATCH(W9942,W$256:W9941,0)),1,0))</f>
        <v/>
      </c>
      <c r="AA9942">
        <f>IF(Z9942&gt;Z9941,Z9942,"")</f>
        <v/>
      </c>
      <c r="AB9942">
        <f>AB9941+IF(X9942="",0,IF(ISNA(MATCH(X9942,X$256:X9941,0)),1,0))</f>
        <v/>
      </c>
      <c r="AC9942">
        <f>IF(AB9942&gt;AB9941,AB9942,"")</f>
        <v/>
      </c>
    </row>
    <row r="9943">
      <c r="W9943" s="7" t="n"/>
      <c r="X9943" s="7" t="n"/>
      <c r="Z9943">
        <f>Z9942+IF(W9943="",0,IF(ISNA(MATCH(W9943,W$256:W9942,0)),1,0))</f>
        <v/>
      </c>
      <c r="AA9943">
        <f>IF(Z9943&gt;Z9942,Z9943,"")</f>
        <v/>
      </c>
      <c r="AB9943">
        <f>AB9942+IF(X9943="",0,IF(ISNA(MATCH(X9943,X$256:X9942,0)),1,0))</f>
        <v/>
      </c>
      <c r="AC9943">
        <f>IF(AB9943&gt;AB9942,AB9943,"")</f>
        <v/>
      </c>
    </row>
    <row r="9944">
      <c r="W9944" s="7" t="n"/>
      <c r="X9944" s="7" t="n"/>
      <c r="Z9944">
        <f>Z9943+IF(W9944="",0,IF(ISNA(MATCH(W9944,W$256:W9943,0)),1,0))</f>
        <v/>
      </c>
      <c r="AA9944">
        <f>IF(Z9944&gt;Z9943,Z9944,"")</f>
        <v/>
      </c>
      <c r="AB9944">
        <f>AB9943+IF(X9944="",0,IF(ISNA(MATCH(X9944,X$256:X9943,0)),1,0))</f>
        <v/>
      </c>
      <c r="AC9944">
        <f>IF(AB9944&gt;AB9943,AB9944,"")</f>
        <v/>
      </c>
    </row>
    <row r="9945">
      <c r="W9945" s="7" t="n"/>
      <c r="X9945" s="7" t="n"/>
      <c r="Z9945">
        <f>Z9944+IF(W9945="",0,IF(ISNA(MATCH(W9945,W$256:W9944,0)),1,0))</f>
        <v/>
      </c>
      <c r="AA9945">
        <f>IF(Z9945&gt;Z9944,Z9945,"")</f>
        <v/>
      </c>
      <c r="AB9945">
        <f>AB9944+IF(X9945="",0,IF(ISNA(MATCH(X9945,X$256:X9944,0)),1,0))</f>
        <v/>
      </c>
      <c r="AC9945">
        <f>IF(AB9945&gt;AB9944,AB9945,"")</f>
        <v/>
      </c>
    </row>
    <row r="9946">
      <c r="W9946" s="7" t="n"/>
      <c r="X9946" s="7" t="n"/>
      <c r="Z9946">
        <f>Z9945+IF(W9946="",0,IF(ISNA(MATCH(W9946,W$256:W9945,0)),1,0))</f>
        <v/>
      </c>
      <c r="AA9946">
        <f>IF(Z9946&gt;Z9945,Z9946,"")</f>
        <v/>
      </c>
      <c r="AB9946">
        <f>AB9945+IF(X9946="",0,IF(ISNA(MATCH(X9946,X$256:X9945,0)),1,0))</f>
        <v/>
      </c>
      <c r="AC9946">
        <f>IF(AB9946&gt;AB9945,AB9946,"")</f>
        <v/>
      </c>
    </row>
    <row r="9947">
      <c r="W9947" s="7" t="n"/>
      <c r="X9947" s="7" t="n"/>
      <c r="Z9947">
        <f>Z9946+IF(W9947="",0,IF(ISNA(MATCH(W9947,W$256:W9946,0)),1,0))</f>
        <v/>
      </c>
      <c r="AA9947">
        <f>IF(Z9947&gt;Z9946,Z9947,"")</f>
        <v/>
      </c>
      <c r="AB9947">
        <f>AB9946+IF(X9947="",0,IF(ISNA(MATCH(X9947,X$256:X9946,0)),1,0))</f>
        <v/>
      </c>
      <c r="AC9947">
        <f>IF(AB9947&gt;AB9946,AB9947,"")</f>
        <v/>
      </c>
    </row>
    <row r="9948">
      <c r="W9948" s="7" t="n"/>
      <c r="X9948" s="7" t="n"/>
      <c r="Z9948">
        <f>Z9947+IF(W9948="",0,IF(ISNA(MATCH(W9948,W$256:W9947,0)),1,0))</f>
        <v/>
      </c>
      <c r="AA9948">
        <f>IF(Z9948&gt;Z9947,Z9948,"")</f>
        <v/>
      </c>
      <c r="AB9948">
        <f>AB9947+IF(X9948="",0,IF(ISNA(MATCH(X9948,X$256:X9947,0)),1,0))</f>
        <v/>
      </c>
      <c r="AC9948">
        <f>IF(AB9948&gt;AB9947,AB9948,"")</f>
        <v/>
      </c>
    </row>
    <row r="9949">
      <c r="W9949" s="7" t="n"/>
      <c r="X9949" s="7" t="n"/>
      <c r="Z9949">
        <f>Z9948+IF(W9949="",0,IF(ISNA(MATCH(W9949,W$256:W9948,0)),1,0))</f>
        <v/>
      </c>
      <c r="AA9949">
        <f>IF(Z9949&gt;Z9948,Z9949,"")</f>
        <v/>
      </c>
      <c r="AB9949">
        <f>AB9948+IF(X9949="",0,IF(ISNA(MATCH(X9949,X$256:X9948,0)),1,0))</f>
        <v/>
      </c>
      <c r="AC9949">
        <f>IF(AB9949&gt;AB9948,AB9949,"")</f>
        <v/>
      </c>
    </row>
    <row r="9950">
      <c r="W9950" s="7" t="n"/>
      <c r="X9950" s="7" t="n"/>
      <c r="Z9950">
        <f>Z9949+IF(W9950="",0,IF(ISNA(MATCH(W9950,W$256:W9949,0)),1,0))</f>
        <v/>
      </c>
      <c r="AA9950">
        <f>IF(Z9950&gt;Z9949,Z9950,"")</f>
        <v/>
      </c>
      <c r="AB9950">
        <f>AB9949+IF(X9950="",0,IF(ISNA(MATCH(X9950,X$256:X9949,0)),1,0))</f>
        <v/>
      </c>
      <c r="AC9950">
        <f>IF(AB9950&gt;AB9949,AB9950,"")</f>
        <v/>
      </c>
    </row>
    <row r="9951">
      <c r="W9951" s="7" t="n"/>
      <c r="X9951" s="7" t="n"/>
      <c r="Z9951">
        <f>Z9950+IF(W9951="",0,IF(ISNA(MATCH(W9951,W$256:W9950,0)),1,0))</f>
        <v/>
      </c>
      <c r="AA9951">
        <f>IF(Z9951&gt;Z9950,Z9951,"")</f>
        <v/>
      </c>
      <c r="AB9951">
        <f>AB9950+IF(X9951="",0,IF(ISNA(MATCH(X9951,X$256:X9950,0)),1,0))</f>
        <v/>
      </c>
      <c r="AC9951">
        <f>IF(AB9951&gt;AB9950,AB9951,"")</f>
        <v/>
      </c>
    </row>
    <row r="9952">
      <c r="W9952" s="7" t="n"/>
      <c r="X9952" s="7" t="n"/>
      <c r="Z9952">
        <f>Z9951+IF(W9952="",0,IF(ISNA(MATCH(W9952,W$256:W9951,0)),1,0))</f>
        <v/>
      </c>
      <c r="AA9952">
        <f>IF(Z9952&gt;Z9951,Z9952,"")</f>
        <v/>
      </c>
      <c r="AB9952">
        <f>AB9951+IF(X9952="",0,IF(ISNA(MATCH(X9952,X$256:X9951,0)),1,0))</f>
        <v/>
      </c>
      <c r="AC9952">
        <f>IF(AB9952&gt;AB9951,AB9952,"")</f>
        <v/>
      </c>
    </row>
    <row r="9953">
      <c r="W9953" s="7" t="n"/>
      <c r="X9953" s="7" t="n"/>
      <c r="Z9953">
        <f>Z9952+IF(W9953="",0,IF(ISNA(MATCH(W9953,W$256:W9952,0)),1,0))</f>
        <v/>
      </c>
      <c r="AA9953">
        <f>IF(Z9953&gt;Z9952,Z9953,"")</f>
        <v/>
      </c>
      <c r="AB9953">
        <f>AB9952+IF(X9953="",0,IF(ISNA(MATCH(X9953,X$256:X9952,0)),1,0))</f>
        <v/>
      </c>
      <c r="AC9953">
        <f>IF(AB9953&gt;AB9952,AB9953,"")</f>
        <v/>
      </c>
    </row>
    <row r="9954">
      <c r="W9954" s="7" t="n"/>
      <c r="X9954" s="7" t="n"/>
      <c r="Z9954">
        <f>Z9953+IF(W9954="",0,IF(ISNA(MATCH(W9954,W$256:W9953,0)),1,0))</f>
        <v/>
      </c>
      <c r="AA9954">
        <f>IF(Z9954&gt;Z9953,Z9954,"")</f>
        <v/>
      </c>
      <c r="AB9954">
        <f>AB9953+IF(X9954="",0,IF(ISNA(MATCH(X9954,X$256:X9953,0)),1,0))</f>
        <v/>
      </c>
      <c r="AC9954">
        <f>IF(AB9954&gt;AB9953,AB9954,"")</f>
        <v/>
      </c>
    </row>
    <row r="9955">
      <c r="W9955" s="7" t="n"/>
      <c r="X9955" s="7" t="n"/>
      <c r="Z9955">
        <f>Z9954+IF(W9955="",0,IF(ISNA(MATCH(W9955,W$256:W9954,0)),1,0))</f>
        <v/>
      </c>
      <c r="AA9955">
        <f>IF(Z9955&gt;Z9954,Z9955,"")</f>
        <v/>
      </c>
      <c r="AB9955">
        <f>AB9954+IF(X9955="",0,IF(ISNA(MATCH(X9955,X$256:X9954,0)),1,0))</f>
        <v/>
      </c>
      <c r="AC9955">
        <f>IF(AB9955&gt;AB9954,AB9955,"")</f>
        <v/>
      </c>
    </row>
    <row r="9956">
      <c r="W9956" s="7" t="n"/>
      <c r="X9956" s="7" t="n"/>
      <c r="Z9956">
        <f>Z9955+IF(W9956="",0,IF(ISNA(MATCH(W9956,W$256:W9955,0)),1,0))</f>
        <v/>
      </c>
      <c r="AA9956">
        <f>IF(Z9956&gt;Z9955,Z9956,"")</f>
        <v/>
      </c>
      <c r="AB9956">
        <f>AB9955+IF(X9956="",0,IF(ISNA(MATCH(X9956,X$256:X9955,0)),1,0))</f>
        <v/>
      </c>
      <c r="AC9956">
        <f>IF(AB9956&gt;AB9955,AB9956,"")</f>
        <v/>
      </c>
    </row>
    <row r="9957">
      <c r="W9957" s="7" t="n"/>
      <c r="X9957" s="7" t="n"/>
      <c r="Z9957">
        <f>Z9956+IF(W9957="",0,IF(ISNA(MATCH(W9957,W$256:W9956,0)),1,0))</f>
        <v/>
      </c>
      <c r="AA9957">
        <f>IF(Z9957&gt;Z9956,Z9957,"")</f>
        <v/>
      </c>
      <c r="AB9957">
        <f>AB9956+IF(X9957="",0,IF(ISNA(MATCH(X9957,X$256:X9956,0)),1,0))</f>
        <v/>
      </c>
      <c r="AC9957">
        <f>IF(AB9957&gt;AB9956,AB9957,"")</f>
        <v/>
      </c>
    </row>
    <row r="9958">
      <c r="W9958" s="7" t="n"/>
      <c r="X9958" s="7" t="n"/>
      <c r="Z9958">
        <f>Z9957+IF(W9958="",0,IF(ISNA(MATCH(W9958,W$256:W9957,0)),1,0))</f>
        <v/>
      </c>
      <c r="AA9958">
        <f>IF(Z9958&gt;Z9957,Z9958,"")</f>
        <v/>
      </c>
      <c r="AB9958">
        <f>AB9957+IF(X9958="",0,IF(ISNA(MATCH(X9958,X$256:X9957,0)),1,0))</f>
        <v/>
      </c>
      <c r="AC9958">
        <f>IF(AB9958&gt;AB9957,AB9958,"")</f>
        <v/>
      </c>
    </row>
    <row r="9959">
      <c r="W9959" s="7" t="n"/>
      <c r="X9959" s="7" t="n"/>
      <c r="Z9959">
        <f>Z9958+IF(W9959="",0,IF(ISNA(MATCH(W9959,W$256:W9958,0)),1,0))</f>
        <v/>
      </c>
      <c r="AA9959">
        <f>IF(Z9959&gt;Z9958,Z9959,"")</f>
        <v/>
      </c>
      <c r="AB9959">
        <f>AB9958+IF(X9959="",0,IF(ISNA(MATCH(X9959,X$256:X9958,0)),1,0))</f>
        <v/>
      </c>
      <c r="AC9959">
        <f>IF(AB9959&gt;AB9958,AB9959,"")</f>
        <v/>
      </c>
    </row>
    <row r="9960">
      <c r="W9960" s="7" t="n"/>
      <c r="X9960" s="7" t="n"/>
      <c r="Z9960">
        <f>Z9959+IF(W9960="",0,IF(ISNA(MATCH(W9960,W$256:W9959,0)),1,0))</f>
        <v/>
      </c>
      <c r="AA9960">
        <f>IF(Z9960&gt;Z9959,Z9960,"")</f>
        <v/>
      </c>
      <c r="AB9960">
        <f>AB9959+IF(X9960="",0,IF(ISNA(MATCH(X9960,X$256:X9959,0)),1,0))</f>
        <v/>
      </c>
      <c r="AC9960">
        <f>IF(AB9960&gt;AB9959,AB9960,"")</f>
        <v/>
      </c>
    </row>
    <row r="9961">
      <c r="W9961" s="7" t="n"/>
      <c r="X9961" s="7" t="n"/>
      <c r="Z9961">
        <f>Z9960+IF(W9961="",0,IF(ISNA(MATCH(W9961,W$256:W9960,0)),1,0))</f>
        <v/>
      </c>
      <c r="AA9961">
        <f>IF(Z9961&gt;Z9960,Z9961,"")</f>
        <v/>
      </c>
      <c r="AB9961">
        <f>AB9960+IF(X9961="",0,IF(ISNA(MATCH(X9961,X$256:X9960,0)),1,0))</f>
        <v/>
      </c>
      <c r="AC9961">
        <f>IF(AB9961&gt;AB9960,AB9961,"")</f>
        <v/>
      </c>
    </row>
    <row r="9962">
      <c r="W9962" s="7" t="n"/>
      <c r="X9962" s="7" t="n"/>
      <c r="Z9962">
        <f>Z9961+IF(W9962="",0,IF(ISNA(MATCH(W9962,W$256:W9961,0)),1,0))</f>
        <v/>
      </c>
      <c r="AA9962">
        <f>IF(Z9962&gt;Z9961,Z9962,"")</f>
        <v/>
      </c>
      <c r="AB9962">
        <f>AB9961+IF(X9962="",0,IF(ISNA(MATCH(X9962,X$256:X9961,0)),1,0))</f>
        <v/>
      </c>
      <c r="AC9962">
        <f>IF(AB9962&gt;AB9961,AB9962,"")</f>
        <v/>
      </c>
    </row>
    <row r="9963">
      <c r="W9963" s="7" t="n"/>
      <c r="X9963" s="7" t="n"/>
      <c r="Z9963">
        <f>Z9962+IF(W9963="",0,IF(ISNA(MATCH(W9963,W$256:W9962,0)),1,0))</f>
        <v/>
      </c>
      <c r="AA9963">
        <f>IF(Z9963&gt;Z9962,Z9963,"")</f>
        <v/>
      </c>
      <c r="AB9963">
        <f>AB9962+IF(X9963="",0,IF(ISNA(MATCH(X9963,X$256:X9962,0)),1,0))</f>
        <v/>
      </c>
      <c r="AC9963">
        <f>IF(AB9963&gt;AB9962,AB9963,"")</f>
        <v/>
      </c>
    </row>
    <row r="9964">
      <c r="W9964" s="7" t="n"/>
      <c r="X9964" s="7" t="n"/>
      <c r="Z9964">
        <f>Z9963+IF(W9964="",0,IF(ISNA(MATCH(W9964,W$256:W9963,0)),1,0))</f>
        <v/>
      </c>
      <c r="AA9964">
        <f>IF(Z9964&gt;Z9963,Z9964,"")</f>
        <v/>
      </c>
      <c r="AB9964">
        <f>AB9963+IF(X9964="",0,IF(ISNA(MATCH(X9964,X$256:X9963,0)),1,0))</f>
        <v/>
      </c>
      <c r="AC9964">
        <f>IF(AB9964&gt;AB9963,AB9964,"")</f>
        <v/>
      </c>
    </row>
    <row r="9965">
      <c r="W9965" s="7" t="n"/>
      <c r="X9965" s="7" t="n"/>
      <c r="Z9965">
        <f>Z9964+IF(W9965="",0,IF(ISNA(MATCH(W9965,W$256:W9964,0)),1,0))</f>
        <v/>
      </c>
      <c r="AA9965">
        <f>IF(Z9965&gt;Z9964,Z9965,"")</f>
        <v/>
      </c>
      <c r="AB9965">
        <f>AB9964+IF(X9965="",0,IF(ISNA(MATCH(X9965,X$256:X9964,0)),1,0))</f>
        <v/>
      </c>
      <c r="AC9965">
        <f>IF(AB9965&gt;AB9964,AB9965,"")</f>
        <v/>
      </c>
    </row>
    <row r="9966">
      <c r="W9966" s="7" t="n"/>
      <c r="X9966" s="7" t="n"/>
      <c r="Z9966">
        <f>Z9965+IF(W9966="",0,IF(ISNA(MATCH(W9966,W$256:W9965,0)),1,0))</f>
        <v/>
      </c>
      <c r="AA9966">
        <f>IF(Z9966&gt;Z9965,Z9966,"")</f>
        <v/>
      </c>
      <c r="AB9966">
        <f>AB9965+IF(X9966="",0,IF(ISNA(MATCH(X9966,X$256:X9965,0)),1,0))</f>
        <v/>
      </c>
      <c r="AC9966">
        <f>IF(AB9966&gt;AB9965,AB9966,"")</f>
        <v/>
      </c>
    </row>
    <row r="9967">
      <c r="W9967" s="7" t="n"/>
      <c r="X9967" s="7" t="n"/>
      <c r="Z9967">
        <f>Z9966+IF(W9967="",0,IF(ISNA(MATCH(W9967,W$256:W9966,0)),1,0))</f>
        <v/>
      </c>
      <c r="AA9967">
        <f>IF(Z9967&gt;Z9966,Z9967,"")</f>
        <v/>
      </c>
      <c r="AB9967">
        <f>AB9966+IF(X9967="",0,IF(ISNA(MATCH(X9967,X$256:X9966,0)),1,0))</f>
        <v/>
      </c>
      <c r="AC9967">
        <f>IF(AB9967&gt;AB9966,AB9967,"")</f>
        <v/>
      </c>
    </row>
    <row r="9968">
      <c r="W9968" s="7" t="n"/>
      <c r="X9968" s="7" t="n"/>
      <c r="Z9968">
        <f>Z9967+IF(W9968="",0,IF(ISNA(MATCH(W9968,W$256:W9967,0)),1,0))</f>
        <v/>
      </c>
      <c r="AA9968">
        <f>IF(Z9968&gt;Z9967,Z9968,"")</f>
        <v/>
      </c>
      <c r="AB9968">
        <f>AB9967+IF(X9968="",0,IF(ISNA(MATCH(X9968,X$256:X9967,0)),1,0))</f>
        <v/>
      </c>
      <c r="AC9968">
        <f>IF(AB9968&gt;AB9967,AB9968,"")</f>
        <v/>
      </c>
    </row>
    <row r="9969">
      <c r="W9969" s="7" t="n"/>
      <c r="X9969" s="7" t="n"/>
      <c r="Z9969">
        <f>Z9968+IF(W9969="",0,IF(ISNA(MATCH(W9969,W$256:W9968,0)),1,0))</f>
        <v/>
      </c>
      <c r="AA9969">
        <f>IF(Z9969&gt;Z9968,Z9969,"")</f>
        <v/>
      </c>
      <c r="AB9969">
        <f>AB9968+IF(X9969="",0,IF(ISNA(MATCH(X9969,X$256:X9968,0)),1,0))</f>
        <v/>
      </c>
      <c r="AC9969">
        <f>IF(AB9969&gt;AB9968,AB9969,"")</f>
        <v/>
      </c>
    </row>
    <row r="9970">
      <c r="W9970" s="7" t="n"/>
      <c r="X9970" s="7" t="n"/>
      <c r="Z9970">
        <f>Z9969+IF(W9970="",0,IF(ISNA(MATCH(W9970,W$256:W9969,0)),1,0))</f>
        <v/>
      </c>
      <c r="AA9970">
        <f>IF(Z9970&gt;Z9969,Z9970,"")</f>
        <v/>
      </c>
      <c r="AB9970">
        <f>AB9969+IF(X9970="",0,IF(ISNA(MATCH(X9970,X$256:X9969,0)),1,0))</f>
        <v/>
      </c>
      <c r="AC9970">
        <f>IF(AB9970&gt;AB9969,AB9970,"")</f>
        <v/>
      </c>
    </row>
    <row r="9971">
      <c r="W9971" s="7" t="n"/>
      <c r="X9971" s="7" t="n"/>
      <c r="Z9971">
        <f>Z9970+IF(W9971="",0,IF(ISNA(MATCH(W9971,W$256:W9970,0)),1,0))</f>
        <v/>
      </c>
      <c r="AA9971">
        <f>IF(Z9971&gt;Z9970,Z9971,"")</f>
        <v/>
      </c>
      <c r="AB9971">
        <f>AB9970+IF(X9971="",0,IF(ISNA(MATCH(X9971,X$256:X9970,0)),1,0))</f>
        <v/>
      </c>
      <c r="AC9971">
        <f>IF(AB9971&gt;AB9970,AB9971,"")</f>
        <v/>
      </c>
    </row>
    <row r="9972">
      <c r="W9972" s="7" t="n"/>
      <c r="X9972" s="7" t="n"/>
      <c r="Z9972">
        <f>Z9971+IF(W9972="",0,IF(ISNA(MATCH(W9972,W$256:W9971,0)),1,0))</f>
        <v/>
      </c>
      <c r="AA9972">
        <f>IF(Z9972&gt;Z9971,Z9972,"")</f>
        <v/>
      </c>
      <c r="AB9972">
        <f>AB9971+IF(X9972="",0,IF(ISNA(MATCH(X9972,X$256:X9971,0)),1,0))</f>
        <v/>
      </c>
      <c r="AC9972">
        <f>IF(AB9972&gt;AB9971,AB9972,"")</f>
        <v/>
      </c>
    </row>
    <row r="9973">
      <c r="W9973" s="7" t="n"/>
      <c r="X9973" s="7" t="n"/>
      <c r="Z9973">
        <f>Z9972+IF(W9973="",0,IF(ISNA(MATCH(W9973,W$256:W9972,0)),1,0))</f>
        <v/>
      </c>
      <c r="AA9973">
        <f>IF(Z9973&gt;Z9972,Z9973,"")</f>
        <v/>
      </c>
      <c r="AB9973">
        <f>AB9972+IF(X9973="",0,IF(ISNA(MATCH(X9973,X$256:X9972,0)),1,0))</f>
        <v/>
      </c>
      <c r="AC9973">
        <f>IF(AB9973&gt;AB9972,AB9973,"")</f>
        <v/>
      </c>
    </row>
    <row r="9974">
      <c r="W9974" s="7" t="n"/>
      <c r="X9974" s="7" t="n"/>
      <c r="Z9974">
        <f>Z9973+IF(W9974="",0,IF(ISNA(MATCH(W9974,W$256:W9973,0)),1,0))</f>
        <v/>
      </c>
      <c r="AA9974">
        <f>IF(Z9974&gt;Z9973,Z9974,"")</f>
        <v/>
      </c>
      <c r="AB9974">
        <f>AB9973+IF(X9974="",0,IF(ISNA(MATCH(X9974,X$256:X9973,0)),1,0))</f>
        <v/>
      </c>
      <c r="AC9974">
        <f>IF(AB9974&gt;AB9973,AB9974,"")</f>
        <v/>
      </c>
    </row>
    <row r="9975">
      <c r="W9975" s="7" t="n"/>
      <c r="X9975" s="7" t="n"/>
      <c r="Z9975">
        <f>Z9974+IF(W9975="",0,IF(ISNA(MATCH(W9975,W$256:W9974,0)),1,0))</f>
        <v/>
      </c>
      <c r="AA9975">
        <f>IF(Z9975&gt;Z9974,Z9975,"")</f>
        <v/>
      </c>
      <c r="AB9975">
        <f>AB9974+IF(X9975="",0,IF(ISNA(MATCH(X9975,X$256:X9974,0)),1,0))</f>
        <v/>
      </c>
      <c r="AC9975">
        <f>IF(AB9975&gt;AB9974,AB9975,"")</f>
        <v/>
      </c>
    </row>
    <row r="9976">
      <c r="W9976" s="7" t="n"/>
      <c r="X9976" s="7" t="n"/>
      <c r="Z9976">
        <f>Z9975+IF(W9976="",0,IF(ISNA(MATCH(W9976,W$256:W9975,0)),1,0))</f>
        <v/>
      </c>
      <c r="AA9976">
        <f>IF(Z9976&gt;Z9975,Z9976,"")</f>
        <v/>
      </c>
      <c r="AB9976">
        <f>AB9975+IF(X9976="",0,IF(ISNA(MATCH(X9976,X$256:X9975,0)),1,0))</f>
        <v/>
      </c>
      <c r="AC9976">
        <f>IF(AB9976&gt;AB9975,AB9976,"")</f>
        <v/>
      </c>
    </row>
    <row r="9977">
      <c r="W9977" s="7" t="n"/>
      <c r="X9977" s="7" t="n"/>
      <c r="Z9977">
        <f>Z9976+IF(W9977="",0,IF(ISNA(MATCH(W9977,W$256:W9976,0)),1,0))</f>
        <v/>
      </c>
      <c r="AA9977">
        <f>IF(Z9977&gt;Z9976,Z9977,"")</f>
        <v/>
      </c>
      <c r="AB9977">
        <f>AB9976+IF(X9977="",0,IF(ISNA(MATCH(X9977,X$256:X9976,0)),1,0))</f>
        <v/>
      </c>
      <c r="AC9977">
        <f>IF(AB9977&gt;AB9976,AB9977,"")</f>
        <v/>
      </c>
    </row>
    <row r="9978">
      <c r="W9978" s="7" t="n"/>
      <c r="X9978" s="7" t="n"/>
      <c r="Z9978">
        <f>Z9977+IF(W9978="",0,IF(ISNA(MATCH(W9978,W$256:W9977,0)),1,0))</f>
        <v/>
      </c>
      <c r="AA9978">
        <f>IF(Z9978&gt;Z9977,Z9978,"")</f>
        <v/>
      </c>
      <c r="AB9978">
        <f>AB9977+IF(X9978="",0,IF(ISNA(MATCH(X9978,X$256:X9977,0)),1,0))</f>
        <v/>
      </c>
      <c r="AC9978">
        <f>IF(AB9978&gt;AB9977,AB9978,"")</f>
        <v/>
      </c>
    </row>
    <row r="9979">
      <c r="W9979" s="7" t="n"/>
      <c r="X9979" s="7" t="n"/>
      <c r="Z9979">
        <f>Z9978+IF(W9979="",0,IF(ISNA(MATCH(W9979,W$256:W9978,0)),1,0))</f>
        <v/>
      </c>
      <c r="AA9979">
        <f>IF(Z9979&gt;Z9978,Z9979,"")</f>
        <v/>
      </c>
      <c r="AB9979">
        <f>AB9978+IF(X9979="",0,IF(ISNA(MATCH(X9979,X$256:X9978,0)),1,0))</f>
        <v/>
      </c>
      <c r="AC9979">
        <f>IF(AB9979&gt;AB9978,AB9979,"")</f>
        <v/>
      </c>
    </row>
    <row r="9980">
      <c r="W9980" s="7" t="n"/>
      <c r="X9980" s="7" t="n"/>
      <c r="Z9980">
        <f>Z9979+IF(W9980="",0,IF(ISNA(MATCH(W9980,W$256:W9979,0)),1,0))</f>
        <v/>
      </c>
      <c r="AA9980">
        <f>IF(Z9980&gt;Z9979,Z9980,"")</f>
        <v/>
      </c>
      <c r="AB9980">
        <f>AB9979+IF(X9980="",0,IF(ISNA(MATCH(X9980,X$256:X9979,0)),1,0))</f>
        <v/>
      </c>
      <c r="AC9980">
        <f>IF(AB9980&gt;AB9979,AB9980,"")</f>
        <v/>
      </c>
    </row>
    <row r="9981">
      <c r="W9981" s="7" t="n"/>
      <c r="X9981" s="7" t="n"/>
      <c r="Z9981">
        <f>Z9980+IF(W9981="",0,IF(ISNA(MATCH(W9981,W$256:W9980,0)),1,0))</f>
        <v/>
      </c>
      <c r="AA9981">
        <f>IF(Z9981&gt;Z9980,Z9981,"")</f>
        <v/>
      </c>
      <c r="AB9981">
        <f>AB9980+IF(X9981="",0,IF(ISNA(MATCH(X9981,X$256:X9980,0)),1,0))</f>
        <v/>
      </c>
      <c r="AC9981">
        <f>IF(AB9981&gt;AB9980,AB9981,"")</f>
        <v/>
      </c>
    </row>
    <row r="9982">
      <c r="W9982" s="7" t="n"/>
      <c r="X9982" s="7" t="n"/>
      <c r="Z9982">
        <f>Z9981+IF(W9982="",0,IF(ISNA(MATCH(W9982,W$256:W9981,0)),1,0))</f>
        <v/>
      </c>
      <c r="AA9982">
        <f>IF(Z9982&gt;Z9981,Z9982,"")</f>
        <v/>
      </c>
      <c r="AB9982">
        <f>AB9981+IF(X9982="",0,IF(ISNA(MATCH(X9982,X$256:X9981,0)),1,0))</f>
        <v/>
      </c>
      <c r="AC9982">
        <f>IF(AB9982&gt;AB9981,AB9982,"")</f>
        <v/>
      </c>
    </row>
    <row r="9983">
      <c r="W9983" s="7" t="n"/>
      <c r="X9983" s="7" t="n"/>
      <c r="Z9983">
        <f>Z9982+IF(W9983="",0,IF(ISNA(MATCH(W9983,W$256:W9982,0)),1,0))</f>
        <v/>
      </c>
      <c r="AA9983">
        <f>IF(Z9983&gt;Z9982,Z9983,"")</f>
        <v/>
      </c>
      <c r="AB9983">
        <f>AB9982+IF(X9983="",0,IF(ISNA(MATCH(X9983,X$256:X9982,0)),1,0))</f>
        <v/>
      </c>
      <c r="AC9983">
        <f>IF(AB9983&gt;AB9982,AB9983,"")</f>
        <v/>
      </c>
    </row>
    <row r="9984">
      <c r="W9984" s="7" t="n"/>
      <c r="X9984" s="7" t="n"/>
      <c r="Z9984">
        <f>Z9983+IF(W9984="",0,IF(ISNA(MATCH(W9984,W$256:W9983,0)),1,0))</f>
        <v/>
      </c>
      <c r="AA9984">
        <f>IF(Z9984&gt;Z9983,Z9984,"")</f>
        <v/>
      </c>
      <c r="AB9984">
        <f>AB9983+IF(X9984="",0,IF(ISNA(MATCH(X9984,X$256:X9983,0)),1,0))</f>
        <v/>
      </c>
      <c r="AC9984">
        <f>IF(AB9984&gt;AB9983,AB9984,"")</f>
        <v/>
      </c>
    </row>
    <row r="9985">
      <c r="W9985" s="7" t="n"/>
      <c r="X9985" s="7" t="n"/>
      <c r="Z9985">
        <f>Z9984+IF(W9985="",0,IF(ISNA(MATCH(W9985,W$256:W9984,0)),1,0))</f>
        <v/>
      </c>
      <c r="AA9985">
        <f>IF(Z9985&gt;Z9984,Z9985,"")</f>
        <v/>
      </c>
      <c r="AB9985">
        <f>AB9984+IF(X9985="",0,IF(ISNA(MATCH(X9985,X$256:X9984,0)),1,0))</f>
        <v/>
      </c>
      <c r="AC9985">
        <f>IF(AB9985&gt;AB9984,AB9985,"")</f>
        <v/>
      </c>
    </row>
    <row r="9986">
      <c r="W9986" s="7" t="n"/>
      <c r="X9986" s="7" t="n"/>
      <c r="Z9986">
        <f>Z9985+IF(W9986="",0,IF(ISNA(MATCH(W9986,W$256:W9985,0)),1,0))</f>
        <v/>
      </c>
      <c r="AA9986">
        <f>IF(Z9986&gt;Z9985,Z9986,"")</f>
        <v/>
      </c>
      <c r="AB9986">
        <f>AB9985+IF(X9986="",0,IF(ISNA(MATCH(X9986,X$256:X9985,0)),1,0))</f>
        <v/>
      </c>
      <c r="AC9986">
        <f>IF(AB9986&gt;AB9985,AB9986,"")</f>
        <v/>
      </c>
    </row>
    <row r="9987">
      <c r="W9987" s="7" t="n"/>
      <c r="X9987" s="7" t="n"/>
      <c r="Z9987">
        <f>Z9986+IF(W9987="",0,IF(ISNA(MATCH(W9987,W$256:W9986,0)),1,0))</f>
        <v/>
      </c>
      <c r="AA9987">
        <f>IF(Z9987&gt;Z9986,Z9987,"")</f>
        <v/>
      </c>
      <c r="AB9987">
        <f>AB9986+IF(X9987="",0,IF(ISNA(MATCH(X9987,X$256:X9986,0)),1,0))</f>
        <v/>
      </c>
      <c r="AC9987">
        <f>IF(AB9987&gt;AB9986,AB9987,"")</f>
        <v/>
      </c>
    </row>
    <row r="9988">
      <c r="W9988" s="7" t="n"/>
      <c r="X9988" s="7" t="n"/>
      <c r="Z9988">
        <f>Z9987+IF(W9988="",0,IF(ISNA(MATCH(W9988,W$256:W9987,0)),1,0))</f>
        <v/>
      </c>
      <c r="AA9988">
        <f>IF(Z9988&gt;Z9987,Z9988,"")</f>
        <v/>
      </c>
      <c r="AB9988">
        <f>AB9987+IF(X9988="",0,IF(ISNA(MATCH(X9988,X$256:X9987,0)),1,0))</f>
        <v/>
      </c>
      <c r="AC9988">
        <f>IF(AB9988&gt;AB9987,AB9988,"")</f>
        <v/>
      </c>
    </row>
    <row r="9989">
      <c r="W9989" s="7" t="n"/>
      <c r="X9989" s="7" t="n"/>
      <c r="Z9989">
        <f>Z9988+IF(W9989="",0,IF(ISNA(MATCH(W9989,W$256:W9988,0)),1,0))</f>
        <v/>
      </c>
      <c r="AA9989">
        <f>IF(Z9989&gt;Z9988,Z9989,"")</f>
        <v/>
      </c>
      <c r="AB9989">
        <f>AB9988+IF(X9989="",0,IF(ISNA(MATCH(X9989,X$256:X9988,0)),1,0))</f>
        <v/>
      </c>
      <c r="AC9989">
        <f>IF(AB9989&gt;AB9988,AB9989,"")</f>
        <v/>
      </c>
    </row>
    <row r="9990">
      <c r="W9990" s="7" t="n"/>
      <c r="X9990" s="7" t="n"/>
      <c r="Z9990">
        <f>Z9989+IF(W9990="",0,IF(ISNA(MATCH(W9990,W$256:W9989,0)),1,0))</f>
        <v/>
      </c>
      <c r="AA9990">
        <f>IF(Z9990&gt;Z9989,Z9990,"")</f>
        <v/>
      </c>
      <c r="AB9990">
        <f>AB9989+IF(X9990="",0,IF(ISNA(MATCH(X9990,X$256:X9989,0)),1,0))</f>
        <v/>
      </c>
      <c r="AC9990">
        <f>IF(AB9990&gt;AB9989,AB9990,"")</f>
        <v/>
      </c>
    </row>
    <row r="9991">
      <c r="W9991" s="7" t="n"/>
      <c r="X9991" s="7" t="n"/>
      <c r="Z9991">
        <f>Z9990+IF(W9991="",0,IF(ISNA(MATCH(W9991,W$256:W9990,0)),1,0))</f>
        <v/>
      </c>
      <c r="AA9991">
        <f>IF(Z9991&gt;Z9990,Z9991,"")</f>
        <v/>
      </c>
      <c r="AB9991">
        <f>AB9990+IF(X9991="",0,IF(ISNA(MATCH(X9991,X$256:X9990,0)),1,0))</f>
        <v/>
      </c>
      <c r="AC9991">
        <f>IF(AB9991&gt;AB9990,AB9991,"")</f>
        <v/>
      </c>
    </row>
    <row r="9992">
      <c r="W9992" s="7" t="n"/>
      <c r="X9992" s="7" t="n"/>
      <c r="Z9992">
        <f>Z9991+IF(W9992="",0,IF(ISNA(MATCH(W9992,W$256:W9991,0)),1,0))</f>
        <v/>
      </c>
      <c r="AA9992">
        <f>IF(Z9992&gt;Z9991,Z9992,"")</f>
        <v/>
      </c>
      <c r="AB9992">
        <f>AB9991+IF(X9992="",0,IF(ISNA(MATCH(X9992,X$256:X9991,0)),1,0))</f>
        <v/>
      </c>
      <c r="AC9992">
        <f>IF(AB9992&gt;AB9991,AB9992,"")</f>
        <v/>
      </c>
    </row>
    <row r="9993">
      <c r="W9993" s="7" t="n"/>
      <c r="X9993" s="7" t="n"/>
      <c r="Z9993">
        <f>Z9992+IF(W9993="",0,IF(ISNA(MATCH(W9993,W$256:W9992,0)),1,0))</f>
        <v/>
      </c>
      <c r="AA9993">
        <f>IF(Z9993&gt;Z9992,Z9993,"")</f>
        <v/>
      </c>
      <c r="AB9993">
        <f>AB9992+IF(X9993="",0,IF(ISNA(MATCH(X9993,X$256:X9992,0)),1,0))</f>
        <v/>
      </c>
      <c r="AC9993">
        <f>IF(AB9993&gt;AB9992,AB9993,"")</f>
        <v/>
      </c>
    </row>
    <row r="9994">
      <c r="W9994" s="7" t="n"/>
      <c r="X9994" s="7" t="n"/>
      <c r="Z9994">
        <f>Z9993+IF(W9994="",0,IF(ISNA(MATCH(W9994,W$256:W9993,0)),1,0))</f>
        <v/>
      </c>
      <c r="AA9994">
        <f>IF(Z9994&gt;Z9993,Z9994,"")</f>
        <v/>
      </c>
      <c r="AB9994">
        <f>AB9993+IF(X9994="",0,IF(ISNA(MATCH(X9994,X$256:X9993,0)),1,0))</f>
        <v/>
      </c>
      <c r="AC9994">
        <f>IF(AB9994&gt;AB9993,AB9994,"")</f>
        <v/>
      </c>
    </row>
    <row r="9995">
      <c r="W9995" s="7" t="n"/>
      <c r="X9995" s="7" t="n"/>
      <c r="Z9995">
        <f>Z9994+IF(W9995="",0,IF(ISNA(MATCH(W9995,W$256:W9994,0)),1,0))</f>
        <v/>
      </c>
      <c r="AA9995">
        <f>IF(Z9995&gt;Z9994,Z9995,"")</f>
        <v/>
      </c>
      <c r="AB9995">
        <f>AB9994+IF(X9995="",0,IF(ISNA(MATCH(X9995,X$256:X9994,0)),1,0))</f>
        <v/>
      </c>
      <c r="AC9995">
        <f>IF(AB9995&gt;AB9994,AB9995,"")</f>
        <v/>
      </c>
    </row>
    <row r="9996">
      <c r="W9996" s="7" t="n"/>
      <c r="X9996" s="7" t="n"/>
      <c r="Z9996">
        <f>Z9995+IF(W9996="",0,IF(ISNA(MATCH(W9996,W$256:W9995,0)),1,0))</f>
        <v/>
      </c>
      <c r="AA9996">
        <f>IF(Z9996&gt;Z9995,Z9996,"")</f>
        <v/>
      </c>
      <c r="AB9996">
        <f>AB9995+IF(X9996="",0,IF(ISNA(MATCH(X9996,X$256:X9995,0)),1,0))</f>
        <v/>
      </c>
      <c r="AC9996">
        <f>IF(AB9996&gt;AB9995,AB9996,"")</f>
        <v/>
      </c>
    </row>
    <row r="9997">
      <c r="W9997" s="7" t="n"/>
      <c r="X9997" s="7" t="n"/>
      <c r="Z9997">
        <f>Z9996+IF(W9997="",0,IF(ISNA(MATCH(W9997,W$256:W9996,0)),1,0))</f>
        <v/>
      </c>
      <c r="AA9997">
        <f>IF(Z9997&gt;Z9996,Z9997,"")</f>
        <v/>
      </c>
      <c r="AB9997">
        <f>AB9996+IF(X9997="",0,IF(ISNA(MATCH(X9997,X$256:X9996,0)),1,0))</f>
        <v/>
      </c>
      <c r="AC9997">
        <f>IF(AB9997&gt;AB9996,AB9997,"")</f>
        <v/>
      </c>
    </row>
    <row r="9998">
      <c r="W9998" s="7" t="n"/>
      <c r="X9998" s="7" t="n"/>
      <c r="Z9998">
        <f>Z9997+IF(W9998="",0,IF(ISNA(MATCH(W9998,W$256:W9997,0)),1,0))</f>
        <v/>
      </c>
      <c r="AA9998">
        <f>IF(Z9998&gt;Z9997,Z9998,"")</f>
        <v/>
      </c>
      <c r="AB9998">
        <f>AB9997+IF(X9998="",0,IF(ISNA(MATCH(X9998,X$256:X9997,0)),1,0))</f>
        <v/>
      </c>
      <c r="AC9998">
        <f>IF(AB9998&gt;AB9997,AB9998,"")</f>
        <v/>
      </c>
    </row>
    <row r="9999">
      <c r="W9999" s="7" t="n"/>
      <c r="X9999" s="7" t="n"/>
      <c r="Z9999">
        <f>Z9998+IF(W9999="",0,IF(ISNA(MATCH(W9999,W$256:W9998,0)),1,0))</f>
        <v/>
      </c>
      <c r="AA9999">
        <f>IF(Z9999&gt;Z9998,Z9999,"")</f>
        <v/>
      </c>
      <c r="AB9999">
        <f>AB9998+IF(X9999="",0,IF(ISNA(MATCH(X9999,X$256:X9998,0)),1,0))</f>
        <v/>
      </c>
      <c r="AC9999">
        <f>IF(AB9999&gt;AB9998,AB9999,"")</f>
        <v/>
      </c>
    </row>
    <row r="10000">
      <c r="W10000" s="7" t="n"/>
      <c r="X10000" s="7" t="n"/>
      <c r="Z10000">
        <f>Z9999+IF(W10000="",0,IF(ISNA(MATCH(W10000,W$256:W9999,0)),1,0))</f>
        <v/>
      </c>
      <c r="AA10000">
        <f>IF(Z10000&gt;Z9999,Z10000,"")</f>
        <v/>
      </c>
      <c r="AB10000">
        <f>AB9999+IF(X10000="",0,IF(ISNA(MATCH(X10000,X$256:X9999,0)),1,0))</f>
        <v/>
      </c>
      <c r="AC10000">
        <f>IF(AB10000&gt;AB9999,AB10000,"")</f>
        <v/>
      </c>
    </row>
    <row r="10001">
      <c r="W10001" s="7" t="n"/>
      <c r="X10001" s="7" t="n"/>
      <c r="Z10001">
        <f>Z10000+IF(W10001="",0,IF(ISNA(MATCH(W10001,W$256:W10000,0)),1,0))</f>
        <v/>
      </c>
      <c r="AA10001">
        <f>IF(Z10001&gt;Z10000,Z10001,"")</f>
        <v/>
      </c>
      <c r="AB10001">
        <f>AB10000+IF(X10001="",0,IF(ISNA(MATCH(X10001,X$256:X10000,0)),1,0))</f>
        <v/>
      </c>
      <c r="AC10001">
        <f>IF(AB10001&gt;AB10000,AB10001,"")</f>
        <v/>
      </c>
    </row>
    <row r="10002">
      <c r="W10002" s="7" t="n"/>
      <c r="X10002" s="7" t="n"/>
      <c r="Z10002">
        <f>Z10001+IF(W10002="",0,IF(ISNA(MATCH(W10002,W$256:W10001,0)),1,0))</f>
        <v/>
      </c>
      <c r="AA10002">
        <f>IF(Z10002&gt;Z10001,Z10002,"")</f>
        <v/>
      </c>
      <c r="AB10002">
        <f>AB10001+IF(X10002="",0,IF(ISNA(MATCH(X10002,X$256:X10001,0)),1,0))</f>
        <v/>
      </c>
      <c r="AC10002">
        <f>IF(AB10002&gt;AB10001,AB10002,"")</f>
        <v/>
      </c>
    </row>
    <row r="10003">
      <c r="W10003" s="7" t="n"/>
      <c r="X10003" s="7" t="n"/>
      <c r="Z10003">
        <f>Z10002+IF(W10003="",0,IF(ISNA(MATCH(W10003,W$256:W10002,0)),1,0))</f>
        <v/>
      </c>
      <c r="AA10003">
        <f>IF(Z10003&gt;Z10002,Z10003,"")</f>
        <v/>
      </c>
      <c r="AB10003">
        <f>AB10002+IF(X10003="",0,IF(ISNA(MATCH(X10003,X$256:X10002,0)),1,0))</f>
        <v/>
      </c>
      <c r="AC10003">
        <f>IF(AB10003&gt;AB10002,AB10003,"")</f>
        <v/>
      </c>
    </row>
    <row r="10004">
      <c r="W10004" s="7" t="n"/>
      <c r="X10004" s="7" t="n"/>
      <c r="Z10004">
        <f>Z10003+IF(W10004="",0,IF(ISNA(MATCH(W10004,W$256:W10003,0)),1,0))</f>
        <v/>
      </c>
      <c r="AA10004">
        <f>IF(Z10004&gt;Z10003,Z10004,"")</f>
        <v/>
      </c>
      <c r="AB10004">
        <f>AB10003+IF(X10004="",0,IF(ISNA(MATCH(X10004,X$256:X10003,0)),1,0))</f>
        <v/>
      </c>
      <c r="AC10004">
        <f>IF(AB10004&gt;AB10003,AB10004,"")</f>
        <v/>
      </c>
    </row>
    <row r="10005">
      <c r="W10005" s="7" t="n"/>
      <c r="X10005" s="7" t="n"/>
      <c r="Z10005">
        <f>Z10004+IF(W10005="",0,IF(ISNA(MATCH(W10005,W$256:W10004,0)),1,0))</f>
        <v/>
      </c>
      <c r="AA10005">
        <f>IF(Z10005&gt;Z10004,Z10005,"")</f>
        <v/>
      </c>
      <c r="AB10005">
        <f>AB10004+IF(X10005="",0,IF(ISNA(MATCH(X10005,X$256:X10004,0)),1,0))</f>
        <v/>
      </c>
      <c r="AC10005">
        <f>IF(AB10005&gt;AB10004,AB10005,"")</f>
        <v/>
      </c>
    </row>
    <row r="10006">
      <c r="W10006" s="7" t="n"/>
      <c r="X10006" s="7" t="n"/>
      <c r="Z10006">
        <f>Z10005+IF(W10006="",0,IF(ISNA(MATCH(W10006,W$256:W10005,0)),1,0))</f>
        <v/>
      </c>
      <c r="AA10006">
        <f>IF(Z10006&gt;Z10005,Z10006,"")</f>
        <v/>
      </c>
      <c r="AB10006">
        <f>AB10005+IF(X10006="",0,IF(ISNA(MATCH(X10006,X$256:X10005,0)),1,0))</f>
        <v/>
      </c>
      <c r="AC10006">
        <f>IF(AB10006&gt;AB10005,AB10006,"")</f>
        <v/>
      </c>
    </row>
    <row r="10007">
      <c r="W10007" s="7" t="n"/>
      <c r="X10007" s="7" t="n"/>
      <c r="Z10007">
        <f>Z10006+IF(W10007="",0,IF(ISNA(MATCH(W10007,W$256:W10006,0)),1,0))</f>
        <v/>
      </c>
      <c r="AA10007">
        <f>IF(Z10007&gt;Z10006,Z10007,"")</f>
        <v/>
      </c>
      <c r="AB10007">
        <f>AB10006+IF(X10007="",0,IF(ISNA(MATCH(X10007,X$256:X10006,0)),1,0))</f>
        <v/>
      </c>
      <c r="AC10007">
        <f>IF(AB10007&gt;AB10006,AB10007,"")</f>
        <v/>
      </c>
    </row>
    <row r="10008">
      <c r="W10008" s="7" t="n"/>
      <c r="X10008" s="7" t="n"/>
      <c r="Z10008">
        <f>Z10007+IF(W10008="",0,IF(ISNA(MATCH(W10008,W$256:W10007,0)),1,0))</f>
        <v/>
      </c>
      <c r="AA10008">
        <f>IF(Z10008&gt;Z10007,Z10008,"")</f>
        <v/>
      </c>
      <c r="AB10008">
        <f>AB10007+IF(X10008="",0,IF(ISNA(MATCH(X10008,X$256:X10007,0)),1,0))</f>
        <v/>
      </c>
      <c r="AC10008">
        <f>IF(AB10008&gt;AB10007,AB10008,"")</f>
        <v/>
      </c>
    </row>
    <row r="10009">
      <c r="W10009" s="7" t="n"/>
      <c r="X10009" s="7" t="n"/>
      <c r="Z10009">
        <f>Z10008+IF(W10009="",0,IF(ISNA(MATCH(W10009,W$256:W10008,0)),1,0))</f>
        <v/>
      </c>
      <c r="AA10009">
        <f>IF(Z10009&gt;Z10008,Z10009,"")</f>
        <v/>
      </c>
      <c r="AB10009">
        <f>AB10008+IF(X10009="",0,IF(ISNA(MATCH(X10009,X$256:X10008,0)),1,0))</f>
        <v/>
      </c>
      <c r="AC10009">
        <f>IF(AB10009&gt;AB10008,AB10009,"")</f>
        <v/>
      </c>
    </row>
    <row r="10010">
      <c r="W10010" s="7" t="n"/>
      <c r="X10010" s="7" t="n"/>
      <c r="Z10010">
        <f>Z10009+IF(W10010="",0,IF(ISNA(MATCH(W10010,W$256:W10009,0)),1,0))</f>
        <v/>
      </c>
      <c r="AA10010">
        <f>IF(Z10010&gt;Z10009,Z10010,"")</f>
        <v/>
      </c>
      <c r="AB10010">
        <f>AB10009+IF(X10010="",0,IF(ISNA(MATCH(X10010,X$256:X10009,0)),1,0))</f>
        <v/>
      </c>
      <c r="AC10010">
        <f>IF(AB10010&gt;AB10009,AB10010,"")</f>
        <v/>
      </c>
    </row>
    <row r="10011">
      <c r="W10011" s="7" t="n"/>
      <c r="X10011" s="7" t="n"/>
      <c r="Z10011">
        <f>Z10010+IF(W10011="",0,IF(ISNA(MATCH(W10011,W$256:W10010,0)),1,0))</f>
        <v/>
      </c>
      <c r="AA10011">
        <f>IF(Z10011&gt;Z10010,Z10011,"")</f>
        <v/>
      </c>
      <c r="AB10011">
        <f>AB10010+IF(X10011="",0,IF(ISNA(MATCH(X10011,X$256:X10010,0)),1,0))</f>
        <v/>
      </c>
      <c r="AC10011">
        <f>IF(AB10011&gt;AB10010,AB10011,"")</f>
        <v/>
      </c>
    </row>
    <row r="10012">
      <c r="W10012" s="7" t="n"/>
      <c r="X10012" s="7" t="n"/>
      <c r="Z10012">
        <f>Z10011+IF(W10012="",0,IF(ISNA(MATCH(W10012,W$256:W10011,0)),1,0))</f>
        <v/>
      </c>
      <c r="AA10012">
        <f>IF(Z10012&gt;Z10011,Z10012,"")</f>
        <v/>
      </c>
      <c r="AB10012">
        <f>AB10011+IF(X10012="",0,IF(ISNA(MATCH(X10012,X$256:X10011,0)),1,0))</f>
        <v/>
      </c>
      <c r="AC10012">
        <f>IF(AB10012&gt;AB10011,AB10012,"")</f>
        <v/>
      </c>
    </row>
    <row r="10013">
      <c r="W10013" s="7" t="n"/>
      <c r="X10013" s="7" t="n"/>
      <c r="Z10013">
        <f>Z10012+IF(W10013="",0,IF(ISNA(MATCH(W10013,W$256:W10012,0)),1,0))</f>
        <v/>
      </c>
      <c r="AA10013">
        <f>IF(Z10013&gt;Z10012,Z10013,"")</f>
        <v/>
      </c>
      <c r="AB10013">
        <f>AB10012+IF(X10013="",0,IF(ISNA(MATCH(X10013,X$256:X10012,0)),1,0))</f>
        <v/>
      </c>
      <c r="AC10013">
        <f>IF(AB10013&gt;AB10012,AB10013,"")</f>
        <v/>
      </c>
    </row>
    <row r="10014">
      <c r="W10014" s="7" t="n"/>
      <c r="X10014" s="7" t="n"/>
      <c r="Z10014">
        <f>Z10013+IF(W10014="",0,IF(ISNA(MATCH(W10014,W$256:W10013,0)),1,0))</f>
        <v/>
      </c>
      <c r="AA10014">
        <f>IF(Z10014&gt;Z10013,Z10014,"")</f>
        <v/>
      </c>
      <c r="AB10014">
        <f>AB10013+IF(X10014="",0,IF(ISNA(MATCH(X10014,X$256:X10013,0)),1,0))</f>
        <v/>
      </c>
      <c r="AC10014">
        <f>IF(AB10014&gt;AB10013,AB10014,"")</f>
        <v/>
      </c>
    </row>
    <row r="10015">
      <c r="W10015" s="7" t="n"/>
      <c r="X10015" s="7" t="n"/>
      <c r="Z10015">
        <f>Z10014+IF(W10015="",0,IF(ISNA(MATCH(W10015,W$256:W10014,0)),1,0))</f>
        <v/>
      </c>
      <c r="AA10015">
        <f>IF(Z10015&gt;Z10014,Z10015,"")</f>
        <v/>
      </c>
      <c r="AB10015">
        <f>AB10014+IF(X10015="",0,IF(ISNA(MATCH(X10015,X$256:X10014,0)),1,0))</f>
        <v/>
      </c>
      <c r="AC10015">
        <f>IF(AB10015&gt;AB10014,AB10015,"")</f>
        <v/>
      </c>
    </row>
    <row r="10016">
      <c r="W10016" s="7" t="n"/>
      <c r="X10016" s="7" t="n"/>
      <c r="Z10016">
        <f>Z10015+IF(W10016="",0,IF(ISNA(MATCH(W10016,W$256:W10015,0)),1,0))</f>
        <v/>
      </c>
      <c r="AA10016">
        <f>IF(Z10016&gt;Z10015,Z10016,"")</f>
        <v/>
      </c>
      <c r="AB10016">
        <f>AB10015+IF(X10016="",0,IF(ISNA(MATCH(X10016,X$256:X10015,0)),1,0))</f>
        <v/>
      </c>
      <c r="AC10016">
        <f>IF(AB10016&gt;AB10015,AB10016,"")</f>
        <v/>
      </c>
    </row>
    <row r="10017">
      <c r="W10017" s="7" t="n"/>
      <c r="X10017" s="7" t="n"/>
      <c r="Z10017">
        <f>Z10016+IF(W10017="",0,IF(ISNA(MATCH(W10017,W$256:W10016,0)),1,0))</f>
        <v/>
      </c>
      <c r="AA10017">
        <f>IF(Z10017&gt;Z10016,Z10017,"")</f>
        <v/>
      </c>
      <c r="AB10017">
        <f>AB10016+IF(X10017="",0,IF(ISNA(MATCH(X10017,X$256:X10016,0)),1,0))</f>
        <v/>
      </c>
      <c r="AC10017">
        <f>IF(AB10017&gt;AB10016,AB10017,"")</f>
        <v/>
      </c>
    </row>
    <row r="10018">
      <c r="W10018" s="7" t="n"/>
      <c r="X10018" s="7" t="n"/>
      <c r="Z10018">
        <f>Z10017+IF(W10018="",0,IF(ISNA(MATCH(W10018,W$256:W10017,0)),1,0))</f>
        <v/>
      </c>
      <c r="AA10018">
        <f>IF(Z10018&gt;Z10017,Z10018,"")</f>
        <v/>
      </c>
      <c r="AB10018">
        <f>AB10017+IF(X10018="",0,IF(ISNA(MATCH(X10018,X$256:X10017,0)),1,0))</f>
        <v/>
      </c>
      <c r="AC10018">
        <f>IF(AB10018&gt;AB10017,AB10018,"")</f>
        <v/>
      </c>
    </row>
    <row r="10019">
      <c r="W10019" s="7" t="n"/>
      <c r="X10019" s="7" t="n"/>
      <c r="Z10019">
        <f>Z10018+IF(W10019="",0,IF(ISNA(MATCH(W10019,W$256:W10018,0)),1,0))</f>
        <v/>
      </c>
      <c r="AA10019">
        <f>IF(Z10019&gt;Z10018,Z10019,"")</f>
        <v/>
      </c>
      <c r="AB10019">
        <f>AB10018+IF(X10019="",0,IF(ISNA(MATCH(X10019,X$256:X10018,0)),1,0))</f>
        <v/>
      </c>
      <c r="AC10019">
        <f>IF(AB10019&gt;AB10018,AB10019,"")</f>
        <v/>
      </c>
    </row>
    <row r="10020">
      <c r="W10020" s="7" t="n"/>
      <c r="X10020" s="7" t="n"/>
      <c r="Z10020">
        <f>Z10019+IF(W10020="",0,IF(ISNA(MATCH(W10020,W$256:W10019,0)),1,0))</f>
        <v/>
      </c>
      <c r="AA10020">
        <f>IF(Z10020&gt;Z10019,Z10020,"")</f>
        <v/>
      </c>
      <c r="AB10020">
        <f>AB10019+IF(X10020="",0,IF(ISNA(MATCH(X10020,X$256:X10019,0)),1,0))</f>
        <v/>
      </c>
      <c r="AC10020">
        <f>IF(AB10020&gt;AB10019,AB10020,"")</f>
        <v/>
      </c>
    </row>
    <row r="10021">
      <c r="W10021" s="7" t="n"/>
      <c r="X10021" s="7" t="n"/>
      <c r="Z10021">
        <f>Z10020+IF(W10021="",0,IF(ISNA(MATCH(W10021,W$256:W10020,0)),1,0))</f>
        <v/>
      </c>
      <c r="AA10021">
        <f>IF(Z10021&gt;Z10020,Z10021,"")</f>
        <v/>
      </c>
      <c r="AB10021">
        <f>AB10020+IF(X10021="",0,IF(ISNA(MATCH(X10021,X$256:X10020,0)),1,0))</f>
        <v/>
      </c>
      <c r="AC10021">
        <f>IF(AB10021&gt;AB10020,AB10021,"")</f>
        <v/>
      </c>
    </row>
    <row r="10022">
      <c r="W10022" s="7" t="n"/>
      <c r="X10022" s="7" t="n"/>
      <c r="Z10022">
        <f>Z10021+IF(W10022="",0,IF(ISNA(MATCH(W10022,W$256:W10021,0)),1,0))</f>
        <v/>
      </c>
      <c r="AA10022">
        <f>IF(Z10022&gt;Z10021,Z10022,"")</f>
        <v/>
      </c>
      <c r="AB10022">
        <f>AB10021+IF(X10022="",0,IF(ISNA(MATCH(X10022,X$256:X10021,0)),1,0))</f>
        <v/>
      </c>
      <c r="AC10022">
        <f>IF(AB10022&gt;AB10021,AB10022,"")</f>
        <v/>
      </c>
    </row>
    <row r="10023">
      <c r="W10023" s="7" t="n"/>
      <c r="X10023" s="7" t="n"/>
      <c r="Z10023">
        <f>Z10022+IF(W10023="",0,IF(ISNA(MATCH(W10023,W$256:W10022,0)),1,0))</f>
        <v/>
      </c>
      <c r="AA10023">
        <f>IF(Z10023&gt;Z10022,Z10023,"")</f>
        <v/>
      </c>
      <c r="AB10023">
        <f>AB10022+IF(X10023="",0,IF(ISNA(MATCH(X10023,X$256:X10022,0)),1,0))</f>
        <v/>
      </c>
      <c r="AC10023">
        <f>IF(AB10023&gt;AB10022,AB10023,"")</f>
        <v/>
      </c>
    </row>
    <row r="10024">
      <c r="W10024" s="7" t="n"/>
      <c r="X10024" s="7" t="n"/>
      <c r="Z10024">
        <f>Z10023+IF(W10024="",0,IF(ISNA(MATCH(W10024,W$256:W10023,0)),1,0))</f>
        <v/>
      </c>
      <c r="AA10024">
        <f>IF(Z10024&gt;Z10023,Z10024,"")</f>
        <v/>
      </c>
      <c r="AB10024">
        <f>AB10023+IF(X10024="",0,IF(ISNA(MATCH(X10024,X$256:X10023,0)),1,0))</f>
        <v/>
      </c>
      <c r="AC10024">
        <f>IF(AB10024&gt;AB10023,AB10024,"")</f>
        <v/>
      </c>
    </row>
    <row r="10025">
      <c r="W10025" s="7" t="n"/>
      <c r="X10025" s="7" t="n"/>
      <c r="Z10025">
        <f>Z10024+IF(W10025="",0,IF(ISNA(MATCH(W10025,W$256:W10024,0)),1,0))</f>
        <v/>
      </c>
      <c r="AA10025">
        <f>IF(Z10025&gt;Z10024,Z10025,"")</f>
        <v/>
      </c>
      <c r="AB10025">
        <f>AB10024+IF(X10025="",0,IF(ISNA(MATCH(X10025,X$256:X10024,0)),1,0))</f>
        <v/>
      </c>
      <c r="AC10025">
        <f>IF(AB10025&gt;AB10024,AB10025,"")</f>
        <v/>
      </c>
    </row>
    <row r="10026">
      <c r="W10026" s="7" t="n"/>
      <c r="X10026" s="7" t="n"/>
      <c r="Z10026">
        <f>Z10025+IF(W10026="",0,IF(ISNA(MATCH(W10026,W$256:W10025,0)),1,0))</f>
        <v/>
      </c>
      <c r="AA10026">
        <f>IF(Z10026&gt;Z10025,Z10026,"")</f>
        <v/>
      </c>
      <c r="AB10026">
        <f>AB10025+IF(X10026="",0,IF(ISNA(MATCH(X10026,X$256:X10025,0)),1,0))</f>
        <v/>
      </c>
      <c r="AC10026">
        <f>IF(AB10026&gt;AB10025,AB10026,"")</f>
        <v/>
      </c>
    </row>
    <row r="10027">
      <c r="W10027" s="7" t="n"/>
      <c r="X10027" s="7" t="n"/>
      <c r="Z10027">
        <f>Z10026+IF(W10027="",0,IF(ISNA(MATCH(W10027,W$256:W10026,0)),1,0))</f>
        <v/>
      </c>
      <c r="AA10027">
        <f>IF(Z10027&gt;Z10026,Z10027,"")</f>
        <v/>
      </c>
      <c r="AB10027">
        <f>AB10026+IF(X10027="",0,IF(ISNA(MATCH(X10027,X$256:X10026,0)),1,0))</f>
        <v/>
      </c>
      <c r="AC10027">
        <f>IF(AB10027&gt;AB10026,AB10027,"")</f>
        <v/>
      </c>
    </row>
    <row r="10028">
      <c r="W10028" s="7" t="n"/>
      <c r="X10028" s="7" t="n"/>
      <c r="Z10028">
        <f>Z10027+IF(W10028="",0,IF(ISNA(MATCH(W10028,W$256:W10027,0)),1,0))</f>
        <v/>
      </c>
      <c r="AA10028">
        <f>IF(Z10028&gt;Z10027,Z10028,"")</f>
        <v/>
      </c>
      <c r="AB10028">
        <f>AB10027+IF(X10028="",0,IF(ISNA(MATCH(X10028,X$256:X10027,0)),1,0))</f>
        <v/>
      </c>
      <c r="AC10028">
        <f>IF(AB10028&gt;AB10027,AB10028,"")</f>
        <v/>
      </c>
    </row>
    <row r="10029">
      <c r="W10029" s="7" t="n"/>
      <c r="X10029" s="7" t="n"/>
      <c r="Z10029">
        <f>Z10028+IF(W10029="",0,IF(ISNA(MATCH(W10029,W$256:W10028,0)),1,0))</f>
        <v/>
      </c>
      <c r="AA10029">
        <f>IF(Z10029&gt;Z10028,Z10029,"")</f>
        <v/>
      </c>
      <c r="AB10029">
        <f>AB10028+IF(X10029="",0,IF(ISNA(MATCH(X10029,X$256:X10028,0)),1,0))</f>
        <v/>
      </c>
      <c r="AC10029">
        <f>IF(AB10029&gt;AB10028,AB10029,"")</f>
        <v/>
      </c>
    </row>
    <row r="10030">
      <c r="W10030" s="7" t="n"/>
      <c r="X10030" s="7" t="n"/>
      <c r="Z10030">
        <f>Z10029+IF(W10030="",0,IF(ISNA(MATCH(W10030,W$256:W10029,0)),1,0))</f>
        <v/>
      </c>
      <c r="AA10030">
        <f>IF(Z10030&gt;Z10029,Z10030,"")</f>
        <v/>
      </c>
      <c r="AB10030">
        <f>AB10029+IF(X10030="",0,IF(ISNA(MATCH(X10030,X$256:X10029,0)),1,0))</f>
        <v/>
      </c>
      <c r="AC10030">
        <f>IF(AB10030&gt;AB10029,AB10030,"")</f>
        <v/>
      </c>
    </row>
    <row r="10031">
      <c r="W10031" s="7" t="n"/>
      <c r="X10031" s="7" t="n"/>
      <c r="Z10031">
        <f>Z10030+IF(W10031="",0,IF(ISNA(MATCH(W10031,W$256:W10030,0)),1,0))</f>
        <v/>
      </c>
      <c r="AA10031">
        <f>IF(Z10031&gt;Z10030,Z10031,"")</f>
        <v/>
      </c>
      <c r="AB10031">
        <f>AB10030+IF(X10031="",0,IF(ISNA(MATCH(X10031,X$256:X10030,0)),1,0))</f>
        <v/>
      </c>
      <c r="AC10031">
        <f>IF(AB10031&gt;AB10030,AB10031,"")</f>
        <v/>
      </c>
    </row>
    <row r="10032">
      <c r="W10032" s="7" t="n"/>
      <c r="X10032" s="7" t="n"/>
      <c r="Z10032">
        <f>Z10031+IF(W10032="",0,IF(ISNA(MATCH(W10032,W$256:W10031,0)),1,0))</f>
        <v/>
      </c>
      <c r="AA10032">
        <f>IF(Z10032&gt;Z10031,Z10032,"")</f>
        <v/>
      </c>
      <c r="AB10032">
        <f>AB10031+IF(X10032="",0,IF(ISNA(MATCH(X10032,X$256:X10031,0)),1,0))</f>
        <v/>
      </c>
      <c r="AC10032">
        <f>IF(AB10032&gt;AB10031,AB10032,"")</f>
        <v/>
      </c>
    </row>
    <row r="10033">
      <c r="W10033" s="7" t="n"/>
      <c r="X10033" s="7" t="n"/>
      <c r="Z10033">
        <f>Z10032+IF(W10033="",0,IF(ISNA(MATCH(W10033,W$256:W10032,0)),1,0))</f>
        <v/>
      </c>
      <c r="AA10033">
        <f>IF(Z10033&gt;Z10032,Z10033,"")</f>
        <v/>
      </c>
      <c r="AB10033">
        <f>AB10032+IF(X10033="",0,IF(ISNA(MATCH(X10033,X$256:X10032,0)),1,0))</f>
        <v/>
      </c>
      <c r="AC10033">
        <f>IF(AB10033&gt;AB10032,AB10033,"")</f>
        <v/>
      </c>
    </row>
    <row r="10034">
      <c r="W10034" s="7" t="n"/>
      <c r="X10034" s="7" t="n"/>
      <c r="Z10034">
        <f>Z10033+IF(W10034="",0,IF(ISNA(MATCH(W10034,W$256:W10033,0)),1,0))</f>
        <v/>
      </c>
      <c r="AA10034">
        <f>IF(Z10034&gt;Z10033,Z10034,"")</f>
        <v/>
      </c>
      <c r="AB10034">
        <f>AB10033+IF(X10034="",0,IF(ISNA(MATCH(X10034,X$256:X10033,0)),1,0))</f>
        <v/>
      </c>
      <c r="AC10034">
        <f>IF(AB10034&gt;AB10033,AB10034,"")</f>
        <v/>
      </c>
    </row>
    <row r="10035">
      <c r="W10035" s="7" t="n"/>
      <c r="X10035" s="7" t="n"/>
      <c r="Z10035">
        <f>Z10034+IF(W10035="",0,IF(ISNA(MATCH(W10035,W$256:W10034,0)),1,0))</f>
        <v/>
      </c>
      <c r="AA10035">
        <f>IF(Z10035&gt;Z10034,Z10035,"")</f>
        <v/>
      </c>
      <c r="AB10035">
        <f>AB10034+IF(X10035="",0,IF(ISNA(MATCH(X10035,X$256:X10034,0)),1,0))</f>
        <v/>
      </c>
      <c r="AC10035">
        <f>IF(AB10035&gt;AB10034,AB10035,"")</f>
        <v/>
      </c>
    </row>
    <row r="10036">
      <c r="W10036" s="7" t="n"/>
      <c r="X10036" s="7" t="n"/>
      <c r="Z10036">
        <f>Z10035+IF(W10036="",0,IF(ISNA(MATCH(W10036,W$256:W10035,0)),1,0))</f>
        <v/>
      </c>
      <c r="AA10036">
        <f>IF(Z10036&gt;Z10035,Z10036,"")</f>
        <v/>
      </c>
      <c r="AB10036">
        <f>AB10035+IF(X10036="",0,IF(ISNA(MATCH(X10036,X$256:X10035,0)),1,0))</f>
        <v/>
      </c>
      <c r="AC10036">
        <f>IF(AB10036&gt;AB10035,AB10036,"")</f>
        <v/>
      </c>
    </row>
    <row r="10037">
      <c r="W10037" s="7" t="n"/>
      <c r="X10037" s="7" t="n"/>
      <c r="Z10037">
        <f>Z10036+IF(W10037="",0,IF(ISNA(MATCH(W10037,W$256:W10036,0)),1,0))</f>
        <v/>
      </c>
      <c r="AA10037">
        <f>IF(Z10037&gt;Z10036,Z10037,"")</f>
        <v/>
      </c>
      <c r="AB10037">
        <f>AB10036+IF(X10037="",0,IF(ISNA(MATCH(X10037,X$256:X10036,0)),1,0))</f>
        <v/>
      </c>
      <c r="AC10037">
        <f>IF(AB10037&gt;AB10036,AB10037,"")</f>
        <v/>
      </c>
    </row>
    <row r="10038">
      <c r="W10038" s="7" t="n"/>
      <c r="X10038" s="7" t="n"/>
      <c r="Z10038">
        <f>Z10037+IF(W10038="",0,IF(ISNA(MATCH(W10038,W$256:W10037,0)),1,0))</f>
        <v/>
      </c>
      <c r="AA10038">
        <f>IF(Z10038&gt;Z10037,Z10038,"")</f>
        <v/>
      </c>
      <c r="AB10038">
        <f>AB10037+IF(X10038="",0,IF(ISNA(MATCH(X10038,X$256:X10037,0)),1,0))</f>
        <v/>
      </c>
      <c r="AC10038">
        <f>IF(AB10038&gt;AB10037,AB10038,"")</f>
        <v/>
      </c>
    </row>
    <row r="10039">
      <c r="W10039" s="7" t="n"/>
      <c r="X10039" s="7" t="n"/>
      <c r="Z10039">
        <f>Z10038+IF(W10039="",0,IF(ISNA(MATCH(W10039,W$256:W10038,0)),1,0))</f>
        <v/>
      </c>
      <c r="AA10039">
        <f>IF(Z10039&gt;Z10038,Z10039,"")</f>
        <v/>
      </c>
      <c r="AB10039">
        <f>AB10038+IF(X10039="",0,IF(ISNA(MATCH(X10039,X$256:X10038,0)),1,0))</f>
        <v/>
      </c>
      <c r="AC10039">
        <f>IF(AB10039&gt;AB10038,AB10039,"")</f>
        <v/>
      </c>
    </row>
    <row r="10040">
      <c r="W10040" s="7" t="n"/>
      <c r="X10040" s="7" t="n"/>
      <c r="Z10040">
        <f>Z10039+IF(W10040="",0,IF(ISNA(MATCH(W10040,W$256:W10039,0)),1,0))</f>
        <v/>
      </c>
      <c r="AA10040">
        <f>IF(Z10040&gt;Z10039,Z10040,"")</f>
        <v/>
      </c>
      <c r="AB10040">
        <f>AB10039+IF(X10040="",0,IF(ISNA(MATCH(X10040,X$256:X10039,0)),1,0))</f>
        <v/>
      </c>
      <c r="AC10040">
        <f>IF(AB10040&gt;AB10039,AB10040,"")</f>
        <v/>
      </c>
    </row>
    <row r="10041">
      <c r="W10041" s="7" t="n"/>
      <c r="X10041" s="7" t="n"/>
      <c r="Z10041">
        <f>Z10040+IF(W10041="",0,IF(ISNA(MATCH(W10041,W$256:W10040,0)),1,0))</f>
        <v/>
      </c>
      <c r="AA10041">
        <f>IF(Z10041&gt;Z10040,Z10041,"")</f>
        <v/>
      </c>
      <c r="AB10041">
        <f>AB10040+IF(X10041="",0,IF(ISNA(MATCH(X10041,X$256:X10040,0)),1,0))</f>
        <v/>
      </c>
      <c r="AC10041">
        <f>IF(AB10041&gt;AB10040,AB10041,"")</f>
        <v/>
      </c>
    </row>
    <row r="10042">
      <c r="W10042" s="7" t="n"/>
      <c r="X10042" s="7" t="n"/>
      <c r="Z10042">
        <f>Z10041+IF(W10042="",0,IF(ISNA(MATCH(W10042,W$256:W10041,0)),1,0))</f>
        <v/>
      </c>
      <c r="AA10042">
        <f>IF(Z10042&gt;Z10041,Z10042,"")</f>
        <v/>
      </c>
      <c r="AB10042">
        <f>AB10041+IF(X10042="",0,IF(ISNA(MATCH(X10042,X$256:X10041,0)),1,0))</f>
        <v/>
      </c>
      <c r="AC10042">
        <f>IF(AB10042&gt;AB10041,AB10042,"")</f>
        <v/>
      </c>
    </row>
    <row r="10043">
      <c r="W10043" s="7" t="n"/>
      <c r="X10043" s="7" t="n"/>
      <c r="Z10043">
        <f>Z10042+IF(W10043="",0,IF(ISNA(MATCH(W10043,W$256:W10042,0)),1,0))</f>
        <v/>
      </c>
      <c r="AA10043">
        <f>IF(Z10043&gt;Z10042,Z10043,"")</f>
        <v/>
      </c>
      <c r="AB10043">
        <f>AB10042+IF(X10043="",0,IF(ISNA(MATCH(X10043,X$256:X10042,0)),1,0))</f>
        <v/>
      </c>
      <c r="AC10043">
        <f>IF(AB10043&gt;AB10042,AB10043,"")</f>
        <v/>
      </c>
    </row>
    <row r="10044">
      <c r="W10044" s="7" t="n"/>
      <c r="X10044" s="7" t="n"/>
      <c r="Z10044">
        <f>Z10043+IF(W10044="",0,IF(ISNA(MATCH(W10044,W$256:W10043,0)),1,0))</f>
        <v/>
      </c>
      <c r="AA10044">
        <f>IF(Z10044&gt;Z10043,Z10044,"")</f>
        <v/>
      </c>
      <c r="AB10044">
        <f>AB10043+IF(X10044="",0,IF(ISNA(MATCH(X10044,X$256:X10043,0)),1,0))</f>
        <v/>
      </c>
      <c r="AC10044">
        <f>IF(AB10044&gt;AB10043,AB10044,"")</f>
        <v/>
      </c>
    </row>
    <row r="10045">
      <c r="W10045" s="7" t="n"/>
      <c r="X10045" s="7" t="n"/>
      <c r="Z10045">
        <f>Z10044+IF(W10045="",0,IF(ISNA(MATCH(W10045,W$256:W10044,0)),1,0))</f>
        <v/>
      </c>
      <c r="AA10045">
        <f>IF(Z10045&gt;Z10044,Z10045,"")</f>
        <v/>
      </c>
      <c r="AB10045">
        <f>AB10044+IF(X10045="",0,IF(ISNA(MATCH(X10045,X$256:X10044,0)),1,0))</f>
        <v/>
      </c>
      <c r="AC10045">
        <f>IF(AB10045&gt;AB10044,AB10045,"")</f>
        <v/>
      </c>
    </row>
    <row r="10046">
      <c r="W10046" s="7" t="n"/>
      <c r="X10046" s="7" t="n"/>
      <c r="Z10046">
        <f>Z10045+IF(W10046="",0,IF(ISNA(MATCH(W10046,W$256:W10045,0)),1,0))</f>
        <v/>
      </c>
      <c r="AA10046">
        <f>IF(Z10046&gt;Z10045,Z10046,"")</f>
        <v/>
      </c>
      <c r="AB10046">
        <f>AB10045+IF(X10046="",0,IF(ISNA(MATCH(X10046,X$256:X10045,0)),1,0))</f>
        <v/>
      </c>
      <c r="AC10046">
        <f>IF(AB10046&gt;AB10045,AB10046,"")</f>
        <v/>
      </c>
    </row>
    <row r="10047">
      <c r="W10047" s="7" t="n"/>
      <c r="X10047" s="7" t="n"/>
      <c r="Z10047">
        <f>Z10046+IF(W10047="",0,IF(ISNA(MATCH(W10047,W$256:W10046,0)),1,0))</f>
        <v/>
      </c>
      <c r="AA10047">
        <f>IF(Z10047&gt;Z10046,Z10047,"")</f>
        <v/>
      </c>
      <c r="AB10047">
        <f>AB10046+IF(X10047="",0,IF(ISNA(MATCH(X10047,X$256:X10046,0)),1,0))</f>
        <v/>
      </c>
      <c r="AC10047">
        <f>IF(AB10047&gt;AB10046,AB10047,"")</f>
        <v/>
      </c>
    </row>
    <row r="10048">
      <c r="W10048" s="7" t="n"/>
      <c r="X10048" s="7" t="n"/>
      <c r="Z10048">
        <f>Z10047+IF(W10048="",0,IF(ISNA(MATCH(W10048,W$256:W10047,0)),1,0))</f>
        <v/>
      </c>
      <c r="AA10048">
        <f>IF(Z10048&gt;Z10047,Z10048,"")</f>
        <v/>
      </c>
      <c r="AB10048">
        <f>AB10047+IF(X10048="",0,IF(ISNA(MATCH(X10048,X$256:X10047,0)),1,0))</f>
        <v/>
      </c>
      <c r="AC10048">
        <f>IF(AB10048&gt;AB10047,AB10048,"")</f>
        <v/>
      </c>
    </row>
    <row r="10049">
      <c r="W10049" s="7" t="n"/>
      <c r="X10049" s="7" t="n"/>
      <c r="Z10049">
        <f>Z10048+IF(W10049="",0,IF(ISNA(MATCH(W10049,W$256:W10048,0)),1,0))</f>
        <v/>
      </c>
      <c r="AA10049">
        <f>IF(Z10049&gt;Z10048,Z10049,"")</f>
        <v/>
      </c>
      <c r="AB10049">
        <f>AB10048+IF(X10049="",0,IF(ISNA(MATCH(X10049,X$256:X10048,0)),1,0))</f>
        <v/>
      </c>
      <c r="AC10049">
        <f>IF(AB10049&gt;AB10048,AB10049,"")</f>
        <v/>
      </c>
    </row>
    <row r="10050">
      <c r="W10050" s="7" t="n"/>
      <c r="X10050" s="7" t="n"/>
      <c r="Z10050">
        <f>Z10049+IF(W10050="",0,IF(ISNA(MATCH(W10050,W$256:W10049,0)),1,0))</f>
        <v/>
      </c>
      <c r="AA10050">
        <f>IF(Z10050&gt;Z10049,Z10050,"")</f>
        <v/>
      </c>
      <c r="AB10050">
        <f>AB10049+IF(X10050="",0,IF(ISNA(MATCH(X10050,X$256:X10049,0)),1,0))</f>
        <v/>
      </c>
      <c r="AC10050">
        <f>IF(AB10050&gt;AB10049,AB10050,"")</f>
        <v/>
      </c>
    </row>
    <row r="10051">
      <c r="W10051" s="7" t="n"/>
      <c r="X10051" s="7" t="n"/>
      <c r="Z10051">
        <f>Z10050+IF(W10051="",0,IF(ISNA(MATCH(W10051,W$256:W10050,0)),1,0))</f>
        <v/>
      </c>
      <c r="AA10051">
        <f>IF(Z10051&gt;Z10050,Z10051,"")</f>
        <v/>
      </c>
      <c r="AB10051">
        <f>AB10050+IF(X10051="",0,IF(ISNA(MATCH(X10051,X$256:X10050,0)),1,0))</f>
        <v/>
      </c>
      <c r="AC10051">
        <f>IF(AB10051&gt;AB10050,AB10051,"")</f>
        <v/>
      </c>
    </row>
    <row r="10052">
      <c r="W10052" s="7" t="n"/>
      <c r="X10052" s="7" t="n"/>
      <c r="Z10052">
        <f>Z10051+IF(W10052="",0,IF(ISNA(MATCH(W10052,W$256:W10051,0)),1,0))</f>
        <v/>
      </c>
      <c r="AA10052">
        <f>IF(Z10052&gt;Z10051,Z10052,"")</f>
        <v/>
      </c>
      <c r="AB10052">
        <f>AB10051+IF(X10052="",0,IF(ISNA(MATCH(X10052,X$256:X10051,0)),1,0))</f>
        <v/>
      </c>
      <c r="AC10052">
        <f>IF(AB10052&gt;AB10051,AB10052,"")</f>
        <v/>
      </c>
    </row>
    <row r="10053">
      <c r="W10053" s="7" t="n"/>
      <c r="X10053" s="7" t="n"/>
      <c r="Z10053">
        <f>Z10052+IF(W10053="",0,IF(ISNA(MATCH(W10053,W$256:W10052,0)),1,0))</f>
        <v/>
      </c>
      <c r="AA10053">
        <f>IF(Z10053&gt;Z10052,Z10053,"")</f>
        <v/>
      </c>
      <c r="AB10053">
        <f>AB10052+IF(X10053="",0,IF(ISNA(MATCH(X10053,X$256:X10052,0)),1,0))</f>
        <v/>
      </c>
      <c r="AC10053">
        <f>IF(AB10053&gt;AB10052,AB10053,"")</f>
        <v/>
      </c>
    </row>
    <row r="10054">
      <c r="W10054" s="7" t="n"/>
      <c r="X10054" s="7" t="n"/>
      <c r="Z10054">
        <f>Z10053+IF(W10054="",0,IF(ISNA(MATCH(W10054,W$256:W10053,0)),1,0))</f>
        <v/>
      </c>
      <c r="AA10054">
        <f>IF(Z10054&gt;Z10053,Z10054,"")</f>
        <v/>
      </c>
      <c r="AB10054">
        <f>AB10053+IF(X10054="",0,IF(ISNA(MATCH(X10054,X$256:X10053,0)),1,0))</f>
        <v/>
      </c>
      <c r="AC10054">
        <f>IF(AB10054&gt;AB10053,AB10054,"")</f>
        <v/>
      </c>
    </row>
    <row r="10055">
      <c r="W10055" s="7" t="n"/>
      <c r="X10055" s="7" t="n"/>
      <c r="Z10055">
        <f>Z10054+IF(W10055="",0,IF(ISNA(MATCH(W10055,W$256:W10054,0)),1,0))</f>
        <v/>
      </c>
      <c r="AA10055">
        <f>IF(Z10055&gt;Z10054,Z10055,"")</f>
        <v/>
      </c>
      <c r="AB10055">
        <f>AB10054+IF(X10055="",0,IF(ISNA(MATCH(X10055,X$256:X10054,0)),1,0))</f>
        <v/>
      </c>
      <c r="AC10055">
        <f>IF(AB10055&gt;AB10054,AB10055,"")</f>
        <v/>
      </c>
    </row>
    <row r="10056">
      <c r="W10056" s="7" t="n"/>
      <c r="X10056" s="7" t="n"/>
      <c r="Z10056">
        <f>Z10055+IF(W10056="",0,IF(ISNA(MATCH(W10056,W$256:W10055,0)),1,0))</f>
        <v/>
      </c>
      <c r="AA10056">
        <f>IF(Z10056&gt;Z10055,Z10056,"")</f>
        <v/>
      </c>
      <c r="AB10056">
        <f>AB10055+IF(X10056="",0,IF(ISNA(MATCH(X10056,X$256:X10055,0)),1,0))</f>
        <v/>
      </c>
      <c r="AC10056">
        <f>IF(AB10056&gt;AB10055,AB10056,"")</f>
        <v/>
      </c>
    </row>
    <row r="10057">
      <c r="W10057" s="7" t="n"/>
      <c r="X10057" s="7" t="n"/>
      <c r="Z10057">
        <f>Z10056+IF(W10057="",0,IF(ISNA(MATCH(W10057,W$256:W10056,0)),1,0))</f>
        <v/>
      </c>
      <c r="AA10057">
        <f>IF(Z10057&gt;Z10056,Z10057,"")</f>
        <v/>
      </c>
      <c r="AB10057">
        <f>AB10056+IF(X10057="",0,IF(ISNA(MATCH(X10057,X$256:X10056,0)),1,0))</f>
        <v/>
      </c>
      <c r="AC10057">
        <f>IF(AB10057&gt;AB10056,AB10057,"")</f>
        <v/>
      </c>
    </row>
    <row r="10058">
      <c r="W10058" s="7" t="n"/>
      <c r="X10058" s="7" t="n"/>
      <c r="Z10058">
        <f>Z10057+IF(W10058="",0,IF(ISNA(MATCH(W10058,W$256:W10057,0)),1,0))</f>
        <v/>
      </c>
      <c r="AA10058">
        <f>IF(Z10058&gt;Z10057,Z10058,"")</f>
        <v/>
      </c>
      <c r="AB10058">
        <f>AB10057+IF(X10058="",0,IF(ISNA(MATCH(X10058,X$256:X10057,0)),1,0))</f>
        <v/>
      </c>
      <c r="AC10058">
        <f>IF(AB10058&gt;AB10057,AB10058,"")</f>
        <v/>
      </c>
    </row>
    <row r="10059">
      <c r="W10059" s="7" t="n"/>
      <c r="X10059" s="7" t="n"/>
      <c r="Z10059">
        <f>Z10058+IF(W10059="",0,IF(ISNA(MATCH(W10059,W$256:W10058,0)),1,0))</f>
        <v/>
      </c>
      <c r="AA10059">
        <f>IF(Z10059&gt;Z10058,Z10059,"")</f>
        <v/>
      </c>
      <c r="AB10059">
        <f>AB10058+IF(X10059="",0,IF(ISNA(MATCH(X10059,X$256:X10058,0)),1,0))</f>
        <v/>
      </c>
      <c r="AC10059">
        <f>IF(AB10059&gt;AB10058,AB10059,"")</f>
        <v/>
      </c>
    </row>
    <row r="10060">
      <c r="W10060" s="7" t="n"/>
      <c r="X10060" s="7" t="n"/>
      <c r="Z10060">
        <f>Z10059+IF(W10060="",0,IF(ISNA(MATCH(W10060,W$256:W10059,0)),1,0))</f>
        <v/>
      </c>
      <c r="AA10060">
        <f>IF(Z10060&gt;Z10059,Z10060,"")</f>
        <v/>
      </c>
      <c r="AB10060">
        <f>AB10059+IF(X10060="",0,IF(ISNA(MATCH(X10060,X$256:X10059,0)),1,0))</f>
        <v/>
      </c>
      <c r="AC10060">
        <f>IF(AB10060&gt;AB10059,AB10060,"")</f>
        <v/>
      </c>
    </row>
    <row r="10061">
      <c r="W10061" s="7" t="n"/>
      <c r="X10061" s="7" t="n"/>
      <c r="Z10061">
        <f>Z10060+IF(W10061="",0,IF(ISNA(MATCH(W10061,W$256:W10060,0)),1,0))</f>
        <v/>
      </c>
      <c r="AA10061">
        <f>IF(Z10061&gt;Z10060,Z10061,"")</f>
        <v/>
      </c>
      <c r="AB10061">
        <f>AB10060+IF(X10061="",0,IF(ISNA(MATCH(X10061,X$256:X10060,0)),1,0))</f>
        <v/>
      </c>
      <c r="AC10061">
        <f>IF(AB10061&gt;AB10060,AB10061,"")</f>
        <v/>
      </c>
    </row>
    <row r="10062">
      <c r="W10062" s="7" t="n"/>
      <c r="X10062" s="7" t="n"/>
      <c r="Z10062">
        <f>Z10061+IF(W10062="",0,IF(ISNA(MATCH(W10062,W$256:W10061,0)),1,0))</f>
        <v/>
      </c>
      <c r="AA10062">
        <f>IF(Z10062&gt;Z10061,Z10062,"")</f>
        <v/>
      </c>
      <c r="AB10062">
        <f>AB10061+IF(X10062="",0,IF(ISNA(MATCH(X10062,X$256:X10061,0)),1,0))</f>
        <v/>
      </c>
      <c r="AC10062">
        <f>IF(AB10062&gt;AB10061,AB10062,"")</f>
        <v/>
      </c>
    </row>
    <row r="10063">
      <c r="W10063" s="7" t="n"/>
      <c r="X10063" s="7" t="n"/>
      <c r="Z10063">
        <f>Z10062+IF(W10063="",0,IF(ISNA(MATCH(W10063,W$256:W10062,0)),1,0))</f>
        <v/>
      </c>
      <c r="AA10063">
        <f>IF(Z10063&gt;Z10062,Z10063,"")</f>
        <v/>
      </c>
      <c r="AB10063">
        <f>AB10062+IF(X10063="",0,IF(ISNA(MATCH(X10063,X$256:X10062,0)),1,0))</f>
        <v/>
      </c>
      <c r="AC10063">
        <f>IF(AB10063&gt;AB10062,AB10063,"")</f>
        <v/>
      </c>
    </row>
    <row r="10064">
      <c r="W10064" s="7" t="n"/>
      <c r="X10064" s="7" t="n"/>
      <c r="Z10064">
        <f>Z10063+IF(W10064="",0,IF(ISNA(MATCH(W10064,W$256:W10063,0)),1,0))</f>
        <v/>
      </c>
      <c r="AA10064">
        <f>IF(Z10064&gt;Z10063,Z10064,"")</f>
        <v/>
      </c>
      <c r="AB10064">
        <f>AB10063+IF(X10064="",0,IF(ISNA(MATCH(X10064,X$256:X10063,0)),1,0))</f>
        <v/>
      </c>
      <c r="AC10064">
        <f>IF(AB10064&gt;AB10063,AB10064,"")</f>
        <v/>
      </c>
    </row>
    <row r="10065">
      <c r="W10065" s="7" t="n"/>
      <c r="X10065" s="7" t="n"/>
      <c r="Z10065">
        <f>Z10064+IF(W10065="",0,IF(ISNA(MATCH(W10065,W$256:W10064,0)),1,0))</f>
        <v/>
      </c>
      <c r="AA10065">
        <f>IF(Z10065&gt;Z10064,Z10065,"")</f>
        <v/>
      </c>
      <c r="AB10065">
        <f>AB10064+IF(X10065="",0,IF(ISNA(MATCH(X10065,X$256:X10064,0)),1,0))</f>
        <v/>
      </c>
      <c r="AC10065">
        <f>IF(AB10065&gt;AB10064,AB10065,"")</f>
        <v/>
      </c>
    </row>
    <row r="10066">
      <c r="W10066" s="7" t="n"/>
      <c r="X10066" s="7" t="n"/>
      <c r="Z10066">
        <f>Z10065+IF(W10066="",0,IF(ISNA(MATCH(W10066,W$256:W10065,0)),1,0))</f>
        <v/>
      </c>
      <c r="AA10066">
        <f>IF(Z10066&gt;Z10065,Z10066,"")</f>
        <v/>
      </c>
      <c r="AB10066">
        <f>AB10065+IF(X10066="",0,IF(ISNA(MATCH(X10066,X$256:X10065,0)),1,0))</f>
        <v/>
      </c>
      <c r="AC10066">
        <f>IF(AB10066&gt;AB10065,AB10066,"")</f>
        <v/>
      </c>
    </row>
    <row r="10067">
      <c r="W10067" s="7" t="n"/>
      <c r="X10067" s="7" t="n"/>
      <c r="Z10067">
        <f>Z10066+IF(W10067="",0,IF(ISNA(MATCH(W10067,W$256:W10066,0)),1,0))</f>
        <v/>
      </c>
      <c r="AA10067">
        <f>IF(Z10067&gt;Z10066,Z10067,"")</f>
        <v/>
      </c>
      <c r="AB10067">
        <f>AB10066+IF(X10067="",0,IF(ISNA(MATCH(X10067,X$256:X10066,0)),1,0))</f>
        <v/>
      </c>
      <c r="AC10067">
        <f>IF(AB10067&gt;AB10066,AB10067,"")</f>
        <v/>
      </c>
    </row>
    <row r="10068">
      <c r="W10068" s="7" t="n"/>
      <c r="X10068" s="7" t="n"/>
      <c r="Z10068">
        <f>Z10067+IF(W10068="",0,IF(ISNA(MATCH(W10068,W$256:W10067,0)),1,0))</f>
        <v/>
      </c>
      <c r="AA10068">
        <f>IF(Z10068&gt;Z10067,Z10068,"")</f>
        <v/>
      </c>
      <c r="AB10068">
        <f>AB10067+IF(X10068="",0,IF(ISNA(MATCH(X10068,X$256:X10067,0)),1,0))</f>
        <v/>
      </c>
      <c r="AC10068">
        <f>IF(AB10068&gt;AB10067,AB10068,"")</f>
        <v/>
      </c>
    </row>
    <row r="10069">
      <c r="W10069" s="7" t="n"/>
      <c r="X10069" s="7" t="n"/>
      <c r="Z10069">
        <f>Z10068+IF(W10069="",0,IF(ISNA(MATCH(W10069,W$256:W10068,0)),1,0))</f>
        <v/>
      </c>
      <c r="AA10069">
        <f>IF(Z10069&gt;Z10068,Z10069,"")</f>
        <v/>
      </c>
      <c r="AB10069">
        <f>AB10068+IF(X10069="",0,IF(ISNA(MATCH(X10069,X$256:X10068,0)),1,0))</f>
        <v/>
      </c>
      <c r="AC10069">
        <f>IF(AB10069&gt;AB10068,AB10069,"")</f>
        <v/>
      </c>
    </row>
    <row r="10070">
      <c r="W10070" s="7" t="n"/>
      <c r="X10070" s="7" t="n"/>
      <c r="Z10070">
        <f>Z10069+IF(W10070="",0,IF(ISNA(MATCH(W10070,W$256:W10069,0)),1,0))</f>
        <v/>
      </c>
      <c r="AA10070">
        <f>IF(Z10070&gt;Z10069,Z10070,"")</f>
        <v/>
      </c>
      <c r="AB10070">
        <f>AB10069+IF(X10070="",0,IF(ISNA(MATCH(X10070,X$256:X10069,0)),1,0))</f>
        <v/>
      </c>
      <c r="AC10070">
        <f>IF(AB10070&gt;AB10069,AB10070,"")</f>
        <v/>
      </c>
    </row>
    <row r="10071">
      <c r="W10071" s="7" t="n"/>
      <c r="X10071" s="7" t="n"/>
      <c r="Z10071">
        <f>Z10070+IF(W10071="",0,IF(ISNA(MATCH(W10071,W$256:W10070,0)),1,0))</f>
        <v/>
      </c>
      <c r="AA10071">
        <f>IF(Z10071&gt;Z10070,Z10071,"")</f>
        <v/>
      </c>
      <c r="AB10071">
        <f>AB10070+IF(X10071="",0,IF(ISNA(MATCH(X10071,X$256:X10070,0)),1,0))</f>
        <v/>
      </c>
      <c r="AC10071">
        <f>IF(AB10071&gt;AB10070,AB10071,"")</f>
        <v/>
      </c>
    </row>
    <row r="10072">
      <c r="W10072" s="7" t="n"/>
      <c r="X10072" s="7" t="n"/>
      <c r="Z10072">
        <f>Z10071+IF(W10072="",0,IF(ISNA(MATCH(W10072,W$256:W10071,0)),1,0))</f>
        <v/>
      </c>
      <c r="AA10072">
        <f>IF(Z10072&gt;Z10071,Z10072,"")</f>
        <v/>
      </c>
      <c r="AB10072">
        <f>AB10071+IF(X10072="",0,IF(ISNA(MATCH(X10072,X$256:X10071,0)),1,0))</f>
        <v/>
      </c>
      <c r="AC10072">
        <f>IF(AB10072&gt;AB10071,AB10072,"")</f>
        <v/>
      </c>
    </row>
    <row r="10073">
      <c r="W10073" s="7" t="n"/>
      <c r="X10073" s="7" t="n"/>
      <c r="Z10073">
        <f>Z10072+IF(W10073="",0,IF(ISNA(MATCH(W10073,W$256:W10072,0)),1,0))</f>
        <v/>
      </c>
      <c r="AA10073">
        <f>IF(Z10073&gt;Z10072,Z10073,"")</f>
        <v/>
      </c>
      <c r="AB10073">
        <f>AB10072+IF(X10073="",0,IF(ISNA(MATCH(X10073,X$256:X10072,0)),1,0))</f>
        <v/>
      </c>
      <c r="AC10073">
        <f>IF(AB10073&gt;AB10072,AB10073,"")</f>
        <v/>
      </c>
    </row>
    <row r="10074">
      <c r="W10074" s="7" t="n"/>
      <c r="X10074" s="7" t="n"/>
      <c r="Z10074">
        <f>Z10073+IF(W10074="",0,IF(ISNA(MATCH(W10074,W$256:W10073,0)),1,0))</f>
        <v/>
      </c>
      <c r="AA10074">
        <f>IF(Z10074&gt;Z10073,Z10074,"")</f>
        <v/>
      </c>
      <c r="AB10074">
        <f>AB10073+IF(X10074="",0,IF(ISNA(MATCH(X10074,X$256:X10073,0)),1,0))</f>
        <v/>
      </c>
      <c r="AC10074">
        <f>IF(AB10074&gt;AB10073,AB10074,"")</f>
        <v/>
      </c>
    </row>
    <row r="10075">
      <c r="W10075" s="7" t="n"/>
      <c r="X10075" s="7" t="n"/>
      <c r="Z10075">
        <f>Z10074+IF(W10075="",0,IF(ISNA(MATCH(W10075,W$256:W10074,0)),1,0))</f>
        <v/>
      </c>
      <c r="AA10075">
        <f>IF(Z10075&gt;Z10074,Z10075,"")</f>
        <v/>
      </c>
      <c r="AB10075">
        <f>AB10074+IF(X10075="",0,IF(ISNA(MATCH(X10075,X$256:X10074,0)),1,0))</f>
        <v/>
      </c>
      <c r="AC10075">
        <f>IF(AB10075&gt;AB10074,AB10075,"")</f>
        <v/>
      </c>
    </row>
    <row r="10076">
      <c r="W10076" s="7" t="n"/>
      <c r="X10076" s="7" t="n"/>
      <c r="Z10076">
        <f>Z10075+IF(W10076="",0,IF(ISNA(MATCH(W10076,W$256:W10075,0)),1,0))</f>
        <v/>
      </c>
      <c r="AA10076">
        <f>IF(Z10076&gt;Z10075,Z10076,"")</f>
        <v/>
      </c>
      <c r="AB10076">
        <f>AB10075+IF(X10076="",0,IF(ISNA(MATCH(X10076,X$256:X10075,0)),1,0))</f>
        <v/>
      </c>
      <c r="AC10076">
        <f>IF(AB10076&gt;AB10075,AB10076,"")</f>
        <v/>
      </c>
    </row>
    <row r="10077">
      <c r="W10077" s="7" t="n"/>
      <c r="X10077" s="7" t="n"/>
      <c r="Z10077">
        <f>Z10076+IF(W10077="",0,IF(ISNA(MATCH(W10077,W$256:W10076,0)),1,0))</f>
        <v/>
      </c>
      <c r="AA10077">
        <f>IF(Z10077&gt;Z10076,Z10077,"")</f>
        <v/>
      </c>
      <c r="AB10077">
        <f>AB10076+IF(X10077="",0,IF(ISNA(MATCH(X10077,X$256:X10076,0)),1,0))</f>
        <v/>
      </c>
      <c r="AC10077">
        <f>IF(AB10077&gt;AB10076,AB10077,"")</f>
        <v/>
      </c>
    </row>
    <row r="10078">
      <c r="W10078" s="7" t="n"/>
      <c r="X10078" s="7" t="n"/>
      <c r="Z10078">
        <f>Z10077+IF(W10078="",0,IF(ISNA(MATCH(W10078,W$256:W10077,0)),1,0))</f>
        <v/>
      </c>
      <c r="AA10078">
        <f>IF(Z10078&gt;Z10077,Z10078,"")</f>
        <v/>
      </c>
      <c r="AB10078">
        <f>AB10077+IF(X10078="",0,IF(ISNA(MATCH(X10078,X$256:X10077,0)),1,0))</f>
        <v/>
      </c>
      <c r="AC10078">
        <f>IF(AB10078&gt;AB10077,AB10078,"")</f>
        <v/>
      </c>
    </row>
    <row r="10079">
      <c r="W10079" s="7" t="n"/>
      <c r="X10079" s="7" t="n"/>
      <c r="Z10079">
        <f>Z10078+IF(W10079="",0,IF(ISNA(MATCH(W10079,W$256:W10078,0)),1,0))</f>
        <v/>
      </c>
      <c r="AA10079">
        <f>IF(Z10079&gt;Z10078,Z10079,"")</f>
        <v/>
      </c>
      <c r="AB10079">
        <f>AB10078+IF(X10079="",0,IF(ISNA(MATCH(X10079,X$256:X10078,0)),1,0))</f>
        <v/>
      </c>
      <c r="AC10079">
        <f>IF(AB10079&gt;AB10078,AB10079,"")</f>
        <v/>
      </c>
    </row>
    <row r="10080">
      <c r="W10080" s="7" t="n"/>
      <c r="X10080" s="7" t="n"/>
      <c r="Z10080">
        <f>Z10079+IF(W10080="",0,IF(ISNA(MATCH(W10080,W$256:W10079,0)),1,0))</f>
        <v/>
      </c>
      <c r="AA10080">
        <f>IF(Z10080&gt;Z10079,Z10080,"")</f>
        <v/>
      </c>
      <c r="AB10080">
        <f>AB10079+IF(X10080="",0,IF(ISNA(MATCH(X10080,X$256:X10079,0)),1,0))</f>
        <v/>
      </c>
      <c r="AC10080">
        <f>IF(AB10080&gt;AB10079,AB10080,"")</f>
        <v/>
      </c>
    </row>
    <row r="10081">
      <c r="W10081" s="7" t="n"/>
      <c r="X10081" s="7" t="n"/>
      <c r="Z10081">
        <f>Z10080+IF(W10081="",0,IF(ISNA(MATCH(W10081,W$256:W10080,0)),1,0))</f>
        <v/>
      </c>
      <c r="AA10081">
        <f>IF(Z10081&gt;Z10080,Z10081,"")</f>
        <v/>
      </c>
      <c r="AB10081">
        <f>AB10080+IF(X10081="",0,IF(ISNA(MATCH(X10081,X$256:X10080,0)),1,0))</f>
        <v/>
      </c>
      <c r="AC10081">
        <f>IF(AB10081&gt;AB10080,AB10081,"")</f>
        <v/>
      </c>
    </row>
    <row r="10082">
      <c r="W10082" s="7" t="n"/>
      <c r="X10082" s="7" t="n"/>
      <c r="Z10082">
        <f>Z10081+IF(W10082="",0,IF(ISNA(MATCH(W10082,W$256:W10081,0)),1,0))</f>
        <v/>
      </c>
      <c r="AA10082">
        <f>IF(Z10082&gt;Z10081,Z10082,"")</f>
        <v/>
      </c>
      <c r="AB10082">
        <f>AB10081+IF(X10082="",0,IF(ISNA(MATCH(X10082,X$256:X10081,0)),1,0))</f>
        <v/>
      </c>
      <c r="AC10082">
        <f>IF(AB10082&gt;AB10081,AB10082,"")</f>
        <v/>
      </c>
    </row>
    <row r="10083">
      <c r="W10083" s="7" t="n"/>
      <c r="X10083" s="7" t="n"/>
      <c r="Z10083">
        <f>Z10082+IF(W10083="",0,IF(ISNA(MATCH(W10083,W$256:W10082,0)),1,0))</f>
        <v/>
      </c>
      <c r="AA10083">
        <f>IF(Z10083&gt;Z10082,Z10083,"")</f>
        <v/>
      </c>
      <c r="AB10083">
        <f>AB10082+IF(X10083="",0,IF(ISNA(MATCH(X10083,X$256:X10082,0)),1,0))</f>
        <v/>
      </c>
      <c r="AC10083">
        <f>IF(AB10083&gt;AB10082,AB10083,"")</f>
        <v/>
      </c>
    </row>
    <row r="10084">
      <c r="W10084" s="7" t="n"/>
      <c r="X10084" s="7" t="n"/>
      <c r="Z10084">
        <f>Z10083+IF(W10084="",0,IF(ISNA(MATCH(W10084,W$256:W10083,0)),1,0))</f>
        <v/>
      </c>
      <c r="AA10084">
        <f>IF(Z10084&gt;Z10083,Z10084,"")</f>
        <v/>
      </c>
      <c r="AB10084">
        <f>AB10083+IF(X10084="",0,IF(ISNA(MATCH(X10084,X$256:X10083,0)),1,0))</f>
        <v/>
      </c>
      <c r="AC10084">
        <f>IF(AB10084&gt;AB10083,AB10084,"")</f>
        <v/>
      </c>
    </row>
    <row r="10085">
      <c r="W10085" s="7" t="n"/>
      <c r="X10085" s="7" t="n"/>
      <c r="Z10085">
        <f>Z10084+IF(W10085="",0,IF(ISNA(MATCH(W10085,W$256:W10084,0)),1,0))</f>
        <v/>
      </c>
      <c r="AA10085">
        <f>IF(Z10085&gt;Z10084,Z10085,"")</f>
        <v/>
      </c>
      <c r="AB10085">
        <f>AB10084+IF(X10085="",0,IF(ISNA(MATCH(X10085,X$256:X10084,0)),1,0))</f>
        <v/>
      </c>
      <c r="AC10085">
        <f>IF(AB10085&gt;AB10084,AB10085,"")</f>
        <v/>
      </c>
    </row>
    <row r="10086">
      <c r="W10086" s="7" t="n"/>
      <c r="X10086" s="7" t="n"/>
      <c r="Z10086">
        <f>Z10085+IF(W10086="",0,IF(ISNA(MATCH(W10086,W$256:W10085,0)),1,0))</f>
        <v/>
      </c>
      <c r="AA10086">
        <f>IF(Z10086&gt;Z10085,Z10086,"")</f>
        <v/>
      </c>
      <c r="AB10086">
        <f>AB10085+IF(X10086="",0,IF(ISNA(MATCH(X10086,X$256:X10085,0)),1,0))</f>
        <v/>
      </c>
      <c r="AC10086">
        <f>IF(AB10086&gt;AB10085,AB10086,"")</f>
        <v/>
      </c>
    </row>
    <row r="10087">
      <c r="W10087" s="7" t="n"/>
      <c r="X10087" s="7" t="n"/>
      <c r="Z10087">
        <f>Z10086+IF(W10087="",0,IF(ISNA(MATCH(W10087,W$256:W10086,0)),1,0))</f>
        <v/>
      </c>
      <c r="AA10087">
        <f>IF(Z10087&gt;Z10086,Z10087,"")</f>
        <v/>
      </c>
      <c r="AB10087">
        <f>AB10086+IF(X10087="",0,IF(ISNA(MATCH(X10087,X$256:X10086,0)),1,0))</f>
        <v/>
      </c>
      <c r="AC10087">
        <f>IF(AB10087&gt;AB10086,AB10087,"")</f>
        <v/>
      </c>
    </row>
    <row r="10088">
      <c r="W10088" s="7" t="n"/>
      <c r="X10088" s="7" t="n"/>
      <c r="Z10088">
        <f>Z10087+IF(W10088="",0,IF(ISNA(MATCH(W10088,W$256:W10087,0)),1,0))</f>
        <v/>
      </c>
      <c r="AA10088">
        <f>IF(Z10088&gt;Z10087,Z10088,"")</f>
        <v/>
      </c>
      <c r="AB10088">
        <f>AB10087+IF(X10088="",0,IF(ISNA(MATCH(X10088,X$256:X10087,0)),1,0))</f>
        <v/>
      </c>
      <c r="AC10088">
        <f>IF(AB10088&gt;AB10087,AB10088,"")</f>
        <v/>
      </c>
    </row>
    <row r="10089">
      <c r="W10089" s="7" t="n"/>
      <c r="X10089" s="7" t="n"/>
      <c r="Z10089">
        <f>Z10088+IF(W10089="",0,IF(ISNA(MATCH(W10089,W$256:W10088,0)),1,0))</f>
        <v/>
      </c>
      <c r="AA10089">
        <f>IF(Z10089&gt;Z10088,Z10089,"")</f>
        <v/>
      </c>
      <c r="AB10089">
        <f>AB10088+IF(X10089="",0,IF(ISNA(MATCH(X10089,X$256:X10088,0)),1,0))</f>
        <v/>
      </c>
      <c r="AC10089">
        <f>IF(AB10089&gt;AB10088,AB10089,"")</f>
        <v/>
      </c>
    </row>
    <row r="10090">
      <c r="W10090" s="7" t="n"/>
      <c r="X10090" s="7" t="n"/>
      <c r="Z10090">
        <f>Z10089+IF(W10090="",0,IF(ISNA(MATCH(W10090,W$256:W10089,0)),1,0))</f>
        <v/>
      </c>
      <c r="AA10090">
        <f>IF(Z10090&gt;Z10089,Z10090,"")</f>
        <v/>
      </c>
      <c r="AB10090">
        <f>AB10089+IF(X10090="",0,IF(ISNA(MATCH(X10090,X$256:X10089,0)),1,0))</f>
        <v/>
      </c>
      <c r="AC10090">
        <f>IF(AB10090&gt;AB10089,AB10090,"")</f>
        <v/>
      </c>
    </row>
    <row r="10091">
      <c r="W10091" s="7" t="n"/>
      <c r="X10091" s="7" t="n"/>
      <c r="Z10091">
        <f>Z10090+IF(W10091="",0,IF(ISNA(MATCH(W10091,W$256:W10090,0)),1,0))</f>
        <v/>
      </c>
      <c r="AA10091">
        <f>IF(Z10091&gt;Z10090,Z10091,"")</f>
        <v/>
      </c>
      <c r="AB10091">
        <f>AB10090+IF(X10091="",0,IF(ISNA(MATCH(X10091,X$256:X10090,0)),1,0))</f>
        <v/>
      </c>
      <c r="AC10091">
        <f>IF(AB10091&gt;AB10090,AB10091,"")</f>
        <v/>
      </c>
    </row>
    <row r="10092">
      <c r="W10092" s="7" t="n"/>
      <c r="X10092" s="7" t="n"/>
      <c r="Z10092">
        <f>Z10091+IF(W10092="",0,IF(ISNA(MATCH(W10092,W$256:W10091,0)),1,0))</f>
        <v/>
      </c>
      <c r="AA10092">
        <f>IF(Z10092&gt;Z10091,Z10092,"")</f>
        <v/>
      </c>
      <c r="AB10092">
        <f>AB10091+IF(X10092="",0,IF(ISNA(MATCH(X10092,X$256:X10091,0)),1,0))</f>
        <v/>
      </c>
      <c r="AC10092">
        <f>IF(AB10092&gt;AB10091,AB10092,"")</f>
        <v/>
      </c>
    </row>
    <row r="10093">
      <c r="W10093" s="7" t="n"/>
      <c r="X10093" s="7" t="n"/>
      <c r="Z10093">
        <f>Z10092+IF(W10093="",0,IF(ISNA(MATCH(W10093,W$256:W10092,0)),1,0))</f>
        <v/>
      </c>
      <c r="AA10093">
        <f>IF(Z10093&gt;Z10092,Z10093,"")</f>
        <v/>
      </c>
      <c r="AB10093">
        <f>AB10092+IF(X10093="",0,IF(ISNA(MATCH(X10093,X$256:X10092,0)),1,0))</f>
        <v/>
      </c>
      <c r="AC10093">
        <f>IF(AB10093&gt;AB10092,AB10093,"")</f>
        <v/>
      </c>
    </row>
    <row r="10094">
      <c r="W10094" s="7" t="n"/>
      <c r="X10094" s="7" t="n"/>
      <c r="Z10094">
        <f>Z10093+IF(W10094="",0,IF(ISNA(MATCH(W10094,W$256:W10093,0)),1,0))</f>
        <v/>
      </c>
      <c r="AA10094">
        <f>IF(Z10094&gt;Z10093,Z10094,"")</f>
        <v/>
      </c>
      <c r="AB10094">
        <f>AB10093+IF(X10094="",0,IF(ISNA(MATCH(X10094,X$256:X10093,0)),1,0))</f>
        <v/>
      </c>
      <c r="AC10094">
        <f>IF(AB10094&gt;AB10093,AB10094,"")</f>
        <v/>
      </c>
    </row>
    <row r="10095">
      <c r="W10095" s="7" t="n"/>
      <c r="X10095" s="7" t="n"/>
      <c r="Z10095">
        <f>Z10094+IF(W10095="",0,IF(ISNA(MATCH(W10095,W$256:W10094,0)),1,0))</f>
        <v/>
      </c>
      <c r="AA10095">
        <f>IF(Z10095&gt;Z10094,Z10095,"")</f>
        <v/>
      </c>
      <c r="AB10095">
        <f>AB10094+IF(X10095="",0,IF(ISNA(MATCH(X10095,X$256:X10094,0)),1,0))</f>
        <v/>
      </c>
      <c r="AC10095">
        <f>IF(AB10095&gt;AB10094,AB10095,"")</f>
        <v/>
      </c>
    </row>
    <row r="10096">
      <c r="W10096" s="7" t="n"/>
      <c r="X10096" s="7" t="n"/>
      <c r="Z10096">
        <f>Z10095+IF(W10096="",0,IF(ISNA(MATCH(W10096,W$256:W10095,0)),1,0))</f>
        <v/>
      </c>
      <c r="AA10096">
        <f>IF(Z10096&gt;Z10095,Z10096,"")</f>
        <v/>
      </c>
      <c r="AB10096">
        <f>AB10095+IF(X10096="",0,IF(ISNA(MATCH(X10096,X$256:X10095,0)),1,0))</f>
        <v/>
      </c>
      <c r="AC10096">
        <f>IF(AB10096&gt;AB10095,AB10096,"")</f>
        <v/>
      </c>
    </row>
    <row r="10097">
      <c r="W10097" s="7" t="n"/>
      <c r="X10097" s="7" t="n"/>
      <c r="Z10097">
        <f>Z10096+IF(W10097="",0,IF(ISNA(MATCH(W10097,W$256:W10096,0)),1,0))</f>
        <v/>
      </c>
      <c r="AA10097">
        <f>IF(Z10097&gt;Z10096,Z10097,"")</f>
        <v/>
      </c>
      <c r="AB10097">
        <f>AB10096+IF(X10097="",0,IF(ISNA(MATCH(X10097,X$256:X10096,0)),1,0))</f>
        <v/>
      </c>
      <c r="AC10097">
        <f>IF(AB10097&gt;AB10096,AB10097,"")</f>
        <v/>
      </c>
    </row>
    <row r="10098">
      <c r="W10098" s="7" t="n"/>
      <c r="X10098" s="7" t="n"/>
      <c r="Z10098">
        <f>Z10097+IF(W10098="",0,IF(ISNA(MATCH(W10098,W$256:W10097,0)),1,0))</f>
        <v/>
      </c>
      <c r="AA10098">
        <f>IF(Z10098&gt;Z10097,Z10098,"")</f>
        <v/>
      </c>
      <c r="AB10098">
        <f>AB10097+IF(X10098="",0,IF(ISNA(MATCH(X10098,X$256:X10097,0)),1,0))</f>
        <v/>
      </c>
      <c r="AC10098">
        <f>IF(AB10098&gt;AB10097,AB10098,"")</f>
        <v/>
      </c>
    </row>
    <row r="10099">
      <c r="W10099" s="7" t="n"/>
      <c r="X10099" s="7" t="n"/>
      <c r="Z10099">
        <f>Z10098+IF(W10099="",0,IF(ISNA(MATCH(W10099,W$256:W10098,0)),1,0))</f>
        <v/>
      </c>
      <c r="AA10099">
        <f>IF(Z10099&gt;Z10098,Z10099,"")</f>
        <v/>
      </c>
      <c r="AB10099">
        <f>AB10098+IF(X10099="",0,IF(ISNA(MATCH(X10099,X$256:X10098,0)),1,0))</f>
        <v/>
      </c>
      <c r="AC10099">
        <f>IF(AB10099&gt;AB10098,AB10099,"")</f>
        <v/>
      </c>
    </row>
    <row r="10100">
      <c r="W10100" s="7" t="n"/>
      <c r="X10100" s="7" t="n"/>
      <c r="Z10100">
        <f>Z10099+IF(W10100="",0,IF(ISNA(MATCH(W10100,W$256:W10099,0)),1,0))</f>
        <v/>
      </c>
      <c r="AA10100">
        <f>IF(Z10100&gt;Z10099,Z10100,"")</f>
        <v/>
      </c>
      <c r="AB10100">
        <f>AB10099+IF(X10100="",0,IF(ISNA(MATCH(X10100,X$256:X10099,0)),1,0))</f>
        <v/>
      </c>
      <c r="AC10100">
        <f>IF(AB10100&gt;AB10099,AB10100,"")</f>
        <v/>
      </c>
    </row>
    <row r="10101">
      <c r="W10101" s="7" t="n"/>
      <c r="X10101" s="7" t="n"/>
      <c r="Z10101">
        <f>Z10100+IF(W10101="",0,IF(ISNA(MATCH(W10101,W$256:W10100,0)),1,0))</f>
        <v/>
      </c>
      <c r="AA10101">
        <f>IF(Z10101&gt;Z10100,Z10101,"")</f>
        <v/>
      </c>
      <c r="AB10101">
        <f>AB10100+IF(X10101="",0,IF(ISNA(MATCH(X10101,X$256:X10100,0)),1,0))</f>
        <v/>
      </c>
      <c r="AC10101">
        <f>IF(AB10101&gt;AB10100,AB10101,"")</f>
        <v/>
      </c>
    </row>
    <row r="10102">
      <c r="W10102" s="7" t="n"/>
      <c r="X10102" s="7" t="n"/>
      <c r="Z10102">
        <f>Z10101+IF(W10102="",0,IF(ISNA(MATCH(W10102,W$256:W10101,0)),1,0))</f>
        <v/>
      </c>
      <c r="AA10102">
        <f>IF(Z10102&gt;Z10101,Z10102,"")</f>
        <v/>
      </c>
      <c r="AB10102">
        <f>AB10101+IF(X10102="",0,IF(ISNA(MATCH(X10102,X$256:X10101,0)),1,0))</f>
        <v/>
      </c>
      <c r="AC10102">
        <f>IF(AB10102&gt;AB10101,AB10102,"")</f>
        <v/>
      </c>
    </row>
    <row r="10103">
      <c r="W10103" s="7" t="n"/>
      <c r="X10103" s="7" t="n"/>
      <c r="Z10103">
        <f>Z10102+IF(W10103="",0,IF(ISNA(MATCH(W10103,W$256:W10102,0)),1,0))</f>
        <v/>
      </c>
      <c r="AA10103">
        <f>IF(Z10103&gt;Z10102,Z10103,"")</f>
        <v/>
      </c>
      <c r="AB10103">
        <f>AB10102+IF(X10103="",0,IF(ISNA(MATCH(X10103,X$256:X10102,0)),1,0))</f>
        <v/>
      </c>
      <c r="AC10103">
        <f>IF(AB10103&gt;AB10102,AB10103,"")</f>
        <v/>
      </c>
    </row>
    <row r="10104">
      <c r="W10104" s="7" t="n"/>
      <c r="X10104" s="7" t="n"/>
      <c r="Z10104">
        <f>Z10103+IF(W10104="",0,IF(ISNA(MATCH(W10104,W$256:W10103,0)),1,0))</f>
        <v/>
      </c>
      <c r="AA10104">
        <f>IF(Z10104&gt;Z10103,Z10104,"")</f>
        <v/>
      </c>
      <c r="AB10104">
        <f>AB10103+IF(X10104="",0,IF(ISNA(MATCH(X10104,X$256:X10103,0)),1,0))</f>
        <v/>
      </c>
      <c r="AC10104">
        <f>IF(AB10104&gt;AB10103,AB10104,"")</f>
        <v/>
      </c>
    </row>
    <row r="10105">
      <c r="W10105" s="7" t="n"/>
      <c r="X10105" s="7" t="n"/>
      <c r="Z10105">
        <f>Z10104+IF(W10105="",0,IF(ISNA(MATCH(W10105,W$256:W10104,0)),1,0))</f>
        <v/>
      </c>
      <c r="AA10105">
        <f>IF(Z10105&gt;Z10104,Z10105,"")</f>
        <v/>
      </c>
      <c r="AB10105">
        <f>AB10104+IF(X10105="",0,IF(ISNA(MATCH(X10105,X$256:X10104,0)),1,0))</f>
        <v/>
      </c>
      <c r="AC10105">
        <f>IF(AB10105&gt;AB10104,AB10105,"")</f>
        <v/>
      </c>
    </row>
    <row r="10106">
      <c r="W10106" s="7" t="n"/>
      <c r="X10106" s="7" t="n"/>
      <c r="Z10106">
        <f>Z10105+IF(W10106="",0,IF(ISNA(MATCH(W10106,W$256:W10105,0)),1,0))</f>
        <v/>
      </c>
      <c r="AA10106">
        <f>IF(Z10106&gt;Z10105,Z10106,"")</f>
        <v/>
      </c>
      <c r="AB10106">
        <f>AB10105+IF(X10106="",0,IF(ISNA(MATCH(X10106,X$256:X10105,0)),1,0))</f>
        <v/>
      </c>
      <c r="AC10106">
        <f>IF(AB10106&gt;AB10105,AB10106,"")</f>
        <v/>
      </c>
    </row>
    <row r="10107">
      <c r="W10107" s="7" t="n"/>
      <c r="X10107" s="7" t="n"/>
      <c r="Z10107">
        <f>Z10106+IF(W10107="",0,IF(ISNA(MATCH(W10107,W$256:W10106,0)),1,0))</f>
        <v/>
      </c>
      <c r="AA10107">
        <f>IF(Z10107&gt;Z10106,Z10107,"")</f>
        <v/>
      </c>
      <c r="AB10107">
        <f>AB10106+IF(X10107="",0,IF(ISNA(MATCH(X10107,X$256:X10106,0)),1,0))</f>
        <v/>
      </c>
      <c r="AC10107">
        <f>IF(AB10107&gt;AB10106,AB10107,"")</f>
        <v/>
      </c>
    </row>
    <row r="10108">
      <c r="W10108" s="7" t="n"/>
      <c r="X10108" s="7" t="n"/>
      <c r="Z10108">
        <f>Z10107+IF(W10108="",0,IF(ISNA(MATCH(W10108,W$256:W10107,0)),1,0))</f>
        <v/>
      </c>
      <c r="AA10108">
        <f>IF(Z10108&gt;Z10107,Z10108,"")</f>
        <v/>
      </c>
      <c r="AB10108">
        <f>AB10107+IF(X10108="",0,IF(ISNA(MATCH(X10108,X$256:X10107,0)),1,0))</f>
        <v/>
      </c>
      <c r="AC10108">
        <f>IF(AB10108&gt;AB10107,AB10108,"")</f>
        <v/>
      </c>
    </row>
    <row r="10109">
      <c r="W10109" s="7" t="n"/>
      <c r="X10109" s="7" t="n"/>
      <c r="Z10109">
        <f>Z10108+IF(W10109="",0,IF(ISNA(MATCH(W10109,W$256:W10108,0)),1,0))</f>
        <v/>
      </c>
      <c r="AA10109">
        <f>IF(Z10109&gt;Z10108,Z10109,"")</f>
        <v/>
      </c>
      <c r="AB10109">
        <f>AB10108+IF(X10109="",0,IF(ISNA(MATCH(X10109,X$256:X10108,0)),1,0))</f>
        <v/>
      </c>
      <c r="AC10109">
        <f>IF(AB10109&gt;AB10108,AB10109,"")</f>
        <v/>
      </c>
    </row>
    <row r="10110">
      <c r="W10110" s="7" t="n"/>
      <c r="X10110" s="7" t="n"/>
      <c r="Z10110">
        <f>Z10109+IF(W10110="",0,IF(ISNA(MATCH(W10110,W$256:W10109,0)),1,0))</f>
        <v/>
      </c>
      <c r="AA10110">
        <f>IF(Z10110&gt;Z10109,Z10110,"")</f>
        <v/>
      </c>
      <c r="AB10110">
        <f>AB10109+IF(X10110="",0,IF(ISNA(MATCH(X10110,X$256:X10109,0)),1,0))</f>
        <v/>
      </c>
      <c r="AC10110">
        <f>IF(AB10110&gt;AB10109,AB10110,"")</f>
        <v/>
      </c>
    </row>
    <row r="10111">
      <c r="W10111" s="7" t="n"/>
      <c r="X10111" s="7" t="n"/>
      <c r="Z10111">
        <f>Z10110+IF(W10111="",0,IF(ISNA(MATCH(W10111,W$256:W10110,0)),1,0))</f>
        <v/>
      </c>
      <c r="AA10111">
        <f>IF(Z10111&gt;Z10110,Z10111,"")</f>
        <v/>
      </c>
      <c r="AB10111">
        <f>AB10110+IF(X10111="",0,IF(ISNA(MATCH(X10111,X$256:X10110,0)),1,0))</f>
        <v/>
      </c>
      <c r="AC10111">
        <f>IF(AB10111&gt;AB10110,AB10111,"")</f>
        <v/>
      </c>
    </row>
    <row r="10112">
      <c r="W10112" s="7" t="n"/>
      <c r="X10112" s="7" t="n"/>
      <c r="Z10112">
        <f>Z10111+IF(W10112="",0,IF(ISNA(MATCH(W10112,W$256:W10111,0)),1,0))</f>
        <v/>
      </c>
      <c r="AA10112">
        <f>IF(Z10112&gt;Z10111,Z10112,"")</f>
        <v/>
      </c>
      <c r="AB10112">
        <f>AB10111+IF(X10112="",0,IF(ISNA(MATCH(X10112,X$256:X10111,0)),1,0))</f>
        <v/>
      </c>
      <c r="AC10112">
        <f>IF(AB10112&gt;AB10111,AB10112,"")</f>
        <v/>
      </c>
    </row>
    <row r="10113">
      <c r="W10113" s="7" t="n"/>
      <c r="X10113" s="7" t="n"/>
      <c r="Z10113">
        <f>Z10112+IF(W10113="",0,IF(ISNA(MATCH(W10113,W$256:W10112,0)),1,0))</f>
        <v/>
      </c>
      <c r="AA10113">
        <f>IF(Z10113&gt;Z10112,Z10113,"")</f>
        <v/>
      </c>
      <c r="AB10113">
        <f>AB10112+IF(X10113="",0,IF(ISNA(MATCH(X10113,X$256:X10112,0)),1,0))</f>
        <v/>
      </c>
      <c r="AC10113">
        <f>IF(AB10113&gt;AB10112,AB10113,"")</f>
        <v/>
      </c>
    </row>
    <row r="10114">
      <c r="W10114" s="7" t="n"/>
      <c r="X10114" s="7" t="n"/>
      <c r="Z10114">
        <f>Z10113+IF(W10114="",0,IF(ISNA(MATCH(W10114,W$256:W10113,0)),1,0))</f>
        <v/>
      </c>
      <c r="AA10114">
        <f>IF(Z10114&gt;Z10113,Z10114,"")</f>
        <v/>
      </c>
      <c r="AB10114">
        <f>AB10113+IF(X10114="",0,IF(ISNA(MATCH(X10114,X$256:X10113,0)),1,0))</f>
        <v/>
      </c>
      <c r="AC10114">
        <f>IF(AB10114&gt;AB10113,AB10114,"")</f>
        <v/>
      </c>
    </row>
    <row r="10115">
      <c r="W10115" s="7" t="n"/>
      <c r="X10115" s="7" t="n"/>
      <c r="Z10115">
        <f>Z10114+IF(W10115="",0,IF(ISNA(MATCH(W10115,W$256:W10114,0)),1,0))</f>
        <v/>
      </c>
      <c r="AA10115">
        <f>IF(Z10115&gt;Z10114,Z10115,"")</f>
        <v/>
      </c>
      <c r="AB10115">
        <f>AB10114+IF(X10115="",0,IF(ISNA(MATCH(X10115,X$256:X10114,0)),1,0))</f>
        <v/>
      </c>
      <c r="AC10115">
        <f>IF(AB10115&gt;AB10114,AB10115,"")</f>
        <v/>
      </c>
    </row>
    <row r="10116">
      <c r="W10116" s="7" t="n"/>
      <c r="X10116" s="7" t="n"/>
      <c r="Z10116">
        <f>Z10115+IF(W10116="",0,IF(ISNA(MATCH(W10116,W$256:W10115,0)),1,0))</f>
        <v/>
      </c>
      <c r="AA10116">
        <f>IF(Z10116&gt;Z10115,Z10116,"")</f>
        <v/>
      </c>
      <c r="AB10116">
        <f>AB10115+IF(X10116="",0,IF(ISNA(MATCH(X10116,X$256:X10115,0)),1,0))</f>
        <v/>
      </c>
      <c r="AC10116">
        <f>IF(AB10116&gt;AB10115,AB10116,"")</f>
        <v/>
      </c>
    </row>
    <row r="10117">
      <c r="W10117" s="7" t="n"/>
      <c r="X10117" s="7" t="n"/>
      <c r="Z10117">
        <f>Z10116+IF(W10117="",0,IF(ISNA(MATCH(W10117,W$256:W10116,0)),1,0))</f>
        <v/>
      </c>
      <c r="AA10117">
        <f>IF(Z10117&gt;Z10116,Z10117,"")</f>
        <v/>
      </c>
      <c r="AB10117">
        <f>AB10116+IF(X10117="",0,IF(ISNA(MATCH(X10117,X$256:X10116,0)),1,0))</f>
        <v/>
      </c>
      <c r="AC10117">
        <f>IF(AB10117&gt;AB10116,AB10117,"")</f>
        <v/>
      </c>
    </row>
    <row r="10118">
      <c r="W10118" s="7" t="n"/>
      <c r="X10118" s="7" t="n"/>
      <c r="Z10118">
        <f>Z10117+IF(W10118="",0,IF(ISNA(MATCH(W10118,W$256:W10117,0)),1,0))</f>
        <v/>
      </c>
      <c r="AA10118">
        <f>IF(Z10118&gt;Z10117,Z10118,"")</f>
        <v/>
      </c>
      <c r="AB10118">
        <f>AB10117+IF(X10118="",0,IF(ISNA(MATCH(X10118,X$256:X10117,0)),1,0))</f>
        <v/>
      </c>
      <c r="AC10118">
        <f>IF(AB10118&gt;AB10117,AB10118,"")</f>
        <v/>
      </c>
    </row>
    <row r="10119">
      <c r="W10119" s="7" t="n"/>
      <c r="X10119" s="7" t="n"/>
      <c r="Z10119">
        <f>Z10118+IF(W10119="",0,IF(ISNA(MATCH(W10119,W$256:W10118,0)),1,0))</f>
        <v/>
      </c>
      <c r="AA10119">
        <f>IF(Z10119&gt;Z10118,Z10119,"")</f>
        <v/>
      </c>
      <c r="AB10119">
        <f>AB10118+IF(X10119="",0,IF(ISNA(MATCH(X10119,X$256:X10118,0)),1,0))</f>
        <v/>
      </c>
      <c r="AC10119">
        <f>IF(AB10119&gt;AB10118,AB10119,"")</f>
        <v/>
      </c>
    </row>
    <row r="10120">
      <c r="W10120" s="7" t="n"/>
      <c r="X10120" s="7" t="n"/>
      <c r="Z10120">
        <f>Z10119+IF(W10120="",0,IF(ISNA(MATCH(W10120,W$256:W10119,0)),1,0))</f>
        <v/>
      </c>
      <c r="AA10120">
        <f>IF(Z10120&gt;Z10119,Z10120,"")</f>
        <v/>
      </c>
      <c r="AB10120">
        <f>AB10119+IF(X10120="",0,IF(ISNA(MATCH(X10120,X$256:X10119,0)),1,0))</f>
        <v/>
      </c>
      <c r="AC10120">
        <f>IF(AB10120&gt;AB10119,AB10120,"")</f>
        <v/>
      </c>
    </row>
    <row r="10121">
      <c r="W10121" s="7" t="n"/>
      <c r="X10121" s="7" t="n"/>
      <c r="Z10121">
        <f>Z10120+IF(W10121="",0,IF(ISNA(MATCH(W10121,W$256:W10120,0)),1,0))</f>
        <v/>
      </c>
      <c r="AA10121">
        <f>IF(Z10121&gt;Z10120,Z10121,"")</f>
        <v/>
      </c>
      <c r="AB10121">
        <f>AB10120+IF(X10121="",0,IF(ISNA(MATCH(X10121,X$256:X10120,0)),1,0))</f>
        <v/>
      </c>
      <c r="AC10121">
        <f>IF(AB10121&gt;AB10120,AB10121,"")</f>
        <v/>
      </c>
    </row>
    <row r="10122">
      <c r="W10122" s="7" t="n"/>
      <c r="X10122" s="7" t="n"/>
      <c r="Z10122">
        <f>Z10121+IF(W10122="",0,IF(ISNA(MATCH(W10122,W$256:W10121,0)),1,0))</f>
        <v/>
      </c>
      <c r="AA10122">
        <f>IF(Z10122&gt;Z10121,Z10122,"")</f>
        <v/>
      </c>
      <c r="AB10122">
        <f>AB10121+IF(X10122="",0,IF(ISNA(MATCH(X10122,X$256:X10121,0)),1,0))</f>
        <v/>
      </c>
      <c r="AC10122">
        <f>IF(AB10122&gt;AB10121,AB10122,"")</f>
        <v/>
      </c>
    </row>
    <row r="10123">
      <c r="W10123" s="7" t="n"/>
      <c r="X10123" s="7" t="n"/>
      <c r="Z10123">
        <f>Z10122+IF(W10123="",0,IF(ISNA(MATCH(W10123,W$256:W10122,0)),1,0))</f>
        <v/>
      </c>
      <c r="AA10123">
        <f>IF(Z10123&gt;Z10122,Z10123,"")</f>
        <v/>
      </c>
      <c r="AB10123">
        <f>AB10122+IF(X10123="",0,IF(ISNA(MATCH(X10123,X$256:X10122,0)),1,0))</f>
        <v/>
      </c>
      <c r="AC10123">
        <f>IF(AB10123&gt;AB10122,AB10123,"")</f>
        <v/>
      </c>
    </row>
    <row r="10124">
      <c r="W10124" s="7" t="n"/>
      <c r="X10124" s="7" t="n"/>
      <c r="Z10124">
        <f>Z10123+IF(W10124="",0,IF(ISNA(MATCH(W10124,W$256:W10123,0)),1,0))</f>
        <v/>
      </c>
      <c r="AA10124">
        <f>IF(Z10124&gt;Z10123,Z10124,"")</f>
        <v/>
      </c>
      <c r="AB10124">
        <f>AB10123+IF(X10124="",0,IF(ISNA(MATCH(X10124,X$256:X10123,0)),1,0))</f>
        <v/>
      </c>
      <c r="AC10124">
        <f>IF(AB10124&gt;AB10123,AB10124,"")</f>
        <v/>
      </c>
    </row>
    <row r="10125">
      <c r="W10125" s="7" t="n"/>
      <c r="X10125" s="7" t="n"/>
      <c r="Z10125">
        <f>Z10124+IF(W10125="",0,IF(ISNA(MATCH(W10125,W$256:W10124,0)),1,0))</f>
        <v/>
      </c>
      <c r="AA10125">
        <f>IF(Z10125&gt;Z10124,Z10125,"")</f>
        <v/>
      </c>
      <c r="AB10125">
        <f>AB10124+IF(X10125="",0,IF(ISNA(MATCH(X10125,X$256:X10124,0)),1,0))</f>
        <v/>
      </c>
      <c r="AC10125">
        <f>IF(AB10125&gt;AB10124,AB10125,"")</f>
        <v/>
      </c>
    </row>
    <row r="10126">
      <c r="W10126" s="7" t="n"/>
      <c r="X10126" s="7" t="n"/>
      <c r="Z10126">
        <f>Z10125+IF(W10126="",0,IF(ISNA(MATCH(W10126,W$256:W10125,0)),1,0))</f>
        <v/>
      </c>
      <c r="AA10126">
        <f>IF(Z10126&gt;Z10125,Z10126,"")</f>
        <v/>
      </c>
      <c r="AB10126">
        <f>AB10125+IF(X10126="",0,IF(ISNA(MATCH(X10126,X$256:X10125,0)),1,0))</f>
        <v/>
      </c>
      <c r="AC10126">
        <f>IF(AB10126&gt;AB10125,AB10126,"")</f>
        <v/>
      </c>
    </row>
    <row r="10127">
      <c r="W10127" s="7" t="n"/>
      <c r="X10127" s="7" t="n"/>
      <c r="Z10127">
        <f>Z10126+IF(W10127="",0,IF(ISNA(MATCH(W10127,W$256:W10126,0)),1,0))</f>
        <v/>
      </c>
      <c r="AA10127">
        <f>IF(Z10127&gt;Z10126,Z10127,"")</f>
        <v/>
      </c>
      <c r="AB10127">
        <f>AB10126+IF(X10127="",0,IF(ISNA(MATCH(X10127,X$256:X10126,0)),1,0))</f>
        <v/>
      </c>
      <c r="AC10127">
        <f>IF(AB10127&gt;AB10126,AB10127,"")</f>
        <v/>
      </c>
    </row>
    <row r="10128">
      <c r="W10128" s="7" t="n"/>
      <c r="X10128" s="7" t="n"/>
      <c r="Z10128">
        <f>Z10127+IF(W10128="",0,IF(ISNA(MATCH(W10128,W$256:W10127,0)),1,0))</f>
        <v/>
      </c>
      <c r="AA10128">
        <f>IF(Z10128&gt;Z10127,Z10128,"")</f>
        <v/>
      </c>
      <c r="AB10128">
        <f>AB10127+IF(X10128="",0,IF(ISNA(MATCH(X10128,X$256:X10127,0)),1,0))</f>
        <v/>
      </c>
      <c r="AC10128">
        <f>IF(AB10128&gt;AB10127,AB10128,"")</f>
        <v/>
      </c>
    </row>
    <row r="10129">
      <c r="W10129" s="7" t="n"/>
      <c r="X10129" s="7" t="n"/>
      <c r="Z10129">
        <f>Z10128+IF(W10129="",0,IF(ISNA(MATCH(W10129,W$256:W10128,0)),1,0))</f>
        <v/>
      </c>
      <c r="AA10129">
        <f>IF(Z10129&gt;Z10128,Z10129,"")</f>
        <v/>
      </c>
      <c r="AB10129">
        <f>AB10128+IF(X10129="",0,IF(ISNA(MATCH(X10129,X$256:X10128,0)),1,0))</f>
        <v/>
      </c>
      <c r="AC10129">
        <f>IF(AB10129&gt;AB10128,AB10129,"")</f>
        <v/>
      </c>
    </row>
    <row r="10130">
      <c r="W10130" s="7" t="n"/>
      <c r="X10130" s="7" t="n"/>
      <c r="Z10130">
        <f>Z10129+IF(W10130="",0,IF(ISNA(MATCH(W10130,W$256:W10129,0)),1,0))</f>
        <v/>
      </c>
      <c r="AA10130">
        <f>IF(Z10130&gt;Z10129,Z10130,"")</f>
        <v/>
      </c>
      <c r="AB10130">
        <f>AB10129+IF(X10130="",0,IF(ISNA(MATCH(X10130,X$256:X10129,0)),1,0))</f>
        <v/>
      </c>
      <c r="AC10130">
        <f>IF(AB10130&gt;AB10129,AB10130,"")</f>
        <v/>
      </c>
    </row>
    <row r="10131">
      <c r="W10131" s="7" t="n"/>
      <c r="X10131" s="7" t="n"/>
      <c r="Z10131">
        <f>Z10130+IF(W10131="",0,IF(ISNA(MATCH(W10131,W$256:W10130,0)),1,0))</f>
        <v/>
      </c>
      <c r="AA10131">
        <f>IF(Z10131&gt;Z10130,Z10131,"")</f>
        <v/>
      </c>
      <c r="AB10131">
        <f>AB10130+IF(X10131="",0,IF(ISNA(MATCH(X10131,X$256:X10130,0)),1,0))</f>
        <v/>
      </c>
      <c r="AC10131">
        <f>IF(AB10131&gt;AB10130,AB10131,"")</f>
        <v/>
      </c>
    </row>
    <row r="10132">
      <c r="W10132" s="7" t="n"/>
      <c r="X10132" s="7" t="n"/>
      <c r="Z10132">
        <f>Z10131+IF(W10132="",0,IF(ISNA(MATCH(W10132,W$256:W10131,0)),1,0))</f>
        <v/>
      </c>
      <c r="AA10132">
        <f>IF(Z10132&gt;Z10131,Z10132,"")</f>
        <v/>
      </c>
      <c r="AB10132">
        <f>AB10131+IF(X10132="",0,IF(ISNA(MATCH(X10132,X$256:X10131,0)),1,0))</f>
        <v/>
      </c>
      <c r="AC10132">
        <f>IF(AB10132&gt;AB10131,AB10132,"")</f>
        <v/>
      </c>
    </row>
    <row r="10133">
      <c r="W10133" s="7" t="n"/>
      <c r="X10133" s="7" t="n"/>
      <c r="Z10133">
        <f>Z10132+IF(W10133="",0,IF(ISNA(MATCH(W10133,W$256:W10132,0)),1,0))</f>
        <v/>
      </c>
      <c r="AA10133">
        <f>IF(Z10133&gt;Z10132,Z10133,"")</f>
        <v/>
      </c>
      <c r="AB10133">
        <f>AB10132+IF(X10133="",0,IF(ISNA(MATCH(X10133,X$256:X10132,0)),1,0))</f>
        <v/>
      </c>
      <c r="AC10133">
        <f>IF(AB10133&gt;AB10132,AB10133,"")</f>
        <v/>
      </c>
    </row>
    <row r="10134">
      <c r="W10134" s="7" t="n"/>
      <c r="X10134" s="7" t="n"/>
      <c r="Z10134">
        <f>Z10133+IF(W10134="",0,IF(ISNA(MATCH(W10134,W$256:W10133,0)),1,0))</f>
        <v/>
      </c>
      <c r="AA10134">
        <f>IF(Z10134&gt;Z10133,Z10134,"")</f>
        <v/>
      </c>
      <c r="AB10134">
        <f>AB10133+IF(X10134="",0,IF(ISNA(MATCH(X10134,X$256:X10133,0)),1,0))</f>
        <v/>
      </c>
      <c r="AC10134">
        <f>IF(AB10134&gt;AB10133,AB10134,"")</f>
        <v/>
      </c>
    </row>
    <row r="10135">
      <c r="W10135" s="7" t="n"/>
      <c r="X10135" s="7" t="n"/>
      <c r="Z10135">
        <f>Z10134+IF(W10135="",0,IF(ISNA(MATCH(W10135,W$256:W10134,0)),1,0))</f>
        <v/>
      </c>
      <c r="AA10135">
        <f>IF(Z10135&gt;Z10134,Z10135,"")</f>
        <v/>
      </c>
      <c r="AB10135">
        <f>AB10134+IF(X10135="",0,IF(ISNA(MATCH(X10135,X$256:X10134,0)),1,0))</f>
        <v/>
      </c>
      <c r="AC10135">
        <f>IF(AB10135&gt;AB10134,AB10135,"")</f>
        <v/>
      </c>
    </row>
    <row r="10136">
      <c r="W10136" s="7" t="n"/>
      <c r="X10136" s="7" t="n"/>
      <c r="Z10136">
        <f>Z10135+IF(W10136="",0,IF(ISNA(MATCH(W10136,W$256:W10135,0)),1,0))</f>
        <v/>
      </c>
      <c r="AA10136">
        <f>IF(Z10136&gt;Z10135,Z10136,"")</f>
        <v/>
      </c>
      <c r="AB10136">
        <f>AB10135+IF(X10136="",0,IF(ISNA(MATCH(X10136,X$256:X10135,0)),1,0))</f>
        <v/>
      </c>
      <c r="AC10136">
        <f>IF(AB10136&gt;AB10135,AB10136,"")</f>
        <v/>
      </c>
    </row>
    <row r="10137">
      <c r="W10137" s="7" t="n"/>
      <c r="X10137" s="7" t="n"/>
      <c r="Z10137">
        <f>Z10136+IF(W10137="",0,IF(ISNA(MATCH(W10137,W$256:W10136,0)),1,0))</f>
        <v/>
      </c>
      <c r="AA10137">
        <f>IF(Z10137&gt;Z10136,Z10137,"")</f>
        <v/>
      </c>
      <c r="AB10137">
        <f>AB10136+IF(X10137="",0,IF(ISNA(MATCH(X10137,X$256:X10136,0)),1,0))</f>
        <v/>
      </c>
      <c r="AC10137">
        <f>IF(AB10137&gt;AB10136,AB10137,"")</f>
        <v/>
      </c>
    </row>
    <row r="10138">
      <c r="W10138" s="7" t="n"/>
      <c r="X10138" s="7" t="n"/>
      <c r="Z10138">
        <f>Z10137+IF(W10138="",0,IF(ISNA(MATCH(W10138,W$256:W10137,0)),1,0))</f>
        <v/>
      </c>
      <c r="AA10138">
        <f>IF(Z10138&gt;Z10137,Z10138,"")</f>
        <v/>
      </c>
      <c r="AB10138">
        <f>AB10137+IF(X10138="",0,IF(ISNA(MATCH(X10138,X$256:X10137,0)),1,0))</f>
        <v/>
      </c>
      <c r="AC10138">
        <f>IF(AB10138&gt;AB10137,AB10138,"")</f>
        <v/>
      </c>
    </row>
    <row r="10139">
      <c r="W10139" s="7" t="n"/>
      <c r="X10139" s="7" t="n"/>
      <c r="Z10139">
        <f>Z10138+IF(W10139="",0,IF(ISNA(MATCH(W10139,W$256:W10138,0)),1,0))</f>
        <v/>
      </c>
      <c r="AA10139">
        <f>IF(Z10139&gt;Z10138,Z10139,"")</f>
        <v/>
      </c>
      <c r="AB10139">
        <f>AB10138+IF(X10139="",0,IF(ISNA(MATCH(X10139,X$256:X10138,0)),1,0))</f>
        <v/>
      </c>
      <c r="AC10139">
        <f>IF(AB10139&gt;AB10138,AB10139,"")</f>
        <v/>
      </c>
    </row>
    <row r="10140">
      <c r="W10140" s="7" t="n"/>
      <c r="X10140" s="7" t="n"/>
      <c r="Z10140">
        <f>Z10139+IF(W10140="",0,IF(ISNA(MATCH(W10140,W$256:W10139,0)),1,0))</f>
        <v/>
      </c>
      <c r="AA10140">
        <f>IF(Z10140&gt;Z10139,Z10140,"")</f>
        <v/>
      </c>
      <c r="AB10140">
        <f>AB10139+IF(X10140="",0,IF(ISNA(MATCH(X10140,X$256:X10139,0)),1,0))</f>
        <v/>
      </c>
      <c r="AC10140">
        <f>IF(AB10140&gt;AB10139,AB10140,"")</f>
        <v/>
      </c>
    </row>
    <row r="10141">
      <c r="W10141" s="7" t="n"/>
      <c r="X10141" s="7" t="n"/>
      <c r="Z10141">
        <f>Z10140+IF(W10141="",0,IF(ISNA(MATCH(W10141,W$256:W10140,0)),1,0))</f>
        <v/>
      </c>
      <c r="AA10141">
        <f>IF(Z10141&gt;Z10140,Z10141,"")</f>
        <v/>
      </c>
      <c r="AB10141">
        <f>AB10140+IF(X10141="",0,IF(ISNA(MATCH(X10141,X$256:X10140,0)),1,0))</f>
        <v/>
      </c>
      <c r="AC10141">
        <f>IF(AB10141&gt;AB10140,AB10141,"")</f>
        <v/>
      </c>
    </row>
    <row r="10142">
      <c r="W10142" s="7" t="n"/>
      <c r="X10142" s="7" t="n"/>
      <c r="Z10142">
        <f>Z10141+IF(W10142="",0,IF(ISNA(MATCH(W10142,W$256:W10141,0)),1,0))</f>
        <v/>
      </c>
      <c r="AA10142">
        <f>IF(Z10142&gt;Z10141,Z10142,"")</f>
        <v/>
      </c>
      <c r="AB10142">
        <f>AB10141+IF(X10142="",0,IF(ISNA(MATCH(X10142,X$256:X10141,0)),1,0))</f>
        <v/>
      </c>
      <c r="AC10142">
        <f>IF(AB10142&gt;AB10141,AB10142,"")</f>
        <v/>
      </c>
    </row>
    <row r="10143">
      <c r="W10143" s="7" t="n"/>
      <c r="X10143" s="7" t="n"/>
      <c r="Z10143">
        <f>Z10142+IF(W10143="",0,IF(ISNA(MATCH(W10143,W$256:W10142,0)),1,0))</f>
        <v/>
      </c>
      <c r="AA10143">
        <f>IF(Z10143&gt;Z10142,Z10143,"")</f>
        <v/>
      </c>
      <c r="AB10143">
        <f>AB10142+IF(X10143="",0,IF(ISNA(MATCH(X10143,X$256:X10142,0)),1,0))</f>
        <v/>
      </c>
      <c r="AC10143">
        <f>IF(AB10143&gt;AB10142,AB10143,"")</f>
        <v/>
      </c>
    </row>
    <row r="10144">
      <c r="W10144" s="7" t="n"/>
      <c r="X10144" s="7" t="n"/>
      <c r="Z10144">
        <f>Z10143+IF(W10144="",0,IF(ISNA(MATCH(W10144,W$256:W10143,0)),1,0))</f>
        <v/>
      </c>
      <c r="AA10144">
        <f>IF(Z10144&gt;Z10143,Z10144,"")</f>
        <v/>
      </c>
      <c r="AB10144">
        <f>AB10143+IF(X10144="",0,IF(ISNA(MATCH(X10144,X$256:X10143,0)),1,0))</f>
        <v/>
      </c>
      <c r="AC10144">
        <f>IF(AB10144&gt;AB10143,AB10144,"")</f>
        <v/>
      </c>
    </row>
    <row r="10145">
      <c r="W10145" s="7" t="n"/>
      <c r="X10145" s="7" t="n"/>
      <c r="Z10145">
        <f>Z10144+IF(W10145="",0,IF(ISNA(MATCH(W10145,W$256:W10144,0)),1,0))</f>
        <v/>
      </c>
      <c r="AA10145">
        <f>IF(Z10145&gt;Z10144,Z10145,"")</f>
        <v/>
      </c>
      <c r="AB10145">
        <f>AB10144+IF(X10145="",0,IF(ISNA(MATCH(X10145,X$256:X10144,0)),1,0))</f>
        <v/>
      </c>
      <c r="AC10145">
        <f>IF(AB10145&gt;AB10144,AB10145,"")</f>
        <v/>
      </c>
    </row>
    <row r="10146">
      <c r="W10146" s="7" t="n"/>
      <c r="X10146" s="7" t="n"/>
      <c r="Z10146">
        <f>Z10145+IF(W10146="",0,IF(ISNA(MATCH(W10146,W$256:W10145,0)),1,0))</f>
        <v/>
      </c>
      <c r="AA10146">
        <f>IF(Z10146&gt;Z10145,Z10146,"")</f>
        <v/>
      </c>
      <c r="AB10146">
        <f>AB10145+IF(X10146="",0,IF(ISNA(MATCH(X10146,X$256:X10145,0)),1,0))</f>
        <v/>
      </c>
      <c r="AC10146">
        <f>IF(AB10146&gt;AB10145,AB10146,"")</f>
        <v/>
      </c>
    </row>
    <row r="10147">
      <c r="W10147" s="7" t="n"/>
      <c r="X10147" s="7" t="n"/>
      <c r="Z10147">
        <f>Z10146+IF(W10147="",0,IF(ISNA(MATCH(W10147,W$256:W10146,0)),1,0))</f>
        <v/>
      </c>
      <c r="AA10147">
        <f>IF(Z10147&gt;Z10146,Z10147,"")</f>
        <v/>
      </c>
      <c r="AB10147">
        <f>AB10146+IF(X10147="",0,IF(ISNA(MATCH(X10147,X$256:X10146,0)),1,0))</f>
        <v/>
      </c>
      <c r="AC10147">
        <f>IF(AB10147&gt;AB10146,AB10147,"")</f>
        <v/>
      </c>
    </row>
    <row r="10148">
      <c r="W10148" s="7" t="n"/>
      <c r="X10148" s="7" t="n"/>
      <c r="Z10148">
        <f>Z10147+IF(W10148="",0,IF(ISNA(MATCH(W10148,W$256:W10147,0)),1,0))</f>
        <v/>
      </c>
      <c r="AA10148">
        <f>IF(Z10148&gt;Z10147,Z10148,"")</f>
        <v/>
      </c>
      <c r="AB10148">
        <f>AB10147+IF(X10148="",0,IF(ISNA(MATCH(X10148,X$256:X10147,0)),1,0))</f>
        <v/>
      </c>
      <c r="AC10148">
        <f>IF(AB10148&gt;AB10147,AB10148,"")</f>
        <v/>
      </c>
    </row>
    <row r="10149">
      <c r="W10149" s="7" t="n"/>
      <c r="X10149" s="7" t="n"/>
      <c r="Z10149">
        <f>Z10148+IF(W10149="",0,IF(ISNA(MATCH(W10149,W$256:W10148,0)),1,0))</f>
        <v/>
      </c>
      <c r="AA10149">
        <f>IF(Z10149&gt;Z10148,Z10149,"")</f>
        <v/>
      </c>
      <c r="AB10149">
        <f>AB10148+IF(X10149="",0,IF(ISNA(MATCH(X10149,X$256:X10148,0)),1,0))</f>
        <v/>
      </c>
      <c r="AC10149">
        <f>IF(AB10149&gt;AB10148,AB10149,"")</f>
        <v/>
      </c>
    </row>
    <row r="10150">
      <c r="W10150" s="7" t="n"/>
      <c r="X10150" s="7" t="n"/>
      <c r="Z10150">
        <f>Z10149+IF(W10150="",0,IF(ISNA(MATCH(W10150,W$256:W10149,0)),1,0))</f>
        <v/>
      </c>
      <c r="AA10150">
        <f>IF(Z10150&gt;Z10149,Z10150,"")</f>
        <v/>
      </c>
      <c r="AB10150">
        <f>AB10149+IF(X10150="",0,IF(ISNA(MATCH(X10150,X$256:X10149,0)),1,0))</f>
        <v/>
      </c>
      <c r="AC10150">
        <f>IF(AB10150&gt;AB10149,AB10150,"")</f>
        <v/>
      </c>
    </row>
    <row r="10151">
      <c r="W10151" s="7" t="n"/>
      <c r="X10151" s="7" t="n"/>
      <c r="Z10151">
        <f>Z10150+IF(W10151="",0,IF(ISNA(MATCH(W10151,W$256:W10150,0)),1,0))</f>
        <v/>
      </c>
      <c r="AA10151">
        <f>IF(Z10151&gt;Z10150,Z10151,"")</f>
        <v/>
      </c>
      <c r="AB10151">
        <f>AB10150+IF(X10151="",0,IF(ISNA(MATCH(X10151,X$256:X10150,0)),1,0))</f>
        <v/>
      </c>
      <c r="AC10151">
        <f>IF(AB10151&gt;AB10150,AB10151,"")</f>
        <v/>
      </c>
    </row>
    <row r="10152">
      <c r="W10152" s="7" t="n"/>
      <c r="X10152" s="7" t="n"/>
      <c r="Z10152">
        <f>Z10151+IF(W10152="",0,IF(ISNA(MATCH(W10152,W$256:W10151,0)),1,0))</f>
        <v/>
      </c>
      <c r="AA10152">
        <f>IF(Z10152&gt;Z10151,Z10152,"")</f>
        <v/>
      </c>
      <c r="AB10152">
        <f>AB10151+IF(X10152="",0,IF(ISNA(MATCH(X10152,X$256:X10151,0)),1,0))</f>
        <v/>
      </c>
      <c r="AC10152">
        <f>IF(AB10152&gt;AB10151,AB10152,"")</f>
        <v/>
      </c>
    </row>
    <row r="10153">
      <c r="W10153" s="7" t="n"/>
      <c r="X10153" s="7" t="n"/>
      <c r="Z10153">
        <f>Z10152+IF(W10153="",0,IF(ISNA(MATCH(W10153,W$256:W10152,0)),1,0))</f>
        <v/>
      </c>
      <c r="AA10153">
        <f>IF(Z10153&gt;Z10152,Z10153,"")</f>
        <v/>
      </c>
      <c r="AB10153">
        <f>AB10152+IF(X10153="",0,IF(ISNA(MATCH(X10153,X$256:X10152,0)),1,0))</f>
        <v/>
      </c>
      <c r="AC10153">
        <f>IF(AB10153&gt;AB10152,AB10153,"")</f>
        <v/>
      </c>
    </row>
    <row r="10154">
      <c r="W10154" s="7" t="n"/>
      <c r="X10154" s="7" t="n"/>
      <c r="Z10154">
        <f>Z10153+IF(W10154="",0,IF(ISNA(MATCH(W10154,W$256:W10153,0)),1,0))</f>
        <v/>
      </c>
      <c r="AA10154">
        <f>IF(Z10154&gt;Z10153,Z10154,"")</f>
        <v/>
      </c>
      <c r="AB10154">
        <f>AB10153+IF(X10154="",0,IF(ISNA(MATCH(X10154,X$256:X10153,0)),1,0))</f>
        <v/>
      </c>
      <c r="AC10154">
        <f>IF(AB10154&gt;AB10153,AB10154,"")</f>
        <v/>
      </c>
    </row>
    <row r="10155">
      <c r="W10155" s="7" t="n"/>
      <c r="X10155" s="7" t="n"/>
      <c r="Z10155">
        <f>Z10154+IF(W10155="",0,IF(ISNA(MATCH(W10155,W$256:W10154,0)),1,0))</f>
        <v/>
      </c>
      <c r="AA10155">
        <f>IF(Z10155&gt;Z10154,Z10155,"")</f>
        <v/>
      </c>
      <c r="AB10155">
        <f>AB10154+IF(X10155="",0,IF(ISNA(MATCH(X10155,X$256:X10154,0)),1,0))</f>
        <v/>
      </c>
      <c r="AC10155">
        <f>IF(AB10155&gt;AB10154,AB10155,"")</f>
        <v/>
      </c>
    </row>
    <row r="10156">
      <c r="W10156" s="7" t="n"/>
      <c r="X10156" s="7" t="n"/>
      <c r="Z10156">
        <f>Z10155+IF(W10156="",0,IF(ISNA(MATCH(W10156,W$256:W10155,0)),1,0))</f>
        <v/>
      </c>
      <c r="AA10156">
        <f>IF(Z10156&gt;Z10155,Z10156,"")</f>
        <v/>
      </c>
      <c r="AB10156">
        <f>AB10155+IF(X10156="",0,IF(ISNA(MATCH(X10156,X$256:X10155,0)),1,0))</f>
        <v/>
      </c>
      <c r="AC10156">
        <f>IF(AB10156&gt;AB10155,AB10156,"")</f>
        <v/>
      </c>
    </row>
    <row r="10157">
      <c r="W10157" s="7" t="n"/>
      <c r="X10157" s="7" t="n"/>
      <c r="Z10157">
        <f>Z10156+IF(W10157="",0,IF(ISNA(MATCH(W10157,W$256:W10156,0)),1,0))</f>
        <v/>
      </c>
      <c r="AA10157">
        <f>IF(Z10157&gt;Z10156,Z10157,"")</f>
        <v/>
      </c>
      <c r="AB10157">
        <f>AB10156+IF(X10157="",0,IF(ISNA(MATCH(X10157,X$256:X10156,0)),1,0))</f>
        <v/>
      </c>
      <c r="AC10157">
        <f>IF(AB10157&gt;AB10156,AB10157,"")</f>
        <v/>
      </c>
    </row>
    <row r="10158">
      <c r="W10158" s="7" t="n"/>
      <c r="X10158" s="7" t="n"/>
      <c r="Z10158">
        <f>Z10157+IF(W10158="",0,IF(ISNA(MATCH(W10158,W$256:W10157,0)),1,0))</f>
        <v/>
      </c>
      <c r="AA10158">
        <f>IF(Z10158&gt;Z10157,Z10158,"")</f>
        <v/>
      </c>
      <c r="AB10158">
        <f>AB10157+IF(X10158="",0,IF(ISNA(MATCH(X10158,X$256:X10157,0)),1,0))</f>
        <v/>
      </c>
      <c r="AC10158">
        <f>IF(AB10158&gt;AB10157,AB10158,"")</f>
        <v/>
      </c>
    </row>
    <row r="10159">
      <c r="W10159" s="7" t="n"/>
      <c r="X10159" s="7" t="n"/>
      <c r="Z10159">
        <f>Z10158+IF(W10159="",0,IF(ISNA(MATCH(W10159,W$256:W10158,0)),1,0))</f>
        <v/>
      </c>
      <c r="AA10159">
        <f>IF(Z10159&gt;Z10158,Z10159,"")</f>
        <v/>
      </c>
      <c r="AB10159">
        <f>AB10158+IF(X10159="",0,IF(ISNA(MATCH(X10159,X$256:X10158,0)),1,0))</f>
        <v/>
      </c>
      <c r="AC10159">
        <f>IF(AB10159&gt;AB10158,AB10159,"")</f>
        <v/>
      </c>
    </row>
    <row r="10160">
      <c r="W10160" s="7" t="n"/>
      <c r="X10160" s="7" t="n"/>
      <c r="Z10160">
        <f>Z10159+IF(W10160="",0,IF(ISNA(MATCH(W10160,W$256:W10159,0)),1,0))</f>
        <v/>
      </c>
      <c r="AA10160">
        <f>IF(Z10160&gt;Z10159,Z10160,"")</f>
        <v/>
      </c>
      <c r="AB10160">
        <f>AB10159+IF(X10160="",0,IF(ISNA(MATCH(X10160,X$256:X10159,0)),1,0))</f>
        <v/>
      </c>
      <c r="AC10160">
        <f>IF(AB10160&gt;AB10159,AB10160,"")</f>
        <v/>
      </c>
    </row>
    <row r="10161">
      <c r="W10161" s="7" t="n"/>
      <c r="X10161" s="7" t="n"/>
      <c r="Z10161">
        <f>Z10160+IF(W10161="",0,IF(ISNA(MATCH(W10161,W$256:W10160,0)),1,0))</f>
        <v/>
      </c>
      <c r="AA10161">
        <f>IF(Z10161&gt;Z10160,Z10161,"")</f>
        <v/>
      </c>
      <c r="AB10161">
        <f>AB10160+IF(X10161="",0,IF(ISNA(MATCH(X10161,X$256:X10160,0)),1,0))</f>
        <v/>
      </c>
      <c r="AC10161">
        <f>IF(AB10161&gt;AB10160,AB10161,"")</f>
        <v/>
      </c>
    </row>
    <row r="10162">
      <c r="W10162" s="7" t="n"/>
      <c r="X10162" s="7" t="n"/>
      <c r="Z10162">
        <f>Z10161+IF(W10162="",0,IF(ISNA(MATCH(W10162,W$256:W10161,0)),1,0))</f>
        <v/>
      </c>
      <c r="AA10162">
        <f>IF(Z10162&gt;Z10161,Z10162,"")</f>
        <v/>
      </c>
      <c r="AB10162">
        <f>AB10161+IF(X10162="",0,IF(ISNA(MATCH(X10162,X$256:X10161,0)),1,0))</f>
        <v/>
      </c>
      <c r="AC10162">
        <f>IF(AB10162&gt;AB10161,AB10162,"")</f>
        <v/>
      </c>
    </row>
    <row r="10163">
      <c r="W10163" s="7" t="n"/>
      <c r="X10163" s="7" t="n"/>
      <c r="Z10163">
        <f>Z10162+IF(W10163="",0,IF(ISNA(MATCH(W10163,W$256:W10162,0)),1,0))</f>
        <v/>
      </c>
      <c r="AA10163">
        <f>IF(Z10163&gt;Z10162,Z10163,"")</f>
        <v/>
      </c>
      <c r="AB10163">
        <f>AB10162+IF(X10163="",0,IF(ISNA(MATCH(X10163,X$256:X10162,0)),1,0))</f>
        <v/>
      </c>
      <c r="AC10163">
        <f>IF(AB10163&gt;AB10162,AB10163,"")</f>
        <v/>
      </c>
    </row>
    <row r="10164">
      <c r="W10164" s="7" t="n"/>
      <c r="X10164" s="7" t="n"/>
      <c r="Z10164">
        <f>Z10163+IF(W10164="",0,IF(ISNA(MATCH(W10164,W$256:W10163,0)),1,0))</f>
        <v/>
      </c>
      <c r="AA10164">
        <f>IF(Z10164&gt;Z10163,Z10164,"")</f>
        <v/>
      </c>
      <c r="AB10164">
        <f>AB10163+IF(X10164="",0,IF(ISNA(MATCH(X10164,X$256:X10163,0)),1,0))</f>
        <v/>
      </c>
      <c r="AC10164">
        <f>IF(AB10164&gt;AB10163,AB10164,"")</f>
        <v/>
      </c>
    </row>
    <row r="10165">
      <c r="W10165" s="7" t="n"/>
      <c r="X10165" s="7" t="n"/>
      <c r="Z10165">
        <f>Z10164+IF(W10165="",0,IF(ISNA(MATCH(W10165,W$256:W10164,0)),1,0))</f>
        <v/>
      </c>
      <c r="AA10165">
        <f>IF(Z10165&gt;Z10164,Z10165,"")</f>
        <v/>
      </c>
      <c r="AB10165">
        <f>AB10164+IF(X10165="",0,IF(ISNA(MATCH(X10165,X$256:X10164,0)),1,0))</f>
        <v/>
      </c>
      <c r="AC10165">
        <f>IF(AB10165&gt;AB10164,AB10165,"")</f>
        <v/>
      </c>
    </row>
    <row r="10166">
      <c r="W10166" s="7" t="n"/>
      <c r="X10166" s="7" t="n"/>
      <c r="Z10166">
        <f>Z10165+IF(W10166="",0,IF(ISNA(MATCH(W10166,W$256:W10165,0)),1,0))</f>
        <v/>
      </c>
      <c r="AA10166">
        <f>IF(Z10166&gt;Z10165,Z10166,"")</f>
        <v/>
      </c>
      <c r="AB10166">
        <f>AB10165+IF(X10166="",0,IF(ISNA(MATCH(X10166,X$256:X10165,0)),1,0))</f>
        <v/>
      </c>
      <c r="AC10166">
        <f>IF(AB10166&gt;AB10165,AB10166,"")</f>
        <v/>
      </c>
    </row>
    <row r="10167">
      <c r="W10167" s="7" t="n"/>
      <c r="X10167" s="7" t="n"/>
      <c r="Z10167">
        <f>Z10166+IF(W10167="",0,IF(ISNA(MATCH(W10167,W$256:W10166,0)),1,0))</f>
        <v/>
      </c>
      <c r="AA10167">
        <f>IF(Z10167&gt;Z10166,Z10167,"")</f>
        <v/>
      </c>
      <c r="AB10167">
        <f>AB10166+IF(X10167="",0,IF(ISNA(MATCH(X10167,X$256:X10166,0)),1,0))</f>
        <v/>
      </c>
      <c r="AC10167">
        <f>IF(AB10167&gt;AB10166,AB10167,"")</f>
        <v/>
      </c>
    </row>
    <row r="10168">
      <c r="W10168" s="7" t="n"/>
      <c r="X10168" s="7" t="n"/>
      <c r="Z10168">
        <f>Z10167+IF(W10168="",0,IF(ISNA(MATCH(W10168,W$256:W10167,0)),1,0))</f>
        <v/>
      </c>
      <c r="AA10168">
        <f>IF(Z10168&gt;Z10167,Z10168,"")</f>
        <v/>
      </c>
      <c r="AB10168">
        <f>AB10167+IF(X10168="",0,IF(ISNA(MATCH(X10168,X$256:X10167,0)),1,0))</f>
        <v/>
      </c>
      <c r="AC10168">
        <f>IF(AB10168&gt;AB10167,AB10168,"")</f>
        <v/>
      </c>
    </row>
    <row r="10169">
      <c r="W10169" s="7" t="n"/>
      <c r="X10169" s="7" t="n"/>
      <c r="Z10169">
        <f>Z10168+IF(W10169="",0,IF(ISNA(MATCH(W10169,W$256:W10168,0)),1,0))</f>
        <v/>
      </c>
      <c r="AA10169">
        <f>IF(Z10169&gt;Z10168,Z10169,"")</f>
        <v/>
      </c>
      <c r="AB10169">
        <f>AB10168+IF(X10169="",0,IF(ISNA(MATCH(X10169,X$256:X10168,0)),1,0))</f>
        <v/>
      </c>
      <c r="AC10169">
        <f>IF(AB10169&gt;AB10168,AB10169,"")</f>
        <v/>
      </c>
    </row>
    <row r="10170">
      <c r="W10170" s="7" t="n"/>
      <c r="X10170" s="7" t="n"/>
      <c r="Z10170">
        <f>Z10169+IF(W10170="",0,IF(ISNA(MATCH(W10170,W$256:W10169,0)),1,0))</f>
        <v/>
      </c>
      <c r="AA10170">
        <f>IF(Z10170&gt;Z10169,Z10170,"")</f>
        <v/>
      </c>
      <c r="AB10170">
        <f>AB10169+IF(X10170="",0,IF(ISNA(MATCH(X10170,X$256:X10169,0)),1,0))</f>
        <v/>
      </c>
      <c r="AC10170">
        <f>IF(AB10170&gt;AB10169,AB10170,"")</f>
        <v/>
      </c>
    </row>
    <row r="10171">
      <c r="W10171" s="7" t="n"/>
      <c r="X10171" s="7" t="n"/>
      <c r="Z10171">
        <f>Z10170+IF(W10171="",0,IF(ISNA(MATCH(W10171,W$256:W10170,0)),1,0))</f>
        <v/>
      </c>
      <c r="AA10171">
        <f>IF(Z10171&gt;Z10170,Z10171,"")</f>
        <v/>
      </c>
      <c r="AB10171">
        <f>AB10170+IF(X10171="",0,IF(ISNA(MATCH(X10171,X$256:X10170,0)),1,0))</f>
        <v/>
      </c>
      <c r="AC10171">
        <f>IF(AB10171&gt;AB10170,AB10171,"")</f>
        <v/>
      </c>
    </row>
    <row r="10172">
      <c r="W10172" s="7" t="n"/>
      <c r="X10172" s="7" t="n"/>
      <c r="Z10172">
        <f>Z10171+IF(W10172="",0,IF(ISNA(MATCH(W10172,W$256:W10171,0)),1,0))</f>
        <v/>
      </c>
      <c r="AA10172">
        <f>IF(Z10172&gt;Z10171,Z10172,"")</f>
        <v/>
      </c>
      <c r="AB10172">
        <f>AB10171+IF(X10172="",0,IF(ISNA(MATCH(X10172,X$256:X10171,0)),1,0))</f>
        <v/>
      </c>
      <c r="AC10172">
        <f>IF(AB10172&gt;AB10171,AB10172,"")</f>
        <v/>
      </c>
    </row>
    <row r="10173">
      <c r="W10173" s="7" t="n"/>
      <c r="X10173" s="7" t="n"/>
      <c r="Z10173">
        <f>Z10172+IF(W10173="",0,IF(ISNA(MATCH(W10173,W$256:W10172,0)),1,0))</f>
        <v/>
      </c>
      <c r="AA10173">
        <f>IF(Z10173&gt;Z10172,Z10173,"")</f>
        <v/>
      </c>
      <c r="AB10173">
        <f>AB10172+IF(X10173="",0,IF(ISNA(MATCH(X10173,X$256:X10172,0)),1,0))</f>
        <v/>
      </c>
      <c r="AC10173">
        <f>IF(AB10173&gt;AB10172,AB10173,"")</f>
        <v/>
      </c>
    </row>
    <row r="10174">
      <c r="W10174" s="7" t="n"/>
      <c r="X10174" s="7" t="n"/>
      <c r="Z10174">
        <f>Z10173+IF(W10174="",0,IF(ISNA(MATCH(W10174,W$256:W10173,0)),1,0))</f>
        <v/>
      </c>
      <c r="AA10174">
        <f>IF(Z10174&gt;Z10173,Z10174,"")</f>
        <v/>
      </c>
      <c r="AB10174">
        <f>AB10173+IF(X10174="",0,IF(ISNA(MATCH(X10174,X$256:X10173,0)),1,0))</f>
        <v/>
      </c>
      <c r="AC10174">
        <f>IF(AB10174&gt;AB10173,AB10174,"")</f>
        <v/>
      </c>
    </row>
    <row r="10175">
      <c r="W10175" s="7" t="n"/>
      <c r="X10175" s="7" t="n"/>
      <c r="Z10175">
        <f>Z10174+IF(W10175="",0,IF(ISNA(MATCH(W10175,W$256:W10174,0)),1,0))</f>
        <v/>
      </c>
      <c r="AA10175">
        <f>IF(Z10175&gt;Z10174,Z10175,"")</f>
        <v/>
      </c>
      <c r="AB10175">
        <f>AB10174+IF(X10175="",0,IF(ISNA(MATCH(X10175,X$256:X10174,0)),1,0))</f>
        <v/>
      </c>
      <c r="AC10175">
        <f>IF(AB10175&gt;AB10174,AB10175,"")</f>
        <v/>
      </c>
    </row>
    <row r="10176">
      <c r="W10176" s="7" t="n"/>
      <c r="X10176" s="7" t="n"/>
      <c r="Z10176">
        <f>Z10175+IF(W10176="",0,IF(ISNA(MATCH(W10176,W$256:W10175,0)),1,0))</f>
        <v/>
      </c>
      <c r="AA10176">
        <f>IF(Z10176&gt;Z10175,Z10176,"")</f>
        <v/>
      </c>
      <c r="AB10176">
        <f>AB10175+IF(X10176="",0,IF(ISNA(MATCH(X10176,X$256:X10175,0)),1,0))</f>
        <v/>
      </c>
      <c r="AC10176">
        <f>IF(AB10176&gt;AB10175,AB10176,"")</f>
        <v/>
      </c>
    </row>
    <row r="10177">
      <c r="W10177" s="7" t="n"/>
      <c r="X10177" s="7" t="n"/>
      <c r="Z10177">
        <f>Z10176+IF(W10177="",0,IF(ISNA(MATCH(W10177,W$256:W10176,0)),1,0))</f>
        <v/>
      </c>
      <c r="AA10177">
        <f>IF(Z10177&gt;Z10176,Z10177,"")</f>
        <v/>
      </c>
      <c r="AB10177">
        <f>AB10176+IF(X10177="",0,IF(ISNA(MATCH(X10177,X$256:X10176,0)),1,0))</f>
        <v/>
      </c>
      <c r="AC10177">
        <f>IF(AB10177&gt;AB10176,AB10177,"")</f>
        <v/>
      </c>
    </row>
    <row r="10178">
      <c r="W10178" s="7" t="n"/>
      <c r="X10178" s="7" t="n"/>
      <c r="Z10178">
        <f>Z10177+IF(W10178="",0,IF(ISNA(MATCH(W10178,W$256:W10177,0)),1,0))</f>
        <v/>
      </c>
      <c r="AA10178">
        <f>IF(Z10178&gt;Z10177,Z10178,"")</f>
        <v/>
      </c>
      <c r="AB10178">
        <f>AB10177+IF(X10178="",0,IF(ISNA(MATCH(X10178,X$256:X10177,0)),1,0))</f>
        <v/>
      </c>
      <c r="AC10178">
        <f>IF(AB10178&gt;AB10177,AB10178,"")</f>
        <v/>
      </c>
    </row>
    <row r="10179">
      <c r="W10179" s="7" t="n"/>
      <c r="X10179" s="7" t="n"/>
      <c r="Z10179">
        <f>Z10178+IF(W10179="",0,IF(ISNA(MATCH(W10179,W$256:W10178,0)),1,0))</f>
        <v/>
      </c>
      <c r="AA10179">
        <f>IF(Z10179&gt;Z10178,Z10179,"")</f>
        <v/>
      </c>
      <c r="AB10179">
        <f>AB10178+IF(X10179="",0,IF(ISNA(MATCH(X10179,X$256:X10178,0)),1,0))</f>
        <v/>
      </c>
      <c r="AC10179">
        <f>IF(AB10179&gt;AB10178,AB10179,"")</f>
        <v/>
      </c>
    </row>
    <row r="10180">
      <c r="W10180" s="7" t="n"/>
      <c r="X10180" s="7" t="n"/>
      <c r="Z10180">
        <f>Z10179+IF(W10180="",0,IF(ISNA(MATCH(W10180,W$256:W10179,0)),1,0))</f>
        <v/>
      </c>
      <c r="AA10180">
        <f>IF(Z10180&gt;Z10179,Z10180,"")</f>
        <v/>
      </c>
      <c r="AB10180">
        <f>AB10179+IF(X10180="",0,IF(ISNA(MATCH(X10180,X$256:X10179,0)),1,0))</f>
        <v/>
      </c>
      <c r="AC10180">
        <f>IF(AB10180&gt;AB10179,AB10180,"")</f>
        <v/>
      </c>
    </row>
    <row r="10181">
      <c r="W10181" s="7" t="n"/>
      <c r="X10181" s="7" t="n"/>
      <c r="Z10181">
        <f>Z10180+IF(W10181="",0,IF(ISNA(MATCH(W10181,W$256:W10180,0)),1,0))</f>
        <v/>
      </c>
      <c r="AA10181">
        <f>IF(Z10181&gt;Z10180,Z10181,"")</f>
        <v/>
      </c>
      <c r="AB10181">
        <f>AB10180+IF(X10181="",0,IF(ISNA(MATCH(X10181,X$256:X10180,0)),1,0))</f>
        <v/>
      </c>
      <c r="AC10181">
        <f>IF(AB10181&gt;AB10180,AB10181,"")</f>
        <v/>
      </c>
    </row>
    <row r="10182">
      <c r="W10182" s="7" t="n"/>
      <c r="X10182" s="7" t="n"/>
      <c r="Z10182">
        <f>Z10181+IF(W10182="",0,IF(ISNA(MATCH(W10182,W$256:W10181,0)),1,0))</f>
        <v/>
      </c>
      <c r="AA10182">
        <f>IF(Z10182&gt;Z10181,Z10182,"")</f>
        <v/>
      </c>
      <c r="AB10182">
        <f>AB10181+IF(X10182="",0,IF(ISNA(MATCH(X10182,X$256:X10181,0)),1,0))</f>
        <v/>
      </c>
      <c r="AC10182">
        <f>IF(AB10182&gt;AB10181,AB10182,"")</f>
        <v/>
      </c>
    </row>
    <row r="10183">
      <c r="W10183" s="7" t="n"/>
      <c r="X10183" s="7" t="n"/>
      <c r="Z10183">
        <f>Z10182+IF(W10183="",0,IF(ISNA(MATCH(W10183,W$256:W10182,0)),1,0))</f>
        <v/>
      </c>
      <c r="AA10183">
        <f>IF(Z10183&gt;Z10182,Z10183,"")</f>
        <v/>
      </c>
      <c r="AB10183">
        <f>AB10182+IF(X10183="",0,IF(ISNA(MATCH(X10183,X$256:X10182,0)),1,0))</f>
        <v/>
      </c>
      <c r="AC10183">
        <f>IF(AB10183&gt;AB10182,AB10183,"")</f>
        <v/>
      </c>
    </row>
    <row r="10184">
      <c r="W10184" s="7" t="n"/>
      <c r="X10184" s="7" t="n"/>
      <c r="Z10184">
        <f>Z10183+IF(W10184="",0,IF(ISNA(MATCH(W10184,W$256:W10183,0)),1,0))</f>
        <v/>
      </c>
      <c r="AA10184">
        <f>IF(Z10184&gt;Z10183,Z10184,"")</f>
        <v/>
      </c>
      <c r="AB10184">
        <f>AB10183+IF(X10184="",0,IF(ISNA(MATCH(X10184,X$256:X10183,0)),1,0))</f>
        <v/>
      </c>
      <c r="AC10184">
        <f>IF(AB10184&gt;AB10183,AB10184,"")</f>
        <v/>
      </c>
    </row>
    <row r="10185">
      <c r="W10185" s="7" t="n"/>
      <c r="X10185" s="7" t="n"/>
      <c r="Z10185">
        <f>Z10184+IF(W10185="",0,IF(ISNA(MATCH(W10185,W$256:W10184,0)),1,0))</f>
        <v/>
      </c>
      <c r="AA10185">
        <f>IF(Z10185&gt;Z10184,Z10185,"")</f>
        <v/>
      </c>
      <c r="AB10185">
        <f>AB10184+IF(X10185="",0,IF(ISNA(MATCH(X10185,X$256:X10184,0)),1,0))</f>
        <v/>
      </c>
      <c r="AC10185">
        <f>IF(AB10185&gt;AB10184,AB10185,"")</f>
        <v/>
      </c>
    </row>
    <row r="10186">
      <c r="W10186" s="7" t="n"/>
      <c r="X10186" s="7" t="n"/>
      <c r="Z10186">
        <f>Z10185+IF(W10186="",0,IF(ISNA(MATCH(W10186,W$256:W10185,0)),1,0))</f>
        <v/>
      </c>
      <c r="AA10186">
        <f>IF(Z10186&gt;Z10185,Z10186,"")</f>
        <v/>
      </c>
      <c r="AB10186">
        <f>AB10185+IF(X10186="",0,IF(ISNA(MATCH(X10186,X$256:X10185,0)),1,0))</f>
        <v/>
      </c>
      <c r="AC10186">
        <f>IF(AB10186&gt;AB10185,AB10186,"")</f>
        <v/>
      </c>
    </row>
    <row r="10187">
      <c r="W10187" s="7" t="n"/>
      <c r="X10187" s="7" t="n"/>
      <c r="Z10187">
        <f>Z10186+IF(W10187="",0,IF(ISNA(MATCH(W10187,W$256:W10186,0)),1,0))</f>
        <v/>
      </c>
      <c r="AA10187">
        <f>IF(Z10187&gt;Z10186,Z10187,"")</f>
        <v/>
      </c>
      <c r="AB10187">
        <f>AB10186+IF(X10187="",0,IF(ISNA(MATCH(X10187,X$256:X10186,0)),1,0))</f>
        <v/>
      </c>
      <c r="AC10187">
        <f>IF(AB10187&gt;AB10186,AB10187,"")</f>
        <v/>
      </c>
    </row>
    <row r="10188">
      <c r="W10188" s="7" t="n"/>
      <c r="X10188" s="7" t="n"/>
      <c r="Z10188">
        <f>Z10187+IF(W10188="",0,IF(ISNA(MATCH(W10188,W$256:W10187,0)),1,0))</f>
        <v/>
      </c>
      <c r="AA10188">
        <f>IF(Z10188&gt;Z10187,Z10188,"")</f>
        <v/>
      </c>
      <c r="AB10188">
        <f>AB10187+IF(X10188="",0,IF(ISNA(MATCH(X10188,X$256:X10187,0)),1,0))</f>
        <v/>
      </c>
      <c r="AC10188">
        <f>IF(AB10188&gt;AB10187,AB10188,"")</f>
        <v/>
      </c>
    </row>
    <row r="10189">
      <c r="W10189" s="7" t="n"/>
      <c r="X10189" s="7" t="n"/>
      <c r="Z10189">
        <f>Z10188+IF(W10189="",0,IF(ISNA(MATCH(W10189,W$256:W10188,0)),1,0))</f>
        <v/>
      </c>
      <c r="AA10189">
        <f>IF(Z10189&gt;Z10188,Z10189,"")</f>
        <v/>
      </c>
      <c r="AB10189">
        <f>AB10188+IF(X10189="",0,IF(ISNA(MATCH(X10189,X$256:X10188,0)),1,0))</f>
        <v/>
      </c>
      <c r="AC10189">
        <f>IF(AB10189&gt;AB10188,AB10189,"")</f>
        <v/>
      </c>
    </row>
    <row r="10190">
      <c r="W10190" s="7" t="n"/>
      <c r="X10190" s="7" t="n"/>
      <c r="Z10190">
        <f>Z10189+IF(W10190="",0,IF(ISNA(MATCH(W10190,W$256:W10189,0)),1,0))</f>
        <v/>
      </c>
      <c r="AA10190">
        <f>IF(Z10190&gt;Z10189,Z10190,"")</f>
        <v/>
      </c>
      <c r="AB10190">
        <f>AB10189+IF(X10190="",0,IF(ISNA(MATCH(X10190,X$256:X10189,0)),1,0))</f>
        <v/>
      </c>
      <c r="AC10190">
        <f>IF(AB10190&gt;AB10189,AB10190,"")</f>
        <v/>
      </c>
    </row>
    <row r="10191">
      <c r="W10191" s="7" t="n"/>
      <c r="X10191" s="7" t="n"/>
      <c r="Z10191">
        <f>Z10190+IF(W10191="",0,IF(ISNA(MATCH(W10191,W$256:W10190,0)),1,0))</f>
        <v/>
      </c>
      <c r="AA10191">
        <f>IF(Z10191&gt;Z10190,Z10191,"")</f>
        <v/>
      </c>
      <c r="AB10191">
        <f>AB10190+IF(X10191="",0,IF(ISNA(MATCH(X10191,X$256:X10190,0)),1,0))</f>
        <v/>
      </c>
      <c r="AC10191">
        <f>IF(AB10191&gt;AB10190,AB10191,"")</f>
        <v/>
      </c>
    </row>
    <row r="10192">
      <c r="W10192" s="7" t="n"/>
      <c r="X10192" s="7" t="n"/>
      <c r="Z10192">
        <f>Z10191+IF(W10192="",0,IF(ISNA(MATCH(W10192,W$256:W10191,0)),1,0))</f>
        <v/>
      </c>
      <c r="AA10192">
        <f>IF(Z10192&gt;Z10191,Z10192,"")</f>
        <v/>
      </c>
      <c r="AB10192">
        <f>AB10191+IF(X10192="",0,IF(ISNA(MATCH(X10192,X$256:X10191,0)),1,0))</f>
        <v/>
      </c>
      <c r="AC10192">
        <f>IF(AB10192&gt;AB10191,AB10192,"")</f>
        <v/>
      </c>
    </row>
    <row r="10193">
      <c r="W10193" s="7" t="n"/>
      <c r="X10193" s="7" t="n"/>
      <c r="Z10193">
        <f>Z10192+IF(W10193="",0,IF(ISNA(MATCH(W10193,W$256:W10192,0)),1,0))</f>
        <v/>
      </c>
      <c r="AA10193">
        <f>IF(Z10193&gt;Z10192,Z10193,"")</f>
        <v/>
      </c>
      <c r="AB10193">
        <f>AB10192+IF(X10193="",0,IF(ISNA(MATCH(X10193,X$256:X10192,0)),1,0))</f>
        <v/>
      </c>
      <c r="AC10193">
        <f>IF(AB10193&gt;AB10192,AB10193,"")</f>
        <v/>
      </c>
    </row>
    <row r="10194">
      <c r="W10194" s="7" t="n"/>
      <c r="X10194" s="7" t="n"/>
      <c r="Z10194">
        <f>Z10193+IF(W10194="",0,IF(ISNA(MATCH(W10194,W$256:W10193,0)),1,0))</f>
        <v/>
      </c>
      <c r="AA10194">
        <f>IF(Z10194&gt;Z10193,Z10194,"")</f>
        <v/>
      </c>
      <c r="AB10194">
        <f>AB10193+IF(X10194="",0,IF(ISNA(MATCH(X10194,X$256:X10193,0)),1,0))</f>
        <v/>
      </c>
      <c r="AC10194">
        <f>IF(AB10194&gt;AB10193,AB10194,"")</f>
        <v/>
      </c>
    </row>
    <row r="10195">
      <c r="W10195" s="7" t="n"/>
      <c r="X10195" s="7" t="n"/>
      <c r="Z10195">
        <f>Z10194+IF(W10195="",0,IF(ISNA(MATCH(W10195,W$256:W10194,0)),1,0))</f>
        <v/>
      </c>
      <c r="AA10195">
        <f>IF(Z10195&gt;Z10194,Z10195,"")</f>
        <v/>
      </c>
      <c r="AB10195">
        <f>AB10194+IF(X10195="",0,IF(ISNA(MATCH(X10195,X$256:X10194,0)),1,0))</f>
        <v/>
      </c>
      <c r="AC10195">
        <f>IF(AB10195&gt;AB10194,AB10195,"")</f>
        <v/>
      </c>
    </row>
    <row r="10196">
      <c r="W10196" s="7" t="n"/>
      <c r="X10196" s="7" t="n"/>
      <c r="Z10196">
        <f>Z10195+IF(W10196="",0,IF(ISNA(MATCH(W10196,W$256:W10195,0)),1,0))</f>
        <v/>
      </c>
      <c r="AA10196">
        <f>IF(Z10196&gt;Z10195,Z10196,"")</f>
        <v/>
      </c>
      <c r="AB10196">
        <f>AB10195+IF(X10196="",0,IF(ISNA(MATCH(X10196,X$256:X10195,0)),1,0))</f>
        <v/>
      </c>
      <c r="AC10196">
        <f>IF(AB10196&gt;AB10195,AB10196,"")</f>
        <v/>
      </c>
    </row>
    <row r="10197">
      <c r="W10197" s="7" t="n"/>
      <c r="X10197" s="7" t="n"/>
      <c r="Z10197">
        <f>Z10196+IF(W10197="",0,IF(ISNA(MATCH(W10197,W$256:W10196,0)),1,0))</f>
        <v/>
      </c>
      <c r="AA10197">
        <f>IF(Z10197&gt;Z10196,Z10197,"")</f>
        <v/>
      </c>
      <c r="AB10197">
        <f>AB10196+IF(X10197="",0,IF(ISNA(MATCH(X10197,X$256:X10196,0)),1,0))</f>
        <v/>
      </c>
      <c r="AC10197">
        <f>IF(AB10197&gt;AB10196,AB10197,"")</f>
        <v/>
      </c>
    </row>
    <row r="10198">
      <c r="W10198" s="7" t="n"/>
      <c r="X10198" s="7" t="n"/>
      <c r="Z10198">
        <f>Z10197+IF(W10198="",0,IF(ISNA(MATCH(W10198,W$256:W10197,0)),1,0))</f>
        <v/>
      </c>
      <c r="AA10198">
        <f>IF(Z10198&gt;Z10197,Z10198,"")</f>
        <v/>
      </c>
      <c r="AB10198">
        <f>AB10197+IF(X10198="",0,IF(ISNA(MATCH(X10198,X$256:X10197,0)),1,0))</f>
        <v/>
      </c>
      <c r="AC10198">
        <f>IF(AB10198&gt;AB10197,AB10198,"")</f>
        <v/>
      </c>
    </row>
    <row r="10199">
      <c r="W10199" s="7" t="n"/>
      <c r="X10199" s="7" t="n"/>
      <c r="Z10199">
        <f>Z10198+IF(W10199="",0,IF(ISNA(MATCH(W10199,W$256:W10198,0)),1,0))</f>
        <v/>
      </c>
      <c r="AA10199">
        <f>IF(Z10199&gt;Z10198,Z10199,"")</f>
        <v/>
      </c>
      <c r="AB10199">
        <f>AB10198+IF(X10199="",0,IF(ISNA(MATCH(X10199,X$256:X10198,0)),1,0))</f>
        <v/>
      </c>
      <c r="AC10199">
        <f>IF(AB10199&gt;AB10198,AB10199,"")</f>
        <v/>
      </c>
    </row>
    <row r="10200">
      <c r="W10200" s="7" t="n"/>
      <c r="X10200" s="7" t="n"/>
      <c r="Z10200">
        <f>Z10199+IF(W10200="",0,IF(ISNA(MATCH(W10200,W$256:W10199,0)),1,0))</f>
        <v/>
      </c>
      <c r="AA10200">
        <f>IF(Z10200&gt;Z10199,Z10200,"")</f>
        <v/>
      </c>
      <c r="AB10200">
        <f>AB10199+IF(X10200="",0,IF(ISNA(MATCH(X10200,X$256:X10199,0)),1,0))</f>
        <v/>
      </c>
      <c r="AC10200">
        <f>IF(AB10200&gt;AB10199,AB10200,"")</f>
        <v/>
      </c>
    </row>
    <row r="10201">
      <c r="W10201" s="7" t="n"/>
      <c r="X10201" s="7" t="n"/>
      <c r="Z10201">
        <f>Z10200+IF(W10201="",0,IF(ISNA(MATCH(W10201,W$256:W10200,0)),1,0))</f>
        <v/>
      </c>
      <c r="AA10201">
        <f>IF(Z10201&gt;Z10200,Z10201,"")</f>
        <v/>
      </c>
      <c r="AB10201">
        <f>AB10200+IF(X10201="",0,IF(ISNA(MATCH(X10201,X$256:X10200,0)),1,0))</f>
        <v/>
      </c>
      <c r="AC10201">
        <f>IF(AB10201&gt;AB10200,AB10201,"")</f>
        <v/>
      </c>
    </row>
    <row r="10202">
      <c r="W10202" s="7" t="n"/>
      <c r="X10202" s="7" t="n"/>
      <c r="Z10202">
        <f>Z10201+IF(W10202="",0,IF(ISNA(MATCH(W10202,W$256:W10201,0)),1,0))</f>
        <v/>
      </c>
      <c r="AA10202">
        <f>IF(Z10202&gt;Z10201,Z10202,"")</f>
        <v/>
      </c>
      <c r="AB10202">
        <f>AB10201+IF(X10202="",0,IF(ISNA(MATCH(X10202,X$256:X10201,0)),1,0))</f>
        <v/>
      </c>
      <c r="AC10202">
        <f>IF(AB10202&gt;AB10201,AB10202,"")</f>
        <v/>
      </c>
    </row>
    <row r="10203">
      <c r="W10203" s="7" t="n"/>
      <c r="X10203" s="7" t="n"/>
      <c r="Z10203">
        <f>Z10202+IF(W10203="",0,IF(ISNA(MATCH(W10203,W$256:W10202,0)),1,0))</f>
        <v/>
      </c>
      <c r="AA10203">
        <f>IF(Z10203&gt;Z10202,Z10203,"")</f>
        <v/>
      </c>
      <c r="AB10203">
        <f>AB10202+IF(X10203="",0,IF(ISNA(MATCH(X10203,X$256:X10202,0)),1,0))</f>
        <v/>
      </c>
      <c r="AC10203">
        <f>IF(AB10203&gt;AB10202,AB10203,"")</f>
        <v/>
      </c>
    </row>
    <row r="10204">
      <c r="W10204" s="7" t="n"/>
      <c r="X10204" s="7" t="n"/>
      <c r="Z10204">
        <f>Z10203+IF(W10204="",0,IF(ISNA(MATCH(W10204,W$256:W10203,0)),1,0))</f>
        <v/>
      </c>
      <c r="AA10204">
        <f>IF(Z10204&gt;Z10203,Z10204,"")</f>
        <v/>
      </c>
      <c r="AB10204">
        <f>AB10203+IF(X10204="",0,IF(ISNA(MATCH(X10204,X$256:X10203,0)),1,0))</f>
        <v/>
      </c>
      <c r="AC10204">
        <f>IF(AB10204&gt;AB10203,AB10204,"")</f>
        <v/>
      </c>
    </row>
    <row r="10205">
      <c r="W10205" s="7" t="n"/>
      <c r="X10205" s="7" t="n"/>
      <c r="Z10205">
        <f>Z10204+IF(W10205="",0,IF(ISNA(MATCH(W10205,W$256:W10204,0)),1,0))</f>
        <v/>
      </c>
      <c r="AA10205">
        <f>IF(Z10205&gt;Z10204,Z10205,"")</f>
        <v/>
      </c>
      <c r="AB10205">
        <f>AB10204+IF(X10205="",0,IF(ISNA(MATCH(X10205,X$256:X10204,0)),1,0))</f>
        <v/>
      </c>
      <c r="AC10205">
        <f>IF(AB10205&gt;AB10204,AB10205,"")</f>
        <v/>
      </c>
    </row>
    <row r="10206">
      <c r="W10206" s="7" t="n"/>
      <c r="X10206" s="7" t="n"/>
      <c r="Z10206">
        <f>Z10205+IF(W10206="",0,IF(ISNA(MATCH(W10206,W$256:W10205,0)),1,0))</f>
        <v/>
      </c>
      <c r="AA10206">
        <f>IF(Z10206&gt;Z10205,Z10206,"")</f>
        <v/>
      </c>
      <c r="AB10206">
        <f>AB10205+IF(X10206="",0,IF(ISNA(MATCH(X10206,X$256:X10205,0)),1,0))</f>
        <v/>
      </c>
      <c r="AC10206">
        <f>IF(AB10206&gt;AB10205,AB10206,"")</f>
        <v/>
      </c>
    </row>
    <row r="10207">
      <c r="W10207" s="7" t="n"/>
      <c r="X10207" s="7" t="n"/>
      <c r="Z10207">
        <f>Z10206+IF(W10207="",0,IF(ISNA(MATCH(W10207,W$256:W10206,0)),1,0))</f>
        <v/>
      </c>
      <c r="AA10207">
        <f>IF(Z10207&gt;Z10206,Z10207,"")</f>
        <v/>
      </c>
      <c r="AB10207">
        <f>AB10206+IF(X10207="",0,IF(ISNA(MATCH(X10207,X$256:X10206,0)),1,0))</f>
        <v/>
      </c>
      <c r="AC10207">
        <f>IF(AB10207&gt;AB10206,AB10207,"")</f>
        <v/>
      </c>
    </row>
    <row r="10208">
      <c r="W10208" s="7" t="n"/>
      <c r="X10208" s="7" t="n"/>
      <c r="Z10208">
        <f>Z10207+IF(W10208="",0,IF(ISNA(MATCH(W10208,W$256:W10207,0)),1,0))</f>
        <v/>
      </c>
      <c r="AA10208">
        <f>IF(Z10208&gt;Z10207,Z10208,"")</f>
        <v/>
      </c>
      <c r="AB10208">
        <f>AB10207+IF(X10208="",0,IF(ISNA(MATCH(X10208,X$256:X10207,0)),1,0))</f>
        <v/>
      </c>
      <c r="AC10208">
        <f>IF(AB10208&gt;AB10207,AB10208,"")</f>
        <v/>
      </c>
    </row>
    <row r="10209">
      <c r="W10209" s="7" t="n"/>
      <c r="X10209" s="7" t="n"/>
      <c r="Z10209">
        <f>Z10208+IF(W10209="",0,IF(ISNA(MATCH(W10209,W$256:W10208,0)),1,0))</f>
        <v/>
      </c>
      <c r="AA10209">
        <f>IF(Z10209&gt;Z10208,Z10209,"")</f>
        <v/>
      </c>
      <c r="AB10209">
        <f>AB10208+IF(X10209="",0,IF(ISNA(MATCH(X10209,X$256:X10208,0)),1,0))</f>
        <v/>
      </c>
      <c r="AC10209">
        <f>IF(AB10209&gt;AB10208,AB10209,"")</f>
        <v/>
      </c>
    </row>
    <row r="10210">
      <c r="W10210" s="7" t="n"/>
      <c r="X10210" s="7" t="n"/>
      <c r="Z10210">
        <f>Z10209+IF(W10210="",0,IF(ISNA(MATCH(W10210,W$256:W10209,0)),1,0))</f>
        <v/>
      </c>
      <c r="AA10210">
        <f>IF(Z10210&gt;Z10209,Z10210,"")</f>
        <v/>
      </c>
      <c r="AB10210">
        <f>AB10209+IF(X10210="",0,IF(ISNA(MATCH(X10210,X$256:X10209,0)),1,0))</f>
        <v/>
      </c>
      <c r="AC10210">
        <f>IF(AB10210&gt;AB10209,AB10210,"")</f>
        <v/>
      </c>
    </row>
    <row r="10211">
      <c r="W10211" s="7" t="n"/>
      <c r="X10211" s="7" t="n"/>
      <c r="Z10211">
        <f>Z10210+IF(W10211="",0,IF(ISNA(MATCH(W10211,W$256:W10210,0)),1,0))</f>
        <v/>
      </c>
      <c r="AA10211">
        <f>IF(Z10211&gt;Z10210,Z10211,"")</f>
        <v/>
      </c>
      <c r="AB10211">
        <f>AB10210+IF(X10211="",0,IF(ISNA(MATCH(X10211,X$256:X10210,0)),1,0))</f>
        <v/>
      </c>
      <c r="AC10211">
        <f>IF(AB10211&gt;AB10210,AB10211,"")</f>
        <v/>
      </c>
    </row>
    <row r="10212">
      <c r="W10212" s="7" t="n"/>
      <c r="X10212" s="7" t="n"/>
      <c r="Z10212">
        <f>Z10211+IF(W10212="",0,IF(ISNA(MATCH(W10212,W$256:W10211,0)),1,0))</f>
        <v/>
      </c>
      <c r="AA10212">
        <f>IF(Z10212&gt;Z10211,Z10212,"")</f>
        <v/>
      </c>
      <c r="AB10212">
        <f>AB10211+IF(X10212="",0,IF(ISNA(MATCH(X10212,X$256:X10211,0)),1,0))</f>
        <v/>
      </c>
      <c r="AC10212">
        <f>IF(AB10212&gt;AB10211,AB10212,"")</f>
        <v/>
      </c>
    </row>
    <row r="10213">
      <c r="W10213" s="7" t="n"/>
      <c r="X10213" s="7" t="n"/>
      <c r="Z10213">
        <f>Z10212+IF(W10213="",0,IF(ISNA(MATCH(W10213,W$256:W10212,0)),1,0))</f>
        <v/>
      </c>
      <c r="AA10213">
        <f>IF(Z10213&gt;Z10212,Z10213,"")</f>
        <v/>
      </c>
      <c r="AB10213">
        <f>AB10212+IF(X10213="",0,IF(ISNA(MATCH(X10213,X$256:X10212,0)),1,0))</f>
        <v/>
      </c>
      <c r="AC10213">
        <f>IF(AB10213&gt;AB10212,AB10213,"")</f>
        <v/>
      </c>
    </row>
    <row r="10214">
      <c r="W10214" s="7" t="n"/>
      <c r="X10214" s="7" t="n"/>
      <c r="Z10214">
        <f>Z10213+IF(W10214="",0,IF(ISNA(MATCH(W10214,W$256:W10213,0)),1,0))</f>
        <v/>
      </c>
      <c r="AA10214">
        <f>IF(Z10214&gt;Z10213,Z10214,"")</f>
        <v/>
      </c>
      <c r="AB10214">
        <f>AB10213+IF(X10214="",0,IF(ISNA(MATCH(X10214,X$256:X10213,0)),1,0))</f>
        <v/>
      </c>
      <c r="AC10214">
        <f>IF(AB10214&gt;AB10213,AB10214,"")</f>
        <v/>
      </c>
    </row>
    <row r="10215">
      <c r="W10215" s="7" t="n"/>
      <c r="X10215" s="7" t="n"/>
      <c r="Z10215">
        <f>Z10214+IF(W10215="",0,IF(ISNA(MATCH(W10215,W$256:W10214,0)),1,0))</f>
        <v/>
      </c>
      <c r="AA10215">
        <f>IF(Z10215&gt;Z10214,Z10215,"")</f>
        <v/>
      </c>
      <c r="AB10215">
        <f>AB10214+IF(X10215="",0,IF(ISNA(MATCH(X10215,X$256:X10214,0)),1,0))</f>
        <v/>
      </c>
      <c r="AC10215">
        <f>IF(AB10215&gt;AB10214,AB10215,"")</f>
        <v/>
      </c>
    </row>
    <row r="10216">
      <c r="W10216" s="7" t="n"/>
      <c r="X10216" s="7" t="n"/>
      <c r="Z10216">
        <f>Z10215+IF(W10216="",0,IF(ISNA(MATCH(W10216,W$256:W10215,0)),1,0))</f>
        <v/>
      </c>
      <c r="AA10216">
        <f>IF(Z10216&gt;Z10215,Z10216,"")</f>
        <v/>
      </c>
      <c r="AB10216">
        <f>AB10215+IF(X10216="",0,IF(ISNA(MATCH(X10216,X$256:X10215,0)),1,0))</f>
        <v/>
      </c>
      <c r="AC10216">
        <f>IF(AB10216&gt;AB10215,AB10216,"")</f>
        <v/>
      </c>
    </row>
    <row r="10217">
      <c r="W10217" s="7" t="n"/>
      <c r="X10217" s="7" t="n"/>
      <c r="Z10217">
        <f>Z10216+IF(W10217="",0,IF(ISNA(MATCH(W10217,W$256:W10216,0)),1,0))</f>
        <v/>
      </c>
      <c r="AA10217">
        <f>IF(Z10217&gt;Z10216,Z10217,"")</f>
        <v/>
      </c>
      <c r="AB10217">
        <f>AB10216+IF(X10217="",0,IF(ISNA(MATCH(X10217,X$256:X10216,0)),1,0))</f>
        <v/>
      </c>
      <c r="AC10217">
        <f>IF(AB10217&gt;AB10216,AB10217,"")</f>
        <v/>
      </c>
    </row>
    <row r="10218">
      <c r="W10218" s="7" t="n"/>
      <c r="X10218" s="7" t="n"/>
      <c r="Z10218">
        <f>Z10217+IF(W10218="",0,IF(ISNA(MATCH(W10218,W$256:W10217,0)),1,0))</f>
        <v/>
      </c>
      <c r="AA10218">
        <f>IF(Z10218&gt;Z10217,Z10218,"")</f>
        <v/>
      </c>
      <c r="AB10218">
        <f>AB10217+IF(X10218="",0,IF(ISNA(MATCH(X10218,X$256:X10217,0)),1,0))</f>
        <v/>
      </c>
      <c r="AC10218">
        <f>IF(AB10218&gt;AB10217,AB10218,"")</f>
        <v/>
      </c>
    </row>
    <row r="10219">
      <c r="W10219" s="7" t="n"/>
      <c r="X10219" s="7" t="n"/>
      <c r="Z10219">
        <f>Z10218+IF(W10219="",0,IF(ISNA(MATCH(W10219,W$256:W10218,0)),1,0))</f>
        <v/>
      </c>
      <c r="AA10219">
        <f>IF(Z10219&gt;Z10218,Z10219,"")</f>
        <v/>
      </c>
      <c r="AB10219">
        <f>AB10218+IF(X10219="",0,IF(ISNA(MATCH(X10219,X$256:X10218,0)),1,0))</f>
        <v/>
      </c>
      <c r="AC10219">
        <f>IF(AB10219&gt;AB10218,AB10219,"")</f>
        <v/>
      </c>
    </row>
    <row r="10220">
      <c r="W10220" s="7" t="n"/>
      <c r="X10220" s="7" t="n"/>
      <c r="Z10220">
        <f>Z10219+IF(W10220="",0,IF(ISNA(MATCH(W10220,W$256:W10219,0)),1,0))</f>
        <v/>
      </c>
      <c r="AA10220">
        <f>IF(Z10220&gt;Z10219,Z10220,"")</f>
        <v/>
      </c>
      <c r="AB10220">
        <f>AB10219+IF(X10220="",0,IF(ISNA(MATCH(X10220,X$256:X10219,0)),1,0))</f>
        <v/>
      </c>
      <c r="AC10220">
        <f>IF(AB10220&gt;AB10219,AB10220,"")</f>
        <v/>
      </c>
    </row>
    <row r="10221">
      <c r="W10221" s="7" t="n"/>
      <c r="X10221" s="7" t="n"/>
      <c r="Z10221">
        <f>Z10220+IF(W10221="",0,IF(ISNA(MATCH(W10221,W$256:W10220,0)),1,0))</f>
        <v/>
      </c>
      <c r="AA10221">
        <f>IF(Z10221&gt;Z10220,Z10221,"")</f>
        <v/>
      </c>
      <c r="AB10221">
        <f>AB10220+IF(X10221="",0,IF(ISNA(MATCH(X10221,X$256:X10220,0)),1,0))</f>
        <v/>
      </c>
      <c r="AC10221">
        <f>IF(AB10221&gt;AB10220,AB10221,"")</f>
        <v/>
      </c>
    </row>
    <row r="10222">
      <c r="W10222" s="7" t="n"/>
      <c r="X10222" s="7" t="n"/>
      <c r="Z10222">
        <f>Z10221+IF(W10222="",0,IF(ISNA(MATCH(W10222,W$256:W10221,0)),1,0))</f>
        <v/>
      </c>
      <c r="AA10222">
        <f>IF(Z10222&gt;Z10221,Z10222,"")</f>
        <v/>
      </c>
      <c r="AB10222">
        <f>AB10221+IF(X10222="",0,IF(ISNA(MATCH(X10222,X$256:X10221,0)),1,0))</f>
        <v/>
      </c>
      <c r="AC10222">
        <f>IF(AB10222&gt;AB10221,AB10222,"")</f>
        <v/>
      </c>
    </row>
    <row r="10223">
      <c r="W10223" s="7" t="n"/>
      <c r="X10223" s="7" t="n"/>
      <c r="Z10223">
        <f>Z10222+IF(W10223="",0,IF(ISNA(MATCH(W10223,W$256:W10222,0)),1,0))</f>
        <v/>
      </c>
      <c r="AA10223">
        <f>IF(Z10223&gt;Z10222,Z10223,"")</f>
        <v/>
      </c>
      <c r="AB10223">
        <f>AB10222+IF(X10223="",0,IF(ISNA(MATCH(X10223,X$256:X10222,0)),1,0))</f>
        <v/>
      </c>
      <c r="AC10223">
        <f>IF(AB10223&gt;AB10222,AB10223,"")</f>
        <v/>
      </c>
    </row>
    <row r="10224">
      <c r="W10224" s="7" t="n"/>
      <c r="X10224" s="7" t="n"/>
      <c r="Z10224">
        <f>Z10223+IF(W10224="",0,IF(ISNA(MATCH(W10224,W$256:W10223,0)),1,0))</f>
        <v/>
      </c>
      <c r="AA10224">
        <f>IF(Z10224&gt;Z10223,Z10224,"")</f>
        <v/>
      </c>
      <c r="AB10224">
        <f>AB10223+IF(X10224="",0,IF(ISNA(MATCH(X10224,X$256:X10223,0)),1,0))</f>
        <v/>
      </c>
      <c r="AC10224">
        <f>IF(AB10224&gt;AB10223,AB10224,"")</f>
        <v/>
      </c>
    </row>
    <row r="10225">
      <c r="W10225" s="7" t="n"/>
      <c r="X10225" s="7" t="n"/>
      <c r="Z10225">
        <f>Z10224+IF(W10225="",0,IF(ISNA(MATCH(W10225,W$256:W10224,0)),1,0))</f>
        <v/>
      </c>
      <c r="AA10225">
        <f>IF(Z10225&gt;Z10224,Z10225,"")</f>
        <v/>
      </c>
      <c r="AB10225">
        <f>AB10224+IF(X10225="",0,IF(ISNA(MATCH(X10225,X$256:X10224,0)),1,0))</f>
        <v/>
      </c>
      <c r="AC10225">
        <f>IF(AB10225&gt;AB10224,AB10225,"")</f>
        <v/>
      </c>
    </row>
    <row r="10226">
      <c r="W10226" s="7" t="n"/>
      <c r="X10226" s="7" t="n"/>
      <c r="Z10226">
        <f>Z10225+IF(W10226="",0,IF(ISNA(MATCH(W10226,W$256:W10225,0)),1,0))</f>
        <v/>
      </c>
      <c r="AA10226">
        <f>IF(Z10226&gt;Z10225,Z10226,"")</f>
        <v/>
      </c>
      <c r="AB10226">
        <f>AB10225+IF(X10226="",0,IF(ISNA(MATCH(X10226,X$256:X10225,0)),1,0))</f>
        <v/>
      </c>
      <c r="AC10226">
        <f>IF(AB10226&gt;AB10225,AB10226,"")</f>
        <v/>
      </c>
    </row>
    <row r="10227">
      <c r="W10227" s="7" t="n"/>
      <c r="X10227" s="7" t="n"/>
      <c r="Z10227">
        <f>Z10226+IF(W10227="",0,IF(ISNA(MATCH(W10227,W$256:W10226,0)),1,0))</f>
        <v/>
      </c>
      <c r="AA10227">
        <f>IF(Z10227&gt;Z10226,Z10227,"")</f>
        <v/>
      </c>
      <c r="AB10227">
        <f>AB10226+IF(X10227="",0,IF(ISNA(MATCH(X10227,X$256:X10226,0)),1,0))</f>
        <v/>
      </c>
      <c r="AC10227">
        <f>IF(AB10227&gt;AB10226,AB10227,"")</f>
        <v/>
      </c>
    </row>
    <row r="10228">
      <c r="W10228" s="7" t="n"/>
      <c r="X10228" s="7" t="n"/>
      <c r="Z10228">
        <f>Z10227+IF(W10228="",0,IF(ISNA(MATCH(W10228,W$256:W10227,0)),1,0))</f>
        <v/>
      </c>
      <c r="AA10228">
        <f>IF(Z10228&gt;Z10227,Z10228,"")</f>
        <v/>
      </c>
      <c r="AB10228">
        <f>AB10227+IF(X10228="",0,IF(ISNA(MATCH(X10228,X$256:X10227,0)),1,0))</f>
        <v/>
      </c>
      <c r="AC10228">
        <f>IF(AB10228&gt;AB10227,AB10228,"")</f>
        <v/>
      </c>
    </row>
    <row r="10229">
      <c r="W10229" s="7" t="n"/>
      <c r="X10229" s="7" t="n"/>
      <c r="Z10229">
        <f>Z10228+IF(W10229="",0,IF(ISNA(MATCH(W10229,W$256:W10228,0)),1,0))</f>
        <v/>
      </c>
      <c r="AA10229">
        <f>IF(Z10229&gt;Z10228,Z10229,"")</f>
        <v/>
      </c>
      <c r="AB10229">
        <f>AB10228+IF(X10229="",0,IF(ISNA(MATCH(X10229,X$256:X10228,0)),1,0))</f>
        <v/>
      </c>
      <c r="AC10229">
        <f>IF(AB10229&gt;AB10228,AB10229,"")</f>
        <v/>
      </c>
    </row>
    <row r="10230">
      <c r="W10230" s="7" t="n"/>
      <c r="X10230" s="7" t="n"/>
      <c r="Z10230">
        <f>Z10229+IF(W10230="",0,IF(ISNA(MATCH(W10230,W$256:W10229,0)),1,0))</f>
        <v/>
      </c>
      <c r="AA10230">
        <f>IF(Z10230&gt;Z10229,Z10230,"")</f>
        <v/>
      </c>
      <c r="AB10230">
        <f>AB10229+IF(X10230="",0,IF(ISNA(MATCH(X10230,X$256:X10229,0)),1,0))</f>
        <v/>
      </c>
      <c r="AC10230">
        <f>IF(AB10230&gt;AB10229,AB10230,"")</f>
        <v/>
      </c>
    </row>
    <row r="10231">
      <c r="W10231" s="7" t="n"/>
      <c r="X10231" s="7" t="n"/>
      <c r="Z10231">
        <f>Z10230+IF(W10231="",0,IF(ISNA(MATCH(W10231,W$256:W10230,0)),1,0))</f>
        <v/>
      </c>
      <c r="AA10231">
        <f>IF(Z10231&gt;Z10230,Z10231,"")</f>
        <v/>
      </c>
      <c r="AB10231">
        <f>AB10230+IF(X10231="",0,IF(ISNA(MATCH(X10231,X$256:X10230,0)),1,0))</f>
        <v/>
      </c>
      <c r="AC10231">
        <f>IF(AB10231&gt;AB10230,AB10231,"")</f>
        <v/>
      </c>
    </row>
    <row r="10232">
      <c r="W10232" s="7" t="n"/>
      <c r="X10232" s="7" t="n"/>
      <c r="Z10232">
        <f>Z10231+IF(W10232="",0,IF(ISNA(MATCH(W10232,W$256:W10231,0)),1,0))</f>
        <v/>
      </c>
      <c r="AA10232">
        <f>IF(Z10232&gt;Z10231,Z10232,"")</f>
        <v/>
      </c>
      <c r="AB10232">
        <f>AB10231+IF(X10232="",0,IF(ISNA(MATCH(X10232,X$256:X10231,0)),1,0))</f>
        <v/>
      </c>
      <c r="AC10232">
        <f>IF(AB10232&gt;AB10231,AB10232,"")</f>
        <v/>
      </c>
    </row>
    <row r="10233">
      <c r="W10233" s="7" t="n"/>
      <c r="X10233" s="7" t="n"/>
      <c r="Z10233">
        <f>Z10232+IF(W10233="",0,IF(ISNA(MATCH(W10233,W$256:W10232,0)),1,0))</f>
        <v/>
      </c>
      <c r="AA10233">
        <f>IF(Z10233&gt;Z10232,Z10233,"")</f>
        <v/>
      </c>
      <c r="AB10233">
        <f>AB10232+IF(X10233="",0,IF(ISNA(MATCH(X10233,X$256:X10232,0)),1,0))</f>
        <v/>
      </c>
      <c r="AC10233">
        <f>IF(AB10233&gt;AB10232,AB10233,"")</f>
        <v/>
      </c>
    </row>
    <row r="10234">
      <c r="W10234" s="7" t="n"/>
      <c r="X10234" s="7" t="n"/>
      <c r="Z10234">
        <f>Z10233+IF(W10234="",0,IF(ISNA(MATCH(W10234,W$256:W10233,0)),1,0))</f>
        <v/>
      </c>
      <c r="AA10234">
        <f>IF(Z10234&gt;Z10233,Z10234,"")</f>
        <v/>
      </c>
      <c r="AB10234">
        <f>AB10233+IF(X10234="",0,IF(ISNA(MATCH(X10234,X$256:X10233,0)),1,0))</f>
        <v/>
      </c>
      <c r="AC10234">
        <f>IF(AB10234&gt;AB10233,AB10234,"")</f>
        <v/>
      </c>
    </row>
    <row r="10235">
      <c r="W10235" s="7" t="n"/>
      <c r="X10235" s="7" t="n"/>
      <c r="Z10235">
        <f>Z10234+IF(W10235="",0,IF(ISNA(MATCH(W10235,W$256:W10234,0)),1,0))</f>
        <v/>
      </c>
      <c r="AA10235">
        <f>IF(Z10235&gt;Z10234,Z10235,"")</f>
        <v/>
      </c>
      <c r="AB10235">
        <f>AB10234+IF(X10235="",0,IF(ISNA(MATCH(X10235,X$256:X10234,0)),1,0))</f>
        <v/>
      </c>
      <c r="AC10235">
        <f>IF(AB10235&gt;AB10234,AB10235,"")</f>
        <v/>
      </c>
    </row>
    <row r="10236">
      <c r="W10236" s="7" t="n"/>
      <c r="X10236" s="7" t="n"/>
      <c r="Z10236">
        <f>Z10235+IF(W10236="",0,IF(ISNA(MATCH(W10236,W$256:W10235,0)),1,0))</f>
        <v/>
      </c>
      <c r="AA10236">
        <f>IF(Z10236&gt;Z10235,Z10236,"")</f>
        <v/>
      </c>
      <c r="AB10236">
        <f>AB10235+IF(X10236="",0,IF(ISNA(MATCH(X10236,X$256:X10235,0)),1,0))</f>
        <v/>
      </c>
      <c r="AC10236">
        <f>IF(AB10236&gt;AB10235,AB10236,"")</f>
        <v/>
      </c>
    </row>
    <row r="10237">
      <c r="W10237" s="7" t="n"/>
      <c r="X10237" s="7" t="n"/>
      <c r="Z10237">
        <f>Z10236+IF(W10237="",0,IF(ISNA(MATCH(W10237,W$256:W10236,0)),1,0))</f>
        <v/>
      </c>
      <c r="AA10237">
        <f>IF(Z10237&gt;Z10236,Z10237,"")</f>
        <v/>
      </c>
      <c r="AB10237">
        <f>AB10236+IF(X10237="",0,IF(ISNA(MATCH(X10237,X$256:X10236,0)),1,0))</f>
        <v/>
      </c>
      <c r="AC10237">
        <f>IF(AB10237&gt;AB10236,AB10237,"")</f>
        <v/>
      </c>
    </row>
    <row r="10238">
      <c r="W10238" s="7" t="n"/>
      <c r="X10238" s="7" t="n"/>
      <c r="Z10238">
        <f>Z10237+IF(W10238="",0,IF(ISNA(MATCH(W10238,W$256:W10237,0)),1,0))</f>
        <v/>
      </c>
      <c r="AA10238">
        <f>IF(Z10238&gt;Z10237,Z10238,"")</f>
        <v/>
      </c>
      <c r="AB10238">
        <f>AB10237+IF(X10238="",0,IF(ISNA(MATCH(X10238,X$256:X10237,0)),1,0))</f>
        <v/>
      </c>
      <c r="AC10238">
        <f>IF(AB10238&gt;AB10237,AB10238,"")</f>
        <v/>
      </c>
    </row>
    <row r="10239">
      <c r="W10239" s="7" t="n"/>
      <c r="X10239" s="7" t="n"/>
      <c r="Z10239">
        <f>Z10238+IF(W10239="",0,IF(ISNA(MATCH(W10239,W$256:W10238,0)),1,0))</f>
        <v/>
      </c>
      <c r="AA10239">
        <f>IF(Z10239&gt;Z10238,Z10239,"")</f>
        <v/>
      </c>
      <c r="AB10239">
        <f>AB10238+IF(X10239="",0,IF(ISNA(MATCH(X10239,X$256:X10238,0)),1,0))</f>
        <v/>
      </c>
      <c r="AC10239">
        <f>IF(AB10239&gt;AB10238,AB10239,"")</f>
        <v/>
      </c>
    </row>
    <row r="10240">
      <c r="W10240" s="7" t="n"/>
      <c r="X10240" s="7" t="n"/>
      <c r="Z10240">
        <f>Z10239+IF(W10240="",0,IF(ISNA(MATCH(W10240,W$256:W10239,0)),1,0))</f>
        <v/>
      </c>
      <c r="AA10240">
        <f>IF(Z10240&gt;Z10239,Z10240,"")</f>
        <v/>
      </c>
      <c r="AB10240">
        <f>AB10239+IF(X10240="",0,IF(ISNA(MATCH(X10240,X$256:X10239,0)),1,0))</f>
        <v/>
      </c>
      <c r="AC10240">
        <f>IF(AB10240&gt;AB10239,AB10240,"")</f>
        <v/>
      </c>
    </row>
    <row r="10241">
      <c r="W10241" s="7" t="n"/>
      <c r="X10241" s="7" t="n"/>
      <c r="Z10241">
        <f>Z10240+IF(W10241="",0,IF(ISNA(MATCH(W10241,W$256:W10240,0)),1,0))</f>
        <v/>
      </c>
      <c r="AA10241">
        <f>IF(Z10241&gt;Z10240,Z10241,"")</f>
        <v/>
      </c>
      <c r="AB10241">
        <f>AB10240+IF(X10241="",0,IF(ISNA(MATCH(X10241,X$256:X10240,0)),1,0))</f>
        <v/>
      </c>
      <c r="AC10241">
        <f>IF(AB10241&gt;AB10240,AB10241,"")</f>
        <v/>
      </c>
    </row>
    <row r="10242">
      <c r="W10242" s="7" t="n"/>
      <c r="X10242" s="7" t="n"/>
      <c r="Z10242">
        <f>Z10241+IF(W10242="",0,IF(ISNA(MATCH(W10242,W$256:W10241,0)),1,0))</f>
        <v/>
      </c>
      <c r="AA10242">
        <f>IF(Z10242&gt;Z10241,Z10242,"")</f>
        <v/>
      </c>
      <c r="AB10242">
        <f>AB10241+IF(X10242="",0,IF(ISNA(MATCH(X10242,X$256:X10241,0)),1,0))</f>
        <v/>
      </c>
      <c r="AC10242">
        <f>IF(AB10242&gt;AB10241,AB10242,"")</f>
        <v/>
      </c>
    </row>
    <row r="10243">
      <c r="W10243" s="7" t="n"/>
      <c r="X10243" s="7" t="n"/>
      <c r="Z10243">
        <f>Z10242+IF(W10243="",0,IF(ISNA(MATCH(W10243,W$256:W10242,0)),1,0))</f>
        <v/>
      </c>
      <c r="AA10243">
        <f>IF(Z10243&gt;Z10242,Z10243,"")</f>
        <v/>
      </c>
      <c r="AB10243">
        <f>AB10242+IF(X10243="",0,IF(ISNA(MATCH(X10243,X$256:X10242,0)),1,0))</f>
        <v/>
      </c>
      <c r="AC10243">
        <f>IF(AB10243&gt;AB10242,AB10243,"")</f>
        <v/>
      </c>
    </row>
    <row r="10244">
      <c r="W10244" s="7" t="n"/>
      <c r="X10244" s="7" t="n"/>
      <c r="Z10244">
        <f>Z10243+IF(W10244="",0,IF(ISNA(MATCH(W10244,W$256:W10243,0)),1,0))</f>
        <v/>
      </c>
      <c r="AA10244">
        <f>IF(Z10244&gt;Z10243,Z10244,"")</f>
        <v/>
      </c>
      <c r="AB10244">
        <f>AB10243+IF(X10244="",0,IF(ISNA(MATCH(X10244,X$256:X10243,0)),1,0))</f>
        <v/>
      </c>
      <c r="AC10244">
        <f>IF(AB10244&gt;AB10243,AB10244,"")</f>
        <v/>
      </c>
    </row>
    <row r="10245">
      <c r="W10245" s="7" t="n"/>
      <c r="X10245" s="7" t="n"/>
      <c r="Z10245">
        <f>Z10244+IF(W10245="",0,IF(ISNA(MATCH(W10245,W$256:W10244,0)),1,0))</f>
        <v/>
      </c>
      <c r="AA10245">
        <f>IF(Z10245&gt;Z10244,Z10245,"")</f>
        <v/>
      </c>
      <c r="AB10245">
        <f>AB10244+IF(X10245="",0,IF(ISNA(MATCH(X10245,X$256:X10244,0)),1,0))</f>
        <v/>
      </c>
      <c r="AC10245">
        <f>IF(AB10245&gt;AB10244,AB10245,"")</f>
        <v/>
      </c>
    </row>
    <row r="10246">
      <c r="W10246" s="7" t="n"/>
      <c r="X10246" s="7" t="n"/>
      <c r="Z10246">
        <f>Z10245+IF(W10246="",0,IF(ISNA(MATCH(W10246,W$256:W10245,0)),1,0))</f>
        <v/>
      </c>
      <c r="AA10246">
        <f>IF(Z10246&gt;Z10245,Z10246,"")</f>
        <v/>
      </c>
      <c r="AB10246">
        <f>AB10245+IF(X10246="",0,IF(ISNA(MATCH(X10246,X$256:X10245,0)),1,0))</f>
        <v/>
      </c>
      <c r="AC10246">
        <f>IF(AB10246&gt;AB10245,AB10246,"")</f>
        <v/>
      </c>
    </row>
    <row r="10247">
      <c r="W10247" s="7" t="n"/>
      <c r="X10247" s="7" t="n"/>
      <c r="Z10247">
        <f>Z10246+IF(W10247="",0,IF(ISNA(MATCH(W10247,W$256:W10246,0)),1,0))</f>
        <v/>
      </c>
      <c r="AA10247">
        <f>IF(Z10247&gt;Z10246,Z10247,"")</f>
        <v/>
      </c>
      <c r="AB10247">
        <f>AB10246+IF(X10247="",0,IF(ISNA(MATCH(X10247,X$256:X10246,0)),1,0))</f>
        <v/>
      </c>
      <c r="AC10247">
        <f>IF(AB10247&gt;AB10246,AB10247,"")</f>
        <v/>
      </c>
    </row>
    <row r="10248">
      <c r="W10248" s="7" t="n"/>
      <c r="X10248" s="7" t="n"/>
      <c r="Z10248">
        <f>Z10247+IF(W10248="",0,IF(ISNA(MATCH(W10248,W$256:W10247,0)),1,0))</f>
        <v/>
      </c>
      <c r="AA10248">
        <f>IF(Z10248&gt;Z10247,Z10248,"")</f>
        <v/>
      </c>
      <c r="AB10248">
        <f>AB10247+IF(X10248="",0,IF(ISNA(MATCH(X10248,X$256:X10247,0)),1,0))</f>
        <v/>
      </c>
      <c r="AC10248">
        <f>IF(AB10248&gt;AB10247,AB10248,"")</f>
        <v/>
      </c>
    </row>
    <row r="10249">
      <c r="W10249" s="7" t="n"/>
      <c r="X10249" s="7" t="n"/>
      <c r="Z10249">
        <f>Z10248+IF(W10249="",0,IF(ISNA(MATCH(W10249,W$256:W10248,0)),1,0))</f>
        <v/>
      </c>
      <c r="AA10249">
        <f>IF(Z10249&gt;Z10248,Z10249,"")</f>
        <v/>
      </c>
      <c r="AB10249">
        <f>AB10248+IF(X10249="",0,IF(ISNA(MATCH(X10249,X$256:X10248,0)),1,0))</f>
        <v/>
      </c>
      <c r="AC10249">
        <f>IF(AB10249&gt;AB10248,AB10249,"")</f>
        <v/>
      </c>
    </row>
    <row r="10250">
      <c r="W10250" s="7" t="n"/>
      <c r="X10250" s="7" t="n"/>
      <c r="Z10250">
        <f>Z10249+IF(W10250="",0,IF(ISNA(MATCH(W10250,W$256:W10249,0)),1,0))</f>
        <v/>
      </c>
      <c r="AA10250">
        <f>IF(Z10250&gt;Z10249,Z10250,"")</f>
        <v/>
      </c>
      <c r="AB10250">
        <f>AB10249+IF(X10250="",0,IF(ISNA(MATCH(X10250,X$256:X10249,0)),1,0))</f>
        <v/>
      </c>
      <c r="AC10250">
        <f>IF(AB10250&gt;AB10249,AB10250,"")</f>
        <v/>
      </c>
    </row>
    <row r="10251">
      <c r="W10251" s="7" t="n"/>
      <c r="X10251" s="7" t="n"/>
      <c r="Z10251">
        <f>Z10250+IF(W10251="",0,IF(ISNA(MATCH(W10251,W$256:W10250,0)),1,0))</f>
        <v/>
      </c>
      <c r="AA10251">
        <f>IF(Z10251&gt;Z10250,Z10251,"")</f>
        <v/>
      </c>
      <c r="AB10251">
        <f>AB10250+IF(X10251="",0,IF(ISNA(MATCH(X10251,X$256:X10250,0)),1,0))</f>
        <v/>
      </c>
      <c r="AC10251">
        <f>IF(AB10251&gt;AB10250,AB10251,"")</f>
        <v/>
      </c>
    </row>
    <row r="10252">
      <c r="W10252" s="7" t="n"/>
      <c r="X10252" s="7" t="n"/>
      <c r="Z10252">
        <f>Z10251+IF(W10252="",0,IF(ISNA(MATCH(W10252,W$256:W10251,0)),1,0))</f>
        <v/>
      </c>
      <c r="AA10252">
        <f>IF(Z10252&gt;Z10251,Z10252,"")</f>
        <v/>
      </c>
      <c r="AB10252">
        <f>AB10251+IF(X10252="",0,IF(ISNA(MATCH(X10252,X$256:X10251,0)),1,0))</f>
        <v/>
      </c>
      <c r="AC10252">
        <f>IF(AB10252&gt;AB10251,AB10252,"")</f>
        <v/>
      </c>
    </row>
    <row r="10253">
      <c r="W10253" s="7" t="n"/>
      <c r="X10253" s="7" t="n"/>
      <c r="Z10253">
        <f>Z10252+IF(W10253="",0,IF(ISNA(MATCH(W10253,W$256:W10252,0)),1,0))</f>
        <v/>
      </c>
      <c r="AA10253">
        <f>IF(Z10253&gt;Z10252,Z10253,"")</f>
        <v/>
      </c>
      <c r="AB10253">
        <f>AB10252+IF(X10253="",0,IF(ISNA(MATCH(X10253,X$256:X10252,0)),1,0))</f>
        <v/>
      </c>
      <c r="AC10253">
        <f>IF(AB10253&gt;AB10252,AB10253,"")</f>
        <v/>
      </c>
    </row>
    <row r="10254">
      <c r="W10254" s="7" t="n"/>
      <c r="X10254" s="7" t="n"/>
      <c r="Z10254">
        <f>Z10253+IF(W10254="",0,IF(ISNA(MATCH(W10254,W$256:W10253,0)),1,0))</f>
        <v/>
      </c>
      <c r="AA10254">
        <f>IF(Z10254&gt;Z10253,Z10254,"")</f>
        <v/>
      </c>
      <c r="AB10254">
        <f>AB10253+IF(X10254="",0,IF(ISNA(MATCH(X10254,X$256:X10253,0)),1,0))</f>
        <v/>
      </c>
      <c r="AC10254">
        <f>IF(AB10254&gt;AB10253,AB10254,"")</f>
        <v/>
      </c>
    </row>
    <row r="10255">
      <c r="W10255" s="7" t="n"/>
      <c r="X10255" s="7" t="n"/>
      <c r="Z10255">
        <f>Z10254+IF(W10255="",0,IF(ISNA(MATCH(W10255,W$256:W10254,0)),1,0))</f>
        <v/>
      </c>
      <c r="AA10255">
        <f>IF(Z10255&gt;Z10254,Z10255,"")</f>
        <v/>
      </c>
      <c r="AB10255">
        <f>AB10254+IF(X10255="",0,IF(ISNA(MATCH(X10255,X$256:X10254,0)),1,0))</f>
        <v/>
      </c>
      <c r="AC10255">
        <f>IF(AB10255&gt;AB10254,AB10255,"")</f>
        <v/>
      </c>
    </row>
    <row r="10256">
      <c r="W10256" s="7" t="n"/>
      <c r="X10256" s="7" t="n"/>
      <c r="Z10256">
        <f>Z10255+IF(W10256="",0,IF(ISNA(MATCH(W10256,W$256:W10255,0)),1,0))</f>
        <v/>
      </c>
      <c r="AA10256">
        <f>IF(Z10256&gt;Z10255,Z10256,"")</f>
        <v/>
      </c>
      <c r="AB10256">
        <f>AB10255+IF(X10256="",0,IF(ISNA(MATCH(X10256,X$256:X10255,0)),1,0))</f>
        <v/>
      </c>
      <c r="AC10256">
        <f>IF(AB10256&gt;AB10255,AB10256,"")</f>
        <v/>
      </c>
    </row>
  </sheetData>
  <dataValidations count="6">
    <dataValidation sqref="B21" showDropDown="0" showInputMessage="0" showErrorMessage="1" allowBlank="1" errorTitle="Kies uit de lijst" error="Kies een waarde uit de keuzelijst." type="list">
      <formula1>$D$10:$D$11</formula1>
    </dataValidation>
    <dataValidation sqref="B24" showDropDown="0" showInputMessage="0" showErrorMessage="1" allowBlank="1" errorTitle="Kies uit de lijst" error="Kies een waarde uit de keuzelijst." type="list">
      <formula1>$D$10:$D$12</formula1>
    </dataValidation>
    <dataValidation sqref="B22" showDropDown="0" showInputMessage="0" showErrorMessage="1" allowBlank="1" errorTitle="Kies uit de lijst" error="Kies een waarde uit de keuzelijst." type="list">
      <formula1>"is,is niet"</formula1>
    </dataValidation>
    <dataValidation sqref="B25" showDropDown="0" showInputMessage="0" showErrorMessage="1" allowBlank="1" errorTitle="Kies uit de lijst" error="Kies een waarde uit de keuzelijst." type="list">
      <formula1>"is,is niet"</formula1>
    </dataValidation>
    <dataValidation sqref="B23" showDropDown="0" showInputMessage="0" showErrorMessage="1" allowBlank="1" errorTitle="Kies uit de lijst" error="Kies een waarde uit de keuzelijst." type="list">
      <formula1>$X$54:$X$73</formula1>
    </dataValidation>
    <dataValidation sqref="B26" showDropDown="0" showInputMessage="0" showErrorMessage="1" allowBlank="1" errorTitle="Kies uit de lijst" error="Kies een waarde uit de keuzelijst." type="list">
      <formula1>$Y$54:$Y$73</formula1>
    </dataValidation>
  </dataValidations>
  <hyperlinks>
    <hyperlink xmlns:r="http://schemas.openxmlformats.org/officeDocument/2006/relationships" ref="L14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106"/>
  <sheetViews>
    <sheetView workbookViewId="0">
      <selection activeCell="A1" sqref="A1"/>
    </sheetView>
  </sheetViews>
  <sheetFormatPr baseColWidth="8" defaultRowHeight="15"/>
  <cols>
    <col width="6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Extra: rekenblokken uit Six Sigma For Dummies en Harry &amp; Schroeder (niet te kennen voor het examen)</t>
        </is>
      </c>
    </row>
    <row r="2">
      <c r="A2" s="2" t="inlineStr">
        <is>
          <t>Bron in de cursus</t>
        </is>
      </c>
      <c r="B2" s="3" t="inlineStr">
        <is>
          <t>source/course/Les 4/Six Sigma For Dummies.pdf p. 38-39, 114-116, 147-156, 249-256; source/course/Les 4/Six-Sigma Mikel Harry -  Richard Schroeder.pdf p. 3-5</t>
        </is>
      </c>
    </row>
    <row r="3">
      <c r="A3" s="2" t="inlineStr">
        <is>
          <t>Gebruikte conventie</t>
        </is>
      </c>
      <c r="B3" s="3" t="inlineStr">
        <is>
          <t>Formules zoals in het boek; yields als fracties (0,95 = 95 %). Sigmaniveau met de 1,5σ-verschuiving (1.5σ shift) van de cursus (deck p. 37, beslissing 3); d2, D3, D4 voor n = 2 uit Tabel 18, E2 uit Six Sigma Demystified (beslissing 4); een negatieve ondergrens wordt 0.</t>
        </is>
      </c>
    </row>
    <row r="4">
      <c r="A4" s="2" t="inlineStr">
        <is>
          <t>Status</t>
        </is>
      </c>
      <c r="B4" s="4" t="inlineStr">
        <is>
          <t>GEVERIFIEERD (VERIFIED): getest tegen de uitgewerkte voorbeelden uit de boeken S07-WE01, S08-WE01 tot S08-WE04, S08-WE21, S09-WE01, S09-WE03 tot S09-WE06; enkele gedrukte waarden wijken af (zie resources/build/README.md)</t>
        </is>
      </c>
    </row>
    <row r="5">
      <c r="A5" s="2" t="inlineStr">
        <is>
          <t>Legende</t>
        </is>
      </c>
      <c r="B5" s="3" t="inlineStr">
        <is>
          <t>Gele cel = vul hier in (invoer).  Groene cel = resultaat, niet overtypen.  Oranje cel (Tabellen) = verschilt van een andere gedrukte bron.</t>
        </is>
      </c>
    </row>
    <row r="6">
      <c r="A6" s="2" t="inlineStr">
        <is>
          <t>Controle</t>
        </is>
      </c>
      <c r="B6" s="3" t="inlineStr">
        <is>
          <t>Blijft een groene cel leeg, dan ontbreekt nog een invoer die ze nodig heeft.</t>
        </is>
      </c>
    </row>
    <row r="7">
      <c r="A7" s="9" t="inlineStr">
        <is>
          <t>Six Sigma For Dummies en Harry &amp; Schroeder zijn niet te kennen voor het examen. Deze blokken komen alleen uit die boeken; de cursus zelf (deck, tabellen, oefenwerkboeken) behandelt ze niet.</t>
        </is>
      </c>
    </row>
    <row r="9">
      <c r="A9" s="5" t="inlineStr">
        <is>
          <t>1. Defecten per eenheid (defects per unit, DPU) en throughput yield</t>
        </is>
      </c>
    </row>
    <row r="10">
      <c r="A10" s="6" t="inlineStr">
        <is>
          <t>D = aantal waargenomen defecten</t>
        </is>
      </c>
      <c r="B10" s="7" t="n"/>
    </row>
    <row r="11">
      <c r="A11" s="6" t="inlineStr">
        <is>
          <t>N = aantal geïnspecteerde eenheden</t>
        </is>
      </c>
      <c r="B11" s="7" t="n"/>
    </row>
    <row r="12">
      <c r="A12" s="6" t="inlineStr">
        <is>
          <t>DPU = D / N</t>
        </is>
      </c>
      <c r="B12" s="11">
        <f>IF(AND(ISNUMBER(B10),ISNUMBER(B11),B11&gt;0),B10/B11,"")</f>
        <v/>
      </c>
      <c r="C12" s="8" t="inlineStr">
        <is>
          <t>Dummies p. 152; Harry &amp; Schroeder p. 5</t>
        </is>
      </c>
    </row>
    <row r="13">
      <c r="A13" s="6" t="inlineStr">
        <is>
          <t>Throughput yield TY = 1 − DPU</t>
        </is>
      </c>
      <c r="B13" s="14">
        <f>IF(ISNUMBER(B12),1-B12,"")</f>
        <v/>
      </c>
      <c r="C13" s="8" t="inlineStr">
        <is>
          <t>Harry &amp; Schroeder p. 5 (defects/unit 5 % -&gt; TY 95 %)</t>
        </is>
      </c>
    </row>
    <row r="14">
      <c r="A14" s="6" t="inlineStr">
        <is>
          <t>RTY ≈ e^(−DPU)</t>
        </is>
      </c>
      <c r="B14" s="14">
        <f>IF(ISNUMBER(B12),EXP(-B12),"")</f>
        <v/>
      </c>
      <c r="C14" s="8" t="inlineStr">
        <is>
          <t>Dummies p. 156 (geldig als DPU klein is, bv. &lt; 0,10)</t>
        </is>
      </c>
    </row>
    <row r="16">
      <c r="A16" s="5" t="inlineStr">
        <is>
          <t>2. Traditionele yield (Y) en first-time yield (FTY)</t>
        </is>
      </c>
    </row>
    <row r="17">
      <c r="A17" s="6" t="inlineStr">
        <is>
          <t>Eenheden in (units in)</t>
        </is>
      </c>
      <c r="B17" s="7" t="n"/>
    </row>
    <row r="18">
      <c r="A18" s="6" t="inlineStr">
        <is>
          <t>Eenheden uit (goed op het einde, na herwerking)</t>
        </is>
      </c>
      <c r="B18" s="7" t="n"/>
    </row>
    <row r="19">
      <c r="A19" s="6" t="inlineStr">
        <is>
          <t>Afgekeurde eenheden (scrapped)</t>
        </is>
      </c>
      <c r="B19" s="7" t="n"/>
    </row>
    <row r="20">
      <c r="A20" s="6" t="inlineStr">
        <is>
          <t>Herwerkte eenheden (reworked, daarna goed)</t>
        </is>
      </c>
      <c r="B20" s="7" t="n"/>
    </row>
    <row r="21">
      <c r="A21" s="6" t="inlineStr">
        <is>
          <t>Traditionele yield Y = uit / in</t>
        </is>
      </c>
      <c r="B21" s="14">
        <f>IF(AND(AND(ISNUMBER(B17),B17&gt;0),ISNUMBER(B18)),B18/B17,"")</f>
        <v/>
      </c>
      <c r="C21" s="8" t="inlineStr">
        <is>
          <t>Dummies p. 147, 151</t>
        </is>
      </c>
    </row>
    <row r="22">
      <c r="A22" s="6" t="inlineStr">
        <is>
          <t>First-time yield FTY = (in − afgekeurd − herwerkt) / in</t>
        </is>
      </c>
      <c r="B22" s="14">
        <f>IF(AND(AND(ISNUMBER(B17),B17&gt;0),ISNUMBER(B19),ISNUMBER(B20)),(B17-B19-B20)/B17,"")</f>
        <v/>
      </c>
      <c r="C22" s="8" t="inlineStr">
        <is>
          <t>Dummies p. 148, 151</t>
        </is>
      </c>
    </row>
    <row r="23">
      <c r="A23" s="6" t="inlineStr">
        <is>
          <t>Verborgen fabriek (hidden factory) = Y − FTY</t>
        </is>
      </c>
      <c r="B23" s="14">
        <f>IF(AND(ISNUMBER(B21),ISNUMBER(B22)),B21-B22,"")</f>
        <v/>
      </c>
      <c r="C23" s="8" t="inlineStr">
        <is>
          <t>Dummies p. 148; Harry &amp; Schroeder p. 4</t>
        </is>
      </c>
    </row>
    <row r="25">
      <c r="A25" s="5" t="inlineStr">
        <is>
          <t>3. Rolled throughput yield (RTY) uit de yield van elke stap (tot 10 stappen, als fracties)</t>
        </is>
      </c>
    </row>
    <row r="26">
      <c r="A26" s="6" t="inlineStr">
        <is>
          <t>Yield van stap 1</t>
        </is>
      </c>
      <c r="B26" s="7" t="n"/>
      <c r="C26" s="8" t="inlineStr">
        <is>
          <t>bv. 0,95</t>
        </is>
      </c>
    </row>
    <row r="27">
      <c r="A27" s="6" t="inlineStr">
        <is>
          <t>Yield van stap 2</t>
        </is>
      </c>
      <c r="B27" s="7" t="n"/>
    </row>
    <row r="28">
      <c r="A28" s="6" t="inlineStr">
        <is>
          <t>Yield van stap 3</t>
        </is>
      </c>
      <c r="B28" s="7" t="n"/>
    </row>
    <row r="29">
      <c r="A29" s="6" t="inlineStr">
        <is>
          <t>Yield van stap 4</t>
        </is>
      </c>
      <c r="B29" s="7" t="n"/>
    </row>
    <row r="30">
      <c r="A30" s="6" t="inlineStr">
        <is>
          <t>Yield van stap 5</t>
        </is>
      </c>
      <c r="B30" s="7" t="n"/>
    </row>
    <row r="31">
      <c r="A31" s="6" t="inlineStr">
        <is>
          <t>Yield van stap 6</t>
        </is>
      </c>
      <c r="B31" s="7" t="n"/>
    </row>
    <row r="32">
      <c r="A32" s="6" t="inlineStr">
        <is>
          <t>Yield van stap 7</t>
        </is>
      </c>
      <c r="B32" s="7" t="n"/>
    </row>
    <row r="33">
      <c r="A33" s="6" t="inlineStr">
        <is>
          <t>Yield van stap 8</t>
        </is>
      </c>
      <c r="B33" s="7" t="n"/>
    </row>
    <row r="34">
      <c r="A34" s="6" t="inlineStr">
        <is>
          <t>Yield van stap 9</t>
        </is>
      </c>
      <c r="B34" s="7" t="n"/>
    </row>
    <row r="35">
      <c r="A35" s="6" t="inlineStr">
        <is>
          <t>Yield van stap 10</t>
        </is>
      </c>
      <c r="B35" s="7" t="n"/>
    </row>
    <row r="36">
      <c r="A36" s="6" t="inlineStr">
        <is>
          <t>Aantal stappen k</t>
        </is>
      </c>
      <c r="B36" s="28">
        <f>IF(COUNT(B26:B35)&gt;0,COUNT(B26:B35),"")</f>
        <v/>
      </c>
    </row>
    <row r="37">
      <c r="A37" s="6" t="inlineStr">
        <is>
          <t>RTY = product van de stapyields</t>
        </is>
      </c>
      <c r="B37" s="14">
        <f>IF(COUNT(B26:B35)&gt;0,PRODUCT(B26:B35),"")</f>
        <v/>
      </c>
      <c r="C37" s="8" t="inlineStr">
        <is>
          <t>Dummies p. 150; Harry &amp; Schroeder p. 5</t>
        </is>
      </c>
    </row>
    <row r="38">
      <c r="A38" s="6" t="inlineStr">
        <is>
          <t>Genormaliseerde yield (normalized yield) NY = k-de machtswortel van RTY</t>
        </is>
      </c>
      <c r="B38" s="14">
        <f>IF(ISNUMBER(B37),B37^(1/B36),"")</f>
        <v/>
      </c>
      <c r="C38" s="8" t="inlineStr">
        <is>
          <t>Harry &amp; Schroeder p. 5</t>
        </is>
      </c>
    </row>
    <row r="40">
      <c r="A40" s="5" t="inlineStr">
        <is>
          <t>4. Uit een gekende RTY</t>
        </is>
      </c>
    </row>
    <row r="41">
      <c r="A41" s="6" t="inlineStr">
        <is>
          <t>RTY</t>
        </is>
      </c>
      <c r="B41" s="22" t="n"/>
      <c r="C41" s="8" t="inlineStr">
        <is>
          <t>leeg laten om de RTY van deel 3 te gebruiken</t>
        </is>
      </c>
    </row>
    <row r="42">
      <c r="A42" s="6" t="inlineStr">
        <is>
          <t>Aantal stappen k</t>
        </is>
      </c>
      <c r="B42" s="7" t="n"/>
      <c r="C42" s="8" t="inlineStr">
        <is>
          <t>leeg laten om k van deel 3 te gebruiken</t>
        </is>
      </c>
    </row>
    <row r="43">
      <c r="A43" s="6" t="inlineStr">
        <is>
          <t>Gebruikte RTY</t>
        </is>
      </c>
      <c r="B43" s="14">
        <f>IF(ISNUMBER(B41),B41,IF(ISNUMBER(B37),B37,""))</f>
        <v/>
      </c>
    </row>
    <row r="44">
      <c r="A44" s="6" t="inlineStr">
        <is>
          <t>Gebruikte k</t>
        </is>
      </c>
      <c r="B44" s="28">
        <f>IF(ISNUMBER(B42),B42,IF(ISNUMBER(B36),B36,""))</f>
        <v/>
      </c>
    </row>
    <row r="45">
      <c r="A45" s="6" t="inlineStr">
        <is>
          <t>Genormaliseerde yield NY = RTY^(1/k)</t>
        </is>
      </c>
      <c r="B45" s="14">
        <f>IF(AND(AND(ISNUMBER(B43),B43&gt;0,B43&lt;=1),ISNUMBER(B44),B44&gt;0),B43^(1/B44),"")</f>
        <v/>
      </c>
      <c r="C45" s="8" t="inlineStr">
        <is>
          <t>Harry &amp; Schroeder p. 5 ('kth root of RTY')</t>
        </is>
      </c>
    </row>
    <row r="46">
      <c r="A46" s="6" t="inlineStr">
        <is>
          <t>DPU = −ln(RTY)</t>
        </is>
      </c>
      <c r="B46" s="11">
        <f>IF(AND(ISNUMBER(B43),B43&gt;0,B43&lt;=1),-LN(B43),"")</f>
        <v/>
      </c>
      <c r="C46" s="8" t="inlineStr">
        <is>
          <t>Dummies p. 156</t>
        </is>
      </c>
    </row>
    <row r="47">
      <c r="A47" s="6" t="inlineStr">
        <is>
          <t>Eenheden nodig per defectvrije eenheid, defecten herstelbaar: 1 + (1 − RTY)</t>
        </is>
      </c>
      <c r="B47" s="12">
        <f>IF(AND(ISNUMBER(B43),B43&gt;0,B43&lt;=1),1+(1-B43),"")</f>
        <v/>
      </c>
      <c r="C47" s="8" t="inlineStr">
        <is>
          <t>Harry &amp; Schroeder p. 5</t>
        </is>
      </c>
    </row>
    <row r="48">
      <c r="A48" s="6" t="inlineStr">
        <is>
          <t>Eenheden nodig per defectvrije eenheid, defecte stuks afgekeurd: 1 / RTY</t>
        </is>
      </c>
      <c r="B48" s="12">
        <f>IF(AND(ISNUMBER(B43),B43&gt;0,B43&lt;=1),1/B43,"")</f>
        <v/>
      </c>
      <c r="C48" s="8" t="inlineStr">
        <is>
          <t>Harry &amp; Schroeder p. 5</t>
        </is>
      </c>
    </row>
    <row r="50">
      <c r="A50" s="5" t="inlineStr">
        <is>
          <t>5. k identieke stappen (bv. dobbelstenen: kans 5/6 per dobbelsteen op geen '1')</t>
        </is>
      </c>
    </row>
    <row r="51">
      <c r="A51" s="6" t="inlineStr">
        <is>
          <t>Yield van één stap (fractie)</t>
        </is>
      </c>
      <c r="B51" s="22" t="n"/>
    </row>
    <row r="52">
      <c r="A52" s="6" t="inlineStr">
        <is>
          <t>Aantal stappen k</t>
        </is>
      </c>
      <c r="B52" s="7" t="n"/>
    </row>
    <row r="53">
      <c r="A53" s="6" t="inlineStr">
        <is>
          <t>RTY = yield^k</t>
        </is>
      </c>
      <c r="B53" s="46">
        <f>IF(AND(ISNUMBER(B51),ISNUMBER(B52)),B51^B52,"")</f>
        <v/>
      </c>
      <c r="C53" s="8" t="inlineStr">
        <is>
          <t>Dummies p. 38-39 (dobbelstenen)</t>
        </is>
      </c>
    </row>
    <row r="54">
      <c r="A54" s="6" t="inlineStr">
        <is>
          <t>Dat is één op … (1 / RTY)</t>
        </is>
      </c>
      <c r="B54" s="15">
        <f>IF(AND(ISNUMBER(B53),B53&gt;0),1/B53,"")</f>
        <v/>
      </c>
    </row>
    <row r="56">
      <c r="A56" s="5" t="inlineStr">
        <is>
          <t>6. Gemiddelde yield per defectkans (vergelijk producten van verschillende complexiteit)</t>
        </is>
      </c>
    </row>
    <row r="57">
      <c r="A57" s="6" t="inlineStr">
        <is>
          <t>Eindyield van het product (fractie)</t>
        </is>
      </c>
      <c r="B57" s="22" t="n"/>
      <c r="C57" s="8" t="inlineStr">
        <is>
          <t>bv. 0,85</t>
        </is>
      </c>
    </row>
    <row r="58">
      <c r="A58" s="6" t="inlineStr">
        <is>
          <t>Aantal defectkansen (defect opportunities)</t>
        </is>
      </c>
      <c r="B58" s="7" t="n"/>
      <c r="C58" s="8" t="inlineStr">
        <is>
          <t>bv. 600</t>
        </is>
      </c>
    </row>
    <row r="59">
      <c r="A59" s="6" t="inlineStr">
        <is>
          <t>Yield per kans = yield^(1 / kansen)</t>
        </is>
      </c>
      <c r="B59" s="14">
        <f>IF(AND(ISNUMBER(B57),B57&gt;0,B57&lt;=1,ISNUMBER(B58),B58&gt;0),B57^(1/B58),"")</f>
        <v/>
      </c>
      <c r="C59" s="8" t="inlineStr">
        <is>
          <t>Harry &amp; Schroeder p. 3</t>
        </is>
      </c>
    </row>
    <row r="60">
      <c r="A60" s="6" t="inlineStr">
        <is>
          <t>DPMO = (1 − yield per kans) · 1 000 000</t>
        </is>
      </c>
      <c r="B60" s="15">
        <f>IF(ISNUMBER(B59),(1-B59)*1000000,"")</f>
        <v/>
      </c>
    </row>
    <row r="61">
      <c r="A61" s="6" t="inlineStr">
        <is>
          <t>Z zonder verschuiving</t>
        </is>
      </c>
      <c r="B61" s="12">
        <f>IF(AND(ISNUMBER(B59),B59&lt;1),_xlfn.NORM.S.INV(B59),"")</f>
        <v/>
      </c>
      <c r="C61" s="8" t="inlineStr">
        <is>
          <t>Harry &amp; Schroeder p. 3 gebruikt deze lezing ('about 3.5 sigma')</t>
        </is>
      </c>
    </row>
    <row r="62">
      <c r="A62" s="6" t="inlineStr">
        <is>
          <t>Sigmaniveau met de 1,5σ-verschuiving</t>
        </is>
      </c>
      <c r="B62" s="12">
        <f>IF(ISNUMBER(B61),B61+B63,"")</f>
        <v/>
      </c>
    </row>
    <row r="63">
      <c r="A63" s="6" t="inlineStr">
        <is>
          <t>Verschuiving die de cursus aanneemt (σ)</t>
        </is>
      </c>
      <c r="B63" s="19" t="n">
        <v>1.5</v>
      </c>
      <c r="C63" s="8" t="inlineStr">
        <is>
          <t>deck p. 37</t>
        </is>
      </c>
    </row>
    <row r="65">
      <c r="A65" s="5" t="inlineStr">
        <is>
          <t>7. Capabiliteit met σ̂ = MR̄ / 1,128 (individuele waarden)</t>
        </is>
      </c>
    </row>
    <row r="66">
      <c r="A66" s="6" t="inlineStr">
        <is>
          <t>Onderste specificatiegrens LSL</t>
        </is>
      </c>
      <c r="B66" s="7" t="n"/>
      <c r="C66" s="8" t="inlineStr">
        <is>
          <t>leeg laten bij een eenzijdige specificatie</t>
        </is>
      </c>
    </row>
    <row r="67">
      <c r="A67" s="6" t="inlineStr">
        <is>
          <t>Bovenste specificatiegrens USL</t>
        </is>
      </c>
      <c r="B67" s="7" t="n"/>
      <c r="C67" s="8" t="inlineStr">
        <is>
          <t>leeg laten bij een eenzijdige specificatie</t>
        </is>
      </c>
    </row>
    <row r="68">
      <c r="A68" s="6" t="inlineStr">
        <is>
          <t>Procesgemiddelde x̄</t>
        </is>
      </c>
      <c r="B68" s="7" t="n"/>
    </row>
    <row r="69">
      <c r="A69" s="6" t="inlineStr">
        <is>
          <t>MR̄ (MR-bar) = gemiddelde moving range van de individuele waarden</t>
        </is>
      </c>
      <c r="B69" s="7" t="n"/>
    </row>
    <row r="70">
      <c r="A70" s="6" t="inlineStr">
        <is>
          <t>d2 voor n = 2 (= 1,128), Tabel 18</t>
        </is>
      </c>
      <c r="B70" s="11">
        <f>IF(ISNUMBER(B69),INDEX(T18_d2,MATCH(2,T18_n,0)),"")</f>
        <v/>
      </c>
      <c r="C70" s="8" t="inlineStr">
        <is>
          <t>___4.1 tabellen SPC.pdf p. 2</t>
        </is>
      </c>
    </row>
    <row r="71">
      <c r="A71" s="6" t="inlineStr">
        <is>
          <t>σ̂ = MR̄ / d2</t>
        </is>
      </c>
      <c r="B71" s="11">
        <f>IF(AND(ISNUMBER(B66),ISNUMBER(B67),B67&lt;=B66),"",IF(AND(ISNUMBER(B69),ISNUMBER(B70)),B69/B70,""))</f>
        <v/>
      </c>
      <c r="C71" s="8" t="inlineStr">
        <is>
          <t>Dummies p. 114-116 (σ_ST = R̄/1.128)</t>
        </is>
      </c>
    </row>
    <row r="72">
      <c r="A72" s="6" t="inlineStr">
        <is>
          <t>Cp = (USL − LSL) / 6σ̂</t>
        </is>
      </c>
      <c r="B72" s="12">
        <f>IF(AND(ISNUMBER(B71),ISNUMBER(B66),ISNUMBER(B67)),(B67-B66)/(6*B71),"")</f>
        <v/>
      </c>
      <c r="C72" s="8" t="inlineStr">
        <is>
          <t>zoals blad Capabiliteit (deck p. 34)</t>
        </is>
      </c>
    </row>
    <row r="73">
      <c r="A73" s="6" t="inlineStr">
        <is>
          <t>Cpu = (USL − gemiddelde) / 3σ̂</t>
        </is>
      </c>
      <c r="B73" s="12">
        <f>IF(AND(ISNUMBER(B71),ISNUMBER(B67),ISNUMBER(B68)),(B67-B68)/(3*B71),"")</f>
        <v/>
      </c>
    </row>
    <row r="74">
      <c r="A74" s="6" t="inlineStr">
        <is>
          <t>Cpl = (gemiddelde − LSL) / 3σ̂</t>
        </is>
      </c>
      <c r="B74" s="12">
        <f>IF(AND(ISNUMBER(B71),ISNUMBER(B66),ISNUMBER(B68)),(B68-B66)/(3*B71),"")</f>
        <v/>
      </c>
    </row>
    <row r="75">
      <c r="A75" s="6" t="inlineStr">
        <is>
          <t>Cpk = min(Cpu, Cpl)</t>
        </is>
      </c>
      <c r="B75" s="12">
        <f>IF(AND(ISNUMBER(B73),ISNUMBER(B74)),MIN(B73,B74),IF(ISNUMBER(B73),B73,IF(ISNUMBER(B74),B74,"")))</f>
        <v/>
      </c>
      <c r="C75" s="8" t="inlineStr">
        <is>
          <t>zoals blad Capabiliteit (deck p. 35)</t>
        </is>
      </c>
    </row>
    <row r="76">
      <c r="A76" s="6" t="inlineStr">
        <is>
          <t>% onder LSL</t>
        </is>
      </c>
      <c r="B76" s="14">
        <f>IF(AND(ISNUMBER(B71),ISNUMBER(B66),ISNUMBER(B68)),_xlfn.NORM.S.DIST(-(B68-B66)/B71,TRUE),"")</f>
        <v/>
      </c>
    </row>
    <row r="77">
      <c r="A77" s="6" t="inlineStr">
        <is>
          <t>% boven USL</t>
        </is>
      </c>
      <c r="B77" s="14">
        <f>IF(AND(ISNUMBER(B71),ISNUMBER(B67),ISNUMBER(B68)),_xlfn.NORM.S.DIST(-(B67-B68)/B71,TRUE),"")</f>
        <v/>
      </c>
    </row>
    <row r="78">
      <c r="A78" s="6" t="inlineStr">
        <is>
          <t>% buiten specificatie (out of spec), totaal</t>
        </is>
      </c>
      <c r="B78" s="14">
        <f>IF(OR(ISNUMBER(B76),ISNUMBER(B77)),SUM(B76,B77),"")</f>
        <v/>
      </c>
    </row>
    <row r="79">
      <c r="A79" s="6" t="inlineStr">
        <is>
          <t>ppm buiten specificatie, totaal</t>
        </is>
      </c>
      <c r="B79" s="15">
        <f>IF(ISNUMBER(B78),B78*1000000,"")</f>
        <v/>
      </c>
    </row>
    <row r="81">
      <c r="A81" s="5" t="inlineStr">
        <is>
          <t>8. Individuele waarden en moving range (I-MR): één waarde per tijdstip (tabel vanaf rij 107)</t>
        </is>
      </c>
    </row>
    <row r="82">
      <c r="A82" s="6" t="inlineStr">
        <is>
          <t>k = aantal waarden</t>
        </is>
      </c>
      <c r="B82" s="28">
        <f>IF(COUNT(B107:B2106)&gt;0,COUNT(B107:B2106),"")</f>
        <v/>
      </c>
    </row>
    <row r="83">
      <c r="A83" s="6" t="inlineStr">
        <is>
          <t>X̄ = gemiddelde van de waarden</t>
        </is>
      </c>
      <c r="B83" s="11">
        <f>IF(COUNT(B107:B2106)&gt;0,AVERAGE(B107:B2106),"")</f>
        <v/>
      </c>
    </row>
    <row r="84">
      <c r="A84" s="6" t="inlineStr">
        <is>
          <t>MR̄ = gemiddelde moving range</t>
        </is>
      </c>
      <c r="B84" s="11">
        <f>IF(COUNT(C107:C2106)&gt;0,AVERAGE(C107:C2106),"")</f>
        <v/>
      </c>
      <c r="C84" s="8" t="inlineStr">
        <is>
          <t>Dummies p. 249 (MR_i = |X_(i+1) − X_i|)</t>
        </is>
      </c>
    </row>
    <row r="85">
      <c r="A85" s="6" t="inlineStr">
        <is>
          <t>σ̂ = MR̄ / d2(n = 2)  (d2 in kolom C)</t>
        </is>
      </c>
      <c r="B85" s="11">
        <f>IF(ISNUMBER(B84),B84/C85,"")</f>
        <v/>
      </c>
      <c r="C85" s="12">
        <f>INDEX(T18_d2,MATCH(2,T18_n,0))</f>
        <v/>
      </c>
      <c r="D85" s="8" t="inlineStr">
        <is>
          <t>Dummies p. 116 (σ_ST = R̄/1.128)</t>
        </is>
      </c>
    </row>
    <row r="87">
      <c r="A87" s="10" t="inlineStr">
        <is>
          <t>Kaart</t>
        </is>
      </c>
      <c r="B87" s="10" t="inlineStr">
        <is>
          <t>LCL</t>
        </is>
      </c>
      <c r="C87" s="10" t="inlineStr">
        <is>
          <t>CL</t>
        </is>
      </c>
      <c r="D87" s="10" t="inlineStr">
        <is>
          <t>UCL</t>
        </is>
      </c>
      <c r="E87" s="10" t="inlineStr">
        <is>
          <t>Constanten</t>
        </is>
      </c>
      <c r="F87" s="10" t="inlineStr">
        <is>
          <t>waarde</t>
        </is>
      </c>
      <c r="G87" s="10" t="inlineStr">
        <is>
          <t>waarde</t>
        </is>
      </c>
      <c r="H87" s="10" t="inlineStr">
        <is>
          <t>Bron</t>
        </is>
      </c>
    </row>
    <row r="88">
      <c r="A88" s="6" t="inlineStr">
        <is>
          <t>X-kaart: X̄ ± E2·MR̄</t>
        </is>
      </c>
      <c r="B88" s="11">
        <f>IF(AND(ISNUMBER(B83),ISNUMBER(B84)),B83-F88*B84,"")</f>
        <v/>
      </c>
      <c r="C88" s="11">
        <f>IF(ISNUMBER(B83),B83,"")</f>
        <v/>
      </c>
      <c r="D88" s="11">
        <f>IF(AND(ISNUMBER(B83),ISNUMBER(B84)),B83+F88*B84,"")</f>
        <v/>
      </c>
      <c r="E88" s="6" t="inlineStr">
        <is>
          <t>E2 (n = 2)</t>
        </is>
      </c>
      <c r="F88" s="12">
        <f>INDEX(SSD2_E2,MATCH(2,SSD2_n,0))</f>
        <v/>
      </c>
      <c r="H88" s="8" t="inlineStr">
        <is>
          <t>Dummies p. 249</t>
        </is>
      </c>
    </row>
    <row r="89">
      <c r="A89" s="6" t="inlineStr">
        <is>
          <t>MR-kaart: D3·MR̄ … D4·MR̄</t>
        </is>
      </c>
      <c r="B89" s="11">
        <f>IF(ISNUMBER(B84),F89*B84,"")</f>
        <v/>
      </c>
      <c r="C89" s="11">
        <f>IF(ISNUMBER(B84),B84,"")</f>
        <v/>
      </c>
      <c r="D89" s="11">
        <f>IF(ISNUMBER(B84),G89*B84,"")</f>
        <v/>
      </c>
      <c r="E89" s="6" t="inlineStr">
        <is>
          <t>D3, D4 (n = 2)</t>
        </is>
      </c>
      <c r="F89" s="12">
        <f>INDEX(T18_D3,MATCH(2,T18_n,0))</f>
        <v/>
      </c>
      <c r="G89" s="12">
        <f>INDEX(T18_D4,MATCH(2,T18_n,0))</f>
        <v/>
      </c>
    </row>
    <row r="91">
      <c r="A91" s="5" t="inlineStr">
        <is>
          <t>9. p-kaart (p chart): fractie defect per subgroep (tabel in kolommen G-M vanaf rij 107)</t>
        </is>
      </c>
    </row>
    <row r="92">
      <c r="A92" s="6" t="inlineStr">
        <is>
          <t>totaal geïnspecteerd (eenheden)</t>
        </is>
      </c>
      <c r="B92" s="28">
        <f>IF(COUNT(H107:H2106)&gt;0,SUM(H107:H2106),"")</f>
        <v/>
      </c>
    </row>
    <row r="93">
      <c r="A93" s="6" t="inlineStr">
        <is>
          <t>totaal defecte stuks</t>
        </is>
      </c>
      <c r="B93" s="28">
        <f>IF(COUNT(H107:H2106)&gt;0,SUM(I107:I2106),"")</f>
        <v/>
      </c>
    </row>
    <row r="94">
      <c r="A94" s="6" t="inlineStr">
        <is>
          <t>p̄ = defecte stuks / geïnspecteerd</t>
        </is>
      </c>
      <c r="B94" s="11">
        <f>IF(AND(COUNT(H107:H2106)&gt;0,B92&gt;0),B93/B92,"")</f>
        <v/>
      </c>
      <c r="C94" s="8" t="inlineStr">
        <is>
          <t>Dummies p. 254 (binomiaal)</t>
        </is>
      </c>
    </row>
    <row r="95">
      <c r="A95" s="8" t="inlineStr">
        <is>
          <t>Grenzen per subgroep: centrum ± 3 · √(p̄(1 − p̄)/n_i); een negatieve ondergrens wordt 0.</t>
        </is>
      </c>
    </row>
    <row r="97">
      <c r="A97" s="5" t="inlineStr">
        <is>
          <t>10. u-kaart (u chart): defecten per eenheid per subgroep (tabel in kolommen O-U vanaf rij 107)</t>
        </is>
      </c>
    </row>
    <row r="98">
      <c r="A98" s="6" t="inlineStr">
        <is>
          <t>totaal geïnspecteerd (eenheden)</t>
        </is>
      </c>
      <c r="B98" s="28">
        <f>IF(COUNT(P107:P2106)&gt;0,SUM(P107:P2106),"")</f>
        <v/>
      </c>
    </row>
    <row r="99">
      <c r="A99" s="6" t="inlineStr">
        <is>
          <t>totaal defecten</t>
        </is>
      </c>
      <c r="B99" s="28">
        <f>IF(COUNT(P107:P2106)&gt;0,SUM(Q107:Q2106),"")</f>
        <v/>
      </c>
    </row>
    <row r="100">
      <c r="A100" s="6" t="inlineStr">
        <is>
          <t>ū = defecten / eenheden</t>
        </is>
      </c>
      <c r="B100" s="11">
        <f>IF(AND(COUNT(P107:P2106)&gt;0,B98&gt;0),B99/B98,"")</f>
        <v/>
      </c>
      <c r="C100" s="8" t="inlineStr">
        <is>
          <t>Dummies p. 254 (Poisson)</t>
        </is>
      </c>
    </row>
    <row r="101">
      <c r="A101" s="8" t="inlineStr">
        <is>
          <t>Grenzen per subgroep: centrum ± 3 · √(ū/n_i); een negatieve ondergrens wordt 0.</t>
        </is>
      </c>
    </row>
    <row r="103">
      <c r="A103" s="20" t="inlineStr">
        <is>
          <t>Zo vul je de drie tabellen hieronder in (vanaf rij 107, elk tot 2000 rijen)</t>
        </is>
      </c>
    </row>
    <row r="104">
      <c r="A104" s="8" t="inlineStr">
        <is>
          <t>• I-MR: de waarden in volgorde in kolom B. p-kaart: per subgroep n_i in H en het aantal defecte stuks in I. u-kaart: per subgroep n_i in P en het aantal defecten in Q. Alleen GETALLEN, geen kop; lege rijen tellen niet.</t>
        </is>
      </c>
    </row>
    <row r="106">
      <c r="A106" s="10" t="inlineStr">
        <is>
          <t>#</t>
        </is>
      </c>
      <c r="B106" s="10" t="inlineStr">
        <is>
          <t>waarde x_i</t>
        </is>
      </c>
      <c r="C106" s="10" t="inlineStr">
        <is>
          <t>MR_i = |x_i − x_(i−1)|</t>
        </is>
      </c>
      <c r="D106" s="10" t="inlineStr">
        <is>
          <t>x t.o.v. X-kaart</t>
        </is>
      </c>
      <c r="E106" s="10" t="inlineStr">
        <is>
          <t>MR t.o.v. MR-kaart</t>
        </is>
      </c>
      <c r="G106" s="10" t="inlineStr">
        <is>
          <t>#</t>
        </is>
      </c>
      <c r="H106" s="10" t="inlineStr">
        <is>
          <t>subgroepgrootte n_i</t>
        </is>
      </c>
      <c r="I106" s="10" t="inlineStr">
        <is>
          <t>defecte stuks d_i</t>
        </is>
      </c>
      <c r="J106" s="10" t="inlineStr">
        <is>
          <t>p_i</t>
        </is>
      </c>
      <c r="K106" s="10" t="inlineStr">
        <is>
          <t>LCL_i</t>
        </is>
      </c>
      <c r="L106" s="10" t="inlineStr">
        <is>
          <t>UCL_i</t>
        </is>
      </c>
      <c r="M106" s="10" t="inlineStr">
        <is>
          <t>markering</t>
        </is>
      </c>
      <c r="O106" s="10" t="inlineStr">
        <is>
          <t>#</t>
        </is>
      </c>
      <c r="P106" s="10" t="inlineStr">
        <is>
          <t>subgroepgrootte n_i</t>
        </is>
      </c>
      <c r="Q106" s="10" t="inlineStr">
        <is>
          <t>defecten c_i</t>
        </is>
      </c>
      <c r="R106" s="10" t="inlineStr">
        <is>
          <t>u_i</t>
        </is>
      </c>
      <c r="S106" s="10" t="inlineStr">
        <is>
          <t>LCL_i</t>
        </is>
      </c>
      <c r="T106" s="10" t="inlineStr">
        <is>
          <t>UCL_i</t>
        </is>
      </c>
      <c r="U106" s="10" t="inlineStr">
        <is>
          <t>markering</t>
        </is>
      </c>
    </row>
    <row r="107">
      <c r="A107" t="n">
        <v>1</v>
      </c>
      <c r="B107" s="7" t="n"/>
      <c r="C107" s="11">
        <f>""</f>
        <v/>
      </c>
      <c r="D107" s="13">
        <f>IF(AND(ISNUMBER(B107),ISNUMBER($B$88),ISNUMBER($D$88)),IF(B107&gt;$D$88,"boven UCL",IF(B107&lt;$B$88,"onder LCL","")),"")</f>
        <v/>
      </c>
      <c r="E107" s="13">
        <f>IF(AND(ISNUMBER(C107),ISNUMBER($B$89),ISNUMBER($D$89)),IF(C107&gt;$D$89,"boven UCL",IF(C107&lt;$B$89,"onder LCL","")),"")</f>
        <v/>
      </c>
      <c r="G107" t="n">
        <v>1</v>
      </c>
      <c r="H107" s="7" t="n"/>
      <c r="I107" s="7" t="n"/>
      <c r="J107" s="11">
        <f>IF(AND(ISNUMBER(H107),ISNUMBER(I107),H107&gt;0,ISNUMBER($B$94)),I107/H107,"")</f>
        <v/>
      </c>
      <c r="K107" s="11">
        <f>IF(AND(ISNUMBER(H107),ISNUMBER(I107),H107&gt;0,ISNUMBER($B$94)),MAX(0,$B$94-3*SQRT($B$94*(1-$B$94)/H107)),"")</f>
        <v/>
      </c>
      <c r="L107" s="11">
        <f>IF(AND(ISNUMBER(H107),ISNUMBER(I107),H107&gt;0,ISNUMBER($B$94)),$B$94+3*SQRT($B$94*(1-$B$94)/H107),"")</f>
        <v/>
      </c>
      <c r="M107" s="13">
        <f>IF(AND(ISNUMBER(J107),ISNUMBER(K107),ISNUMBER(L107)),IF(J107&gt;L107,"boven UCL",IF(J107&lt;K107,"onder LCL","")),"")</f>
        <v/>
      </c>
      <c r="O107" t="n">
        <v>1</v>
      </c>
      <c r="P107" s="7" t="n"/>
      <c r="Q107" s="7" t="n"/>
      <c r="R107" s="11">
        <f>IF(AND(ISNUMBER(P107),ISNUMBER(Q107),P107&gt;0,ISNUMBER($B$100)),Q107/P107,"")</f>
        <v/>
      </c>
      <c r="S107" s="11">
        <f>IF(AND(ISNUMBER(P107),ISNUMBER(Q107),P107&gt;0,ISNUMBER($B$100)),MAX(0,$B$100-3*SQRT($B$100/P107)),"")</f>
        <v/>
      </c>
      <c r="T107" s="11">
        <f>IF(AND(ISNUMBER(P107),ISNUMBER(Q107),P107&gt;0,ISNUMBER($B$100)),$B$100+3*SQRT($B$100/P107),"")</f>
        <v/>
      </c>
      <c r="U107" s="13">
        <f>IF(AND(ISNUMBER(R107),ISNUMBER(S107),ISNUMBER(T107)),IF(R107&gt;T107,"boven UCL",IF(R107&lt;S107,"onder LCL","")),"")</f>
        <v/>
      </c>
    </row>
    <row r="108">
      <c r="A108" t="n">
        <v>2</v>
      </c>
      <c r="B108" s="7" t="n"/>
      <c r="C108" s="11">
        <f>IF(AND(ISNUMBER(B108),ISNUMBER(B107)),ABS(B108-B107),"")</f>
        <v/>
      </c>
      <c r="D108" s="13">
        <f>IF(AND(ISNUMBER(B108),ISNUMBER($B$88),ISNUMBER($D$88)),IF(B108&gt;$D$88,"boven UCL",IF(B108&lt;$B$88,"onder LCL","")),"")</f>
        <v/>
      </c>
      <c r="E108" s="13">
        <f>IF(AND(ISNUMBER(C108),ISNUMBER($B$89),ISNUMBER($D$89)),IF(C108&gt;$D$89,"boven UCL",IF(C108&lt;$B$89,"onder LCL","")),"")</f>
        <v/>
      </c>
      <c r="G108" t="n">
        <v>2</v>
      </c>
      <c r="H108" s="7" t="n"/>
      <c r="I108" s="7" t="n"/>
      <c r="J108" s="11">
        <f>IF(AND(ISNUMBER(H108),ISNUMBER(I108),H108&gt;0,ISNUMBER($B$94)),I108/H108,"")</f>
        <v/>
      </c>
      <c r="K108" s="11">
        <f>IF(AND(ISNUMBER(H108),ISNUMBER(I108),H108&gt;0,ISNUMBER($B$94)),MAX(0,$B$94-3*SQRT($B$94*(1-$B$94)/H108)),"")</f>
        <v/>
      </c>
      <c r="L108" s="11">
        <f>IF(AND(ISNUMBER(H108),ISNUMBER(I108),H108&gt;0,ISNUMBER($B$94)),$B$94+3*SQRT($B$94*(1-$B$94)/H108),"")</f>
        <v/>
      </c>
      <c r="M108" s="13">
        <f>IF(AND(ISNUMBER(J108),ISNUMBER(K108),ISNUMBER(L108)),IF(J108&gt;L108,"boven UCL",IF(J108&lt;K108,"onder LCL","")),"")</f>
        <v/>
      </c>
      <c r="O108" t="n">
        <v>2</v>
      </c>
      <c r="P108" s="7" t="n"/>
      <c r="Q108" s="7" t="n"/>
      <c r="R108" s="11">
        <f>IF(AND(ISNUMBER(P108),ISNUMBER(Q108),P108&gt;0,ISNUMBER($B$100)),Q108/P108,"")</f>
        <v/>
      </c>
      <c r="S108" s="11">
        <f>IF(AND(ISNUMBER(P108),ISNUMBER(Q108),P108&gt;0,ISNUMBER($B$100)),MAX(0,$B$100-3*SQRT($B$100/P108)),"")</f>
        <v/>
      </c>
      <c r="T108" s="11">
        <f>IF(AND(ISNUMBER(P108),ISNUMBER(Q108),P108&gt;0,ISNUMBER($B$100)),$B$100+3*SQRT($B$100/P108),"")</f>
        <v/>
      </c>
      <c r="U108" s="13">
        <f>IF(AND(ISNUMBER(R108),ISNUMBER(S108),ISNUMBER(T108)),IF(R108&gt;T108,"boven UCL",IF(R108&lt;S108,"onder LCL","")),"")</f>
        <v/>
      </c>
    </row>
    <row r="109">
      <c r="A109" t="n">
        <v>3</v>
      </c>
      <c r="B109" s="7" t="n"/>
      <c r="C109" s="11">
        <f>IF(AND(ISNUMBER(B109),ISNUMBER(B108)),ABS(B109-B108),"")</f>
        <v/>
      </c>
      <c r="D109" s="13">
        <f>IF(AND(ISNUMBER(B109),ISNUMBER($B$88),ISNUMBER($D$88)),IF(B109&gt;$D$88,"boven UCL",IF(B109&lt;$B$88,"onder LCL","")),"")</f>
        <v/>
      </c>
      <c r="E109" s="13">
        <f>IF(AND(ISNUMBER(C109),ISNUMBER($B$89),ISNUMBER($D$89)),IF(C109&gt;$D$89,"boven UCL",IF(C109&lt;$B$89,"onder LCL","")),"")</f>
        <v/>
      </c>
      <c r="G109" t="n">
        <v>3</v>
      </c>
      <c r="H109" s="7" t="n"/>
      <c r="I109" s="7" t="n"/>
      <c r="J109" s="11">
        <f>IF(AND(ISNUMBER(H109),ISNUMBER(I109),H109&gt;0,ISNUMBER($B$94)),I109/H109,"")</f>
        <v/>
      </c>
      <c r="K109" s="11">
        <f>IF(AND(ISNUMBER(H109),ISNUMBER(I109),H109&gt;0,ISNUMBER($B$94)),MAX(0,$B$94-3*SQRT($B$94*(1-$B$94)/H109)),"")</f>
        <v/>
      </c>
      <c r="L109" s="11">
        <f>IF(AND(ISNUMBER(H109),ISNUMBER(I109),H109&gt;0,ISNUMBER($B$94)),$B$94+3*SQRT($B$94*(1-$B$94)/H109),"")</f>
        <v/>
      </c>
      <c r="M109" s="13">
        <f>IF(AND(ISNUMBER(J109),ISNUMBER(K109),ISNUMBER(L109)),IF(J109&gt;L109,"boven UCL",IF(J109&lt;K109,"onder LCL","")),"")</f>
        <v/>
      </c>
      <c r="O109" t="n">
        <v>3</v>
      </c>
      <c r="P109" s="7" t="n"/>
      <c r="Q109" s="7" t="n"/>
      <c r="R109" s="11">
        <f>IF(AND(ISNUMBER(P109),ISNUMBER(Q109),P109&gt;0,ISNUMBER($B$100)),Q109/P109,"")</f>
        <v/>
      </c>
      <c r="S109" s="11">
        <f>IF(AND(ISNUMBER(P109),ISNUMBER(Q109),P109&gt;0,ISNUMBER($B$100)),MAX(0,$B$100-3*SQRT($B$100/P109)),"")</f>
        <v/>
      </c>
      <c r="T109" s="11">
        <f>IF(AND(ISNUMBER(P109),ISNUMBER(Q109),P109&gt;0,ISNUMBER($B$100)),$B$100+3*SQRT($B$100/P109),"")</f>
        <v/>
      </c>
      <c r="U109" s="13">
        <f>IF(AND(ISNUMBER(R109),ISNUMBER(S109),ISNUMBER(T109)),IF(R109&gt;T109,"boven UCL",IF(R109&lt;S109,"onder LCL","")),"")</f>
        <v/>
      </c>
    </row>
    <row r="110">
      <c r="A110" t="n">
        <v>4</v>
      </c>
      <c r="B110" s="7" t="n"/>
      <c r="C110" s="11">
        <f>IF(AND(ISNUMBER(B110),ISNUMBER(B109)),ABS(B110-B109),"")</f>
        <v/>
      </c>
      <c r="D110" s="13">
        <f>IF(AND(ISNUMBER(B110),ISNUMBER($B$88),ISNUMBER($D$88)),IF(B110&gt;$D$88,"boven UCL",IF(B110&lt;$B$88,"onder LCL","")),"")</f>
        <v/>
      </c>
      <c r="E110" s="13">
        <f>IF(AND(ISNUMBER(C110),ISNUMBER($B$89),ISNUMBER($D$89)),IF(C110&gt;$D$89,"boven UCL",IF(C110&lt;$B$89,"onder LCL","")),"")</f>
        <v/>
      </c>
      <c r="G110" t="n">
        <v>4</v>
      </c>
      <c r="H110" s="7" t="n"/>
      <c r="I110" s="7" t="n"/>
      <c r="J110" s="11">
        <f>IF(AND(ISNUMBER(H110),ISNUMBER(I110),H110&gt;0,ISNUMBER($B$94)),I110/H110,"")</f>
        <v/>
      </c>
      <c r="K110" s="11">
        <f>IF(AND(ISNUMBER(H110),ISNUMBER(I110),H110&gt;0,ISNUMBER($B$94)),MAX(0,$B$94-3*SQRT($B$94*(1-$B$94)/H110)),"")</f>
        <v/>
      </c>
      <c r="L110" s="11">
        <f>IF(AND(ISNUMBER(H110),ISNUMBER(I110),H110&gt;0,ISNUMBER($B$94)),$B$94+3*SQRT($B$94*(1-$B$94)/H110),"")</f>
        <v/>
      </c>
      <c r="M110" s="13">
        <f>IF(AND(ISNUMBER(J110),ISNUMBER(K110),ISNUMBER(L110)),IF(J110&gt;L110,"boven UCL",IF(J110&lt;K110,"onder LCL","")),"")</f>
        <v/>
      </c>
      <c r="O110" t="n">
        <v>4</v>
      </c>
      <c r="P110" s="7" t="n"/>
      <c r="Q110" s="7" t="n"/>
      <c r="R110" s="11">
        <f>IF(AND(ISNUMBER(P110),ISNUMBER(Q110),P110&gt;0,ISNUMBER($B$100)),Q110/P110,"")</f>
        <v/>
      </c>
      <c r="S110" s="11">
        <f>IF(AND(ISNUMBER(P110),ISNUMBER(Q110),P110&gt;0,ISNUMBER($B$100)),MAX(0,$B$100-3*SQRT($B$100/P110)),"")</f>
        <v/>
      </c>
      <c r="T110" s="11">
        <f>IF(AND(ISNUMBER(P110),ISNUMBER(Q110),P110&gt;0,ISNUMBER($B$100)),$B$100+3*SQRT($B$100/P110),"")</f>
        <v/>
      </c>
      <c r="U110" s="13">
        <f>IF(AND(ISNUMBER(R110),ISNUMBER(S110),ISNUMBER(T110)),IF(R110&gt;T110,"boven UCL",IF(R110&lt;S110,"onder LCL","")),"")</f>
        <v/>
      </c>
    </row>
    <row r="111">
      <c r="A111" t="n">
        <v>5</v>
      </c>
      <c r="B111" s="7" t="n"/>
      <c r="C111" s="11">
        <f>IF(AND(ISNUMBER(B111),ISNUMBER(B110)),ABS(B111-B110),"")</f>
        <v/>
      </c>
      <c r="D111" s="13">
        <f>IF(AND(ISNUMBER(B111),ISNUMBER($B$88),ISNUMBER($D$88)),IF(B111&gt;$D$88,"boven UCL",IF(B111&lt;$B$88,"onder LCL","")),"")</f>
        <v/>
      </c>
      <c r="E111" s="13">
        <f>IF(AND(ISNUMBER(C111),ISNUMBER($B$89),ISNUMBER($D$89)),IF(C111&gt;$D$89,"boven UCL",IF(C111&lt;$B$89,"onder LCL","")),"")</f>
        <v/>
      </c>
      <c r="G111" t="n">
        <v>5</v>
      </c>
      <c r="H111" s="7" t="n"/>
      <c r="I111" s="7" t="n"/>
      <c r="J111" s="11">
        <f>IF(AND(ISNUMBER(H111),ISNUMBER(I111),H111&gt;0,ISNUMBER($B$94)),I111/H111,"")</f>
        <v/>
      </c>
      <c r="K111" s="11">
        <f>IF(AND(ISNUMBER(H111),ISNUMBER(I111),H111&gt;0,ISNUMBER($B$94)),MAX(0,$B$94-3*SQRT($B$94*(1-$B$94)/H111)),"")</f>
        <v/>
      </c>
      <c r="L111" s="11">
        <f>IF(AND(ISNUMBER(H111),ISNUMBER(I111),H111&gt;0,ISNUMBER($B$94)),$B$94+3*SQRT($B$94*(1-$B$94)/H111),"")</f>
        <v/>
      </c>
      <c r="M111" s="13">
        <f>IF(AND(ISNUMBER(J111),ISNUMBER(K111),ISNUMBER(L111)),IF(J111&gt;L111,"boven UCL",IF(J111&lt;K111,"onder LCL","")),"")</f>
        <v/>
      </c>
      <c r="O111" t="n">
        <v>5</v>
      </c>
      <c r="P111" s="7" t="n"/>
      <c r="Q111" s="7" t="n"/>
      <c r="R111" s="11">
        <f>IF(AND(ISNUMBER(P111),ISNUMBER(Q111),P111&gt;0,ISNUMBER($B$100)),Q111/P111,"")</f>
        <v/>
      </c>
      <c r="S111" s="11">
        <f>IF(AND(ISNUMBER(P111),ISNUMBER(Q111),P111&gt;0,ISNUMBER($B$100)),MAX(0,$B$100-3*SQRT($B$100/P111)),"")</f>
        <v/>
      </c>
      <c r="T111" s="11">
        <f>IF(AND(ISNUMBER(P111),ISNUMBER(Q111),P111&gt;0,ISNUMBER($B$100)),$B$100+3*SQRT($B$100/P111),"")</f>
        <v/>
      </c>
      <c r="U111" s="13">
        <f>IF(AND(ISNUMBER(R111),ISNUMBER(S111),ISNUMBER(T111)),IF(R111&gt;T111,"boven UCL",IF(R111&lt;S111,"onder LCL","")),"")</f>
        <v/>
      </c>
    </row>
    <row r="112">
      <c r="A112" t="n">
        <v>6</v>
      </c>
      <c r="B112" s="7" t="n"/>
      <c r="C112" s="11">
        <f>IF(AND(ISNUMBER(B112),ISNUMBER(B111)),ABS(B112-B111),"")</f>
        <v/>
      </c>
      <c r="D112" s="13">
        <f>IF(AND(ISNUMBER(B112),ISNUMBER($B$88),ISNUMBER($D$88)),IF(B112&gt;$D$88,"boven UCL",IF(B112&lt;$B$88,"onder LCL","")),"")</f>
        <v/>
      </c>
      <c r="E112" s="13">
        <f>IF(AND(ISNUMBER(C112),ISNUMBER($B$89),ISNUMBER($D$89)),IF(C112&gt;$D$89,"boven UCL",IF(C112&lt;$B$89,"onder LCL","")),"")</f>
        <v/>
      </c>
      <c r="G112" t="n">
        <v>6</v>
      </c>
      <c r="H112" s="7" t="n"/>
      <c r="I112" s="7" t="n"/>
      <c r="J112" s="11">
        <f>IF(AND(ISNUMBER(H112),ISNUMBER(I112),H112&gt;0,ISNUMBER($B$94)),I112/H112,"")</f>
        <v/>
      </c>
      <c r="K112" s="11">
        <f>IF(AND(ISNUMBER(H112),ISNUMBER(I112),H112&gt;0,ISNUMBER($B$94)),MAX(0,$B$94-3*SQRT($B$94*(1-$B$94)/H112)),"")</f>
        <v/>
      </c>
      <c r="L112" s="11">
        <f>IF(AND(ISNUMBER(H112),ISNUMBER(I112),H112&gt;0,ISNUMBER($B$94)),$B$94+3*SQRT($B$94*(1-$B$94)/H112),"")</f>
        <v/>
      </c>
      <c r="M112" s="13">
        <f>IF(AND(ISNUMBER(J112),ISNUMBER(K112),ISNUMBER(L112)),IF(J112&gt;L112,"boven UCL",IF(J112&lt;K112,"onder LCL","")),"")</f>
        <v/>
      </c>
      <c r="O112" t="n">
        <v>6</v>
      </c>
      <c r="P112" s="7" t="n"/>
      <c r="Q112" s="7" t="n"/>
      <c r="R112" s="11">
        <f>IF(AND(ISNUMBER(P112),ISNUMBER(Q112),P112&gt;0,ISNUMBER($B$100)),Q112/P112,"")</f>
        <v/>
      </c>
      <c r="S112" s="11">
        <f>IF(AND(ISNUMBER(P112),ISNUMBER(Q112),P112&gt;0,ISNUMBER($B$100)),MAX(0,$B$100-3*SQRT($B$100/P112)),"")</f>
        <v/>
      </c>
      <c r="T112" s="11">
        <f>IF(AND(ISNUMBER(P112),ISNUMBER(Q112),P112&gt;0,ISNUMBER($B$100)),$B$100+3*SQRT($B$100/P112),"")</f>
        <v/>
      </c>
      <c r="U112" s="13">
        <f>IF(AND(ISNUMBER(R112),ISNUMBER(S112),ISNUMBER(T112)),IF(R112&gt;T112,"boven UCL",IF(R112&lt;S112,"onder LCL","")),"")</f>
        <v/>
      </c>
    </row>
    <row r="113">
      <c r="A113" t="n">
        <v>7</v>
      </c>
      <c r="B113" s="7" t="n"/>
      <c r="C113" s="11">
        <f>IF(AND(ISNUMBER(B113),ISNUMBER(B112)),ABS(B113-B112),"")</f>
        <v/>
      </c>
      <c r="D113" s="13">
        <f>IF(AND(ISNUMBER(B113),ISNUMBER($B$88),ISNUMBER($D$88)),IF(B113&gt;$D$88,"boven UCL",IF(B113&lt;$B$88,"onder LCL","")),"")</f>
        <v/>
      </c>
      <c r="E113" s="13">
        <f>IF(AND(ISNUMBER(C113),ISNUMBER($B$89),ISNUMBER($D$89)),IF(C113&gt;$D$89,"boven UCL",IF(C113&lt;$B$89,"onder LCL","")),"")</f>
        <v/>
      </c>
      <c r="G113" t="n">
        <v>7</v>
      </c>
      <c r="H113" s="7" t="n"/>
      <c r="I113" s="7" t="n"/>
      <c r="J113" s="11">
        <f>IF(AND(ISNUMBER(H113),ISNUMBER(I113),H113&gt;0,ISNUMBER($B$94)),I113/H113,"")</f>
        <v/>
      </c>
      <c r="K113" s="11">
        <f>IF(AND(ISNUMBER(H113),ISNUMBER(I113),H113&gt;0,ISNUMBER($B$94)),MAX(0,$B$94-3*SQRT($B$94*(1-$B$94)/H113)),"")</f>
        <v/>
      </c>
      <c r="L113" s="11">
        <f>IF(AND(ISNUMBER(H113),ISNUMBER(I113),H113&gt;0,ISNUMBER($B$94)),$B$94+3*SQRT($B$94*(1-$B$94)/H113),"")</f>
        <v/>
      </c>
      <c r="M113" s="13">
        <f>IF(AND(ISNUMBER(J113),ISNUMBER(K113),ISNUMBER(L113)),IF(J113&gt;L113,"boven UCL",IF(J113&lt;K113,"onder LCL","")),"")</f>
        <v/>
      </c>
      <c r="O113" t="n">
        <v>7</v>
      </c>
      <c r="P113" s="7" t="n"/>
      <c r="Q113" s="7" t="n"/>
      <c r="R113" s="11">
        <f>IF(AND(ISNUMBER(P113),ISNUMBER(Q113),P113&gt;0,ISNUMBER($B$100)),Q113/P113,"")</f>
        <v/>
      </c>
      <c r="S113" s="11">
        <f>IF(AND(ISNUMBER(P113),ISNUMBER(Q113),P113&gt;0,ISNUMBER($B$100)),MAX(0,$B$100-3*SQRT($B$100/P113)),"")</f>
        <v/>
      </c>
      <c r="T113" s="11">
        <f>IF(AND(ISNUMBER(P113),ISNUMBER(Q113),P113&gt;0,ISNUMBER($B$100)),$B$100+3*SQRT($B$100/P113),"")</f>
        <v/>
      </c>
      <c r="U113" s="13">
        <f>IF(AND(ISNUMBER(R113),ISNUMBER(S113),ISNUMBER(T113)),IF(R113&gt;T113,"boven UCL",IF(R113&lt;S113,"onder LCL","")),"")</f>
        <v/>
      </c>
    </row>
    <row r="114">
      <c r="A114" t="n">
        <v>8</v>
      </c>
      <c r="B114" s="7" t="n"/>
      <c r="C114" s="11">
        <f>IF(AND(ISNUMBER(B114),ISNUMBER(B113)),ABS(B114-B113),"")</f>
        <v/>
      </c>
      <c r="D114" s="13">
        <f>IF(AND(ISNUMBER(B114),ISNUMBER($B$88),ISNUMBER($D$88)),IF(B114&gt;$D$88,"boven UCL",IF(B114&lt;$B$88,"onder LCL","")),"")</f>
        <v/>
      </c>
      <c r="E114" s="13">
        <f>IF(AND(ISNUMBER(C114),ISNUMBER($B$89),ISNUMBER($D$89)),IF(C114&gt;$D$89,"boven UCL",IF(C114&lt;$B$89,"onder LCL","")),"")</f>
        <v/>
      </c>
      <c r="G114" t="n">
        <v>8</v>
      </c>
      <c r="H114" s="7" t="n"/>
      <c r="I114" s="7" t="n"/>
      <c r="J114" s="11">
        <f>IF(AND(ISNUMBER(H114),ISNUMBER(I114),H114&gt;0,ISNUMBER($B$94)),I114/H114,"")</f>
        <v/>
      </c>
      <c r="K114" s="11">
        <f>IF(AND(ISNUMBER(H114),ISNUMBER(I114),H114&gt;0,ISNUMBER($B$94)),MAX(0,$B$94-3*SQRT($B$94*(1-$B$94)/H114)),"")</f>
        <v/>
      </c>
      <c r="L114" s="11">
        <f>IF(AND(ISNUMBER(H114),ISNUMBER(I114),H114&gt;0,ISNUMBER($B$94)),$B$94+3*SQRT($B$94*(1-$B$94)/H114),"")</f>
        <v/>
      </c>
      <c r="M114" s="13">
        <f>IF(AND(ISNUMBER(J114),ISNUMBER(K114),ISNUMBER(L114)),IF(J114&gt;L114,"boven UCL",IF(J114&lt;K114,"onder LCL","")),"")</f>
        <v/>
      </c>
      <c r="O114" t="n">
        <v>8</v>
      </c>
      <c r="P114" s="7" t="n"/>
      <c r="Q114" s="7" t="n"/>
      <c r="R114" s="11">
        <f>IF(AND(ISNUMBER(P114),ISNUMBER(Q114),P114&gt;0,ISNUMBER($B$100)),Q114/P114,"")</f>
        <v/>
      </c>
      <c r="S114" s="11">
        <f>IF(AND(ISNUMBER(P114),ISNUMBER(Q114),P114&gt;0,ISNUMBER($B$100)),MAX(0,$B$100-3*SQRT($B$100/P114)),"")</f>
        <v/>
      </c>
      <c r="T114" s="11">
        <f>IF(AND(ISNUMBER(P114),ISNUMBER(Q114),P114&gt;0,ISNUMBER($B$100)),$B$100+3*SQRT($B$100/P114),"")</f>
        <v/>
      </c>
      <c r="U114" s="13">
        <f>IF(AND(ISNUMBER(R114),ISNUMBER(S114),ISNUMBER(T114)),IF(R114&gt;T114,"boven UCL",IF(R114&lt;S114,"onder LCL","")),"")</f>
        <v/>
      </c>
    </row>
    <row r="115">
      <c r="A115" t="n">
        <v>9</v>
      </c>
      <c r="B115" s="7" t="n"/>
      <c r="C115" s="11">
        <f>IF(AND(ISNUMBER(B115),ISNUMBER(B114)),ABS(B115-B114),"")</f>
        <v/>
      </c>
      <c r="D115" s="13">
        <f>IF(AND(ISNUMBER(B115),ISNUMBER($B$88),ISNUMBER($D$88)),IF(B115&gt;$D$88,"boven UCL",IF(B115&lt;$B$88,"onder LCL","")),"")</f>
        <v/>
      </c>
      <c r="E115" s="13">
        <f>IF(AND(ISNUMBER(C115),ISNUMBER($B$89),ISNUMBER($D$89)),IF(C115&gt;$D$89,"boven UCL",IF(C115&lt;$B$89,"onder LCL","")),"")</f>
        <v/>
      </c>
      <c r="G115" t="n">
        <v>9</v>
      </c>
      <c r="H115" s="7" t="n"/>
      <c r="I115" s="7" t="n"/>
      <c r="J115" s="11">
        <f>IF(AND(ISNUMBER(H115),ISNUMBER(I115),H115&gt;0,ISNUMBER($B$94)),I115/H115,"")</f>
        <v/>
      </c>
      <c r="K115" s="11">
        <f>IF(AND(ISNUMBER(H115),ISNUMBER(I115),H115&gt;0,ISNUMBER($B$94)),MAX(0,$B$94-3*SQRT($B$94*(1-$B$94)/H115)),"")</f>
        <v/>
      </c>
      <c r="L115" s="11">
        <f>IF(AND(ISNUMBER(H115),ISNUMBER(I115),H115&gt;0,ISNUMBER($B$94)),$B$94+3*SQRT($B$94*(1-$B$94)/H115),"")</f>
        <v/>
      </c>
      <c r="M115" s="13">
        <f>IF(AND(ISNUMBER(J115),ISNUMBER(K115),ISNUMBER(L115)),IF(J115&gt;L115,"boven UCL",IF(J115&lt;K115,"onder LCL","")),"")</f>
        <v/>
      </c>
      <c r="O115" t="n">
        <v>9</v>
      </c>
      <c r="P115" s="7" t="n"/>
      <c r="Q115" s="7" t="n"/>
      <c r="R115" s="11">
        <f>IF(AND(ISNUMBER(P115),ISNUMBER(Q115),P115&gt;0,ISNUMBER($B$100)),Q115/P115,"")</f>
        <v/>
      </c>
      <c r="S115" s="11">
        <f>IF(AND(ISNUMBER(P115),ISNUMBER(Q115),P115&gt;0,ISNUMBER($B$100)),MAX(0,$B$100-3*SQRT($B$100/P115)),"")</f>
        <v/>
      </c>
      <c r="T115" s="11">
        <f>IF(AND(ISNUMBER(P115),ISNUMBER(Q115),P115&gt;0,ISNUMBER($B$100)),$B$100+3*SQRT($B$100/P115),"")</f>
        <v/>
      </c>
      <c r="U115" s="13">
        <f>IF(AND(ISNUMBER(R115),ISNUMBER(S115),ISNUMBER(T115)),IF(R115&gt;T115,"boven UCL",IF(R115&lt;S115,"onder LCL","")),"")</f>
        <v/>
      </c>
    </row>
    <row r="116">
      <c r="A116" t="n">
        <v>10</v>
      </c>
      <c r="B116" s="7" t="n"/>
      <c r="C116" s="11">
        <f>IF(AND(ISNUMBER(B116),ISNUMBER(B115)),ABS(B116-B115),"")</f>
        <v/>
      </c>
      <c r="D116" s="13">
        <f>IF(AND(ISNUMBER(B116),ISNUMBER($B$88),ISNUMBER($D$88)),IF(B116&gt;$D$88,"boven UCL",IF(B116&lt;$B$88,"onder LCL","")),"")</f>
        <v/>
      </c>
      <c r="E116" s="13">
        <f>IF(AND(ISNUMBER(C116),ISNUMBER($B$89),ISNUMBER($D$89)),IF(C116&gt;$D$89,"boven UCL",IF(C116&lt;$B$89,"onder LCL","")),"")</f>
        <v/>
      </c>
      <c r="G116" t="n">
        <v>10</v>
      </c>
      <c r="H116" s="7" t="n"/>
      <c r="I116" s="7" t="n"/>
      <c r="J116" s="11">
        <f>IF(AND(ISNUMBER(H116),ISNUMBER(I116),H116&gt;0,ISNUMBER($B$94)),I116/H116,"")</f>
        <v/>
      </c>
      <c r="K116" s="11">
        <f>IF(AND(ISNUMBER(H116),ISNUMBER(I116),H116&gt;0,ISNUMBER($B$94)),MAX(0,$B$94-3*SQRT($B$94*(1-$B$94)/H116)),"")</f>
        <v/>
      </c>
      <c r="L116" s="11">
        <f>IF(AND(ISNUMBER(H116),ISNUMBER(I116),H116&gt;0,ISNUMBER($B$94)),$B$94+3*SQRT($B$94*(1-$B$94)/H116),"")</f>
        <v/>
      </c>
      <c r="M116" s="13">
        <f>IF(AND(ISNUMBER(J116),ISNUMBER(K116),ISNUMBER(L116)),IF(J116&gt;L116,"boven UCL",IF(J116&lt;K116,"onder LCL","")),"")</f>
        <v/>
      </c>
      <c r="O116" t="n">
        <v>10</v>
      </c>
      <c r="P116" s="7" t="n"/>
      <c r="Q116" s="7" t="n"/>
      <c r="R116" s="11">
        <f>IF(AND(ISNUMBER(P116),ISNUMBER(Q116),P116&gt;0,ISNUMBER($B$100)),Q116/P116,"")</f>
        <v/>
      </c>
      <c r="S116" s="11">
        <f>IF(AND(ISNUMBER(P116),ISNUMBER(Q116),P116&gt;0,ISNUMBER($B$100)),MAX(0,$B$100-3*SQRT($B$100/P116)),"")</f>
        <v/>
      </c>
      <c r="T116" s="11">
        <f>IF(AND(ISNUMBER(P116),ISNUMBER(Q116),P116&gt;0,ISNUMBER($B$100)),$B$100+3*SQRT($B$100/P116),"")</f>
        <v/>
      </c>
      <c r="U116" s="13">
        <f>IF(AND(ISNUMBER(R116),ISNUMBER(S116),ISNUMBER(T116)),IF(R116&gt;T116,"boven UCL",IF(R116&lt;S116,"onder LCL","")),"")</f>
        <v/>
      </c>
    </row>
    <row r="117">
      <c r="A117" t="n">
        <v>11</v>
      </c>
      <c r="B117" s="7" t="n"/>
      <c r="C117" s="11">
        <f>IF(AND(ISNUMBER(B117),ISNUMBER(B116)),ABS(B117-B116),"")</f>
        <v/>
      </c>
      <c r="D117" s="13">
        <f>IF(AND(ISNUMBER(B117),ISNUMBER($B$88),ISNUMBER($D$88)),IF(B117&gt;$D$88,"boven UCL",IF(B117&lt;$B$88,"onder LCL","")),"")</f>
        <v/>
      </c>
      <c r="E117" s="13">
        <f>IF(AND(ISNUMBER(C117),ISNUMBER($B$89),ISNUMBER($D$89)),IF(C117&gt;$D$89,"boven UCL",IF(C117&lt;$B$89,"onder LCL","")),"")</f>
        <v/>
      </c>
      <c r="G117" t="n">
        <v>11</v>
      </c>
      <c r="H117" s="7" t="n"/>
      <c r="I117" s="7" t="n"/>
      <c r="J117" s="11">
        <f>IF(AND(ISNUMBER(H117),ISNUMBER(I117),H117&gt;0,ISNUMBER($B$94)),I117/H117,"")</f>
        <v/>
      </c>
      <c r="K117" s="11">
        <f>IF(AND(ISNUMBER(H117),ISNUMBER(I117),H117&gt;0,ISNUMBER($B$94)),MAX(0,$B$94-3*SQRT($B$94*(1-$B$94)/H117)),"")</f>
        <v/>
      </c>
      <c r="L117" s="11">
        <f>IF(AND(ISNUMBER(H117),ISNUMBER(I117),H117&gt;0,ISNUMBER($B$94)),$B$94+3*SQRT($B$94*(1-$B$94)/H117),"")</f>
        <v/>
      </c>
      <c r="M117" s="13">
        <f>IF(AND(ISNUMBER(J117),ISNUMBER(K117),ISNUMBER(L117)),IF(J117&gt;L117,"boven UCL",IF(J117&lt;K117,"onder LCL","")),"")</f>
        <v/>
      </c>
      <c r="O117" t="n">
        <v>11</v>
      </c>
      <c r="P117" s="7" t="n"/>
      <c r="Q117" s="7" t="n"/>
      <c r="R117" s="11">
        <f>IF(AND(ISNUMBER(P117),ISNUMBER(Q117),P117&gt;0,ISNUMBER($B$100)),Q117/P117,"")</f>
        <v/>
      </c>
      <c r="S117" s="11">
        <f>IF(AND(ISNUMBER(P117),ISNUMBER(Q117),P117&gt;0,ISNUMBER($B$100)),MAX(0,$B$100-3*SQRT($B$100/P117)),"")</f>
        <v/>
      </c>
      <c r="T117" s="11">
        <f>IF(AND(ISNUMBER(P117),ISNUMBER(Q117),P117&gt;0,ISNUMBER($B$100)),$B$100+3*SQRT($B$100/P117),"")</f>
        <v/>
      </c>
      <c r="U117" s="13">
        <f>IF(AND(ISNUMBER(R117),ISNUMBER(S117),ISNUMBER(T117)),IF(R117&gt;T117,"boven UCL",IF(R117&lt;S117,"onder LCL","")),"")</f>
        <v/>
      </c>
    </row>
    <row r="118">
      <c r="A118" t="n">
        <v>12</v>
      </c>
      <c r="B118" s="7" t="n"/>
      <c r="C118" s="11">
        <f>IF(AND(ISNUMBER(B118),ISNUMBER(B117)),ABS(B118-B117),"")</f>
        <v/>
      </c>
      <c r="D118" s="13">
        <f>IF(AND(ISNUMBER(B118),ISNUMBER($B$88),ISNUMBER($D$88)),IF(B118&gt;$D$88,"boven UCL",IF(B118&lt;$B$88,"onder LCL","")),"")</f>
        <v/>
      </c>
      <c r="E118" s="13">
        <f>IF(AND(ISNUMBER(C118),ISNUMBER($B$89),ISNUMBER($D$89)),IF(C118&gt;$D$89,"boven UCL",IF(C118&lt;$B$89,"onder LCL","")),"")</f>
        <v/>
      </c>
      <c r="G118" t="n">
        <v>12</v>
      </c>
      <c r="H118" s="7" t="n"/>
      <c r="I118" s="7" t="n"/>
      <c r="J118" s="11">
        <f>IF(AND(ISNUMBER(H118),ISNUMBER(I118),H118&gt;0,ISNUMBER($B$94)),I118/H118,"")</f>
        <v/>
      </c>
      <c r="K118" s="11">
        <f>IF(AND(ISNUMBER(H118),ISNUMBER(I118),H118&gt;0,ISNUMBER($B$94)),MAX(0,$B$94-3*SQRT($B$94*(1-$B$94)/H118)),"")</f>
        <v/>
      </c>
      <c r="L118" s="11">
        <f>IF(AND(ISNUMBER(H118),ISNUMBER(I118),H118&gt;0,ISNUMBER($B$94)),$B$94+3*SQRT($B$94*(1-$B$94)/H118),"")</f>
        <v/>
      </c>
      <c r="M118" s="13">
        <f>IF(AND(ISNUMBER(J118),ISNUMBER(K118),ISNUMBER(L118)),IF(J118&gt;L118,"boven UCL",IF(J118&lt;K118,"onder LCL","")),"")</f>
        <v/>
      </c>
      <c r="O118" t="n">
        <v>12</v>
      </c>
      <c r="P118" s="7" t="n"/>
      <c r="Q118" s="7" t="n"/>
      <c r="R118" s="11">
        <f>IF(AND(ISNUMBER(P118),ISNUMBER(Q118),P118&gt;0,ISNUMBER($B$100)),Q118/P118,"")</f>
        <v/>
      </c>
      <c r="S118" s="11">
        <f>IF(AND(ISNUMBER(P118),ISNUMBER(Q118),P118&gt;0,ISNUMBER($B$100)),MAX(0,$B$100-3*SQRT($B$100/P118)),"")</f>
        <v/>
      </c>
      <c r="T118" s="11">
        <f>IF(AND(ISNUMBER(P118),ISNUMBER(Q118),P118&gt;0,ISNUMBER($B$100)),$B$100+3*SQRT($B$100/P118),"")</f>
        <v/>
      </c>
      <c r="U118" s="13">
        <f>IF(AND(ISNUMBER(R118),ISNUMBER(S118),ISNUMBER(T118)),IF(R118&gt;T118,"boven UCL",IF(R118&lt;S118,"onder LCL","")),"")</f>
        <v/>
      </c>
    </row>
    <row r="119">
      <c r="A119" t="n">
        <v>13</v>
      </c>
      <c r="B119" s="7" t="n"/>
      <c r="C119" s="11">
        <f>IF(AND(ISNUMBER(B119),ISNUMBER(B118)),ABS(B119-B118),"")</f>
        <v/>
      </c>
      <c r="D119" s="13">
        <f>IF(AND(ISNUMBER(B119),ISNUMBER($B$88),ISNUMBER($D$88)),IF(B119&gt;$D$88,"boven UCL",IF(B119&lt;$B$88,"onder LCL","")),"")</f>
        <v/>
      </c>
      <c r="E119" s="13">
        <f>IF(AND(ISNUMBER(C119),ISNUMBER($B$89),ISNUMBER($D$89)),IF(C119&gt;$D$89,"boven UCL",IF(C119&lt;$B$89,"onder LCL","")),"")</f>
        <v/>
      </c>
      <c r="G119" t="n">
        <v>13</v>
      </c>
      <c r="H119" s="7" t="n"/>
      <c r="I119" s="7" t="n"/>
      <c r="J119" s="11">
        <f>IF(AND(ISNUMBER(H119),ISNUMBER(I119),H119&gt;0,ISNUMBER($B$94)),I119/H119,"")</f>
        <v/>
      </c>
      <c r="K119" s="11">
        <f>IF(AND(ISNUMBER(H119),ISNUMBER(I119),H119&gt;0,ISNUMBER($B$94)),MAX(0,$B$94-3*SQRT($B$94*(1-$B$94)/H119)),"")</f>
        <v/>
      </c>
      <c r="L119" s="11">
        <f>IF(AND(ISNUMBER(H119),ISNUMBER(I119),H119&gt;0,ISNUMBER($B$94)),$B$94+3*SQRT($B$94*(1-$B$94)/H119),"")</f>
        <v/>
      </c>
      <c r="M119" s="13">
        <f>IF(AND(ISNUMBER(J119),ISNUMBER(K119),ISNUMBER(L119)),IF(J119&gt;L119,"boven UCL",IF(J119&lt;K119,"onder LCL","")),"")</f>
        <v/>
      </c>
      <c r="O119" t="n">
        <v>13</v>
      </c>
      <c r="P119" s="7" t="n"/>
      <c r="Q119" s="7" t="n"/>
      <c r="R119" s="11">
        <f>IF(AND(ISNUMBER(P119),ISNUMBER(Q119),P119&gt;0,ISNUMBER($B$100)),Q119/P119,"")</f>
        <v/>
      </c>
      <c r="S119" s="11">
        <f>IF(AND(ISNUMBER(P119),ISNUMBER(Q119),P119&gt;0,ISNUMBER($B$100)),MAX(0,$B$100-3*SQRT($B$100/P119)),"")</f>
        <v/>
      </c>
      <c r="T119" s="11">
        <f>IF(AND(ISNUMBER(P119),ISNUMBER(Q119),P119&gt;0,ISNUMBER($B$100)),$B$100+3*SQRT($B$100/P119),"")</f>
        <v/>
      </c>
      <c r="U119" s="13">
        <f>IF(AND(ISNUMBER(R119),ISNUMBER(S119),ISNUMBER(T119)),IF(R119&gt;T119,"boven UCL",IF(R119&lt;S119,"onder LCL","")),"")</f>
        <v/>
      </c>
    </row>
    <row r="120">
      <c r="A120" t="n">
        <v>14</v>
      </c>
      <c r="B120" s="7" t="n"/>
      <c r="C120" s="11">
        <f>IF(AND(ISNUMBER(B120),ISNUMBER(B119)),ABS(B120-B119),"")</f>
        <v/>
      </c>
      <c r="D120" s="13">
        <f>IF(AND(ISNUMBER(B120),ISNUMBER($B$88),ISNUMBER($D$88)),IF(B120&gt;$D$88,"boven UCL",IF(B120&lt;$B$88,"onder LCL","")),"")</f>
        <v/>
      </c>
      <c r="E120" s="13">
        <f>IF(AND(ISNUMBER(C120),ISNUMBER($B$89),ISNUMBER($D$89)),IF(C120&gt;$D$89,"boven UCL",IF(C120&lt;$B$89,"onder LCL","")),"")</f>
        <v/>
      </c>
      <c r="G120" t="n">
        <v>14</v>
      </c>
      <c r="H120" s="7" t="n"/>
      <c r="I120" s="7" t="n"/>
      <c r="J120" s="11">
        <f>IF(AND(ISNUMBER(H120),ISNUMBER(I120),H120&gt;0,ISNUMBER($B$94)),I120/H120,"")</f>
        <v/>
      </c>
      <c r="K120" s="11">
        <f>IF(AND(ISNUMBER(H120),ISNUMBER(I120),H120&gt;0,ISNUMBER($B$94)),MAX(0,$B$94-3*SQRT($B$94*(1-$B$94)/H120)),"")</f>
        <v/>
      </c>
      <c r="L120" s="11">
        <f>IF(AND(ISNUMBER(H120),ISNUMBER(I120),H120&gt;0,ISNUMBER($B$94)),$B$94+3*SQRT($B$94*(1-$B$94)/H120),"")</f>
        <v/>
      </c>
      <c r="M120" s="13">
        <f>IF(AND(ISNUMBER(J120),ISNUMBER(K120),ISNUMBER(L120)),IF(J120&gt;L120,"boven UCL",IF(J120&lt;K120,"onder LCL","")),"")</f>
        <v/>
      </c>
      <c r="O120" t="n">
        <v>14</v>
      </c>
      <c r="P120" s="7" t="n"/>
      <c r="Q120" s="7" t="n"/>
      <c r="R120" s="11">
        <f>IF(AND(ISNUMBER(P120),ISNUMBER(Q120),P120&gt;0,ISNUMBER($B$100)),Q120/P120,"")</f>
        <v/>
      </c>
      <c r="S120" s="11">
        <f>IF(AND(ISNUMBER(P120),ISNUMBER(Q120),P120&gt;0,ISNUMBER($B$100)),MAX(0,$B$100-3*SQRT($B$100/P120)),"")</f>
        <v/>
      </c>
      <c r="T120" s="11">
        <f>IF(AND(ISNUMBER(P120),ISNUMBER(Q120),P120&gt;0,ISNUMBER($B$100)),$B$100+3*SQRT($B$100/P120),"")</f>
        <v/>
      </c>
      <c r="U120" s="13">
        <f>IF(AND(ISNUMBER(R120),ISNUMBER(S120),ISNUMBER(T120)),IF(R120&gt;T120,"boven UCL",IF(R120&lt;S120,"onder LCL","")),"")</f>
        <v/>
      </c>
    </row>
    <row r="121">
      <c r="A121" t="n">
        <v>15</v>
      </c>
      <c r="B121" s="7" t="n"/>
      <c r="C121" s="11">
        <f>IF(AND(ISNUMBER(B121),ISNUMBER(B120)),ABS(B121-B120),"")</f>
        <v/>
      </c>
      <c r="D121" s="13">
        <f>IF(AND(ISNUMBER(B121),ISNUMBER($B$88),ISNUMBER($D$88)),IF(B121&gt;$D$88,"boven UCL",IF(B121&lt;$B$88,"onder LCL","")),"")</f>
        <v/>
      </c>
      <c r="E121" s="13">
        <f>IF(AND(ISNUMBER(C121),ISNUMBER($B$89),ISNUMBER($D$89)),IF(C121&gt;$D$89,"boven UCL",IF(C121&lt;$B$89,"onder LCL","")),"")</f>
        <v/>
      </c>
      <c r="G121" t="n">
        <v>15</v>
      </c>
      <c r="H121" s="7" t="n"/>
      <c r="I121" s="7" t="n"/>
      <c r="J121" s="11">
        <f>IF(AND(ISNUMBER(H121),ISNUMBER(I121),H121&gt;0,ISNUMBER($B$94)),I121/H121,"")</f>
        <v/>
      </c>
      <c r="K121" s="11">
        <f>IF(AND(ISNUMBER(H121),ISNUMBER(I121),H121&gt;0,ISNUMBER($B$94)),MAX(0,$B$94-3*SQRT($B$94*(1-$B$94)/H121)),"")</f>
        <v/>
      </c>
      <c r="L121" s="11">
        <f>IF(AND(ISNUMBER(H121),ISNUMBER(I121),H121&gt;0,ISNUMBER($B$94)),$B$94+3*SQRT($B$94*(1-$B$94)/H121),"")</f>
        <v/>
      </c>
      <c r="M121" s="13">
        <f>IF(AND(ISNUMBER(J121),ISNUMBER(K121),ISNUMBER(L121)),IF(J121&gt;L121,"boven UCL",IF(J121&lt;K121,"onder LCL","")),"")</f>
        <v/>
      </c>
      <c r="O121" t="n">
        <v>15</v>
      </c>
      <c r="P121" s="7" t="n"/>
      <c r="Q121" s="7" t="n"/>
      <c r="R121" s="11">
        <f>IF(AND(ISNUMBER(P121),ISNUMBER(Q121),P121&gt;0,ISNUMBER($B$100)),Q121/P121,"")</f>
        <v/>
      </c>
      <c r="S121" s="11">
        <f>IF(AND(ISNUMBER(P121),ISNUMBER(Q121),P121&gt;0,ISNUMBER($B$100)),MAX(0,$B$100-3*SQRT($B$100/P121)),"")</f>
        <v/>
      </c>
      <c r="T121" s="11">
        <f>IF(AND(ISNUMBER(P121),ISNUMBER(Q121),P121&gt;0,ISNUMBER($B$100)),$B$100+3*SQRT($B$100/P121),"")</f>
        <v/>
      </c>
      <c r="U121" s="13">
        <f>IF(AND(ISNUMBER(R121),ISNUMBER(S121),ISNUMBER(T121)),IF(R121&gt;T121,"boven UCL",IF(R121&lt;S121,"onder LCL","")),"")</f>
        <v/>
      </c>
    </row>
    <row r="122">
      <c r="A122" t="n">
        <v>16</v>
      </c>
      <c r="B122" s="7" t="n"/>
      <c r="C122" s="11">
        <f>IF(AND(ISNUMBER(B122),ISNUMBER(B121)),ABS(B122-B121),"")</f>
        <v/>
      </c>
      <c r="D122" s="13">
        <f>IF(AND(ISNUMBER(B122),ISNUMBER($B$88),ISNUMBER($D$88)),IF(B122&gt;$D$88,"boven UCL",IF(B122&lt;$B$88,"onder LCL","")),"")</f>
        <v/>
      </c>
      <c r="E122" s="13">
        <f>IF(AND(ISNUMBER(C122),ISNUMBER($B$89),ISNUMBER($D$89)),IF(C122&gt;$D$89,"boven UCL",IF(C122&lt;$B$89,"onder LCL","")),"")</f>
        <v/>
      </c>
      <c r="G122" t="n">
        <v>16</v>
      </c>
      <c r="H122" s="7" t="n"/>
      <c r="I122" s="7" t="n"/>
      <c r="J122" s="11">
        <f>IF(AND(ISNUMBER(H122),ISNUMBER(I122),H122&gt;0,ISNUMBER($B$94)),I122/H122,"")</f>
        <v/>
      </c>
      <c r="K122" s="11">
        <f>IF(AND(ISNUMBER(H122),ISNUMBER(I122),H122&gt;0,ISNUMBER($B$94)),MAX(0,$B$94-3*SQRT($B$94*(1-$B$94)/H122)),"")</f>
        <v/>
      </c>
      <c r="L122" s="11">
        <f>IF(AND(ISNUMBER(H122),ISNUMBER(I122),H122&gt;0,ISNUMBER($B$94)),$B$94+3*SQRT($B$94*(1-$B$94)/H122),"")</f>
        <v/>
      </c>
      <c r="M122" s="13">
        <f>IF(AND(ISNUMBER(J122),ISNUMBER(K122),ISNUMBER(L122)),IF(J122&gt;L122,"boven UCL",IF(J122&lt;K122,"onder LCL","")),"")</f>
        <v/>
      </c>
      <c r="O122" t="n">
        <v>16</v>
      </c>
      <c r="P122" s="7" t="n"/>
      <c r="Q122" s="7" t="n"/>
      <c r="R122" s="11">
        <f>IF(AND(ISNUMBER(P122),ISNUMBER(Q122),P122&gt;0,ISNUMBER($B$100)),Q122/P122,"")</f>
        <v/>
      </c>
      <c r="S122" s="11">
        <f>IF(AND(ISNUMBER(P122),ISNUMBER(Q122),P122&gt;0,ISNUMBER($B$100)),MAX(0,$B$100-3*SQRT($B$100/P122)),"")</f>
        <v/>
      </c>
      <c r="T122" s="11">
        <f>IF(AND(ISNUMBER(P122),ISNUMBER(Q122),P122&gt;0,ISNUMBER($B$100)),$B$100+3*SQRT($B$100/P122),"")</f>
        <v/>
      </c>
      <c r="U122" s="13">
        <f>IF(AND(ISNUMBER(R122),ISNUMBER(S122),ISNUMBER(T122)),IF(R122&gt;T122,"boven UCL",IF(R122&lt;S122,"onder LCL","")),"")</f>
        <v/>
      </c>
    </row>
    <row r="123">
      <c r="A123" t="n">
        <v>17</v>
      </c>
      <c r="B123" s="7" t="n"/>
      <c r="C123" s="11">
        <f>IF(AND(ISNUMBER(B123),ISNUMBER(B122)),ABS(B123-B122),"")</f>
        <v/>
      </c>
      <c r="D123" s="13">
        <f>IF(AND(ISNUMBER(B123),ISNUMBER($B$88),ISNUMBER($D$88)),IF(B123&gt;$D$88,"boven UCL",IF(B123&lt;$B$88,"onder LCL","")),"")</f>
        <v/>
      </c>
      <c r="E123" s="13">
        <f>IF(AND(ISNUMBER(C123),ISNUMBER($B$89),ISNUMBER($D$89)),IF(C123&gt;$D$89,"boven UCL",IF(C123&lt;$B$89,"onder LCL","")),"")</f>
        <v/>
      </c>
      <c r="G123" t="n">
        <v>17</v>
      </c>
      <c r="H123" s="7" t="n"/>
      <c r="I123" s="7" t="n"/>
      <c r="J123" s="11">
        <f>IF(AND(ISNUMBER(H123),ISNUMBER(I123),H123&gt;0,ISNUMBER($B$94)),I123/H123,"")</f>
        <v/>
      </c>
      <c r="K123" s="11">
        <f>IF(AND(ISNUMBER(H123),ISNUMBER(I123),H123&gt;0,ISNUMBER($B$94)),MAX(0,$B$94-3*SQRT($B$94*(1-$B$94)/H123)),"")</f>
        <v/>
      </c>
      <c r="L123" s="11">
        <f>IF(AND(ISNUMBER(H123),ISNUMBER(I123),H123&gt;0,ISNUMBER($B$94)),$B$94+3*SQRT($B$94*(1-$B$94)/H123),"")</f>
        <v/>
      </c>
      <c r="M123" s="13">
        <f>IF(AND(ISNUMBER(J123),ISNUMBER(K123),ISNUMBER(L123)),IF(J123&gt;L123,"boven UCL",IF(J123&lt;K123,"onder LCL","")),"")</f>
        <v/>
      </c>
      <c r="O123" t="n">
        <v>17</v>
      </c>
      <c r="P123" s="7" t="n"/>
      <c r="Q123" s="7" t="n"/>
      <c r="R123" s="11">
        <f>IF(AND(ISNUMBER(P123),ISNUMBER(Q123),P123&gt;0,ISNUMBER($B$100)),Q123/P123,"")</f>
        <v/>
      </c>
      <c r="S123" s="11">
        <f>IF(AND(ISNUMBER(P123),ISNUMBER(Q123),P123&gt;0,ISNUMBER($B$100)),MAX(0,$B$100-3*SQRT($B$100/P123)),"")</f>
        <v/>
      </c>
      <c r="T123" s="11">
        <f>IF(AND(ISNUMBER(P123),ISNUMBER(Q123),P123&gt;0,ISNUMBER($B$100)),$B$100+3*SQRT($B$100/P123),"")</f>
        <v/>
      </c>
      <c r="U123" s="13">
        <f>IF(AND(ISNUMBER(R123),ISNUMBER(S123),ISNUMBER(T123)),IF(R123&gt;T123,"boven UCL",IF(R123&lt;S123,"onder LCL","")),"")</f>
        <v/>
      </c>
    </row>
    <row r="124">
      <c r="A124" t="n">
        <v>18</v>
      </c>
      <c r="B124" s="7" t="n"/>
      <c r="C124" s="11">
        <f>IF(AND(ISNUMBER(B124),ISNUMBER(B123)),ABS(B124-B123),"")</f>
        <v/>
      </c>
      <c r="D124" s="13">
        <f>IF(AND(ISNUMBER(B124),ISNUMBER($B$88),ISNUMBER($D$88)),IF(B124&gt;$D$88,"boven UCL",IF(B124&lt;$B$88,"onder LCL","")),"")</f>
        <v/>
      </c>
      <c r="E124" s="13">
        <f>IF(AND(ISNUMBER(C124),ISNUMBER($B$89),ISNUMBER($D$89)),IF(C124&gt;$D$89,"boven UCL",IF(C124&lt;$B$89,"onder LCL","")),"")</f>
        <v/>
      </c>
      <c r="G124" t="n">
        <v>18</v>
      </c>
      <c r="H124" s="7" t="n"/>
      <c r="I124" s="7" t="n"/>
      <c r="J124" s="11">
        <f>IF(AND(ISNUMBER(H124),ISNUMBER(I124),H124&gt;0,ISNUMBER($B$94)),I124/H124,"")</f>
        <v/>
      </c>
      <c r="K124" s="11">
        <f>IF(AND(ISNUMBER(H124),ISNUMBER(I124),H124&gt;0,ISNUMBER($B$94)),MAX(0,$B$94-3*SQRT($B$94*(1-$B$94)/H124)),"")</f>
        <v/>
      </c>
      <c r="L124" s="11">
        <f>IF(AND(ISNUMBER(H124),ISNUMBER(I124),H124&gt;0,ISNUMBER($B$94)),$B$94+3*SQRT($B$94*(1-$B$94)/H124),"")</f>
        <v/>
      </c>
      <c r="M124" s="13">
        <f>IF(AND(ISNUMBER(J124),ISNUMBER(K124),ISNUMBER(L124)),IF(J124&gt;L124,"boven UCL",IF(J124&lt;K124,"onder LCL","")),"")</f>
        <v/>
      </c>
      <c r="O124" t="n">
        <v>18</v>
      </c>
      <c r="P124" s="7" t="n"/>
      <c r="Q124" s="7" t="n"/>
      <c r="R124" s="11">
        <f>IF(AND(ISNUMBER(P124),ISNUMBER(Q124),P124&gt;0,ISNUMBER($B$100)),Q124/P124,"")</f>
        <v/>
      </c>
      <c r="S124" s="11">
        <f>IF(AND(ISNUMBER(P124),ISNUMBER(Q124),P124&gt;0,ISNUMBER($B$100)),MAX(0,$B$100-3*SQRT($B$100/P124)),"")</f>
        <v/>
      </c>
      <c r="T124" s="11">
        <f>IF(AND(ISNUMBER(P124),ISNUMBER(Q124),P124&gt;0,ISNUMBER($B$100)),$B$100+3*SQRT($B$100/P124),"")</f>
        <v/>
      </c>
      <c r="U124" s="13">
        <f>IF(AND(ISNUMBER(R124),ISNUMBER(S124),ISNUMBER(T124)),IF(R124&gt;T124,"boven UCL",IF(R124&lt;S124,"onder LCL","")),"")</f>
        <v/>
      </c>
    </row>
    <row r="125">
      <c r="A125" t="n">
        <v>19</v>
      </c>
      <c r="B125" s="7" t="n"/>
      <c r="C125" s="11">
        <f>IF(AND(ISNUMBER(B125),ISNUMBER(B124)),ABS(B125-B124),"")</f>
        <v/>
      </c>
      <c r="D125" s="13">
        <f>IF(AND(ISNUMBER(B125),ISNUMBER($B$88),ISNUMBER($D$88)),IF(B125&gt;$D$88,"boven UCL",IF(B125&lt;$B$88,"onder LCL","")),"")</f>
        <v/>
      </c>
      <c r="E125" s="13">
        <f>IF(AND(ISNUMBER(C125),ISNUMBER($B$89),ISNUMBER($D$89)),IF(C125&gt;$D$89,"boven UCL",IF(C125&lt;$B$89,"onder LCL","")),"")</f>
        <v/>
      </c>
      <c r="G125" t="n">
        <v>19</v>
      </c>
      <c r="H125" s="7" t="n"/>
      <c r="I125" s="7" t="n"/>
      <c r="J125" s="11">
        <f>IF(AND(ISNUMBER(H125),ISNUMBER(I125),H125&gt;0,ISNUMBER($B$94)),I125/H125,"")</f>
        <v/>
      </c>
      <c r="K125" s="11">
        <f>IF(AND(ISNUMBER(H125),ISNUMBER(I125),H125&gt;0,ISNUMBER($B$94)),MAX(0,$B$94-3*SQRT($B$94*(1-$B$94)/H125)),"")</f>
        <v/>
      </c>
      <c r="L125" s="11">
        <f>IF(AND(ISNUMBER(H125),ISNUMBER(I125),H125&gt;0,ISNUMBER($B$94)),$B$94+3*SQRT($B$94*(1-$B$94)/H125),"")</f>
        <v/>
      </c>
      <c r="M125" s="13">
        <f>IF(AND(ISNUMBER(J125),ISNUMBER(K125),ISNUMBER(L125)),IF(J125&gt;L125,"boven UCL",IF(J125&lt;K125,"onder LCL","")),"")</f>
        <v/>
      </c>
      <c r="O125" t="n">
        <v>19</v>
      </c>
      <c r="P125" s="7" t="n"/>
      <c r="Q125" s="7" t="n"/>
      <c r="R125" s="11">
        <f>IF(AND(ISNUMBER(P125),ISNUMBER(Q125),P125&gt;0,ISNUMBER($B$100)),Q125/P125,"")</f>
        <v/>
      </c>
      <c r="S125" s="11">
        <f>IF(AND(ISNUMBER(P125),ISNUMBER(Q125),P125&gt;0,ISNUMBER($B$100)),MAX(0,$B$100-3*SQRT($B$100/P125)),"")</f>
        <v/>
      </c>
      <c r="T125" s="11">
        <f>IF(AND(ISNUMBER(P125),ISNUMBER(Q125),P125&gt;0,ISNUMBER($B$100)),$B$100+3*SQRT($B$100/P125),"")</f>
        <v/>
      </c>
      <c r="U125" s="13">
        <f>IF(AND(ISNUMBER(R125),ISNUMBER(S125),ISNUMBER(T125)),IF(R125&gt;T125,"boven UCL",IF(R125&lt;S125,"onder LCL","")),"")</f>
        <v/>
      </c>
    </row>
    <row r="126">
      <c r="A126" t="n">
        <v>20</v>
      </c>
      <c r="B126" s="7" t="n"/>
      <c r="C126" s="11">
        <f>IF(AND(ISNUMBER(B126),ISNUMBER(B125)),ABS(B126-B125),"")</f>
        <v/>
      </c>
      <c r="D126" s="13">
        <f>IF(AND(ISNUMBER(B126),ISNUMBER($B$88),ISNUMBER($D$88)),IF(B126&gt;$D$88,"boven UCL",IF(B126&lt;$B$88,"onder LCL","")),"")</f>
        <v/>
      </c>
      <c r="E126" s="13">
        <f>IF(AND(ISNUMBER(C126),ISNUMBER($B$89),ISNUMBER($D$89)),IF(C126&gt;$D$89,"boven UCL",IF(C126&lt;$B$89,"onder LCL","")),"")</f>
        <v/>
      </c>
      <c r="G126" t="n">
        <v>20</v>
      </c>
      <c r="H126" s="7" t="n"/>
      <c r="I126" s="7" t="n"/>
      <c r="J126" s="11">
        <f>IF(AND(ISNUMBER(H126),ISNUMBER(I126),H126&gt;0,ISNUMBER($B$94)),I126/H126,"")</f>
        <v/>
      </c>
      <c r="K126" s="11">
        <f>IF(AND(ISNUMBER(H126),ISNUMBER(I126),H126&gt;0,ISNUMBER($B$94)),MAX(0,$B$94-3*SQRT($B$94*(1-$B$94)/H126)),"")</f>
        <v/>
      </c>
      <c r="L126" s="11">
        <f>IF(AND(ISNUMBER(H126),ISNUMBER(I126),H126&gt;0,ISNUMBER($B$94)),$B$94+3*SQRT($B$94*(1-$B$94)/H126),"")</f>
        <v/>
      </c>
      <c r="M126" s="13">
        <f>IF(AND(ISNUMBER(J126),ISNUMBER(K126),ISNUMBER(L126)),IF(J126&gt;L126,"boven UCL",IF(J126&lt;K126,"onder LCL","")),"")</f>
        <v/>
      </c>
      <c r="O126" t="n">
        <v>20</v>
      </c>
      <c r="P126" s="7" t="n"/>
      <c r="Q126" s="7" t="n"/>
      <c r="R126" s="11">
        <f>IF(AND(ISNUMBER(P126),ISNUMBER(Q126),P126&gt;0,ISNUMBER($B$100)),Q126/P126,"")</f>
        <v/>
      </c>
      <c r="S126" s="11">
        <f>IF(AND(ISNUMBER(P126),ISNUMBER(Q126),P126&gt;0,ISNUMBER($B$100)),MAX(0,$B$100-3*SQRT($B$100/P126)),"")</f>
        <v/>
      </c>
      <c r="T126" s="11">
        <f>IF(AND(ISNUMBER(P126),ISNUMBER(Q126),P126&gt;0,ISNUMBER($B$100)),$B$100+3*SQRT($B$100/P126),"")</f>
        <v/>
      </c>
      <c r="U126" s="13">
        <f>IF(AND(ISNUMBER(R126),ISNUMBER(S126),ISNUMBER(T126)),IF(R126&gt;T126,"boven UCL",IF(R126&lt;S126,"onder LCL","")),"")</f>
        <v/>
      </c>
    </row>
    <row r="127">
      <c r="A127" t="n">
        <v>21</v>
      </c>
      <c r="B127" s="7" t="n"/>
      <c r="C127" s="11">
        <f>IF(AND(ISNUMBER(B127),ISNUMBER(B126)),ABS(B127-B126),"")</f>
        <v/>
      </c>
      <c r="D127" s="13">
        <f>IF(AND(ISNUMBER(B127),ISNUMBER($B$88),ISNUMBER($D$88)),IF(B127&gt;$D$88,"boven UCL",IF(B127&lt;$B$88,"onder LCL","")),"")</f>
        <v/>
      </c>
      <c r="E127" s="13">
        <f>IF(AND(ISNUMBER(C127),ISNUMBER($B$89),ISNUMBER($D$89)),IF(C127&gt;$D$89,"boven UCL",IF(C127&lt;$B$89,"onder LCL","")),"")</f>
        <v/>
      </c>
      <c r="G127" t="n">
        <v>21</v>
      </c>
      <c r="H127" s="7" t="n"/>
      <c r="I127" s="7" t="n"/>
      <c r="J127" s="11">
        <f>IF(AND(ISNUMBER(H127),ISNUMBER(I127),H127&gt;0,ISNUMBER($B$94)),I127/H127,"")</f>
        <v/>
      </c>
      <c r="K127" s="11">
        <f>IF(AND(ISNUMBER(H127),ISNUMBER(I127),H127&gt;0,ISNUMBER($B$94)),MAX(0,$B$94-3*SQRT($B$94*(1-$B$94)/H127)),"")</f>
        <v/>
      </c>
      <c r="L127" s="11">
        <f>IF(AND(ISNUMBER(H127),ISNUMBER(I127),H127&gt;0,ISNUMBER($B$94)),$B$94+3*SQRT($B$94*(1-$B$94)/H127),"")</f>
        <v/>
      </c>
      <c r="M127" s="13">
        <f>IF(AND(ISNUMBER(J127),ISNUMBER(K127),ISNUMBER(L127)),IF(J127&gt;L127,"boven UCL",IF(J127&lt;K127,"onder LCL","")),"")</f>
        <v/>
      </c>
      <c r="O127" t="n">
        <v>21</v>
      </c>
      <c r="P127" s="7" t="n"/>
      <c r="Q127" s="7" t="n"/>
      <c r="R127" s="11">
        <f>IF(AND(ISNUMBER(P127),ISNUMBER(Q127),P127&gt;0,ISNUMBER($B$100)),Q127/P127,"")</f>
        <v/>
      </c>
      <c r="S127" s="11">
        <f>IF(AND(ISNUMBER(P127),ISNUMBER(Q127),P127&gt;0,ISNUMBER($B$100)),MAX(0,$B$100-3*SQRT($B$100/P127)),"")</f>
        <v/>
      </c>
      <c r="T127" s="11">
        <f>IF(AND(ISNUMBER(P127),ISNUMBER(Q127),P127&gt;0,ISNUMBER($B$100)),$B$100+3*SQRT($B$100/P127),"")</f>
        <v/>
      </c>
      <c r="U127" s="13">
        <f>IF(AND(ISNUMBER(R127),ISNUMBER(S127),ISNUMBER(T127)),IF(R127&gt;T127,"boven UCL",IF(R127&lt;S127,"onder LCL","")),"")</f>
        <v/>
      </c>
    </row>
    <row r="128">
      <c r="A128" t="n">
        <v>22</v>
      </c>
      <c r="B128" s="7" t="n"/>
      <c r="C128" s="11">
        <f>IF(AND(ISNUMBER(B128),ISNUMBER(B127)),ABS(B128-B127),"")</f>
        <v/>
      </c>
      <c r="D128" s="13">
        <f>IF(AND(ISNUMBER(B128),ISNUMBER($B$88),ISNUMBER($D$88)),IF(B128&gt;$D$88,"boven UCL",IF(B128&lt;$B$88,"onder LCL","")),"")</f>
        <v/>
      </c>
      <c r="E128" s="13">
        <f>IF(AND(ISNUMBER(C128),ISNUMBER($B$89),ISNUMBER($D$89)),IF(C128&gt;$D$89,"boven UCL",IF(C128&lt;$B$89,"onder LCL","")),"")</f>
        <v/>
      </c>
      <c r="G128" t="n">
        <v>22</v>
      </c>
      <c r="H128" s="7" t="n"/>
      <c r="I128" s="7" t="n"/>
      <c r="J128" s="11">
        <f>IF(AND(ISNUMBER(H128),ISNUMBER(I128),H128&gt;0,ISNUMBER($B$94)),I128/H128,"")</f>
        <v/>
      </c>
      <c r="K128" s="11">
        <f>IF(AND(ISNUMBER(H128),ISNUMBER(I128),H128&gt;0,ISNUMBER($B$94)),MAX(0,$B$94-3*SQRT($B$94*(1-$B$94)/H128)),"")</f>
        <v/>
      </c>
      <c r="L128" s="11">
        <f>IF(AND(ISNUMBER(H128),ISNUMBER(I128),H128&gt;0,ISNUMBER($B$94)),$B$94+3*SQRT($B$94*(1-$B$94)/H128),"")</f>
        <v/>
      </c>
      <c r="M128" s="13">
        <f>IF(AND(ISNUMBER(J128),ISNUMBER(K128),ISNUMBER(L128)),IF(J128&gt;L128,"boven UCL",IF(J128&lt;K128,"onder LCL","")),"")</f>
        <v/>
      </c>
      <c r="O128" t="n">
        <v>22</v>
      </c>
      <c r="P128" s="7" t="n"/>
      <c r="Q128" s="7" t="n"/>
      <c r="R128" s="11">
        <f>IF(AND(ISNUMBER(P128),ISNUMBER(Q128),P128&gt;0,ISNUMBER($B$100)),Q128/P128,"")</f>
        <v/>
      </c>
      <c r="S128" s="11">
        <f>IF(AND(ISNUMBER(P128),ISNUMBER(Q128),P128&gt;0,ISNUMBER($B$100)),MAX(0,$B$100-3*SQRT($B$100/P128)),"")</f>
        <v/>
      </c>
      <c r="T128" s="11">
        <f>IF(AND(ISNUMBER(P128),ISNUMBER(Q128),P128&gt;0,ISNUMBER($B$100)),$B$100+3*SQRT($B$100/P128),"")</f>
        <v/>
      </c>
      <c r="U128" s="13">
        <f>IF(AND(ISNUMBER(R128),ISNUMBER(S128),ISNUMBER(T128)),IF(R128&gt;T128,"boven UCL",IF(R128&lt;S128,"onder LCL","")),"")</f>
        <v/>
      </c>
    </row>
    <row r="129">
      <c r="A129" t="n">
        <v>23</v>
      </c>
      <c r="B129" s="7" t="n"/>
      <c r="C129" s="11">
        <f>IF(AND(ISNUMBER(B129),ISNUMBER(B128)),ABS(B129-B128),"")</f>
        <v/>
      </c>
      <c r="D129" s="13">
        <f>IF(AND(ISNUMBER(B129),ISNUMBER($B$88),ISNUMBER($D$88)),IF(B129&gt;$D$88,"boven UCL",IF(B129&lt;$B$88,"onder LCL","")),"")</f>
        <v/>
      </c>
      <c r="E129" s="13">
        <f>IF(AND(ISNUMBER(C129),ISNUMBER($B$89),ISNUMBER($D$89)),IF(C129&gt;$D$89,"boven UCL",IF(C129&lt;$B$89,"onder LCL","")),"")</f>
        <v/>
      </c>
      <c r="G129" t="n">
        <v>23</v>
      </c>
      <c r="H129" s="7" t="n"/>
      <c r="I129" s="7" t="n"/>
      <c r="J129" s="11">
        <f>IF(AND(ISNUMBER(H129),ISNUMBER(I129),H129&gt;0,ISNUMBER($B$94)),I129/H129,"")</f>
        <v/>
      </c>
      <c r="K129" s="11">
        <f>IF(AND(ISNUMBER(H129),ISNUMBER(I129),H129&gt;0,ISNUMBER($B$94)),MAX(0,$B$94-3*SQRT($B$94*(1-$B$94)/H129)),"")</f>
        <v/>
      </c>
      <c r="L129" s="11">
        <f>IF(AND(ISNUMBER(H129),ISNUMBER(I129),H129&gt;0,ISNUMBER($B$94)),$B$94+3*SQRT($B$94*(1-$B$94)/H129),"")</f>
        <v/>
      </c>
      <c r="M129" s="13">
        <f>IF(AND(ISNUMBER(J129),ISNUMBER(K129),ISNUMBER(L129)),IF(J129&gt;L129,"boven UCL",IF(J129&lt;K129,"onder LCL","")),"")</f>
        <v/>
      </c>
      <c r="O129" t="n">
        <v>23</v>
      </c>
      <c r="P129" s="7" t="n"/>
      <c r="Q129" s="7" t="n"/>
      <c r="R129" s="11">
        <f>IF(AND(ISNUMBER(P129),ISNUMBER(Q129),P129&gt;0,ISNUMBER($B$100)),Q129/P129,"")</f>
        <v/>
      </c>
      <c r="S129" s="11">
        <f>IF(AND(ISNUMBER(P129),ISNUMBER(Q129),P129&gt;0,ISNUMBER($B$100)),MAX(0,$B$100-3*SQRT($B$100/P129)),"")</f>
        <v/>
      </c>
      <c r="T129" s="11">
        <f>IF(AND(ISNUMBER(P129),ISNUMBER(Q129),P129&gt;0,ISNUMBER($B$100)),$B$100+3*SQRT($B$100/P129),"")</f>
        <v/>
      </c>
      <c r="U129" s="13">
        <f>IF(AND(ISNUMBER(R129),ISNUMBER(S129),ISNUMBER(T129)),IF(R129&gt;T129,"boven UCL",IF(R129&lt;S129,"onder LCL","")),"")</f>
        <v/>
      </c>
    </row>
    <row r="130">
      <c r="A130" t="n">
        <v>24</v>
      </c>
      <c r="B130" s="7" t="n"/>
      <c r="C130" s="11">
        <f>IF(AND(ISNUMBER(B130),ISNUMBER(B129)),ABS(B130-B129),"")</f>
        <v/>
      </c>
      <c r="D130" s="13">
        <f>IF(AND(ISNUMBER(B130),ISNUMBER($B$88),ISNUMBER($D$88)),IF(B130&gt;$D$88,"boven UCL",IF(B130&lt;$B$88,"onder LCL","")),"")</f>
        <v/>
      </c>
      <c r="E130" s="13">
        <f>IF(AND(ISNUMBER(C130),ISNUMBER($B$89),ISNUMBER($D$89)),IF(C130&gt;$D$89,"boven UCL",IF(C130&lt;$B$89,"onder LCL","")),"")</f>
        <v/>
      </c>
      <c r="G130" t="n">
        <v>24</v>
      </c>
      <c r="H130" s="7" t="n"/>
      <c r="I130" s="7" t="n"/>
      <c r="J130" s="11">
        <f>IF(AND(ISNUMBER(H130),ISNUMBER(I130),H130&gt;0,ISNUMBER($B$94)),I130/H130,"")</f>
        <v/>
      </c>
      <c r="K130" s="11">
        <f>IF(AND(ISNUMBER(H130),ISNUMBER(I130),H130&gt;0,ISNUMBER($B$94)),MAX(0,$B$94-3*SQRT($B$94*(1-$B$94)/H130)),"")</f>
        <v/>
      </c>
      <c r="L130" s="11">
        <f>IF(AND(ISNUMBER(H130),ISNUMBER(I130),H130&gt;0,ISNUMBER($B$94)),$B$94+3*SQRT($B$94*(1-$B$94)/H130),"")</f>
        <v/>
      </c>
      <c r="M130" s="13">
        <f>IF(AND(ISNUMBER(J130),ISNUMBER(K130),ISNUMBER(L130)),IF(J130&gt;L130,"boven UCL",IF(J130&lt;K130,"onder LCL","")),"")</f>
        <v/>
      </c>
      <c r="O130" t="n">
        <v>24</v>
      </c>
      <c r="P130" s="7" t="n"/>
      <c r="Q130" s="7" t="n"/>
      <c r="R130" s="11">
        <f>IF(AND(ISNUMBER(P130),ISNUMBER(Q130),P130&gt;0,ISNUMBER($B$100)),Q130/P130,"")</f>
        <v/>
      </c>
      <c r="S130" s="11">
        <f>IF(AND(ISNUMBER(P130),ISNUMBER(Q130),P130&gt;0,ISNUMBER($B$100)),MAX(0,$B$100-3*SQRT($B$100/P130)),"")</f>
        <v/>
      </c>
      <c r="T130" s="11">
        <f>IF(AND(ISNUMBER(P130),ISNUMBER(Q130),P130&gt;0,ISNUMBER($B$100)),$B$100+3*SQRT($B$100/P130),"")</f>
        <v/>
      </c>
      <c r="U130" s="13">
        <f>IF(AND(ISNUMBER(R130),ISNUMBER(S130),ISNUMBER(T130)),IF(R130&gt;T130,"boven UCL",IF(R130&lt;S130,"onder LCL","")),"")</f>
        <v/>
      </c>
    </row>
    <row r="131">
      <c r="A131" t="n">
        <v>25</v>
      </c>
      <c r="B131" s="7" t="n"/>
      <c r="C131" s="11">
        <f>IF(AND(ISNUMBER(B131),ISNUMBER(B130)),ABS(B131-B130),"")</f>
        <v/>
      </c>
      <c r="D131" s="13">
        <f>IF(AND(ISNUMBER(B131),ISNUMBER($B$88),ISNUMBER($D$88)),IF(B131&gt;$D$88,"boven UCL",IF(B131&lt;$B$88,"onder LCL","")),"")</f>
        <v/>
      </c>
      <c r="E131" s="13">
        <f>IF(AND(ISNUMBER(C131),ISNUMBER($B$89),ISNUMBER($D$89)),IF(C131&gt;$D$89,"boven UCL",IF(C131&lt;$B$89,"onder LCL","")),"")</f>
        <v/>
      </c>
      <c r="G131" t="n">
        <v>25</v>
      </c>
      <c r="H131" s="7" t="n"/>
      <c r="I131" s="7" t="n"/>
      <c r="J131" s="11">
        <f>IF(AND(ISNUMBER(H131),ISNUMBER(I131),H131&gt;0,ISNUMBER($B$94)),I131/H131,"")</f>
        <v/>
      </c>
      <c r="K131" s="11">
        <f>IF(AND(ISNUMBER(H131),ISNUMBER(I131),H131&gt;0,ISNUMBER($B$94)),MAX(0,$B$94-3*SQRT($B$94*(1-$B$94)/H131)),"")</f>
        <v/>
      </c>
      <c r="L131" s="11">
        <f>IF(AND(ISNUMBER(H131),ISNUMBER(I131),H131&gt;0,ISNUMBER($B$94)),$B$94+3*SQRT($B$94*(1-$B$94)/H131),"")</f>
        <v/>
      </c>
      <c r="M131" s="13">
        <f>IF(AND(ISNUMBER(J131),ISNUMBER(K131),ISNUMBER(L131)),IF(J131&gt;L131,"boven UCL",IF(J131&lt;K131,"onder LCL","")),"")</f>
        <v/>
      </c>
      <c r="O131" t="n">
        <v>25</v>
      </c>
      <c r="P131" s="7" t="n"/>
      <c r="Q131" s="7" t="n"/>
      <c r="R131" s="11">
        <f>IF(AND(ISNUMBER(P131),ISNUMBER(Q131),P131&gt;0,ISNUMBER($B$100)),Q131/P131,"")</f>
        <v/>
      </c>
      <c r="S131" s="11">
        <f>IF(AND(ISNUMBER(P131),ISNUMBER(Q131),P131&gt;0,ISNUMBER($B$100)),MAX(0,$B$100-3*SQRT($B$100/P131)),"")</f>
        <v/>
      </c>
      <c r="T131" s="11">
        <f>IF(AND(ISNUMBER(P131),ISNUMBER(Q131),P131&gt;0,ISNUMBER($B$100)),$B$100+3*SQRT($B$100/P131),"")</f>
        <v/>
      </c>
      <c r="U131" s="13">
        <f>IF(AND(ISNUMBER(R131),ISNUMBER(S131),ISNUMBER(T131)),IF(R131&gt;T131,"boven UCL",IF(R131&lt;S131,"onder LCL","")),"")</f>
        <v/>
      </c>
    </row>
    <row r="132">
      <c r="A132" t="n">
        <v>26</v>
      </c>
      <c r="B132" s="7" t="n"/>
      <c r="C132" s="11">
        <f>IF(AND(ISNUMBER(B132),ISNUMBER(B131)),ABS(B132-B131),"")</f>
        <v/>
      </c>
      <c r="D132" s="13">
        <f>IF(AND(ISNUMBER(B132),ISNUMBER($B$88),ISNUMBER($D$88)),IF(B132&gt;$D$88,"boven UCL",IF(B132&lt;$B$88,"onder LCL","")),"")</f>
        <v/>
      </c>
      <c r="E132" s="13">
        <f>IF(AND(ISNUMBER(C132),ISNUMBER($B$89),ISNUMBER($D$89)),IF(C132&gt;$D$89,"boven UCL",IF(C132&lt;$B$89,"onder LCL","")),"")</f>
        <v/>
      </c>
      <c r="G132" t="n">
        <v>26</v>
      </c>
      <c r="H132" s="7" t="n"/>
      <c r="I132" s="7" t="n"/>
      <c r="J132" s="11">
        <f>IF(AND(ISNUMBER(H132),ISNUMBER(I132),H132&gt;0,ISNUMBER($B$94)),I132/H132,"")</f>
        <v/>
      </c>
      <c r="K132" s="11">
        <f>IF(AND(ISNUMBER(H132),ISNUMBER(I132),H132&gt;0,ISNUMBER($B$94)),MAX(0,$B$94-3*SQRT($B$94*(1-$B$94)/H132)),"")</f>
        <v/>
      </c>
      <c r="L132" s="11">
        <f>IF(AND(ISNUMBER(H132),ISNUMBER(I132),H132&gt;0,ISNUMBER($B$94)),$B$94+3*SQRT($B$94*(1-$B$94)/H132),"")</f>
        <v/>
      </c>
      <c r="M132" s="13">
        <f>IF(AND(ISNUMBER(J132),ISNUMBER(K132),ISNUMBER(L132)),IF(J132&gt;L132,"boven UCL",IF(J132&lt;K132,"onder LCL","")),"")</f>
        <v/>
      </c>
      <c r="O132" t="n">
        <v>26</v>
      </c>
      <c r="P132" s="7" t="n"/>
      <c r="Q132" s="7" t="n"/>
      <c r="R132" s="11">
        <f>IF(AND(ISNUMBER(P132),ISNUMBER(Q132),P132&gt;0,ISNUMBER($B$100)),Q132/P132,"")</f>
        <v/>
      </c>
      <c r="S132" s="11">
        <f>IF(AND(ISNUMBER(P132),ISNUMBER(Q132),P132&gt;0,ISNUMBER($B$100)),MAX(0,$B$100-3*SQRT($B$100/P132)),"")</f>
        <v/>
      </c>
      <c r="T132" s="11">
        <f>IF(AND(ISNUMBER(P132),ISNUMBER(Q132),P132&gt;0,ISNUMBER($B$100)),$B$100+3*SQRT($B$100/P132),"")</f>
        <v/>
      </c>
      <c r="U132" s="13">
        <f>IF(AND(ISNUMBER(R132),ISNUMBER(S132),ISNUMBER(T132)),IF(R132&gt;T132,"boven UCL",IF(R132&lt;S132,"onder LCL","")),"")</f>
        <v/>
      </c>
    </row>
    <row r="133">
      <c r="A133" t="n">
        <v>27</v>
      </c>
      <c r="B133" s="7" t="n"/>
      <c r="C133" s="11">
        <f>IF(AND(ISNUMBER(B133),ISNUMBER(B132)),ABS(B133-B132),"")</f>
        <v/>
      </c>
      <c r="D133" s="13">
        <f>IF(AND(ISNUMBER(B133),ISNUMBER($B$88),ISNUMBER($D$88)),IF(B133&gt;$D$88,"boven UCL",IF(B133&lt;$B$88,"onder LCL","")),"")</f>
        <v/>
      </c>
      <c r="E133" s="13">
        <f>IF(AND(ISNUMBER(C133),ISNUMBER($B$89),ISNUMBER($D$89)),IF(C133&gt;$D$89,"boven UCL",IF(C133&lt;$B$89,"onder LCL","")),"")</f>
        <v/>
      </c>
      <c r="G133" t="n">
        <v>27</v>
      </c>
      <c r="H133" s="7" t="n"/>
      <c r="I133" s="7" t="n"/>
      <c r="J133" s="11">
        <f>IF(AND(ISNUMBER(H133),ISNUMBER(I133),H133&gt;0,ISNUMBER($B$94)),I133/H133,"")</f>
        <v/>
      </c>
      <c r="K133" s="11">
        <f>IF(AND(ISNUMBER(H133),ISNUMBER(I133),H133&gt;0,ISNUMBER($B$94)),MAX(0,$B$94-3*SQRT($B$94*(1-$B$94)/H133)),"")</f>
        <v/>
      </c>
      <c r="L133" s="11">
        <f>IF(AND(ISNUMBER(H133),ISNUMBER(I133),H133&gt;0,ISNUMBER($B$94)),$B$94+3*SQRT($B$94*(1-$B$94)/H133),"")</f>
        <v/>
      </c>
      <c r="M133" s="13">
        <f>IF(AND(ISNUMBER(J133),ISNUMBER(K133),ISNUMBER(L133)),IF(J133&gt;L133,"boven UCL",IF(J133&lt;K133,"onder LCL","")),"")</f>
        <v/>
      </c>
      <c r="O133" t="n">
        <v>27</v>
      </c>
      <c r="P133" s="7" t="n"/>
      <c r="Q133" s="7" t="n"/>
      <c r="R133" s="11">
        <f>IF(AND(ISNUMBER(P133),ISNUMBER(Q133),P133&gt;0,ISNUMBER($B$100)),Q133/P133,"")</f>
        <v/>
      </c>
      <c r="S133" s="11">
        <f>IF(AND(ISNUMBER(P133),ISNUMBER(Q133),P133&gt;0,ISNUMBER($B$100)),MAX(0,$B$100-3*SQRT($B$100/P133)),"")</f>
        <v/>
      </c>
      <c r="T133" s="11">
        <f>IF(AND(ISNUMBER(P133),ISNUMBER(Q133),P133&gt;0,ISNUMBER($B$100)),$B$100+3*SQRT($B$100/P133),"")</f>
        <v/>
      </c>
      <c r="U133" s="13">
        <f>IF(AND(ISNUMBER(R133),ISNUMBER(S133),ISNUMBER(T133)),IF(R133&gt;T133,"boven UCL",IF(R133&lt;S133,"onder LCL","")),"")</f>
        <v/>
      </c>
    </row>
    <row r="134">
      <c r="A134" t="n">
        <v>28</v>
      </c>
      <c r="B134" s="7" t="n"/>
      <c r="C134" s="11">
        <f>IF(AND(ISNUMBER(B134),ISNUMBER(B133)),ABS(B134-B133),"")</f>
        <v/>
      </c>
      <c r="D134" s="13">
        <f>IF(AND(ISNUMBER(B134),ISNUMBER($B$88),ISNUMBER($D$88)),IF(B134&gt;$D$88,"boven UCL",IF(B134&lt;$B$88,"onder LCL","")),"")</f>
        <v/>
      </c>
      <c r="E134" s="13">
        <f>IF(AND(ISNUMBER(C134),ISNUMBER($B$89),ISNUMBER($D$89)),IF(C134&gt;$D$89,"boven UCL",IF(C134&lt;$B$89,"onder LCL","")),"")</f>
        <v/>
      </c>
      <c r="G134" t="n">
        <v>28</v>
      </c>
      <c r="H134" s="7" t="n"/>
      <c r="I134" s="7" t="n"/>
      <c r="J134" s="11">
        <f>IF(AND(ISNUMBER(H134),ISNUMBER(I134),H134&gt;0,ISNUMBER($B$94)),I134/H134,"")</f>
        <v/>
      </c>
      <c r="K134" s="11">
        <f>IF(AND(ISNUMBER(H134),ISNUMBER(I134),H134&gt;0,ISNUMBER($B$94)),MAX(0,$B$94-3*SQRT($B$94*(1-$B$94)/H134)),"")</f>
        <v/>
      </c>
      <c r="L134" s="11">
        <f>IF(AND(ISNUMBER(H134),ISNUMBER(I134),H134&gt;0,ISNUMBER($B$94)),$B$94+3*SQRT($B$94*(1-$B$94)/H134),"")</f>
        <v/>
      </c>
      <c r="M134" s="13">
        <f>IF(AND(ISNUMBER(J134),ISNUMBER(K134),ISNUMBER(L134)),IF(J134&gt;L134,"boven UCL",IF(J134&lt;K134,"onder LCL","")),"")</f>
        <v/>
      </c>
      <c r="O134" t="n">
        <v>28</v>
      </c>
      <c r="P134" s="7" t="n"/>
      <c r="Q134" s="7" t="n"/>
      <c r="R134" s="11">
        <f>IF(AND(ISNUMBER(P134),ISNUMBER(Q134),P134&gt;0,ISNUMBER($B$100)),Q134/P134,"")</f>
        <v/>
      </c>
      <c r="S134" s="11">
        <f>IF(AND(ISNUMBER(P134),ISNUMBER(Q134),P134&gt;0,ISNUMBER($B$100)),MAX(0,$B$100-3*SQRT($B$100/P134)),"")</f>
        <v/>
      </c>
      <c r="T134" s="11">
        <f>IF(AND(ISNUMBER(P134),ISNUMBER(Q134),P134&gt;0,ISNUMBER($B$100)),$B$100+3*SQRT($B$100/P134),"")</f>
        <v/>
      </c>
      <c r="U134" s="13">
        <f>IF(AND(ISNUMBER(R134),ISNUMBER(S134),ISNUMBER(T134)),IF(R134&gt;T134,"boven UCL",IF(R134&lt;S134,"onder LCL","")),"")</f>
        <v/>
      </c>
    </row>
    <row r="135">
      <c r="A135" t="n">
        <v>29</v>
      </c>
      <c r="B135" s="7" t="n"/>
      <c r="C135" s="11">
        <f>IF(AND(ISNUMBER(B135),ISNUMBER(B134)),ABS(B135-B134),"")</f>
        <v/>
      </c>
      <c r="D135" s="13">
        <f>IF(AND(ISNUMBER(B135),ISNUMBER($B$88),ISNUMBER($D$88)),IF(B135&gt;$D$88,"boven UCL",IF(B135&lt;$B$88,"onder LCL","")),"")</f>
        <v/>
      </c>
      <c r="E135" s="13">
        <f>IF(AND(ISNUMBER(C135),ISNUMBER($B$89),ISNUMBER($D$89)),IF(C135&gt;$D$89,"boven UCL",IF(C135&lt;$B$89,"onder LCL","")),"")</f>
        <v/>
      </c>
      <c r="G135" t="n">
        <v>29</v>
      </c>
      <c r="H135" s="7" t="n"/>
      <c r="I135" s="7" t="n"/>
      <c r="J135" s="11">
        <f>IF(AND(ISNUMBER(H135),ISNUMBER(I135),H135&gt;0,ISNUMBER($B$94)),I135/H135,"")</f>
        <v/>
      </c>
      <c r="K135" s="11">
        <f>IF(AND(ISNUMBER(H135),ISNUMBER(I135),H135&gt;0,ISNUMBER($B$94)),MAX(0,$B$94-3*SQRT($B$94*(1-$B$94)/H135)),"")</f>
        <v/>
      </c>
      <c r="L135" s="11">
        <f>IF(AND(ISNUMBER(H135),ISNUMBER(I135),H135&gt;0,ISNUMBER($B$94)),$B$94+3*SQRT($B$94*(1-$B$94)/H135),"")</f>
        <v/>
      </c>
      <c r="M135" s="13">
        <f>IF(AND(ISNUMBER(J135),ISNUMBER(K135),ISNUMBER(L135)),IF(J135&gt;L135,"boven UCL",IF(J135&lt;K135,"onder LCL","")),"")</f>
        <v/>
      </c>
      <c r="O135" t="n">
        <v>29</v>
      </c>
      <c r="P135" s="7" t="n"/>
      <c r="Q135" s="7" t="n"/>
      <c r="R135" s="11">
        <f>IF(AND(ISNUMBER(P135),ISNUMBER(Q135),P135&gt;0,ISNUMBER($B$100)),Q135/P135,"")</f>
        <v/>
      </c>
      <c r="S135" s="11">
        <f>IF(AND(ISNUMBER(P135),ISNUMBER(Q135),P135&gt;0,ISNUMBER($B$100)),MAX(0,$B$100-3*SQRT($B$100/P135)),"")</f>
        <v/>
      </c>
      <c r="T135" s="11">
        <f>IF(AND(ISNUMBER(P135),ISNUMBER(Q135),P135&gt;0,ISNUMBER($B$100)),$B$100+3*SQRT($B$100/P135),"")</f>
        <v/>
      </c>
      <c r="U135" s="13">
        <f>IF(AND(ISNUMBER(R135),ISNUMBER(S135),ISNUMBER(T135)),IF(R135&gt;T135,"boven UCL",IF(R135&lt;S135,"onder LCL","")),"")</f>
        <v/>
      </c>
    </row>
    <row r="136">
      <c r="A136" t="n">
        <v>30</v>
      </c>
      <c r="B136" s="7" t="n"/>
      <c r="C136" s="11">
        <f>IF(AND(ISNUMBER(B136),ISNUMBER(B135)),ABS(B136-B135),"")</f>
        <v/>
      </c>
      <c r="D136" s="13">
        <f>IF(AND(ISNUMBER(B136),ISNUMBER($B$88),ISNUMBER($D$88)),IF(B136&gt;$D$88,"boven UCL",IF(B136&lt;$B$88,"onder LCL","")),"")</f>
        <v/>
      </c>
      <c r="E136" s="13">
        <f>IF(AND(ISNUMBER(C136),ISNUMBER($B$89),ISNUMBER($D$89)),IF(C136&gt;$D$89,"boven UCL",IF(C136&lt;$B$89,"onder LCL","")),"")</f>
        <v/>
      </c>
      <c r="G136" t="n">
        <v>30</v>
      </c>
      <c r="H136" s="7" t="n"/>
      <c r="I136" s="7" t="n"/>
      <c r="J136" s="11">
        <f>IF(AND(ISNUMBER(H136),ISNUMBER(I136),H136&gt;0,ISNUMBER($B$94)),I136/H136,"")</f>
        <v/>
      </c>
      <c r="K136" s="11">
        <f>IF(AND(ISNUMBER(H136),ISNUMBER(I136),H136&gt;0,ISNUMBER($B$94)),MAX(0,$B$94-3*SQRT($B$94*(1-$B$94)/H136)),"")</f>
        <v/>
      </c>
      <c r="L136" s="11">
        <f>IF(AND(ISNUMBER(H136),ISNUMBER(I136),H136&gt;0,ISNUMBER($B$94)),$B$94+3*SQRT($B$94*(1-$B$94)/H136),"")</f>
        <v/>
      </c>
      <c r="M136" s="13">
        <f>IF(AND(ISNUMBER(J136),ISNUMBER(K136),ISNUMBER(L136)),IF(J136&gt;L136,"boven UCL",IF(J136&lt;K136,"onder LCL","")),"")</f>
        <v/>
      </c>
      <c r="O136" t="n">
        <v>30</v>
      </c>
      <c r="P136" s="7" t="n"/>
      <c r="Q136" s="7" t="n"/>
      <c r="R136" s="11">
        <f>IF(AND(ISNUMBER(P136),ISNUMBER(Q136),P136&gt;0,ISNUMBER($B$100)),Q136/P136,"")</f>
        <v/>
      </c>
      <c r="S136" s="11">
        <f>IF(AND(ISNUMBER(P136),ISNUMBER(Q136),P136&gt;0,ISNUMBER($B$100)),MAX(0,$B$100-3*SQRT($B$100/P136)),"")</f>
        <v/>
      </c>
      <c r="T136" s="11">
        <f>IF(AND(ISNUMBER(P136),ISNUMBER(Q136),P136&gt;0,ISNUMBER($B$100)),$B$100+3*SQRT($B$100/P136),"")</f>
        <v/>
      </c>
      <c r="U136" s="13">
        <f>IF(AND(ISNUMBER(R136),ISNUMBER(S136),ISNUMBER(T136)),IF(R136&gt;T136,"boven UCL",IF(R136&lt;S136,"onder LCL","")),"")</f>
        <v/>
      </c>
    </row>
    <row r="137">
      <c r="A137" t="n">
        <v>31</v>
      </c>
      <c r="B137" s="7" t="n"/>
      <c r="C137" s="11">
        <f>IF(AND(ISNUMBER(B137),ISNUMBER(B136)),ABS(B137-B136),"")</f>
        <v/>
      </c>
      <c r="D137" s="13">
        <f>IF(AND(ISNUMBER(B137),ISNUMBER($B$88),ISNUMBER($D$88)),IF(B137&gt;$D$88,"boven UCL",IF(B137&lt;$B$88,"onder LCL","")),"")</f>
        <v/>
      </c>
      <c r="E137" s="13">
        <f>IF(AND(ISNUMBER(C137),ISNUMBER($B$89),ISNUMBER($D$89)),IF(C137&gt;$D$89,"boven UCL",IF(C137&lt;$B$89,"onder LCL","")),"")</f>
        <v/>
      </c>
      <c r="G137" t="n">
        <v>31</v>
      </c>
      <c r="H137" s="7" t="n"/>
      <c r="I137" s="7" t="n"/>
      <c r="J137" s="11">
        <f>IF(AND(ISNUMBER(H137),ISNUMBER(I137),H137&gt;0,ISNUMBER($B$94)),I137/H137,"")</f>
        <v/>
      </c>
      <c r="K137" s="11">
        <f>IF(AND(ISNUMBER(H137),ISNUMBER(I137),H137&gt;0,ISNUMBER($B$94)),MAX(0,$B$94-3*SQRT($B$94*(1-$B$94)/H137)),"")</f>
        <v/>
      </c>
      <c r="L137" s="11">
        <f>IF(AND(ISNUMBER(H137),ISNUMBER(I137),H137&gt;0,ISNUMBER($B$94)),$B$94+3*SQRT($B$94*(1-$B$94)/H137),"")</f>
        <v/>
      </c>
      <c r="M137" s="13">
        <f>IF(AND(ISNUMBER(J137),ISNUMBER(K137),ISNUMBER(L137)),IF(J137&gt;L137,"boven UCL",IF(J137&lt;K137,"onder LCL","")),"")</f>
        <v/>
      </c>
      <c r="O137" t="n">
        <v>31</v>
      </c>
      <c r="P137" s="7" t="n"/>
      <c r="Q137" s="7" t="n"/>
      <c r="R137" s="11">
        <f>IF(AND(ISNUMBER(P137),ISNUMBER(Q137),P137&gt;0,ISNUMBER($B$100)),Q137/P137,"")</f>
        <v/>
      </c>
      <c r="S137" s="11">
        <f>IF(AND(ISNUMBER(P137),ISNUMBER(Q137),P137&gt;0,ISNUMBER($B$100)),MAX(0,$B$100-3*SQRT($B$100/P137)),"")</f>
        <v/>
      </c>
      <c r="T137" s="11">
        <f>IF(AND(ISNUMBER(P137),ISNUMBER(Q137),P137&gt;0,ISNUMBER($B$100)),$B$100+3*SQRT($B$100/P137),"")</f>
        <v/>
      </c>
      <c r="U137" s="13">
        <f>IF(AND(ISNUMBER(R137),ISNUMBER(S137),ISNUMBER(T137)),IF(R137&gt;T137,"boven UCL",IF(R137&lt;S137,"onder LCL","")),"")</f>
        <v/>
      </c>
    </row>
    <row r="138">
      <c r="A138" t="n">
        <v>32</v>
      </c>
      <c r="B138" s="7" t="n"/>
      <c r="C138" s="11">
        <f>IF(AND(ISNUMBER(B138),ISNUMBER(B137)),ABS(B138-B137),"")</f>
        <v/>
      </c>
      <c r="D138" s="13">
        <f>IF(AND(ISNUMBER(B138),ISNUMBER($B$88),ISNUMBER($D$88)),IF(B138&gt;$D$88,"boven UCL",IF(B138&lt;$B$88,"onder LCL","")),"")</f>
        <v/>
      </c>
      <c r="E138" s="13">
        <f>IF(AND(ISNUMBER(C138),ISNUMBER($B$89),ISNUMBER($D$89)),IF(C138&gt;$D$89,"boven UCL",IF(C138&lt;$B$89,"onder LCL","")),"")</f>
        <v/>
      </c>
      <c r="G138" t="n">
        <v>32</v>
      </c>
      <c r="H138" s="7" t="n"/>
      <c r="I138" s="7" t="n"/>
      <c r="J138" s="11">
        <f>IF(AND(ISNUMBER(H138),ISNUMBER(I138),H138&gt;0,ISNUMBER($B$94)),I138/H138,"")</f>
        <v/>
      </c>
      <c r="K138" s="11">
        <f>IF(AND(ISNUMBER(H138),ISNUMBER(I138),H138&gt;0,ISNUMBER($B$94)),MAX(0,$B$94-3*SQRT($B$94*(1-$B$94)/H138)),"")</f>
        <v/>
      </c>
      <c r="L138" s="11">
        <f>IF(AND(ISNUMBER(H138),ISNUMBER(I138),H138&gt;0,ISNUMBER($B$94)),$B$94+3*SQRT($B$94*(1-$B$94)/H138),"")</f>
        <v/>
      </c>
      <c r="M138" s="13">
        <f>IF(AND(ISNUMBER(J138),ISNUMBER(K138),ISNUMBER(L138)),IF(J138&gt;L138,"boven UCL",IF(J138&lt;K138,"onder LCL","")),"")</f>
        <v/>
      </c>
      <c r="O138" t="n">
        <v>32</v>
      </c>
      <c r="P138" s="7" t="n"/>
      <c r="Q138" s="7" t="n"/>
      <c r="R138" s="11">
        <f>IF(AND(ISNUMBER(P138),ISNUMBER(Q138),P138&gt;0,ISNUMBER($B$100)),Q138/P138,"")</f>
        <v/>
      </c>
      <c r="S138" s="11">
        <f>IF(AND(ISNUMBER(P138),ISNUMBER(Q138),P138&gt;0,ISNUMBER($B$100)),MAX(0,$B$100-3*SQRT($B$100/P138)),"")</f>
        <v/>
      </c>
      <c r="T138" s="11">
        <f>IF(AND(ISNUMBER(P138),ISNUMBER(Q138),P138&gt;0,ISNUMBER($B$100)),$B$100+3*SQRT($B$100/P138),"")</f>
        <v/>
      </c>
      <c r="U138" s="13">
        <f>IF(AND(ISNUMBER(R138),ISNUMBER(S138),ISNUMBER(T138)),IF(R138&gt;T138,"boven UCL",IF(R138&lt;S138,"onder LCL","")),"")</f>
        <v/>
      </c>
    </row>
    <row r="139">
      <c r="A139" t="n">
        <v>33</v>
      </c>
      <c r="B139" s="7" t="n"/>
      <c r="C139" s="11">
        <f>IF(AND(ISNUMBER(B139),ISNUMBER(B138)),ABS(B139-B138),"")</f>
        <v/>
      </c>
      <c r="D139" s="13">
        <f>IF(AND(ISNUMBER(B139),ISNUMBER($B$88),ISNUMBER($D$88)),IF(B139&gt;$D$88,"boven UCL",IF(B139&lt;$B$88,"onder LCL","")),"")</f>
        <v/>
      </c>
      <c r="E139" s="13">
        <f>IF(AND(ISNUMBER(C139),ISNUMBER($B$89),ISNUMBER($D$89)),IF(C139&gt;$D$89,"boven UCL",IF(C139&lt;$B$89,"onder LCL","")),"")</f>
        <v/>
      </c>
      <c r="G139" t="n">
        <v>33</v>
      </c>
      <c r="H139" s="7" t="n"/>
      <c r="I139" s="7" t="n"/>
      <c r="J139" s="11">
        <f>IF(AND(ISNUMBER(H139),ISNUMBER(I139),H139&gt;0,ISNUMBER($B$94)),I139/H139,"")</f>
        <v/>
      </c>
      <c r="K139" s="11">
        <f>IF(AND(ISNUMBER(H139),ISNUMBER(I139),H139&gt;0,ISNUMBER($B$94)),MAX(0,$B$94-3*SQRT($B$94*(1-$B$94)/H139)),"")</f>
        <v/>
      </c>
      <c r="L139" s="11">
        <f>IF(AND(ISNUMBER(H139),ISNUMBER(I139),H139&gt;0,ISNUMBER($B$94)),$B$94+3*SQRT($B$94*(1-$B$94)/H139),"")</f>
        <v/>
      </c>
      <c r="M139" s="13">
        <f>IF(AND(ISNUMBER(J139),ISNUMBER(K139),ISNUMBER(L139)),IF(J139&gt;L139,"boven UCL",IF(J139&lt;K139,"onder LCL","")),"")</f>
        <v/>
      </c>
      <c r="O139" t="n">
        <v>33</v>
      </c>
      <c r="P139" s="7" t="n"/>
      <c r="Q139" s="7" t="n"/>
      <c r="R139" s="11">
        <f>IF(AND(ISNUMBER(P139),ISNUMBER(Q139),P139&gt;0,ISNUMBER($B$100)),Q139/P139,"")</f>
        <v/>
      </c>
      <c r="S139" s="11">
        <f>IF(AND(ISNUMBER(P139),ISNUMBER(Q139),P139&gt;0,ISNUMBER($B$100)),MAX(0,$B$100-3*SQRT($B$100/P139)),"")</f>
        <v/>
      </c>
      <c r="T139" s="11">
        <f>IF(AND(ISNUMBER(P139),ISNUMBER(Q139),P139&gt;0,ISNUMBER($B$100)),$B$100+3*SQRT($B$100/P139),"")</f>
        <v/>
      </c>
      <c r="U139" s="13">
        <f>IF(AND(ISNUMBER(R139),ISNUMBER(S139),ISNUMBER(T139)),IF(R139&gt;T139,"boven UCL",IF(R139&lt;S139,"onder LCL","")),"")</f>
        <v/>
      </c>
    </row>
    <row r="140">
      <c r="A140" t="n">
        <v>34</v>
      </c>
      <c r="B140" s="7" t="n"/>
      <c r="C140" s="11">
        <f>IF(AND(ISNUMBER(B140),ISNUMBER(B139)),ABS(B140-B139),"")</f>
        <v/>
      </c>
      <c r="D140" s="13">
        <f>IF(AND(ISNUMBER(B140),ISNUMBER($B$88),ISNUMBER($D$88)),IF(B140&gt;$D$88,"boven UCL",IF(B140&lt;$B$88,"onder LCL","")),"")</f>
        <v/>
      </c>
      <c r="E140" s="13">
        <f>IF(AND(ISNUMBER(C140),ISNUMBER($B$89),ISNUMBER($D$89)),IF(C140&gt;$D$89,"boven UCL",IF(C140&lt;$B$89,"onder LCL","")),"")</f>
        <v/>
      </c>
      <c r="G140" t="n">
        <v>34</v>
      </c>
      <c r="H140" s="7" t="n"/>
      <c r="I140" s="7" t="n"/>
      <c r="J140" s="11">
        <f>IF(AND(ISNUMBER(H140),ISNUMBER(I140),H140&gt;0,ISNUMBER($B$94)),I140/H140,"")</f>
        <v/>
      </c>
      <c r="K140" s="11">
        <f>IF(AND(ISNUMBER(H140),ISNUMBER(I140),H140&gt;0,ISNUMBER($B$94)),MAX(0,$B$94-3*SQRT($B$94*(1-$B$94)/H140)),"")</f>
        <v/>
      </c>
      <c r="L140" s="11">
        <f>IF(AND(ISNUMBER(H140),ISNUMBER(I140),H140&gt;0,ISNUMBER($B$94)),$B$94+3*SQRT($B$94*(1-$B$94)/H140),"")</f>
        <v/>
      </c>
      <c r="M140" s="13">
        <f>IF(AND(ISNUMBER(J140),ISNUMBER(K140),ISNUMBER(L140)),IF(J140&gt;L140,"boven UCL",IF(J140&lt;K140,"onder LCL","")),"")</f>
        <v/>
      </c>
      <c r="O140" t="n">
        <v>34</v>
      </c>
      <c r="P140" s="7" t="n"/>
      <c r="Q140" s="7" t="n"/>
      <c r="R140" s="11">
        <f>IF(AND(ISNUMBER(P140),ISNUMBER(Q140),P140&gt;0,ISNUMBER($B$100)),Q140/P140,"")</f>
        <v/>
      </c>
      <c r="S140" s="11">
        <f>IF(AND(ISNUMBER(P140),ISNUMBER(Q140),P140&gt;0,ISNUMBER($B$100)),MAX(0,$B$100-3*SQRT($B$100/P140)),"")</f>
        <v/>
      </c>
      <c r="T140" s="11">
        <f>IF(AND(ISNUMBER(P140),ISNUMBER(Q140),P140&gt;0,ISNUMBER($B$100)),$B$100+3*SQRT($B$100/P140),"")</f>
        <v/>
      </c>
      <c r="U140" s="13">
        <f>IF(AND(ISNUMBER(R140),ISNUMBER(S140),ISNUMBER(T140)),IF(R140&gt;T140,"boven UCL",IF(R140&lt;S140,"onder LCL","")),"")</f>
        <v/>
      </c>
    </row>
    <row r="141">
      <c r="A141" t="n">
        <v>35</v>
      </c>
      <c r="B141" s="7" t="n"/>
      <c r="C141" s="11">
        <f>IF(AND(ISNUMBER(B141),ISNUMBER(B140)),ABS(B141-B140),"")</f>
        <v/>
      </c>
      <c r="D141" s="13">
        <f>IF(AND(ISNUMBER(B141),ISNUMBER($B$88),ISNUMBER($D$88)),IF(B141&gt;$D$88,"boven UCL",IF(B141&lt;$B$88,"onder LCL","")),"")</f>
        <v/>
      </c>
      <c r="E141" s="13">
        <f>IF(AND(ISNUMBER(C141),ISNUMBER($B$89),ISNUMBER($D$89)),IF(C141&gt;$D$89,"boven UCL",IF(C141&lt;$B$89,"onder LCL","")),"")</f>
        <v/>
      </c>
      <c r="G141" t="n">
        <v>35</v>
      </c>
      <c r="H141" s="7" t="n"/>
      <c r="I141" s="7" t="n"/>
      <c r="J141" s="11">
        <f>IF(AND(ISNUMBER(H141),ISNUMBER(I141),H141&gt;0,ISNUMBER($B$94)),I141/H141,"")</f>
        <v/>
      </c>
      <c r="K141" s="11">
        <f>IF(AND(ISNUMBER(H141),ISNUMBER(I141),H141&gt;0,ISNUMBER($B$94)),MAX(0,$B$94-3*SQRT($B$94*(1-$B$94)/H141)),"")</f>
        <v/>
      </c>
      <c r="L141" s="11">
        <f>IF(AND(ISNUMBER(H141),ISNUMBER(I141),H141&gt;0,ISNUMBER($B$94)),$B$94+3*SQRT($B$94*(1-$B$94)/H141),"")</f>
        <v/>
      </c>
      <c r="M141" s="13">
        <f>IF(AND(ISNUMBER(J141),ISNUMBER(K141),ISNUMBER(L141)),IF(J141&gt;L141,"boven UCL",IF(J141&lt;K141,"onder LCL","")),"")</f>
        <v/>
      </c>
      <c r="O141" t="n">
        <v>35</v>
      </c>
      <c r="P141" s="7" t="n"/>
      <c r="Q141" s="7" t="n"/>
      <c r="R141" s="11">
        <f>IF(AND(ISNUMBER(P141),ISNUMBER(Q141),P141&gt;0,ISNUMBER($B$100)),Q141/P141,"")</f>
        <v/>
      </c>
      <c r="S141" s="11">
        <f>IF(AND(ISNUMBER(P141),ISNUMBER(Q141),P141&gt;0,ISNUMBER($B$100)),MAX(0,$B$100-3*SQRT($B$100/P141)),"")</f>
        <v/>
      </c>
      <c r="T141" s="11">
        <f>IF(AND(ISNUMBER(P141),ISNUMBER(Q141),P141&gt;0,ISNUMBER($B$100)),$B$100+3*SQRT($B$100/P141),"")</f>
        <v/>
      </c>
      <c r="U141" s="13">
        <f>IF(AND(ISNUMBER(R141),ISNUMBER(S141),ISNUMBER(T141)),IF(R141&gt;T141,"boven UCL",IF(R141&lt;S141,"onder LCL","")),"")</f>
        <v/>
      </c>
    </row>
    <row r="142">
      <c r="A142" t="n">
        <v>36</v>
      </c>
      <c r="B142" s="7" t="n"/>
      <c r="C142" s="11">
        <f>IF(AND(ISNUMBER(B142),ISNUMBER(B141)),ABS(B142-B141),"")</f>
        <v/>
      </c>
      <c r="D142" s="13">
        <f>IF(AND(ISNUMBER(B142),ISNUMBER($B$88),ISNUMBER($D$88)),IF(B142&gt;$D$88,"boven UCL",IF(B142&lt;$B$88,"onder LCL","")),"")</f>
        <v/>
      </c>
      <c r="E142" s="13">
        <f>IF(AND(ISNUMBER(C142),ISNUMBER($B$89),ISNUMBER($D$89)),IF(C142&gt;$D$89,"boven UCL",IF(C142&lt;$B$89,"onder LCL","")),"")</f>
        <v/>
      </c>
      <c r="G142" t="n">
        <v>36</v>
      </c>
      <c r="H142" s="7" t="n"/>
      <c r="I142" s="7" t="n"/>
      <c r="J142" s="11">
        <f>IF(AND(ISNUMBER(H142),ISNUMBER(I142),H142&gt;0,ISNUMBER($B$94)),I142/H142,"")</f>
        <v/>
      </c>
      <c r="K142" s="11">
        <f>IF(AND(ISNUMBER(H142),ISNUMBER(I142),H142&gt;0,ISNUMBER($B$94)),MAX(0,$B$94-3*SQRT($B$94*(1-$B$94)/H142)),"")</f>
        <v/>
      </c>
      <c r="L142" s="11">
        <f>IF(AND(ISNUMBER(H142),ISNUMBER(I142),H142&gt;0,ISNUMBER($B$94)),$B$94+3*SQRT($B$94*(1-$B$94)/H142),"")</f>
        <v/>
      </c>
      <c r="M142" s="13">
        <f>IF(AND(ISNUMBER(J142),ISNUMBER(K142),ISNUMBER(L142)),IF(J142&gt;L142,"boven UCL",IF(J142&lt;K142,"onder LCL","")),"")</f>
        <v/>
      </c>
      <c r="O142" t="n">
        <v>36</v>
      </c>
      <c r="P142" s="7" t="n"/>
      <c r="Q142" s="7" t="n"/>
      <c r="R142" s="11">
        <f>IF(AND(ISNUMBER(P142),ISNUMBER(Q142),P142&gt;0,ISNUMBER($B$100)),Q142/P142,"")</f>
        <v/>
      </c>
      <c r="S142" s="11">
        <f>IF(AND(ISNUMBER(P142),ISNUMBER(Q142),P142&gt;0,ISNUMBER($B$100)),MAX(0,$B$100-3*SQRT($B$100/P142)),"")</f>
        <v/>
      </c>
      <c r="T142" s="11">
        <f>IF(AND(ISNUMBER(P142),ISNUMBER(Q142),P142&gt;0,ISNUMBER($B$100)),$B$100+3*SQRT($B$100/P142),"")</f>
        <v/>
      </c>
      <c r="U142" s="13">
        <f>IF(AND(ISNUMBER(R142),ISNUMBER(S142),ISNUMBER(T142)),IF(R142&gt;T142,"boven UCL",IF(R142&lt;S142,"onder LCL","")),"")</f>
        <v/>
      </c>
    </row>
    <row r="143">
      <c r="A143" t="n">
        <v>37</v>
      </c>
      <c r="B143" s="7" t="n"/>
      <c r="C143" s="11">
        <f>IF(AND(ISNUMBER(B143),ISNUMBER(B142)),ABS(B143-B142),"")</f>
        <v/>
      </c>
      <c r="D143" s="13">
        <f>IF(AND(ISNUMBER(B143),ISNUMBER($B$88),ISNUMBER($D$88)),IF(B143&gt;$D$88,"boven UCL",IF(B143&lt;$B$88,"onder LCL","")),"")</f>
        <v/>
      </c>
      <c r="E143" s="13">
        <f>IF(AND(ISNUMBER(C143),ISNUMBER($B$89),ISNUMBER($D$89)),IF(C143&gt;$D$89,"boven UCL",IF(C143&lt;$B$89,"onder LCL","")),"")</f>
        <v/>
      </c>
      <c r="G143" t="n">
        <v>37</v>
      </c>
      <c r="H143" s="7" t="n"/>
      <c r="I143" s="7" t="n"/>
      <c r="J143" s="11">
        <f>IF(AND(ISNUMBER(H143),ISNUMBER(I143),H143&gt;0,ISNUMBER($B$94)),I143/H143,"")</f>
        <v/>
      </c>
      <c r="K143" s="11">
        <f>IF(AND(ISNUMBER(H143),ISNUMBER(I143),H143&gt;0,ISNUMBER($B$94)),MAX(0,$B$94-3*SQRT($B$94*(1-$B$94)/H143)),"")</f>
        <v/>
      </c>
      <c r="L143" s="11">
        <f>IF(AND(ISNUMBER(H143),ISNUMBER(I143),H143&gt;0,ISNUMBER($B$94)),$B$94+3*SQRT($B$94*(1-$B$94)/H143),"")</f>
        <v/>
      </c>
      <c r="M143" s="13">
        <f>IF(AND(ISNUMBER(J143),ISNUMBER(K143),ISNUMBER(L143)),IF(J143&gt;L143,"boven UCL",IF(J143&lt;K143,"onder LCL","")),"")</f>
        <v/>
      </c>
      <c r="O143" t="n">
        <v>37</v>
      </c>
      <c r="P143" s="7" t="n"/>
      <c r="Q143" s="7" t="n"/>
      <c r="R143" s="11">
        <f>IF(AND(ISNUMBER(P143),ISNUMBER(Q143),P143&gt;0,ISNUMBER($B$100)),Q143/P143,"")</f>
        <v/>
      </c>
      <c r="S143" s="11">
        <f>IF(AND(ISNUMBER(P143),ISNUMBER(Q143),P143&gt;0,ISNUMBER($B$100)),MAX(0,$B$100-3*SQRT($B$100/P143)),"")</f>
        <v/>
      </c>
      <c r="T143" s="11">
        <f>IF(AND(ISNUMBER(P143),ISNUMBER(Q143),P143&gt;0,ISNUMBER($B$100)),$B$100+3*SQRT($B$100/P143),"")</f>
        <v/>
      </c>
      <c r="U143" s="13">
        <f>IF(AND(ISNUMBER(R143),ISNUMBER(S143),ISNUMBER(T143)),IF(R143&gt;T143,"boven UCL",IF(R143&lt;S143,"onder LCL","")),"")</f>
        <v/>
      </c>
    </row>
    <row r="144">
      <c r="A144" t="n">
        <v>38</v>
      </c>
      <c r="B144" s="7" t="n"/>
      <c r="C144" s="11">
        <f>IF(AND(ISNUMBER(B144),ISNUMBER(B143)),ABS(B144-B143),"")</f>
        <v/>
      </c>
      <c r="D144" s="13">
        <f>IF(AND(ISNUMBER(B144),ISNUMBER($B$88),ISNUMBER($D$88)),IF(B144&gt;$D$88,"boven UCL",IF(B144&lt;$B$88,"onder LCL","")),"")</f>
        <v/>
      </c>
      <c r="E144" s="13">
        <f>IF(AND(ISNUMBER(C144),ISNUMBER($B$89),ISNUMBER($D$89)),IF(C144&gt;$D$89,"boven UCL",IF(C144&lt;$B$89,"onder LCL","")),"")</f>
        <v/>
      </c>
      <c r="G144" t="n">
        <v>38</v>
      </c>
      <c r="H144" s="7" t="n"/>
      <c r="I144" s="7" t="n"/>
      <c r="J144" s="11">
        <f>IF(AND(ISNUMBER(H144),ISNUMBER(I144),H144&gt;0,ISNUMBER($B$94)),I144/H144,"")</f>
        <v/>
      </c>
      <c r="K144" s="11">
        <f>IF(AND(ISNUMBER(H144),ISNUMBER(I144),H144&gt;0,ISNUMBER($B$94)),MAX(0,$B$94-3*SQRT($B$94*(1-$B$94)/H144)),"")</f>
        <v/>
      </c>
      <c r="L144" s="11">
        <f>IF(AND(ISNUMBER(H144),ISNUMBER(I144),H144&gt;0,ISNUMBER($B$94)),$B$94+3*SQRT($B$94*(1-$B$94)/H144),"")</f>
        <v/>
      </c>
      <c r="M144" s="13">
        <f>IF(AND(ISNUMBER(J144),ISNUMBER(K144),ISNUMBER(L144)),IF(J144&gt;L144,"boven UCL",IF(J144&lt;K144,"onder LCL","")),"")</f>
        <v/>
      </c>
      <c r="O144" t="n">
        <v>38</v>
      </c>
      <c r="P144" s="7" t="n"/>
      <c r="Q144" s="7" t="n"/>
      <c r="R144" s="11">
        <f>IF(AND(ISNUMBER(P144),ISNUMBER(Q144),P144&gt;0,ISNUMBER($B$100)),Q144/P144,"")</f>
        <v/>
      </c>
      <c r="S144" s="11">
        <f>IF(AND(ISNUMBER(P144),ISNUMBER(Q144),P144&gt;0,ISNUMBER($B$100)),MAX(0,$B$100-3*SQRT($B$100/P144)),"")</f>
        <v/>
      </c>
      <c r="T144" s="11">
        <f>IF(AND(ISNUMBER(P144),ISNUMBER(Q144),P144&gt;0,ISNUMBER($B$100)),$B$100+3*SQRT($B$100/P144),"")</f>
        <v/>
      </c>
      <c r="U144" s="13">
        <f>IF(AND(ISNUMBER(R144),ISNUMBER(S144),ISNUMBER(T144)),IF(R144&gt;T144,"boven UCL",IF(R144&lt;S144,"onder LCL","")),"")</f>
        <v/>
      </c>
    </row>
    <row r="145">
      <c r="A145" t="n">
        <v>39</v>
      </c>
      <c r="B145" s="7" t="n"/>
      <c r="C145" s="11">
        <f>IF(AND(ISNUMBER(B145),ISNUMBER(B144)),ABS(B145-B144),"")</f>
        <v/>
      </c>
      <c r="D145" s="13">
        <f>IF(AND(ISNUMBER(B145),ISNUMBER($B$88),ISNUMBER($D$88)),IF(B145&gt;$D$88,"boven UCL",IF(B145&lt;$B$88,"onder LCL","")),"")</f>
        <v/>
      </c>
      <c r="E145" s="13">
        <f>IF(AND(ISNUMBER(C145),ISNUMBER($B$89),ISNUMBER($D$89)),IF(C145&gt;$D$89,"boven UCL",IF(C145&lt;$B$89,"onder LCL","")),"")</f>
        <v/>
      </c>
      <c r="G145" t="n">
        <v>39</v>
      </c>
      <c r="H145" s="7" t="n"/>
      <c r="I145" s="7" t="n"/>
      <c r="J145" s="11">
        <f>IF(AND(ISNUMBER(H145),ISNUMBER(I145),H145&gt;0,ISNUMBER($B$94)),I145/H145,"")</f>
        <v/>
      </c>
      <c r="K145" s="11">
        <f>IF(AND(ISNUMBER(H145),ISNUMBER(I145),H145&gt;0,ISNUMBER($B$94)),MAX(0,$B$94-3*SQRT($B$94*(1-$B$94)/H145)),"")</f>
        <v/>
      </c>
      <c r="L145" s="11">
        <f>IF(AND(ISNUMBER(H145),ISNUMBER(I145),H145&gt;0,ISNUMBER($B$94)),$B$94+3*SQRT($B$94*(1-$B$94)/H145),"")</f>
        <v/>
      </c>
      <c r="M145" s="13">
        <f>IF(AND(ISNUMBER(J145),ISNUMBER(K145),ISNUMBER(L145)),IF(J145&gt;L145,"boven UCL",IF(J145&lt;K145,"onder LCL","")),"")</f>
        <v/>
      </c>
      <c r="O145" t="n">
        <v>39</v>
      </c>
      <c r="P145" s="7" t="n"/>
      <c r="Q145" s="7" t="n"/>
      <c r="R145" s="11">
        <f>IF(AND(ISNUMBER(P145),ISNUMBER(Q145),P145&gt;0,ISNUMBER($B$100)),Q145/P145,"")</f>
        <v/>
      </c>
      <c r="S145" s="11">
        <f>IF(AND(ISNUMBER(P145),ISNUMBER(Q145),P145&gt;0,ISNUMBER($B$100)),MAX(0,$B$100-3*SQRT($B$100/P145)),"")</f>
        <v/>
      </c>
      <c r="T145" s="11">
        <f>IF(AND(ISNUMBER(P145),ISNUMBER(Q145),P145&gt;0,ISNUMBER($B$100)),$B$100+3*SQRT($B$100/P145),"")</f>
        <v/>
      </c>
      <c r="U145" s="13">
        <f>IF(AND(ISNUMBER(R145),ISNUMBER(S145),ISNUMBER(T145)),IF(R145&gt;T145,"boven UCL",IF(R145&lt;S145,"onder LCL","")),"")</f>
        <v/>
      </c>
    </row>
    <row r="146">
      <c r="A146" t="n">
        <v>40</v>
      </c>
      <c r="B146" s="7" t="n"/>
      <c r="C146" s="11">
        <f>IF(AND(ISNUMBER(B146),ISNUMBER(B145)),ABS(B146-B145),"")</f>
        <v/>
      </c>
      <c r="D146" s="13">
        <f>IF(AND(ISNUMBER(B146),ISNUMBER($B$88),ISNUMBER($D$88)),IF(B146&gt;$D$88,"boven UCL",IF(B146&lt;$B$88,"onder LCL","")),"")</f>
        <v/>
      </c>
      <c r="E146" s="13">
        <f>IF(AND(ISNUMBER(C146),ISNUMBER($B$89),ISNUMBER($D$89)),IF(C146&gt;$D$89,"boven UCL",IF(C146&lt;$B$89,"onder LCL","")),"")</f>
        <v/>
      </c>
      <c r="G146" t="n">
        <v>40</v>
      </c>
      <c r="H146" s="7" t="n"/>
      <c r="I146" s="7" t="n"/>
      <c r="J146" s="11">
        <f>IF(AND(ISNUMBER(H146),ISNUMBER(I146),H146&gt;0,ISNUMBER($B$94)),I146/H146,"")</f>
        <v/>
      </c>
      <c r="K146" s="11">
        <f>IF(AND(ISNUMBER(H146),ISNUMBER(I146),H146&gt;0,ISNUMBER($B$94)),MAX(0,$B$94-3*SQRT($B$94*(1-$B$94)/H146)),"")</f>
        <v/>
      </c>
      <c r="L146" s="11">
        <f>IF(AND(ISNUMBER(H146),ISNUMBER(I146),H146&gt;0,ISNUMBER($B$94)),$B$94+3*SQRT($B$94*(1-$B$94)/H146),"")</f>
        <v/>
      </c>
      <c r="M146" s="13">
        <f>IF(AND(ISNUMBER(J146),ISNUMBER(K146),ISNUMBER(L146)),IF(J146&gt;L146,"boven UCL",IF(J146&lt;K146,"onder LCL","")),"")</f>
        <v/>
      </c>
      <c r="O146" t="n">
        <v>40</v>
      </c>
      <c r="P146" s="7" t="n"/>
      <c r="Q146" s="7" t="n"/>
      <c r="R146" s="11">
        <f>IF(AND(ISNUMBER(P146),ISNUMBER(Q146),P146&gt;0,ISNUMBER($B$100)),Q146/P146,"")</f>
        <v/>
      </c>
      <c r="S146" s="11">
        <f>IF(AND(ISNUMBER(P146),ISNUMBER(Q146),P146&gt;0,ISNUMBER($B$100)),MAX(0,$B$100-3*SQRT($B$100/P146)),"")</f>
        <v/>
      </c>
      <c r="T146" s="11">
        <f>IF(AND(ISNUMBER(P146),ISNUMBER(Q146),P146&gt;0,ISNUMBER($B$100)),$B$100+3*SQRT($B$100/P146),"")</f>
        <v/>
      </c>
      <c r="U146" s="13">
        <f>IF(AND(ISNUMBER(R146),ISNUMBER(S146),ISNUMBER(T146)),IF(R146&gt;T146,"boven UCL",IF(R146&lt;S146,"onder LCL","")),"")</f>
        <v/>
      </c>
    </row>
    <row r="147">
      <c r="A147" t="n">
        <v>41</v>
      </c>
      <c r="B147" s="7" t="n"/>
      <c r="C147" s="11">
        <f>IF(AND(ISNUMBER(B147),ISNUMBER(B146)),ABS(B147-B146),"")</f>
        <v/>
      </c>
      <c r="D147" s="13">
        <f>IF(AND(ISNUMBER(B147),ISNUMBER($B$88),ISNUMBER($D$88)),IF(B147&gt;$D$88,"boven UCL",IF(B147&lt;$B$88,"onder LCL","")),"")</f>
        <v/>
      </c>
      <c r="E147" s="13">
        <f>IF(AND(ISNUMBER(C147),ISNUMBER($B$89),ISNUMBER($D$89)),IF(C147&gt;$D$89,"boven UCL",IF(C147&lt;$B$89,"onder LCL","")),"")</f>
        <v/>
      </c>
      <c r="G147" t="n">
        <v>41</v>
      </c>
      <c r="H147" s="7" t="n"/>
      <c r="I147" s="7" t="n"/>
      <c r="J147" s="11">
        <f>IF(AND(ISNUMBER(H147),ISNUMBER(I147),H147&gt;0,ISNUMBER($B$94)),I147/H147,"")</f>
        <v/>
      </c>
      <c r="K147" s="11">
        <f>IF(AND(ISNUMBER(H147),ISNUMBER(I147),H147&gt;0,ISNUMBER($B$94)),MAX(0,$B$94-3*SQRT($B$94*(1-$B$94)/H147)),"")</f>
        <v/>
      </c>
      <c r="L147" s="11">
        <f>IF(AND(ISNUMBER(H147),ISNUMBER(I147),H147&gt;0,ISNUMBER($B$94)),$B$94+3*SQRT($B$94*(1-$B$94)/H147),"")</f>
        <v/>
      </c>
      <c r="M147" s="13">
        <f>IF(AND(ISNUMBER(J147),ISNUMBER(K147),ISNUMBER(L147)),IF(J147&gt;L147,"boven UCL",IF(J147&lt;K147,"onder LCL","")),"")</f>
        <v/>
      </c>
      <c r="O147" t="n">
        <v>41</v>
      </c>
      <c r="P147" s="7" t="n"/>
      <c r="Q147" s="7" t="n"/>
      <c r="R147" s="11">
        <f>IF(AND(ISNUMBER(P147),ISNUMBER(Q147),P147&gt;0,ISNUMBER($B$100)),Q147/P147,"")</f>
        <v/>
      </c>
      <c r="S147" s="11">
        <f>IF(AND(ISNUMBER(P147),ISNUMBER(Q147),P147&gt;0,ISNUMBER($B$100)),MAX(0,$B$100-3*SQRT($B$100/P147)),"")</f>
        <v/>
      </c>
      <c r="T147" s="11">
        <f>IF(AND(ISNUMBER(P147),ISNUMBER(Q147),P147&gt;0,ISNUMBER($B$100)),$B$100+3*SQRT($B$100/P147),"")</f>
        <v/>
      </c>
      <c r="U147" s="13">
        <f>IF(AND(ISNUMBER(R147),ISNUMBER(S147),ISNUMBER(T147)),IF(R147&gt;T147,"boven UCL",IF(R147&lt;S147,"onder LCL","")),"")</f>
        <v/>
      </c>
    </row>
    <row r="148">
      <c r="A148" t="n">
        <v>42</v>
      </c>
      <c r="B148" s="7" t="n"/>
      <c r="C148" s="11">
        <f>IF(AND(ISNUMBER(B148),ISNUMBER(B147)),ABS(B148-B147),"")</f>
        <v/>
      </c>
      <c r="D148" s="13">
        <f>IF(AND(ISNUMBER(B148),ISNUMBER($B$88),ISNUMBER($D$88)),IF(B148&gt;$D$88,"boven UCL",IF(B148&lt;$B$88,"onder LCL","")),"")</f>
        <v/>
      </c>
      <c r="E148" s="13">
        <f>IF(AND(ISNUMBER(C148),ISNUMBER($B$89),ISNUMBER($D$89)),IF(C148&gt;$D$89,"boven UCL",IF(C148&lt;$B$89,"onder LCL","")),"")</f>
        <v/>
      </c>
      <c r="G148" t="n">
        <v>42</v>
      </c>
      <c r="H148" s="7" t="n"/>
      <c r="I148" s="7" t="n"/>
      <c r="J148" s="11">
        <f>IF(AND(ISNUMBER(H148),ISNUMBER(I148),H148&gt;0,ISNUMBER($B$94)),I148/H148,"")</f>
        <v/>
      </c>
      <c r="K148" s="11">
        <f>IF(AND(ISNUMBER(H148),ISNUMBER(I148),H148&gt;0,ISNUMBER($B$94)),MAX(0,$B$94-3*SQRT($B$94*(1-$B$94)/H148)),"")</f>
        <v/>
      </c>
      <c r="L148" s="11">
        <f>IF(AND(ISNUMBER(H148),ISNUMBER(I148),H148&gt;0,ISNUMBER($B$94)),$B$94+3*SQRT($B$94*(1-$B$94)/H148),"")</f>
        <v/>
      </c>
      <c r="M148" s="13">
        <f>IF(AND(ISNUMBER(J148),ISNUMBER(K148),ISNUMBER(L148)),IF(J148&gt;L148,"boven UCL",IF(J148&lt;K148,"onder LCL","")),"")</f>
        <v/>
      </c>
      <c r="O148" t="n">
        <v>42</v>
      </c>
      <c r="P148" s="7" t="n"/>
      <c r="Q148" s="7" t="n"/>
      <c r="R148" s="11">
        <f>IF(AND(ISNUMBER(P148),ISNUMBER(Q148),P148&gt;0,ISNUMBER($B$100)),Q148/P148,"")</f>
        <v/>
      </c>
      <c r="S148" s="11">
        <f>IF(AND(ISNUMBER(P148),ISNUMBER(Q148),P148&gt;0,ISNUMBER($B$100)),MAX(0,$B$100-3*SQRT($B$100/P148)),"")</f>
        <v/>
      </c>
      <c r="T148" s="11">
        <f>IF(AND(ISNUMBER(P148),ISNUMBER(Q148),P148&gt;0,ISNUMBER($B$100)),$B$100+3*SQRT($B$100/P148),"")</f>
        <v/>
      </c>
      <c r="U148" s="13">
        <f>IF(AND(ISNUMBER(R148),ISNUMBER(S148),ISNUMBER(T148)),IF(R148&gt;T148,"boven UCL",IF(R148&lt;S148,"onder LCL","")),"")</f>
        <v/>
      </c>
    </row>
    <row r="149">
      <c r="A149" t="n">
        <v>43</v>
      </c>
      <c r="B149" s="7" t="n"/>
      <c r="C149" s="11">
        <f>IF(AND(ISNUMBER(B149),ISNUMBER(B148)),ABS(B149-B148),"")</f>
        <v/>
      </c>
      <c r="D149" s="13">
        <f>IF(AND(ISNUMBER(B149),ISNUMBER($B$88),ISNUMBER($D$88)),IF(B149&gt;$D$88,"boven UCL",IF(B149&lt;$B$88,"onder LCL","")),"")</f>
        <v/>
      </c>
      <c r="E149" s="13">
        <f>IF(AND(ISNUMBER(C149),ISNUMBER($B$89),ISNUMBER($D$89)),IF(C149&gt;$D$89,"boven UCL",IF(C149&lt;$B$89,"onder LCL","")),"")</f>
        <v/>
      </c>
      <c r="G149" t="n">
        <v>43</v>
      </c>
      <c r="H149" s="7" t="n"/>
      <c r="I149" s="7" t="n"/>
      <c r="J149" s="11">
        <f>IF(AND(ISNUMBER(H149),ISNUMBER(I149),H149&gt;0,ISNUMBER($B$94)),I149/H149,"")</f>
        <v/>
      </c>
      <c r="K149" s="11">
        <f>IF(AND(ISNUMBER(H149),ISNUMBER(I149),H149&gt;0,ISNUMBER($B$94)),MAX(0,$B$94-3*SQRT($B$94*(1-$B$94)/H149)),"")</f>
        <v/>
      </c>
      <c r="L149" s="11">
        <f>IF(AND(ISNUMBER(H149),ISNUMBER(I149),H149&gt;0,ISNUMBER($B$94)),$B$94+3*SQRT($B$94*(1-$B$94)/H149),"")</f>
        <v/>
      </c>
      <c r="M149" s="13">
        <f>IF(AND(ISNUMBER(J149),ISNUMBER(K149),ISNUMBER(L149)),IF(J149&gt;L149,"boven UCL",IF(J149&lt;K149,"onder LCL","")),"")</f>
        <v/>
      </c>
      <c r="O149" t="n">
        <v>43</v>
      </c>
      <c r="P149" s="7" t="n"/>
      <c r="Q149" s="7" t="n"/>
      <c r="R149" s="11">
        <f>IF(AND(ISNUMBER(P149),ISNUMBER(Q149),P149&gt;0,ISNUMBER($B$100)),Q149/P149,"")</f>
        <v/>
      </c>
      <c r="S149" s="11">
        <f>IF(AND(ISNUMBER(P149),ISNUMBER(Q149),P149&gt;0,ISNUMBER($B$100)),MAX(0,$B$100-3*SQRT($B$100/P149)),"")</f>
        <v/>
      </c>
      <c r="T149" s="11">
        <f>IF(AND(ISNUMBER(P149),ISNUMBER(Q149),P149&gt;0,ISNUMBER($B$100)),$B$100+3*SQRT($B$100/P149),"")</f>
        <v/>
      </c>
      <c r="U149" s="13">
        <f>IF(AND(ISNUMBER(R149),ISNUMBER(S149),ISNUMBER(T149)),IF(R149&gt;T149,"boven UCL",IF(R149&lt;S149,"onder LCL","")),"")</f>
        <v/>
      </c>
    </row>
    <row r="150">
      <c r="A150" t="n">
        <v>44</v>
      </c>
      <c r="B150" s="7" t="n"/>
      <c r="C150" s="11">
        <f>IF(AND(ISNUMBER(B150),ISNUMBER(B149)),ABS(B150-B149),"")</f>
        <v/>
      </c>
      <c r="D150" s="13">
        <f>IF(AND(ISNUMBER(B150),ISNUMBER($B$88),ISNUMBER($D$88)),IF(B150&gt;$D$88,"boven UCL",IF(B150&lt;$B$88,"onder LCL","")),"")</f>
        <v/>
      </c>
      <c r="E150" s="13">
        <f>IF(AND(ISNUMBER(C150),ISNUMBER($B$89),ISNUMBER($D$89)),IF(C150&gt;$D$89,"boven UCL",IF(C150&lt;$B$89,"onder LCL","")),"")</f>
        <v/>
      </c>
      <c r="G150" t="n">
        <v>44</v>
      </c>
      <c r="H150" s="7" t="n"/>
      <c r="I150" s="7" t="n"/>
      <c r="J150" s="11">
        <f>IF(AND(ISNUMBER(H150),ISNUMBER(I150),H150&gt;0,ISNUMBER($B$94)),I150/H150,"")</f>
        <v/>
      </c>
      <c r="K150" s="11">
        <f>IF(AND(ISNUMBER(H150),ISNUMBER(I150),H150&gt;0,ISNUMBER($B$94)),MAX(0,$B$94-3*SQRT($B$94*(1-$B$94)/H150)),"")</f>
        <v/>
      </c>
      <c r="L150" s="11">
        <f>IF(AND(ISNUMBER(H150),ISNUMBER(I150),H150&gt;0,ISNUMBER($B$94)),$B$94+3*SQRT($B$94*(1-$B$94)/H150),"")</f>
        <v/>
      </c>
      <c r="M150" s="13">
        <f>IF(AND(ISNUMBER(J150),ISNUMBER(K150),ISNUMBER(L150)),IF(J150&gt;L150,"boven UCL",IF(J150&lt;K150,"onder LCL","")),"")</f>
        <v/>
      </c>
      <c r="O150" t="n">
        <v>44</v>
      </c>
      <c r="P150" s="7" t="n"/>
      <c r="Q150" s="7" t="n"/>
      <c r="R150" s="11">
        <f>IF(AND(ISNUMBER(P150),ISNUMBER(Q150),P150&gt;0,ISNUMBER($B$100)),Q150/P150,"")</f>
        <v/>
      </c>
      <c r="S150" s="11">
        <f>IF(AND(ISNUMBER(P150),ISNUMBER(Q150),P150&gt;0,ISNUMBER($B$100)),MAX(0,$B$100-3*SQRT($B$100/P150)),"")</f>
        <v/>
      </c>
      <c r="T150" s="11">
        <f>IF(AND(ISNUMBER(P150),ISNUMBER(Q150),P150&gt;0,ISNUMBER($B$100)),$B$100+3*SQRT($B$100/P150),"")</f>
        <v/>
      </c>
      <c r="U150" s="13">
        <f>IF(AND(ISNUMBER(R150),ISNUMBER(S150),ISNUMBER(T150)),IF(R150&gt;T150,"boven UCL",IF(R150&lt;S150,"onder LCL","")),"")</f>
        <v/>
      </c>
    </row>
    <row r="151">
      <c r="A151" t="n">
        <v>45</v>
      </c>
      <c r="B151" s="7" t="n"/>
      <c r="C151" s="11">
        <f>IF(AND(ISNUMBER(B151),ISNUMBER(B150)),ABS(B151-B150),"")</f>
        <v/>
      </c>
      <c r="D151" s="13">
        <f>IF(AND(ISNUMBER(B151),ISNUMBER($B$88),ISNUMBER($D$88)),IF(B151&gt;$D$88,"boven UCL",IF(B151&lt;$B$88,"onder LCL","")),"")</f>
        <v/>
      </c>
      <c r="E151" s="13">
        <f>IF(AND(ISNUMBER(C151),ISNUMBER($B$89),ISNUMBER($D$89)),IF(C151&gt;$D$89,"boven UCL",IF(C151&lt;$B$89,"onder LCL","")),"")</f>
        <v/>
      </c>
      <c r="G151" t="n">
        <v>45</v>
      </c>
      <c r="H151" s="7" t="n"/>
      <c r="I151" s="7" t="n"/>
      <c r="J151" s="11">
        <f>IF(AND(ISNUMBER(H151),ISNUMBER(I151),H151&gt;0,ISNUMBER($B$94)),I151/H151,"")</f>
        <v/>
      </c>
      <c r="K151" s="11">
        <f>IF(AND(ISNUMBER(H151),ISNUMBER(I151),H151&gt;0,ISNUMBER($B$94)),MAX(0,$B$94-3*SQRT($B$94*(1-$B$94)/H151)),"")</f>
        <v/>
      </c>
      <c r="L151" s="11">
        <f>IF(AND(ISNUMBER(H151),ISNUMBER(I151),H151&gt;0,ISNUMBER($B$94)),$B$94+3*SQRT($B$94*(1-$B$94)/H151),"")</f>
        <v/>
      </c>
      <c r="M151" s="13">
        <f>IF(AND(ISNUMBER(J151),ISNUMBER(K151),ISNUMBER(L151)),IF(J151&gt;L151,"boven UCL",IF(J151&lt;K151,"onder LCL","")),"")</f>
        <v/>
      </c>
      <c r="O151" t="n">
        <v>45</v>
      </c>
      <c r="P151" s="7" t="n"/>
      <c r="Q151" s="7" t="n"/>
      <c r="R151" s="11">
        <f>IF(AND(ISNUMBER(P151),ISNUMBER(Q151),P151&gt;0,ISNUMBER($B$100)),Q151/P151,"")</f>
        <v/>
      </c>
      <c r="S151" s="11">
        <f>IF(AND(ISNUMBER(P151),ISNUMBER(Q151),P151&gt;0,ISNUMBER($B$100)),MAX(0,$B$100-3*SQRT($B$100/P151)),"")</f>
        <v/>
      </c>
      <c r="T151" s="11">
        <f>IF(AND(ISNUMBER(P151),ISNUMBER(Q151),P151&gt;0,ISNUMBER($B$100)),$B$100+3*SQRT($B$100/P151),"")</f>
        <v/>
      </c>
      <c r="U151" s="13">
        <f>IF(AND(ISNUMBER(R151),ISNUMBER(S151),ISNUMBER(T151)),IF(R151&gt;T151,"boven UCL",IF(R151&lt;S151,"onder LCL","")),"")</f>
        <v/>
      </c>
    </row>
    <row r="152">
      <c r="A152" t="n">
        <v>46</v>
      </c>
      <c r="B152" s="7" t="n"/>
      <c r="C152" s="11">
        <f>IF(AND(ISNUMBER(B152),ISNUMBER(B151)),ABS(B152-B151),"")</f>
        <v/>
      </c>
      <c r="D152" s="13">
        <f>IF(AND(ISNUMBER(B152),ISNUMBER($B$88),ISNUMBER($D$88)),IF(B152&gt;$D$88,"boven UCL",IF(B152&lt;$B$88,"onder LCL","")),"")</f>
        <v/>
      </c>
      <c r="E152" s="13">
        <f>IF(AND(ISNUMBER(C152),ISNUMBER($B$89),ISNUMBER($D$89)),IF(C152&gt;$D$89,"boven UCL",IF(C152&lt;$B$89,"onder LCL","")),"")</f>
        <v/>
      </c>
      <c r="G152" t="n">
        <v>46</v>
      </c>
      <c r="H152" s="7" t="n"/>
      <c r="I152" s="7" t="n"/>
      <c r="J152" s="11">
        <f>IF(AND(ISNUMBER(H152),ISNUMBER(I152),H152&gt;0,ISNUMBER($B$94)),I152/H152,"")</f>
        <v/>
      </c>
      <c r="K152" s="11">
        <f>IF(AND(ISNUMBER(H152),ISNUMBER(I152),H152&gt;0,ISNUMBER($B$94)),MAX(0,$B$94-3*SQRT($B$94*(1-$B$94)/H152)),"")</f>
        <v/>
      </c>
      <c r="L152" s="11">
        <f>IF(AND(ISNUMBER(H152),ISNUMBER(I152),H152&gt;0,ISNUMBER($B$94)),$B$94+3*SQRT($B$94*(1-$B$94)/H152),"")</f>
        <v/>
      </c>
      <c r="M152" s="13">
        <f>IF(AND(ISNUMBER(J152),ISNUMBER(K152),ISNUMBER(L152)),IF(J152&gt;L152,"boven UCL",IF(J152&lt;K152,"onder LCL","")),"")</f>
        <v/>
      </c>
      <c r="O152" t="n">
        <v>46</v>
      </c>
      <c r="P152" s="7" t="n"/>
      <c r="Q152" s="7" t="n"/>
      <c r="R152" s="11">
        <f>IF(AND(ISNUMBER(P152),ISNUMBER(Q152),P152&gt;0,ISNUMBER($B$100)),Q152/P152,"")</f>
        <v/>
      </c>
      <c r="S152" s="11">
        <f>IF(AND(ISNUMBER(P152),ISNUMBER(Q152),P152&gt;0,ISNUMBER($B$100)),MAX(0,$B$100-3*SQRT($B$100/P152)),"")</f>
        <v/>
      </c>
      <c r="T152" s="11">
        <f>IF(AND(ISNUMBER(P152),ISNUMBER(Q152),P152&gt;0,ISNUMBER($B$100)),$B$100+3*SQRT($B$100/P152),"")</f>
        <v/>
      </c>
      <c r="U152" s="13">
        <f>IF(AND(ISNUMBER(R152),ISNUMBER(S152),ISNUMBER(T152)),IF(R152&gt;T152,"boven UCL",IF(R152&lt;S152,"onder LCL","")),"")</f>
        <v/>
      </c>
    </row>
    <row r="153">
      <c r="A153" t="n">
        <v>47</v>
      </c>
      <c r="B153" s="7" t="n"/>
      <c r="C153" s="11">
        <f>IF(AND(ISNUMBER(B153),ISNUMBER(B152)),ABS(B153-B152),"")</f>
        <v/>
      </c>
      <c r="D153" s="13">
        <f>IF(AND(ISNUMBER(B153),ISNUMBER($B$88),ISNUMBER($D$88)),IF(B153&gt;$D$88,"boven UCL",IF(B153&lt;$B$88,"onder LCL","")),"")</f>
        <v/>
      </c>
      <c r="E153" s="13">
        <f>IF(AND(ISNUMBER(C153),ISNUMBER($B$89),ISNUMBER($D$89)),IF(C153&gt;$D$89,"boven UCL",IF(C153&lt;$B$89,"onder LCL","")),"")</f>
        <v/>
      </c>
      <c r="G153" t="n">
        <v>47</v>
      </c>
      <c r="H153" s="7" t="n"/>
      <c r="I153" s="7" t="n"/>
      <c r="J153" s="11">
        <f>IF(AND(ISNUMBER(H153),ISNUMBER(I153),H153&gt;0,ISNUMBER($B$94)),I153/H153,"")</f>
        <v/>
      </c>
      <c r="K153" s="11">
        <f>IF(AND(ISNUMBER(H153),ISNUMBER(I153),H153&gt;0,ISNUMBER($B$94)),MAX(0,$B$94-3*SQRT($B$94*(1-$B$94)/H153)),"")</f>
        <v/>
      </c>
      <c r="L153" s="11">
        <f>IF(AND(ISNUMBER(H153),ISNUMBER(I153),H153&gt;0,ISNUMBER($B$94)),$B$94+3*SQRT($B$94*(1-$B$94)/H153),"")</f>
        <v/>
      </c>
      <c r="M153" s="13">
        <f>IF(AND(ISNUMBER(J153),ISNUMBER(K153),ISNUMBER(L153)),IF(J153&gt;L153,"boven UCL",IF(J153&lt;K153,"onder LCL","")),"")</f>
        <v/>
      </c>
      <c r="O153" t="n">
        <v>47</v>
      </c>
      <c r="P153" s="7" t="n"/>
      <c r="Q153" s="7" t="n"/>
      <c r="R153" s="11">
        <f>IF(AND(ISNUMBER(P153),ISNUMBER(Q153),P153&gt;0,ISNUMBER($B$100)),Q153/P153,"")</f>
        <v/>
      </c>
      <c r="S153" s="11">
        <f>IF(AND(ISNUMBER(P153),ISNUMBER(Q153),P153&gt;0,ISNUMBER($B$100)),MAX(0,$B$100-3*SQRT($B$100/P153)),"")</f>
        <v/>
      </c>
      <c r="T153" s="11">
        <f>IF(AND(ISNUMBER(P153),ISNUMBER(Q153),P153&gt;0,ISNUMBER($B$100)),$B$100+3*SQRT($B$100/P153),"")</f>
        <v/>
      </c>
      <c r="U153" s="13">
        <f>IF(AND(ISNUMBER(R153),ISNUMBER(S153),ISNUMBER(T153)),IF(R153&gt;T153,"boven UCL",IF(R153&lt;S153,"onder LCL","")),"")</f>
        <v/>
      </c>
    </row>
    <row r="154">
      <c r="A154" t="n">
        <v>48</v>
      </c>
      <c r="B154" s="7" t="n"/>
      <c r="C154" s="11">
        <f>IF(AND(ISNUMBER(B154),ISNUMBER(B153)),ABS(B154-B153),"")</f>
        <v/>
      </c>
      <c r="D154" s="13">
        <f>IF(AND(ISNUMBER(B154),ISNUMBER($B$88),ISNUMBER($D$88)),IF(B154&gt;$D$88,"boven UCL",IF(B154&lt;$B$88,"onder LCL","")),"")</f>
        <v/>
      </c>
      <c r="E154" s="13">
        <f>IF(AND(ISNUMBER(C154),ISNUMBER($B$89),ISNUMBER($D$89)),IF(C154&gt;$D$89,"boven UCL",IF(C154&lt;$B$89,"onder LCL","")),"")</f>
        <v/>
      </c>
      <c r="G154" t="n">
        <v>48</v>
      </c>
      <c r="H154" s="7" t="n"/>
      <c r="I154" s="7" t="n"/>
      <c r="J154" s="11">
        <f>IF(AND(ISNUMBER(H154),ISNUMBER(I154),H154&gt;0,ISNUMBER($B$94)),I154/H154,"")</f>
        <v/>
      </c>
      <c r="K154" s="11">
        <f>IF(AND(ISNUMBER(H154),ISNUMBER(I154),H154&gt;0,ISNUMBER($B$94)),MAX(0,$B$94-3*SQRT($B$94*(1-$B$94)/H154)),"")</f>
        <v/>
      </c>
      <c r="L154" s="11">
        <f>IF(AND(ISNUMBER(H154),ISNUMBER(I154),H154&gt;0,ISNUMBER($B$94)),$B$94+3*SQRT($B$94*(1-$B$94)/H154),"")</f>
        <v/>
      </c>
      <c r="M154" s="13">
        <f>IF(AND(ISNUMBER(J154),ISNUMBER(K154),ISNUMBER(L154)),IF(J154&gt;L154,"boven UCL",IF(J154&lt;K154,"onder LCL","")),"")</f>
        <v/>
      </c>
      <c r="O154" t="n">
        <v>48</v>
      </c>
      <c r="P154" s="7" t="n"/>
      <c r="Q154" s="7" t="n"/>
      <c r="R154" s="11">
        <f>IF(AND(ISNUMBER(P154),ISNUMBER(Q154),P154&gt;0,ISNUMBER($B$100)),Q154/P154,"")</f>
        <v/>
      </c>
      <c r="S154" s="11">
        <f>IF(AND(ISNUMBER(P154),ISNUMBER(Q154),P154&gt;0,ISNUMBER($B$100)),MAX(0,$B$100-3*SQRT($B$100/P154)),"")</f>
        <v/>
      </c>
      <c r="T154" s="11">
        <f>IF(AND(ISNUMBER(P154),ISNUMBER(Q154),P154&gt;0,ISNUMBER($B$100)),$B$100+3*SQRT($B$100/P154),"")</f>
        <v/>
      </c>
      <c r="U154" s="13">
        <f>IF(AND(ISNUMBER(R154),ISNUMBER(S154),ISNUMBER(T154)),IF(R154&gt;T154,"boven UCL",IF(R154&lt;S154,"onder LCL","")),"")</f>
        <v/>
      </c>
    </row>
    <row r="155">
      <c r="A155" t="n">
        <v>49</v>
      </c>
      <c r="B155" s="7" t="n"/>
      <c r="C155" s="11">
        <f>IF(AND(ISNUMBER(B155),ISNUMBER(B154)),ABS(B155-B154),"")</f>
        <v/>
      </c>
      <c r="D155" s="13">
        <f>IF(AND(ISNUMBER(B155),ISNUMBER($B$88),ISNUMBER($D$88)),IF(B155&gt;$D$88,"boven UCL",IF(B155&lt;$B$88,"onder LCL","")),"")</f>
        <v/>
      </c>
      <c r="E155" s="13">
        <f>IF(AND(ISNUMBER(C155),ISNUMBER($B$89),ISNUMBER($D$89)),IF(C155&gt;$D$89,"boven UCL",IF(C155&lt;$B$89,"onder LCL","")),"")</f>
        <v/>
      </c>
      <c r="G155" t="n">
        <v>49</v>
      </c>
      <c r="H155" s="7" t="n"/>
      <c r="I155" s="7" t="n"/>
      <c r="J155" s="11">
        <f>IF(AND(ISNUMBER(H155),ISNUMBER(I155),H155&gt;0,ISNUMBER($B$94)),I155/H155,"")</f>
        <v/>
      </c>
      <c r="K155" s="11">
        <f>IF(AND(ISNUMBER(H155),ISNUMBER(I155),H155&gt;0,ISNUMBER($B$94)),MAX(0,$B$94-3*SQRT($B$94*(1-$B$94)/H155)),"")</f>
        <v/>
      </c>
      <c r="L155" s="11">
        <f>IF(AND(ISNUMBER(H155),ISNUMBER(I155),H155&gt;0,ISNUMBER($B$94)),$B$94+3*SQRT($B$94*(1-$B$94)/H155),"")</f>
        <v/>
      </c>
      <c r="M155" s="13">
        <f>IF(AND(ISNUMBER(J155),ISNUMBER(K155),ISNUMBER(L155)),IF(J155&gt;L155,"boven UCL",IF(J155&lt;K155,"onder LCL","")),"")</f>
        <v/>
      </c>
      <c r="O155" t="n">
        <v>49</v>
      </c>
      <c r="P155" s="7" t="n"/>
      <c r="Q155" s="7" t="n"/>
      <c r="R155" s="11">
        <f>IF(AND(ISNUMBER(P155),ISNUMBER(Q155),P155&gt;0,ISNUMBER($B$100)),Q155/P155,"")</f>
        <v/>
      </c>
      <c r="S155" s="11">
        <f>IF(AND(ISNUMBER(P155),ISNUMBER(Q155),P155&gt;0,ISNUMBER($B$100)),MAX(0,$B$100-3*SQRT($B$100/P155)),"")</f>
        <v/>
      </c>
      <c r="T155" s="11">
        <f>IF(AND(ISNUMBER(P155),ISNUMBER(Q155),P155&gt;0,ISNUMBER($B$100)),$B$100+3*SQRT($B$100/P155),"")</f>
        <v/>
      </c>
      <c r="U155" s="13">
        <f>IF(AND(ISNUMBER(R155),ISNUMBER(S155),ISNUMBER(T155)),IF(R155&gt;T155,"boven UCL",IF(R155&lt;S155,"onder LCL","")),"")</f>
        <v/>
      </c>
    </row>
    <row r="156">
      <c r="A156" t="n">
        <v>50</v>
      </c>
      <c r="B156" s="7" t="n"/>
      <c r="C156" s="11">
        <f>IF(AND(ISNUMBER(B156),ISNUMBER(B155)),ABS(B156-B155),"")</f>
        <v/>
      </c>
      <c r="D156" s="13">
        <f>IF(AND(ISNUMBER(B156),ISNUMBER($B$88),ISNUMBER($D$88)),IF(B156&gt;$D$88,"boven UCL",IF(B156&lt;$B$88,"onder LCL","")),"")</f>
        <v/>
      </c>
      <c r="E156" s="13">
        <f>IF(AND(ISNUMBER(C156),ISNUMBER($B$89),ISNUMBER($D$89)),IF(C156&gt;$D$89,"boven UCL",IF(C156&lt;$B$89,"onder LCL","")),"")</f>
        <v/>
      </c>
      <c r="G156" t="n">
        <v>50</v>
      </c>
      <c r="H156" s="7" t="n"/>
      <c r="I156" s="7" t="n"/>
      <c r="J156" s="11">
        <f>IF(AND(ISNUMBER(H156),ISNUMBER(I156),H156&gt;0,ISNUMBER($B$94)),I156/H156,"")</f>
        <v/>
      </c>
      <c r="K156" s="11">
        <f>IF(AND(ISNUMBER(H156),ISNUMBER(I156),H156&gt;0,ISNUMBER($B$94)),MAX(0,$B$94-3*SQRT($B$94*(1-$B$94)/H156)),"")</f>
        <v/>
      </c>
      <c r="L156" s="11">
        <f>IF(AND(ISNUMBER(H156),ISNUMBER(I156),H156&gt;0,ISNUMBER($B$94)),$B$94+3*SQRT($B$94*(1-$B$94)/H156),"")</f>
        <v/>
      </c>
      <c r="M156" s="13">
        <f>IF(AND(ISNUMBER(J156),ISNUMBER(K156),ISNUMBER(L156)),IF(J156&gt;L156,"boven UCL",IF(J156&lt;K156,"onder LCL","")),"")</f>
        <v/>
      </c>
      <c r="O156" t="n">
        <v>50</v>
      </c>
      <c r="P156" s="7" t="n"/>
      <c r="Q156" s="7" t="n"/>
      <c r="R156" s="11">
        <f>IF(AND(ISNUMBER(P156),ISNUMBER(Q156),P156&gt;0,ISNUMBER($B$100)),Q156/P156,"")</f>
        <v/>
      </c>
      <c r="S156" s="11">
        <f>IF(AND(ISNUMBER(P156),ISNUMBER(Q156),P156&gt;0,ISNUMBER($B$100)),MAX(0,$B$100-3*SQRT($B$100/P156)),"")</f>
        <v/>
      </c>
      <c r="T156" s="11">
        <f>IF(AND(ISNUMBER(P156),ISNUMBER(Q156),P156&gt;0,ISNUMBER($B$100)),$B$100+3*SQRT($B$100/P156),"")</f>
        <v/>
      </c>
      <c r="U156" s="13">
        <f>IF(AND(ISNUMBER(R156),ISNUMBER(S156),ISNUMBER(T156)),IF(R156&gt;T156,"boven UCL",IF(R156&lt;S156,"onder LCL","")),"")</f>
        <v/>
      </c>
    </row>
    <row r="157">
      <c r="A157" t="n">
        <v>51</v>
      </c>
      <c r="B157" s="7" t="n"/>
      <c r="C157" s="11">
        <f>IF(AND(ISNUMBER(B157),ISNUMBER(B156)),ABS(B157-B156),"")</f>
        <v/>
      </c>
      <c r="D157" s="13">
        <f>IF(AND(ISNUMBER(B157),ISNUMBER($B$88),ISNUMBER($D$88)),IF(B157&gt;$D$88,"boven UCL",IF(B157&lt;$B$88,"onder LCL","")),"")</f>
        <v/>
      </c>
      <c r="E157" s="13">
        <f>IF(AND(ISNUMBER(C157),ISNUMBER($B$89),ISNUMBER($D$89)),IF(C157&gt;$D$89,"boven UCL",IF(C157&lt;$B$89,"onder LCL","")),"")</f>
        <v/>
      </c>
      <c r="G157" t="n">
        <v>51</v>
      </c>
      <c r="H157" s="7" t="n"/>
      <c r="I157" s="7" t="n"/>
      <c r="J157" s="11">
        <f>IF(AND(ISNUMBER(H157),ISNUMBER(I157),H157&gt;0,ISNUMBER($B$94)),I157/H157,"")</f>
        <v/>
      </c>
      <c r="K157" s="11">
        <f>IF(AND(ISNUMBER(H157),ISNUMBER(I157),H157&gt;0,ISNUMBER($B$94)),MAX(0,$B$94-3*SQRT($B$94*(1-$B$94)/H157)),"")</f>
        <v/>
      </c>
      <c r="L157" s="11">
        <f>IF(AND(ISNUMBER(H157),ISNUMBER(I157),H157&gt;0,ISNUMBER($B$94)),$B$94+3*SQRT($B$94*(1-$B$94)/H157),"")</f>
        <v/>
      </c>
      <c r="M157" s="13">
        <f>IF(AND(ISNUMBER(J157),ISNUMBER(K157),ISNUMBER(L157)),IF(J157&gt;L157,"boven UCL",IF(J157&lt;K157,"onder LCL","")),"")</f>
        <v/>
      </c>
      <c r="O157" t="n">
        <v>51</v>
      </c>
      <c r="P157" s="7" t="n"/>
      <c r="Q157" s="7" t="n"/>
      <c r="R157" s="11">
        <f>IF(AND(ISNUMBER(P157),ISNUMBER(Q157),P157&gt;0,ISNUMBER($B$100)),Q157/P157,"")</f>
        <v/>
      </c>
      <c r="S157" s="11">
        <f>IF(AND(ISNUMBER(P157),ISNUMBER(Q157),P157&gt;0,ISNUMBER($B$100)),MAX(0,$B$100-3*SQRT($B$100/P157)),"")</f>
        <v/>
      </c>
      <c r="T157" s="11">
        <f>IF(AND(ISNUMBER(P157),ISNUMBER(Q157),P157&gt;0,ISNUMBER($B$100)),$B$100+3*SQRT($B$100/P157),"")</f>
        <v/>
      </c>
      <c r="U157" s="13">
        <f>IF(AND(ISNUMBER(R157),ISNUMBER(S157),ISNUMBER(T157)),IF(R157&gt;T157,"boven UCL",IF(R157&lt;S157,"onder LCL","")),"")</f>
        <v/>
      </c>
    </row>
    <row r="158">
      <c r="A158" t="n">
        <v>52</v>
      </c>
      <c r="B158" s="7" t="n"/>
      <c r="C158" s="11">
        <f>IF(AND(ISNUMBER(B158),ISNUMBER(B157)),ABS(B158-B157),"")</f>
        <v/>
      </c>
      <c r="D158" s="13">
        <f>IF(AND(ISNUMBER(B158),ISNUMBER($B$88),ISNUMBER($D$88)),IF(B158&gt;$D$88,"boven UCL",IF(B158&lt;$B$88,"onder LCL","")),"")</f>
        <v/>
      </c>
      <c r="E158" s="13">
        <f>IF(AND(ISNUMBER(C158),ISNUMBER($B$89),ISNUMBER($D$89)),IF(C158&gt;$D$89,"boven UCL",IF(C158&lt;$B$89,"onder LCL","")),"")</f>
        <v/>
      </c>
      <c r="G158" t="n">
        <v>52</v>
      </c>
      <c r="H158" s="7" t="n"/>
      <c r="I158" s="7" t="n"/>
      <c r="J158" s="11">
        <f>IF(AND(ISNUMBER(H158),ISNUMBER(I158),H158&gt;0,ISNUMBER($B$94)),I158/H158,"")</f>
        <v/>
      </c>
      <c r="K158" s="11">
        <f>IF(AND(ISNUMBER(H158),ISNUMBER(I158),H158&gt;0,ISNUMBER($B$94)),MAX(0,$B$94-3*SQRT($B$94*(1-$B$94)/H158)),"")</f>
        <v/>
      </c>
      <c r="L158" s="11">
        <f>IF(AND(ISNUMBER(H158),ISNUMBER(I158),H158&gt;0,ISNUMBER($B$94)),$B$94+3*SQRT($B$94*(1-$B$94)/H158),"")</f>
        <v/>
      </c>
      <c r="M158" s="13">
        <f>IF(AND(ISNUMBER(J158),ISNUMBER(K158),ISNUMBER(L158)),IF(J158&gt;L158,"boven UCL",IF(J158&lt;K158,"onder LCL","")),"")</f>
        <v/>
      </c>
      <c r="O158" t="n">
        <v>52</v>
      </c>
      <c r="P158" s="7" t="n"/>
      <c r="Q158" s="7" t="n"/>
      <c r="R158" s="11">
        <f>IF(AND(ISNUMBER(P158),ISNUMBER(Q158),P158&gt;0,ISNUMBER($B$100)),Q158/P158,"")</f>
        <v/>
      </c>
      <c r="S158" s="11">
        <f>IF(AND(ISNUMBER(P158),ISNUMBER(Q158),P158&gt;0,ISNUMBER($B$100)),MAX(0,$B$100-3*SQRT($B$100/P158)),"")</f>
        <v/>
      </c>
      <c r="T158" s="11">
        <f>IF(AND(ISNUMBER(P158),ISNUMBER(Q158),P158&gt;0,ISNUMBER($B$100)),$B$100+3*SQRT($B$100/P158),"")</f>
        <v/>
      </c>
      <c r="U158" s="13">
        <f>IF(AND(ISNUMBER(R158),ISNUMBER(S158),ISNUMBER(T158)),IF(R158&gt;T158,"boven UCL",IF(R158&lt;S158,"onder LCL","")),"")</f>
        <v/>
      </c>
    </row>
    <row r="159">
      <c r="A159" t="n">
        <v>53</v>
      </c>
      <c r="B159" s="7" t="n"/>
      <c r="C159" s="11">
        <f>IF(AND(ISNUMBER(B159),ISNUMBER(B158)),ABS(B159-B158),"")</f>
        <v/>
      </c>
      <c r="D159" s="13">
        <f>IF(AND(ISNUMBER(B159),ISNUMBER($B$88),ISNUMBER($D$88)),IF(B159&gt;$D$88,"boven UCL",IF(B159&lt;$B$88,"onder LCL","")),"")</f>
        <v/>
      </c>
      <c r="E159" s="13">
        <f>IF(AND(ISNUMBER(C159),ISNUMBER($B$89),ISNUMBER($D$89)),IF(C159&gt;$D$89,"boven UCL",IF(C159&lt;$B$89,"onder LCL","")),"")</f>
        <v/>
      </c>
      <c r="G159" t="n">
        <v>53</v>
      </c>
      <c r="H159" s="7" t="n"/>
      <c r="I159" s="7" t="n"/>
      <c r="J159" s="11">
        <f>IF(AND(ISNUMBER(H159),ISNUMBER(I159),H159&gt;0,ISNUMBER($B$94)),I159/H159,"")</f>
        <v/>
      </c>
      <c r="K159" s="11">
        <f>IF(AND(ISNUMBER(H159),ISNUMBER(I159),H159&gt;0,ISNUMBER($B$94)),MAX(0,$B$94-3*SQRT($B$94*(1-$B$94)/H159)),"")</f>
        <v/>
      </c>
      <c r="L159" s="11">
        <f>IF(AND(ISNUMBER(H159),ISNUMBER(I159),H159&gt;0,ISNUMBER($B$94)),$B$94+3*SQRT($B$94*(1-$B$94)/H159),"")</f>
        <v/>
      </c>
      <c r="M159" s="13">
        <f>IF(AND(ISNUMBER(J159),ISNUMBER(K159),ISNUMBER(L159)),IF(J159&gt;L159,"boven UCL",IF(J159&lt;K159,"onder LCL","")),"")</f>
        <v/>
      </c>
      <c r="O159" t="n">
        <v>53</v>
      </c>
      <c r="P159" s="7" t="n"/>
      <c r="Q159" s="7" t="n"/>
      <c r="R159" s="11">
        <f>IF(AND(ISNUMBER(P159),ISNUMBER(Q159),P159&gt;0,ISNUMBER($B$100)),Q159/P159,"")</f>
        <v/>
      </c>
      <c r="S159" s="11">
        <f>IF(AND(ISNUMBER(P159),ISNUMBER(Q159),P159&gt;0,ISNUMBER($B$100)),MAX(0,$B$100-3*SQRT($B$100/P159)),"")</f>
        <v/>
      </c>
      <c r="T159" s="11">
        <f>IF(AND(ISNUMBER(P159),ISNUMBER(Q159),P159&gt;0,ISNUMBER($B$100)),$B$100+3*SQRT($B$100/P159),"")</f>
        <v/>
      </c>
      <c r="U159" s="13">
        <f>IF(AND(ISNUMBER(R159),ISNUMBER(S159),ISNUMBER(T159)),IF(R159&gt;T159,"boven UCL",IF(R159&lt;S159,"onder LCL","")),"")</f>
        <v/>
      </c>
    </row>
    <row r="160">
      <c r="A160" t="n">
        <v>54</v>
      </c>
      <c r="B160" s="7" t="n"/>
      <c r="C160" s="11">
        <f>IF(AND(ISNUMBER(B160),ISNUMBER(B159)),ABS(B160-B159),"")</f>
        <v/>
      </c>
      <c r="D160" s="13">
        <f>IF(AND(ISNUMBER(B160),ISNUMBER($B$88),ISNUMBER($D$88)),IF(B160&gt;$D$88,"boven UCL",IF(B160&lt;$B$88,"onder LCL","")),"")</f>
        <v/>
      </c>
      <c r="E160" s="13">
        <f>IF(AND(ISNUMBER(C160),ISNUMBER($B$89),ISNUMBER($D$89)),IF(C160&gt;$D$89,"boven UCL",IF(C160&lt;$B$89,"onder LCL","")),"")</f>
        <v/>
      </c>
      <c r="G160" t="n">
        <v>54</v>
      </c>
      <c r="H160" s="7" t="n"/>
      <c r="I160" s="7" t="n"/>
      <c r="J160" s="11">
        <f>IF(AND(ISNUMBER(H160),ISNUMBER(I160),H160&gt;0,ISNUMBER($B$94)),I160/H160,"")</f>
        <v/>
      </c>
      <c r="K160" s="11">
        <f>IF(AND(ISNUMBER(H160),ISNUMBER(I160),H160&gt;0,ISNUMBER($B$94)),MAX(0,$B$94-3*SQRT($B$94*(1-$B$94)/H160)),"")</f>
        <v/>
      </c>
      <c r="L160" s="11">
        <f>IF(AND(ISNUMBER(H160),ISNUMBER(I160),H160&gt;0,ISNUMBER($B$94)),$B$94+3*SQRT($B$94*(1-$B$94)/H160),"")</f>
        <v/>
      </c>
      <c r="M160" s="13">
        <f>IF(AND(ISNUMBER(J160),ISNUMBER(K160),ISNUMBER(L160)),IF(J160&gt;L160,"boven UCL",IF(J160&lt;K160,"onder LCL","")),"")</f>
        <v/>
      </c>
      <c r="O160" t="n">
        <v>54</v>
      </c>
      <c r="P160" s="7" t="n"/>
      <c r="Q160" s="7" t="n"/>
      <c r="R160" s="11">
        <f>IF(AND(ISNUMBER(P160),ISNUMBER(Q160),P160&gt;0,ISNUMBER($B$100)),Q160/P160,"")</f>
        <v/>
      </c>
      <c r="S160" s="11">
        <f>IF(AND(ISNUMBER(P160),ISNUMBER(Q160),P160&gt;0,ISNUMBER($B$100)),MAX(0,$B$100-3*SQRT($B$100/P160)),"")</f>
        <v/>
      </c>
      <c r="T160" s="11">
        <f>IF(AND(ISNUMBER(P160),ISNUMBER(Q160),P160&gt;0,ISNUMBER($B$100)),$B$100+3*SQRT($B$100/P160),"")</f>
        <v/>
      </c>
      <c r="U160" s="13">
        <f>IF(AND(ISNUMBER(R160),ISNUMBER(S160),ISNUMBER(T160)),IF(R160&gt;T160,"boven UCL",IF(R160&lt;S160,"onder LCL","")),"")</f>
        <v/>
      </c>
    </row>
    <row r="161">
      <c r="A161" t="n">
        <v>55</v>
      </c>
      <c r="B161" s="7" t="n"/>
      <c r="C161" s="11">
        <f>IF(AND(ISNUMBER(B161),ISNUMBER(B160)),ABS(B161-B160),"")</f>
        <v/>
      </c>
      <c r="D161" s="13">
        <f>IF(AND(ISNUMBER(B161),ISNUMBER($B$88),ISNUMBER($D$88)),IF(B161&gt;$D$88,"boven UCL",IF(B161&lt;$B$88,"onder LCL","")),"")</f>
        <v/>
      </c>
      <c r="E161" s="13">
        <f>IF(AND(ISNUMBER(C161),ISNUMBER($B$89),ISNUMBER($D$89)),IF(C161&gt;$D$89,"boven UCL",IF(C161&lt;$B$89,"onder LCL","")),"")</f>
        <v/>
      </c>
      <c r="G161" t="n">
        <v>55</v>
      </c>
      <c r="H161" s="7" t="n"/>
      <c r="I161" s="7" t="n"/>
      <c r="J161" s="11">
        <f>IF(AND(ISNUMBER(H161),ISNUMBER(I161),H161&gt;0,ISNUMBER($B$94)),I161/H161,"")</f>
        <v/>
      </c>
      <c r="K161" s="11">
        <f>IF(AND(ISNUMBER(H161),ISNUMBER(I161),H161&gt;0,ISNUMBER($B$94)),MAX(0,$B$94-3*SQRT($B$94*(1-$B$94)/H161)),"")</f>
        <v/>
      </c>
      <c r="L161" s="11">
        <f>IF(AND(ISNUMBER(H161),ISNUMBER(I161),H161&gt;0,ISNUMBER($B$94)),$B$94+3*SQRT($B$94*(1-$B$94)/H161),"")</f>
        <v/>
      </c>
      <c r="M161" s="13">
        <f>IF(AND(ISNUMBER(J161),ISNUMBER(K161),ISNUMBER(L161)),IF(J161&gt;L161,"boven UCL",IF(J161&lt;K161,"onder LCL","")),"")</f>
        <v/>
      </c>
      <c r="O161" t="n">
        <v>55</v>
      </c>
      <c r="P161" s="7" t="n"/>
      <c r="Q161" s="7" t="n"/>
      <c r="R161" s="11">
        <f>IF(AND(ISNUMBER(P161),ISNUMBER(Q161),P161&gt;0,ISNUMBER($B$100)),Q161/P161,"")</f>
        <v/>
      </c>
      <c r="S161" s="11">
        <f>IF(AND(ISNUMBER(P161),ISNUMBER(Q161),P161&gt;0,ISNUMBER($B$100)),MAX(0,$B$100-3*SQRT($B$100/P161)),"")</f>
        <v/>
      </c>
      <c r="T161" s="11">
        <f>IF(AND(ISNUMBER(P161),ISNUMBER(Q161),P161&gt;0,ISNUMBER($B$100)),$B$100+3*SQRT($B$100/P161),"")</f>
        <v/>
      </c>
      <c r="U161" s="13">
        <f>IF(AND(ISNUMBER(R161),ISNUMBER(S161),ISNUMBER(T161)),IF(R161&gt;T161,"boven UCL",IF(R161&lt;S161,"onder LCL","")),"")</f>
        <v/>
      </c>
    </row>
    <row r="162">
      <c r="A162" t="n">
        <v>56</v>
      </c>
      <c r="B162" s="7" t="n"/>
      <c r="C162" s="11">
        <f>IF(AND(ISNUMBER(B162),ISNUMBER(B161)),ABS(B162-B161),"")</f>
        <v/>
      </c>
      <c r="D162" s="13">
        <f>IF(AND(ISNUMBER(B162),ISNUMBER($B$88),ISNUMBER($D$88)),IF(B162&gt;$D$88,"boven UCL",IF(B162&lt;$B$88,"onder LCL","")),"")</f>
        <v/>
      </c>
      <c r="E162" s="13">
        <f>IF(AND(ISNUMBER(C162),ISNUMBER($B$89),ISNUMBER($D$89)),IF(C162&gt;$D$89,"boven UCL",IF(C162&lt;$B$89,"onder LCL","")),"")</f>
        <v/>
      </c>
      <c r="G162" t="n">
        <v>56</v>
      </c>
      <c r="H162" s="7" t="n"/>
      <c r="I162" s="7" t="n"/>
      <c r="J162" s="11">
        <f>IF(AND(ISNUMBER(H162),ISNUMBER(I162),H162&gt;0,ISNUMBER($B$94)),I162/H162,"")</f>
        <v/>
      </c>
      <c r="K162" s="11">
        <f>IF(AND(ISNUMBER(H162),ISNUMBER(I162),H162&gt;0,ISNUMBER($B$94)),MAX(0,$B$94-3*SQRT($B$94*(1-$B$94)/H162)),"")</f>
        <v/>
      </c>
      <c r="L162" s="11">
        <f>IF(AND(ISNUMBER(H162),ISNUMBER(I162),H162&gt;0,ISNUMBER($B$94)),$B$94+3*SQRT($B$94*(1-$B$94)/H162),"")</f>
        <v/>
      </c>
      <c r="M162" s="13">
        <f>IF(AND(ISNUMBER(J162),ISNUMBER(K162),ISNUMBER(L162)),IF(J162&gt;L162,"boven UCL",IF(J162&lt;K162,"onder LCL","")),"")</f>
        <v/>
      </c>
      <c r="O162" t="n">
        <v>56</v>
      </c>
      <c r="P162" s="7" t="n"/>
      <c r="Q162" s="7" t="n"/>
      <c r="R162" s="11">
        <f>IF(AND(ISNUMBER(P162),ISNUMBER(Q162),P162&gt;0,ISNUMBER($B$100)),Q162/P162,"")</f>
        <v/>
      </c>
      <c r="S162" s="11">
        <f>IF(AND(ISNUMBER(P162),ISNUMBER(Q162),P162&gt;0,ISNUMBER($B$100)),MAX(0,$B$100-3*SQRT($B$100/P162)),"")</f>
        <v/>
      </c>
      <c r="T162" s="11">
        <f>IF(AND(ISNUMBER(P162),ISNUMBER(Q162),P162&gt;0,ISNUMBER($B$100)),$B$100+3*SQRT($B$100/P162),"")</f>
        <v/>
      </c>
      <c r="U162" s="13">
        <f>IF(AND(ISNUMBER(R162),ISNUMBER(S162),ISNUMBER(T162)),IF(R162&gt;T162,"boven UCL",IF(R162&lt;S162,"onder LCL","")),"")</f>
        <v/>
      </c>
    </row>
    <row r="163">
      <c r="A163" t="n">
        <v>57</v>
      </c>
      <c r="B163" s="7" t="n"/>
      <c r="C163" s="11">
        <f>IF(AND(ISNUMBER(B163),ISNUMBER(B162)),ABS(B163-B162),"")</f>
        <v/>
      </c>
      <c r="D163" s="13">
        <f>IF(AND(ISNUMBER(B163),ISNUMBER($B$88),ISNUMBER($D$88)),IF(B163&gt;$D$88,"boven UCL",IF(B163&lt;$B$88,"onder LCL","")),"")</f>
        <v/>
      </c>
      <c r="E163" s="13">
        <f>IF(AND(ISNUMBER(C163),ISNUMBER($B$89),ISNUMBER($D$89)),IF(C163&gt;$D$89,"boven UCL",IF(C163&lt;$B$89,"onder LCL","")),"")</f>
        <v/>
      </c>
      <c r="G163" t="n">
        <v>57</v>
      </c>
      <c r="H163" s="7" t="n"/>
      <c r="I163" s="7" t="n"/>
      <c r="J163" s="11">
        <f>IF(AND(ISNUMBER(H163),ISNUMBER(I163),H163&gt;0,ISNUMBER($B$94)),I163/H163,"")</f>
        <v/>
      </c>
      <c r="K163" s="11">
        <f>IF(AND(ISNUMBER(H163),ISNUMBER(I163),H163&gt;0,ISNUMBER($B$94)),MAX(0,$B$94-3*SQRT($B$94*(1-$B$94)/H163)),"")</f>
        <v/>
      </c>
      <c r="L163" s="11">
        <f>IF(AND(ISNUMBER(H163),ISNUMBER(I163),H163&gt;0,ISNUMBER($B$94)),$B$94+3*SQRT($B$94*(1-$B$94)/H163),"")</f>
        <v/>
      </c>
      <c r="M163" s="13">
        <f>IF(AND(ISNUMBER(J163),ISNUMBER(K163),ISNUMBER(L163)),IF(J163&gt;L163,"boven UCL",IF(J163&lt;K163,"onder LCL","")),"")</f>
        <v/>
      </c>
      <c r="O163" t="n">
        <v>57</v>
      </c>
      <c r="P163" s="7" t="n"/>
      <c r="Q163" s="7" t="n"/>
      <c r="R163" s="11">
        <f>IF(AND(ISNUMBER(P163),ISNUMBER(Q163),P163&gt;0,ISNUMBER($B$100)),Q163/P163,"")</f>
        <v/>
      </c>
      <c r="S163" s="11">
        <f>IF(AND(ISNUMBER(P163),ISNUMBER(Q163),P163&gt;0,ISNUMBER($B$100)),MAX(0,$B$100-3*SQRT($B$100/P163)),"")</f>
        <v/>
      </c>
      <c r="T163" s="11">
        <f>IF(AND(ISNUMBER(P163),ISNUMBER(Q163),P163&gt;0,ISNUMBER($B$100)),$B$100+3*SQRT($B$100/P163),"")</f>
        <v/>
      </c>
      <c r="U163" s="13">
        <f>IF(AND(ISNUMBER(R163),ISNUMBER(S163),ISNUMBER(T163)),IF(R163&gt;T163,"boven UCL",IF(R163&lt;S163,"onder LCL","")),"")</f>
        <v/>
      </c>
    </row>
    <row r="164">
      <c r="A164" t="n">
        <v>58</v>
      </c>
      <c r="B164" s="7" t="n"/>
      <c r="C164" s="11">
        <f>IF(AND(ISNUMBER(B164),ISNUMBER(B163)),ABS(B164-B163),"")</f>
        <v/>
      </c>
      <c r="D164" s="13">
        <f>IF(AND(ISNUMBER(B164),ISNUMBER($B$88),ISNUMBER($D$88)),IF(B164&gt;$D$88,"boven UCL",IF(B164&lt;$B$88,"onder LCL","")),"")</f>
        <v/>
      </c>
      <c r="E164" s="13">
        <f>IF(AND(ISNUMBER(C164),ISNUMBER($B$89),ISNUMBER($D$89)),IF(C164&gt;$D$89,"boven UCL",IF(C164&lt;$B$89,"onder LCL","")),"")</f>
        <v/>
      </c>
      <c r="G164" t="n">
        <v>58</v>
      </c>
      <c r="H164" s="7" t="n"/>
      <c r="I164" s="7" t="n"/>
      <c r="J164" s="11">
        <f>IF(AND(ISNUMBER(H164),ISNUMBER(I164),H164&gt;0,ISNUMBER($B$94)),I164/H164,"")</f>
        <v/>
      </c>
      <c r="K164" s="11">
        <f>IF(AND(ISNUMBER(H164),ISNUMBER(I164),H164&gt;0,ISNUMBER($B$94)),MAX(0,$B$94-3*SQRT($B$94*(1-$B$94)/H164)),"")</f>
        <v/>
      </c>
      <c r="L164" s="11">
        <f>IF(AND(ISNUMBER(H164),ISNUMBER(I164),H164&gt;0,ISNUMBER($B$94)),$B$94+3*SQRT($B$94*(1-$B$94)/H164),"")</f>
        <v/>
      </c>
      <c r="M164" s="13">
        <f>IF(AND(ISNUMBER(J164),ISNUMBER(K164),ISNUMBER(L164)),IF(J164&gt;L164,"boven UCL",IF(J164&lt;K164,"onder LCL","")),"")</f>
        <v/>
      </c>
      <c r="O164" t="n">
        <v>58</v>
      </c>
      <c r="P164" s="7" t="n"/>
      <c r="Q164" s="7" t="n"/>
      <c r="R164" s="11">
        <f>IF(AND(ISNUMBER(P164),ISNUMBER(Q164),P164&gt;0,ISNUMBER($B$100)),Q164/P164,"")</f>
        <v/>
      </c>
      <c r="S164" s="11">
        <f>IF(AND(ISNUMBER(P164),ISNUMBER(Q164),P164&gt;0,ISNUMBER($B$100)),MAX(0,$B$100-3*SQRT($B$100/P164)),"")</f>
        <v/>
      </c>
      <c r="T164" s="11">
        <f>IF(AND(ISNUMBER(P164),ISNUMBER(Q164),P164&gt;0,ISNUMBER($B$100)),$B$100+3*SQRT($B$100/P164),"")</f>
        <v/>
      </c>
      <c r="U164" s="13">
        <f>IF(AND(ISNUMBER(R164),ISNUMBER(S164),ISNUMBER(T164)),IF(R164&gt;T164,"boven UCL",IF(R164&lt;S164,"onder LCL","")),"")</f>
        <v/>
      </c>
    </row>
    <row r="165">
      <c r="A165" t="n">
        <v>59</v>
      </c>
      <c r="B165" s="7" t="n"/>
      <c r="C165" s="11">
        <f>IF(AND(ISNUMBER(B165),ISNUMBER(B164)),ABS(B165-B164),"")</f>
        <v/>
      </c>
      <c r="D165" s="13">
        <f>IF(AND(ISNUMBER(B165),ISNUMBER($B$88),ISNUMBER($D$88)),IF(B165&gt;$D$88,"boven UCL",IF(B165&lt;$B$88,"onder LCL","")),"")</f>
        <v/>
      </c>
      <c r="E165" s="13">
        <f>IF(AND(ISNUMBER(C165),ISNUMBER($B$89),ISNUMBER($D$89)),IF(C165&gt;$D$89,"boven UCL",IF(C165&lt;$B$89,"onder LCL","")),"")</f>
        <v/>
      </c>
      <c r="G165" t="n">
        <v>59</v>
      </c>
      <c r="H165" s="7" t="n"/>
      <c r="I165" s="7" t="n"/>
      <c r="J165" s="11">
        <f>IF(AND(ISNUMBER(H165),ISNUMBER(I165),H165&gt;0,ISNUMBER($B$94)),I165/H165,"")</f>
        <v/>
      </c>
      <c r="K165" s="11">
        <f>IF(AND(ISNUMBER(H165),ISNUMBER(I165),H165&gt;0,ISNUMBER($B$94)),MAX(0,$B$94-3*SQRT($B$94*(1-$B$94)/H165)),"")</f>
        <v/>
      </c>
      <c r="L165" s="11">
        <f>IF(AND(ISNUMBER(H165),ISNUMBER(I165),H165&gt;0,ISNUMBER($B$94)),$B$94+3*SQRT($B$94*(1-$B$94)/H165),"")</f>
        <v/>
      </c>
      <c r="M165" s="13">
        <f>IF(AND(ISNUMBER(J165),ISNUMBER(K165),ISNUMBER(L165)),IF(J165&gt;L165,"boven UCL",IF(J165&lt;K165,"onder LCL","")),"")</f>
        <v/>
      </c>
      <c r="O165" t="n">
        <v>59</v>
      </c>
      <c r="P165" s="7" t="n"/>
      <c r="Q165" s="7" t="n"/>
      <c r="R165" s="11">
        <f>IF(AND(ISNUMBER(P165),ISNUMBER(Q165),P165&gt;0,ISNUMBER($B$100)),Q165/P165,"")</f>
        <v/>
      </c>
      <c r="S165" s="11">
        <f>IF(AND(ISNUMBER(P165),ISNUMBER(Q165),P165&gt;0,ISNUMBER($B$100)),MAX(0,$B$100-3*SQRT($B$100/P165)),"")</f>
        <v/>
      </c>
      <c r="T165" s="11">
        <f>IF(AND(ISNUMBER(P165),ISNUMBER(Q165),P165&gt;0,ISNUMBER($B$100)),$B$100+3*SQRT($B$100/P165),"")</f>
        <v/>
      </c>
      <c r="U165" s="13">
        <f>IF(AND(ISNUMBER(R165),ISNUMBER(S165),ISNUMBER(T165)),IF(R165&gt;T165,"boven UCL",IF(R165&lt;S165,"onder LCL","")),"")</f>
        <v/>
      </c>
    </row>
    <row r="166">
      <c r="A166" t="n">
        <v>60</v>
      </c>
      <c r="B166" s="7" t="n"/>
      <c r="C166" s="11">
        <f>IF(AND(ISNUMBER(B166),ISNUMBER(B165)),ABS(B166-B165),"")</f>
        <v/>
      </c>
      <c r="D166" s="13">
        <f>IF(AND(ISNUMBER(B166),ISNUMBER($B$88),ISNUMBER($D$88)),IF(B166&gt;$D$88,"boven UCL",IF(B166&lt;$B$88,"onder LCL","")),"")</f>
        <v/>
      </c>
      <c r="E166" s="13">
        <f>IF(AND(ISNUMBER(C166),ISNUMBER($B$89),ISNUMBER($D$89)),IF(C166&gt;$D$89,"boven UCL",IF(C166&lt;$B$89,"onder LCL","")),"")</f>
        <v/>
      </c>
      <c r="G166" t="n">
        <v>60</v>
      </c>
      <c r="H166" s="7" t="n"/>
      <c r="I166" s="7" t="n"/>
      <c r="J166" s="11">
        <f>IF(AND(ISNUMBER(H166),ISNUMBER(I166),H166&gt;0,ISNUMBER($B$94)),I166/H166,"")</f>
        <v/>
      </c>
      <c r="K166" s="11">
        <f>IF(AND(ISNUMBER(H166),ISNUMBER(I166),H166&gt;0,ISNUMBER($B$94)),MAX(0,$B$94-3*SQRT($B$94*(1-$B$94)/H166)),"")</f>
        <v/>
      </c>
      <c r="L166" s="11">
        <f>IF(AND(ISNUMBER(H166),ISNUMBER(I166),H166&gt;0,ISNUMBER($B$94)),$B$94+3*SQRT($B$94*(1-$B$94)/H166),"")</f>
        <v/>
      </c>
      <c r="M166" s="13">
        <f>IF(AND(ISNUMBER(J166),ISNUMBER(K166),ISNUMBER(L166)),IF(J166&gt;L166,"boven UCL",IF(J166&lt;K166,"onder LCL","")),"")</f>
        <v/>
      </c>
      <c r="O166" t="n">
        <v>60</v>
      </c>
      <c r="P166" s="7" t="n"/>
      <c r="Q166" s="7" t="n"/>
      <c r="R166" s="11">
        <f>IF(AND(ISNUMBER(P166),ISNUMBER(Q166),P166&gt;0,ISNUMBER($B$100)),Q166/P166,"")</f>
        <v/>
      </c>
      <c r="S166" s="11">
        <f>IF(AND(ISNUMBER(P166),ISNUMBER(Q166),P166&gt;0,ISNUMBER($B$100)),MAX(0,$B$100-3*SQRT($B$100/P166)),"")</f>
        <v/>
      </c>
      <c r="T166" s="11">
        <f>IF(AND(ISNUMBER(P166),ISNUMBER(Q166),P166&gt;0,ISNUMBER($B$100)),$B$100+3*SQRT($B$100/P166),"")</f>
        <v/>
      </c>
      <c r="U166" s="13">
        <f>IF(AND(ISNUMBER(R166),ISNUMBER(S166),ISNUMBER(T166)),IF(R166&gt;T166,"boven UCL",IF(R166&lt;S166,"onder LCL","")),"")</f>
        <v/>
      </c>
    </row>
    <row r="167">
      <c r="A167" t="n">
        <v>61</v>
      </c>
      <c r="B167" s="7" t="n"/>
      <c r="C167" s="11">
        <f>IF(AND(ISNUMBER(B167),ISNUMBER(B166)),ABS(B167-B166),"")</f>
        <v/>
      </c>
      <c r="D167" s="13">
        <f>IF(AND(ISNUMBER(B167),ISNUMBER($B$88),ISNUMBER($D$88)),IF(B167&gt;$D$88,"boven UCL",IF(B167&lt;$B$88,"onder LCL","")),"")</f>
        <v/>
      </c>
      <c r="E167" s="13">
        <f>IF(AND(ISNUMBER(C167),ISNUMBER($B$89),ISNUMBER($D$89)),IF(C167&gt;$D$89,"boven UCL",IF(C167&lt;$B$89,"onder LCL","")),"")</f>
        <v/>
      </c>
      <c r="G167" t="n">
        <v>61</v>
      </c>
      <c r="H167" s="7" t="n"/>
      <c r="I167" s="7" t="n"/>
      <c r="J167" s="11">
        <f>IF(AND(ISNUMBER(H167),ISNUMBER(I167),H167&gt;0,ISNUMBER($B$94)),I167/H167,"")</f>
        <v/>
      </c>
      <c r="K167" s="11">
        <f>IF(AND(ISNUMBER(H167),ISNUMBER(I167),H167&gt;0,ISNUMBER($B$94)),MAX(0,$B$94-3*SQRT($B$94*(1-$B$94)/H167)),"")</f>
        <v/>
      </c>
      <c r="L167" s="11">
        <f>IF(AND(ISNUMBER(H167),ISNUMBER(I167),H167&gt;0,ISNUMBER($B$94)),$B$94+3*SQRT($B$94*(1-$B$94)/H167),"")</f>
        <v/>
      </c>
      <c r="M167" s="13">
        <f>IF(AND(ISNUMBER(J167),ISNUMBER(K167),ISNUMBER(L167)),IF(J167&gt;L167,"boven UCL",IF(J167&lt;K167,"onder LCL","")),"")</f>
        <v/>
      </c>
      <c r="O167" t="n">
        <v>61</v>
      </c>
      <c r="P167" s="7" t="n"/>
      <c r="Q167" s="7" t="n"/>
      <c r="R167" s="11">
        <f>IF(AND(ISNUMBER(P167),ISNUMBER(Q167),P167&gt;0,ISNUMBER($B$100)),Q167/P167,"")</f>
        <v/>
      </c>
      <c r="S167" s="11">
        <f>IF(AND(ISNUMBER(P167),ISNUMBER(Q167),P167&gt;0,ISNUMBER($B$100)),MAX(0,$B$100-3*SQRT($B$100/P167)),"")</f>
        <v/>
      </c>
      <c r="T167" s="11">
        <f>IF(AND(ISNUMBER(P167),ISNUMBER(Q167),P167&gt;0,ISNUMBER($B$100)),$B$100+3*SQRT($B$100/P167),"")</f>
        <v/>
      </c>
      <c r="U167" s="13">
        <f>IF(AND(ISNUMBER(R167),ISNUMBER(S167),ISNUMBER(T167)),IF(R167&gt;T167,"boven UCL",IF(R167&lt;S167,"onder LCL","")),"")</f>
        <v/>
      </c>
    </row>
    <row r="168">
      <c r="A168" t="n">
        <v>62</v>
      </c>
      <c r="B168" s="7" t="n"/>
      <c r="C168" s="11">
        <f>IF(AND(ISNUMBER(B168),ISNUMBER(B167)),ABS(B168-B167),"")</f>
        <v/>
      </c>
      <c r="D168" s="13">
        <f>IF(AND(ISNUMBER(B168),ISNUMBER($B$88),ISNUMBER($D$88)),IF(B168&gt;$D$88,"boven UCL",IF(B168&lt;$B$88,"onder LCL","")),"")</f>
        <v/>
      </c>
      <c r="E168" s="13">
        <f>IF(AND(ISNUMBER(C168),ISNUMBER($B$89),ISNUMBER($D$89)),IF(C168&gt;$D$89,"boven UCL",IF(C168&lt;$B$89,"onder LCL","")),"")</f>
        <v/>
      </c>
      <c r="G168" t="n">
        <v>62</v>
      </c>
      <c r="H168" s="7" t="n"/>
      <c r="I168" s="7" t="n"/>
      <c r="J168" s="11">
        <f>IF(AND(ISNUMBER(H168),ISNUMBER(I168),H168&gt;0,ISNUMBER($B$94)),I168/H168,"")</f>
        <v/>
      </c>
      <c r="K168" s="11">
        <f>IF(AND(ISNUMBER(H168),ISNUMBER(I168),H168&gt;0,ISNUMBER($B$94)),MAX(0,$B$94-3*SQRT($B$94*(1-$B$94)/H168)),"")</f>
        <v/>
      </c>
      <c r="L168" s="11">
        <f>IF(AND(ISNUMBER(H168),ISNUMBER(I168),H168&gt;0,ISNUMBER($B$94)),$B$94+3*SQRT($B$94*(1-$B$94)/H168),"")</f>
        <v/>
      </c>
      <c r="M168" s="13">
        <f>IF(AND(ISNUMBER(J168),ISNUMBER(K168),ISNUMBER(L168)),IF(J168&gt;L168,"boven UCL",IF(J168&lt;K168,"onder LCL","")),"")</f>
        <v/>
      </c>
      <c r="O168" t="n">
        <v>62</v>
      </c>
      <c r="P168" s="7" t="n"/>
      <c r="Q168" s="7" t="n"/>
      <c r="R168" s="11">
        <f>IF(AND(ISNUMBER(P168),ISNUMBER(Q168),P168&gt;0,ISNUMBER($B$100)),Q168/P168,"")</f>
        <v/>
      </c>
      <c r="S168" s="11">
        <f>IF(AND(ISNUMBER(P168),ISNUMBER(Q168),P168&gt;0,ISNUMBER($B$100)),MAX(0,$B$100-3*SQRT($B$100/P168)),"")</f>
        <v/>
      </c>
      <c r="T168" s="11">
        <f>IF(AND(ISNUMBER(P168),ISNUMBER(Q168),P168&gt;0,ISNUMBER($B$100)),$B$100+3*SQRT($B$100/P168),"")</f>
        <v/>
      </c>
      <c r="U168" s="13">
        <f>IF(AND(ISNUMBER(R168),ISNUMBER(S168),ISNUMBER(T168)),IF(R168&gt;T168,"boven UCL",IF(R168&lt;S168,"onder LCL","")),"")</f>
        <v/>
      </c>
    </row>
    <row r="169">
      <c r="A169" t="n">
        <v>63</v>
      </c>
      <c r="B169" s="7" t="n"/>
      <c r="C169" s="11">
        <f>IF(AND(ISNUMBER(B169),ISNUMBER(B168)),ABS(B169-B168),"")</f>
        <v/>
      </c>
      <c r="D169" s="13">
        <f>IF(AND(ISNUMBER(B169),ISNUMBER($B$88),ISNUMBER($D$88)),IF(B169&gt;$D$88,"boven UCL",IF(B169&lt;$B$88,"onder LCL","")),"")</f>
        <v/>
      </c>
      <c r="E169" s="13">
        <f>IF(AND(ISNUMBER(C169),ISNUMBER($B$89),ISNUMBER($D$89)),IF(C169&gt;$D$89,"boven UCL",IF(C169&lt;$B$89,"onder LCL","")),"")</f>
        <v/>
      </c>
      <c r="G169" t="n">
        <v>63</v>
      </c>
      <c r="H169" s="7" t="n"/>
      <c r="I169" s="7" t="n"/>
      <c r="J169" s="11">
        <f>IF(AND(ISNUMBER(H169),ISNUMBER(I169),H169&gt;0,ISNUMBER($B$94)),I169/H169,"")</f>
        <v/>
      </c>
      <c r="K169" s="11">
        <f>IF(AND(ISNUMBER(H169),ISNUMBER(I169),H169&gt;0,ISNUMBER($B$94)),MAX(0,$B$94-3*SQRT($B$94*(1-$B$94)/H169)),"")</f>
        <v/>
      </c>
      <c r="L169" s="11">
        <f>IF(AND(ISNUMBER(H169),ISNUMBER(I169),H169&gt;0,ISNUMBER($B$94)),$B$94+3*SQRT($B$94*(1-$B$94)/H169),"")</f>
        <v/>
      </c>
      <c r="M169" s="13">
        <f>IF(AND(ISNUMBER(J169),ISNUMBER(K169),ISNUMBER(L169)),IF(J169&gt;L169,"boven UCL",IF(J169&lt;K169,"onder LCL","")),"")</f>
        <v/>
      </c>
      <c r="O169" t="n">
        <v>63</v>
      </c>
      <c r="P169" s="7" t="n"/>
      <c r="Q169" s="7" t="n"/>
      <c r="R169" s="11">
        <f>IF(AND(ISNUMBER(P169),ISNUMBER(Q169),P169&gt;0,ISNUMBER($B$100)),Q169/P169,"")</f>
        <v/>
      </c>
      <c r="S169" s="11">
        <f>IF(AND(ISNUMBER(P169),ISNUMBER(Q169),P169&gt;0,ISNUMBER($B$100)),MAX(0,$B$100-3*SQRT($B$100/P169)),"")</f>
        <v/>
      </c>
      <c r="T169" s="11">
        <f>IF(AND(ISNUMBER(P169),ISNUMBER(Q169),P169&gt;0,ISNUMBER($B$100)),$B$100+3*SQRT($B$100/P169),"")</f>
        <v/>
      </c>
      <c r="U169" s="13">
        <f>IF(AND(ISNUMBER(R169),ISNUMBER(S169),ISNUMBER(T169)),IF(R169&gt;T169,"boven UCL",IF(R169&lt;S169,"onder LCL","")),"")</f>
        <v/>
      </c>
    </row>
    <row r="170">
      <c r="A170" t="n">
        <v>64</v>
      </c>
      <c r="B170" s="7" t="n"/>
      <c r="C170" s="11">
        <f>IF(AND(ISNUMBER(B170),ISNUMBER(B169)),ABS(B170-B169),"")</f>
        <v/>
      </c>
      <c r="D170" s="13">
        <f>IF(AND(ISNUMBER(B170),ISNUMBER($B$88),ISNUMBER($D$88)),IF(B170&gt;$D$88,"boven UCL",IF(B170&lt;$B$88,"onder LCL","")),"")</f>
        <v/>
      </c>
      <c r="E170" s="13">
        <f>IF(AND(ISNUMBER(C170),ISNUMBER($B$89),ISNUMBER($D$89)),IF(C170&gt;$D$89,"boven UCL",IF(C170&lt;$B$89,"onder LCL","")),"")</f>
        <v/>
      </c>
      <c r="G170" t="n">
        <v>64</v>
      </c>
      <c r="H170" s="7" t="n"/>
      <c r="I170" s="7" t="n"/>
      <c r="J170" s="11">
        <f>IF(AND(ISNUMBER(H170),ISNUMBER(I170),H170&gt;0,ISNUMBER($B$94)),I170/H170,"")</f>
        <v/>
      </c>
      <c r="K170" s="11">
        <f>IF(AND(ISNUMBER(H170),ISNUMBER(I170),H170&gt;0,ISNUMBER($B$94)),MAX(0,$B$94-3*SQRT($B$94*(1-$B$94)/H170)),"")</f>
        <v/>
      </c>
      <c r="L170" s="11">
        <f>IF(AND(ISNUMBER(H170),ISNUMBER(I170),H170&gt;0,ISNUMBER($B$94)),$B$94+3*SQRT($B$94*(1-$B$94)/H170),"")</f>
        <v/>
      </c>
      <c r="M170" s="13">
        <f>IF(AND(ISNUMBER(J170),ISNUMBER(K170),ISNUMBER(L170)),IF(J170&gt;L170,"boven UCL",IF(J170&lt;K170,"onder LCL","")),"")</f>
        <v/>
      </c>
      <c r="O170" t="n">
        <v>64</v>
      </c>
      <c r="P170" s="7" t="n"/>
      <c r="Q170" s="7" t="n"/>
      <c r="R170" s="11">
        <f>IF(AND(ISNUMBER(P170),ISNUMBER(Q170),P170&gt;0,ISNUMBER($B$100)),Q170/P170,"")</f>
        <v/>
      </c>
      <c r="S170" s="11">
        <f>IF(AND(ISNUMBER(P170),ISNUMBER(Q170),P170&gt;0,ISNUMBER($B$100)),MAX(0,$B$100-3*SQRT($B$100/P170)),"")</f>
        <v/>
      </c>
      <c r="T170" s="11">
        <f>IF(AND(ISNUMBER(P170),ISNUMBER(Q170),P170&gt;0,ISNUMBER($B$100)),$B$100+3*SQRT($B$100/P170),"")</f>
        <v/>
      </c>
      <c r="U170" s="13">
        <f>IF(AND(ISNUMBER(R170),ISNUMBER(S170),ISNUMBER(T170)),IF(R170&gt;T170,"boven UCL",IF(R170&lt;S170,"onder LCL","")),"")</f>
        <v/>
      </c>
    </row>
    <row r="171">
      <c r="A171" t="n">
        <v>65</v>
      </c>
      <c r="B171" s="7" t="n"/>
      <c r="C171" s="11">
        <f>IF(AND(ISNUMBER(B171),ISNUMBER(B170)),ABS(B171-B170),"")</f>
        <v/>
      </c>
      <c r="D171" s="13">
        <f>IF(AND(ISNUMBER(B171),ISNUMBER($B$88),ISNUMBER($D$88)),IF(B171&gt;$D$88,"boven UCL",IF(B171&lt;$B$88,"onder LCL","")),"")</f>
        <v/>
      </c>
      <c r="E171" s="13">
        <f>IF(AND(ISNUMBER(C171),ISNUMBER($B$89),ISNUMBER($D$89)),IF(C171&gt;$D$89,"boven UCL",IF(C171&lt;$B$89,"onder LCL","")),"")</f>
        <v/>
      </c>
      <c r="G171" t="n">
        <v>65</v>
      </c>
      <c r="H171" s="7" t="n"/>
      <c r="I171" s="7" t="n"/>
      <c r="J171" s="11">
        <f>IF(AND(ISNUMBER(H171),ISNUMBER(I171),H171&gt;0,ISNUMBER($B$94)),I171/H171,"")</f>
        <v/>
      </c>
      <c r="K171" s="11">
        <f>IF(AND(ISNUMBER(H171),ISNUMBER(I171),H171&gt;0,ISNUMBER($B$94)),MAX(0,$B$94-3*SQRT($B$94*(1-$B$94)/H171)),"")</f>
        <v/>
      </c>
      <c r="L171" s="11">
        <f>IF(AND(ISNUMBER(H171),ISNUMBER(I171),H171&gt;0,ISNUMBER($B$94)),$B$94+3*SQRT($B$94*(1-$B$94)/H171),"")</f>
        <v/>
      </c>
      <c r="M171" s="13">
        <f>IF(AND(ISNUMBER(J171),ISNUMBER(K171),ISNUMBER(L171)),IF(J171&gt;L171,"boven UCL",IF(J171&lt;K171,"onder LCL","")),"")</f>
        <v/>
      </c>
      <c r="O171" t="n">
        <v>65</v>
      </c>
      <c r="P171" s="7" t="n"/>
      <c r="Q171" s="7" t="n"/>
      <c r="R171" s="11">
        <f>IF(AND(ISNUMBER(P171),ISNUMBER(Q171),P171&gt;0,ISNUMBER($B$100)),Q171/P171,"")</f>
        <v/>
      </c>
      <c r="S171" s="11">
        <f>IF(AND(ISNUMBER(P171),ISNUMBER(Q171),P171&gt;0,ISNUMBER($B$100)),MAX(0,$B$100-3*SQRT($B$100/P171)),"")</f>
        <v/>
      </c>
      <c r="T171" s="11">
        <f>IF(AND(ISNUMBER(P171),ISNUMBER(Q171),P171&gt;0,ISNUMBER($B$100)),$B$100+3*SQRT($B$100/P171),"")</f>
        <v/>
      </c>
      <c r="U171" s="13">
        <f>IF(AND(ISNUMBER(R171),ISNUMBER(S171),ISNUMBER(T171)),IF(R171&gt;T171,"boven UCL",IF(R171&lt;S171,"onder LCL","")),"")</f>
        <v/>
      </c>
    </row>
    <row r="172">
      <c r="A172" t="n">
        <v>66</v>
      </c>
      <c r="B172" s="7" t="n"/>
      <c r="C172" s="11">
        <f>IF(AND(ISNUMBER(B172),ISNUMBER(B171)),ABS(B172-B171),"")</f>
        <v/>
      </c>
      <c r="D172" s="13">
        <f>IF(AND(ISNUMBER(B172),ISNUMBER($B$88),ISNUMBER($D$88)),IF(B172&gt;$D$88,"boven UCL",IF(B172&lt;$B$88,"onder LCL","")),"")</f>
        <v/>
      </c>
      <c r="E172" s="13">
        <f>IF(AND(ISNUMBER(C172),ISNUMBER($B$89),ISNUMBER($D$89)),IF(C172&gt;$D$89,"boven UCL",IF(C172&lt;$B$89,"onder LCL","")),"")</f>
        <v/>
      </c>
      <c r="G172" t="n">
        <v>66</v>
      </c>
      <c r="H172" s="7" t="n"/>
      <c r="I172" s="7" t="n"/>
      <c r="J172" s="11">
        <f>IF(AND(ISNUMBER(H172),ISNUMBER(I172),H172&gt;0,ISNUMBER($B$94)),I172/H172,"")</f>
        <v/>
      </c>
      <c r="K172" s="11">
        <f>IF(AND(ISNUMBER(H172),ISNUMBER(I172),H172&gt;0,ISNUMBER($B$94)),MAX(0,$B$94-3*SQRT($B$94*(1-$B$94)/H172)),"")</f>
        <v/>
      </c>
      <c r="L172" s="11">
        <f>IF(AND(ISNUMBER(H172),ISNUMBER(I172),H172&gt;0,ISNUMBER($B$94)),$B$94+3*SQRT($B$94*(1-$B$94)/H172),"")</f>
        <v/>
      </c>
      <c r="M172" s="13">
        <f>IF(AND(ISNUMBER(J172),ISNUMBER(K172),ISNUMBER(L172)),IF(J172&gt;L172,"boven UCL",IF(J172&lt;K172,"onder LCL","")),"")</f>
        <v/>
      </c>
      <c r="O172" t="n">
        <v>66</v>
      </c>
      <c r="P172" s="7" t="n"/>
      <c r="Q172" s="7" t="n"/>
      <c r="R172" s="11">
        <f>IF(AND(ISNUMBER(P172),ISNUMBER(Q172),P172&gt;0,ISNUMBER($B$100)),Q172/P172,"")</f>
        <v/>
      </c>
      <c r="S172" s="11">
        <f>IF(AND(ISNUMBER(P172),ISNUMBER(Q172),P172&gt;0,ISNUMBER($B$100)),MAX(0,$B$100-3*SQRT($B$100/P172)),"")</f>
        <v/>
      </c>
      <c r="T172" s="11">
        <f>IF(AND(ISNUMBER(P172),ISNUMBER(Q172),P172&gt;0,ISNUMBER($B$100)),$B$100+3*SQRT($B$100/P172),"")</f>
        <v/>
      </c>
      <c r="U172" s="13">
        <f>IF(AND(ISNUMBER(R172),ISNUMBER(S172),ISNUMBER(T172)),IF(R172&gt;T172,"boven UCL",IF(R172&lt;S172,"onder LCL","")),"")</f>
        <v/>
      </c>
    </row>
    <row r="173">
      <c r="A173" t="n">
        <v>67</v>
      </c>
      <c r="B173" s="7" t="n"/>
      <c r="C173" s="11">
        <f>IF(AND(ISNUMBER(B173),ISNUMBER(B172)),ABS(B173-B172),"")</f>
        <v/>
      </c>
      <c r="D173" s="13">
        <f>IF(AND(ISNUMBER(B173),ISNUMBER($B$88),ISNUMBER($D$88)),IF(B173&gt;$D$88,"boven UCL",IF(B173&lt;$B$88,"onder LCL","")),"")</f>
        <v/>
      </c>
      <c r="E173" s="13">
        <f>IF(AND(ISNUMBER(C173),ISNUMBER($B$89),ISNUMBER($D$89)),IF(C173&gt;$D$89,"boven UCL",IF(C173&lt;$B$89,"onder LCL","")),"")</f>
        <v/>
      </c>
      <c r="G173" t="n">
        <v>67</v>
      </c>
      <c r="H173" s="7" t="n"/>
      <c r="I173" s="7" t="n"/>
      <c r="J173" s="11">
        <f>IF(AND(ISNUMBER(H173),ISNUMBER(I173),H173&gt;0,ISNUMBER($B$94)),I173/H173,"")</f>
        <v/>
      </c>
      <c r="K173" s="11">
        <f>IF(AND(ISNUMBER(H173),ISNUMBER(I173),H173&gt;0,ISNUMBER($B$94)),MAX(0,$B$94-3*SQRT($B$94*(1-$B$94)/H173)),"")</f>
        <v/>
      </c>
      <c r="L173" s="11">
        <f>IF(AND(ISNUMBER(H173),ISNUMBER(I173),H173&gt;0,ISNUMBER($B$94)),$B$94+3*SQRT($B$94*(1-$B$94)/H173),"")</f>
        <v/>
      </c>
      <c r="M173" s="13">
        <f>IF(AND(ISNUMBER(J173),ISNUMBER(K173),ISNUMBER(L173)),IF(J173&gt;L173,"boven UCL",IF(J173&lt;K173,"onder LCL","")),"")</f>
        <v/>
      </c>
      <c r="O173" t="n">
        <v>67</v>
      </c>
      <c r="P173" s="7" t="n"/>
      <c r="Q173" s="7" t="n"/>
      <c r="R173" s="11">
        <f>IF(AND(ISNUMBER(P173),ISNUMBER(Q173),P173&gt;0,ISNUMBER($B$100)),Q173/P173,"")</f>
        <v/>
      </c>
      <c r="S173" s="11">
        <f>IF(AND(ISNUMBER(P173),ISNUMBER(Q173),P173&gt;0,ISNUMBER($B$100)),MAX(0,$B$100-3*SQRT($B$100/P173)),"")</f>
        <v/>
      </c>
      <c r="T173" s="11">
        <f>IF(AND(ISNUMBER(P173),ISNUMBER(Q173),P173&gt;0,ISNUMBER($B$100)),$B$100+3*SQRT($B$100/P173),"")</f>
        <v/>
      </c>
      <c r="U173" s="13">
        <f>IF(AND(ISNUMBER(R173),ISNUMBER(S173),ISNUMBER(T173)),IF(R173&gt;T173,"boven UCL",IF(R173&lt;S173,"onder LCL","")),"")</f>
        <v/>
      </c>
    </row>
    <row r="174">
      <c r="A174" t="n">
        <v>68</v>
      </c>
      <c r="B174" s="7" t="n"/>
      <c r="C174" s="11">
        <f>IF(AND(ISNUMBER(B174),ISNUMBER(B173)),ABS(B174-B173),"")</f>
        <v/>
      </c>
      <c r="D174" s="13">
        <f>IF(AND(ISNUMBER(B174),ISNUMBER($B$88),ISNUMBER($D$88)),IF(B174&gt;$D$88,"boven UCL",IF(B174&lt;$B$88,"onder LCL","")),"")</f>
        <v/>
      </c>
      <c r="E174" s="13">
        <f>IF(AND(ISNUMBER(C174),ISNUMBER($B$89),ISNUMBER($D$89)),IF(C174&gt;$D$89,"boven UCL",IF(C174&lt;$B$89,"onder LCL","")),"")</f>
        <v/>
      </c>
      <c r="G174" t="n">
        <v>68</v>
      </c>
      <c r="H174" s="7" t="n"/>
      <c r="I174" s="7" t="n"/>
      <c r="J174" s="11">
        <f>IF(AND(ISNUMBER(H174),ISNUMBER(I174),H174&gt;0,ISNUMBER($B$94)),I174/H174,"")</f>
        <v/>
      </c>
      <c r="K174" s="11">
        <f>IF(AND(ISNUMBER(H174),ISNUMBER(I174),H174&gt;0,ISNUMBER($B$94)),MAX(0,$B$94-3*SQRT($B$94*(1-$B$94)/H174)),"")</f>
        <v/>
      </c>
      <c r="L174" s="11">
        <f>IF(AND(ISNUMBER(H174),ISNUMBER(I174),H174&gt;0,ISNUMBER($B$94)),$B$94+3*SQRT($B$94*(1-$B$94)/H174),"")</f>
        <v/>
      </c>
      <c r="M174" s="13">
        <f>IF(AND(ISNUMBER(J174),ISNUMBER(K174),ISNUMBER(L174)),IF(J174&gt;L174,"boven UCL",IF(J174&lt;K174,"onder LCL","")),"")</f>
        <v/>
      </c>
      <c r="O174" t="n">
        <v>68</v>
      </c>
      <c r="P174" s="7" t="n"/>
      <c r="Q174" s="7" t="n"/>
      <c r="R174" s="11">
        <f>IF(AND(ISNUMBER(P174),ISNUMBER(Q174),P174&gt;0,ISNUMBER($B$100)),Q174/P174,"")</f>
        <v/>
      </c>
      <c r="S174" s="11">
        <f>IF(AND(ISNUMBER(P174),ISNUMBER(Q174),P174&gt;0,ISNUMBER($B$100)),MAX(0,$B$100-3*SQRT($B$100/P174)),"")</f>
        <v/>
      </c>
      <c r="T174" s="11">
        <f>IF(AND(ISNUMBER(P174),ISNUMBER(Q174),P174&gt;0,ISNUMBER($B$100)),$B$100+3*SQRT($B$100/P174),"")</f>
        <v/>
      </c>
      <c r="U174" s="13">
        <f>IF(AND(ISNUMBER(R174),ISNUMBER(S174),ISNUMBER(T174)),IF(R174&gt;T174,"boven UCL",IF(R174&lt;S174,"onder LCL","")),"")</f>
        <v/>
      </c>
    </row>
    <row r="175">
      <c r="A175" t="n">
        <v>69</v>
      </c>
      <c r="B175" s="7" t="n"/>
      <c r="C175" s="11">
        <f>IF(AND(ISNUMBER(B175),ISNUMBER(B174)),ABS(B175-B174),"")</f>
        <v/>
      </c>
      <c r="D175" s="13">
        <f>IF(AND(ISNUMBER(B175),ISNUMBER($B$88),ISNUMBER($D$88)),IF(B175&gt;$D$88,"boven UCL",IF(B175&lt;$B$88,"onder LCL","")),"")</f>
        <v/>
      </c>
      <c r="E175" s="13">
        <f>IF(AND(ISNUMBER(C175),ISNUMBER($B$89),ISNUMBER($D$89)),IF(C175&gt;$D$89,"boven UCL",IF(C175&lt;$B$89,"onder LCL","")),"")</f>
        <v/>
      </c>
      <c r="G175" t="n">
        <v>69</v>
      </c>
      <c r="H175" s="7" t="n"/>
      <c r="I175" s="7" t="n"/>
      <c r="J175" s="11">
        <f>IF(AND(ISNUMBER(H175),ISNUMBER(I175),H175&gt;0,ISNUMBER($B$94)),I175/H175,"")</f>
        <v/>
      </c>
      <c r="K175" s="11">
        <f>IF(AND(ISNUMBER(H175),ISNUMBER(I175),H175&gt;0,ISNUMBER($B$94)),MAX(0,$B$94-3*SQRT($B$94*(1-$B$94)/H175)),"")</f>
        <v/>
      </c>
      <c r="L175" s="11">
        <f>IF(AND(ISNUMBER(H175),ISNUMBER(I175),H175&gt;0,ISNUMBER($B$94)),$B$94+3*SQRT($B$94*(1-$B$94)/H175),"")</f>
        <v/>
      </c>
      <c r="M175" s="13">
        <f>IF(AND(ISNUMBER(J175),ISNUMBER(K175),ISNUMBER(L175)),IF(J175&gt;L175,"boven UCL",IF(J175&lt;K175,"onder LCL","")),"")</f>
        <v/>
      </c>
      <c r="O175" t="n">
        <v>69</v>
      </c>
      <c r="P175" s="7" t="n"/>
      <c r="Q175" s="7" t="n"/>
      <c r="R175" s="11">
        <f>IF(AND(ISNUMBER(P175),ISNUMBER(Q175),P175&gt;0,ISNUMBER($B$100)),Q175/P175,"")</f>
        <v/>
      </c>
      <c r="S175" s="11">
        <f>IF(AND(ISNUMBER(P175),ISNUMBER(Q175),P175&gt;0,ISNUMBER($B$100)),MAX(0,$B$100-3*SQRT($B$100/P175)),"")</f>
        <v/>
      </c>
      <c r="T175" s="11">
        <f>IF(AND(ISNUMBER(P175),ISNUMBER(Q175),P175&gt;0,ISNUMBER($B$100)),$B$100+3*SQRT($B$100/P175),"")</f>
        <v/>
      </c>
      <c r="U175" s="13">
        <f>IF(AND(ISNUMBER(R175),ISNUMBER(S175),ISNUMBER(T175)),IF(R175&gt;T175,"boven UCL",IF(R175&lt;S175,"onder LCL","")),"")</f>
        <v/>
      </c>
    </row>
    <row r="176">
      <c r="A176" t="n">
        <v>70</v>
      </c>
      <c r="B176" s="7" t="n"/>
      <c r="C176" s="11">
        <f>IF(AND(ISNUMBER(B176),ISNUMBER(B175)),ABS(B176-B175),"")</f>
        <v/>
      </c>
      <c r="D176" s="13">
        <f>IF(AND(ISNUMBER(B176),ISNUMBER($B$88),ISNUMBER($D$88)),IF(B176&gt;$D$88,"boven UCL",IF(B176&lt;$B$88,"onder LCL","")),"")</f>
        <v/>
      </c>
      <c r="E176" s="13">
        <f>IF(AND(ISNUMBER(C176),ISNUMBER($B$89),ISNUMBER($D$89)),IF(C176&gt;$D$89,"boven UCL",IF(C176&lt;$B$89,"onder LCL","")),"")</f>
        <v/>
      </c>
      <c r="G176" t="n">
        <v>70</v>
      </c>
      <c r="H176" s="7" t="n"/>
      <c r="I176" s="7" t="n"/>
      <c r="J176" s="11">
        <f>IF(AND(ISNUMBER(H176),ISNUMBER(I176),H176&gt;0,ISNUMBER($B$94)),I176/H176,"")</f>
        <v/>
      </c>
      <c r="K176" s="11">
        <f>IF(AND(ISNUMBER(H176),ISNUMBER(I176),H176&gt;0,ISNUMBER($B$94)),MAX(0,$B$94-3*SQRT($B$94*(1-$B$94)/H176)),"")</f>
        <v/>
      </c>
      <c r="L176" s="11">
        <f>IF(AND(ISNUMBER(H176),ISNUMBER(I176),H176&gt;0,ISNUMBER($B$94)),$B$94+3*SQRT($B$94*(1-$B$94)/H176),"")</f>
        <v/>
      </c>
      <c r="M176" s="13">
        <f>IF(AND(ISNUMBER(J176),ISNUMBER(K176),ISNUMBER(L176)),IF(J176&gt;L176,"boven UCL",IF(J176&lt;K176,"onder LCL","")),"")</f>
        <v/>
      </c>
      <c r="O176" t="n">
        <v>70</v>
      </c>
      <c r="P176" s="7" t="n"/>
      <c r="Q176" s="7" t="n"/>
      <c r="R176" s="11">
        <f>IF(AND(ISNUMBER(P176),ISNUMBER(Q176),P176&gt;0,ISNUMBER($B$100)),Q176/P176,"")</f>
        <v/>
      </c>
      <c r="S176" s="11">
        <f>IF(AND(ISNUMBER(P176),ISNUMBER(Q176),P176&gt;0,ISNUMBER($B$100)),MAX(0,$B$100-3*SQRT($B$100/P176)),"")</f>
        <v/>
      </c>
      <c r="T176" s="11">
        <f>IF(AND(ISNUMBER(P176),ISNUMBER(Q176),P176&gt;0,ISNUMBER($B$100)),$B$100+3*SQRT($B$100/P176),"")</f>
        <v/>
      </c>
      <c r="U176" s="13">
        <f>IF(AND(ISNUMBER(R176),ISNUMBER(S176),ISNUMBER(T176)),IF(R176&gt;T176,"boven UCL",IF(R176&lt;S176,"onder LCL","")),"")</f>
        <v/>
      </c>
    </row>
    <row r="177">
      <c r="A177" t="n">
        <v>71</v>
      </c>
      <c r="B177" s="7" t="n"/>
      <c r="C177" s="11">
        <f>IF(AND(ISNUMBER(B177),ISNUMBER(B176)),ABS(B177-B176),"")</f>
        <v/>
      </c>
      <c r="D177" s="13">
        <f>IF(AND(ISNUMBER(B177),ISNUMBER($B$88),ISNUMBER($D$88)),IF(B177&gt;$D$88,"boven UCL",IF(B177&lt;$B$88,"onder LCL","")),"")</f>
        <v/>
      </c>
      <c r="E177" s="13">
        <f>IF(AND(ISNUMBER(C177),ISNUMBER($B$89),ISNUMBER($D$89)),IF(C177&gt;$D$89,"boven UCL",IF(C177&lt;$B$89,"onder LCL","")),"")</f>
        <v/>
      </c>
      <c r="G177" t="n">
        <v>71</v>
      </c>
      <c r="H177" s="7" t="n"/>
      <c r="I177" s="7" t="n"/>
      <c r="J177" s="11">
        <f>IF(AND(ISNUMBER(H177),ISNUMBER(I177),H177&gt;0,ISNUMBER($B$94)),I177/H177,"")</f>
        <v/>
      </c>
      <c r="K177" s="11">
        <f>IF(AND(ISNUMBER(H177),ISNUMBER(I177),H177&gt;0,ISNUMBER($B$94)),MAX(0,$B$94-3*SQRT($B$94*(1-$B$94)/H177)),"")</f>
        <v/>
      </c>
      <c r="L177" s="11">
        <f>IF(AND(ISNUMBER(H177),ISNUMBER(I177),H177&gt;0,ISNUMBER($B$94)),$B$94+3*SQRT($B$94*(1-$B$94)/H177),"")</f>
        <v/>
      </c>
      <c r="M177" s="13">
        <f>IF(AND(ISNUMBER(J177),ISNUMBER(K177),ISNUMBER(L177)),IF(J177&gt;L177,"boven UCL",IF(J177&lt;K177,"onder LCL","")),"")</f>
        <v/>
      </c>
      <c r="O177" t="n">
        <v>71</v>
      </c>
      <c r="P177" s="7" t="n"/>
      <c r="Q177" s="7" t="n"/>
      <c r="R177" s="11">
        <f>IF(AND(ISNUMBER(P177),ISNUMBER(Q177),P177&gt;0,ISNUMBER($B$100)),Q177/P177,"")</f>
        <v/>
      </c>
      <c r="S177" s="11">
        <f>IF(AND(ISNUMBER(P177),ISNUMBER(Q177),P177&gt;0,ISNUMBER($B$100)),MAX(0,$B$100-3*SQRT($B$100/P177)),"")</f>
        <v/>
      </c>
      <c r="T177" s="11">
        <f>IF(AND(ISNUMBER(P177),ISNUMBER(Q177),P177&gt;0,ISNUMBER($B$100)),$B$100+3*SQRT($B$100/P177),"")</f>
        <v/>
      </c>
      <c r="U177" s="13">
        <f>IF(AND(ISNUMBER(R177),ISNUMBER(S177),ISNUMBER(T177)),IF(R177&gt;T177,"boven UCL",IF(R177&lt;S177,"onder LCL","")),"")</f>
        <v/>
      </c>
    </row>
    <row r="178">
      <c r="A178" t="n">
        <v>72</v>
      </c>
      <c r="B178" s="7" t="n"/>
      <c r="C178" s="11">
        <f>IF(AND(ISNUMBER(B178),ISNUMBER(B177)),ABS(B178-B177),"")</f>
        <v/>
      </c>
      <c r="D178" s="13">
        <f>IF(AND(ISNUMBER(B178),ISNUMBER($B$88),ISNUMBER($D$88)),IF(B178&gt;$D$88,"boven UCL",IF(B178&lt;$B$88,"onder LCL","")),"")</f>
        <v/>
      </c>
      <c r="E178" s="13">
        <f>IF(AND(ISNUMBER(C178),ISNUMBER($B$89),ISNUMBER($D$89)),IF(C178&gt;$D$89,"boven UCL",IF(C178&lt;$B$89,"onder LCL","")),"")</f>
        <v/>
      </c>
      <c r="G178" t="n">
        <v>72</v>
      </c>
      <c r="H178" s="7" t="n"/>
      <c r="I178" s="7" t="n"/>
      <c r="J178" s="11">
        <f>IF(AND(ISNUMBER(H178),ISNUMBER(I178),H178&gt;0,ISNUMBER($B$94)),I178/H178,"")</f>
        <v/>
      </c>
      <c r="K178" s="11">
        <f>IF(AND(ISNUMBER(H178),ISNUMBER(I178),H178&gt;0,ISNUMBER($B$94)),MAX(0,$B$94-3*SQRT($B$94*(1-$B$94)/H178)),"")</f>
        <v/>
      </c>
      <c r="L178" s="11">
        <f>IF(AND(ISNUMBER(H178),ISNUMBER(I178),H178&gt;0,ISNUMBER($B$94)),$B$94+3*SQRT($B$94*(1-$B$94)/H178),"")</f>
        <v/>
      </c>
      <c r="M178" s="13">
        <f>IF(AND(ISNUMBER(J178),ISNUMBER(K178),ISNUMBER(L178)),IF(J178&gt;L178,"boven UCL",IF(J178&lt;K178,"onder LCL","")),"")</f>
        <v/>
      </c>
      <c r="O178" t="n">
        <v>72</v>
      </c>
      <c r="P178" s="7" t="n"/>
      <c r="Q178" s="7" t="n"/>
      <c r="R178" s="11">
        <f>IF(AND(ISNUMBER(P178),ISNUMBER(Q178),P178&gt;0,ISNUMBER($B$100)),Q178/P178,"")</f>
        <v/>
      </c>
      <c r="S178" s="11">
        <f>IF(AND(ISNUMBER(P178),ISNUMBER(Q178),P178&gt;0,ISNUMBER($B$100)),MAX(0,$B$100-3*SQRT($B$100/P178)),"")</f>
        <v/>
      </c>
      <c r="T178" s="11">
        <f>IF(AND(ISNUMBER(P178),ISNUMBER(Q178),P178&gt;0,ISNUMBER($B$100)),$B$100+3*SQRT($B$100/P178),"")</f>
        <v/>
      </c>
      <c r="U178" s="13">
        <f>IF(AND(ISNUMBER(R178),ISNUMBER(S178),ISNUMBER(T178)),IF(R178&gt;T178,"boven UCL",IF(R178&lt;S178,"onder LCL","")),"")</f>
        <v/>
      </c>
    </row>
    <row r="179">
      <c r="A179" t="n">
        <v>73</v>
      </c>
      <c r="B179" s="7" t="n"/>
      <c r="C179" s="11">
        <f>IF(AND(ISNUMBER(B179),ISNUMBER(B178)),ABS(B179-B178),"")</f>
        <v/>
      </c>
      <c r="D179" s="13">
        <f>IF(AND(ISNUMBER(B179),ISNUMBER($B$88),ISNUMBER($D$88)),IF(B179&gt;$D$88,"boven UCL",IF(B179&lt;$B$88,"onder LCL","")),"")</f>
        <v/>
      </c>
      <c r="E179" s="13">
        <f>IF(AND(ISNUMBER(C179),ISNUMBER($B$89),ISNUMBER($D$89)),IF(C179&gt;$D$89,"boven UCL",IF(C179&lt;$B$89,"onder LCL","")),"")</f>
        <v/>
      </c>
      <c r="G179" t="n">
        <v>73</v>
      </c>
      <c r="H179" s="7" t="n"/>
      <c r="I179" s="7" t="n"/>
      <c r="J179" s="11">
        <f>IF(AND(ISNUMBER(H179),ISNUMBER(I179),H179&gt;0,ISNUMBER($B$94)),I179/H179,"")</f>
        <v/>
      </c>
      <c r="K179" s="11">
        <f>IF(AND(ISNUMBER(H179),ISNUMBER(I179),H179&gt;0,ISNUMBER($B$94)),MAX(0,$B$94-3*SQRT($B$94*(1-$B$94)/H179)),"")</f>
        <v/>
      </c>
      <c r="L179" s="11">
        <f>IF(AND(ISNUMBER(H179),ISNUMBER(I179),H179&gt;0,ISNUMBER($B$94)),$B$94+3*SQRT($B$94*(1-$B$94)/H179),"")</f>
        <v/>
      </c>
      <c r="M179" s="13">
        <f>IF(AND(ISNUMBER(J179),ISNUMBER(K179),ISNUMBER(L179)),IF(J179&gt;L179,"boven UCL",IF(J179&lt;K179,"onder LCL","")),"")</f>
        <v/>
      </c>
      <c r="O179" t="n">
        <v>73</v>
      </c>
      <c r="P179" s="7" t="n"/>
      <c r="Q179" s="7" t="n"/>
      <c r="R179" s="11">
        <f>IF(AND(ISNUMBER(P179),ISNUMBER(Q179),P179&gt;0,ISNUMBER($B$100)),Q179/P179,"")</f>
        <v/>
      </c>
      <c r="S179" s="11">
        <f>IF(AND(ISNUMBER(P179),ISNUMBER(Q179),P179&gt;0,ISNUMBER($B$100)),MAX(0,$B$100-3*SQRT($B$100/P179)),"")</f>
        <v/>
      </c>
      <c r="T179" s="11">
        <f>IF(AND(ISNUMBER(P179),ISNUMBER(Q179),P179&gt;0,ISNUMBER($B$100)),$B$100+3*SQRT($B$100/P179),"")</f>
        <v/>
      </c>
      <c r="U179" s="13">
        <f>IF(AND(ISNUMBER(R179),ISNUMBER(S179),ISNUMBER(T179)),IF(R179&gt;T179,"boven UCL",IF(R179&lt;S179,"onder LCL","")),"")</f>
        <v/>
      </c>
    </row>
    <row r="180">
      <c r="A180" t="n">
        <v>74</v>
      </c>
      <c r="B180" s="7" t="n"/>
      <c r="C180" s="11">
        <f>IF(AND(ISNUMBER(B180),ISNUMBER(B179)),ABS(B180-B179),"")</f>
        <v/>
      </c>
      <c r="D180" s="13">
        <f>IF(AND(ISNUMBER(B180),ISNUMBER($B$88),ISNUMBER($D$88)),IF(B180&gt;$D$88,"boven UCL",IF(B180&lt;$B$88,"onder LCL","")),"")</f>
        <v/>
      </c>
      <c r="E180" s="13">
        <f>IF(AND(ISNUMBER(C180),ISNUMBER($B$89),ISNUMBER($D$89)),IF(C180&gt;$D$89,"boven UCL",IF(C180&lt;$B$89,"onder LCL","")),"")</f>
        <v/>
      </c>
      <c r="G180" t="n">
        <v>74</v>
      </c>
      <c r="H180" s="7" t="n"/>
      <c r="I180" s="7" t="n"/>
      <c r="J180" s="11">
        <f>IF(AND(ISNUMBER(H180),ISNUMBER(I180),H180&gt;0,ISNUMBER($B$94)),I180/H180,"")</f>
        <v/>
      </c>
      <c r="K180" s="11">
        <f>IF(AND(ISNUMBER(H180),ISNUMBER(I180),H180&gt;0,ISNUMBER($B$94)),MAX(0,$B$94-3*SQRT($B$94*(1-$B$94)/H180)),"")</f>
        <v/>
      </c>
      <c r="L180" s="11">
        <f>IF(AND(ISNUMBER(H180),ISNUMBER(I180),H180&gt;0,ISNUMBER($B$94)),$B$94+3*SQRT($B$94*(1-$B$94)/H180),"")</f>
        <v/>
      </c>
      <c r="M180" s="13">
        <f>IF(AND(ISNUMBER(J180),ISNUMBER(K180),ISNUMBER(L180)),IF(J180&gt;L180,"boven UCL",IF(J180&lt;K180,"onder LCL","")),"")</f>
        <v/>
      </c>
      <c r="O180" t="n">
        <v>74</v>
      </c>
      <c r="P180" s="7" t="n"/>
      <c r="Q180" s="7" t="n"/>
      <c r="R180" s="11">
        <f>IF(AND(ISNUMBER(P180),ISNUMBER(Q180),P180&gt;0,ISNUMBER($B$100)),Q180/P180,"")</f>
        <v/>
      </c>
      <c r="S180" s="11">
        <f>IF(AND(ISNUMBER(P180),ISNUMBER(Q180),P180&gt;0,ISNUMBER($B$100)),MAX(0,$B$100-3*SQRT($B$100/P180)),"")</f>
        <v/>
      </c>
      <c r="T180" s="11">
        <f>IF(AND(ISNUMBER(P180),ISNUMBER(Q180),P180&gt;0,ISNUMBER($B$100)),$B$100+3*SQRT($B$100/P180),"")</f>
        <v/>
      </c>
      <c r="U180" s="13">
        <f>IF(AND(ISNUMBER(R180),ISNUMBER(S180),ISNUMBER(T180)),IF(R180&gt;T180,"boven UCL",IF(R180&lt;S180,"onder LCL","")),"")</f>
        <v/>
      </c>
    </row>
    <row r="181">
      <c r="A181" t="n">
        <v>75</v>
      </c>
      <c r="B181" s="7" t="n"/>
      <c r="C181" s="11">
        <f>IF(AND(ISNUMBER(B181),ISNUMBER(B180)),ABS(B181-B180),"")</f>
        <v/>
      </c>
      <c r="D181" s="13">
        <f>IF(AND(ISNUMBER(B181),ISNUMBER($B$88),ISNUMBER($D$88)),IF(B181&gt;$D$88,"boven UCL",IF(B181&lt;$B$88,"onder LCL","")),"")</f>
        <v/>
      </c>
      <c r="E181" s="13">
        <f>IF(AND(ISNUMBER(C181),ISNUMBER($B$89),ISNUMBER($D$89)),IF(C181&gt;$D$89,"boven UCL",IF(C181&lt;$B$89,"onder LCL","")),"")</f>
        <v/>
      </c>
      <c r="G181" t="n">
        <v>75</v>
      </c>
      <c r="H181" s="7" t="n"/>
      <c r="I181" s="7" t="n"/>
      <c r="J181" s="11">
        <f>IF(AND(ISNUMBER(H181),ISNUMBER(I181),H181&gt;0,ISNUMBER($B$94)),I181/H181,"")</f>
        <v/>
      </c>
      <c r="K181" s="11">
        <f>IF(AND(ISNUMBER(H181),ISNUMBER(I181),H181&gt;0,ISNUMBER($B$94)),MAX(0,$B$94-3*SQRT($B$94*(1-$B$94)/H181)),"")</f>
        <v/>
      </c>
      <c r="L181" s="11">
        <f>IF(AND(ISNUMBER(H181),ISNUMBER(I181),H181&gt;0,ISNUMBER($B$94)),$B$94+3*SQRT($B$94*(1-$B$94)/H181),"")</f>
        <v/>
      </c>
      <c r="M181" s="13">
        <f>IF(AND(ISNUMBER(J181),ISNUMBER(K181),ISNUMBER(L181)),IF(J181&gt;L181,"boven UCL",IF(J181&lt;K181,"onder LCL","")),"")</f>
        <v/>
      </c>
      <c r="O181" t="n">
        <v>75</v>
      </c>
      <c r="P181" s="7" t="n"/>
      <c r="Q181" s="7" t="n"/>
      <c r="R181" s="11">
        <f>IF(AND(ISNUMBER(P181),ISNUMBER(Q181),P181&gt;0,ISNUMBER($B$100)),Q181/P181,"")</f>
        <v/>
      </c>
      <c r="S181" s="11">
        <f>IF(AND(ISNUMBER(P181),ISNUMBER(Q181),P181&gt;0,ISNUMBER($B$100)),MAX(0,$B$100-3*SQRT($B$100/P181)),"")</f>
        <v/>
      </c>
      <c r="T181" s="11">
        <f>IF(AND(ISNUMBER(P181),ISNUMBER(Q181),P181&gt;0,ISNUMBER($B$100)),$B$100+3*SQRT($B$100/P181),"")</f>
        <v/>
      </c>
      <c r="U181" s="13">
        <f>IF(AND(ISNUMBER(R181),ISNUMBER(S181),ISNUMBER(T181)),IF(R181&gt;T181,"boven UCL",IF(R181&lt;S181,"onder LCL","")),"")</f>
        <v/>
      </c>
    </row>
    <row r="182">
      <c r="A182" t="n">
        <v>76</v>
      </c>
      <c r="B182" s="7" t="n"/>
      <c r="C182" s="11">
        <f>IF(AND(ISNUMBER(B182),ISNUMBER(B181)),ABS(B182-B181),"")</f>
        <v/>
      </c>
      <c r="D182" s="13">
        <f>IF(AND(ISNUMBER(B182),ISNUMBER($B$88),ISNUMBER($D$88)),IF(B182&gt;$D$88,"boven UCL",IF(B182&lt;$B$88,"onder LCL","")),"")</f>
        <v/>
      </c>
      <c r="E182" s="13">
        <f>IF(AND(ISNUMBER(C182),ISNUMBER($B$89),ISNUMBER($D$89)),IF(C182&gt;$D$89,"boven UCL",IF(C182&lt;$B$89,"onder LCL","")),"")</f>
        <v/>
      </c>
      <c r="G182" t="n">
        <v>76</v>
      </c>
      <c r="H182" s="7" t="n"/>
      <c r="I182" s="7" t="n"/>
      <c r="J182" s="11">
        <f>IF(AND(ISNUMBER(H182),ISNUMBER(I182),H182&gt;0,ISNUMBER($B$94)),I182/H182,"")</f>
        <v/>
      </c>
      <c r="K182" s="11">
        <f>IF(AND(ISNUMBER(H182),ISNUMBER(I182),H182&gt;0,ISNUMBER($B$94)),MAX(0,$B$94-3*SQRT($B$94*(1-$B$94)/H182)),"")</f>
        <v/>
      </c>
      <c r="L182" s="11">
        <f>IF(AND(ISNUMBER(H182),ISNUMBER(I182),H182&gt;0,ISNUMBER($B$94)),$B$94+3*SQRT($B$94*(1-$B$94)/H182),"")</f>
        <v/>
      </c>
      <c r="M182" s="13">
        <f>IF(AND(ISNUMBER(J182),ISNUMBER(K182),ISNUMBER(L182)),IF(J182&gt;L182,"boven UCL",IF(J182&lt;K182,"onder LCL","")),"")</f>
        <v/>
      </c>
      <c r="O182" t="n">
        <v>76</v>
      </c>
      <c r="P182" s="7" t="n"/>
      <c r="Q182" s="7" t="n"/>
      <c r="R182" s="11">
        <f>IF(AND(ISNUMBER(P182),ISNUMBER(Q182),P182&gt;0,ISNUMBER($B$100)),Q182/P182,"")</f>
        <v/>
      </c>
      <c r="S182" s="11">
        <f>IF(AND(ISNUMBER(P182),ISNUMBER(Q182),P182&gt;0,ISNUMBER($B$100)),MAX(0,$B$100-3*SQRT($B$100/P182)),"")</f>
        <v/>
      </c>
      <c r="T182" s="11">
        <f>IF(AND(ISNUMBER(P182),ISNUMBER(Q182),P182&gt;0,ISNUMBER($B$100)),$B$100+3*SQRT($B$100/P182),"")</f>
        <v/>
      </c>
      <c r="U182" s="13">
        <f>IF(AND(ISNUMBER(R182),ISNUMBER(S182),ISNUMBER(T182)),IF(R182&gt;T182,"boven UCL",IF(R182&lt;S182,"onder LCL","")),"")</f>
        <v/>
      </c>
    </row>
    <row r="183">
      <c r="A183" t="n">
        <v>77</v>
      </c>
      <c r="B183" s="7" t="n"/>
      <c r="C183" s="11">
        <f>IF(AND(ISNUMBER(B183),ISNUMBER(B182)),ABS(B183-B182),"")</f>
        <v/>
      </c>
      <c r="D183" s="13">
        <f>IF(AND(ISNUMBER(B183),ISNUMBER($B$88),ISNUMBER($D$88)),IF(B183&gt;$D$88,"boven UCL",IF(B183&lt;$B$88,"onder LCL","")),"")</f>
        <v/>
      </c>
      <c r="E183" s="13">
        <f>IF(AND(ISNUMBER(C183),ISNUMBER($B$89),ISNUMBER($D$89)),IF(C183&gt;$D$89,"boven UCL",IF(C183&lt;$B$89,"onder LCL","")),"")</f>
        <v/>
      </c>
      <c r="G183" t="n">
        <v>77</v>
      </c>
      <c r="H183" s="7" t="n"/>
      <c r="I183" s="7" t="n"/>
      <c r="J183" s="11">
        <f>IF(AND(ISNUMBER(H183),ISNUMBER(I183),H183&gt;0,ISNUMBER($B$94)),I183/H183,"")</f>
        <v/>
      </c>
      <c r="K183" s="11">
        <f>IF(AND(ISNUMBER(H183),ISNUMBER(I183),H183&gt;0,ISNUMBER($B$94)),MAX(0,$B$94-3*SQRT($B$94*(1-$B$94)/H183)),"")</f>
        <v/>
      </c>
      <c r="L183" s="11">
        <f>IF(AND(ISNUMBER(H183),ISNUMBER(I183),H183&gt;0,ISNUMBER($B$94)),$B$94+3*SQRT($B$94*(1-$B$94)/H183),"")</f>
        <v/>
      </c>
      <c r="M183" s="13">
        <f>IF(AND(ISNUMBER(J183),ISNUMBER(K183),ISNUMBER(L183)),IF(J183&gt;L183,"boven UCL",IF(J183&lt;K183,"onder LCL","")),"")</f>
        <v/>
      </c>
      <c r="O183" t="n">
        <v>77</v>
      </c>
      <c r="P183" s="7" t="n"/>
      <c r="Q183" s="7" t="n"/>
      <c r="R183" s="11">
        <f>IF(AND(ISNUMBER(P183),ISNUMBER(Q183),P183&gt;0,ISNUMBER($B$100)),Q183/P183,"")</f>
        <v/>
      </c>
      <c r="S183" s="11">
        <f>IF(AND(ISNUMBER(P183),ISNUMBER(Q183),P183&gt;0,ISNUMBER($B$100)),MAX(0,$B$100-3*SQRT($B$100/P183)),"")</f>
        <v/>
      </c>
      <c r="T183" s="11">
        <f>IF(AND(ISNUMBER(P183),ISNUMBER(Q183),P183&gt;0,ISNUMBER($B$100)),$B$100+3*SQRT($B$100/P183),"")</f>
        <v/>
      </c>
      <c r="U183" s="13">
        <f>IF(AND(ISNUMBER(R183),ISNUMBER(S183),ISNUMBER(T183)),IF(R183&gt;T183,"boven UCL",IF(R183&lt;S183,"onder LCL","")),"")</f>
        <v/>
      </c>
    </row>
    <row r="184">
      <c r="A184" t="n">
        <v>78</v>
      </c>
      <c r="B184" s="7" t="n"/>
      <c r="C184" s="11">
        <f>IF(AND(ISNUMBER(B184),ISNUMBER(B183)),ABS(B184-B183),"")</f>
        <v/>
      </c>
      <c r="D184" s="13">
        <f>IF(AND(ISNUMBER(B184),ISNUMBER($B$88),ISNUMBER($D$88)),IF(B184&gt;$D$88,"boven UCL",IF(B184&lt;$B$88,"onder LCL","")),"")</f>
        <v/>
      </c>
      <c r="E184" s="13">
        <f>IF(AND(ISNUMBER(C184),ISNUMBER($B$89),ISNUMBER($D$89)),IF(C184&gt;$D$89,"boven UCL",IF(C184&lt;$B$89,"onder LCL","")),"")</f>
        <v/>
      </c>
      <c r="G184" t="n">
        <v>78</v>
      </c>
      <c r="H184" s="7" t="n"/>
      <c r="I184" s="7" t="n"/>
      <c r="J184" s="11">
        <f>IF(AND(ISNUMBER(H184),ISNUMBER(I184),H184&gt;0,ISNUMBER($B$94)),I184/H184,"")</f>
        <v/>
      </c>
      <c r="K184" s="11">
        <f>IF(AND(ISNUMBER(H184),ISNUMBER(I184),H184&gt;0,ISNUMBER($B$94)),MAX(0,$B$94-3*SQRT($B$94*(1-$B$94)/H184)),"")</f>
        <v/>
      </c>
      <c r="L184" s="11">
        <f>IF(AND(ISNUMBER(H184),ISNUMBER(I184),H184&gt;0,ISNUMBER($B$94)),$B$94+3*SQRT($B$94*(1-$B$94)/H184),"")</f>
        <v/>
      </c>
      <c r="M184" s="13">
        <f>IF(AND(ISNUMBER(J184),ISNUMBER(K184),ISNUMBER(L184)),IF(J184&gt;L184,"boven UCL",IF(J184&lt;K184,"onder LCL","")),"")</f>
        <v/>
      </c>
      <c r="O184" t="n">
        <v>78</v>
      </c>
      <c r="P184" s="7" t="n"/>
      <c r="Q184" s="7" t="n"/>
      <c r="R184" s="11">
        <f>IF(AND(ISNUMBER(P184),ISNUMBER(Q184),P184&gt;0,ISNUMBER($B$100)),Q184/P184,"")</f>
        <v/>
      </c>
      <c r="S184" s="11">
        <f>IF(AND(ISNUMBER(P184),ISNUMBER(Q184),P184&gt;0,ISNUMBER($B$100)),MAX(0,$B$100-3*SQRT($B$100/P184)),"")</f>
        <v/>
      </c>
      <c r="T184" s="11">
        <f>IF(AND(ISNUMBER(P184),ISNUMBER(Q184),P184&gt;0,ISNUMBER($B$100)),$B$100+3*SQRT($B$100/P184),"")</f>
        <v/>
      </c>
      <c r="U184" s="13">
        <f>IF(AND(ISNUMBER(R184),ISNUMBER(S184),ISNUMBER(T184)),IF(R184&gt;T184,"boven UCL",IF(R184&lt;S184,"onder LCL","")),"")</f>
        <v/>
      </c>
    </row>
    <row r="185">
      <c r="A185" t="n">
        <v>79</v>
      </c>
      <c r="B185" s="7" t="n"/>
      <c r="C185" s="11">
        <f>IF(AND(ISNUMBER(B185),ISNUMBER(B184)),ABS(B185-B184),"")</f>
        <v/>
      </c>
      <c r="D185" s="13">
        <f>IF(AND(ISNUMBER(B185),ISNUMBER($B$88),ISNUMBER($D$88)),IF(B185&gt;$D$88,"boven UCL",IF(B185&lt;$B$88,"onder LCL","")),"")</f>
        <v/>
      </c>
      <c r="E185" s="13">
        <f>IF(AND(ISNUMBER(C185),ISNUMBER($B$89),ISNUMBER($D$89)),IF(C185&gt;$D$89,"boven UCL",IF(C185&lt;$B$89,"onder LCL","")),"")</f>
        <v/>
      </c>
      <c r="G185" t="n">
        <v>79</v>
      </c>
      <c r="H185" s="7" t="n"/>
      <c r="I185" s="7" t="n"/>
      <c r="J185" s="11">
        <f>IF(AND(ISNUMBER(H185),ISNUMBER(I185),H185&gt;0,ISNUMBER($B$94)),I185/H185,"")</f>
        <v/>
      </c>
      <c r="K185" s="11">
        <f>IF(AND(ISNUMBER(H185),ISNUMBER(I185),H185&gt;0,ISNUMBER($B$94)),MAX(0,$B$94-3*SQRT($B$94*(1-$B$94)/H185)),"")</f>
        <v/>
      </c>
      <c r="L185" s="11">
        <f>IF(AND(ISNUMBER(H185),ISNUMBER(I185),H185&gt;0,ISNUMBER($B$94)),$B$94+3*SQRT($B$94*(1-$B$94)/H185),"")</f>
        <v/>
      </c>
      <c r="M185" s="13">
        <f>IF(AND(ISNUMBER(J185),ISNUMBER(K185),ISNUMBER(L185)),IF(J185&gt;L185,"boven UCL",IF(J185&lt;K185,"onder LCL","")),"")</f>
        <v/>
      </c>
      <c r="O185" t="n">
        <v>79</v>
      </c>
      <c r="P185" s="7" t="n"/>
      <c r="Q185" s="7" t="n"/>
      <c r="R185" s="11">
        <f>IF(AND(ISNUMBER(P185),ISNUMBER(Q185),P185&gt;0,ISNUMBER($B$100)),Q185/P185,"")</f>
        <v/>
      </c>
      <c r="S185" s="11">
        <f>IF(AND(ISNUMBER(P185),ISNUMBER(Q185),P185&gt;0,ISNUMBER($B$100)),MAX(0,$B$100-3*SQRT($B$100/P185)),"")</f>
        <v/>
      </c>
      <c r="T185" s="11">
        <f>IF(AND(ISNUMBER(P185),ISNUMBER(Q185),P185&gt;0,ISNUMBER($B$100)),$B$100+3*SQRT($B$100/P185),"")</f>
        <v/>
      </c>
      <c r="U185" s="13">
        <f>IF(AND(ISNUMBER(R185),ISNUMBER(S185),ISNUMBER(T185)),IF(R185&gt;T185,"boven UCL",IF(R185&lt;S185,"onder LCL","")),"")</f>
        <v/>
      </c>
    </row>
    <row r="186">
      <c r="A186" t="n">
        <v>80</v>
      </c>
      <c r="B186" s="7" t="n"/>
      <c r="C186" s="11">
        <f>IF(AND(ISNUMBER(B186),ISNUMBER(B185)),ABS(B186-B185),"")</f>
        <v/>
      </c>
      <c r="D186" s="13">
        <f>IF(AND(ISNUMBER(B186),ISNUMBER($B$88),ISNUMBER($D$88)),IF(B186&gt;$D$88,"boven UCL",IF(B186&lt;$B$88,"onder LCL","")),"")</f>
        <v/>
      </c>
      <c r="E186" s="13">
        <f>IF(AND(ISNUMBER(C186),ISNUMBER($B$89),ISNUMBER($D$89)),IF(C186&gt;$D$89,"boven UCL",IF(C186&lt;$B$89,"onder LCL","")),"")</f>
        <v/>
      </c>
      <c r="G186" t="n">
        <v>80</v>
      </c>
      <c r="H186" s="7" t="n"/>
      <c r="I186" s="7" t="n"/>
      <c r="J186" s="11">
        <f>IF(AND(ISNUMBER(H186),ISNUMBER(I186),H186&gt;0,ISNUMBER($B$94)),I186/H186,"")</f>
        <v/>
      </c>
      <c r="K186" s="11">
        <f>IF(AND(ISNUMBER(H186),ISNUMBER(I186),H186&gt;0,ISNUMBER($B$94)),MAX(0,$B$94-3*SQRT($B$94*(1-$B$94)/H186)),"")</f>
        <v/>
      </c>
      <c r="L186" s="11">
        <f>IF(AND(ISNUMBER(H186),ISNUMBER(I186),H186&gt;0,ISNUMBER($B$94)),$B$94+3*SQRT($B$94*(1-$B$94)/H186),"")</f>
        <v/>
      </c>
      <c r="M186" s="13">
        <f>IF(AND(ISNUMBER(J186),ISNUMBER(K186),ISNUMBER(L186)),IF(J186&gt;L186,"boven UCL",IF(J186&lt;K186,"onder LCL","")),"")</f>
        <v/>
      </c>
      <c r="O186" t="n">
        <v>80</v>
      </c>
      <c r="P186" s="7" t="n"/>
      <c r="Q186" s="7" t="n"/>
      <c r="R186" s="11">
        <f>IF(AND(ISNUMBER(P186),ISNUMBER(Q186),P186&gt;0,ISNUMBER($B$100)),Q186/P186,"")</f>
        <v/>
      </c>
      <c r="S186" s="11">
        <f>IF(AND(ISNUMBER(P186),ISNUMBER(Q186),P186&gt;0,ISNUMBER($B$100)),MAX(0,$B$100-3*SQRT($B$100/P186)),"")</f>
        <v/>
      </c>
      <c r="T186" s="11">
        <f>IF(AND(ISNUMBER(P186),ISNUMBER(Q186),P186&gt;0,ISNUMBER($B$100)),$B$100+3*SQRT($B$100/P186),"")</f>
        <v/>
      </c>
      <c r="U186" s="13">
        <f>IF(AND(ISNUMBER(R186),ISNUMBER(S186),ISNUMBER(T186)),IF(R186&gt;T186,"boven UCL",IF(R186&lt;S186,"onder LCL","")),"")</f>
        <v/>
      </c>
    </row>
    <row r="187">
      <c r="A187" t="n">
        <v>81</v>
      </c>
      <c r="B187" s="7" t="n"/>
      <c r="C187" s="11">
        <f>IF(AND(ISNUMBER(B187),ISNUMBER(B186)),ABS(B187-B186),"")</f>
        <v/>
      </c>
      <c r="D187" s="13">
        <f>IF(AND(ISNUMBER(B187),ISNUMBER($B$88),ISNUMBER($D$88)),IF(B187&gt;$D$88,"boven UCL",IF(B187&lt;$B$88,"onder LCL","")),"")</f>
        <v/>
      </c>
      <c r="E187" s="13">
        <f>IF(AND(ISNUMBER(C187),ISNUMBER($B$89),ISNUMBER($D$89)),IF(C187&gt;$D$89,"boven UCL",IF(C187&lt;$B$89,"onder LCL","")),"")</f>
        <v/>
      </c>
      <c r="G187" t="n">
        <v>81</v>
      </c>
      <c r="H187" s="7" t="n"/>
      <c r="I187" s="7" t="n"/>
      <c r="J187" s="11">
        <f>IF(AND(ISNUMBER(H187),ISNUMBER(I187),H187&gt;0,ISNUMBER($B$94)),I187/H187,"")</f>
        <v/>
      </c>
      <c r="K187" s="11">
        <f>IF(AND(ISNUMBER(H187),ISNUMBER(I187),H187&gt;0,ISNUMBER($B$94)),MAX(0,$B$94-3*SQRT($B$94*(1-$B$94)/H187)),"")</f>
        <v/>
      </c>
      <c r="L187" s="11">
        <f>IF(AND(ISNUMBER(H187),ISNUMBER(I187),H187&gt;0,ISNUMBER($B$94)),$B$94+3*SQRT($B$94*(1-$B$94)/H187),"")</f>
        <v/>
      </c>
      <c r="M187" s="13">
        <f>IF(AND(ISNUMBER(J187),ISNUMBER(K187),ISNUMBER(L187)),IF(J187&gt;L187,"boven UCL",IF(J187&lt;K187,"onder LCL","")),"")</f>
        <v/>
      </c>
      <c r="O187" t="n">
        <v>81</v>
      </c>
      <c r="P187" s="7" t="n"/>
      <c r="Q187" s="7" t="n"/>
      <c r="R187" s="11">
        <f>IF(AND(ISNUMBER(P187),ISNUMBER(Q187),P187&gt;0,ISNUMBER($B$100)),Q187/P187,"")</f>
        <v/>
      </c>
      <c r="S187" s="11">
        <f>IF(AND(ISNUMBER(P187),ISNUMBER(Q187),P187&gt;0,ISNUMBER($B$100)),MAX(0,$B$100-3*SQRT($B$100/P187)),"")</f>
        <v/>
      </c>
      <c r="T187" s="11">
        <f>IF(AND(ISNUMBER(P187),ISNUMBER(Q187),P187&gt;0,ISNUMBER($B$100)),$B$100+3*SQRT($B$100/P187),"")</f>
        <v/>
      </c>
      <c r="U187" s="13">
        <f>IF(AND(ISNUMBER(R187),ISNUMBER(S187),ISNUMBER(T187)),IF(R187&gt;T187,"boven UCL",IF(R187&lt;S187,"onder LCL","")),"")</f>
        <v/>
      </c>
    </row>
    <row r="188">
      <c r="A188" t="n">
        <v>82</v>
      </c>
      <c r="B188" s="7" t="n"/>
      <c r="C188" s="11">
        <f>IF(AND(ISNUMBER(B188),ISNUMBER(B187)),ABS(B188-B187),"")</f>
        <v/>
      </c>
      <c r="D188" s="13">
        <f>IF(AND(ISNUMBER(B188),ISNUMBER($B$88),ISNUMBER($D$88)),IF(B188&gt;$D$88,"boven UCL",IF(B188&lt;$B$88,"onder LCL","")),"")</f>
        <v/>
      </c>
      <c r="E188" s="13">
        <f>IF(AND(ISNUMBER(C188),ISNUMBER($B$89),ISNUMBER($D$89)),IF(C188&gt;$D$89,"boven UCL",IF(C188&lt;$B$89,"onder LCL","")),"")</f>
        <v/>
      </c>
      <c r="G188" t="n">
        <v>82</v>
      </c>
      <c r="H188" s="7" t="n"/>
      <c r="I188" s="7" t="n"/>
      <c r="J188" s="11">
        <f>IF(AND(ISNUMBER(H188),ISNUMBER(I188),H188&gt;0,ISNUMBER($B$94)),I188/H188,"")</f>
        <v/>
      </c>
      <c r="K188" s="11">
        <f>IF(AND(ISNUMBER(H188),ISNUMBER(I188),H188&gt;0,ISNUMBER($B$94)),MAX(0,$B$94-3*SQRT($B$94*(1-$B$94)/H188)),"")</f>
        <v/>
      </c>
      <c r="L188" s="11">
        <f>IF(AND(ISNUMBER(H188),ISNUMBER(I188),H188&gt;0,ISNUMBER($B$94)),$B$94+3*SQRT($B$94*(1-$B$94)/H188),"")</f>
        <v/>
      </c>
      <c r="M188" s="13">
        <f>IF(AND(ISNUMBER(J188),ISNUMBER(K188),ISNUMBER(L188)),IF(J188&gt;L188,"boven UCL",IF(J188&lt;K188,"onder LCL","")),"")</f>
        <v/>
      </c>
      <c r="O188" t="n">
        <v>82</v>
      </c>
      <c r="P188" s="7" t="n"/>
      <c r="Q188" s="7" t="n"/>
      <c r="R188" s="11">
        <f>IF(AND(ISNUMBER(P188),ISNUMBER(Q188),P188&gt;0,ISNUMBER($B$100)),Q188/P188,"")</f>
        <v/>
      </c>
      <c r="S188" s="11">
        <f>IF(AND(ISNUMBER(P188),ISNUMBER(Q188),P188&gt;0,ISNUMBER($B$100)),MAX(0,$B$100-3*SQRT($B$100/P188)),"")</f>
        <v/>
      </c>
      <c r="T188" s="11">
        <f>IF(AND(ISNUMBER(P188),ISNUMBER(Q188),P188&gt;0,ISNUMBER($B$100)),$B$100+3*SQRT($B$100/P188),"")</f>
        <v/>
      </c>
      <c r="U188" s="13">
        <f>IF(AND(ISNUMBER(R188),ISNUMBER(S188),ISNUMBER(T188)),IF(R188&gt;T188,"boven UCL",IF(R188&lt;S188,"onder LCL","")),"")</f>
        <v/>
      </c>
    </row>
    <row r="189">
      <c r="A189" t="n">
        <v>83</v>
      </c>
      <c r="B189" s="7" t="n"/>
      <c r="C189" s="11">
        <f>IF(AND(ISNUMBER(B189),ISNUMBER(B188)),ABS(B189-B188),"")</f>
        <v/>
      </c>
      <c r="D189" s="13">
        <f>IF(AND(ISNUMBER(B189),ISNUMBER($B$88),ISNUMBER($D$88)),IF(B189&gt;$D$88,"boven UCL",IF(B189&lt;$B$88,"onder LCL","")),"")</f>
        <v/>
      </c>
      <c r="E189" s="13">
        <f>IF(AND(ISNUMBER(C189),ISNUMBER($B$89),ISNUMBER($D$89)),IF(C189&gt;$D$89,"boven UCL",IF(C189&lt;$B$89,"onder LCL","")),"")</f>
        <v/>
      </c>
      <c r="G189" t="n">
        <v>83</v>
      </c>
      <c r="H189" s="7" t="n"/>
      <c r="I189" s="7" t="n"/>
      <c r="J189" s="11">
        <f>IF(AND(ISNUMBER(H189),ISNUMBER(I189),H189&gt;0,ISNUMBER($B$94)),I189/H189,"")</f>
        <v/>
      </c>
      <c r="K189" s="11">
        <f>IF(AND(ISNUMBER(H189),ISNUMBER(I189),H189&gt;0,ISNUMBER($B$94)),MAX(0,$B$94-3*SQRT($B$94*(1-$B$94)/H189)),"")</f>
        <v/>
      </c>
      <c r="L189" s="11">
        <f>IF(AND(ISNUMBER(H189),ISNUMBER(I189),H189&gt;0,ISNUMBER($B$94)),$B$94+3*SQRT($B$94*(1-$B$94)/H189),"")</f>
        <v/>
      </c>
      <c r="M189" s="13">
        <f>IF(AND(ISNUMBER(J189),ISNUMBER(K189),ISNUMBER(L189)),IF(J189&gt;L189,"boven UCL",IF(J189&lt;K189,"onder LCL","")),"")</f>
        <v/>
      </c>
      <c r="O189" t="n">
        <v>83</v>
      </c>
      <c r="P189" s="7" t="n"/>
      <c r="Q189" s="7" t="n"/>
      <c r="R189" s="11">
        <f>IF(AND(ISNUMBER(P189),ISNUMBER(Q189),P189&gt;0,ISNUMBER($B$100)),Q189/P189,"")</f>
        <v/>
      </c>
      <c r="S189" s="11">
        <f>IF(AND(ISNUMBER(P189),ISNUMBER(Q189),P189&gt;0,ISNUMBER($B$100)),MAX(0,$B$100-3*SQRT($B$100/P189)),"")</f>
        <v/>
      </c>
      <c r="T189" s="11">
        <f>IF(AND(ISNUMBER(P189),ISNUMBER(Q189),P189&gt;0,ISNUMBER($B$100)),$B$100+3*SQRT($B$100/P189),"")</f>
        <v/>
      </c>
      <c r="U189" s="13">
        <f>IF(AND(ISNUMBER(R189),ISNUMBER(S189),ISNUMBER(T189)),IF(R189&gt;T189,"boven UCL",IF(R189&lt;S189,"onder LCL","")),"")</f>
        <v/>
      </c>
    </row>
    <row r="190">
      <c r="A190" t="n">
        <v>84</v>
      </c>
      <c r="B190" s="7" t="n"/>
      <c r="C190" s="11">
        <f>IF(AND(ISNUMBER(B190),ISNUMBER(B189)),ABS(B190-B189),"")</f>
        <v/>
      </c>
      <c r="D190" s="13">
        <f>IF(AND(ISNUMBER(B190),ISNUMBER($B$88),ISNUMBER($D$88)),IF(B190&gt;$D$88,"boven UCL",IF(B190&lt;$B$88,"onder LCL","")),"")</f>
        <v/>
      </c>
      <c r="E190" s="13">
        <f>IF(AND(ISNUMBER(C190),ISNUMBER($B$89),ISNUMBER($D$89)),IF(C190&gt;$D$89,"boven UCL",IF(C190&lt;$B$89,"onder LCL","")),"")</f>
        <v/>
      </c>
      <c r="G190" t="n">
        <v>84</v>
      </c>
      <c r="H190" s="7" t="n"/>
      <c r="I190" s="7" t="n"/>
      <c r="J190" s="11">
        <f>IF(AND(ISNUMBER(H190),ISNUMBER(I190),H190&gt;0,ISNUMBER($B$94)),I190/H190,"")</f>
        <v/>
      </c>
      <c r="K190" s="11">
        <f>IF(AND(ISNUMBER(H190),ISNUMBER(I190),H190&gt;0,ISNUMBER($B$94)),MAX(0,$B$94-3*SQRT($B$94*(1-$B$94)/H190)),"")</f>
        <v/>
      </c>
      <c r="L190" s="11">
        <f>IF(AND(ISNUMBER(H190),ISNUMBER(I190),H190&gt;0,ISNUMBER($B$94)),$B$94+3*SQRT($B$94*(1-$B$94)/H190),"")</f>
        <v/>
      </c>
      <c r="M190" s="13">
        <f>IF(AND(ISNUMBER(J190),ISNUMBER(K190),ISNUMBER(L190)),IF(J190&gt;L190,"boven UCL",IF(J190&lt;K190,"onder LCL","")),"")</f>
        <v/>
      </c>
      <c r="O190" t="n">
        <v>84</v>
      </c>
      <c r="P190" s="7" t="n"/>
      <c r="Q190" s="7" t="n"/>
      <c r="R190" s="11">
        <f>IF(AND(ISNUMBER(P190),ISNUMBER(Q190),P190&gt;0,ISNUMBER($B$100)),Q190/P190,"")</f>
        <v/>
      </c>
      <c r="S190" s="11">
        <f>IF(AND(ISNUMBER(P190),ISNUMBER(Q190),P190&gt;0,ISNUMBER($B$100)),MAX(0,$B$100-3*SQRT($B$100/P190)),"")</f>
        <v/>
      </c>
      <c r="T190" s="11">
        <f>IF(AND(ISNUMBER(P190),ISNUMBER(Q190),P190&gt;0,ISNUMBER($B$100)),$B$100+3*SQRT($B$100/P190),"")</f>
        <v/>
      </c>
      <c r="U190" s="13">
        <f>IF(AND(ISNUMBER(R190),ISNUMBER(S190),ISNUMBER(T190)),IF(R190&gt;T190,"boven UCL",IF(R190&lt;S190,"onder LCL","")),"")</f>
        <v/>
      </c>
    </row>
    <row r="191">
      <c r="A191" t="n">
        <v>85</v>
      </c>
      <c r="B191" s="7" t="n"/>
      <c r="C191" s="11">
        <f>IF(AND(ISNUMBER(B191),ISNUMBER(B190)),ABS(B191-B190),"")</f>
        <v/>
      </c>
      <c r="D191" s="13">
        <f>IF(AND(ISNUMBER(B191),ISNUMBER($B$88),ISNUMBER($D$88)),IF(B191&gt;$D$88,"boven UCL",IF(B191&lt;$B$88,"onder LCL","")),"")</f>
        <v/>
      </c>
      <c r="E191" s="13">
        <f>IF(AND(ISNUMBER(C191),ISNUMBER($B$89),ISNUMBER($D$89)),IF(C191&gt;$D$89,"boven UCL",IF(C191&lt;$B$89,"onder LCL","")),"")</f>
        <v/>
      </c>
      <c r="G191" t="n">
        <v>85</v>
      </c>
      <c r="H191" s="7" t="n"/>
      <c r="I191" s="7" t="n"/>
      <c r="J191" s="11">
        <f>IF(AND(ISNUMBER(H191),ISNUMBER(I191),H191&gt;0,ISNUMBER($B$94)),I191/H191,"")</f>
        <v/>
      </c>
      <c r="K191" s="11">
        <f>IF(AND(ISNUMBER(H191),ISNUMBER(I191),H191&gt;0,ISNUMBER($B$94)),MAX(0,$B$94-3*SQRT($B$94*(1-$B$94)/H191)),"")</f>
        <v/>
      </c>
      <c r="L191" s="11">
        <f>IF(AND(ISNUMBER(H191),ISNUMBER(I191),H191&gt;0,ISNUMBER($B$94)),$B$94+3*SQRT($B$94*(1-$B$94)/H191),"")</f>
        <v/>
      </c>
      <c r="M191" s="13">
        <f>IF(AND(ISNUMBER(J191),ISNUMBER(K191),ISNUMBER(L191)),IF(J191&gt;L191,"boven UCL",IF(J191&lt;K191,"onder LCL","")),"")</f>
        <v/>
      </c>
      <c r="O191" t="n">
        <v>85</v>
      </c>
      <c r="P191" s="7" t="n"/>
      <c r="Q191" s="7" t="n"/>
      <c r="R191" s="11">
        <f>IF(AND(ISNUMBER(P191),ISNUMBER(Q191),P191&gt;0,ISNUMBER($B$100)),Q191/P191,"")</f>
        <v/>
      </c>
      <c r="S191" s="11">
        <f>IF(AND(ISNUMBER(P191),ISNUMBER(Q191),P191&gt;0,ISNUMBER($B$100)),MAX(0,$B$100-3*SQRT($B$100/P191)),"")</f>
        <v/>
      </c>
      <c r="T191" s="11">
        <f>IF(AND(ISNUMBER(P191),ISNUMBER(Q191),P191&gt;0,ISNUMBER($B$100)),$B$100+3*SQRT($B$100/P191),"")</f>
        <v/>
      </c>
      <c r="U191" s="13">
        <f>IF(AND(ISNUMBER(R191),ISNUMBER(S191),ISNUMBER(T191)),IF(R191&gt;T191,"boven UCL",IF(R191&lt;S191,"onder LCL","")),"")</f>
        <v/>
      </c>
    </row>
    <row r="192">
      <c r="A192" t="n">
        <v>86</v>
      </c>
      <c r="B192" s="7" t="n"/>
      <c r="C192" s="11">
        <f>IF(AND(ISNUMBER(B192),ISNUMBER(B191)),ABS(B192-B191),"")</f>
        <v/>
      </c>
      <c r="D192" s="13">
        <f>IF(AND(ISNUMBER(B192),ISNUMBER($B$88),ISNUMBER($D$88)),IF(B192&gt;$D$88,"boven UCL",IF(B192&lt;$B$88,"onder LCL","")),"")</f>
        <v/>
      </c>
      <c r="E192" s="13">
        <f>IF(AND(ISNUMBER(C192),ISNUMBER($B$89),ISNUMBER($D$89)),IF(C192&gt;$D$89,"boven UCL",IF(C192&lt;$B$89,"onder LCL","")),"")</f>
        <v/>
      </c>
      <c r="G192" t="n">
        <v>86</v>
      </c>
      <c r="H192" s="7" t="n"/>
      <c r="I192" s="7" t="n"/>
      <c r="J192" s="11">
        <f>IF(AND(ISNUMBER(H192),ISNUMBER(I192),H192&gt;0,ISNUMBER($B$94)),I192/H192,"")</f>
        <v/>
      </c>
      <c r="K192" s="11">
        <f>IF(AND(ISNUMBER(H192),ISNUMBER(I192),H192&gt;0,ISNUMBER($B$94)),MAX(0,$B$94-3*SQRT($B$94*(1-$B$94)/H192)),"")</f>
        <v/>
      </c>
      <c r="L192" s="11">
        <f>IF(AND(ISNUMBER(H192),ISNUMBER(I192),H192&gt;0,ISNUMBER($B$94)),$B$94+3*SQRT($B$94*(1-$B$94)/H192),"")</f>
        <v/>
      </c>
      <c r="M192" s="13">
        <f>IF(AND(ISNUMBER(J192),ISNUMBER(K192),ISNUMBER(L192)),IF(J192&gt;L192,"boven UCL",IF(J192&lt;K192,"onder LCL","")),"")</f>
        <v/>
      </c>
      <c r="O192" t="n">
        <v>86</v>
      </c>
      <c r="P192" s="7" t="n"/>
      <c r="Q192" s="7" t="n"/>
      <c r="R192" s="11">
        <f>IF(AND(ISNUMBER(P192),ISNUMBER(Q192),P192&gt;0,ISNUMBER($B$100)),Q192/P192,"")</f>
        <v/>
      </c>
      <c r="S192" s="11">
        <f>IF(AND(ISNUMBER(P192),ISNUMBER(Q192),P192&gt;0,ISNUMBER($B$100)),MAX(0,$B$100-3*SQRT($B$100/P192)),"")</f>
        <v/>
      </c>
      <c r="T192" s="11">
        <f>IF(AND(ISNUMBER(P192),ISNUMBER(Q192),P192&gt;0,ISNUMBER($B$100)),$B$100+3*SQRT($B$100/P192),"")</f>
        <v/>
      </c>
      <c r="U192" s="13">
        <f>IF(AND(ISNUMBER(R192),ISNUMBER(S192),ISNUMBER(T192)),IF(R192&gt;T192,"boven UCL",IF(R192&lt;S192,"onder LCL","")),"")</f>
        <v/>
      </c>
    </row>
    <row r="193">
      <c r="A193" t="n">
        <v>87</v>
      </c>
      <c r="B193" s="7" t="n"/>
      <c r="C193" s="11">
        <f>IF(AND(ISNUMBER(B193),ISNUMBER(B192)),ABS(B193-B192),"")</f>
        <v/>
      </c>
      <c r="D193" s="13">
        <f>IF(AND(ISNUMBER(B193),ISNUMBER($B$88),ISNUMBER($D$88)),IF(B193&gt;$D$88,"boven UCL",IF(B193&lt;$B$88,"onder LCL","")),"")</f>
        <v/>
      </c>
      <c r="E193" s="13">
        <f>IF(AND(ISNUMBER(C193),ISNUMBER($B$89),ISNUMBER($D$89)),IF(C193&gt;$D$89,"boven UCL",IF(C193&lt;$B$89,"onder LCL","")),"")</f>
        <v/>
      </c>
      <c r="G193" t="n">
        <v>87</v>
      </c>
      <c r="H193" s="7" t="n"/>
      <c r="I193" s="7" t="n"/>
      <c r="J193" s="11">
        <f>IF(AND(ISNUMBER(H193),ISNUMBER(I193),H193&gt;0,ISNUMBER($B$94)),I193/H193,"")</f>
        <v/>
      </c>
      <c r="K193" s="11">
        <f>IF(AND(ISNUMBER(H193),ISNUMBER(I193),H193&gt;0,ISNUMBER($B$94)),MAX(0,$B$94-3*SQRT($B$94*(1-$B$94)/H193)),"")</f>
        <v/>
      </c>
      <c r="L193" s="11">
        <f>IF(AND(ISNUMBER(H193),ISNUMBER(I193),H193&gt;0,ISNUMBER($B$94)),$B$94+3*SQRT($B$94*(1-$B$94)/H193),"")</f>
        <v/>
      </c>
      <c r="M193" s="13">
        <f>IF(AND(ISNUMBER(J193),ISNUMBER(K193),ISNUMBER(L193)),IF(J193&gt;L193,"boven UCL",IF(J193&lt;K193,"onder LCL","")),"")</f>
        <v/>
      </c>
      <c r="O193" t="n">
        <v>87</v>
      </c>
      <c r="P193" s="7" t="n"/>
      <c r="Q193" s="7" t="n"/>
      <c r="R193" s="11">
        <f>IF(AND(ISNUMBER(P193),ISNUMBER(Q193),P193&gt;0,ISNUMBER($B$100)),Q193/P193,"")</f>
        <v/>
      </c>
      <c r="S193" s="11">
        <f>IF(AND(ISNUMBER(P193),ISNUMBER(Q193),P193&gt;0,ISNUMBER($B$100)),MAX(0,$B$100-3*SQRT($B$100/P193)),"")</f>
        <v/>
      </c>
      <c r="T193" s="11">
        <f>IF(AND(ISNUMBER(P193),ISNUMBER(Q193),P193&gt;0,ISNUMBER($B$100)),$B$100+3*SQRT($B$100/P193),"")</f>
        <v/>
      </c>
      <c r="U193" s="13">
        <f>IF(AND(ISNUMBER(R193),ISNUMBER(S193),ISNUMBER(T193)),IF(R193&gt;T193,"boven UCL",IF(R193&lt;S193,"onder LCL","")),"")</f>
        <v/>
      </c>
    </row>
    <row r="194">
      <c r="A194" t="n">
        <v>88</v>
      </c>
      <c r="B194" s="7" t="n"/>
      <c r="C194" s="11">
        <f>IF(AND(ISNUMBER(B194),ISNUMBER(B193)),ABS(B194-B193),"")</f>
        <v/>
      </c>
      <c r="D194" s="13">
        <f>IF(AND(ISNUMBER(B194),ISNUMBER($B$88),ISNUMBER($D$88)),IF(B194&gt;$D$88,"boven UCL",IF(B194&lt;$B$88,"onder LCL","")),"")</f>
        <v/>
      </c>
      <c r="E194" s="13">
        <f>IF(AND(ISNUMBER(C194),ISNUMBER($B$89),ISNUMBER($D$89)),IF(C194&gt;$D$89,"boven UCL",IF(C194&lt;$B$89,"onder LCL","")),"")</f>
        <v/>
      </c>
      <c r="G194" t="n">
        <v>88</v>
      </c>
      <c r="H194" s="7" t="n"/>
      <c r="I194" s="7" t="n"/>
      <c r="J194" s="11">
        <f>IF(AND(ISNUMBER(H194),ISNUMBER(I194),H194&gt;0,ISNUMBER($B$94)),I194/H194,"")</f>
        <v/>
      </c>
      <c r="K194" s="11">
        <f>IF(AND(ISNUMBER(H194),ISNUMBER(I194),H194&gt;0,ISNUMBER($B$94)),MAX(0,$B$94-3*SQRT($B$94*(1-$B$94)/H194)),"")</f>
        <v/>
      </c>
      <c r="L194" s="11">
        <f>IF(AND(ISNUMBER(H194),ISNUMBER(I194),H194&gt;0,ISNUMBER($B$94)),$B$94+3*SQRT($B$94*(1-$B$94)/H194),"")</f>
        <v/>
      </c>
      <c r="M194" s="13">
        <f>IF(AND(ISNUMBER(J194),ISNUMBER(K194),ISNUMBER(L194)),IF(J194&gt;L194,"boven UCL",IF(J194&lt;K194,"onder LCL","")),"")</f>
        <v/>
      </c>
      <c r="O194" t="n">
        <v>88</v>
      </c>
      <c r="P194" s="7" t="n"/>
      <c r="Q194" s="7" t="n"/>
      <c r="R194" s="11">
        <f>IF(AND(ISNUMBER(P194),ISNUMBER(Q194),P194&gt;0,ISNUMBER($B$100)),Q194/P194,"")</f>
        <v/>
      </c>
      <c r="S194" s="11">
        <f>IF(AND(ISNUMBER(P194),ISNUMBER(Q194),P194&gt;0,ISNUMBER($B$100)),MAX(0,$B$100-3*SQRT($B$100/P194)),"")</f>
        <v/>
      </c>
      <c r="T194" s="11">
        <f>IF(AND(ISNUMBER(P194),ISNUMBER(Q194),P194&gt;0,ISNUMBER($B$100)),$B$100+3*SQRT($B$100/P194),"")</f>
        <v/>
      </c>
      <c r="U194" s="13">
        <f>IF(AND(ISNUMBER(R194),ISNUMBER(S194),ISNUMBER(T194)),IF(R194&gt;T194,"boven UCL",IF(R194&lt;S194,"onder LCL","")),"")</f>
        <v/>
      </c>
    </row>
    <row r="195">
      <c r="A195" t="n">
        <v>89</v>
      </c>
      <c r="B195" s="7" t="n"/>
      <c r="C195" s="11">
        <f>IF(AND(ISNUMBER(B195),ISNUMBER(B194)),ABS(B195-B194),"")</f>
        <v/>
      </c>
      <c r="D195" s="13">
        <f>IF(AND(ISNUMBER(B195),ISNUMBER($B$88),ISNUMBER($D$88)),IF(B195&gt;$D$88,"boven UCL",IF(B195&lt;$B$88,"onder LCL","")),"")</f>
        <v/>
      </c>
      <c r="E195" s="13">
        <f>IF(AND(ISNUMBER(C195),ISNUMBER($B$89),ISNUMBER($D$89)),IF(C195&gt;$D$89,"boven UCL",IF(C195&lt;$B$89,"onder LCL","")),"")</f>
        <v/>
      </c>
      <c r="G195" t="n">
        <v>89</v>
      </c>
      <c r="H195" s="7" t="n"/>
      <c r="I195" s="7" t="n"/>
      <c r="J195" s="11">
        <f>IF(AND(ISNUMBER(H195),ISNUMBER(I195),H195&gt;0,ISNUMBER($B$94)),I195/H195,"")</f>
        <v/>
      </c>
      <c r="K195" s="11">
        <f>IF(AND(ISNUMBER(H195),ISNUMBER(I195),H195&gt;0,ISNUMBER($B$94)),MAX(0,$B$94-3*SQRT($B$94*(1-$B$94)/H195)),"")</f>
        <v/>
      </c>
      <c r="L195" s="11">
        <f>IF(AND(ISNUMBER(H195),ISNUMBER(I195),H195&gt;0,ISNUMBER($B$94)),$B$94+3*SQRT($B$94*(1-$B$94)/H195),"")</f>
        <v/>
      </c>
      <c r="M195" s="13">
        <f>IF(AND(ISNUMBER(J195),ISNUMBER(K195),ISNUMBER(L195)),IF(J195&gt;L195,"boven UCL",IF(J195&lt;K195,"onder LCL","")),"")</f>
        <v/>
      </c>
      <c r="O195" t="n">
        <v>89</v>
      </c>
      <c r="P195" s="7" t="n"/>
      <c r="Q195" s="7" t="n"/>
      <c r="R195" s="11">
        <f>IF(AND(ISNUMBER(P195),ISNUMBER(Q195),P195&gt;0,ISNUMBER($B$100)),Q195/P195,"")</f>
        <v/>
      </c>
      <c r="S195" s="11">
        <f>IF(AND(ISNUMBER(P195),ISNUMBER(Q195),P195&gt;0,ISNUMBER($B$100)),MAX(0,$B$100-3*SQRT($B$100/P195)),"")</f>
        <v/>
      </c>
      <c r="T195" s="11">
        <f>IF(AND(ISNUMBER(P195),ISNUMBER(Q195),P195&gt;0,ISNUMBER($B$100)),$B$100+3*SQRT($B$100/P195),"")</f>
        <v/>
      </c>
      <c r="U195" s="13">
        <f>IF(AND(ISNUMBER(R195),ISNUMBER(S195),ISNUMBER(T195)),IF(R195&gt;T195,"boven UCL",IF(R195&lt;S195,"onder LCL","")),"")</f>
        <v/>
      </c>
    </row>
    <row r="196">
      <c r="A196" t="n">
        <v>90</v>
      </c>
      <c r="B196" s="7" t="n"/>
      <c r="C196" s="11">
        <f>IF(AND(ISNUMBER(B196),ISNUMBER(B195)),ABS(B196-B195),"")</f>
        <v/>
      </c>
      <c r="D196" s="13">
        <f>IF(AND(ISNUMBER(B196),ISNUMBER($B$88),ISNUMBER($D$88)),IF(B196&gt;$D$88,"boven UCL",IF(B196&lt;$B$88,"onder LCL","")),"")</f>
        <v/>
      </c>
      <c r="E196" s="13">
        <f>IF(AND(ISNUMBER(C196),ISNUMBER($B$89),ISNUMBER($D$89)),IF(C196&gt;$D$89,"boven UCL",IF(C196&lt;$B$89,"onder LCL","")),"")</f>
        <v/>
      </c>
      <c r="G196" t="n">
        <v>90</v>
      </c>
      <c r="H196" s="7" t="n"/>
      <c r="I196" s="7" t="n"/>
      <c r="J196" s="11">
        <f>IF(AND(ISNUMBER(H196),ISNUMBER(I196),H196&gt;0,ISNUMBER($B$94)),I196/H196,"")</f>
        <v/>
      </c>
      <c r="K196" s="11">
        <f>IF(AND(ISNUMBER(H196),ISNUMBER(I196),H196&gt;0,ISNUMBER($B$94)),MAX(0,$B$94-3*SQRT($B$94*(1-$B$94)/H196)),"")</f>
        <v/>
      </c>
      <c r="L196" s="11">
        <f>IF(AND(ISNUMBER(H196),ISNUMBER(I196),H196&gt;0,ISNUMBER($B$94)),$B$94+3*SQRT($B$94*(1-$B$94)/H196),"")</f>
        <v/>
      </c>
      <c r="M196" s="13">
        <f>IF(AND(ISNUMBER(J196),ISNUMBER(K196),ISNUMBER(L196)),IF(J196&gt;L196,"boven UCL",IF(J196&lt;K196,"onder LCL","")),"")</f>
        <v/>
      </c>
      <c r="O196" t="n">
        <v>90</v>
      </c>
      <c r="P196" s="7" t="n"/>
      <c r="Q196" s="7" t="n"/>
      <c r="R196" s="11">
        <f>IF(AND(ISNUMBER(P196),ISNUMBER(Q196),P196&gt;0,ISNUMBER($B$100)),Q196/P196,"")</f>
        <v/>
      </c>
      <c r="S196" s="11">
        <f>IF(AND(ISNUMBER(P196),ISNUMBER(Q196),P196&gt;0,ISNUMBER($B$100)),MAX(0,$B$100-3*SQRT($B$100/P196)),"")</f>
        <v/>
      </c>
      <c r="T196" s="11">
        <f>IF(AND(ISNUMBER(P196),ISNUMBER(Q196),P196&gt;0,ISNUMBER($B$100)),$B$100+3*SQRT($B$100/P196),"")</f>
        <v/>
      </c>
      <c r="U196" s="13">
        <f>IF(AND(ISNUMBER(R196),ISNUMBER(S196),ISNUMBER(T196)),IF(R196&gt;T196,"boven UCL",IF(R196&lt;S196,"onder LCL","")),"")</f>
        <v/>
      </c>
    </row>
    <row r="197">
      <c r="A197" t="n">
        <v>91</v>
      </c>
      <c r="B197" s="7" t="n"/>
      <c r="C197" s="11">
        <f>IF(AND(ISNUMBER(B197),ISNUMBER(B196)),ABS(B197-B196),"")</f>
        <v/>
      </c>
      <c r="D197" s="13">
        <f>IF(AND(ISNUMBER(B197),ISNUMBER($B$88),ISNUMBER($D$88)),IF(B197&gt;$D$88,"boven UCL",IF(B197&lt;$B$88,"onder LCL","")),"")</f>
        <v/>
      </c>
      <c r="E197" s="13">
        <f>IF(AND(ISNUMBER(C197),ISNUMBER($B$89),ISNUMBER($D$89)),IF(C197&gt;$D$89,"boven UCL",IF(C197&lt;$B$89,"onder LCL","")),"")</f>
        <v/>
      </c>
      <c r="G197" t="n">
        <v>91</v>
      </c>
      <c r="H197" s="7" t="n"/>
      <c r="I197" s="7" t="n"/>
      <c r="J197" s="11">
        <f>IF(AND(ISNUMBER(H197),ISNUMBER(I197),H197&gt;0,ISNUMBER($B$94)),I197/H197,"")</f>
        <v/>
      </c>
      <c r="K197" s="11">
        <f>IF(AND(ISNUMBER(H197),ISNUMBER(I197),H197&gt;0,ISNUMBER($B$94)),MAX(0,$B$94-3*SQRT($B$94*(1-$B$94)/H197)),"")</f>
        <v/>
      </c>
      <c r="L197" s="11">
        <f>IF(AND(ISNUMBER(H197),ISNUMBER(I197),H197&gt;0,ISNUMBER($B$94)),$B$94+3*SQRT($B$94*(1-$B$94)/H197),"")</f>
        <v/>
      </c>
      <c r="M197" s="13">
        <f>IF(AND(ISNUMBER(J197),ISNUMBER(K197),ISNUMBER(L197)),IF(J197&gt;L197,"boven UCL",IF(J197&lt;K197,"onder LCL","")),"")</f>
        <v/>
      </c>
      <c r="O197" t="n">
        <v>91</v>
      </c>
      <c r="P197" s="7" t="n"/>
      <c r="Q197" s="7" t="n"/>
      <c r="R197" s="11">
        <f>IF(AND(ISNUMBER(P197),ISNUMBER(Q197),P197&gt;0,ISNUMBER($B$100)),Q197/P197,"")</f>
        <v/>
      </c>
      <c r="S197" s="11">
        <f>IF(AND(ISNUMBER(P197),ISNUMBER(Q197),P197&gt;0,ISNUMBER($B$100)),MAX(0,$B$100-3*SQRT($B$100/P197)),"")</f>
        <v/>
      </c>
      <c r="T197" s="11">
        <f>IF(AND(ISNUMBER(P197),ISNUMBER(Q197),P197&gt;0,ISNUMBER($B$100)),$B$100+3*SQRT($B$100/P197),"")</f>
        <v/>
      </c>
      <c r="U197" s="13">
        <f>IF(AND(ISNUMBER(R197),ISNUMBER(S197),ISNUMBER(T197)),IF(R197&gt;T197,"boven UCL",IF(R197&lt;S197,"onder LCL","")),"")</f>
        <v/>
      </c>
    </row>
    <row r="198">
      <c r="A198" t="n">
        <v>92</v>
      </c>
      <c r="B198" s="7" t="n"/>
      <c r="C198" s="11">
        <f>IF(AND(ISNUMBER(B198),ISNUMBER(B197)),ABS(B198-B197),"")</f>
        <v/>
      </c>
      <c r="D198" s="13">
        <f>IF(AND(ISNUMBER(B198),ISNUMBER($B$88),ISNUMBER($D$88)),IF(B198&gt;$D$88,"boven UCL",IF(B198&lt;$B$88,"onder LCL","")),"")</f>
        <v/>
      </c>
      <c r="E198" s="13">
        <f>IF(AND(ISNUMBER(C198),ISNUMBER($B$89),ISNUMBER($D$89)),IF(C198&gt;$D$89,"boven UCL",IF(C198&lt;$B$89,"onder LCL","")),"")</f>
        <v/>
      </c>
      <c r="G198" t="n">
        <v>92</v>
      </c>
      <c r="H198" s="7" t="n"/>
      <c r="I198" s="7" t="n"/>
      <c r="J198" s="11">
        <f>IF(AND(ISNUMBER(H198),ISNUMBER(I198),H198&gt;0,ISNUMBER($B$94)),I198/H198,"")</f>
        <v/>
      </c>
      <c r="K198" s="11">
        <f>IF(AND(ISNUMBER(H198),ISNUMBER(I198),H198&gt;0,ISNUMBER($B$94)),MAX(0,$B$94-3*SQRT($B$94*(1-$B$94)/H198)),"")</f>
        <v/>
      </c>
      <c r="L198" s="11">
        <f>IF(AND(ISNUMBER(H198),ISNUMBER(I198),H198&gt;0,ISNUMBER($B$94)),$B$94+3*SQRT($B$94*(1-$B$94)/H198),"")</f>
        <v/>
      </c>
      <c r="M198" s="13">
        <f>IF(AND(ISNUMBER(J198),ISNUMBER(K198),ISNUMBER(L198)),IF(J198&gt;L198,"boven UCL",IF(J198&lt;K198,"onder LCL","")),"")</f>
        <v/>
      </c>
      <c r="O198" t="n">
        <v>92</v>
      </c>
      <c r="P198" s="7" t="n"/>
      <c r="Q198" s="7" t="n"/>
      <c r="R198" s="11">
        <f>IF(AND(ISNUMBER(P198),ISNUMBER(Q198),P198&gt;0,ISNUMBER($B$100)),Q198/P198,"")</f>
        <v/>
      </c>
      <c r="S198" s="11">
        <f>IF(AND(ISNUMBER(P198),ISNUMBER(Q198),P198&gt;0,ISNUMBER($B$100)),MAX(0,$B$100-3*SQRT($B$100/P198)),"")</f>
        <v/>
      </c>
      <c r="T198" s="11">
        <f>IF(AND(ISNUMBER(P198),ISNUMBER(Q198),P198&gt;0,ISNUMBER($B$100)),$B$100+3*SQRT($B$100/P198),"")</f>
        <v/>
      </c>
      <c r="U198" s="13">
        <f>IF(AND(ISNUMBER(R198),ISNUMBER(S198),ISNUMBER(T198)),IF(R198&gt;T198,"boven UCL",IF(R198&lt;S198,"onder LCL","")),"")</f>
        <v/>
      </c>
    </row>
    <row r="199">
      <c r="A199" t="n">
        <v>93</v>
      </c>
      <c r="B199" s="7" t="n"/>
      <c r="C199" s="11">
        <f>IF(AND(ISNUMBER(B199),ISNUMBER(B198)),ABS(B199-B198),"")</f>
        <v/>
      </c>
      <c r="D199" s="13">
        <f>IF(AND(ISNUMBER(B199),ISNUMBER($B$88),ISNUMBER($D$88)),IF(B199&gt;$D$88,"boven UCL",IF(B199&lt;$B$88,"onder LCL","")),"")</f>
        <v/>
      </c>
      <c r="E199" s="13">
        <f>IF(AND(ISNUMBER(C199),ISNUMBER($B$89),ISNUMBER($D$89)),IF(C199&gt;$D$89,"boven UCL",IF(C199&lt;$B$89,"onder LCL","")),"")</f>
        <v/>
      </c>
      <c r="G199" t="n">
        <v>93</v>
      </c>
      <c r="H199" s="7" t="n"/>
      <c r="I199" s="7" t="n"/>
      <c r="J199" s="11">
        <f>IF(AND(ISNUMBER(H199),ISNUMBER(I199),H199&gt;0,ISNUMBER($B$94)),I199/H199,"")</f>
        <v/>
      </c>
      <c r="K199" s="11">
        <f>IF(AND(ISNUMBER(H199),ISNUMBER(I199),H199&gt;0,ISNUMBER($B$94)),MAX(0,$B$94-3*SQRT($B$94*(1-$B$94)/H199)),"")</f>
        <v/>
      </c>
      <c r="L199" s="11">
        <f>IF(AND(ISNUMBER(H199),ISNUMBER(I199),H199&gt;0,ISNUMBER($B$94)),$B$94+3*SQRT($B$94*(1-$B$94)/H199),"")</f>
        <v/>
      </c>
      <c r="M199" s="13">
        <f>IF(AND(ISNUMBER(J199),ISNUMBER(K199),ISNUMBER(L199)),IF(J199&gt;L199,"boven UCL",IF(J199&lt;K199,"onder LCL","")),"")</f>
        <v/>
      </c>
      <c r="O199" t="n">
        <v>93</v>
      </c>
      <c r="P199" s="7" t="n"/>
      <c r="Q199" s="7" t="n"/>
      <c r="R199" s="11">
        <f>IF(AND(ISNUMBER(P199),ISNUMBER(Q199),P199&gt;0,ISNUMBER($B$100)),Q199/P199,"")</f>
        <v/>
      </c>
      <c r="S199" s="11">
        <f>IF(AND(ISNUMBER(P199),ISNUMBER(Q199),P199&gt;0,ISNUMBER($B$100)),MAX(0,$B$100-3*SQRT($B$100/P199)),"")</f>
        <v/>
      </c>
      <c r="T199" s="11">
        <f>IF(AND(ISNUMBER(P199),ISNUMBER(Q199),P199&gt;0,ISNUMBER($B$100)),$B$100+3*SQRT($B$100/P199),"")</f>
        <v/>
      </c>
      <c r="U199" s="13">
        <f>IF(AND(ISNUMBER(R199),ISNUMBER(S199),ISNUMBER(T199)),IF(R199&gt;T199,"boven UCL",IF(R199&lt;S199,"onder LCL","")),"")</f>
        <v/>
      </c>
    </row>
    <row r="200">
      <c r="A200" t="n">
        <v>94</v>
      </c>
      <c r="B200" s="7" t="n"/>
      <c r="C200" s="11">
        <f>IF(AND(ISNUMBER(B200),ISNUMBER(B199)),ABS(B200-B199),"")</f>
        <v/>
      </c>
      <c r="D200" s="13">
        <f>IF(AND(ISNUMBER(B200),ISNUMBER($B$88),ISNUMBER($D$88)),IF(B200&gt;$D$88,"boven UCL",IF(B200&lt;$B$88,"onder LCL","")),"")</f>
        <v/>
      </c>
      <c r="E200" s="13">
        <f>IF(AND(ISNUMBER(C200),ISNUMBER($B$89),ISNUMBER($D$89)),IF(C200&gt;$D$89,"boven UCL",IF(C200&lt;$B$89,"onder LCL","")),"")</f>
        <v/>
      </c>
      <c r="G200" t="n">
        <v>94</v>
      </c>
      <c r="H200" s="7" t="n"/>
      <c r="I200" s="7" t="n"/>
      <c r="J200" s="11">
        <f>IF(AND(ISNUMBER(H200),ISNUMBER(I200),H200&gt;0,ISNUMBER($B$94)),I200/H200,"")</f>
        <v/>
      </c>
      <c r="K200" s="11">
        <f>IF(AND(ISNUMBER(H200),ISNUMBER(I200),H200&gt;0,ISNUMBER($B$94)),MAX(0,$B$94-3*SQRT($B$94*(1-$B$94)/H200)),"")</f>
        <v/>
      </c>
      <c r="L200" s="11">
        <f>IF(AND(ISNUMBER(H200),ISNUMBER(I200),H200&gt;0,ISNUMBER($B$94)),$B$94+3*SQRT($B$94*(1-$B$94)/H200),"")</f>
        <v/>
      </c>
      <c r="M200" s="13">
        <f>IF(AND(ISNUMBER(J200),ISNUMBER(K200),ISNUMBER(L200)),IF(J200&gt;L200,"boven UCL",IF(J200&lt;K200,"onder LCL","")),"")</f>
        <v/>
      </c>
      <c r="O200" t="n">
        <v>94</v>
      </c>
      <c r="P200" s="7" t="n"/>
      <c r="Q200" s="7" t="n"/>
      <c r="R200" s="11">
        <f>IF(AND(ISNUMBER(P200),ISNUMBER(Q200),P200&gt;0,ISNUMBER($B$100)),Q200/P200,"")</f>
        <v/>
      </c>
      <c r="S200" s="11">
        <f>IF(AND(ISNUMBER(P200),ISNUMBER(Q200),P200&gt;0,ISNUMBER($B$100)),MAX(0,$B$100-3*SQRT($B$100/P200)),"")</f>
        <v/>
      </c>
      <c r="T200" s="11">
        <f>IF(AND(ISNUMBER(P200),ISNUMBER(Q200),P200&gt;0,ISNUMBER($B$100)),$B$100+3*SQRT($B$100/P200),"")</f>
        <v/>
      </c>
      <c r="U200" s="13">
        <f>IF(AND(ISNUMBER(R200),ISNUMBER(S200),ISNUMBER(T200)),IF(R200&gt;T200,"boven UCL",IF(R200&lt;S200,"onder LCL","")),"")</f>
        <v/>
      </c>
    </row>
    <row r="201">
      <c r="A201" t="n">
        <v>95</v>
      </c>
      <c r="B201" s="7" t="n"/>
      <c r="C201" s="11">
        <f>IF(AND(ISNUMBER(B201),ISNUMBER(B200)),ABS(B201-B200),"")</f>
        <v/>
      </c>
      <c r="D201" s="13">
        <f>IF(AND(ISNUMBER(B201),ISNUMBER($B$88),ISNUMBER($D$88)),IF(B201&gt;$D$88,"boven UCL",IF(B201&lt;$B$88,"onder LCL","")),"")</f>
        <v/>
      </c>
      <c r="E201" s="13">
        <f>IF(AND(ISNUMBER(C201),ISNUMBER($B$89),ISNUMBER($D$89)),IF(C201&gt;$D$89,"boven UCL",IF(C201&lt;$B$89,"onder LCL","")),"")</f>
        <v/>
      </c>
      <c r="G201" t="n">
        <v>95</v>
      </c>
      <c r="H201" s="7" t="n"/>
      <c r="I201" s="7" t="n"/>
      <c r="J201" s="11">
        <f>IF(AND(ISNUMBER(H201),ISNUMBER(I201),H201&gt;0,ISNUMBER($B$94)),I201/H201,"")</f>
        <v/>
      </c>
      <c r="K201" s="11">
        <f>IF(AND(ISNUMBER(H201),ISNUMBER(I201),H201&gt;0,ISNUMBER($B$94)),MAX(0,$B$94-3*SQRT($B$94*(1-$B$94)/H201)),"")</f>
        <v/>
      </c>
      <c r="L201" s="11">
        <f>IF(AND(ISNUMBER(H201),ISNUMBER(I201),H201&gt;0,ISNUMBER($B$94)),$B$94+3*SQRT($B$94*(1-$B$94)/H201),"")</f>
        <v/>
      </c>
      <c r="M201" s="13">
        <f>IF(AND(ISNUMBER(J201),ISNUMBER(K201),ISNUMBER(L201)),IF(J201&gt;L201,"boven UCL",IF(J201&lt;K201,"onder LCL","")),"")</f>
        <v/>
      </c>
      <c r="O201" t="n">
        <v>95</v>
      </c>
      <c r="P201" s="7" t="n"/>
      <c r="Q201" s="7" t="n"/>
      <c r="R201" s="11">
        <f>IF(AND(ISNUMBER(P201),ISNUMBER(Q201),P201&gt;0,ISNUMBER($B$100)),Q201/P201,"")</f>
        <v/>
      </c>
      <c r="S201" s="11">
        <f>IF(AND(ISNUMBER(P201),ISNUMBER(Q201),P201&gt;0,ISNUMBER($B$100)),MAX(0,$B$100-3*SQRT($B$100/P201)),"")</f>
        <v/>
      </c>
      <c r="T201" s="11">
        <f>IF(AND(ISNUMBER(P201),ISNUMBER(Q201),P201&gt;0,ISNUMBER($B$100)),$B$100+3*SQRT($B$100/P201),"")</f>
        <v/>
      </c>
      <c r="U201" s="13">
        <f>IF(AND(ISNUMBER(R201),ISNUMBER(S201),ISNUMBER(T201)),IF(R201&gt;T201,"boven UCL",IF(R201&lt;S201,"onder LCL","")),"")</f>
        <v/>
      </c>
    </row>
    <row r="202">
      <c r="A202" t="n">
        <v>96</v>
      </c>
      <c r="B202" s="7" t="n"/>
      <c r="C202" s="11">
        <f>IF(AND(ISNUMBER(B202),ISNUMBER(B201)),ABS(B202-B201),"")</f>
        <v/>
      </c>
      <c r="D202" s="13">
        <f>IF(AND(ISNUMBER(B202),ISNUMBER($B$88),ISNUMBER($D$88)),IF(B202&gt;$D$88,"boven UCL",IF(B202&lt;$B$88,"onder LCL","")),"")</f>
        <v/>
      </c>
      <c r="E202" s="13">
        <f>IF(AND(ISNUMBER(C202),ISNUMBER($B$89),ISNUMBER($D$89)),IF(C202&gt;$D$89,"boven UCL",IF(C202&lt;$B$89,"onder LCL","")),"")</f>
        <v/>
      </c>
      <c r="G202" t="n">
        <v>96</v>
      </c>
      <c r="H202" s="7" t="n"/>
      <c r="I202" s="7" t="n"/>
      <c r="J202" s="11">
        <f>IF(AND(ISNUMBER(H202),ISNUMBER(I202),H202&gt;0,ISNUMBER($B$94)),I202/H202,"")</f>
        <v/>
      </c>
      <c r="K202" s="11">
        <f>IF(AND(ISNUMBER(H202),ISNUMBER(I202),H202&gt;0,ISNUMBER($B$94)),MAX(0,$B$94-3*SQRT($B$94*(1-$B$94)/H202)),"")</f>
        <v/>
      </c>
      <c r="L202" s="11">
        <f>IF(AND(ISNUMBER(H202),ISNUMBER(I202),H202&gt;0,ISNUMBER($B$94)),$B$94+3*SQRT($B$94*(1-$B$94)/H202),"")</f>
        <v/>
      </c>
      <c r="M202" s="13">
        <f>IF(AND(ISNUMBER(J202),ISNUMBER(K202),ISNUMBER(L202)),IF(J202&gt;L202,"boven UCL",IF(J202&lt;K202,"onder LCL","")),"")</f>
        <v/>
      </c>
      <c r="O202" t="n">
        <v>96</v>
      </c>
      <c r="P202" s="7" t="n"/>
      <c r="Q202" s="7" t="n"/>
      <c r="R202" s="11">
        <f>IF(AND(ISNUMBER(P202),ISNUMBER(Q202),P202&gt;0,ISNUMBER($B$100)),Q202/P202,"")</f>
        <v/>
      </c>
      <c r="S202" s="11">
        <f>IF(AND(ISNUMBER(P202),ISNUMBER(Q202),P202&gt;0,ISNUMBER($B$100)),MAX(0,$B$100-3*SQRT($B$100/P202)),"")</f>
        <v/>
      </c>
      <c r="T202" s="11">
        <f>IF(AND(ISNUMBER(P202),ISNUMBER(Q202),P202&gt;0,ISNUMBER($B$100)),$B$100+3*SQRT($B$100/P202),"")</f>
        <v/>
      </c>
      <c r="U202" s="13">
        <f>IF(AND(ISNUMBER(R202),ISNUMBER(S202),ISNUMBER(T202)),IF(R202&gt;T202,"boven UCL",IF(R202&lt;S202,"onder LCL","")),"")</f>
        <v/>
      </c>
    </row>
    <row r="203">
      <c r="A203" t="n">
        <v>97</v>
      </c>
      <c r="B203" s="7" t="n"/>
      <c r="C203" s="11">
        <f>IF(AND(ISNUMBER(B203),ISNUMBER(B202)),ABS(B203-B202),"")</f>
        <v/>
      </c>
      <c r="D203" s="13">
        <f>IF(AND(ISNUMBER(B203),ISNUMBER($B$88),ISNUMBER($D$88)),IF(B203&gt;$D$88,"boven UCL",IF(B203&lt;$B$88,"onder LCL","")),"")</f>
        <v/>
      </c>
      <c r="E203" s="13">
        <f>IF(AND(ISNUMBER(C203),ISNUMBER($B$89),ISNUMBER($D$89)),IF(C203&gt;$D$89,"boven UCL",IF(C203&lt;$B$89,"onder LCL","")),"")</f>
        <v/>
      </c>
      <c r="G203" t="n">
        <v>97</v>
      </c>
      <c r="H203" s="7" t="n"/>
      <c r="I203" s="7" t="n"/>
      <c r="J203" s="11">
        <f>IF(AND(ISNUMBER(H203),ISNUMBER(I203),H203&gt;0,ISNUMBER($B$94)),I203/H203,"")</f>
        <v/>
      </c>
      <c r="K203" s="11">
        <f>IF(AND(ISNUMBER(H203),ISNUMBER(I203),H203&gt;0,ISNUMBER($B$94)),MAX(0,$B$94-3*SQRT($B$94*(1-$B$94)/H203)),"")</f>
        <v/>
      </c>
      <c r="L203" s="11">
        <f>IF(AND(ISNUMBER(H203),ISNUMBER(I203),H203&gt;0,ISNUMBER($B$94)),$B$94+3*SQRT($B$94*(1-$B$94)/H203),"")</f>
        <v/>
      </c>
      <c r="M203" s="13">
        <f>IF(AND(ISNUMBER(J203),ISNUMBER(K203),ISNUMBER(L203)),IF(J203&gt;L203,"boven UCL",IF(J203&lt;K203,"onder LCL","")),"")</f>
        <v/>
      </c>
      <c r="O203" t="n">
        <v>97</v>
      </c>
      <c r="P203" s="7" t="n"/>
      <c r="Q203" s="7" t="n"/>
      <c r="R203" s="11">
        <f>IF(AND(ISNUMBER(P203),ISNUMBER(Q203),P203&gt;0,ISNUMBER($B$100)),Q203/P203,"")</f>
        <v/>
      </c>
      <c r="S203" s="11">
        <f>IF(AND(ISNUMBER(P203),ISNUMBER(Q203),P203&gt;0,ISNUMBER($B$100)),MAX(0,$B$100-3*SQRT($B$100/P203)),"")</f>
        <v/>
      </c>
      <c r="T203" s="11">
        <f>IF(AND(ISNUMBER(P203),ISNUMBER(Q203),P203&gt;0,ISNUMBER($B$100)),$B$100+3*SQRT($B$100/P203),"")</f>
        <v/>
      </c>
      <c r="U203" s="13">
        <f>IF(AND(ISNUMBER(R203),ISNUMBER(S203),ISNUMBER(T203)),IF(R203&gt;T203,"boven UCL",IF(R203&lt;S203,"onder LCL","")),"")</f>
        <v/>
      </c>
    </row>
    <row r="204">
      <c r="A204" t="n">
        <v>98</v>
      </c>
      <c r="B204" s="7" t="n"/>
      <c r="C204" s="11">
        <f>IF(AND(ISNUMBER(B204),ISNUMBER(B203)),ABS(B204-B203),"")</f>
        <v/>
      </c>
      <c r="D204" s="13">
        <f>IF(AND(ISNUMBER(B204),ISNUMBER($B$88),ISNUMBER($D$88)),IF(B204&gt;$D$88,"boven UCL",IF(B204&lt;$B$88,"onder LCL","")),"")</f>
        <v/>
      </c>
      <c r="E204" s="13">
        <f>IF(AND(ISNUMBER(C204),ISNUMBER($B$89),ISNUMBER($D$89)),IF(C204&gt;$D$89,"boven UCL",IF(C204&lt;$B$89,"onder LCL","")),"")</f>
        <v/>
      </c>
      <c r="G204" t="n">
        <v>98</v>
      </c>
      <c r="H204" s="7" t="n"/>
      <c r="I204" s="7" t="n"/>
      <c r="J204" s="11">
        <f>IF(AND(ISNUMBER(H204),ISNUMBER(I204),H204&gt;0,ISNUMBER($B$94)),I204/H204,"")</f>
        <v/>
      </c>
      <c r="K204" s="11">
        <f>IF(AND(ISNUMBER(H204),ISNUMBER(I204),H204&gt;0,ISNUMBER($B$94)),MAX(0,$B$94-3*SQRT($B$94*(1-$B$94)/H204)),"")</f>
        <v/>
      </c>
      <c r="L204" s="11">
        <f>IF(AND(ISNUMBER(H204),ISNUMBER(I204),H204&gt;0,ISNUMBER($B$94)),$B$94+3*SQRT($B$94*(1-$B$94)/H204),"")</f>
        <v/>
      </c>
      <c r="M204" s="13">
        <f>IF(AND(ISNUMBER(J204),ISNUMBER(K204),ISNUMBER(L204)),IF(J204&gt;L204,"boven UCL",IF(J204&lt;K204,"onder LCL","")),"")</f>
        <v/>
      </c>
      <c r="O204" t="n">
        <v>98</v>
      </c>
      <c r="P204" s="7" t="n"/>
      <c r="Q204" s="7" t="n"/>
      <c r="R204" s="11">
        <f>IF(AND(ISNUMBER(P204),ISNUMBER(Q204),P204&gt;0,ISNUMBER($B$100)),Q204/P204,"")</f>
        <v/>
      </c>
      <c r="S204" s="11">
        <f>IF(AND(ISNUMBER(P204),ISNUMBER(Q204),P204&gt;0,ISNUMBER($B$100)),MAX(0,$B$100-3*SQRT($B$100/P204)),"")</f>
        <v/>
      </c>
      <c r="T204" s="11">
        <f>IF(AND(ISNUMBER(P204),ISNUMBER(Q204),P204&gt;0,ISNUMBER($B$100)),$B$100+3*SQRT($B$100/P204),"")</f>
        <v/>
      </c>
      <c r="U204" s="13">
        <f>IF(AND(ISNUMBER(R204),ISNUMBER(S204),ISNUMBER(T204)),IF(R204&gt;T204,"boven UCL",IF(R204&lt;S204,"onder LCL","")),"")</f>
        <v/>
      </c>
    </row>
    <row r="205">
      <c r="A205" t="n">
        <v>99</v>
      </c>
      <c r="B205" s="7" t="n"/>
      <c r="C205" s="11">
        <f>IF(AND(ISNUMBER(B205),ISNUMBER(B204)),ABS(B205-B204),"")</f>
        <v/>
      </c>
      <c r="D205" s="13">
        <f>IF(AND(ISNUMBER(B205),ISNUMBER($B$88),ISNUMBER($D$88)),IF(B205&gt;$D$88,"boven UCL",IF(B205&lt;$B$88,"onder LCL","")),"")</f>
        <v/>
      </c>
      <c r="E205" s="13">
        <f>IF(AND(ISNUMBER(C205),ISNUMBER($B$89),ISNUMBER($D$89)),IF(C205&gt;$D$89,"boven UCL",IF(C205&lt;$B$89,"onder LCL","")),"")</f>
        <v/>
      </c>
      <c r="G205" t="n">
        <v>99</v>
      </c>
      <c r="H205" s="7" t="n"/>
      <c r="I205" s="7" t="n"/>
      <c r="J205" s="11">
        <f>IF(AND(ISNUMBER(H205),ISNUMBER(I205),H205&gt;0,ISNUMBER($B$94)),I205/H205,"")</f>
        <v/>
      </c>
      <c r="K205" s="11">
        <f>IF(AND(ISNUMBER(H205),ISNUMBER(I205),H205&gt;0,ISNUMBER($B$94)),MAX(0,$B$94-3*SQRT($B$94*(1-$B$94)/H205)),"")</f>
        <v/>
      </c>
      <c r="L205" s="11">
        <f>IF(AND(ISNUMBER(H205),ISNUMBER(I205),H205&gt;0,ISNUMBER($B$94)),$B$94+3*SQRT($B$94*(1-$B$94)/H205),"")</f>
        <v/>
      </c>
      <c r="M205" s="13">
        <f>IF(AND(ISNUMBER(J205),ISNUMBER(K205),ISNUMBER(L205)),IF(J205&gt;L205,"boven UCL",IF(J205&lt;K205,"onder LCL","")),"")</f>
        <v/>
      </c>
      <c r="O205" t="n">
        <v>99</v>
      </c>
      <c r="P205" s="7" t="n"/>
      <c r="Q205" s="7" t="n"/>
      <c r="R205" s="11">
        <f>IF(AND(ISNUMBER(P205),ISNUMBER(Q205),P205&gt;0,ISNUMBER($B$100)),Q205/P205,"")</f>
        <v/>
      </c>
      <c r="S205" s="11">
        <f>IF(AND(ISNUMBER(P205),ISNUMBER(Q205),P205&gt;0,ISNUMBER($B$100)),MAX(0,$B$100-3*SQRT($B$100/P205)),"")</f>
        <v/>
      </c>
      <c r="T205" s="11">
        <f>IF(AND(ISNUMBER(P205),ISNUMBER(Q205),P205&gt;0,ISNUMBER($B$100)),$B$100+3*SQRT($B$100/P205),"")</f>
        <v/>
      </c>
      <c r="U205" s="13">
        <f>IF(AND(ISNUMBER(R205),ISNUMBER(S205),ISNUMBER(T205)),IF(R205&gt;T205,"boven UCL",IF(R205&lt;S205,"onder LCL","")),"")</f>
        <v/>
      </c>
    </row>
    <row r="206">
      <c r="A206" t="n">
        <v>100</v>
      </c>
      <c r="B206" s="7" t="n"/>
      <c r="C206" s="11">
        <f>IF(AND(ISNUMBER(B206),ISNUMBER(B205)),ABS(B206-B205),"")</f>
        <v/>
      </c>
      <c r="D206" s="13">
        <f>IF(AND(ISNUMBER(B206),ISNUMBER($B$88),ISNUMBER($D$88)),IF(B206&gt;$D$88,"boven UCL",IF(B206&lt;$B$88,"onder LCL","")),"")</f>
        <v/>
      </c>
      <c r="E206" s="13">
        <f>IF(AND(ISNUMBER(C206),ISNUMBER($B$89),ISNUMBER($D$89)),IF(C206&gt;$D$89,"boven UCL",IF(C206&lt;$B$89,"onder LCL","")),"")</f>
        <v/>
      </c>
      <c r="G206" t="n">
        <v>100</v>
      </c>
      <c r="H206" s="7" t="n"/>
      <c r="I206" s="7" t="n"/>
      <c r="J206" s="11">
        <f>IF(AND(ISNUMBER(H206),ISNUMBER(I206),H206&gt;0,ISNUMBER($B$94)),I206/H206,"")</f>
        <v/>
      </c>
      <c r="K206" s="11">
        <f>IF(AND(ISNUMBER(H206),ISNUMBER(I206),H206&gt;0,ISNUMBER($B$94)),MAX(0,$B$94-3*SQRT($B$94*(1-$B$94)/H206)),"")</f>
        <v/>
      </c>
      <c r="L206" s="11">
        <f>IF(AND(ISNUMBER(H206),ISNUMBER(I206),H206&gt;0,ISNUMBER($B$94)),$B$94+3*SQRT($B$94*(1-$B$94)/H206),"")</f>
        <v/>
      </c>
      <c r="M206" s="13">
        <f>IF(AND(ISNUMBER(J206),ISNUMBER(K206),ISNUMBER(L206)),IF(J206&gt;L206,"boven UCL",IF(J206&lt;K206,"onder LCL","")),"")</f>
        <v/>
      </c>
      <c r="O206" t="n">
        <v>100</v>
      </c>
      <c r="P206" s="7" t="n"/>
      <c r="Q206" s="7" t="n"/>
      <c r="R206" s="11">
        <f>IF(AND(ISNUMBER(P206),ISNUMBER(Q206),P206&gt;0,ISNUMBER($B$100)),Q206/P206,"")</f>
        <v/>
      </c>
      <c r="S206" s="11">
        <f>IF(AND(ISNUMBER(P206),ISNUMBER(Q206),P206&gt;0,ISNUMBER($B$100)),MAX(0,$B$100-3*SQRT($B$100/P206)),"")</f>
        <v/>
      </c>
      <c r="T206" s="11">
        <f>IF(AND(ISNUMBER(P206),ISNUMBER(Q206),P206&gt;0,ISNUMBER($B$100)),$B$100+3*SQRT($B$100/P206),"")</f>
        <v/>
      </c>
      <c r="U206" s="13">
        <f>IF(AND(ISNUMBER(R206),ISNUMBER(S206),ISNUMBER(T206)),IF(R206&gt;T206,"boven UCL",IF(R206&lt;S206,"onder LCL","")),"")</f>
        <v/>
      </c>
    </row>
    <row r="207">
      <c r="A207" t="n">
        <v>101</v>
      </c>
      <c r="B207" s="7" t="n"/>
      <c r="C207" s="11">
        <f>IF(AND(ISNUMBER(B207),ISNUMBER(B206)),ABS(B207-B206),"")</f>
        <v/>
      </c>
      <c r="D207" s="13">
        <f>IF(AND(ISNUMBER(B207),ISNUMBER($B$88),ISNUMBER($D$88)),IF(B207&gt;$D$88,"boven UCL",IF(B207&lt;$B$88,"onder LCL","")),"")</f>
        <v/>
      </c>
      <c r="E207" s="13">
        <f>IF(AND(ISNUMBER(C207),ISNUMBER($B$89),ISNUMBER($D$89)),IF(C207&gt;$D$89,"boven UCL",IF(C207&lt;$B$89,"onder LCL","")),"")</f>
        <v/>
      </c>
      <c r="G207" t="n">
        <v>101</v>
      </c>
      <c r="H207" s="7" t="n"/>
      <c r="I207" s="7" t="n"/>
      <c r="J207" s="11">
        <f>IF(AND(ISNUMBER(H207),ISNUMBER(I207),H207&gt;0,ISNUMBER($B$94)),I207/H207,"")</f>
        <v/>
      </c>
      <c r="K207" s="11">
        <f>IF(AND(ISNUMBER(H207),ISNUMBER(I207),H207&gt;0,ISNUMBER($B$94)),MAX(0,$B$94-3*SQRT($B$94*(1-$B$94)/H207)),"")</f>
        <v/>
      </c>
      <c r="L207" s="11">
        <f>IF(AND(ISNUMBER(H207),ISNUMBER(I207),H207&gt;0,ISNUMBER($B$94)),$B$94+3*SQRT($B$94*(1-$B$94)/H207),"")</f>
        <v/>
      </c>
      <c r="M207" s="13">
        <f>IF(AND(ISNUMBER(J207),ISNUMBER(K207),ISNUMBER(L207)),IF(J207&gt;L207,"boven UCL",IF(J207&lt;K207,"onder LCL","")),"")</f>
        <v/>
      </c>
      <c r="O207" t="n">
        <v>101</v>
      </c>
      <c r="P207" s="7" t="n"/>
      <c r="Q207" s="7" t="n"/>
      <c r="R207" s="11">
        <f>IF(AND(ISNUMBER(P207),ISNUMBER(Q207),P207&gt;0,ISNUMBER($B$100)),Q207/P207,"")</f>
        <v/>
      </c>
      <c r="S207" s="11">
        <f>IF(AND(ISNUMBER(P207),ISNUMBER(Q207),P207&gt;0,ISNUMBER($B$100)),MAX(0,$B$100-3*SQRT($B$100/P207)),"")</f>
        <v/>
      </c>
      <c r="T207" s="11">
        <f>IF(AND(ISNUMBER(P207),ISNUMBER(Q207),P207&gt;0,ISNUMBER($B$100)),$B$100+3*SQRT($B$100/P207),"")</f>
        <v/>
      </c>
      <c r="U207" s="13">
        <f>IF(AND(ISNUMBER(R207),ISNUMBER(S207),ISNUMBER(T207)),IF(R207&gt;T207,"boven UCL",IF(R207&lt;S207,"onder LCL","")),"")</f>
        <v/>
      </c>
    </row>
    <row r="208">
      <c r="A208" t="n">
        <v>102</v>
      </c>
      <c r="B208" s="7" t="n"/>
      <c r="C208" s="11">
        <f>IF(AND(ISNUMBER(B208),ISNUMBER(B207)),ABS(B208-B207),"")</f>
        <v/>
      </c>
      <c r="D208" s="13">
        <f>IF(AND(ISNUMBER(B208),ISNUMBER($B$88),ISNUMBER($D$88)),IF(B208&gt;$D$88,"boven UCL",IF(B208&lt;$B$88,"onder LCL","")),"")</f>
        <v/>
      </c>
      <c r="E208" s="13">
        <f>IF(AND(ISNUMBER(C208),ISNUMBER($B$89),ISNUMBER($D$89)),IF(C208&gt;$D$89,"boven UCL",IF(C208&lt;$B$89,"onder LCL","")),"")</f>
        <v/>
      </c>
      <c r="G208" t="n">
        <v>102</v>
      </c>
      <c r="H208" s="7" t="n"/>
      <c r="I208" s="7" t="n"/>
      <c r="J208" s="11">
        <f>IF(AND(ISNUMBER(H208),ISNUMBER(I208),H208&gt;0,ISNUMBER($B$94)),I208/H208,"")</f>
        <v/>
      </c>
      <c r="K208" s="11">
        <f>IF(AND(ISNUMBER(H208),ISNUMBER(I208),H208&gt;0,ISNUMBER($B$94)),MAX(0,$B$94-3*SQRT($B$94*(1-$B$94)/H208)),"")</f>
        <v/>
      </c>
      <c r="L208" s="11">
        <f>IF(AND(ISNUMBER(H208),ISNUMBER(I208),H208&gt;0,ISNUMBER($B$94)),$B$94+3*SQRT($B$94*(1-$B$94)/H208),"")</f>
        <v/>
      </c>
      <c r="M208" s="13">
        <f>IF(AND(ISNUMBER(J208),ISNUMBER(K208),ISNUMBER(L208)),IF(J208&gt;L208,"boven UCL",IF(J208&lt;K208,"onder LCL","")),"")</f>
        <v/>
      </c>
      <c r="O208" t="n">
        <v>102</v>
      </c>
      <c r="P208" s="7" t="n"/>
      <c r="Q208" s="7" t="n"/>
      <c r="R208" s="11">
        <f>IF(AND(ISNUMBER(P208),ISNUMBER(Q208),P208&gt;0,ISNUMBER($B$100)),Q208/P208,"")</f>
        <v/>
      </c>
      <c r="S208" s="11">
        <f>IF(AND(ISNUMBER(P208),ISNUMBER(Q208),P208&gt;0,ISNUMBER($B$100)),MAX(0,$B$100-3*SQRT($B$100/P208)),"")</f>
        <v/>
      </c>
      <c r="T208" s="11">
        <f>IF(AND(ISNUMBER(P208),ISNUMBER(Q208),P208&gt;0,ISNUMBER($B$100)),$B$100+3*SQRT($B$100/P208),"")</f>
        <v/>
      </c>
      <c r="U208" s="13">
        <f>IF(AND(ISNUMBER(R208),ISNUMBER(S208),ISNUMBER(T208)),IF(R208&gt;T208,"boven UCL",IF(R208&lt;S208,"onder LCL","")),"")</f>
        <v/>
      </c>
    </row>
    <row r="209">
      <c r="A209" t="n">
        <v>103</v>
      </c>
      <c r="B209" s="7" t="n"/>
      <c r="C209" s="11">
        <f>IF(AND(ISNUMBER(B209),ISNUMBER(B208)),ABS(B209-B208),"")</f>
        <v/>
      </c>
      <c r="D209" s="13">
        <f>IF(AND(ISNUMBER(B209),ISNUMBER($B$88),ISNUMBER($D$88)),IF(B209&gt;$D$88,"boven UCL",IF(B209&lt;$B$88,"onder LCL","")),"")</f>
        <v/>
      </c>
      <c r="E209" s="13">
        <f>IF(AND(ISNUMBER(C209),ISNUMBER($B$89),ISNUMBER($D$89)),IF(C209&gt;$D$89,"boven UCL",IF(C209&lt;$B$89,"onder LCL","")),"")</f>
        <v/>
      </c>
      <c r="G209" t="n">
        <v>103</v>
      </c>
      <c r="H209" s="7" t="n"/>
      <c r="I209" s="7" t="n"/>
      <c r="J209" s="11">
        <f>IF(AND(ISNUMBER(H209),ISNUMBER(I209),H209&gt;0,ISNUMBER($B$94)),I209/H209,"")</f>
        <v/>
      </c>
      <c r="K209" s="11">
        <f>IF(AND(ISNUMBER(H209),ISNUMBER(I209),H209&gt;0,ISNUMBER($B$94)),MAX(0,$B$94-3*SQRT($B$94*(1-$B$94)/H209)),"")</f>
        <v/>
      </c>
      <c r="L209" s="11">
        <f>IF(AND(ISNUMBER(H209),ISNUMBER(I209),H209&gt;0,ISNUMBER($B$94)),$B$94+3*SQRT($B$94*(1-$B$94)/H209),"")</f>
        <v/>
      </c>
      <c r="M209" s="13">
        <f>IF(AND(ISNUMBER(J209),ISNUMBER(K209),ISNUMBER(L209)),IF(J209&gt;L209,"boven UCL",IF(J209&lt;K209,"onder LCL","")),"")</f>
        <v/>
      </c>
      <c r="O209" t="n">
        <v>103</v>
      </c>
      <c r="P209" s="7" t="n"/>
      <c r="Q209" s="7" t="n"/>
      <c r="R209" s="11">
        <f>IF(AND(ISNUMBER(P209),ISNUMBER(Q209),P209&gt;0,ISNUMBER($B$100)),Q209/P209,"")</f>
        <v/>
      </c>
      <c r="S209" s="11">
        <f>IF(AND(ISNUMBER(P209),ISNUMBER(Q209),P209&gt;0,ISNUMBER($B$100)),MAX(0,$B$100-3*SQRT($B$100/P209)),"")</f>
        <v/>
      </c>
      <c r="T209" s="11">
        <f>IF(AND(ISNUMBER(P209),ISNUMBER(Q209),P209&gt;0,ISNUMBER($B$100)),$B$100+3*SQRT($B$100/P209),"")</f>
        <v/>
      </c>
      <c r="U209" s="13">
        <f>IF(AND(ISNUMBER(R209),ISNUMBER(S209),ISNUMBER(T209)),IF(R209&gt;T209,"boven UCL",IF(R209&lt;S209,"onder LCL","")),"")</f>
        <v/>
      </c>
    </row>
    <row r="210">
      <c r="A210" t="n">
        <v>104</v>
      </c>
      <c r="B210" s="7" t="n"/>
      <c r="C210" s="11">
        <f>IF(AND(ISNUMBER(B210),ISNUMBER(B209)),ABS(B210-B209),"")</f>
        <v/>
      </c>
      <c r="D210" s="13">
        <f>IF(AND(ISNUMBER(B210),ISNUMBER($B$88),ISNUMBER($D$88)),IF(B210&gt;$D$88,"boven UCL",IF(B210&lt;$B$88,"onder LCL","")),"")</f>
        <v/>
      </c>
      <c r="E210" s="13">
        <f>IF(AND(ISNUMBER(C210),ISNUMBER($B$89),ISNUMBER($D$89)),IF(C210&gt;$D$89,"boven UCL",IF(C210&lt;$B$89,"onder LCL","")),"")</f>
        <v/>
      </c>
      <c r="G210" t="n">
        <v>104</v>
      </c>
      <c r="H210" s="7" t="n"/>
      <c r="I210" s="7" t="n"/>
      <c r="J210" s="11">
        <f>IF(AND(ISNUMBER(H210),ISNUMBER(I210),H210&gt;0,ISNUMBER($B$94)),I210/H210,"")</f>
        <v/>
      </c>
      <c r="K210" s="11">
        <f>IF(AND(ISNUMBER(H210),ISNUMBER(I210),H210&gt;0,ISNUMBER($B$94)),MAX(0,$B$94-3*SQRT($B$94*(1-$B$94)/H210)),"")</f>
        <v/>
      </c>
      <c r="L210" s="11">
        <f>IF(AND(ISNUMBER(H210),ISNUMBER(I210),H210&gt;0,ISNUMBER($B$94)),$B$94+3*SQRT($B$94*(1-$B$94)/H210),"")</f>
        <v/>
      </c>
      <c r="M210" s="13">
        <f>IF(AND(ISNUMBER(J210),ISNUMBER(K210),ISNUMBER(L210)),IF(J210&gt;L210,"boven UCL",IF(J210&lt;K210,"onder LCL","")),"")</f>
        <v/>
      </c>
      <c r="O210" t="n">
        <v>104</v>
      </c>
      <c r="P210" s="7" t="n"/>
      <c r="Q210" s="7" t="n"/>
      <c r="R210" s="11">
        <f>IF(AND(ISNUMBER(P210),ISNUMBER(Q210),P210&gt;0,ISNUMBER($B$100)),Q210/P210,"")</f>
        <v/>
      </c>
      <c r="S210" s="11">
        <f>IF(AND(ISNUMBER(P210),ISNUMBER(Q210),P210&gt;0,ISNUMBER($B$100)),MAX(0,$B$100-3*SQRT($B$100/P210)),"")</f>
        <v/>
      </c>
      <c r="T210" s="11">
        <f>IF(AND(ISNUMBER(P210),ISNUMBER(Q210),P210&gt;0,ISNUMBER($B$100)),$B$100+3*SQRT($B$100/P210),"")</f>
        <v/>
      </c>
      <c r="U210" s="13">
        <f>IF(AND(ISNUMBER(R210),ISNUMBER(S210),ISNUMBER(T210)),IF(R210&gt;T210,"boven UCL",IF(R210&lt;S210,"onder LCL","")),"")</f>
        <v/>
      </c>
    </row>
    <row r="211">
      <c r="A211" t="n">
        <v>105</v>
      </c>
      <c r="B211" s="7" t="n"/>
      <c r="C211" s="11">
        <f>IF(AND(ISNUMBER(B211),ISNUMBER(B210)),ABS(B211-B210),"")</f>
        <v/>
      </c>
      <c r="D211" s="13">
        <f>IF(AND(ISNUMBER(B211),ISNUMBER($B$88),ISNUMBER($D$88)),IF(B211&gt;$D$88,"boven UCL",IF(B211&lt;$B$88,"onder LCL","")),"")</f>
        <v/>
      </c>
      <c r="E211" s="13">
        <f>IF(AND(ISNUMBER(C211),ISNUMBER($B$89),ISNUMBER($D$89)),IF(C211&gt;$D$89,"boven UCL",IF(C211&lt;$B$89,"onder LCL","")),"")</f>
        <v/>
      </c>
      <c r="G211" t="n">
        <v>105</v>
      </c>
      <c r="H211" s="7" t="n"/>
      <c r="I211" s="7" t="n"/>
      <c r="J211" s="11">
        <f>IF(AND(ISNUMBER(H211),ISNUMBER(I211),H211&gt;0,ISNUMBER($B$94)),I211/H211,"")</f>
        <v/>
      </c>
      <c r="K211" s="11">
        <f>IF(AND(ISNUMBER(H211),ISNUMBER(I211),H211&gt;0,ISNUMBER($B$94)),MAX(0,$B$94-3*SQRT($B$94*(1-$B$94)/H211)),"")</f>
        <v/>
      </c>
      <c r="L211" s="11">
        <f>IF(AND(ISNUMBER(H211),ISNUMBER(I211),H211&gt;0,ISNUMBER($B$94)),$B$94+3*SQRT($B$94*(1-$B$94)/H211),"")</f>
        <v/>
      </c>
      <c r="M211" s="13">
        <f>IF(AND(ISNUMBER(J211),ISNUMBER(K211),ISNUMBER(L211)),IF(J211&gt;L211,"boven UCL",IF(J211&lt;K211,"onder LCL","")),"")</f>
        <v/>
      </c>
      <c r="O211" t="n">
        <v>105</v>
      </c>
      <c r="P211" s="7" t="n"/>
      <c r="Q211" s="7" t="n"/>
      <c r="R211" s="11">
        <f>IF(AND(ISNUMBER(P211),ISNUMBER(Q211),P211&gt;0,ISNUMBER($B$100)),Q211/P211,"")</f>
        <v/>
      </c>
      <c r="S211" s="11">
        <f>IF(AND(ISNUMBER(P211),ISNUMBER(Q211),P211&gt;0,ISNUMBER($B$100)),MAX(0,$B$100-3*SQRT($B$100/P211)),"")</f>
        <v/>
      </c>
      <c r="T211" s="11">
        <f>IF(AND(ISNUMBER(P211),ISNUMBER(Q211),P211&gt;0,ISNUMBER($B$100)),$B$100+3*SQRT($B$100/P211),"")</f>
        <v/>
      </c>
      <c r="U211" s="13">
        <f>IF(AND(ISNUMBER(R211),ISNUMBER(S211),ISNUMBER(T211)),IF(R211&gt;T211,"boven UCL",IF(R211&lt;S211,"onder LCL","")),"")</f>
        <v/>
      </c>
    </row>
    <row r="212">
      <c r="A212" t="n">
        <v>106</v>
      </c>
      <c r="B212" s="7" t="n"/>
      <c r="C212" s="11">
        <f>IF(AND(ISNUMBER(B212),ISNUMBER(B211)),ABS(B212-B211),"")</f>
        <v/>
      </c>
      <c r="D212" s="13">
        <f>IF(AND(ISNUMBER(B212),ISNUMBER($B$88),ISNUMBER($D$88)),IF(B212&gt;$D$88,"boven UCL",IF(B212&lt;$B$88,"onder LCL","")),"")</f>
        <v/>
      </c>
      <c r="E212" s="13">
        <f>IF(AND(ISNUMBER(C212),ISNUMBER($B$89),ISNUMBER($D$89)),IF(C212&gt;$D$89,"boven UCL",IF(C212&lt;$B$89,"onder LCL","")),"")</f>
        <v/>
      </c>
      <c r="G212" t="n">
        <v>106</v>
      </c>
      <c r="H212" s="7" t="n"/>
      <c r="I212" s="7" t="n"/>
      <c r="J212" s="11">
        <f>IF(AND(ISNUMBER(H212),ISNUMBER(I212),H212&gt;0,ISNUMBER($B$94)),I212/H212,"")</f>
        <v/>
      </c>
      <c r="K212" s="11">
        <f>IF(AND(ISNUMBER(H212),ISNUMBER(I212),H212&gt;0,ISNUMBER($B$94)),MAX(0,$B$94-3*SQRT($B$94*(1-$B$94)/H212)),"")</f>
        <v/>
      </c>
      <c r="L212" s="11">
        <f>IF(AND(ISNUMBER(H212),ISNUMBER(I212),H212&gt;0,ISNUMBER($B$94)),$B$94+3*SQRT($B$94*(1-$B$94)/H212),"")</f>
        <v/>
      </c>
      <c r="M212" s="13">
        <f>IF(AND(ISNUMBER(J212),ISNUMBER(K212),ISNUMBER(L212)),IF(J212&gt;L212,"boven UCL",IF(J212&lt;K212,"onder LCL","")),"")</f>
        <v/>
      </c>
      <c r="O212" t="n">
        <v>106</v>
      </c>
      <c r="P212" s="7" t="n"/>
      <c r="Q212" s="7" t="n"/>
      <c r="R212" s="11">
        <f>IF(AND(ISNUMBER(P212),ISNUMBER(Q212),P212&gt;0,ISNUMBER($B$100)),Q212/P212,"")</f>
        <v/>
      </c>
      <c r="S212" s="11">
        <f>IF(AND(ISNUMBER(P212),ISNUMBER(Q212),P212&gt;0,ISNUMBER($B$100)),MAX(0,$B$100-3*SQRT($B$100/P212)),"")</f>
        <v/>
      </c>
      <c r="T212" s="11">
        <f>IF(AND(ISNUMBER(P212),ISNUMBER(Q212),P212&gt;0,ISNUMBER($B$100)),$B$100+3*SQRT($B$100/P212),"")</f>
        <v/>
      </c>
      <c r="U212" s="13">
        <f>IF(AND(ISNUMBER(R212),ISNUMBER(S212),ISNUMBER(T212)),IF(R212&gt;T212,"boven UCL",IF(R212&lt;S212,"onder LCL","")),"")</f>
        <v/>
      </c>
    </row>
    <row r="213">
      <c r="A213" t="n">
        <v>107</v>
      </c>
      <c r="B213" s="7" t="n"/>
      <c r="C213" s="11">
        <f>IF(AND(ISNUMBER(B213),ISNUMBER(B212)),ABS(B213-B212),"")</f>
        <v/>
      </c>
      <c r="D213" s="13">
        <f>IF(AND(ISNUMBER(B213),ISNUMBER($B$88),ISNUMBER($D$88)),IF(B213&gt;$D$88,"boven UCL",IF(B213&lt;$B$88,"onder LCL","")),"")</f>
        <v/>
      </c>
      <c r="E213" s="13">
        <f>IF(AND(ISNUMBER(C213),ISNUMBER($B$89),ISNUMBER($D$89)),IF(C213&gt;$D$89,"boven UCL",IF(C213&lt;$B$89,"onder LCL","")),"")</f>
        <v/>
      </c>
      <c r="G213" t="n">
        <v>107</v>
      </c>
      <c r="H213" s="7" t="n"/>
      <c r="I213" s="7" t="n"/>
      <c r="J213" s="11">
        <f>IF(AND(ISNUMBER(H213),ISNUMBER(I213),H213&gt;0,ISNUMBER($B$94)),I213/H213,"")</f>
        <v/>
      </c>
      <c r="K213" s="11">
        <f>IF(AND(ISNUMBER(H213),ISNUMBER(I213),H213&gt;0,ISNUMBER($B$94)),MAX(0,$B$94-3*SQRT($B$94*(1-$B$94)/H213)),"")</f>
        <v/>
      </c>
      <c r="L213" s="11">
        <f>IF(AND(ISNUMBER(H213),ISNUMBER(I213),H213&gt;0,ISNUMBER($B$94)),$B$94+3*SQRT($B$94*(1-$B$94)/H213),"")</f>
        <v/>
      </c>
      <c r="M213" s="13">
        <f>IF(AND(ISNUMBER(J213),ISNUMBER(K213),ISNUMBER(L213)),IF(J213&gt;L213,"boven UCL",IF(J213&lt;K213,"onder LCL","")),"")</f>
        <v/>
      </c>
      <c r="O213" t="n">
        <v>107</v>
      </c>
      <c r="P213" s="7" t="n"/>
      <c r="Q213" s="7" t="n"/>
      <c r="R213" s="11">
        <f>IF(AND(ISNUMBER(P213),ISNUMBER(Q213),P213&gt;0,ISNUMBER($B$100)),Q213/P213,"")</f>
        <v/>
      </c>
      <c r="S213" s="11">
        <f>IF(AND(ISNUMBER(P213),ISNUMBER(Q213),P213&gt;0,ISNUMBER($B$100)),MAX(0,$B$100-3*SQRT($B$100/P213)),"")</f>
        <v/>
      </c>
      <c r="T213" s="11">
        <f>IF(AND(ISNUMBER(P213),ISNUMBER(Q213),P213&gt;0,ISNUMBER($B$100)),$B$100+3*SQRT($B$100/P213),"")</f>
        <v/>
      </c>
      <c r="U213" s="13">
        <f>IF(AND(ISNUMBER(R213),ISNUMBER(S213),ISNUMBER(T213)),IF(R213&gt;T213,"boven UCL",IF(R213&lt;S213,"onder LCL","")),"")</f>
        <v/>
      </c>
    </row>
    <row r="214">
      <c r="A214" t="n">
        <v>108</v>
      </c>
      <c r="B214" s="7" t="n"/>
      <c r="C214" s="11">
        <f>IF(AND(ISNUMBER(B214),ISNUMBER(B213)),ABS(B214-B213),"")</f>
        <v/>
      </c>
      <c r="D214" s="13">
        <f>IF(AND(ISNUMBER(B214),ISNUMBER($B$88),ISNUMBER($D$88)),IF(B214&gt;$D$88,"boven UCL",IF(B214&lt;$B$88,"onder LCL","")),"")</f>
        <v/>
      </c>
      <c r="E214" s="13">
        <f>IF(AND(ISNUMBER(C214),ISNUMBER($B$89),ISNUMBER($D$89)),IF(C214&gt;$D$89,"boven UCL",IF(C214&lt;$B$89,"onder LCL","")),"")</f>
        <v/>
      </c>
      <c r="G214" t="n">
        <v>108</v>
      </c>
      <c r="H214" s="7" t="n"/>
      <c r="I214" s="7" t="n"/>
      <c r="J214" s="11">
        <f>IF(AND(ISNUMBER(H214),ISNUMBER(I214),H214&gt;0,ISNUMBER($B$94)),I214/H214,"")</f>
        <v/>
      </c>
      <c r="K214" s="11">
        <f>IF(AND(ISNUMBER(H214),ISNUMBER(I214),H214&gt;0,ISNUMBER($B$94)),MAX(0,$B$94-3*SQRT($B$94*(1-$B$94)/H214)),"")</f>
        <v/>
      </c>
      <c r="L214" s="11">
        <f>IF(AND(ISNUMBER(H214),ISNUMBER(I214),H214&gt;0,ISNUMBER($B$94)),$B$94+3*SQRT($B$94*(1-$B$94)/H214),"")</f>
        <v/>
      </c>
      <c r="M214" s="13">
        <f>IF(AND(ISNUMBER(J214),ISNUMBER(K214),ISNUMBER(L214)),IF(J214&gt;L214,"boven UCL",IF(J214&lt;K214,"onder LCL","")),"")</f>
        <v/>
      </c>
      <c r="O214" t="n">
        <v>108</v>
      </c>
      <c r="P214" s="7" t="n"/>
      <c r="Q214" s="7" t="n"/>
      <c r="R214" s="11">
        <f>IF(AND(ISNUMBER(P214),ISNUMBER(Q214),P214&gt;0,ISNUMBER($B$100)),Q214/P214,"")</f>
        <v/>
      </c>
      <c r="S214" s="11">
        <f>IF(AND(ISNUMBER(P214),ISNUMBER(Q214),P214&gt;0,ISNUMBER($B$100)),MAX(0,$B$100-3*SQRT($B$100/P214)),"")</f>
        <v/>
      </c>
      <c r="T214" s="11">
        <f>IF(AND(ISNUMBER(P214),ISNUMBER(Q214),P214&gt;0,ISNUMBER($B$100)),$B$100+3*SQRT($B$100/P214),"")</f>
        <v/>
      </c>
      <c r="U214" s="13">
        <f>IF(AND(ISNUMBER(R214),ISNUMBER(S214),ISNUMBER(T214)),IF(R214&gt;T214,"boven UCL",IF(R214&lt;S214,"onder LCL","")),"")</f>
        <v/>
      </c>
    </row>
    <row r="215">
      <c r="A215" t="n">
        <v>109</v>
      </c>
      <c r="B215" s="7" t="n"/>
      <c r="C215" s="11">
        <f>IF(AND(ISNUMBER(B215),ISNUMBER(B214)),ABS(B215-B214),"")</f>
        <v/>
      </c>
      <c r="D215" s="13">
        <f>IF(AND(ISNUMBER(B215),ISNUMBER($B$88),ISNUMBER($D$88)),IF(B215&gt;$D$88,"boven UCL",IF(B215&lt;$B$88,"onder LCL","")),"")</f>
        <v/>
      </c>
      <c r="E215" s="13">
        <f>IF(AND(ISNUMBER(C215),ISNUMBER($B$89),ISNUMBER($D$89)),IF(C215&gt;$D$89,"boven UCL",IF(C215&lt;$B$89,"onder LCL","")),"")</f>
        <v/>
      </c>
      <c r="G215" t="n">
        <v>109</v>
      </c>
      <c r="H215" s="7" t="n"/>
      <c r="I215" s="7" t="n"/>
      <c r="J215" s="11">
        <f>IF(AND(ISNUMBER(H215),ISNUMBER(I215),H215&gt;0,ISNUMBER($B$94)),I215/H215,"")</f>
        <v/>
      </c>
      <c r="K215" s="11">
        <f>IF(AND(ISNUMBER(H215),ISNUMBER(I215),H215&gt;0,ISNUMBER($B$94)),MAX(0,$B$94-3*SQRT($B$94*(1-$B$94)/H215)),"")</f>
        <v/>
      </c>
      <c r="L215" s="11">
        <f>IF(AND(ISNUMBER(H215),ISNUMBER(I215),H215&gt;0,ISNUMBER($B$94)),$B$94+3*SQRT($B$94*(1-$B$94)/H215),"")</f>
        <v/>
      </c>
      <c r="M215" s="13">
        <f>IF(AND(ISNUMBER(J215),ISNUMBER(K215),ISNUMBER(L215)),IF(J215&gt;L215,"boven UCL",IF(J215&lt;K215,"onder LCL","")),"")</f>
        <v/>
      </c>
      <c r="O215" t="n">
        <v>109</v>
      </c>
      <c r="P215" s="7" t="n"/>
      <c r="Q215" s="7" t="n"/>
      <c r="R215" s="11">
        <f>IF(AND(ISNUMBER(P215),ISNUMBER(Q215),P215&gt;0,ISNUMBER($B$100)),Q215/P215,"")</f>
        <v/>
      </c>
      <c r="S215" s="11">
        <f>IF(AND(ISNUMBER(P215),ISNUMBER(Q215),P215&gt;0,ISNUMBER($B$100)),MAX(0,$B$100-3*SQRT($B$100/P215)),"")</f>
        <v/>
      </c>
      <c r="T215" s="11">
        <f>IF(AND(ISNUMBER(P215),ISNUMBER(Q215),P215&gt;0,ISNUMBER($B$100)),$B$100+3*SQRT($B$100/P215),"")</f>
        <v/>
      </c>
      <c r="U215" s="13">
        <f>IF(AND(ISNUMBER(R215),ISNUMBER(S215),ISNUMBER(T215)),IF(R215&gt;T215,"boven UCL",IF(R215&lt;S215,"onder LCL","")),"")</f>
        <v/>
      </c>
    </row>
    <row r="216">
      <c r="A216" t="n">
        <v>110</v>
      </c>
      <c r="B216" s="7" t="n"/>
      <c r="C216" s="11">
        <f>IF(AND(ISNUMBER(B216),ISNUMBER(B215)),ABS(B216-B215),"")</f>
        <v/>
      </c>
      <c r="D216" s="13">
        <f>IF(AND(ISNUMBER(B216),ISNUMBER($B$88),ISNUMBER($D$88)),IF(B216&gt;$D$88,"boven UCL",IF(B216&lt;$B$88,"onder LCL","")),"")</f>
        <v/>
      </c>
      <c r="E216" s="13">
        <f>IF(AND(ISNUMBER(C216),ISNUMBER($B$89),ISNUMBER($D$89)),IF(C216&gt;$D$89,"boven UCL",IF(C216&lt;$B$89,"onder LCL","")),"")</f>
        <v/>
      </c>
      <c r="G216" t="n">
        <v>110</v>
      </c>
      <c r="H216" s="7" t="n"/>
      <c r="I216" s="7" t="n"/>
      <c r="J216" s="11">
        <f>IF(AND(ISNUMBER(H216),ISNUMBER(I216),H216&gt;0,ISNUMBER($B$94)),I216/H216,"")</f>
        <v/>
      </c>
      <c r="K216" s="11">
        <f>IF(AND(ISNUMBER(H216),ISNUMBER(I216),H216&gt;0,ISNUMBER($B$94)),MAX(0,$B$94-3*SQRT($B$94*(1-$B$94)/H216)),"")</f>
        <v/>
      </c>
      <c r="L216" s="11">
        <f>IF(AND(ISNUMBER(H216),ISNUMBER(I216),H216&gt;0,ISNUMBER($B$94)),$B$94+3*SQRT($B$94*(1-$B$94)/H216),"")</f>
        <v/>
      </c>
      <c r="M216" s="13">
        <f>IF(AND(ISNUMBER(J216),ISNUMBER(K216),ISNUMBER(L216)),IF(J216&gt;L216,"boven UCL",IF(J216&lt;K216,"onder LCL","")),"")</f>
        <v/>
      </c>
      <c r="O216" t="n">
        <v>110</v>
      </c>
      <c r="P216" s="7" t="n"/>
      <c r="Q216" s="7" t="n"/>
      <c r="R216" s="11">
        <f>IF(AND(ISNUMBER(P216),ISNUMBER(Q216),P216&gt;0,ISNUMBER($B$100)),Q216/P216,"")</f>
        <v/>
      </c>
      <c r="S216" s="11">
        <f>IF(AND(ISNUMBER(P216),ISNUMBER(Q216),P216&gt;0,ISNUMBER($B$100)),MAX(0,$B$100-3*SQRT($B$100/P216)),"")</f>
        <v/>
      </c>
      <c r="T216" s="11">
        <f>IF(AND(ISNUMBER(P216),ISNUMBER(Q216),P216&gt;0,ISNUMBER($B$100)),$B$100+3*SQRT($B$100/P216),"")</f>
        <v/>
      </c>
      <c r="U216" s="13">
        <f>IF(AND(ISNUMBER(R216),ISNUMBER(S216),ISNUMBER(T216)),IF(R216&gt;T216,"boven UCL",IF(R216&lt;S216,"onder LCL","")),"")</f>
        <v/>
      </c>
    </row>
    <row r="217">
      <c r="A217" t="n">
        <v>111</v>
      </c>
      <c r="B217" s="7" t="n"/>
      <c r="C217" s="11">
        <f>IF(AND(ISNUMBER(B217),ISNUMBER(B216)),ABS(B217-B216),"")</f>
        <v/>
      </c>
      <c r="D217" s="13">
        <f>IF(AND(ISNUMBER(B217),ISNUMBER($B$88),ISNUMBER($D$88)),IF(B217&gt;$D$88,"boven UCL",IF(B217&lt;$B$88,"onder LCL","")),"")</f>
        <v/>
      </c>
      <c r="E217" s="13">
        <f>IF(AND(ISNUMBER(C217),ISNUMBER($B$89),ISNUMBER($D$89)),IF(C217&gt;$D$89,"boven UCL",IF(C217&lt;$B$89,"onder LCL","")),"")</f>
        <v/>
      </c>
      <c r="G217" t="n">
        <v>111</v>
      </c>
      <c r="H217" s="7" t="n"/>
      <c r="I217" s="7" t="n"/>
      <c r="J217" s="11">
        <f>IF(AND(ISNUMBER(H217),ISNUMBER(I217),H217&gt;0,ISNUMBER($B$94)),I217/H217,"")</f>
        <v/>
      </c>
      <c r="K217" s="11">
        <f>IF(AND(ISNUMBER(H217),ISNUMBER(I217),H217&gt;0,ISNUMBER($B$94)),MAX(0,$B$94-3*SQRT($B$94*(1-$B$94)/H217)),"")</f>
        <v/>
      </c>
      <c r="L217" s="11">
        <f>IF(AND(ISNUMBER(H217),ISNUMBER(I217),H217&gt;0,ISNUMBER($B$94)),$B$94+3*SQRT($B$94*(1-$B$94)/H217),"")</f>
        <v/>
      </c>
      <c r="M217" s="13">
        <f>IF(AND(ISNUMBER(J217),ISNUMBER(K217),ISNUMBER(L217)),IF(J217&gt;L217,"boven UCL",IF(J217&lt;K217,"onder LCL","")),"")</f>
        <v/>
      </c>
      <c r="O217" t="n">
        <v>111</v>
      </c>
      <c r="P217" s="7" t="n"/>
      <c r="Q217" s="7" t="n"/>
      <c r="R217" s="11">
        <f>IF(AND(ISNUMBER(P217),ISNUMBER(Q217),P217&gt;0,ISNUMBER($B$100)),Q217/P217,"")</f>
        <v/>
      </c>
      <c r="S217" s="11">
        <f>IF(AND(ISNUMBER(P217),ISNUMBER(Q217),P217&gt;0,ISNUMBER($B$100)),MAX(0,$B$100-3*SQRT($B$100/P217)),"")</f>
        <v/>
      </c>
      <c r="T217" s="11">
        <f>IF(AND(ISNUMBER(P217),ISNUMBER(Q217),P217&gt;0,ISNUMBER($B$100)),$B$100+3*SQRT($B$100/P217),"")</f>
        <v/>
      </c>
      <c r="U217" s="13">
        <f>IF(AND(ISNUMBER(R217),ISNUMBER(S217),ISNUMBER(T217)),IF(R217&gt;T217,"boven UCL",IF(R217&lt;S217,"onder LCL","")),"")</f>
        <v/>
      </c>
    </row>
    <row r="218">
      <c r="A218" t="n">
        <v>112</v>
      </c>
      <c r="B218" s="7" t="n"/>
      <c r="C218" s="11">
        <f>IF(AND(ISNUMBER(B218),ISNUMBER(B217)),ABS(B218-B217),"")</f>
        <v/>
      </c>
      <c r="D218" s="13">
        <f>IF(AND(ISNUMBER(B218),ISNUMBER($B$88),ISNUMBER($D$88)),IF(B218&gt;$D$88,"boven UCL",IF(B218&lt;$B$88,"onder LCL","")),"")</f>
        <v/>
      </c>
      <c r="E218" s="13">
        <f>IF(AND(ISNUMBER(C218),ISNUMBER($B$89),ISNUMBER($D$89)),IF(C218&gt;$D$89,"boven UCL",IF(C218&lt;$B$89,"onder LCL","")),"")</f>
        <v/>
      </c>
      <c r="G218" t="n">
        <v>112</v>
      </c>
      <c r="H218" s="7" t="n"/>
      <c r="I218" s="7" t="n"/>
      <c r="J218" s="11">
        <f>IF(AND(ISNUMBER(H218),ISNUMBER(I218),H218&gt;0,ISNUMBER($B$94)),I218/H218,"")</f>
        <v/>
      </c>
      <c r="K218" s="11">
        <f>IF(AND(ISNUMBER(H218),ISNUMBER(I218),H218&gt;0,ISNUMBER($B$94)),MAX(0,$B$94-3*SQRT($B$94*(1-$B$94)/H218)),"")</f>
        <v/>
      </c>
      <c r="L218" s="11">
        <f>IF(AND(ISNUMBER(H218),ISNUMBER(I218),H218&gt;0,ISNUMBER($B$94)),$B$94+3*SQRT($B$94*(1-$B$94)/H218),"")</f>
        <v/>
      </c>
      <c r="M218" s="13">
        <f>IF(AND(ISNUMBER(J218),ISNUMBER(K218),ISNUMBER(L218)),IF(J218&gt;L218,"boven UCL",IF(J218&lt;K218,"onder LCL","")),"")</f>
        <v/>
      </c>
      <c r="O218" t="n">
        <v>112</v>
      </c>
      <c r="P218" s="7" t="n"/>
      <c r="Q218" s="7" t="n"/>
      <c r="R218" s="11">
        <f>IF(AND(ISNUMBER(P218),ISNUMBER(Q218),P218&gt;0,ISNUMBER($B$100)),Q218/P218,"")</f>
        <v/>
      </c>
      <c r="S218" s="11">
        <f>IF(AND(ISNUMBER(P218),ISNUMBER(Q218),P218&gt;0,ISNUMBER($B$100)),MAX(0,$B$100-3*SQRT($B$100/P218)),"")</f>
        <v/>
      </c>
      <c r="T218" s="11">
        <f>IF(AND(ISNUMBER(P218),ISNUMBER(Q218),P218&gt;0,ISNUMBER($B$100)),$B$100+3*SQRT($B$100/P218),"")</f>
        <v/>
      </c>
      <c r="U218" s="13">
        <f>IF(AND(ISNUMBER(R218),ISNUMBER(S218),ISNUMBER(T218)),IF(R218&gt;T218,"boven UCL",IF(R218&lt;S218,"onder LCL","")),"")</f>
        <v/>
      </c>
    </row>
    <row r="219">
      <c r="A219" t="n">
        <v>113</v>
      </c>
      <c r="B219" s="7" t="n"/>
      <c r="C219" s="11">
        <f>IF(AND(ISNUMBER(B219),ISNUMBER(B218)),ABS(B219-B218),"")</f>
        <v/>
      </c>
      <c r="D219" s="13">
        <f>IF(AND(ISNUMBER(B219),ISNUMBER($B$88),ISNUMBER($D$88)),IF(B219&gt;$D$88,"boven UCL",IF(B219&lt;$B$88,"onder LCL","")),"")</f>
        <v/>
      </c>
      <c r="E219" s="13">
        <f>IF(AND(ISNUMBER(C219),ISNUMBER($B$89),ISNUMBER($D$89)),IF(C219&gt;$D$89,"boven UCL",IF(C219&lt;$B$89,"onder LCL","")),"")</f>
        <v/>
      </c>
      <c r="G219" t="n">
        <v>113</v>
      </c>
      <c r="H219" s="7" t="n"/>
      <c r="I219" s="7" t="n"/>
      <c r="J219" s="11">
        <f>IF(AND(ISNUMBER(H219),ISNUMBER(I219),H219&gt;0,ISNUMBER($B$94)),I219/H219,"")</f>
        <v/>
      </c>
      <c r="K219" s="11">
        <f>IF(AND(ISNUMBER(H219),ISNUMBER(I219),H219&gt;0,ISNUMBER($B$94)),MAX(0,$B$94-3*SQRT($B$94*(1-$B$94)/H219)),"")</f>
        <v/>
      </c>
      <c r="L219" s="11">
        <f>IF(AND(ISNUMBER(H219),ISNUMBER(I219),H219&gt;0,ISNUMBER($B$94)),$B$94+3*SQRT($B$94*(1-$B$94)/H219),"")</f>
        <v/>
      </c>
      <c r="M219" s="13">
        <f>IF(AND(ISNUMBER(J219),ISNUMBER(K219),ISNUMBER(L219)),IF(J219&gt;L219,"boven UCL",IF(J219&lt;K219,"onder LCL","")),"")</f>
        <v/>
      </c>
      <c r="O219" t="n">
        <v>113</v>
      </c>
      <c r="P219" s="7" t="n"/>
      <c r="Q219" s="7" t="n"/>
      <c r="R219" s="11">
        <f>IF(AND(ISNUMBER(P219),ISNUMBER(Q219),P219&gt;0,ISNUMBER($B$100)),Q219/P219,"")</f>
        <v/>
      </c>
      <c r="S219" s="11">
        <f>IF(AND(ISNUMBER(P219),ISNUMBER(Q219),P219&gt;0,ISNUMBER($B$100)),MAX(0,$B$100-3*SQRT($B$100/P219)),"")</f>
        <v/>
      </c>
      <c r="T219" s="11">
        <f>IF(AND(ISNUMBER(P219),ISNUMBER(Q219),P219&gt;0,ISNUMBER($B$100)),$B$100+3*SQRT($B$100/P219),"")</f>
        <v/>
      </c>
      <c r="U219" s="13">
        <f>IF(AND(ISNUMBER(R219),ISNUMBER(S219),ISNUMBER(T219)),IF(R219&gt;T219,"boven UCL",IF(R219&lt;S219,"onder LCL","")),"")</f>
        <v/>
      </c>
    </row>
    <row r="220">
      <c r="A220" t="n">
        <v>114</v>
      </c>
      <c r="B220" s="7" t="n"/>
      <c r="C220" s="11">
        <f>IF(AND(ISNUMBER(B220),ISNUMBER(B219)),ABS(B220-B219),"")</f>
        <v/>
      </c>
      <c r="D220" s="13">
        <f>IF(AND(ISNUMBER(B220),ISNUMBER($B$88),ISNUMBER($D$88)),IF(B220&gt;$D$88,"boven UCL",IF(B220&lt;$B$88,"onder LCL","")),"")</f>
        <v/>
      </c>
      <c r="E220" s="13">
        <f>IF(AND(ISNUMBER(C220),ISNUMBER($B$89),ISNUMBER($D$89)),IF(C220&gt;$D$89,"boven UCL",IF(C220&lt;$B$89,"onder LCL","")),"")</f>
        <v/>
      </c>
      <c r="G220" t="n">
        <v>114</v>
      </c>
      <c r="H220" s="7" t="n"/>
      <c r="I220" s="7" t="n"/>
      <c r="J220" s="11">
        <f>IF(AND(ISNUMBER(H220),ISNUMBER(I220),H220&gt;0,ISNUMBER($B$94)),I220/H220,"")</f>
        <v/>
      </c>
      <c r="K220" s="11">
        <f>IF(AND(ISNUMBER(H220),ISNUMBER(I220),H220&gt;0,ISNUMBER($B$94)),MAX(0,$B$94-3*SQRT($B$94*(1-$B$94)/H220)),"")</f>
        <v/>
      </c>
      <c r="L220" s="11">
        <f>IF(AND(ISNUMBER(H220),ISNUMBER(I220),H220&gt;0,ISNUMBER($B$94)),$B$94+3*SQRT($B$94*(1-$B$94)/H220),"")</f>
        <v/>
      </c>
      <c r="M220" s="13">
        <f>IF(AND(ISNUMBER(J220),ISNUMBER(K220),ISNUMBER(L220)),IF(J220&gt;L220,"boven UCL",IF(J220&lt;K220,"onder LCL","")),"")</f>
        <v/>
      </c>
      <c r="O220" t="n">
        <v>114</v>
      </c>
      <c r="P220" s="7" t="n"/>
      <c r="Q220" s="7" t="n"/>
      <c r="R220" s="11">
        <f>IF(AND(ISNUMBER(P220),ISNUMBER(Q220),P220&gt;0,ISNUMBER($B$100)),Q220/P220,"")</f>
        <v/>
      </c>
      <c r="S220" s="11">
        <f>IF(AND(ISNUMBER(P220),ISNUMBER(Q220),P220&gt;0,ISNUMBER($B$100)),MAX(0,$B$100-3*SQRT($B$100/P220)),"")</f>
        <v/>
      </c>
      <c r="T220" s="11">
        <f>IF(AND(ISNUMBER(P220),ISNUMBER(Q220),P220&gt;0,ISNUMBER($B$100)),$B$100+3*SQRT($B$100/P220),"")</f>
        <v/>
      </c>
      <c r="U220" s="13">
        <f>IF(AND(ISNUMBER(R220),ISNUMBER(S220),ISNUMBER(T220)),IF(R220&gt;T220,"boven UCL",IF(R220&lt;S220,"onder LCL","")),"")</f>
        <v/>
      </c>
    </row>
    <row r="221">
      <c r="A221" t="n">
        <v>115</v>
      </c>
      <c r="B221" s="7" t="n"/>
      <c r="C221" s="11">
        <f>IF(AND(ISNUMBER(B221),ISNUMBER(B220)),ABS(B221-B220),"")</f>
        <v/>
      </c>
      <c r="D221" s="13">
        <f>IF(AND(ISNUMBER(B221),ISNUMBER($B$88),ISNUMBER($D$88)),IF(B221&gt;$D$88,"boven UCL",IF(B221&lt;$B$88,"onder LCL","")),"")</f>
        <v/>
      </c>
      <c r="E221" s="13">
        <f>IF(AND(ISNUMBER(C221),ISNUMBER($B$89),ISNUMBER($D$89)),IF(C221&gt;$D$89,"boven UCL",IF(C221&lt;$B$89,"onder LCL","")),"")</f>
        <v/>
      </c>
      <c r="G221" t="n">
        <v>115</v>
      </c>
      <c r="H221" s="7" t="n"/>
      <c r="I221" s="7" t="n"/>
      <c r="J221" s="11">
        <f>IF(AND(ISNUMBER(H221),ISNUMBER(I221),H221&gt;0,ISNUMBER($B$94)),I221/H221,"")</f>
        <v/>
      </c>
      <c r="K221" s="11">
        <f>IF(AND(ISNUMBER(H221),ISNUMBER(I221),H221&gt;0,ISNUMBER($B$94)),MAX(0,$B$94-3*SQRT($B$94*(1-$B$94)/H221)),"")</f>
        <v/>
      </c>
      <c r="L221" s="11">
        <f>IF(AND(ISNUMBER(H221),ISNUMBER(I221),H221&gt;0,ISNUMBER($B$94)),$B$94+3*SQRT($B$94*(1-$B$94)/H221),"")</f>
        <v/>
      </c>
      <c r="M221" s="13">
        <f>IF(AND(ISNUMBER(J221),ISNUMBER(K221),ISNUMBER(L221)),IF(J221&gt;L221,"boven UCL",IF(J221&lt;K221,"onder LCL","")),"")</f>
        <v/>
      </c>
      <c r="O221" t="n">
        <v>115</v>
      </c>
      <c r="P221" s="7" t="n"/>
      <c r="Q221" s="7" t="n"/>
      <c r="R221" s="11">
        <f>IF(AND(ISNUMBER(P221),ISNUMBER(Q221),P221&gt;0,ISNUMBER($B$100)),Q221/P221,"")</f>
        <v/>
      </c>
      <c r="S221" s="11">
        <f>IF(AND(ISNUMBER(P221),ISNUMBER(Q221),P221&gt;0,ISNUMBER($B$100)),MAX(0,$B$100-3*SQRT($B$100/P221)),"")</f>
        <v/>
      </c>
      <c r="T221" s="11">
        <f>IF(AND(ISNUMBER(P221),ISNUMBER(Q221),P221&gt;0,ISNUMBER($B$100)),$B$100+3*SQRT($B$100/P221),"")</f>
        <v/>
      </c>
      <c r="U221" s="13">
        <f>IF(AND(ISNUMBER(R221),ISNUMBER(S221),ISNUMBER(T221)),IF(R221&gt;T221,"boven UCL",IF(R221&lt;S221,"onder LCL","")),"")</f>
        <v/>
      </c>
    </row>
    <row r="222">
      <c r="A222" t="n">
        <v>116</v>
      </c>
      <c r="B222" s="7" t="n"/>
      <c r="C222" s="11">
        <f>IF(AND(ISNUMBER(B222),ISNUMBER(B221)),ABS(B222-B221),"")</f>
        <v/>
      </c>
      <c r="D222" s="13">
        <f>IF(AND(ISNUMBER(B222),ISNUMBER($B$88),ISNUMBER($D$88)),IF(B222&gt;$D$88,"boven UCL",IF(B222&lt;$B$88,"onder LCL","")),"")</f>
        <v/>
      </c>
      <c r="E222" s="13">
        <f>IF(AND(ISNUMBER(C222),ISNUMBER($B$89),ISNUMBER($D$89)),IF(C222&gt;$D$89,"boven UCL",IF(C222&lt;$B$89,"onder LCL","")),"")</f>
        <v/>
      </c>
      <c r="G222" t="n">
        <v>116</v>
      </c>
      <c r="H222" s="7" t="n"/>
      <c r="I222" s="7" t="n"/>
      <c r="J222" s="11">
        <f>IF(AND(ISNUMBER(H222),ISNUMBER(I222),H222&gt;0,ISNUMBER($B$94)),I222/H222,"")</f>
        <v/>
      </c>
      <c r="K222" s="11">
        <f>IF(AND(ISNUMBER(H222),ISNUMBER(I222),H222&gt;0,ISNUMBER($B$94)),MAX(0,$B$94-3*SQRT($B$94*(1-$B$94)/H222)),"")</f>
        <v/>
      </c>
      <c r="L222" s="11">
        <f>IF(AND(ISNUMBER(H222),ISNUMBER(I222),H222&gt;0,ISNUMBER($B$94)),$B$94+3*SQRT($B$94*(1-$B$94)/H222),"")</f>
        <v/>
      </c>
      <c r="M222" s="13">
        <f>IF(AND(ISNUMBER(J222),ISNUMBER(K222),ISNUMBER(L222)),IF(J222&gt;L222,"boven UCL",IF(J222&lt;K222,"onder LCL","")),"")</f>
        <v/>
      </c>
      <c r="O222" t="n">
        <v>116</v>
      </c>
      <c r="P222" s="7" t="n"/>
      <c r="Q222" s="7" t="n"/>
      <c r="R222" s="11">
        <f>IF(AND(ISNUMBER(P222),ISNUMBER(Q222),P222&gt;0,ISNUMBER($B$100)),Q222/P222,"")</f>
        <v/>
      </c>
      <c r="S222" s="11">
        <f>IF(AND(ISNUMBER(P222),ISNUMBER(Q222),P222&gt;0,ISNUMBER($B$100)),MAX(0,$B$100-3*SQRT($B$100/P222)),"")</f>
        <v/>
      </c>
      <c r="T222" s="11">
        <f>IF(AND(ISNUMBER(P222),ISNUMBER(Q222),P222&gt;0,ISNUMBER($B$100)),$B$100+3*SQRT($B$100/P222),"")</f>
        <v/>
      </c>
      <c r="U222" s="13">
        <f>IF(AND(ISNUMBER(R222),ISNUMBER(S222),ISNUMBER(T222)),IF(R222&gt;T222,"boven UCL",IF(R222&lt;S222,"onder LCL","")),"")</f>
        <v/>
      </c>
    </row>
    <row r="223">
      <c r="A223" t="n">
        <v>117</v>
      </c>
      <c r="B223" s="7" t="n"/>
      <c r="C223" s="11">
        <f>IF(AND(ISNUMBER(B223),ISNUMBER(B222)),ABS(B223-B222),"")</f>
        <v/>
      </c>
      <c r="D223" s="13">
        <f>IF(AND(ISNUMBER(B223),ISNUMBER($B$88),ISNUMBER($D$88)),IF(B223&gt;$D$88,"boven UCL",IF(B223&lt;$B$88,"onder LCL","")),"")</f>
        <v/>
      </c>
      <c r="E223" s="13">
        <f>IF(AND(ISNUMBER(C223),ISNUMBER($B$89),ISNUMBER($D$89)),IF(C223&gt;$D$89,"boven UCL",IF(C223&lt;$B$89,"onder LCL","")),"")</f>
        <v/>
      </c>
      <c r="G223" t="n">
        <v>117</v>
      </c>
      <c r="H223" s="7" t="n"/>
      <c r="I223" s="7" t="n"/>
      <c r="J223" s="11">
        <f>IF(AND(ISNUMBER(H223),ISNUMBER(I223),H223&gt;0,ISNUMBER($B$94)),I223/H223,"")</f>
        <v/>
      </c>
      <c r="K223" s="11">
        <f>IF(AND(ISNUMBER(H223),ISNUMBER(I223),H223&gt;0,ISNUMBER($B$94)),MAX(0,$B$94-3*SQRT($B$94*(1-$B$94)/H223)),"")</f>
        <v/>
      </c>
      <c r="L223" s="11">
        <f>IF(AND(ISNUMBER(H223),ISNUMBER(I223),H223&gt;0,ISNUMBER($B$94)),$B$94+3*SQRT($B$94*(1-$B$94)/H223),"")</f>
        <v/>
      </c>
      <c r="M223" s="13">
        <f>IF(AND(ISNUMBER(J223),ISNUMBER(K223),ISNUMBER(L223)),IF(J223&gt;L223,"boven UCL",IF(J223&lt;K223,"onder LCL","")),"")</f>
        <v/>
      </c>
      <c r="O223" t="n">
        <v>117</v>
      </c>
      <c r="P223" s="7" t="n"/>
      <c r="Q223" s="7" t="n"/>
      <c r="R223" s="11">
        <f>IF(AND(ISNUMBER(P223),ISNUMBER(Q223),P223&gt;0,ISNUMBER($B$100)),Q223/P223,"")</f>
        <v/>
      </c>
      <c r="S223" s="11">
        <f>IF(AND(ISNUMBER(P223),ISNUMBER(Q223),P223&gt;0,ISNUMBER($B$100)),MAX(0,$B$100-3*SQRT($B$100/P223)),"")</f>
        <v/>
      </c>
      <c r="T223" s="11">
        <f>IF(AND(ISNUMBER(P223),ISNUMBER(Q223),P223&gt;0,ISNUMBER($B$100)),$B$100+3*SQRT($B$100/P223),"")</f>
        <v/>
      </c>
      <c r="U223" s="13">
        <f>IF(AND(ISNUMBER(R223),ISNUMBER(S223),ISNUMBER(T223)),IF(R223&gt;T223,"boven UCL",IF(R223&lt;S223,"onder LCL","")),"")</f>
        <v/>
      </c>
    </row>
    <row r="224">
      <c r="A224" t="n">
        <v>118</v>
      </c>
      <c r="B224" s="7" t="n"/>
      <c r="C224" s="11">
        <f>IF(AND(ISNUMBER(B224),ISNUMBER(B223)),ABS(B224-B223),"")</f>
        <v/>
      </c>
      <c r="D224" s="13">
        <f>IF(AND(ISNUMBER(B224),ISNUMBER($B$88),ISNUMBER($D$88)),IF(B224&gt;$D$88,"boven UCL",IF(B224&lt;$B$88,"onder LCL","")),"")</f>
        <v/>
      </c>
      <c r="E224" s="13">
        <f>IF(AND(ISNUMBER(C224),ISNUMBER($B$89),ISNUMBER($D$89)),IF(C224&gt;$D$89,"boven UCL",IF(C224&lt;$B$89,"onder LCL","")),"")</f>
        <v/>
      </c>
      <c r="G224" t="n">
        <v>118</v>
      </c>
      <c r="H224" s="7" t="n"/>
      <c r="I224" s="7" t="n"/>
      <c r="J224" s="11">
        <f>IF(AND(ISNUMBER(H224),ISNUMBER(I224),H224&gt;0,ISNUMBER($B$94)),I224/H224,"")</f>
        <v/>
      </c>
      <c r="K224" s="11">
        <f>IF(AND(ISNUMBER(H224),ISNUMBER(I224),H224&gt;0,ISNUMBER($B$94)),MAX(0,$B$94-3*SQRT($B$94*(1-$B$94)/H224)),"")</f>
        <v/>
      </c>
      <c r="L224" s="11">
        <f>IF(AND(ISNUMBER(H224),ISNUMBER(I224),H224&gt;0,ISNUMBER($B$94)),$B$94+3*SQRT($B$94*(1-$B$94)/H224),"")</f>
        <v/>
      </c>
      <c r="M224" s="13">
        <f>IF(AND(ISNUMBER(J224),ISNUMBER(K224),ISNUMBER(L224)),IF(J224&gt;L224,"boven UCL",IF(J224&lt;K224,"onder LCL","")),"")</f>
        <v/>
      </c>
      <c r="O224" t="n">
        <v>118</v>
      </c>
      <c r="P224" s="7" t="n"/>
      <c r="Q224" s="7" t="n"/>
      <c r="R224" s="11">
        <f>IF(AND(ISNUMBER(P224),ISNUMBER(Q224),P224&gt;0,ISNUMBER($B$100)),Q224/P224,"")</f>
        <v/>
      </c>
      <c r="S224" s="11">
        <f>IF(AND(ISNUMBER(P224),ISNUMBER(Q224),P224&gt;0,ISNUMBER($B$100)),MAX(0,$B$100-3*SQRT($B$100/P224)),"")</f>
        <v/>
      </c>
      <c r="T224" s="11">
        <f>IF(AND(ISNUMBER(P224),ISNUMBER(Q224),P224&gt;0,ISNUMBER($B$100)),$B$100+3*SQRT($B$100/P224),"")</f>
        <v/>
      </c>
      <c r="U224" s="13">
        <f>IF(AND(ISNUMBER(R224),ISNUMBER(S224),ISNUMBER(T224)),IF(R224&gt;T224,"boven UCL",IF(R224&lt;S224,"onder LCL","")),"")</f>
        <v/>
      </c>
    </row>
    <row r="225">
      <c r="A225" t="n">
        <v>119</v>
      </c>
      <c r="B225" s="7" t="n"/>
      <c r="C225" s="11">
        <f>IF(AND(ISNUMBER(B225),ISNUMBER(B224)),ABS(B225-B224),"")</f>
        <v/>
      </c>
      <c r="D225" s="13">
        <f>IF(AND(ISNUMBER(B225),ISNUMBER($B$88),ISNUMBER($D$88)),IF(B225&gt;$D$88,"boven UCL",IF(B225&lt;$B$88,"onder LCL","")),"")</f>
        <v/>
      </c>
      <c r="E225" s="13">
        <f>IF(AND(ISNUMBER(C225),ISNUMBER($B$89),ISNUMBER($D$89)),IF(C225&gt;$D$89,"boven UCL",IF(C225&lt;$B$89,"onder LCL","")),"")</f>
        <v/>
      </c>
      <c r="G225" t="n">
        <v>119</v>
      </c>
      <c r="H225" s="7" t="n"/>
      <c r="I225" s="7" t="n"/>
      <c r="J225" s="11">
        <f>IF(AND(ISNUMBER(H225),ISNUMBER(I225),H225&gt;0,ISNUMBER($B$94)),I225/H225,"")</f>
        <v/>
      </c>
      <c r="K225" s="11">
        <f>IF(AND(ISNUMBER(H225),ISNUMBER(I225),H225&gt;0,ISNUMBER($B$94)),MAX(0,$B$94-3*SQRT($B$94*(1-$B$94)/H225)),"")</f>
        <v/>
      </c>
      <c r="L225" s="11">
        <f>IF(AND(ISNUMBER(H225),ISNUMBER(I225),H225&gt;0,ISNUMBER($B$94)),$B$94+3*SQRT($B$94*(1-$B$94)/H225),"")</f>
        <v/>
      </c>
      <c r="M225" s="13">
        <f>IF(AND(ISNUMBER(J225),ISNUMBER(K225),ISNUMBER(L225)),IF(J225&gt;L225,"boven UCL",IF(J225&lt;K225,"onder LCL","")),"")</f>
        <v/>
      </c>
      <c r="O225" t="n">
        <v>119</v>
      </c>
      <c r="P225" s="7" t="n"/>
      <c r="Q225" s="7" t="n"/>
      <c r="R225" s="11">
        <f>IF(AND(ISNUMBER(P225),ISNUMBER(Q225),P225&gt;0,ISNUMBER($B$100)),Q225/P225,"")</f>
        <v/>
      </c>
      <c r="S225" s="11">
        <f>IF(AND(ISNUMBER(P225),ISNUMBER(Q225),P225&gt;0,ISNUMBER($B$100)),MAX(0,$B$100-3*SQRT($B$100/P225)),"")</f>
        <v/>
      </c>
      <c r="T225" s="11">
        <f>IF(AND(ISNUMBER(P225),ISNUMBER(Q225),P225&gt;0,ISNUMBER($B$100)),$B$100+3*SQRT($B$100/P225),"")</f>
        <v/>
      </c>
      <c r="U225" s="13">
        <f>IF(AND(ISNUMBER(R225),ISNUMBER(S225),ISNUMBER(T225)),IF(R225&gt;T225,"boven UCL",IF(R225&lt;S225,"onder LCL","")),"")</f>
        <v/>
      </c>
    </row>
    <row r="226">
      <c r="A226" t="n">
        <v>120</v>
      </c>
      <c r="B226" s="7" t="n"/>
      <c r="C226" s="11">
        <f>IF(AND(ISNUMBER(B226),ISNUMBER(B225)),ABS(B226-B225),"")</f>
        <v/>
      </c>
      <c r="D226" s="13">
        <f>IF(AND(ISNUMBER(B226),ISNUMBER($B$88),ISNUMBER($D$88)),IF(B226&gt;$D$88,"boven UCL",IF(B226&lt;$B$88,"onder LCL","")),"")</f>
        <v/>
      </c>
      <c r="E226" s="13">
        <f>IF(AND(ISNUMBER(C226),ISNUMBER($B$89),ISNUMBER($D$89)),IF(C226&gt;$D$89,"boven UCL",IF(C226&lt;$B$89,"onder LCL","")),"")</f>
        <v/>
      </c>
      <c r="G226" t="n">
        <v>120</v>
      </c>
      <c r="H226" s="7" t="n"/>
      <c r="I226" s="7" t="n"/>
      <c r="J226" s="11">
        <f>IF(AND(ISNUMBER(H226),ISNUMBER(I226),H226&gt;0,ISNUMBER($B$94)),I226/H226,"")</f>
        <v/>
      </c>
      <c r="K226" s="11">
        <f>IF(AND(ISNUMBER(H226),ISNUMBER(I226),H226&gt;0,ISNUMBER($B$94)),MAX(0,$B$94-3*SQRT($B$94*(1-$B$94)/H226)),"")</f>
        <v/>
      </c>
      <c r="L226" s="11">
        <f>IF(AND(ISNUMBER(H226),ISNUMBER(I226),H226&gt;0,ISNUMBER($B$94)),$B$94+3*SQRT($B$94*(1-$B$94)/H226),"")</f>
        <v/>
      </c>
      <c r="M226" s="13">
        <f>IF(AND(ISNUMBER(J226),ISNUMBER(K226),ISNUMBER(L226)),IF(J226&gt;L226,"boven UCL",IF(J226&lt;K226,"onder LCL","")),"")</f>
        <v/>
      </c>
      <c r="O226" t="n">
        <v>120</v>
      </c>
      <c r="P226" s="7" t="n"/>
      <c r="Q226" s="7" t="n"/>
      <c r="R226" s="11">
        <f>IF(AND(ISNUMBER(P226),ISNUMBER(Q226),P226&gt;0,ISNUMBER($B$100)),Q226/P226,"")</f>
        <v/>
      </c>
      <c r="S226" s="11">
        <f>IF(AND(ISNUMBER(P226),ISNUMBER(Q226),P226&gt;0,ISNUMBER($B$100)),MAX(0,$B$100-3*SQRT($B$100/P226)),"")</f>
        <v/>
      </c>
      <c r="T226" s="11">
        <f>IF(AND(ISNUMBER(P226),ISNUMBER(Q226),P226&gt;0,ISNUMBER($B$100)),$B$100+3*SQRT($B$100/P226),"")</f>
        <v/>
      </c>
      <c r="U226" s="13">
        <f>IF(AND(ISNUMBER(R226),ISNUMBER(S226),ISNUMBER(T226)),IF(R226&gt;T226,"boven UCL",IF(R226&lt;S226,"onder LCL","")),"")</f>
        <v/>
      </c>
    </row>
    <row r="227">
      <c r="A227" t="n">
        <v>121</v>
      </c>
      <c r="B227" s="7" t="n"/>
      <c r="C227" s="11">
        <f>IF(AND(ISNUMBER(B227),ISNUMBER(B226)),ABS(B227-B226),"")</f>
        <v/>
      </c>
      <c r="D227" s="13">
        <f>IF(AND(ISNUMBER(B227),ISNUMBER($B$88),ISNUMBER($D$88)),IF(B227&gt;$D$88,"boven UCL",IF(B227&lt;$B$88,"onder LCL","")),"")</f>
        <v/>
      </c>
      <c r="E227" s="13">
        <f>IF(AND(ISNUMBER(C227),ISNUMBER($B$89),ISNUMBER($D$89)),IF(C227&gt;$D$89,"boven UCL",IF(C227&lt;$B$89,"onder LCL","")),"")</f>
        <v/>
      </c>
      <c r="G227" t="n">
        <v>121</v>
      </c>
      <c r="H227" s="7" t="n"/>
      <c r="I227" s="7" t="n"/>
      <c r="J227" s="11">
        <f>IF(AND(ISNUMBER(H227),ISNUMBER(I227),H227&gt;0,ISNUMBER($B$94)),I227/H227,"")</f>
        <v/>
      </c>
      <c r="K227" s="11">
        <f>IF(AND(ISNUMBER(H227),ISNUMBER(I227),H227&gt;0,ISNUMBER($B$94)),MAX(0,$B$94-3*SQRT($B$94*(1-$B$94)/H227)),"")</f>
        <v/>
      </c>
      <c r="L227" s="11">
        <f>IF(AND(ISNUMBER(H227),ISNUMBER(I227),H227&gt;0,ISNUMBER($B$94)),$B$94+3*SQRT($B$94*(1-$B$94)/H227),"")</f>
        <v/>
      </c>
      <c r="M227" s="13">
        <f>IF(AND(ISNUMBER(J227),ISNUMBER(K227),ISNUMBER(L227)),IF(J227&gt;L227,"boven UCL",IF(J227&lt;K227,"onder LCL","")),"")</f>
        <v/>
      </c>
      <c r="O227" t="n">
        <v>121</v>
      </c>
      <c r="P227" s="7" t="n"/>
      <c r="Q227" s="7" t="n"/>
      <c r="R227" s="11">
        <f>IF(AND(ISNUMBER(P227),ISNUMBER(Q227),P227&gt;0,ISNUMBER($B$100)),Q227/P227,"")</f>
        <v/>
      </c>
      <c r="S227" s="11">
        <f>IF(AND(ISNUMBER(P227),ISNUMBER(Q227),P227&gt;0,ISNUMBER($B$100)),MAX(0,$B$100-3*SQRT($B$100/P227)),"")</f>
        <v/>
      </c>
      <c r="T227" s="11">
        <f>IF(AND(ISNUMBER(P227),ISNUMBER(Q227),P227&gt;0,ISNUMBER($B$100)),$B$100+3*SQRT($B$100/P227),"")</f>
        <v/>
      </c>
      <c r="U227" s="13">
        <f>IF(AND(ISNUMBER(R227),ISNUMBER(S227),ISNUMBER(T227)),IF(R227&gt;T227,"boven UCL",IF(R227&lt;S227,"onder LCL","")),"")</f>
        <v/>
      </c>
    </row>
    <row r="228">
      <c r="A228" t="n">
        <v>122</v>
      </c>
      <c r="B228" s="7" t="n"/>
      <c r="C228" s="11">
        <f>IF(AND(ISNUMBER(B228),ISNUMBER(B227)),ABS(B228-B227),"")</f>
        <v/>
      </c>
      <c r="D228" s="13">
        <f>IF(AND(ISNUMBER(B228),ISNUMBER($B$88),ISNUMBER($D$88)),IF(B228&gt;$D$88,"boven UCL",IF(B228&lt;$B$88,"onder LCL","")),"")</f>
        <v/>
      </c>
      <c r="E228" s="13">
        <f>IF(AND(ISNUMBER(C228),ISNUMBER($B$89),ISNUMBER($D$89)),IF(C228&gt;$D$89,"boven UCL",IF(C228&lt;$B$89,"onder LCL","")),"")</f>
        <v/>
      </c>
      <c r="G228" t="n">
        <v>122</v>
      </c>
      <c r="H228" s="7" t="n"/>
      <c r="I228" s="7" t="n"/>
      <c r="J228" s="11">
        <f>IF(AND(ISNUMBER(H228),ISNUMBER(I228),H228&gt;0,ISNUMBER($B$94)),I228/H228,"")</f>
        <v/>
      </c>
      <c r="K228" s="11">
        <f>IF(AND(ISNUMBER(H228),ISNUMBER(I228),H228&gt;0,ISNUMBER($B$94)),MAX(0,$B$94-3*SQRT($B$94*(1-$B$94)/H228)),"")</f>
        <v/>
      </c>
      <c r="L228" s="11">
        <f>IF(AND(ISNUMBER(H228),ISNUMBER(I228),H228&gt;0,ISNUMBER($B$94)),$B$94+3*SQRT($B$94*(1-$B$94)/H228),"")</f>
        <v/>
      </c>
      <c r="M228" s="13">
        <f>IF(AND(ISNUMBER(J228),ISNUMBER(K228),ISNUMBER(L228)),IF(J228&gt;L228,"boven UCL",IF(J228&lt;K228,"onder LCL","")),"")</f>
        <v/>
      </c>
      <c r="O228" t="n">
        <v>122</v>
      </c>
      <c r="P228" s="7" t="n"/>
      <c r="Q228" s="7" t="n"/>
      <c r="R228" s="11">
        <f>IF(AND(ISNUMBER(P228),ISNUMBER(Q228),P228&gt;0,ISNUMBER($B$100)),Q228/P228,"")</f>
        <v/>
      </c>
      <c r="S228" s="11">
        <f>IF(AND(ISNUMBER(P228),ISNUMBER(Q228),P228&gt;0,ISNUMBER($B$100)),MAX(0,$B$100-3*SQRT($B$100/P228)),"")</f>
        <v/>
      </c>
      <c r="T228" s="11">
        <f>IF(AND(ISNUMBER(P228),ISNUMBER(Q228),P228&gt;0,ISNUMBER($B$100)),$B$100+3*SQRT($B$100/P228),"")</f>
        <v/>
      </c>
      <c r="U228" s="13">
        <f>IF(AND(ISNUMBER(R228),ISNUMBER(S228),ISNUMBER(T228)),IF(R228&gt;T228,"boven UCL",IF(R228&lt;S228,"onder LCL","")),"")</f>
        <v/>
      </c>
    </row>
    <row r="229">
      <c r="A229" t="n">
        <v>123</v>
      </c>
      <c r="B229" s="7" t="n"/>
      <c r="C229" s="11">
        <f>IF(AND(ISNUMBER(B229),ISNUMBER(B228)),ABS(B229-B228),"")</f>
        <v/>
      </c>
      <c r="D229" s="13">
        <f>IF(AND(ISNUMBER(B229),ISNUMBER($B$88),ISNUMBER($D$88)),IF(B229&gt;$D$88,"boven UCL",IF(B229&lt;$B$88,"onder LCL","")),"")</f>
        <v/>
      </c>
      <c r="E229" s="13">
        <f>IF(AND(ISNUMBER(C229),ISNUMBER($B$89),ISNUMBER($D$89)),IF(C229&gt;$D$89,"boven UCL",IF(C229&lt;$B$89,"onder LCL","")),"")</f>
        <v/>
      </c>
      <c r="G229" t="n">
        <v>123</v>
      </c>
      <c r="H229" s="7" t="n"/>
      <c r="I229" s="7" t="n"/>
      <c r="J229" s="11">
        <f>IF(AND(ISNUMBER(H229),ISNUMBER(I229),H229&gt;0,ISNUMBER($B$94)),I229/H229,"")</f>
        <v/>
      </c>
      <c r="K229" s="11">
        <f>IF(AND(ISNUMBER(H229),ISNUMBER(I229),H229&gt;0,ISNUMBER($B$94)),MAX(0,$B$94-3*SQRT($B$94*(1-$B$94)/H229)),"")</f>
        <v/>
      </c>
      <c r="L229" s="11">
        <f>IF(AND(ISNUMBER(H229),ISNUMBER(I229),H229&gt;0,ISNUMBER($B$94)),$B$94+3*SQRT($B$94*(1-$B$94)/H229),"")</f>
        <v/>
      </c>
      <c r="M229" s="13">
        <f>IF(AND(ISNUMBER(J229),ISNUMBER(K229),ISNUMBER(L229)),IF(J229&gt;L229,"boven UCL",IF(J229&lt;K229,"onder LCL","")),"")</f>
        <v/>
      </c>
      <c r="O229" t="n">
        <v>123</v>
      </c>
      <c r="P229" s="7" t="n"/>
      <c r="Q229" s="7" t="n"/>
      <c r="R229" s="11">
        <f>IF(AND(ISNUMBER(P229),ISNUMBER(Q229),P229&gt;0,ISNUMBER($B$100)),Q229/P229,"")</f>
        <v/>
      </c>
      <c r="S229" s="11">
        <f>IF(AND(ISNUMBER(P229),ISNUMBER(Q229),P229&gt;0,ISNUMBER($B$100)),MAX(0,$B$100-3*SQRT($B$100/P229)),"")</f>
        <v/>
      </c>
      <c r="T229" s="11">
        <f>IF(AND(ISNUMBER(P229),ISNUMBER(Q229),P229&gt;0,ISNUMBER($B$100)),$B$100+3*SQRT($B$100/P229),"")</f>
        <v/>
      </c>
      <c r="U229" s="13">
        <f>IF(AND(ISNUMBER(R229),ISNUMBER(S229),ISNUMBER(T229)),IF(R229&gt;T229,"boven UCL",IF(R229&lt;S229,"onder LCL","")),"")</f>
        <v/>
      </c>
    </row>
    <row r="230">
      <c r="A230" t="n">
        <v>124</v>
      </c>
      <c r="B230" s="7" t="n"/>
      <c r="C230" s="11">
        <f>IF(AND(ISNUMBER(B230),ISNUMBER(B229)),ABS(B230-B229),"")</f>
        <v/>
      </c>
      <c r="D230" s="13">
        <f>IF(AND(ISNUMBER(B230),ISNUMBER($B$88),ISNUMBER($D$88)),IF(B230&gt;$D$88,"boven UCL",IF(B230&lt;$B$88,"onder LCL","")),"")</f>
        <v/>
      </c>
      <c r="E230" s="13">
        <f>IF(AND(ISNUMBER(C230),ISNUMBER($B$89),ISNUMBER($D$89)),IF(C230&gt;$D$89,"boven UCL",IF(C230&lt;$B$89,"onder LCL","")),"")</f>
        <v/>
      </c>
      <c r="G230" t="n">
        <v>124</v>
      </c>
      <c r="H230" s="7" t="n"/>
      <c r="I230" s="7" t="n"/>
      <c r="J230" s="11">
        <f>IF(AND(ISNUMBER(H230),ISNUMBER(I230),H230&gt;0,ISNUMBER($B$94)),I230/H230,"")</f>
        <v/>
      </c>
      <c r="K230" s="11">
        <f>IF(AND(ISNUMBER(H230),ISNUMBER(I230),H230&gt;0,ISNUMBER($B$94)),MAX(0,$B$94-3*SQRT($B$94*(1-$B$94)/H230)),"")</f>
        <v/>
      </c>
      <c r="L230" s="11">
        <f>IF(AND(ISNUMBER(H230),ISNUMBER(I230),H230&gt;0,ISNUMBER($B$94)),$B$94+3*SQRT($B$94*(1-$B$94)/H230),"")</f>
        <v/>
      </c>
      <c r="M230" s="13">
        <f>IF(AND(ISNUMBER(J230),ISNUMBER(K230),ISNUMBER(L230)),IF(J230&gt;L230,"boven UCL",IF(J230&lt;K230,"onder LCL","")),"")</f>
        <v/>
      </c>
      <c r="O230" t="n">
        <v>124</v>
      </c>
      <c r="P230" s="7" t="n"/>
      <c r="Q230" s="7" t="n"/>
      <c r="R230" s="11">
        <f>IF(AND(ISNUMBER(P230),ISNUMBER(Q230),P230&gt;0,ISNUMBER($B$100)),Q230/P230,"")</f>
        <v/>
      </c>
      <c r="S230" s="11">
        <f>IF(AND(ISNUMBER(P230),ISNUMBER(Q230),P230&gt;0,ISNUMBER($B$100)),MAX(0,$B$100-3*SQRT($B$100/P230)),"")</f>
        <v/>
      </c>
      <c r="T230" s="11">
        <f>IF(AND(ISNUMBER(P230),ISNUMBER(Q230),P230&gt;0,ISNUMBER($B$100)),$B$100+3*SQRT($B$100/P230),"")</f>
        <v/>
      </c>
      <c r="U230" s="13">
        <f>IF(AND(ISNUMBER(R230),ISNUMBER(S230),ISNUMBER(T230)),IF(R230&gt;T230,"boven UCL",IF(R230&lt;S230,"onder LCL","")),"")</f>
        <v/>
      </c>
    </row>
    <row r="231">
      <c r="A231" t="n">
        <v>125</v>
      </c>
      <c r="B231" s="7" t="n"/>
      <c r="C231" s="11">
        <f>IF(AND(ISNUMBER(B231),ISNUMBER(B230)),ABS(B231-B230),"")</f>
        <v/>
      </c>
      <c r="D231" s="13">
        <f>IF(AND(ISNUMBER(B231),ISNUMBER($B$88),ISNUMBER($D$88)),IF(B231&gt;$D$88,"boven UCL",IF(B231&lt;$B$88,"onder LCL","")),"")</f>
        <v/>
      </c>
      <c r="E231" s="13">
        <f>IF(AND(ISNUMBER(C231),ISNUMBER($B$89),ISNUMBER($D$89)),IF(C231&gt;$D$89,"boven UCL",IF(C231&lt;$B$89,"onder LCL","")),"")</f>
        <v/>
      </c>
      <c r="G231" t="n">
        <v>125</v>
      </c>
      <c r="H231" s="7" t="n"/>
      <c r="I231" s="7" t="n"/>
      <c r="J231" s="11">
        <f>IF(AND(ISNUMBER(H231),ISNUMBER(I231),H231&gt;0,ISNUMBER($B$94)),I231/H231,"")</f>
        <v/>
      </c>
      <c r="K231" s="11">
        <f>IF(AND(ISNUMBER(H231),ISNUMBER(I231),H231&gt;0,ISNUMBER($B$94)),MAX(0,$B$94-3*SQRT($B$94*(1-$B$94)/H231)),"")</f>
        <v/>
      </c>
      <c r="L231" s="11">
        <f>IF(AND(ISNUMBER(H231),ISNUMBER(I231),H231&gt;0,ISNUMBER($B$94)),$B$94+3*SQRT($B$94*(1-$B$94)/H231),"")</f>
        <v/>
      </c>
      <c r="M231" s="13">
        <f>IF(AND(ISNUMBER(J231),ISNUMBER(K231),ISNUMBER(L231)),IF(J231&gt;L231,"boven UCL",IF(J231&lt;K231,"onder LCL","")),"")</f>
        <v/>
      </c>
      <c r="O231" t="n">
        <v>125</v>
      </c>
      <c r="P231" s="7" t="n"/>
      <c r="Q231" s="7" t="n"/>
      <c r="R231" s="11">
        <f>IF(AND(ISNUMBER(P231),ISNUMBER(Q231),P231&gt;0,ISNUMBER($B$100)),Q231/P231,"")</f>
        <v/>
      </c>
      <c r="S231" s="11">
        <f>IF(AND(ISNUMBER(P231),ISNUMBER(Q231),P231&gt;0,ISNUMBER($B$100)),MAX(0,$B$100-3*SQRT($B$100/P231)),"")</f>
        <v/>
      </c>
      <c r="T231" s="11">
        <f>IF(AND(ISNUMBER(P231),ISNUMBER(Q231),P231&gt;0,ISNUMBER($B$100)),$B$100+3*SQRT($B$100/P231),"")</f>
        <v/>
      </c>
      <c r="U231" s="13">
        <f>IF(AND(ISNUMBER(R231),ISNUMBER(S231),ISNUMBER(T231)),IF(R231&gt;T231,"boven UCL",IF(R231&lt;S231,"onder LCL","")),"")</f>
        <v/>
      </c>
    </row>
    <row r="232">
      <c r="A232" t="n">
        <v>126</v>
      </c>
      <c r="B232" s="7" t="n"/>
      <c r="C232" s="11">
        <f>IF(AND(ISNUMBER(B232),ISNUMBER(B231)),ABS(B232-B231),"")</f>
        <v/>
      </c>
      <c r="D232" s="13">
        <f>IF(AND(ISNUMBER(B232),ISNUMBER($B$88),ISNUMBER($D$88)),IF(B232&gt;$D$88,"boven UCL",IF(B232&lt;$B$88,"onder LCL","")),"")</f>
        <v/>
      </c>
      <c r="E232" s="13">
        <f>IF(AND(ISNUMBER(C232),ISNUMBER($B$89),ISNUMBER($D$89)),IF(C232&gt;$D$89,"boven UCL",IF(C232&lt;$B$89,"onder LCL","")),"")</f>
        <v/>
      </c>
      <c r="G232" t="n">
        <v>126</v>
      </c>
      <c r="H232" s="7" t="n"/>
      <c r="I232" s="7" t="n"/>
      <c r="J232" s="11">
        <f>IF(AND(ISNUMBER(H232),ISNUMBER(I232),H232&gt;0,ISNUMBER($B$94)),I232/H232,"")</f>
        <v/>
      </c>
      <c r="K232" s="11">
        <f>IF(AND(ISNUMBER(H232),ISNUMBER(I232),H232&gt;0,ISNUMBER($B$94)),MAX(0,$B$94-3*SQRT($B$94*(1-$B$94)/H232)),"")</f>
        <v/>
      </c>
      <c r="L232" s="11">
        <f>IF(AND(ISNUMBER(H232),ISNUMBER(I232),H232&gt;0,ISNUMBER($B$94)),$B$94+3*SQRT($B$94*(1-$B$94)/H232),"")</f>
        <v/>
      </c>
      <c r="M232" s="13">
        <f>IF(AND(ISNUMBER(J232),ISNUMBER(K232),ISNUMBER(L232)),IF(J232&gt;L232,"boven UCL",IF(J232&lt;K232,"onder LCL","")),"")</f>
        <v/>
      </c>
      <c r="O232" t="n">
        <v>126</v>
      </c>
      <c r="P232" s="7" t="n"/>
      <c r="Q232" s="7" t="n"/>
      <c r="R232" s="11">
        <f>IF(AND(ISNUMBER(P232),ISNUMBER(Q232),P232&gt;0,ISNUMBER($B$100)),Q232/P232,"")</f>
        <v/>
      </c>
      <c r="S232" s="11">
        <f>IF(AND(ISNUMBER(P232),ISNUMBER(Q232),P232&gt;0,ISNUMBER($B$100)),MAX(0,$B$100-3*SQRT($B$100/P232)),"")</f>
        <v/>
      </c>
      <c r="T232" s="11">
        <f>IF(AND(ISNUMBER(P232),ISNUMBER(Q232),P232&gt;0,ISNUMBER($B$100)),$B$100+3*SQRT($B$100/P232),"")</f>
        <v/>
      </c>
      <c r="U232" s="13">
        <f>IF(AND(ISNUMBER(R232),ISNUMBER(S232),ISNUMBER(T232)),IF(R232&gt;T232,"boven UCL",IF(R232&lt;S232,"onder LCL","")),"")</f>
        <v/>
      </c>
    </row>
    <row r="233">
      <c r="A233" t="n">
        <v>127</v>
      </c>
      <c r="B233" s="7" t="n"/>
      <c r="C233" s="11">
        <f>IF(AND(ISNUMBER(B233),ISNUMBER(B232)),ABS(B233-B232),"")</f>
        <v/>
      </c>
      <c r="D233" s="13">
        <f>IF(AND(ISNUMBER(B233),ISNUMBER($B$88),ISNUMBER($D$88)),IF(B233&gt;$D$88,"boven UCL",IF(B233&lt;$B$88,"onder LCL","")),"")</f>
        <v/>
      </c>
      <c r="E233" s="13">
        <f>IF(AND(ISNUMBER(C233),ISNUMBER($B$89),ISNUMBER($D$89)),IF(C233&gt;$D$89,"boven UCL",IF(C233&lt;$B$89,"onder LCL","")),"")</f>
        <v/>
      </c>
      <c r="G233" t="n">
        <v>127</v>
      </c>
      <c r="H233" s="7" t="n"/>
      <c r="I233" s="7" t="n"/>
      <c r="J233" s="11">
        <f>IF(AND(ISNUMBER(H233),ISNUMBER(I233),H233&gt;0,ISNUMBER($B$94)),I233/H233,"")</f>
        <v/>
      </c>
      <c r="K233" s="11">
        <f>IF(AND(ISNUMBER(H233),ISNUMBER(I233),H233&gt;0,ISNUMBER($B$94)),MAX(0,$B$94-3*SQRT($B$94*(1-$B$94)/H233)),"")</f>
        <v/>
      </c>
      <c r="L233" s="11">
        <f>IF(AND(ISNUMBER(H233),ISNUMBER(I233),H233&gt;0,ISNUMBER($B$94)),$B$94+3*SQRT($B$94*(1-$B$94)/H233),"")</f>
        <v/>
      </c>
      <c r="M233" s="13">
        <f>IF(AND(ISNUMBER(J233),ISNUMBER(K233),ISNUMBER(L233)),IF(J233&gt;L233,"boven UCL",IF(J233&lt;K233,"onder LCL","")),"")</f>
        <v/>
      </c>
      <c r="O233" t="n">
        <v>127</v>
      </c>
      <c r="P233" s="7" t="n"/>
      <c r="Q233" s="7" t="n"/>
      <c r="R233" s="11">
        <f>IF(AND(ISNUMBER(P233),ISNUMBER(Q233),P233&gt;0,ISNUMBER($B$100)),Q233/P233,"")</f>
        <v/>
      </c>
      <c r="S233" s="11">
        <f>IF(AND(ISNUMBER(P233),ISNUMBER(Q233),P233&gt;0,ISNUMBER($B$100)),MAX(0,$B$100-3*SQRT($B$100/P233)),"")</f>
        <v/>
      </c>
      <c r="T233" s="11">
        <f>IF(AND(ISNUMBER(P233),ISNUMBER(Q233),P233&gt;0,ISNUMBER($B$100)),$B$100+3*SQRT($B$100/P233),"")</f>
        <v/>
      </c>
      <c r="U233" s="13">
        <f>IF(AND(ISNUMBER(R233),ISNUMBER(S233),ISNUMBER(T233)),IF(R233&gt;T233,"boven UCL",IF(R233&lt;S233,"onder LCL","")),"")</f>
        <v/>
      </c>
    </row>
    <row r="234">
      <c r="A234" t="n">
        <v>128</v>
      </c>
      <c r="B234" s="7" t="n"/>
      <c r="C234" s="11">
        <f>IF(AND(ISNUMBER(B234),ISNUMBER(B233)),ABS(B234-B233),"")</f>
        <v/>
      </c>
      <c r="D234" s="13">
        <f>IF(AND(ISNUMBER(B234),ISNUMBER($B$88),ISNUMBER($D$88)),IF(B234&gt;$D$88,"boven UCL",IF(B234&lt;$B$88,"onder LCL","")),"")</f>
        <v/>
      </c>
      <c r="E234" s="13">
        <f>IF(AND(ISNUMBER(C234),ISNUMBER($B$89),ISNUMBER($D$89)),IF(C234&gt;$D$89,"boven UCL",IF(C234&lt;$B$89,"onder LCL","")),"")</f>
        <v/>
      </c>
      <c r="G234" t="n">
        <v>128</v>
      </c>
      <c r="H234" s="7" t="n"/>
      <c r="I234" s="7" t="n"/>
      <c r="J234" s="11">
        <f>IF(AND(ISNUMBER(H234),ISNUMBER(I234),H234&gt;0,ISNUMBER($B$94)),I234/H234,"")</f>
        <v/>
      </c>
      <c r="K234" s="11">
        <f>IF(AND(ISNUMBER(H234),ISNUMBER(I234),H234&gt;0,ISNUMBER($B$94)),MAX(0,$B$94-3*SQRT($B$94*(1-$B$94)/H234)),"")</f>
        <v/>
      </c>
      <c r="L234" s="11">
        <f>IF(AND(ISNUMBER(H234),ISNUMBER(I234),H234&gt;0,ISNUMBER($B$94)),$B$94+3*SQRT($B$94*(1-$B$94)/H234),"")</f>
        <v/>
      </c>
      <c r="M234" s="13">
        <f>IF(AND(ISNUMBER(J234),ISNUMBER(K234),ISNUMBER(L234)),IF(J234&gt;L234,"boven UCL",IF(J234&lt;K234,"onder LCL","")),"")</f>
        <v/>
      </c>
      <c r="O234" t="n">
        <v>128</v>
      </c>
      <c r="P234" s="7" t="n"/>
      <c r="Q234" s="7" t="n"/>
      <c r="R234" s="11">
        <f>IF(AND(ISNUMBER(P234),ISNUMBER(Q234),P234&gt;0,ISNUMBER($B$100)),Q234/P234,"")</f>
        <v/>
      </c>
      <c r="S234" s="11">
        <f>IF(AND(ISNUMBER(P234),ISNUMBER(Q234),P234&gt;0,ISNUMBER($B$100)),MAX(0,$B$100-3*SQRT($B$100/P234)),"")</f>
        <v/>
      </c>
      <c r="T234" s="11">
        <f>IF(AND(ISNUMBER(P234),ISNUMBER(Q234),P234&gt;0,ISNUMBER($B$100)),$B$100+3*SQRT($B$100/P234),"")</f>
        <v/>
      </c>
      <c r="U234" s="13">
        <f>IF(AND(ISNUMBER(R234),ISNUMBER(S234),ISNUMBER(T234)),IF(R234&gt;T234,"boven UCL",IF(R234&lt;S234,"onder LCL","")),"")</f>
        <v/>
      </c>
    </row>
    <row r="235">
      <c r="A235" t="n">
        <v>129</v>
      </c>
      <c r="B235" s="7" t="n"/>
      <c r="C235" s="11">
        <f>IF(AND(ISNUMBER(B235),ISNUMBER(B234)),ABS(B235-B234),"")</f>
        <v/>
      </c>
      <c r="D235" s="13">
        <f>IF(AND(ISNUMBER(B235),ISNUMBER($B$88),ISNUMBER($D$88)),IF(B235&gt;$D$88,"boven UCL",IF(B235&lt;$B$88,"onder LCL","")),"")</f>
        <v/>
      </c>
      <c r="E235" s="13">
        <f>IF(AND(ISNUMBER(C235),ISNUMBER($B$89),ISNUMBER($D$89)),IF(C235&gt;$D$89,"boven UCL",IF(C235&lt;$B$89,"onder LCL","")),"")</f>
        <v/>
      </c>
      <c r="G235" t="n">
        <v>129</v>
      </c>
      <c r="H235" s="7" t="n"/>
      <c r="I235" s="7" t="n"/>
      <c r="J235" s="11">
        <f>IF(AND(ISNUMBER(H235),ISNUMBER(I235),H235&gt;0,ISNUMBER($B$94)),I235/H235,"")</f>
        <v/>
      </c>
      <c r="K235" s="11">
        <f>IF(AND(ISNUMBER(H235),ISNUMBER(I235),H235&gt;0,ISNUMBER($B$94)),MAX(0,$B$94-3*SQRT($B$94*(1-$B$94)/H235)),"")</f>
        <v/>
      </c>
      <c r="L235" s="11">
        <f>IF(AND(ISNUMBER(H235),ISNUMBER(I235),H235&gt;0,ISNUMBER($B$94)),$B$94+3*SQRT($B$94*(1-$B$94)/H235),"")</f>
        <v/>
      </c>
      <c r="M235" s="13">
        <f>IF(AND(ISNUMBER(J235),ISNUMBER(K235),ISNUMBER(L235)),IF(J235&gt;L235,"boven UCL",IF(J235&lt;K235,"onder LCL","")),"")</f>
        <v/>
      </c>
      <c r="O235" t="n">
        <v>129</v>
      </c>
      <c r="P235" s="7" t="n"/>
      <c r="Q235" s="7" t="n"/>
      <c r="R235" s="11">
        <f>IF(AND(ISNUMBER(P235),ISNUMBER(Q235),P235&gt;0,ISNUMBER($B$100)),Q235/P235,"")</f>
        <v/>
      </c>
      <c r="S235" s="11">
        <f>IF(AND(ISNUMBER(P235),ISNUMBER(Q235),P235&gt;0,ISNUMBER($B$100)),MAX(0,$B$100-3*SQRT($B$100/P235)),"")</f>
        <v/>
      </c>
      <c r="T235" s="11">
        <f>IF(AND(ISNUMBER(P235),ISNUMBER(Q235),P235&gt;0,ISNUMBER($B$100)),$B$100+3*SQRT($B$100/P235),"")</f>
        <v/>
      </c>
      <c r="U235" s="13">
        <f>IF(AND(ISNUMBER(R235),ISNUMBER(S235),ISNUMBER(T235)),IF(R235&gt;T235,"boven UCL",IF(R235&lt;S235,"onder LCL","")),"")</f>
        <v/>
      </c>
    </row>
    <row r="236">
      <c r="A236" t="n">
        <v>130</v>
      </c>
      <c r="B236" s="7" t="n"/>
      <c r="C236" s="11">
        <f>IF(AND(ISNUMBER(B236),ISNUMBER(B235)),ABS(B236-B235),"")</f>
        <v/>
      </c>
      <c r="D236" s="13">
        <f>IF(AND(ISNUMBER(B236),ISNUMBER($B$88),ISNUMBER($D$88)),IF(B236&gt;$D$88,"boven UCL",IF(B236&lt;$B$88,"onder LCL","")),"")</f>
        <v/>
      </c>
      <c r="E236" s="13">
        <f>IF(AND(ISNUMBER(C236),ISNUMBER($B$89),ISNUMBER($D$89)),IF(C236&gt;$D$89,"boven UCL",IF(C236&lt;$B$89,"onder LCL","")),"")</f>
        <v/>
      </c>
      <c r="G236" t="n">
        <v>130</v>
      </c>
      <c r="H236" s="7" t="n"/>
      <c r="I236" s="7" t="n"/>
      <c r="J236" s="11">
        <f>IF(AND(ISNUMBER(H236),ISNUMBER(I236),H236&gt;0,ISNUMBER($B$94)),I236/H236,"")</f>
        <v/>
      </c>
      <c r="K236" s="11">
        <f>IF(AND(ISNUMBER(H236),ISNUMBER(I236),H236&gt;0,ISNUMBER($B$94)),MAX(0,$B$94-3*SQRT($B$94*(1-$B$94)/H236)),"")</f>
        <v/>
      </c>
      <c r="L236" s="11">
        <f>IF(AND(ISNUMBER(H236),ISNUMBER(I236),H236&gt;0,ISNUMBER($B$94)),$B$94+3*SQRT($B$94*(1-$B$94)/H236),"")</f>
        <v/>
      </c>
      <c r="M236" s="13">
        <f>IF(AND(ISNUMBER(J236),ISNUMBER(K236),ISNUMBER(L236)),IF(J236&gt;L236,"boven UCL",IF(J236&lt;K236,"onder LCL","")),"")</f>
        <v/>
      </c>
      <c r="O236" t="n">
        <v>130</v>
      </c>
      <c r="P236" s="7" t="n"/>
      <c r="Q236" s="7" t="n"/>
      <c r="R236" s="11">
        <f>IF(AND(ISNUMBER(P236),ISNUMBER(Q236),P236&gt;0,ISNUMBER($B$100)),Q236/P236,"")</f>
        <v/>
      </c>
      <c r="S236" s="11">
        <f>IF(AND(ISNUMBER(P236),ISNUMBER(Q236),P236&gt;0,ISNUMBER($B$100)),MAX(0,$B$100-3*SQRT($B$100/P236)),"")</f>
        <v/>
      </c>
      <c r="T236" s="11">
        <f>IF(AND(ISNUMBER(P236),ISNUMBER(Q236),P236&gt;0,ISNUMBER($B$100)),$B$100+3*SQRT($B$100/P236),"")</f>
        <v/>
      </c>
      <c r="U236" s="13">
        <f>IF(AND(ISNUMBER(R236),ISNUMBER(S236),ISNUMBER(T236)),IF(R236&gt;T236,"boven UCL",IF(R236&lt;S236,"onder LCL","")),"")</f>
        <v/>
      </c>
    </row>
    <row r="237">
      <c r="A237" t="n">
        <v>131</v>
      </c>
      <c r="B237" s="7" t="n"/>
      <c r="C237" s="11">
        <f>IF(AND(ISNUMBER(B237),ISNUMBER(B236)),ABS(B237-B236),"")</f>
        <v/>
      </c>
      <c r="D237" s="13">
        <f>IF(AND(ISNUMBER(B237),ISNUMBER($B$88),ISNUMBER($D$88)),IF(B237&gt;$D$88,"boven UCL",IF(B237&lt;$B$88,"onder LCL","")),"")</f>
        <v/>
      </c>
      <c r="E237" s="13">
        <f>IF(AND(ISNUMBER(C237),ISNUMBER($B$89),ISNUMBER($D$89)),IF(C237&gt;$D$89,"boven UCL",IF(C237&lt;$B$89,"onder LCL","")),"")</f>
        <v/>
      </c>
      <c r="G237" t="n">
        <v>131</v>
      </c>
      <c r="H237" s="7" t="n"/>
      <c r="I237" s="7" t="n"/>
      <c r="J237" s="11">
        <f>IF(AND(ISNUMBER(H237),ISNUMBER(I237),H237&gt;0,ISNUMBER($B$94)),I237/H237,"")</f>
        <v/>
      </c>
      <c r="K237" s="11">
        <f>IF(AND(ISNUMBER(H237),ISNUMBER(I237),H237&gt;0,ISNUMBER($B$94)),MAX(0,$B$94-3*SQRT($B$94*(1-$B$94)/H237)),"")</f>
        <v/>
      </c>
      <c r="L237" s="11">
        <f>IF(AND(ISNUMBER(H237),ISNUMBER(I237),H237&gt;0,ISNUMBER($B$94)),$B$94+3*SQRT($B$94*(1-$B$94)/H237),"")</f>
        <v/>
      </c>
      <c r="M237" s="13">
        <f>IF(AND(ISNUMBER(J237),ISNUMBER(K237),ISNUMBER(L237)),IF(J237&gt;L237,"boven UCL",IF(J237&lt;K237,"onder LCL","")),"")</f>
        <v/>
      </c>
      <c r="O237" t="n">
        <v>131</v>
      </c>
      <c r="P237" s="7" t="n"/>
      <c r="Q237" s="7" t="n"/>
      <c r="R237" s="11">
        <f>IF(AND(ISNUMBER(P237),ISNUMBER(Q237),P237&gt;0,ISNUMBER($B$100)),Q237/P237,"")</f>
        <v/>
      </c>
      <c r="S237" s="11">
        <f>IF(AND(ISNUMBER(P237),ISNUMBER(Q237),P237&gt;0,ISNUMBER($B$100)),MAX(0,$B$100-3*SQRT($B$100/P237)),"")</f>
        <v/>
      </c>
      <c r="T237" s="11">
        <f>IF(AND(ISNUMBER(P237),ISNUMBER(Q237),P237&gt;0,ISNUMBER($B$100)),$B$100+3*SQRT($B$100/P237),"")</f>
        <v/>
      </c>
      <c r="U237" s="13">
        <f>IF(AND(ISNUMBER(R237),ISNUMBER(S237),ISNUMBER(T237)),IF(R237&gt;T237,"boven UCL",IF(R237&lt;S237,"onder LCL","")),"")</f>
        <v/>
      </c>
    </row>
    <row r="238">
      <c r="A238" t="n">
        <v>132</v>
      </c>
      <c r="B238" s="7" t="n"/>
      <c r="C238" s="11">
        <f>IF(AND(ISNUMBER(B238),ISNUMBER(B237)),ABS(B238-B237),"")</f>
        <v/>
      </c>
      <c r="D238" s="13">
        <f>IF(AND(ISNUMBER(B238),ISNUMBER($B$88),ISNUMBER($D$88)),IF(B238&gt;$D$88,"boven UCL",IF(B238&lt;$B$88,"onder LCL","")),"")</f>
        <v/>
      </c>
      <c r="E238" s="13">
        <f>IF(AND(ISNUMBER(C238),ISNUMBER($B$89),ISNUMBER($D$89)),IF(C238&gt;$D$89,"boven UCL",IF(C238&lt;$B$89,"onder LCL","")),"")</f>
        <v/>
      </c>
      <c r="G238" t="n">
        <v>132</v>
      </c>
      <c r="H238" s="7" t="n"/>
      <c r="I238" s="7" t="n"/>
      <c r="J238" s="11">
        <f>IF(AND(ISNUMBER(H238),ISNUMBER(I238),H238&gt;0,ISNUMBER($B$94)),I238/H238,"")</f>
        <v/>
      </c>
      <c r="K238" s="11">
        <f>IF(AND(ISNUMBER(H238),ISNUMBER(I238),H238&gt;0,ISNUMBER($B$94)),MAX(0,$B$94-3*SQRT($B$94*(1-$B$94)/H238)),"")</f>
        <v/>
      </c>
      <c r="L238" s="11">
        <f>IF(AND(ISNUMBER(H238),ISNUMBER(I238),H238&gt;0,ISNUMBER($B$94)),$B$94+3*SQRT($B$94*(1-$B$94)/H238),"")</f>
        <v/>
      </c>
      <c r="M238" s="13">
        <f>IF(AND(ISNUMBER(J238),ISNUMBER(K238),ISNUMBER(L238)),IF(J238&gt;L238,"boven UCL",IF(J238&lt;K238,"onder LCL","")),"")</f>
        <v/>
      </c>
      <c r="O238" t="n">
        <v>132</v>
      </c>
      <c r="P238" s="7" t="n"/>
      <c r="Q238" s="7" t="n"/>
      <c r="R238" s="11">
        <f>IF(AND(ISNUMBER(P238),ISNUMBER(Q238),P238&gt;0,ISNUMBER($B$100)),Q238/P238,"")</f>
        <v/>
      </c>
      <c r="S238" s="11">
        <f>IF(AND(ISNUMBER(P238),ISNUMBER(Q238),P238&gt;0,ISNUMBER($B$100)),MAX(0,$B$100-3*SQRT($B$100/P238)),"")</f>
        <v/>
      </c>
      <c r="T238" s="11">
        <f>IF(AND(ISNUMBER(P238),ISNUMBER(Q238),P238&gt;0,ISNUMBER($B$100)),$B$100+3*SQRT($B$100/P238),"")</f>
        <v/>
      </c>
      <c r="U238" s="13">
        <f>IF(AND(ISNUMBER(R238),ISNUMBER(S238),ISNUMBER(T238)),IF(R238&gt;T238,"boven UCL",IF(R238&lt;S238,"onder LCL","")),"")</f>
        <v/>
      </c>
    </row>
    <row r="239">
      <c r="A239" t="n">
        <v>133</v>
      </c>
      <c r="B239" s="7" t="n"/>
      <c r="C239" s="11">
        <f>IF(AND(ISNUMBER(B239),ISNUMBER(B238)),ABS(B239-B238),"")</f>
        <v/>
      </c>
      <c r="D239" s="13">
        <f>IF(AND(ISNUMBER(B239),ISNUMBER($B$88),ISNUMBER($D$88)),IF(B239&gt;$D$88,"boven UCL",IF(B239&lt;$B$88,"onder LCL","")),"")</f>
        <v/>
      </c>
      <c r="E239" s="13">
        <f>IF(AND(ISNUMBER(C239),ISNUMBER($B$89),ISNUMBER($D$89)),IF(C239&gt;$D$89,"boven UCL",IF(C239&lt;$B$89,"onder LCL","")),"")</f>
        <v/>
      </c>
      <c r="G239" t="n">
        <v>133</v>
      </c>
      <c r="H239" s="7" t="n"/>
      <c r="I239" s="7" t="n"/>
      <c r="J239" s="11">
        <f>IF(AND(ISNUMBER(H239),ISNUMBER(I239),H239&gt;0,ISNUMBER($B$94)),I239/H239,"")</f>
        <v/>
      </c>
      <c r="K239" s="11">
        <f>IF(AND(ISNUMBER(H239),ISNUMBER(I239),H239&gt;0,ISNUMBER($B$94)),MAX(0,$B$94-3*SQRT($B$94*(1-$B$94)/H239)),"")</f>
        <v/>
      </c>
      <c r="L239" s="11">
        <f>IF(AND(ISNUMBER(H239),ISNUMBER(I239),H239&gt;0,ISNUMBER($B$94)),$B$94+3*SQRT($B$94*(1-$B$94)/H239),"")</f>
        <v/>
      </c>
      <c r="M239" s="13">
        <f>IF(AND(ISNUMBER(J239),ISNUMBER(K239),ISNUMBER(L239)),IF(J239&gt;L239,"boven UCL",IF(J239&lt;K239,"onder LCL","")),"")</f>
        <v/>
      </c>
      <c r="O239" t="n">
        <v>133</v>
      </c>
      <c r="P239" s="7" t="n"/>
      <c r="Q239" s="7" t="n"/>
      <c r="R239" s="11">
        <f>IF(AND(ISNUMBER(P239),ISNUMBER(Q239),P239&gt;0,ISNUMBER($B$100)),Q239/P239,"")</f>
        <v/>
      </c>
      <c r="S239" s="11">
        <f>IF(AND(ISNUMBER(P239),ISNUMBER(Q239),P239&gt;0,ISNUMBER($B$100)),MAX(0,$B$100-3*SQRT($B$100/P239)),"")</f>
        <v/>
      </c>
      <c r="T239" s="11">
        <f>IF(AND(ISNUMBER(P239),ISNUMBER(Q239),P239&gt;0,ISNUMBER($B$100)),$B$100+3*SQRT($B$100/P239),"")</f>
        <v/>
      </c>
      <c r="U239" s="13">
        <f>IF(AND(ISNUMBER(R239),ISNUMBER(S239),ISNUMBER(T239)),IF(R239&gt;T239,"boven UCL",IF(R239&lt;S239,"onder LCL","")),"")</f>
        <v/>
      </c>
    </row>
    <row r="240">
      <c r="A240" t="n">
        <v>134</v>
      </c>
      <c r="B240" s="7" t="n"/>
      <c r="C240" s="11">
        <f>IF(AND(ISNUMBER(B240),ISNUMBER(B239)),ABS(B240-B239),"")</f>
        <v/>
      </c>
      <c r="D240" s="13">
        <f>IF(AND(ISNUMBER(B240),ISNUMBER($B$88),ISNUMBER($D$88)),IF(B240&gt;$D$88,"boven UCL",IF(B240&lt;$B$88,"onder LCL","")),"")</f>
        <v/>
      </c>
      <c r="E240" s="13">
        <f>IF(AND(ISNUMBER(C240),ISNUMBER($B$89),ISNUMBER($D$89)),IF(C240&gt;$D$89,"boven UCL",IF(C240&lt;$B$89,"onder LCL","")),"")</f>
        <v/>
      </c>
      <c r="G240" t="n">
        <v>134</v>
      </c>
      <c r="H240" s="7" t="n"/>
      <c r="I240" s="7" t="n"/>
      <c r="J240" s="11">
        <f>IF(AND(ISNUMBER(H240),ISNUMBER(I240),H240&gt;0,ISNUMBER($B$94)),I240/H240,"")</f>
        <v/>
      </c>
      <c r="K240" s="11">
        <f>IF(AND(ISNUMBER(H240),ISNUMBER(I240),H240&gt;0,ISNUMBER($B$94)),MAX(0,$B$94-3*SQRT($B$94*(1-$B$94)/H240)),"")</f>
        <v/>
      </c>
      <c r="L240" s="11">
        <f>IF(AND(ISNUMBER(H240),ISNUMBER(I240),H240&gt;0,ISNUMBER($B$94)),$B$94+3*SQRT($B$94*(1-$B$94)/H240),"")</f>
        <v/>
      </c>
      <c r="M240" s="13">
        <f>IF(AND(ISNUMBER(J240),ISNUMBER(K240),ISNUMBER(L240)),IF(J240&gt;L240,"boven UCL",IF(J240&lt;K240,"onder LCL","")),"")</f>
        <v/>
      </c>
      <c r="O240" t="n">
        <v>134</v>
      </c>
      <c r="P240" s="7" t="n"/>
      <c r="Q240" s="7" t="n"/>
      <c r="R240" s="11">
        <f>IF(AND(ISNUMBER(P240),ISNUMBER(Q240),P240&gt;0,ISNUMBER($B$100)),Q240/P240,"")</f>
        <v/>
      </c>
      <c r="S240" s="11">
        <f>IF(AND(ISNUMBER(P240),ISNUMBER(Q240),P240&gt;0,ISNUMBER($B$100)),MAX(0,$B$100-3*SQRT($B$100/P240)),"")</f>
        <v/>
      </c>
      <c r="T240" s="11">
        <f>IF(AND(ISNUMBER(P240),ISNUMBER(Q240),P240&gt;0,ISNUMBER($B$100)),$B$100+3*SQRT($B$100/P240),"")</f>
        <v/>
      </c>
      <c r="U240" s="13">
        <f>IF(AND(ISNUMBER(R240),ISNUMBER(S240),ISNUMBER(T240)),IF(R240&gt;T240,"boven UCL",IF(R240&lt;S240,"onder LCL","")),"")</f>
        <v/>
      </c>
    </row>
    <row r="241">
      <c r="A241" t="n">
        <v>135</v>
      </c>
      <c r="B241" s="7" t="n"/>
      <c r="C241" s="11">
        <f>IF(AND(ISNUMBER(B241),ISNUMBER(B240)),ABS(B241-B240),"")</f>
        <v/>
      </c>
      <c r="D241" s="13">
        <f>IF(AND(ISNUMBER(B241),ISNUMBER($B$88),ISNUMBER($D$88)),IF(B241&gt;$D$88,"boven UCL",IF(B241&lt;$B$88,"onder LCL","")),"")</f>
        <v/>
      </c>
      <c r="E241" s="13">
        <f>IF(AND(ISNUMBER(C241),ISNUMBER($B$89),ISNUMBER($D$89)),IF(C241&gt;$D$89,"boven UCL",IF(C241&lt;$B$89,"onder LCL","")),"")</f>
        <v/>
      </c>
      <c r="G241" t="n">
        <v>135</v>
      </c>
      <c r="H241" s="7" t="n"/>
      <c r="I241" s="7" t="n"/>
      <c r="J241" s="11">
        <f>IF(AND(ISNUMBER(H241),ISNUMBER(I241),H241&gt;0,ISNUMBER($B$94)),I241/H241,"")</f>
        <v/>
      </c>
      <c r="K241" s="11">
        <f>IF(AND(ISNUMBER(H241),ISNUMBER(I241),H241&gt;0,ISNUMBER($B$94)),MAX(0,$B$94-3*SQRT($B$94*(1-$B$94)/H241)),"")</f>
        <v/>
      </c>
      <c r="L241" s="11">
        <f>IF(AND(ISNUMBER(H241),ISNUMBER(I241),H241&gt;0,ISNUMBER($B$94)),$B$94+3*SQRT($B$94*(1-$B$94)/H241),"")</f>
        <v/>
      </c>
      <c r="M241" s="13">
        <f>IF(AND(ISNUMBER(J241),ISNUMBER(K241),ISNUMBER(L241)),IF(J241&gt;L241,"boven UCL",IF(J241&lt;K241,"onder LCL","")),"")</f>
        <v/>
      </c>
      <c r="O241" t="n">
        <v>135</v>
      </c>
      <c r="P241" s="7" t="n"/>
      <c r="Q241" s="7" t="n"/>
      <c r="R241" s="11">
        <f>IF(AND(ISNUMBER(P241),ISNUMBER(Q241),P241&gt;0,ISNUMBER($B$100)),Q241/P241,"")</f>
        <v/>
      </c>
      <c r="S241" s="11">
        <f>IF(AND(ISNUMBER(P241),ISNUMBER(Q241),P241&gt;0,ISNUMBER($B$100)),MAX(0,$B$100-3*SQRT($B$100/P241)),"")</f>
        <v/>
      </c>
      <c r="T241" s="11">
        <f>IF(AND(ISNUMBER(P241),ISNUMBER(Q241),P241&gt;0,ISNUMBER($B$100)),$B$100+3*SQRT($B$100/P241),"")</f>
        <v/>
      </c>
      <c r="U241" s="13">
        <f>IF(AND(ISNUMBER(R241),ISNUMBER(S241),ISNUMBER(T241)),IF(R241&gt;T241,"boven UCL",IF(R241&lt;S241,"onder LCL","")),"")</f>
        <v/>
      </c>
    </row>
    <row r="242">
      <c r="A242" t="n">
        <v>136</v>
      </c>
      <c r="B242" s="7" t="n"/>
      <c r="C242" s="11">
        <f>IF(AND(ISNUMBER(B242),ISNUMBER(B241)),ABS(B242-B241),"")</f>
        <v/>
      </c>
      <c r="D242" s="13">
        <f>IF(AND(ISNUMBER(B242),ISNUMBER($B$88),ISNUMBER($D$88)),IF(B242&gt;$D$88,"boven UCL",IF(B242&lt;$B$88,"onder LCL","")),"")</f>
        <v/>
      </c>
      <c r="E242" s="13">
        <f>IF(AND(ISNUMBER(C242),ISNUMBER($B$89),ISNUMBER($D$89)),IF(C242&gt;$D$89,"boven UCL",IF(C242&lt;$B$89,"onder LCL","")),"")</f>
        <v/>
      </c>
      <c r="G242" t="n">
        <v>136</v>
      </c>
      <c r="H242" s="7" t="n"/>
      <c r="I242" s="7" t="n"/>
      <c r="J242" s="11">
        <f>IF(AND(ISNUMBER(H242),ISNUMBER(I242),H242&gt;0,ISNUMBER($B$94)),I242/H242,"")</f>
        <v/>
      </c>
      <c r="K242" s="11">
        <f>IF(AND(ISNUMBER(H242),ISNUMBER(I242),H242&gt;0,ISNUMBER($B$94)),MAX(0,$B$94-3*SQRT($B$94*(1-$B$94)/H242)),"")</f>
        <v/>
      </c>
      <c r="L242" s="11">
        <f>IF(AND(ISNUMBER(H242),ISNUMBER(I242),H242&gt;0,ISNUMBER($B$94)),$B$94+3*SQRT($B$94*(1-$B$94)/H242),"")</f>
        <v/>
      </c>
      <c r="M242" s="13">
        <f>IF(AND(ISNUMBER(J242),ISNUMBER(K242),ISNUMBER(L242)),IF(J242&gt;L242,"boven UCL",IF(J242&lt;K242,"onder LCL","")),"")</f>
        <v/>
      </c>
      <c r="O242" t="n">
        <v>136</v>
      </c>
      <c r="P242" s="7" t="n"/>
      <c r="Q242" s="7" t="n"/>
      <c r="R242" s="11">
        <f>IF(AND(ISNUMBER(P242),ISNUMBER(Q242),P242&gt;0,ISNUMBER($B$100)),Q242/P242,"")</f>
        <v/>
      </c>
      <c r="S242" s="11">
        <f>IF(AND(ISNUMBER(P242),ISNUMBER(Q242),P242&gt;0,ISNUMBER($B$100)),MAX(0,$B$100-3*SQRT($B$100/P242)),"")</f>
        <v/>
      </c>
      <c r="T242" s="11">
        <f>IF(AND(ISNUMBER(P242),ISNUMBER(Q242),P242&gt;0,ISNUMBER($B$100)),$B$100+3*SQRT($B$100/P242),"")</f>
        <v/>
      </c>
      <c r="U242" s="13">
        <f>IF(AND(ISNUMBER(R242),ISNUMBER(S242),ISNUMBER(T242)),IF(R242&gt;T242,"boven UCL",IF(R242&lt;S242,"onder LCL","")),"")</f>
        <v/>
      </c>
    </row>
    <row r="243">
      <c r="A243" t="n">
        <v>137</v>
      </c>
      <c r="B243" s="7" t="n"/>
      <c r="C243" s="11">
        <f>IF(AND(ISNUMBER(B243),ISNUMBER(B242)),ABS(B243-B242),"")</f>
        <v/>
      </c>
      <c r="D243" s="13">
        <f>IF(AND(ISNUMBER(B243),ISNUMBER($B$88),ISNUMBER($D$88)),IF(B243&gt;$D$88,"boven UCL",IF(B243&lt;$B$88,"onder LCL","")),"")</f>
        <v/>
      </c>
      <c r="E243" s="13">
        <f>IF(AND(ISNUMBER(C243),ISNUMBER($B$89),ISNUMBER($D$89)),IF(C243&gt;$D$89,"boven UCL",IF(C243&lt;$B$89,"onder LCL","")),"")</f>
        <v/>
      </c>
      <c r="G243" t="n">
        <v>137</v>
      </c>
      <c r="H243" s="7" t="n"/>
      <c r="I243" s="7" t="n"/>
      <c r="J243" s="11">
        <f>IF(AND(ISNUMBER(H243),ISNUMBER(I243),H243&gt;0,ISNUMBER($B$94)),I243/H243,"")</f>
        <v/>
      </c>
      <c r="K243" s="11">
        <f>IF(AND(ISNUMBER(H243),ISNUMBER(I243),H243&gt;0,ISNUMBER($B$94)),MAX(0,$B$94-3*SQRT($B$94*(1-$B$94)/H243)),"")</f>
        <v/>
      </c>
      <c r="L243" s="11">
        <f>IF(AND(ISNUMBER(H243),ISNUMBER(I243),H243&gt;0,ISNUMBER($B$94)),$B$94+3*SQRT($B$94*(1-$B$94)/H243),"")</f>
        <v/>
      </c>
      <c r="M243" s="13">
        <f>IF(AND(ISNUMBER(J243),ISNUMBER(K243),ISNUMBER(L243)),IF(J243&gt;L243,"boven UCL",IF(J243&lt;K243,"onder LCL","")),"")</f>
        <v/>
      </c>
      <c r="O243" t="n">
        <v>137</v>
      </c>
      <c r="P243" s="7" t="n"/>
      <c r="Q243" s="7" t="n"/>
      <c r="R243" s="11">
        <f>IF(AND(ISNUMBER(P243),ISNUMBER(Q243),P243&gt;0,ISNUMBER($B$100)),Q243/P243,"")</f>
        <v/>
      </c>
      <c r="S243" s="11">
        <f>IF(AND(ISNUMBER(P243),ISNUMBER(Q243),P243&gt;0,ISNUMBER($B$100)),MAX(0,$B$100-3*SQRT($B$100/P243)),"")</f>
        <v/>
      </c>
      <c r="T243" s="11">
        <f>IF(AND(ISNUMBER(P243),ISNUMBER(Q243),P243&gt;0,ISNUMBER($B$100)),$B$100+3*SQRT($B$100/P243),"")</f>
        <v/>
      </c>
      <c r="U243" s="13">
        <f>IF(AND(ISNUMBER(R243),ISNUMBER(S243),ISNUMBER(T243)),IF(R243&gt;T243,"boven UCL",IF(R243&lt;S243,"onder LCL","")),"")</f>
        <v/>
      </c>
    </row>
    <row r="244">
      <c r="A244" t="n">
        <v>138</v>
      </c>
      <c r="B244" s="7" t="n"/>
      <c r="C244" s="11">
        <f>IF(AND(ISNUMBER(B244),ISNUMBER(B243)),ABS(B244-B243),"")</f>
        <v/>
      </c>
      <c r="D244" s="13">
        <f>IF(AND(ISNUMBER(B244),ISNUMBER($B$88),ISNUMBER($D$88)),IF(B244&gt;$D$88,"boven UCL",IF(B244&lt;$B$88,"onder LCL","")),"")</f>
        <v/>
      </c>
      <c r="E244" s="13">
        <f>IF(AND(ISNUMBER(C244),ISNUMBER($B$89),ISNUMBER($D$89)),IF(C244&gt;$D$89,"boven UCL",IF(C244&lt;$B$89,"onder LCL","")),"")</f>
        <v/>
      </c>
      <c r="G244" t="n">
        <v>138</v>
      </c>
      <c r="H244" s="7" t="n"/>
      <c r="I244" s="7" t="n"/>
      <c r="J244" s="11">
        <f>IF(AND(ISNUMBER(H244),ISNUMBER(I244),H244&gt;0,ISNUMBER($B$94)),I244/H244,"")</f>
        <v/>
      </c>
      <c r="K244" s="11">
        <f>IF(AND(ISNUMBER(H244),ISNUMBER(I244),H244&gt;0,ISNUMBER($B$94)),MAX(0,$B$94-3*SQRT($B$94*(1-$B$94)/H244)),"")</f>
        <v/>
      </c>
      <c r="L244" s="11">
        <f>IF(AND(ISNUMBER(H244),ISNUMBER(I244),H244&gt;0,ISNUMBER($B$94)),$B$94+3*SQRT($B$94*(1-$B$94)/H244),"")</f>
        <v/>
      </c>
      <c r="M244" s="13">
        <f>IF(AND(ISNUMBER(J244),ISNUMBER(K244),ISNUMBER(L244)),IF(J244&gt;L244,"boven UCL",IF(J244&lt;K244,"onder LCL","")),"")</f>
        <v/>
      </c>
      <c r="O244" t="n">
        <v>138</v>
      </c>
      <c r="P244" s="7" t="n"/>
      <c r="Q244" s="7" t="n"/>
      <c r="R244" s="11">
        <f>IF(AND(ISNUMBER(P244),ISNUMBER(Q244),P244&gt;0,ISNUMBER($B$100)),Q244/P244,"")</f>
        <v/>
      </c>
      <c r="S244" s="11">
        <f>IF(AND(ISNUMBER(P244),ISNUMBER(Q244),P244&gt;0,ISNUMBER($B$100)),MAX(0,$B$100-3*SQRT($B$100/P244)),"")</f>
        <v/>
      </c>
      <c r="T244" s="11">
        <f>IF(AND(ISNUMBER(P244),ISNUMBER(Q244),P244&gt;0,ISNUMBER($B$100)),$B$100+3*SQRT($B$100/P244),"")</f>
        <v/>
      </c>
      <c r="U244" s="13">
        <f>IF(AND(ISNUMBER(R244),ISNUMBER(S244),ISNUMBER(T244)),IF(R244&gt;T244,"boven UCL",IF(R244&lt;S244,"onder LCL","")),"")</f>
        <v/>
      </c>
    </row>
    <row r="245">
      <c r="A245" t="n">
        <v>139</v>
      </c>
      <c r="B245" s="7" t="n"/>
      <c r="C245" s="11">
        <f>IF(AND(ISNUMBER(B245),ISNUMBER(B244)),ABS(B245-B244),"")</f>
        <v/>
      </c>
      <c r="D245" s="13">
        <f>IF(AND(ISNUMBER(B245),ISNUMBER($B$88),ISNUMBER($D$88)),IF(B245&gt;$D$88,"boven UCL",IF(B245&lt;$B$88,"onder LCL","")),"")</f>
        <v/>
      </c>
      <c r="E245" s="13">
        <f>IF(AND(ISNUMBER(C245),ISNUMBER($B$89),ISNUMBER($D$89)),IF(C245&gt;$D$89,"boven UCL",IF(C245&lt;$B$89,"onder LCL","")),"")</f>
        <v/>
      </c>
      <c r="G245" t="n">
        <v>139</v>
      </c>
      <c r="H245" s="7" t="n"/>
      <c r="I245" s="7" t="n"/>
      <c r="J245" s="11">
        <f>IF(AND(ISNUMBER(H245),ISNUMBER(I245),H245&gt;0,ISNUMBER($B$94)),I245/H245,"")</f>
        <v/>
      </c>
      <c r="K245" s="11">
        <f>IF(AND(ISNUMBER(H245),ISNUMBER(I245),H245&gt;0,ISNUMBER($B$94)),MAX(0,$B$94-3*SQRT($B$94*(1-$B$94)/H245)),"")</f>
        <v/>
      </c>
      <c r="L245" s="11">
        <f>IF(AND(ISNUMBER(H245),ISNUMBER(I245),H245&gt;0,ISNUMBER($B$94)),$B$94+3*SQRT($B$94*(1-$B$94)/H245),"")</f>
        <v/>
      </c>
      <c r="M245" s="13">
        <f>IF(AND(ISNUMBER(J245),ISNUMBER(K245),ISNUMBER(L245)),IF(J245&gt;L245,"boven UCL",IF(J245&lt;K245,"onder LCL","")),"")</f>
        <v/>
      </c>
      <c r="O245" t="n">
        <v>139</v>
      </c>
      <c r="P245" s="7" t="n"/>
      <c r="Q245" s="7" t="n"/>
      <c r="R245" s="11">
        <f>IF(AND(ISNUMBER(P245),ISNUMBER(Q245),P245&gt;0,ISNUMBER($B$100)),Q245/P245,"")</f>
        <v/>
      </c>
      <c r="S245" s="11">
        <f>IF(AND(ISNUMBER(P245),ISNUMBER(Q245),P245&gt;0,ISNUMBER($B$100)),MAX(0,$B$100-3*SQRT($B$100/P245)),"")</f>
        <v/>
      </c>
      <c r="T245" s="11">
        <f>IF(AND(ISNUMBER(P245),ISNUMBER(Q245),P245&gt;0,ISNUMBER($B$100)),$B$100+3*SQRT($B$100/P245),"")</f>
        <v/>
      </c>
      <c r="U245" s="13">
        <f>IF(AND(ISNUMBER(R245),ISNUMBER(S245),ISNUMBER(T245)),IF(R245&gt;T245,"boven UCL",IF(R245&lt;S245,"onder LCL","")),"")</f>
        <v/>
      </c>
    </row>
    <row r="246">
      <c r="A246" t="n">
        <v>140</v>
      </c>
      <c r="B246" s="7" t="n"/>
      <c r="C246" s="11">
        <f>IF(AND(ISNUMBER(B246),ISNUMBER(B245)),ABS(B246-B245),"")</f>
        <v/>
      </c>
      <c r="D246" s="13">
        <f>IF(AND(ISNUMBER(B246),ISNUMBER($B$88),ISNUMBER($D$88)),IF(B246&gt;$D$88,"boven UCL",IF(B246&lt;$B$88,"onder LCL","")),"")</f>
        <v/>
      </c>
      <c r="E246" s="13">
        <f>IF(AND(ISNUMBER(C246),ISNUMBER($B$89),ISNUMBER($D$89)),IF(C246&gt;$D$89,"boven UCL",IF(C246&lt;$B$89,"onder LCL","")),"")</f>
        <v/>
      </c>
      <c r="G246" t="n">
        <v>140</v>
      </c>
      <c r="H246" s="7" t="n"/>
      <c r="I246" s="7" t="n"/>
      <c r="J246" s="11">
        <f>IF(AND(ISNUMBER(H246),ISNUMBER(I246),H246&gt;0,ISNUMBER($B$94)),I246/H246,"")</f>
        <v/>
      </c>
      <c r="K246" s="11">
        <f>IF(AND(ISNUMBER(H246),ISNUMBER(I246),H246&gt;0,ISNUMBER($B$94)),MAX(0,$B$94-3*SQRT($B$94*(1-$B$94)/H246)),"")</f>
        <v/>
      </c>
      <c r="L246" s="11">
        <f>IF(AND(ISNUMBER(H246),ISNUMBER(I246),H246&gt;0,ISNUMBER($B$94)),$B$94+3*SQRT($B$94*(1-$B$94)/H246),"")</f>
        <v/>
      </c>
      <c r="M246" s="13">
        <f>IF(AND(ISNUMBER(J246),ISNUMBER(K246),ISNUMBER(L246)),IF(J246&gt;L246,"boven UCL",IF(J246&lt;K246,"onder LCL","")),"")</f>
        <v/>
      </c>
      <c r="O246" t="n">
        <v>140</v>
      </c>
      <c r="P246" s="7" t="n"/>
      <c r="Q246" s="7" t="n"/>
      <c r="R246" s="11">
        <f>IF(AND(ISNUMBER(P246),ISNUMBER(Q246),P246&gt;0,ISNUMBER($B$100)),Q246/P246,"")</f>
        <v/>
      </c>
      <c r="S246" s="11">
        <f>IF(AND(ISNUMBER(P246),ISNUMBER(Q246),P246&gt;0,ISNUMBER($B$100)),MAX(0,$B$100-3*SQRT($B$100/P246)),"")</f>
        <v/>
      </c>
      <c r="T246" s="11">
        <f>IF(AND(ISNUMBER(P246),ISNUMBER(Q246),P246&gt;0,ISNUMBER($B$100)),$B$100+3*SQRT($B$100/P246),"")</f>
        <v/>
      </c>
      <c r="U246" s="13">
        <f>IF(AND(ISNUMBER(R246),ISNUMBER(S246),ISNUMBER(T246)),IF(R246&gt;T246,"boven UCL",IF(R246&lt;S246,"onder LCL","")),"")</f>
        <v/>
      </c>
    </row>
    <row r="247">
      <c r="A247" t="n">
        <v>141</v>
      </c>
      <c r="B247" s="7" t="n"/>
      <c r="C247" s="11">
        <f>IF(AND(ISNUMBER(B247),ISNUMBER(B246)),ABS(B247-B246),"")</f>
        <v/>
      </c>
      <c r="D247" s="13">
        <f>IF(AND(ISNUMBER(B247),ISNUMBER($B$88),ISNUMBER($D$88)),IF(B247&gt;$D$88,"boven UCL",IF(B247&lt;$B$88,"onder LCL","")),"")</f>
        <v/>
      </c>
      <c r="E247" s="13">
        <f>IF(AND(ISNUMBER(C247),ISNUMBER($B$89),ISNUMBER($D$89)),IF(C247&gt;$D$89,"boven UCL",IF(C247&lt;$B$89,"onder LCL","")),"")</f>
        <v/>
      </c>
      <c r="G247" t="n">
        <v>141</v>
      </c>
      <c r="H247" s="7" t="n"/>
      <c r="I247" s="7" t="n"/>
      <c r="J247" s="11">
        <f>IF(AND(ISNUMBER(H247),ISNUMBER(I247),H247&gt;0,ISNUMBER($B$94)),I247/H247,"")</f>
        <v/>
      </c>
      <c r="K247" s="11">
        <f>IF(AND(ISNUMBER(H247),ISNUMBER(I247),H247&gt;0,ISNUMBER($B$94)),MAX(0,$B$94-3*SQRT($B$94*(1-$B$94)/H247)),"")</f>
        <v/>
      </c>
      <c r="L247" s="11">
        <f>IF(AND(ISNUMBER(H247),ISNUMBER(I247),H247&gt;0,ISNUMBER($B$94)),$B$94+3*SQRT($B$94*(1-$B$94)/H247),"")</f>
        <v/>
      </c>
      <c r="M247" s="13">
        <f>IF(AND(ISNUMBER(J247),ISNUMBER(K247),ISNUMBER(L247)),IF(J247&gt;L247,"boven UCL",IF(J247&lt;K247,"onder LCL","")),"")</f>
        <v/>
      </c>
      <c r="O247" t="n">
        <v>141</v>
      </c>
      <c r="P247" s="7" t="n"/>
      <c r="Q247" s="7" t="n"/>
      <c r="R247" s="11">
        <f>IF(AND(ISNUMBER(P247),ISNUMBER(Q247),P247&gt;0,ISNUMBER($B$100)),Q247/P247,"")</f>
        <v/>
      </c>
      <c r="S247" s="11">
        <f>IF(AND(ISNUMBER(P247),ISNUMBER(Q247),P247&gt;0,ISNUMBER($B$100)),MAX(0,$B$100-3*SQRT($B$100/P247)),"")</f>
        <v/>
      </c>
      <c r="T247" s="11">
        <f>IF(AND(ISNUMBER(P247),ISNUMBER(Q247),P247&gt;0,ISNUMBER($B$100)),$B$100+3*SQRT($B$100/P247),"")</f>
        <v/>
      </c>
      <c r="U247" s="13">
        <f>IF(AND(ISNUMBER(R247),ISNUMBER(S247),ISNUMBER(T247)),IF(R247&gt;T247,"boven UCL",IF(R247&lt;S247,"onder LCL","")),"")</f>
        <v/>
      </c>
    </row>
    <row r="248">
      <c r="A248" t="n">
        <v>142</v>
      </c>
      <c r="B248" s="7" t="n"/>
      <c r="C248" s="11">
        <f>IF(AND(ISNUMBER(B248),ISNUMBER(B247)),ABS(B248-B247),"")</f>
        <v/>
      </c>
      <c r="D248" s="13">
        <f>IF(AND(ISNUMBER(B248),ISNUMBER($B$88),ISNUMBER($D$88)),IF(B248&gt;$D$88,"boven UCL",IF(B248&lt;$B$88,"onder LCL","")),"")</f>
        <v/>
      </c>
      <c r="E248" s="13">
        <f>IF(AND(ISNUMBER(C248),ISNUMBER($B$89),ISNUMBER($D$89)),IF(C248&gt;$D$89,"boven UCL",IF(C248&lt;$B$89,"onder LCL","")),"")</f>
        <v/>
      </c>
      <c r="G248" t="n">
        <v>142</v>
      </c>
      <c r="H248" s="7" t="n"/>
      <c r="I248" s="7" t="n"/>
      <c r="J248" s="11">
        <f>IF(AND(ISNUMBER(H248),ISNUMBER(I248),H248&gt;0,ISNUMBER($B$94)),I248/H248,"")</f>
        <v/>
      </c>
      <c r="K248" s="11">
        <f>IF(AND(ISNUMBER(H248),ISNUMBER(I248),H248&gt;0,ISNUMBER($B$94)),MAX(0,$B$94-3*SQRT($B$94*(1-$B$94)/H248)),"")</f>
        <v/>
      </c>
      <c r="L248" s="11">
        <f>IF(AND(ISNUMBER(H248),ISNUMBER(I248),H248&gt;0,ISNUMBER($B$94)),$B$94+3*SQRT($B$94*(1-$B$94)/H248),"")</f>
        <v/>
      </c>
      <c r="M248" s="13">
        <f>IF(AND(ISNUMBER(J248),ISNUMBER(K248),ISNUMBER(L248)),IF(J248&gt;L248,"boven UCL",IF(J248&lt;K248,"onder LCL","")),"")</f>
        <v/>
      </c>
      <c r="O248" t="n">
        <v>142</v>
      </c>
      <c r="P248" s="7" t="n"/>
      <c r="Q248" s="7" t="n"/>
      <c r="R248" s="11">
        <f>IF(AND(ISNUMBER(P248),ISNUMBER(Q248),P248&gt;0,ISNUMBER($B$100)),Q248/P248,"")</f>
        <v/>
      </c>
      <c r="S248" s="11">
        <f>IF(AND(ISNUMBER(P248),ISNUMBER(Q248),P248&gt;0,ISNUMBER($B$100)),MAX(0,$B$100-3*SQRT($B$100/P248)),"")</f>
        <v/>
      </c>
      <c r="T248" s="11">
        <f>IF(AND(ISNUMBER(P248),ISNUMBER(Q248),P248&gt;0,ISNUMBER($B$100)),$B$100+3*SQRT($B$100/P248),"")</f>
        <v/>
      </c>
      <c r="U248" s="13">
        <f>IF(AND(ISNUMBER(R248),ISNUMBER(S248),ISNUMBER(T248)),IF(R248&gt;T248,"boven UCL",IF(R248&lt;S248,"onder LCL","")),"")</f>
        <v/>
      </c>
    </row>
    <row r="249">
      <c r="A249" t="n">
        <v>143</v>
      </c>
      <c r="B249" s="7" t="n"/>
      <c r="C249" s="11">
        <f>IF(AND(ISNUMBER(B249),ISNUMBER(B248)),ABS(B249-B248),"")</f>
        <v/>
      </c>
      <c r="D249" s="13">
        <f>IF(AND(ISNUMBER(B249),ISNUMBER($B$88),ISNUMBER($D$88)),IF(B249&gt;$D$88,"boven UCL",IF(B249&lt;$B$88,"onder LCL","")),"")</f>
        <v/>
      </c>
      <c r="E249" s="13">
        <f>IF(AND(ISNUMBER(C249),ISNUMBER($B$89),ISNUMBER($D$89)),IF(C249&gt;$D$89,"boven UCL",IF(C249&lt;$B$89,"onder LCL","")),"")</f>
        <v/>
      </c>
      <c r="G249" t="n">
        <v>143</v>
      </c>
      <c r="H249" s="7" t="n"/>
      <c r="I249" s="7" t="n"/>
      <c r="J249" s="11">
        <f>IF(AND(ISNUMBER(H249),ISNUMBER(I249),H249&gt;0,ISNUMBER($B$94)),I249/H249,"")</f>
        <v/>
      </c>
      <c r="K249" s="11">
        <f>IF(AND(ISNUMBER(H249),ISNUMBER(I249),H249&gt;0,ISNUMBER($B$94)),MAX(0,$B$94-3*SQRT($B$94*(1-$B$94)/H249)),"")</f>
        <v/>
      </c>
      <c r="L249" s="11">
        <f>IF(AND(ISNUMBER(H249),ISNUMBER(I249),H249&gt;0,ISNUMBER($B$94)),$B$94+3*SQRT($B$94*(1-$B$94)/H249),"")</f>
        <v/>
      </c>
      <c r="M249" s="13">
        <f>IF(AND(ISNUMBER(J249),ISNUMBER(K249),ISNUMBER(L249)),IF(J249&gt;L249,"boven UCL",IF(J249&lt;K249,"onder LCL","")),"")</f>
        <v/>
      </c>
      <c r="O249" t="n">
        <v>143</v>
      </c>
      <c r="P249" s="7" t="n"/>
      <c r="Q249" s="7" t="n"/>
      <c r="R249" s="11">
        <f>IF(AND(ISNUMBER(P249),ISNUMBER(Q249),P249&gt;0,ISNUMBER($B$100)),Q249/P249,"")</f>
        <v/>
      </c>
      <c r="S249" s="11">
        <f>IF(AND(ISNUMBER(P249),ISNUMBER(Q249),P249&gt;0,ISNUMBER($B$100)),MAX(0,$B$100-3*SQRT($B$100/P249)),"")</f>
        <v/>
      </c>
      <c r="T249" s="11">
        <f>IF(AND(ISNUMBER(P249),ISNUMBER(Q249),P249&gt;0,ISNUMBER($B$100)),$B$100+3*SQRT($B$100/P249),"")</f>
        <v/>
      </c>
      <c r="U249" s="13">
        <f>IF(AND(ISNUMBER(R249),ISNUMBER(S249),ISNUMBER(T249)),IF(R249&gt;T249,"boven UCL",IF(R249&lt;S249,"onder LCL","")),"")</f>
        <v/>
      </c>
    </row>
    <row r="250">
      <c r="A250" t="n">
        <v>144</v>
      </c>
      <c r="B250" s="7" t="n"/>
      <c r="C250" s="11">
        <f>IF(AND(ISNUMBER(B250),ISNUMBER(B249)),ABS(B250-B249),"")</f>
        <v/>
      </c>
      <c r="D250" s="13">
        <f>IF(AND(ISNUMBER(B250),ISNUMBER($B$88),ISNUMBER($D$88)),IF(B250&gt;$D$88,"boven UCL",IF(B250&lt;$B$88,"onder LCL","")),"")</f>
        <v/>
      </c>
      <c r="E250" s="13">
        <f>IF(AND(ISNUMBER(C250),ISNUMBER($B$89),ISNUMBER($D$89)),IF(C250&gt;$D$89,"boven UCL",IF(C250&lt;$B$89,"onder LCL","")),"")</f>
        <v/>
      </c>
      <c r="G250" t="n">
        <v>144</v>
      </c>
      <c r="H250" s="7" t="n"/>
      <c r="I250" s="7" t="n"/>
      <c r="J250" s="11">
        <f>IF(AND(ISNUMBER(H250),ISNUMBER(I250),H250&gt;0,ISNUMBER($B$94)),I250/H250,"")</f>
        <v/>
      </c>
      <c r="K250" s="11">
        <f>IF(AND(ISNUMBER(H250),ISNUMBER(I250),H250&gt;0,ISNUMBER($B$94)),MAX(0,$B$94-3*SQRT($B$94*(1-$B$94)/H250)),"")</f>
        <v/>
      </c>
      <c r="L250" s="11">
        <f>IF(AND(ISNUMBER(H250),ISNUMBER(I250),H250&gt;0,ISNUMBER($B$94)),$B$94+3*SQRT($B$94*(1-$B$94)/H250),"")</f>
        <v/>
      </c>
      <c r="M250" s="13">
        <f>IF(AND(ISNUMBER(J250),ISNUMBER(K250),ISNUMBER(L250)),IF(J250&gt;L250,"boven UCL",IF(J250&lt;K250,"onder LCL","")),"")</f>
        <v/>
      </c>
      <c r="O250" t="n">
        <v>144</v>
      </c>
      <c r="P250" s="7" t="n"/>
      <c r="Q250" s="7" t="n"/>
      <c r="R250" s="11">
        <f>IF(AND(ISNUMBER(P250),ISNUMBER(Q250),P250&gt;0,ISNUMBER($B$100)),Q250/P250,"")</f>
        <v/>
      </c>
      <c r="S250" s="11">
        <f>IF(AND(ISNUMBER(P250),ISNUMBER(Q250),P250&gt;0,ISNUMBER($B$100)),MAX(0,$B$100-3*SQRT($B$100/P250)),"")</f>
        <v/>
      </c>
      <c r="T250" s="11">
        <f>IF(AND(ISNUMBER(P250),ISNUMBER(Q250),P250&gt;0,ISNUMBER($B$100)),$B$100+3*SQRT($B$100/P250),"")</f>
        <v/>
      </c>
      <c r="U250" s="13">
        <f>IF(AND(ISNUMBER(R250),ISNUMBER(S250),ISNUMBER(T250)),IF(R250&gt;T250,"boven UCL",IF(R250&lt;S250,"onder LCL","")),"")</f>
        <v/>
      </c>
    </row>
    <row r="251">
      <c r="A251" t="n">
        <v>145</v>
      </c>
      <c r="B251" s="7" t="n"/>
      <c r="C251" s="11">
        <f>IF(AND(ISNUMBER(B251),ISNUMBER(B250)),ABS(B251-B250),"")</f>
        <v/>
      </c>
      <c r="D251" s="13">
        <f>IF(AND(ISNUMBER(B251),ISNUMBER($B$88),ISNUMBER($D$88)),IF(B251&gt;$D$88,"boven UCL",IF(B251&lt;$B$88,"onder LCL","")),"")</f>
        <v/>
      </c>
      <c r="E251" s="13">
        <f>IF(AND(ISNUMBER(C251),ISNUMBER($B$89),ISNUMBER($D$89)),IF(C251&gt;$D$89,"boven UCL",IF(C251&lt;$B$89,"onder LCL","")),"")</f>
        <v/>
      </c>
      <c r="G251" t="n">
        <v>145</v>
      </c>
      <c r="H251" s="7" t="n"/>
      <c r="I251" s="7" t="n"/>
      <c r="J251" s="11">
        <f>IF(AND(ISNUMBER(H251),ISNUMBER(I251),H251&gt;0,ISNUMBER($B$94)),I251/H251,"")</f>
        <v/>
      </c>
      <c r="K251" s="11">
        <f>IF(AND(ISNUMBER(H251),ISNUMBER(I251),H251&gt;0,ISNUMBER($B$94)),MAX(0,$B$94-3*SQRT($B$94*(1-$B$94)/H251)),"")</f>
        <v/>
      </c>
      <c r="L251" s="11">
        <f>IF(AND(ISNUMBER(H251),ISNUMBER(I251),H251&gt;0,ISNUMBER($B$94)),$B$94+3*SQRT($B$94*(1-$B$94)/H251),"")</f>
        <v/>
      </c>
      <c r="M251" s="13">
        <f>IF(AND(ISNUMBER(J251),ISNUMBER(K251),ISNUMBER(L251)),IF(J251&gt;L251,"boven UCL",IF(J251&lt;K251,"onder LCL","")),"")</f>
        <v/>
      </c>
      <c r="O251" t="n">
        <v>145</v>
      </c>
      <c r="P251" s="7" t="n"/>
      <c r="Q251" s="7" t="n"/>
      <c r="R251" s="11">
        <f>IF(AND(ISNUMBER(P251),ISNUMBER(Q251),P251&gt;0,ISNUMBER($B$100)),Q251/P251,"")</f>
        <v/>
      </c>
      <c r="S251" s="11">
        <f>IF(AND(ISNUMBER(P251),ISNUMBER(Q251),P251&gt;0,ISNUMBER($B$100)),MAX(0,$B$100-3*SQRT($B$100/P251)),"")</f>
        <v/>
      </c>
      <c r="T251" s="11">
        <f>IF(AND(ISNUMBER(P251),ISNUMBER(Q251),P251&gt;0,ISNUMBER($B$100)),$B$100+3*SQRT($B$100/P251),"")</f>
        <v/>
      </c>
      <c r="U251" s="13">
        <f>IF(AND(ISNUMBER(R251),ISNUMBER(S251),ISNUMBER(T251)),IF(R251&gt;T251,"boven UCL",IF(R251&lt;S251,"onder LCL","")),"")</f>
        <v/>
      </c>
    </row>
    <row r="252">
      <c r="A252" t="n">
        <v>146</v>
      </c>
      <c r="B252" s="7" t="n"/>
      <c r="C252" s="11">
        <f>IF(AND(ISNUMBER(B252),ISNUMBER(B251)),ABS(B252-B251),"")</f>
        <v/>
      </c>
      <c r="D252" s="13">
        <f>IF(AND(ISNUMBER(B252),ISNUMBER($B$88),ISNUMBER($D$88)),IF(B252&gt;$D$88,"boven UCL",IF(B252&lt;$B$88,"onder LCL","")),"")</f>
        <v/>
      </c>
      <c r="E252" s="13">
        <f>IF(AND(ISNUMBER(C252),ISNUMBER($B$89),ISNUMBER($D$89)),IF(C252&gt;$D$89,"boven UCL",IF(C252&lt;$B$89,"onder LCL","")),"")</f>
        <v/>
      </c>
      <c r="G252" t="n">
        <v>146</v>
      </c>
      <c r="H252" s="7" t="n"/>
      <c r="I252" s="7" t="n"/>
      <c r="J252" s="11">
        <f>IF(AND(ISNUMBER(H252),ISNUMBER(I252),H252&gt;0,ISNUMBER($B$94)),I252/H252,"")</f>
        <v/>
      </c>
      <c r="K252" s="11">
        <f>IF(AND(ISNUMBER(H252),ISNUMBER(I252),H252&gt;0,ISNUMBER($B$94)),MAX(0,$B$94-3*SQRT($B$94*(1-$B$94)/H252)),"")</f>
        <v/>
      </c>
      <c r="L252" s="11">
        <f>IF(AND(ISNUMBER(H252),ISNUMBER(I252),H252&gt;0,ISNUMBER($B$94)),$B$94+3*SQRT($B$94*(1-$B$94)/H252),"")</f>
        <v/>
      </c>
      <c r="M252" s="13">
        <f>IF(AND(ISNUMBER(J252),ISNUMBER(K252),ISNUMBER(L252)),IF(J252&gt;L252,"boven UCL",IF(J252&lt;K252,"onder LCL","")),"")</f>
        <v/>
      </c>
      <c r="O252" t="n">
        <v>146</v>
      </c>
      <c r="P252" s="7" t="n"/>
      <c r="Q252" s="7" t="n"/>
      <c r="R252" s="11">
        <f>IF(AND(ISNUMBER(P252),ISNUMBER(Q252),P252&gt;0,ISNUMBER($B$100)),Q252/P252,"")</f>
        <v/>
      </c>
      <c r="S252" s="11">
        <f>IF(AND(ISNUMBER(P252),ISNUMBER(Q252),P252&gt;0,ISNUMBER($B$100)),MAX(0,$B$100-3*SQRT($B$100/P252)),"")</f>
        <v/>
      </c>
      <c r="T252" s="11">
        <f>IF(AND(ISNUMBER(P252),ISNUMBER(Q252),P252&gt;0,ISNUMBER($B$100)),$B$100+3*SQRT($B$100/P252),"")</f>
        <v/>
      </c>
      <c r="U252" s="13">
        <f>IF(AND(ISNUMBER(R252),ISNUMBER(S252),ISNUMBER(T252)),IF(R252&gt;T252,"boven UCL",IF(R252&lt;S252,"onder LCL","")),"")</f>
        <v/>
      </c>
    </row>
    <row r="253">
      <c r="A253" t="n">
        <v>147</v>
      </c>
      <c r="B253" s="7" t="n"/>
      <c r="C253" s="11">
        <f>IF(AND(ISNUMBER(B253),ISNUMBER(B252)),ABS(B253-B252),"")</f>
        <v/>
      </c>
      <c r="D253" s="13">
        <f>IF(AND(ISNUMBER(B253),ISNUMBER($B$88),ISNUMBER($D$88)),IF(B253&gt;$D$88,"boven UCL",IF(B253&lt;$B$88,"onder LCL","")),"")</f>
        <v/>
      </c>
      <c r="E253" s="13">
        <f>IF(AND(ISNUMBER(C253),ISNUMBER($B$89),ISNUMBER($D$89)),IF(C253&gt;$D$89,"boven UCL",IF(C253&lt;$B$89,"onder LCL","")),"")</f>
        <v/>
      </c>
      <c r="G253" t="n">
        <v>147</v>
      </c>
      <c r="H253" s="7" t="n"/>
      <c r="I253" s="7" t="n"/>
      <c r="J253" s="11">
        <f>IF(AND(ISNUMBER(H253),ISNUMBER(I253),H253&gt;0,ISNUMBER($B$94)),I253/H253,"")</f>
        <v/>
      </c>
      <c r="K253" s="11">
        <f>IF(AND(ISNUMBER(H253),ISNUMBER(I253),H253&gt;0,ISNUMBER($B$94)),MAX(0,$B$94-3*SQRT($B$94*(1-$B$94)/H253)),"")</f>
        <v/>
      </c>
      <c r="L253" s="11">
        <f>IF(AND(ISNUMBER(H253),ISNUMBER(I253),H253&gt;0,ISNUMBER($B$94)),$B$94+3*SQRT($B$94*(1-$B$94)/H253),"")</f>
        <v/>
      </c>
      <c r="M253" s="13">
        <f>IF(AND(ISNUMBER(J253),ISNUMBER(K253),ISNUMBER(L253)),IF(J253&gt;L253,"boven UCL",IF(J253&lt;K253,"onder LCL","")),"")</f>
        <v/>
      </c>
      <c r="O253" t="n">
        <v>147</v>
      </c>
      <c r="P253" s="7" t="n"/>
      <c r="Q253" s="7" t="n"/>
      <c r="R253" s="11">
        <f>IF(AND(ISNUMBER(P253),ISNUMBER(Q253),P253&gt;0,ISNUMBER($B$100)),Q253/P253,"")</f>
        <v/>
      </c>
      <c r="S253" s="11">
        <f>IF(AND(ISNUMBER(P253),ISNUMBER(Q253),P253&gt;0,ISNUMBER($B$100)),MAX(0,$B$100-3*SQRT($B$100/P253)),"")</f>
        <v/>
      </c>
      <c r="T253" s="11">
        <f>IF(AND(ISNUMBER(P253),ISNUMBER(Q253),P253&gt;0,ISNUMBER($B$100)),$B$100+3*SQRT($B$100/P253),"")</f>
        <v/>
      </c>
      <c r="U253" s="13">
        <f>IF(AND(ISNUMBER(R253),ISNUMBER(S253),ISNUMBER(T253)),IF(R253&gt;T253,"boven UCL",IF(R253&lt;S253,"onder LCL","")),"")</f>
        <v/>
      </c>
    </row>
    <row r="254">
      <c r="A254" t="n">
        <v>148</v>
      </c>
      <c r="B254" s="7" t="n"/>
      <c r="C254" s="11">
        <f>IF(AND(ISNUMBER(B254),ISNUMBER(B253)),ABS(B254-B253),"")</f>
        <v/>
      </c>
      <c r="D254" s="13">
        <f>IF(AND(ISNUMBER(B254),ISNUMBER($B$88),ISNUMBER($D$88)),IF(B254&gt;$D$88,"boven UCL",IF(B254&lt;$B$88,"onder LCL","")),"")</f>
        <v/>
      </c>
      <c r="E254" s="13">
        <f>IF(AND(ISNUMBER(C254),ISNUMBER($B$89),ISNUMBER($D$89)),IF(C254&gt;$D$89,"boven UCL",IF(C254&lt;$B$89,"onder LCL","")),"")</f>
        <v/>
      </c>
      <c r="G254" t="n">
        <v>148</v>
      </c>
      <c r="H254" s="7" t="n"/>
      <c r="I254" s="7" t="n"/>
      <c r="J254" s="11">
        <f>IF(AND(ISNUMBER(H254),ISNUMBER(I254),H254&gt;0,ISNUMBER($B$94)),I254/H254,"")</f>
        <v/>
      </c>
      <c r="K254" s="11">
        <f>IF(AND(ISNUMBER(H254),ISNUMBER(I254),H254&gt;0,ISNUMBER($B$94)),MAX(0,$B$94-3*SQRT($B$94*(1-$B$94)/H254)),"")</f>
        <v/>
      </c>
      <c r="L254" s="11">
        <f>IF(AND(ISNUMBER(H254),ISNUMBER(I254),H254&gt;0,ISNUMBER($B$94)),$B$94+3*SQRT($B$94*(1-$B$94)/H254),"")</f>
        <v/>
      </c>
      <c r="M254" s="13">
        <f>IF(AND(ISNUMBER(J254),ISNUMBER(K254),ISNUMBER(L254)),IF(J254&gt;L254,"boven UCL",IF(J254&lt;K254,"onder LCL","")),"")</f>
        <v/>
      </c>
      <c r="O254" t="n">
        <v>148</v>
      </c>
      <c r="P254" s="7" t="n"/>
      <c r="Q254" s="7" t="n"/>
      <c r="R254" s="11">
        <f>IF(AND(ISNUMBER(P254),ISNUMBER(Q254),P254&gt;0,ISNUMBER($B$100)),Q254/P254,"")</f>
        <v/>
      </c>
      <c r="S254" s="11">
        <f>IF(AND(ISNUMBER(P254),ISNUMBER(Q254),P254&gt;0,ISNUMBER($B$100)),MAX(0,$B$100-3*SQRT($B$100/P254)),"")</f>
        <v/>
      </c>
      <c r="T254" s="11">
        <f>IF(AND(ISNUMBER(P254),ISNUMBER(Q254),P254&gt;0,ISNUMBER($B$100)),$B$100+3*SQRT($B$100/P254),"")</f>
        <v/>
      </c>
      <c r="U254" s="13">
        <f>IF(AND(ISNUMBER(R254),ISNUMBER(S254),ISNUMBER(T254)),IF(R254&gt;T254,"boven UCL",IF(R254&lt;S254,"onder LCL","")),"")</f>
        <v/>
      </c>
    </row>
    <row r="255">
      <c r="A255" t="n">
        <v>149</v>
      </c>
      <c r="B255" s="7" t="n"/>
      <c r="C255" s="11">
        <f>IF(AND(ISNUMBER(B255),ISNUMBER(B254)),ABS(B255-B254),"")</f>
        <v/>
      </c>
      <c r="D255" s="13">
        <f>IF(AND(ISNUMBER(B255),ISNUMBER($B$88),ISNUMBER($D$88)),IF(B255&gt;$D$88,"boven UCL",IF(B255&lt;$B$88,"onder LCL","")),"")</f>
        <v/>
      </c>
      <c r="E255" s="13">
        <f>IF(AND(ISNUMBER(C255),ISNUMBER($B$89),ISNUMBER($D$89)),IF(C255&gt;$D$89,"boven UCL",IF(C255&lt;$B$89,"onder LCL","")),"")</f>
        <v/>
      </c>
      <c r="G255" t="n">
        <v>149</v>
      </c>
      <c r="H255" s="7" t="n"/>
      <c r="I255" s="7" t="n"/>
      <c r="J255" s="11">
        <f>IF(AND(ISNUMBER(H255),ISNUMBER(I255),H255&gt;0,ISNUMBER($B$94)),I255/H255,"")</f>
        <v/>
      </c>
      <c r="K255" s="11">
        <f>IF(AND(ISNUMBER(H255),ISNUMBER(I255),H255&gt;0,ISNUMBER($B$94)),MAX(0,$B$94-3*SQRT($B$94*(1-$B$94)/H255)),"")</f>
        <v/>
      </c>
      <c r="L255" s="11">
        <f>IF(AND(ISNUMBER(H255),ISNUMBER(I255),H255&gt;0,ISNUMBER($B$94)),$B$94+3*SQRT($B$94*(1-$B$94)/H255),"")</f>
        <v/>
      </c>
      <c r="M255" s="13">
        <f>IF(AND(ISNUMBER(J255),ISNUMBER(K255),ISNUMBER(L255)),IF(J255&gt;L255,"boven UCL",IF(J255&lt;K255,"onder LCL","")),"")</f>
        <v/>
      </c>
      <c r="O255" t="n">
        <v>149</v>
      </c>
      <c r="P255" s="7" t="n"/>
      <c r="Q255" s="7" t="n"/>
      <c r="R255" s="11">
        <f>IF(AND(ISNUMBER(P255),ISNUMBER(Q255),P255&gt;0,ISNUMBER($B$100)),Q255/P255,"")</f>
        <v/>
      </c>
      <c r="S255" s="11">
        <f>IF(AND(ISNUMBER(P255),ISNUMBER(Q255),P255&gt;0,ISNUMBER($B$100)),MAX(0,$B$100-3*SQRT($B$100/P255)),"")</f>
        <v/>
      </c>
      <c r="T255" s="11">
        <f>IF(AND(ISNUMBER(P255),ISNUMBER(Q255),P255&gt;0,ISNUMBER($B$100)),$B$100+3*SQRT($B$100/P255),"")</f>
        <v/>
      </c>
      <c r="U255" s="13">
        <f>IF(AND(ISNUMBER(R255),ISNUMBER(S255),ISNUMBER(T255)),IF(R255&gt;T255,"boven UCL",IF(R255&lt;S255,"onder LCL","")),"")</f>
        <v/>
      </c>
    </row>
    <row r="256">
      <c r="A256" t="n">
        <v>150</v>
      </c>
      <c r="B256" s="7" t="n"/>
      <c r="C256" s="11">
        <f>IF(AND(ISNUMBER(B256),ISNUMBER(B255)),ABS(B256-B255),"")</f>
        <v/>
      </c>
      <c r="D256" s="13">
        <f>IF(AND(ISNUMBER(B256),ISNUMBER($B$88),ISNUMBER($D$88)),IF(B256&gt;$D$88,"boven UCL",IF(B256&lt;$B$88,"onder LCL","")),"")</f>
        <v/>
      </c>
      <c r="E256" s="13">
        <f>IF(AND(ISNUMBER(C256),ISNUMBER($B$89),ISNUMBER($D$89)),IF(C256&gt;$D$89,"boven UCL",IF(C256&lt;$B$89,"onder LCL","")),"")</f>
        <v/>
      </c>
      <c r="G256" t="n">
        <v>150</v>
      </c>
      <c r="H256" s="7" t="n"/>
      <c r="I256" s="7" t="n"/>
      <c r="J256" s="11">
        <f>IF(AND(ISNUMBER(H256),ISNUMBER(I256),H256&gt;0,ISNUMBER($B$94)),I256/H256,"")</f>
        <v/>
      </c>
      <c r="K256" s="11">
        <f>IF(AND(ISNUMBER(H256),ISNUMBER(I256),H256&gt;0,ISNUMBER($B$94)),MAX(0,$B$94-3*SQRT($B$94*(1-$B$94)/H256)),"")</f>
        <v/>
      </c>
      <c r="L256" s="11">
        <f>IF(AND(ISNUMBER(H256),ISNUMBER(I256),H256&gt;0,ISNUMBER($B$94)),$B$94+3*SQRT($B$94*(1-$B$94)/H256),"")</f>
        <v/>
      </c>
      <c r="M256" s="13">
        <f>IF(AND(ISNUMBER(J256),ISNUMBER(K256),ISNUMBER(L256)),IF(J256&gt;L256,"boven UCL",IF(J256&lt;K256,"onder LCL","")),"")</f>
        <v/>
      </c>
      <c r="O256" t="n">
        <v>150</v>
      </c>
      <c r="P256" s="7" t="n"/>
      <c r="Q256" s="7" t="n"/>
      <c r="R256" s="11">
        <f>IF(AND(ISNUMBER(P256),ISNUMBER(Q256),P256&gt;0,ISNUMBER($B$100)),Q256/P256,"")</f>
        <v/>
      </c>
      <c r="S256" s="11">
        <f>IF(AND(ISNUMBER(P256),ISNUMBER(Q256),P256&gt;0,ISNUMBER($B$100)),MAX(0,$B$100-3*SQRT($B$100/P256)),"")</f>
        <v/>
      </c>
      <c r="T256" s="11">
        <f>IF(AND(ISNUMBER(P256),ISNUMBER(Q256),P256&gt;0,ISNUMBER($B$100)),$B$100+3*SQRT($B$100/P256),"")</f>
        <v/>
      </c>
      <c r="U256" s="13">
        <f>IF(AND(ISNUMBER(R256),ISNUMBER(S256),ISNUMBER(T256)),IF(R256&gt;T256,"boven UCL",IF(R256&lt;S256,"onder LCL","")),"")</f>
        <v/>
      </c>
    </row>
    <row r="257">
      <c r="A257" t="n">
        <v>151</v>
      </c>
      <c r="B257" s="7" t="n"/>
      <c r="C257" s="11">
        <f>IF(AND(ISNUMBER(B257),ISNUMBER(B256)),ABS(B257-B256),"")</f>
        <v/>
      </c>
      <c r="D257" s="13">
        <f>IF(AND(ISNUMBER(B257),ISNUMBER($B$88),ISNUMBER($D$88)),IF(B257&gt;$D$88,"boven UCL",IF(B257&lt;$B$88,"onder LCL","")),"")</f>
        <v/>
      </c>
      <c r="E257" s="13">
        <f>IF(AND(ISNUMBER(C257),ISNUMBER($B$89),ISNUMBER($D$89)),IF(C257&gt;$D$89,"boven UCL",IF(C257&lt;$B$89,"onder LCL","")),"")</f>
        <v/>
      </c>
      <c r="G257" t="n">
        <v>151</v>
      </c>
      <c r="H257" s="7" t="n"/>
      <c r="I257" s="7" t="n"/>
      <c r="J257" s="11">
        <f>IF(AND(ISNUMBER(H257),ISNUMBER(I257),H257&gt;0,ISNUMBER($B$94)),I257/H257,"")</f>
        <v/>
      </c>
      <c r="K257" s="11">
        <f>IF(AND(ISNUMBER(H257),ISNUMBER(I257),H257&gt;0,ISNUMBER($B$94)),MAX(0,$B$94-3*SQRT($B$94*(1-$B$94)/H257)),"")</f>
        <v/>
      </c>
      <c r="L257" s="11">
        <f>IF(AND(ISNUMBER(H257),ISNUMBER(I257),H257&gt;0,ISNUMBER($B$94)),$B$94+3*SQRT($B$94*(1-$B$94)/H257),"")</f>
        <v/>
      </c>
      <c r="M257" s="13">
        <f>IF(AND(ISNUMBER(J257),ISNUMBER(K257),ISNUMBER(L257)),IF(J257&gt;L257,"boven UCL",IF(J257&lt;K257,"onder LCL","")),"")</f>
        <v/>
      </c>
      <c r="O257" t="n">
        <v>151</v>
      </c>
      <c r="P257" s="7" t="n"/>
      <c r="Q257" s="7" t="n"/>
      <c r="R257" s="11">
        <f>IF(AND(ISNUMBER(P257),ISNUMBER(Q257),P257&gt;0,ISNUMBER($B$100)),Q257/P257,"")</f>
        <v/>
      </c>
      <c r="S257" s="11">
        <f>IF(AND(ISNUMBER(P257),ISNUMBER(Q257),P257&gt;0,ISNUMBER($B$100)),MAX(0,$B$100-3*SQRT($B$100/P257)),"")</f>
        <v/>
      </c>
      <c r="T257" s="11">
        <f>IF(AND(ISNUMBER(P257),ISNUMBER(Q257),P257&gt;0,ISNUMBER($B$100)),$B$100+3*SQRT($B$100/P257),"")</f>
        <v/>
      </c>
      <c r="U257" s="13">
        <f>IF(AND(ISNUMBER(R257),ISNUMBER(S257),ISNUMBER(T257)),IF(R257&gt;T257,"boven UCL",IF(R257&lt;S257,"onder LCL","")),"")</f>
        <v/>
      </c>
    </row>
    <row r="258">
      <c r="A258" t="n">
        <v>152</v>
      </c>
      <c r="B258" s="7" t="n"/>
      <c r="C258" s="11">
        <f>IF(AND(ISNUMBER(B258),ISNUMBER(B257)),ABS(B258-B257),"")</f>
        <v/>
      </c>
      <c r="D258" s="13">
        <f>IF(AND(ISNUMBER(B258),ISNUMBER($B$88),ISNUMBER($D$88)),IF(B258&gt;$D$88,"boven UCL",IF(B258&lt;$B$88,"onder LCL","")),"")</f>
        <v/>
      </c>
      <c r="E258" s="13">
        <f>IF(AND(ISNUMBER(C258),ISNUMBER($B$89),ISNUMBER($D$89)),IF(C258&gt;$D$89,"boven UCL",IF(C258&lt;$B$89,"onder LCL","")),"")</f>
        <v/>
      </c>
      <c r="G258" t="n">
        <v>152</v>
      </c>
      <c r="H258" s="7" t="n"/>
      <c r="I258" s="7" t="n"/>
      <c r="J258" s="11">
        <f>IF(AND(ISNUMBER(H258),ISNUMBER(I258),H258&gt;0,ISNUMBER($B$94)),I258/H258,"")</f>
        <v/>
      </c>
      <c r="K258" s="11">
        <f>IF(AND(ISNUMBER(H258),ISNUMBER(I258),H258&gt;0,ISNUMBER($B$94)),MAX(0,$B$94-3*SQRT($B$94*(1-$B$94)/H258)),"")</f>
        <v/>
      </c>
      <c r="L258" s="11">
        <f>IF(AND(ISNUMBER(H258),ISNUMBER(I258),H258&gt;0,ISNUMBER($B$94)),$B$94+3*SQRT($B$94*(1-$B$94)/H258),"")</f>
        <v/>
      </c>
      <c r="M258" s="13">
        <f>IF(AND(ISNUMBER(J258),ISNUMBER(K258),ISNUMBER(L258)),IF(J258&gt;L258,"boven UCL",IF(J258&lt;K258,"onder LCL","")),"")</f>
        <v/>
      </c>
      <c r="O258" t="n">
        <v>152</v>
      </c>
      <c r="P258" s="7" t="n"/>
      <c r="Q258" s="7" t="n"/>
      <c r="R258" s="11">
        <f>IF(AND(ISNUMBER(P258),ISNUMBER(Q258),P258&gt;0,ISNUMBER($B$100)),Q258/P258,"")</f>
        <v/>
      </c>
      <c r="S258" s="11">
        <f>IF(AND(ISNUMBER(P258),ISNUMBER(Q258),P258&gt;0,ISNUMBER($B$100)),MAX(0,$B$100-3*SQRT($B$100/P258)),"")</f>
        <v/>
      </c>
      <c r="T258" s="11">
        <f>IF(AND(ISNUMBER(P258),ISNUMBER(Q258),P258&gt;0,ISNUMBER($B$100)),$B$100+3*SQRT($B$100/P258),"")</f>
        <v/>
      </c>
      <c r="U258" s="13">
        <f>IF(AND(ISNUMBER(R258),ISNUMBER(S258),ISNUMBER(T258)),IF(R258&gt;T258,"boven UCL",IF(R258&lt;S258,"onder LCL","")),"")</f>
        <v/>
      </c>
    </row>
    <row r="259">
      <c r="A259" t="n">
        <v>153</v>
      </c>
      <c r="B259" s="7" t="n"/>
      <c r="C259" s="11">
        <f>IF(AND(ISNUMBER(B259),ISNUMBER(B258)),ABS(B259-B258),"")</f>
        <v/>
      </c>
      <c r="D259" s="13">
        <f>IF(AND(ISNUMBER(B259),ISNUMBER($B$88),ISNUMBER($D$88)),IF(B259&gt;$D$88,"boven UCL",IF(B259&lt;$B$88,"onder LCL","")),"")</f>
        <v/>
      </c>
      <c r="E259" s="13">
        <f>IF(AND(ISNUMBER(C259),ISNUMBER($B$89),ISNUMBER($D$89)),IF(C259&gt;$D$89,"boven UCL",IF(C259&lt;$B$89,"onder LCL","")),"")</f>
        <v/>
      </c>
      <c r="G259" t="n">
        <v>153</v>
      </c>
      <c r="H259" s="7" t="n"/>
      <c r="I259" s="7" t="n"/>
      <c r="J259" s="11">
        <f>IF(AND(ISNUMBER(H259),ISNUMBER(I259),H259&gt;0,ISNUMBER($B$94)),I259/H259,"")</f>
        <v/>
      </c>
      <c r="K259" s="11">
        <f>IF(AND(ISNUMBER(H259),ISNUMBER(I259),H259&gt;0,ISNUMBER($B$94)),MAX(0,$B$94-3*SQRT($B$94*(1-$B$94)/H259)),"")</f>
        <v/>
      </c>
      <c r="L259" s="11">
        <f>IF(AND(ISNUMBER(H259),ISNUMBER(I259),H259&gt;0,ISNUMBER($B$94)),$B$94+3*SQRT($B$94*(1-$B$94)/H259),"")</f>
        <v/>
      </c>
      <c r="M259" s="13">
        <f>IF(AND(ISNUMBER(J259),ISNUMBER(K259),ISNUMBER(L259)),IF(J259&gt;L259,"boven UCL",IF(J259&lt;K259,"onder LCL","")),"")</f>
        <v/>
      </c>
      <c r="O259" t="n">
        <v>153</v>
      </c>
      <c r="P259" s="7" t="n"/>
      <c r="Q259" s="7" t="n"/>
      <c r="R259" s="11">
        <f>IF(AND(ISNUMBER(P259),ISNUMBER(Q259),P259&gt;0,ISNUMBER($B$100)),Q259/P259,"")</f>
        <v/>
      </c>
      <c r="S259" s="11">
        <f>IF(AND(ISNUMBER(P259),ISNUMBER(Q259),P259&gt;0,ISNUMBER($B$100)),MAX(0,$B$100-3*SQRT($B$100/P259)),"")</f>
        <v/>
      </c>
      <c r="T259" s="11">
        <f>IF(AND(ISNUMBER(P259),ISNUMBER(Q259),P259&gt;0,ISNUMBER($B$100)),$B$100+3*SQRT($B$100/P259),"")</f>
        <v/>
      </c>
      <c r="U259" s="13">
        <f>IF(AND(ISNUMBER(R259),ISNUMBER(S259),ISNUMBER(T259)),IF(R259&gt;T259,"boven UCL",IF(R259&lt;S259,"onder LCL","")),"")</f>
        <v/>
      </c>
    </row>
    <row r="260">
      <c r="A260" t="n">
        <v>154</v>
      </c>
      <c r="B260" s="7" t="n"/>
      <c r="C260" s="11">
        <f>IF(AND(ISNUMBER(B260),ISNUMBER(B259)),ABS(B260-B259),"")</f>
        <v/>
      </c>
      <c r="D260" s="13">
        <f>IF(AND(ISNUMBER(B260),ISNUMBER($B$88),ISNUMBER($D$88)),IF(B260&gt;$D$88,"boven UCL",IF(B260&lt;$B$88,"onder LCL","")),"")</f>
        <v/>
      </c>
      <c r="E260" s="13">
        <f>IF(AND(ISNUMBER(C260),ISNUMBER($B$89),ISNUMBER($D$89)),IF(C260&gt;$D$89,"boven UCL",IF(C260&lt;$B$89,"onder LCL","")),"")</f>
        <v/>
      </c>
      <c r="G260" t="n">
        <v>154</v>
      </c>
      <c r="H260" s="7" t="n"/>
      <c r="I260" s="7" t="n"/>
      <c r="J260" s="11">
        <f>IF(AND(ISNUMBER(H260),ISNUMBER(I260),H260&gt;0,ISNUMBER($B$94)),I260/H260,"")</f>
        <v/>
      </c>
      <c r="K260" s="11">
        <f>IF(AND(ISNUMBER(H260),ISNUMBER(I260),H260&gt;0,ISNUMBER($B$94)),MAX(0,$B$94-3*SQRT($B$94*(1-$B$94)/H260)),"")</f>
        <v/>
      </c>
      <c r="L260" s="11">
        <f>IF(AND(ISNUMBER(H260),ISNUMBER(I260),H260&gt;0,ISNUMBER($B$94)),$B$94+3*SQRT($B$94*(1-$B$94)/H260),"")</f>
        <v/>
      </c>
      <c r="M260" s="13">
        <f>IF(AND(ISNUMBER(J260),ISNUMBER(K260),ISNUMBER(L260)),IF(J260&gt;L260,"boven UCL",IF(J260&lt;K260,"onder LCL","")),"")</f>
        <v/>
      </c>
      <c r="O260" t="n">
        <v>154</v>
      </c>
      <c r="P260" s="7" t="n"/>
      <c r="Q260" s="7" t="n"/>
      <c r="R260" s="11">
        <f>IF(AND(ISNUMBER(P260),ISNUMBER(Q260),P260&gt;0,ISNUMBER($B$100)),Q260/P260,"")</f>
        <v/>
      </c>
      <c r="S260" s="11">
        <f>IF(AND(ISNUMBER(P260),ISNUMBER(Q260),P260&gt;0,ISNUMBER($B$100)),MAX(0,$B$100-3*SQRT($B$100/P260)),"")</f>
        <v/>
      </c>
      <c r="T260" s="11">
        <f>IF(AND(ISNUMBER(P260),ISNUMBER(Q260),P260&gt;0,ISNUMBER($B$100)),$B$100+3*SQRT($B$100/P260),"")</f>
        <v/>
      </c>
      <c r="U260" s="13">
        <f>IF(AND(ISNUMBER(R260),ISNUMBER(S260),ISNUMBER(T260)),IF(R260&gt;T260,"boven UCL",IF(R260&lt;S260,"onder LCL","")),"")</f>
        <v/>
      </c>
    </row>
    <row r="261">
      <c r="A261" t="n">
        <v>155</v>
      </c>
      <c r="B261" s="7" t="n"/>
      <c r="C261" s="11">
        <f>IF(AND(ISNUMBER(B261),ISNUMBER(B260)),ABS(B261-B260),"")</f>
        <v/>
      </c>
      <c r="D261" s="13">
        <f>IF(AND(ISNUMBER(B261),ISNUMBER($B$88),ISNUMBER($D$88)),IF(B261&gt;$D$88,"boven UCL",IF(B261&lt;$B$88,"onder LCL","")),"")</f>
        <v/>
      </c>
      <c r="E261" s="13">
        <f>IF(AND(ISNUMBER(C261),ISNUMBER($B$89),ISNUMBER($D$89)),IF(C261&gt;$D$89,"boven UCL",IF(C261&lt;$B$89,"onder LCL","")),"")</f>
        <v/>
      </c>
      <c r="G261" t="n">
        <v>155</v>
      </c>
      <c r="H261" s="7" t="n"/>
      <c r="I261" s="7" t="n"/>
      <c r="J261" s="11">
        <f>IF(AND(ISNUMBER(H261),ISNUMBER(I261),H261&gt;0,ISNUMBER($B$94)),I261/H261,"")</f>
        <v/>
      </c>
      <c r="K261" s="11">
        <f>IF(AND(ISNUMBER(H261),ISNUMBER(I261),H261&gt;0,ISNUMBER($B$94)),MAX(0,$B$94-3*SQRT($B$94*(1-$B$94)/H261)),"")</f>
        <v/>
      </c>
      <c r="L261" s="11">
        <f>IF(AND(ISNUMBER(H261),ISNUMBER(I261),H261&gt;0,ISNUMBER($B$94)),$B$94+3*SQRT($B$94*(1-$B$94)/H261),"")</f>
        <v/>
      </c>
      <c r="M261" s="13">
        <f>IF(AND(ISNUMBER(J261),ISNUMBER(K261),ISNUMBER(L261)),IF(J261&gt;L261,"boven UCL",IF(J261&lt;K261,"onder LCL","")),"")</f>
        <v/>
      </c>
      <c r="O261" t="n">
        <v>155</v>
      </c>
      <c r="P261" s="7" t="n"/>
      <c r="Q261" s="7" t="n"/>
      <c r="R261" s="11">
        <f>IF(AND(ISNUMBER(P261),ISNUMBER(Q261),P261&gt;0,ISNUMBER($B$100)),Q261/P261,"")</f>
        <v/>
      </c>
      <c r="S261" s="11">
        <f>IF(AND(ISNUMBER(P261),ISNUMBER(Q261),P261&gt;0,ISNUMBER($B$100)),MAX(0,$B$100-3*SQRT($B$100/P261)),"")</f>
        <v/>
      </c>
      <c r="T261" s="11">
        <f>IF(AND(ISNUMBER(P261),ISNUMBER(Q261),P261&gt;0,ISNUMBER($B$100)),$B$100+3*SQRT($B$100/P261),"")</f>
        <v/>
      </c>
      <c r="U261" s="13">
        <f>IF(AND(ISNUMBER(R261),ISNUMBER(S261),ISNUMBER(T261)),IF(R261&gt;T261,"boven UCL",IF(R261&lt;S261,"onder LCL","")),"")</f>
        <v/>
      </c>
    </row>
    <row r="262">
      <c r="A262" t="n">
        <v>156</v>
      </c>
      <c r="B262" s="7" t="n"/>
      <c r="C262" s="11">
        <f>IF(AND(ISNUMBER(B262),ISNUMBER(B261)),ABS(B262-B261),"")</f>
        <v/>
      </c>
      <c r="D262" s="13">
        <f>IF(AND(ISNUMBER(B262),ISNUMBER($B$88),ISNUMBER($D$88)),IF(B262&gt;$D$88,"boven UCL",IF(B262&lt;$B$88,"onder LCL","")),"")</f>
        <v/>
      </c>
      <c r="E262" s="13">
        <f>IF(AND(ISNUMBER(C262),ISNUMBER($B$89),ISNUMBER($D$89)),IF(C262&gt;$D$89,"boven UCL",IF(C262&lt;$B$89,"onder LCL","")),"")</f>
        <v/>
      </c>
      <c r="G262" t="n">
        <v>156</v>
      </c>
      <c r="H262" s="7" t="n"/>
      <c r="I262" s="7" t="n"/>
      <c r="J262" s="11">
        <f>IF(AND(ISNUMBER(H262),ISNUMBER(I262),H262&gt;0,ISNUMBER($B$94)),I262/H262,"")</f>
        <v/>
      </c>
      <c r="K262" s="11">
        <f>IF(AND(ISNUMBER(H262),ISNUMBER(I262),H262&gt;0,ISNUMBER($B$94)),MAX(0,$B$94-3*SQRT($B$94*(1-$B$94)/H262)),"")</f>
        <v/>
      </c>
      <c r="L262" s="11">
        <f>IF(AND(ISNUMBER(H262),ISNUMBER(I262),H262&gt;0,ISNUMBER($B$94)),$B$94+3*SQRT($B$94*(1-$B$94)/H262),"")</f>
        <v/>
      </c>
      <c r="M262" s="13">
        <f>IF(AND(ISNUMBER(J262),ISNUMBER(K262),ISNUMBER(L262)),IF(J262&gt;L262,"boven UCL",IF(J262&lt;K262,"onder LCL","")),"")</f>
        <v/>
      </c>
      <c r="O262" t="n">
        <v>156</v>
      </c>
      <c r="P262" s="7" t="n"/>
      <c r="Q262" s="7" t="n"/>
      <c r="R262" s="11">
        <f>IF(AND(ISNUMBER(P262),ISNUMBER(Q262),P262&gt;0,ISNUMBER($B$100)),Q262/P262,"")</f>
        <v/>
      </c>
      <c r="S262" s="11">
        <f>IF(AND(ISNUMBER(P262),ISNUMBER(Q262),P262&gt;0,ISNUMBER($B$100)),MAX(0,$B$100-3*SQRT($B$100/P262)),"")</f>
        <v/>
      </c>
      <c r="T262" s="11">
        <f>IF(AND(ISNUMBER(P262),ISNUMBER(Q262),P262&gt;0,ISNUMBER($B$100)),$B$100+3*SQRT($B$100/P262),"")</f>
        <v/>
      </c>
      <c r="U262" s="13">
        <f>IF(AND(ISNUMBER(R262),ISNUMBER(S262),ISNUMBER(T262)),IF(R262&gt;T262,"boven UCL",IF(R262&lt;S262,"onder LCL","")),"")</f>
        <v/>
      </c>
    </row>
    <row r="263">
      <c r="A263" t="n">
        <v>157</v>
      </c>
      <c r="B263" s="7" t="n"/>
      <c r="C263" s="11">
        <f>IF(AND(ISNUMBER(B263),ISNUMBER(B262)),ABS(B263-B262),"")</f>
        <v/>
      </c>
      <c r="D263" s="13">
        <f>IF(AND(ISNUMBER(B263),ISNUMBER($B$88),ISNUMBER($D$88)),IF(B263&gt;$D$88,"boven UCL",IF(B263&lt;$B$88,"onder LCL","")),"")</f>
        <v/>
      </c>
      <c r="E263" s="13">
        <f>IF(AND(ISNUMBER(C263),ISNUMBER($B$89),ISNUMBER($D$89)),IF(C263&gt;$D$89,"boven UCL",IF(C263&lt;$B$89,"onder LCL","")),"")</f>
        <v/>
      </c>
      <c r="G263" t="n">
        <v>157</v>
      </c>
      <c r="H263" s="7" t="n"/>
      <c r="I263" s="7" t="n"/>
      <c r="J263" s="11">
        <f>IF(AND(ISNUMBER(H263),ISNUMBER(I263),H263&gt;0,ISNUMBER($B$94)),I263/H263,"")</f>
        <v/>
      </c>
      <c r="K263" s="11">
        <f>IF(AND(ISNUMBER(H263),ISNUMBER(I263),H263&gt;0,ISNUMBER($B$94)),MAX(0,$B$94-3*SQRT($B$94*(1-$B$94)/H263)),"")</f>
        <v/>
      </c>
      <c r="L263" s="11">
        <f>IF(AND(ISNUMBER(H263),ISNUMBER(I263),H263&gt;0,ISNUMBER($B$94)),$B$94+3*SQRT($B$94*(1-$B$94)/H263),"")</f>
        <v/>
      </c>
      <c r="M263" s="13">
        <f>IF(AND(ISNUMBER(J263),ISNUMBER(K263),ISNUMBER(L263)),IF(J263&gt;L263,"boven UCL",IF(J263&lt;K263,"onder LCL","")),"")</f>
        <v/>
      </c>
      <c r="O263" t="n">
        <v>157</v>
      </c>
      <c r="P263" s="7" t="n"/>
      <c r="Q263" s="7" t="n"/>
      <c r="R263" s="11">
        <f>IF(AND(ISNUMBER(P263),ISNUMBER(Q263),P263&gt;0,ISNUMBER($B$100)),Q263/P263,"")</f>
        <v/>
      </c>
      <c r="S263" s="11">
        <f>IF(AND(ISNUMBER(P263),ISNUMBER(Q263),P263&gt;0,ISNUMBER($B$100)),MAX(0,$B$100-3*SQRT($B$100/P263)),"")</f>
        <v/>
      </c>
      <c r="T263" s="11">
        <f>IF(AND(ISNUMBER(P263),ISNUMBER(Q263),P263&gt;0,ISNUMBER($B$100)),$B$100+3*SQRT($B$100/P263),"")</f>
        <v/>
      </c>
      <c r="U263" s="13">
        <f>IF(AND(ISNUMBER(R263),ISNUMBER(S263),ISNUMBER(T263)),IF(R263&gt;T263,"boven UCL",IF(R263&lt;S263,"onder LCL","")),"")</f>
        <v/>
      </c>
    </row>
    <row r="264">
      <c r="A264" t="n">
        <v>158</v>
      </c>
      <c r="B264" s="7" t="n"/>
      <c r="C264" s="11">
        <f>IF(AND(ISNUMBER(B264),ISNUMBER(B263)),ABS(B264-B263),"")</f>
        <v/>
      </c>
      <c r="D264" s="13">
        <f>IF(AND(ISNUMBER(B264),ISNUMBER($B$88),ISNUMBER($D$88)),IF(B264&gt;$D$88,"boven UCL",IF(B264&lt;$B$88,"onder LCL","")),"")</f>
        <v/>
      </c>
      <c r="E264" s="13">
        <f>IF(AND(ISNUMBER(C264),ISNUMBER($B$89),ISNUMBER($D$89)),IF(C264&gt;$D$89,"boven UCL",IF(C264&lt;$B$89,"onder LCL","")),"")</f>
        <v/>
      </c>
      <c r="G264" t="n">
        <v>158</v>
      </c>
      <c r="H264" s="7" t="n"/>
      <c r="I264" s="7" t="n"/>
      <c r="J264" s="11">
        <f>IF(AND(ISNUMBER(H264),ISNUMBER(I264),H264&gt;0,ISNUMBER($B$94)),I264/H264,"")</f>
        <v/>
      </c>
      <c r="K264" s="11">
        <f>IF(AND(ISNUMBER(H264),ISNUMBER(I264),H264&gt;0,ISNUMBER($B$94)),MAX(0,$B$94-3*SQRT($B$94*(1-$B$94)/H264)),"")</f>
        <v/>
      </c>
      <c r="L264" s="11">
        <f>IF(AND(ISNUMBER(H264),ISNUMBER(I264),H264&gt;0,ISNUMBER($B$94)),$B$94+3*SQRT($B$94*(1-$B$94)/H264),"")</f>
        <v/>
      </c>
      <c r="M264" s="13">
        <f>IF(AND(ISNUMBER(J264),ISNUMBER(K264),ISNUMBER(L264)),IF(J264&gt;L264,"boven UCL",IF(J264&lt;K264,"onder LCL","")),"")</f>
        <v/>
      </c>
      <c r="O264" t="n">
        <v>158</v>
      </c>
      <c r="P264" s="7" t="n"/>
      <c r="Q264" s="7" t="n"/>
      <c r="R264" s="11">
        <f>IF(AND(ISNUMBER(P264),ISNUMBER(Q264),P264&gt;0,ISNUMBER($B$100)),Q264/P264,"")</f>
        <v/>
      </c>
      <c r="S264" s="11">
        <f>IF(AND(ISNUMBER(P264),ISNUMBER(Q264),P264&gt;0,ISNUMBER($B$100)),MAX(0,$B$100-3*SQRT($B$100/P264)),"")</f>
        <v/>
      </c>
      <c r="T264" s="11">
        <f>IF(AND(ISNUMBER(P264),ISNUMBER(Q264),P264&gt;0,ISNUMBER($B$100)),$B$100+3*SQRT($B$100/P264),"")</f>
        <v/>
      </c>
      <c r="U264" s="13">
        <f>IF(AND(ISNUMBER(R264),ISNUMBER(S264),ISNUMBER(T264)),IF(R264&gt;T264,"boven UCL",IF(R264&lt;S264,"onder LCL","")),"")</f>
        <v/>
      </c>
    </row>
    <row r="265">
      <c r="A265" t="n">
        <v>159</v>
      </c>
      <c r="B265" s="7" t="n"/>
      <c r="C265" s="11">
        <f>IF(AND(ISNUMBER(B265),ISNUMBER(B264)),ABS(B265-B264),"")</f>
        <v/>
      </c>
      <c r="D265" s="13">
        <f>IF(AND(ISNUMBER(B265),ISNUMBER($B$88),ISNUMBER($D$88)),IF(B265&gt;$D$88,"boven UCL",IF(B265&lt;$B$88,"onder LCL","")),"")</f>
        <v/>
      </c>
      <c r="E265" s="13">
        <f>IF(AND(ISNUMBER(C265),ISNUMBER($B$89),ISNUMBER($D$89)),IF(C265&gt;$D$89,"boven UCL",IF(C265&lt;$B$89,"onder LCL","")),"")</f>
        <v/>
      </c>
      <c r="G265" t="n">
        <v>159</v>
      </c>
      <c r="H265" s="7" t="n"/>
      <c r="I265" s="7" t="n"/>
      <c r="J265" s="11">
        <f>IF(AND(ISNUMBER(H265),ISNUMBER(I265),H265&gt;0,ISNUMBER($B$94)),I265/H265,"")</f>
        <v/>
      </c>
      <c r="K265" s="11">
        <f>IF(AND(ISNUMBER(H265),ISNUMBER(I265),H265&gt;0,ISNUMBER($B$94)),MAX(0,$B$94-3*SQRT($B$94*(1-$B$94)/H265)),"")</f>
        <v/>
      </c>
      <c r="L265" s="11">
        <f>IF(AND(ISNUMBER(H265),ISNUMBER(I265),H265&gt;0,ISNUMBER($B$94)),$B$94+3*SQRT($B$94*(1-$B$94)/H265),"")</f>
        <v/>
      </c>
      <c r="M265" s="13">
        <f>IF(AND(ISNUMBER(J265),ISNUMBER(K265),ISNUMBER(L265)),IF(J265&gt;L265,"boven UCL",IF(J265&lt;K265,"onder LCL","")),"")</f>
        <v/>
      </c>
      <c r="O265" t="n">
        <v>159</v>
      </c>
      <c r="P265" s="7" t="n"/>
      <c r="Q265" s="7" t="n"/>
      <c r="R265" s="11">
        <f>IF(AND(ISNUMBER(P265),ISNUMBER(Q265),P265&gt;0,ISNUMBER($B$100)),Q265/P265,"")</f>
        <v/>
      </c>
      <c r="S265" s="11">
        <f>IF(AND(ISNUMBER(P265),ISNUMBER(Q265),P265&gt;0,ISNUMBER($B$100)),MAX(0,$B$100-3*SQRT($B$100/P265)),"")</f>
        <v/>
      </c>
      <c r="T265" s="11">
        <f>IF(AND(ISNUMBER(P265),ISNUMBER(Q265),P265&gt;0,ISNUMBER($B$100)),$B$100+3*SQRT($B$100/P265),"")</f>
        <v/>
      </c>
      <c r="U265" s="13">
        <f>IF(AND(ISNUMBER(R265),ISNUMBER(S265),ISNUMBER(T265)),IF(R265&gt;T265,"boven UCL",IF(R265&lt;S265,"onder LCL","")),"")</f>
        <v/>
      </c>
    </row>
    <row r="266">
      <c r="A266" t="n">
        <v>160</v>
      </c>
      <c r="B266" s="7" t="n"/>
      <c r="C266" s="11">
        <f>IF(AND(ISNUMBER(B266),ISNUMBER(B265)),ABS(B266-B265),"")</f>
        <v/>
      </c>
      <c r="D266" s="13">
        <f>IF(AND(ISNUMBER(B266),ISNUMBER($B$88),ISNUMBER($D$88)),IF(B266&gt;$D$88,"boven UCL",IF(B266&lt;$B$88,"onder LCL","")),"")</f>
        <v/>
      </c>
      <c r="E266" s="13">
        <f>IF(AND(ISNUMBER(C266),ISNUMBER($B$89),ISNUMBER($D$89)),IF(C266&gt;$D$89,"boven UCL",IF(C266&lt;$B$89,"onder LCL","")),"")</f>
        <v/>
      </c>
      <c r="G266" t="n">
        <v>160</v>
      </c>
      <c r="H266" s="7" t="n"/>
      <c r="I266" s="7" t="n"/>
      <c r="J266" s="11">
        <f>IF(AND(ISNUMBER(H266),ISNUMBER(I266),H266&gt;0,ISNUMBER($B$94)),I266/H266,"")</f>
        <v/>
      </c>
      <c r="K266" s="11">
        <f>IF(AND(ISNUMBER(H266),ISNUMBER(I266),H266&gt;0,ISNUMBER($B$94)),MAX(0,$B$94-3*SQRT($B$94*(1-$B$94)/H266)),"")</f>
        <v/>
      </c>
      <c r="L266" s="11">
        <f>IF(AND(ISNUMBER(H266),ISNUMBER(I266),H266&gt;0,ISNUMBER($B$94)),$B$94+3*SQRT($B$94*(1-$B$94)/H266),"")</f>
        <v/>
      </c>
      <c r="M266" s="13">
        <f>IF(AND(ISNUMBER(J266),ISNUMBER(K266),ISNUMBER(L266)),IF(J266&gt;L266,"boven UCL",IF(J266&lt;K266,"onder LCL","")),"")</f>
        <v/>
      </c>
      <c r="O266" t="n">
        <v>160</v>
      </c>
      <c r="P266" s="7" t="n"/>
      <c r="Q266" s="7" t="n"/>
      <c r="R266" s="11">
        <f>IF(AND(ISNUMBER(P266),ISNUMBER(Q266),P266&gt;0,ISNUMBER($B$100)),Q266/P266,"")</f>
        <v/>
      </c>
      <c r="S266" s="11">
        <f>IF(AND(ISNUMBER(P266),ISNUMBER(Q266),P266&gt;0,ISNUMBER($B$100)),MAX(0,$B$100-3*SQRT($B$100/P266)),"")</f>
        <v/>
      </c>
      <c r="T266" s="11">
        <f>IF(AND(ISNUMBER(P266),ISNUMBER(Q266),P266&gt;0,ISNUMBER($B$100)),$B$100+3*SQRT($B$100/P266),"")</f>
        <v/>
      </c>
      <c r="U266" s="13">
        <f>IF(AND(ISNUMBER(R266),ISNUMBER(S266),ISNUMBER(T266)),IF(R266&gt;T266,"boven UCL",IF(R266&lt;S266,"onder LCL","")),"")</f>
        <v/>
      </c>
    </row>
    <row r="267">
      <c r="A267" t="n">
        <v>161</v>
      </c>
      <c r="B267" s="7" t="n"/>
      <c r="C267" s="11">
        <f>IF(AND(ISNUMBER(B267),ISNUMBER(B266)),ABS(B267-B266),"")</f>
        <v/>
      </c>
      <c r="D267" s="13">
        <f>IF(AND(ISNUMBER(B267),ISNUMBER($B$88),ISNUMBER($D$88)),IF(B267&gt;$D$88,"boven UCL",IF(B267&lt;$B$88,"onder LCL","")),"")</f>
        <v/>
      </c>
      <c r="E267" s="13">
        <f>IF(AND(ISNUMBER(C267),ISNUMBER($B$89),ISNUMBER($D$89)),IF(C267&gt;$D$89,"boven UCL",IF(C267&lt;$B$89,"onder LCL","")),"")</f>
        <v/>
      </c>
      <c r="G267" t="n">
        <v>161</v>
      </c>
      <c r="H267" s="7" t="n"/>
      <c r="I267" s="7" t="n"/>
      <c r="J267" s="11">
        <f>IF(AND(ISNUMBER(H267),ISNUMBER(I267),H267&gt;0,ISNUMBER($B$94)),I267/H267,"")</f>
        <v/>
      </c>
      <c r="K267" s="11">
        <f>IF(AND(ISNUMBER(H267),ISNUMBER(I267),H267&gt;0,ISNUMBER($B$94)),MAX(0,$B$94-3*SQRT($B$94*(1-$B$94)/H267)),"")</f>
        <v/>
      </c>
      <c r="L267" s="11">
        <f>IF(AND(ISNUMBER(H267),ISNUMBER(I267),H267&gt;0,ISNUMBER($B$94)),$B$94+3*SQRT($B$94*(1-$B$94)/H267),"")</f>
        <v/>
      </c>
      <c r="M267" s="13">
        <f>IF(AND(ISNUMBER(J267),ISNUMBER(K267),ISNUMBER(L267)),IF(J267&gt;L267,"boven UCL",IF(J267&lt;K267,"onder LCL","")),"")</f>
        <v/>
      </c>
      <c r="O267" t="n">
        <v>161</v>
      </c>
      <c r="P267" s="7" t="n"/>
      <c r="Q267" s="7" t="n"/>
      <c r="R267" s="11">
        <f>IF(AND(ISNUMBER(P267),ISNUMBER(Q267),P267&gt;0,ISNUMBER($B$100)),Q267/P267,"")</f>
        <v/>
      </c>
      <c r="S267" s="11">
        <f>IF(AND(ISNUMBER(P267),ISNUMBER(Q267),P267&gt;0,ISNUMBER($B$100)),MAX(0,$B$100-3*SQRT($B$100/P267)),"")</f>
        <v/>
      </c>
      <c r="T267" s="11">
        <f>IF(AND(ISNUMBER(P267),ISNUMBER(Q267),P267&gt;0,ISNUMBER($B$100)),$B$100+3*SQRT($B$100/P267),"")</f>
        <v/>
      </c>
      <c r="U267" s="13">
        <f>IF(AND(ISNUMBER(R267),ISNUMBER(S267),ISNUMBER(T267)),IF(R267&gt;T267,"boven UCL",IF(R267&lt;S267,"onder LCL","")),"")</f>
        <v/>
      </c>
    </row>
    <row r="268">
      <c r="A268" t="n">
        <v>162</v>
      </c>
      <c r="B268" s="7" t="n"/>
      <c r="C268" s="11">
        <f>IF(AND(ISNUMBER(B268),ISNUMBER(B267)),ABS(B268-B267),"")</f>
        <v/>
      </c>
      <c r="D268" s="13">
        <f>IF(AND(ISNUMBER(B268),ISNUMBER($B$88),ISNUMBER($D$88)),IF(B268&gt;$D$88,"boven UCL",IF(B268&lt;$B$88,"onder LCL","")),"")</f>
        <v/>
      </c>
      <c r="E268" s="13">
        <f>IF(AND(ISNUMBER(C268),ISNUMBER($B$89),ISNUMBER($D$89)),IF(C268&gt;$D$89,"boven UCL",IF(C268&lt;$B$89,"onder LCL","")),"")</f>
        <v/>
      </c>
      <c r="G268" t="n">
        <v>162</v>
      </c>
      <c r="H268" s="7" t="n"/>
      <c r="I268" s="7" t="n"/>
      <c r="J268" s="11">
        <f>IF(AND(ISNUMBER(H268),ISNUMBER(I268),H268&gt;0,ISNUMBER($B$94)),I268/H268,"")</f>
        <v/>
      </c>
      <c r="K268" s="11">
        <f>IF(AND(ISNUMBER(H268),ISNUMBER(I268),H268&gt;0,ISNUMBER($B$94)),MAX(0,$B$94-3*SQRT($B$94*(1-$B$94)/H268)),"")</f>
        <v/>
      </c>
      <c r="L268" s="11">
        <f>IF(AND(ISNUMBER(H268),ISNUMBER(I268),H268&gt;0,ISNUMBER($B$94)),$B$94+3*SQRT($B$94*(1-$B$94)/H268),"")</f>
        <v/>
      </c>
      <c r="M268" s="13">
        <f>IF(AND(ISNUMBER(J268),ISNUMBER(K268),ISNUMBER(L268)),IF(J268&gt;L268,"boven UCL",IF(J268&lt;K268,"onder LCL","")),"")</f>
        <v/>
      </c>
      <c r="O268" t="n">
        <v>162</v>
      </c>
      <c r="P268" s="7" t="n"/>
      <c r="Q268" s="7" t="n"/>
      <c r="R268" s="11">
        <f>IF(AND(ISNUMBER(P268),ISNUMBER(Q268),P268&gt;0,ISNUMBER($B$100)),Q268/P268,"")</f>
        <v/>
      </c>
      <c r="S268" s="11">
        <f>IF(AND(ISNUMBER(P268),ISNUMBER(Q268),P268&gt;0,ISNUMBER($B$100)),MAX(0,$B$100-3*SQRT($B$100/P268)),"")</f>
        <v/>
      </c>
      <c r="T268" s="11">
        <f>IF(AND(ISNUMBER(P268),ISNUMBER(Q268),P268&gt;0,ISNUMBER($B$100)),$B$100+3*SQRT($B$100/P268),"")</f>
        <v/>
      </c>
      <c r="U268" s="13">
        <f>IF(AND(ISNUMBER(R268),ISNUMBER(S268),ISNUMBER(T268)),IF(R268&gt;T268,"boven UCL",IF(R268&lt;S268,"onder LCL","")),"")</f>
        <v/>
      </c>
    </row>
    <row r="269">
      <c r="A269" t="n">
        <v>163</v>
      </c>
      <c r="B269" s="7" t="n"/>
      <c r="C269" s="11">
        <f>IF(AND(ISNUMBER(B269),ISNUMBER(B268)),ABS(B269-B268),"")</f>
        <v/>
      </c>
      <c r="D269" s="13">
        <f>IF(AND(ISNUMBER(B269),ISNUMBER($B$88),ISNUMBER($D$88)),IF(B269&gt;$D$88,"boven UCL",IF(B269&lt;$B$88,"onder LCL","")),"")</f>
        <v/>
      </c>
      <c r="E269" s="13">
        <f>IF(AND(ISNUMBER(C269),ISNUMBER($B$89),ISNUMBER($D$89)),IF(C269&gt;$D$89,"boven UCL",IF(C269&lt;$B$89,"onder LCL","")),"")</f>
        <v/>
      </c>
      <c r="G269" t="n">
        <v>163</v>
      </c>
      <c r="H269" s="7" t="n"/>
      <c r="I269" s="7" t="n"/>
      <c r="J269" s="11">
        <f>IF(AND(ISNUMBER(H269),ISNUMBER(I269),H269&gt;0,ISNUMBER($B$94)),I269/H269,"")</f>
        <v/>
      </c>
      <c r="K269" s="11">
        <f>IF(AND(ISNUMBER(H269),ISNUMBER(I269),H269&gt;0,ISNUMBER($B$94)),MAX(0,$B$94-3*SQRT($B$94*(1-$B$94)/H269)),"")</f>
        <v/>
      </c>
      <c r="L269" s="11">
        <f>IF(AND(ISNUMBER(H269),ISNUMBER(I269),H269&gt;0,ISNUMBER($B$94)),$B$94+3*SQRT($B$94*(1-$B$94)/H269),"")</f>
        <v/>
      </c>
      <c r="M269" s="13">
        <f>IF(AND(ISNUMBER(J269),ISNUMBER(K269),ISNUMBER(L269)),IF(J269&gt;L269,"boven UCL",IF(J269&lt;K269,"onder LCL","")),"")</f>
        <v/>
      </c>
      <c r="O269" t="n">
        <v>163</v>
      </c>
      <c r="P269" s="7" t="n"/>
      <c r="Q269" s="7" t="n"/>
      <c r="R269" s="11">
        <f>IF(AND(ISNUMBER(P269),ISNUMBER(Q269),P269&gt;0,ISNUMBER($B$100)),Q269/P269,"")</f>
        <v/>
      </c>
      <c r="S269" s="11">
        <f>IF(AND(ISNUMBER(P269),ISNUMBER(Q269),P269&gt;0,ISNUMBER($B$100)),MAX(0,$B$100-3*SQRT($B$100/P269)),"")</f>
        <v/>
      </c>
      <c r="T269" s="11">
        <f>IF(AND(ISNUMBER(P269),ISNUMBER(Q269),P269&gt;0,ISNUMBER($B$100)),$B$100+3*SQRT($B$100/P269),"")</f>
        <v/>
      </c>
      <c r="U269" s="13">
        <f>IF(AND(ISNUMBER(R269),ISNUMBER(S269),ISNUMBER(T269)),IF(R269&gt;T269,"boven UCL",IF(R269&lt;S269,"onder LCL","")),"")</f>
        <v/>
      </c>
    </row>
    <row r="270">
      <c r="A270" t="n">
        <v>164</v>
      </c>
      <c r="B270" s="7" t="n"/>
      <c r="C270" s="11">
        <f>IF(AND(ISNUMBER(B270),ISNUMBER(B269)),ABS(B270-B269),"")</f>
        <v/>
      </c>
      <c r="D270" s="13">
        <f>IF(AND(ISNUMBER(B270),ISNUMBER($B$88),ISNUMBER($D$88)),IF(B270&gt;$D$88,"boven UCL",IF(B270&lt;$B$88,"onder LCL","")),"")</f>
        <v/>
      </c>
      <c r="E270" s="13">
        <f>IF(AND(ISNUMBER(C270),ISNUMBER($B$89),ISNUMBER($D$89)),IF(C270&gt;$D$89,"boven UCL",IF(C270&lt;$B$89,"onder LCL","")),"")</f>
        <v/>
      </c>
      <c r="G270" t="n">
        <v>164</v>
      </c>
      <c r="H270" s="7" t="n"/>
      <c r="I270" s="7" t="n"/>
      <c r="J270" s="11">
        <f>IF(AND(ISNUMBER(H270),ISNUMBER(I270),H270&gt;0,ISNUMBER($B$94)),I270/H270,"")</f>
        <v/>
      </c>
      <c r="K270" s="11">
        <f>IF(AND(ISNUMBER(H270),ISNUMBER(I270),H270&gt;0,ISNUMBER($B$94)),MAX(0,$B$94-3*SQRT($B$94*(1-$B$94)/H270)),"")</f>
        <v/>
      </c>
      <c r="L270" s="11">
        <f>IF(AND(ISNUMBER(H270),ISNUMBER(I270),H270&gt;0,ISNUMBER($B$94)),$B$94+3*SQRT($B$94*(1-$B$94)/H270),"")</f>
        <v/>
      </c>
      <c r="M270" s="13">
        <f>IF(AND(ISNUMBER(J270),ISNUMBER(K270),ISNUMBER(L270)),IF(J270&gt;L270,"boven UCL",IF(J270&lt;K270,"onder LCL","")),"")</f>
        <v/>
      </c>
      <c r="O270" t="n">
        <v>164</v>
      </c>
      <c r="P270" s="7" t="n"/>
      <c r="Q270" s="7" t="n"/>
      <c r="R270" s="11">
        <f>IF(AND(ISNUMBER(P270),ISNUMBER(Q270),P270&gt;0,ISNUMBER($B$100)),Q270/P270,"")</f>
        <v/>
      </c>
      <c r="S270" s="11">
        <f>IF(AND(ISNUMBER(P270),ISNUMBER(Q270),P270&gt;0,ISNUMBER($B$100)),MAX(0,$B$100-3*SQRT($B$100/P270)),"")</f>
        <v/>
      </c>
      <c r="T270" s="11">
        <f>IF(AND(ISNUMBER(P270),ISNUMBER(Q270),P270&gt;0,ISNUMBER($B$100)),$B$100+3*SQRT($B$100/P270),"")</f>
        <v/>
      </c>
      <c r="U270" s="13">
        <f>IF(AND(ISNUMBER(R270),ISNUMBER(S270),ISNUMBER(T270)),IF(R270&gt;T270,"boven UCL",IF(R270&lt;S270,"onder LCL","")),"")</f>
        <v/>
      </c>
    </row>
    <row r="271">
      <c r="A271" t="n">
        <v>165</v>
      </c>
      <c r="B271" s="7" t="n"/>
      <c r="C271" s="11">
        <f>IF(AND(ISNUMBER(B271),ISNUMBER(B270)),ABS(B271-B270),"")</f>
        <v/>
      </c>
      <c r="D271" s="13">
        <f>IF(AND(ISNUMBER(B271),ISNUMBER($B$88),ISNUMBER($D$88)),IF(B271&gt;$D$88,"boven UCL",IF(B271&lt;$B$88,"onder LCL","")),"")</f>
        <v/>
      </c>
      <c r="E271" s="13">
        <f>IF(AND(ISNUMBER(C271),ISNUMBER($B$89),ISNUMBER($D$89)),IF(C271&gt;$D$89,"boven UCL",IF(C271&lt;$B$89,"onder LCL","")),"")</f>
        <v/>
      </c>
      <c r="G271" t="n">
        <v>165</v>
      </c>
      <c r="H271" s="7" t="n"/>
      <c r="I271" s="7" t="n"/>
      <c r="J271" s="11">
        <f>IF(AND(ISNUMBER(H271),ISNUMBER(I271),H271&gt;0,ISNUMBER($B$94)),I271/H271,"")</f>
        <v/>
      </c>
      <c r="K271" s="11">
        <f>IF(AND(ISNUMBER(H271),ISNUMBER(I271),H271&gt;0,ISNUMBER($B$94)),MAX(0,$B$94-3*SQRT($B$94*(1-$B$94)/H271)),"")</f>
        <v/>
      </c>
      <c r="L271" s="11">
        <f>IF(AND(ISNUMBER(H271),ISNUMBER(I271),H271&gt;0,ISNUMBER($B$94)),$B$94+3*SQRT($B$94*(1-$B$94)/H271),"")</f>
        <v/>
      </c>
      <c r="M271" s="13">
        <f>IF(AND(ISNUMBER(J271),ISNUMBER(K271),ISNUMBER(L271)),IF(J271&gt;L271,"boven UCL",IF(J271&lt;K271,"onder LCL","")),"")</f>
        <v/>
      </c>
      <c r="O271" t="n">
        <v>165</v>
      </c>
      <c r="P271" s="7" t="n"/>
      <c r="Q271" s="7" t="n"/>
      <c r="R271" s="11">
        <f>IF(AND(ISNUMBER(P271),ISNUMBER(Q271),P271&gt;0,ISNUMBER($B$100)),Q271/P271,"")</f>
        <v/>
      </c>
      <c r="S271" s="11">
        <f>IF(AND(ISNUMBER(P271),ISNUMBER(Q271),P271&gt;0,ISNUMBER($B$100)),MAX(0,$B$100-3*SQRT($B$100/P271)),"")</f>
        <v/>
      </c>
      <c r="T271" s="11">
        <f>IF(AND(ISNUMBER(P271),ISNUMBER(Q271),P271&gt;0,ISNUMBER($B$100)),$B$100+3*SQRT($B$100/P271),"")</f>
        <v/>
      </c>
      <c r="U271" s="13">
        <f>IF(AND(ISNUMBER(R271),ISNUMBER(S271),ISNUMBER(T271)),IF(R271&gt;T271,"boven UCL",IF(R271&lt;S271,"onder LCL","")),"")</f>
        <v/>
      </c>
    </row>
    <row r="272">
      <c r="A272" t="n">
        <v>166</v>
      </c>
      <c r="B272" s="7" t="n"/>
      <c r="C272" s="11">
        <f>IF(AND(ISNUMBER(B272),ISNUMBER(B271)),ABS(B272-B271),"")</f>
        <v/>
      </c>
      <c r="D272" s="13">
        <f>IF(AND(ISNUMBER(B272),ISNUMBER($B$88),ISNUMBER($D$88)),IF(B272&gt;$D$88,"boven UCL",IF(B272&lt;$B$88,"onder LCL","")),"")</f>
        <v/>
      </c>
      <c r="E272" s="13">
        <f>IF(AND(ISNUMBER(C272),ISNUMBER($B$89),ISNUMBER($D$89)),IF(C272&gt;$D$89,"boven UCL",IF(C272&lt;$B$89,"onder LCL","")),"")</f>
        <v/>
      </c>
      <c r="G272" t="n">
        <v>166</v>
      </c>
      <c r="H272" s="7" t="n"/>
      <c r="I272" s="7" t="n"/>
      <c r="J272" s="11">
        <f>IF(AND(ISNUMBER(H272),ISNUMBER(I272),H272&gt;0,ISNUMBER($B$94)),I272/H272,"")</f>
        <v/>
      </c>
      <c r="K272" s="11">
        <f>IF(AND(ISNUMBER(H272),ISNUMBER(I272),H272&gt;0,ISNUMBER($B$94)),MAX(0,$B$94-3*SQRT($B$94*(1-$B$94)/H272)),"")</f>
        <v/>
      </c>
      <c r="L272" s="11">
        <f>IF(AND(ISNUMBER(H272),ISNUMBER(I272),H272&gt;0,ISNUMBER($B$94)),$B$94+3*SQRT($B$94*(1-$B$94)/H272),"")</f>
        <v/>
      </c>
      <c r="M272" s="13">
        <f>IF(AND(ISNUMBER(J272),ISNUMBER(K272),ISNUMBER(L272)),IF(J272&gt;L272,"boven UCL",IF(J272&lt;K272,"onder LCL","")),"")</f>
        <v/>
      </c>
      <c r="O272" t="n">
        <v>166</v>
      </c>
      <c r="P272" s="7" t="n"/>
      <c r="Q272" s="7" t="n"/>
      <c r="R272" s="11">
        <f>IF(AND(ISNUMBER(P272),ISNUMBER(Q272),P272&gt;0,ISNUMBER($B$100)),Q272/P272,"")</f>
        <v/>
      </c>
      <c r="S272" s="11">
        <f>IF(AND(ISNUMBER(P272),ISNUMBER(Q272),P272&gt;0,ISNUMBER($B$100)),MAX(0,$B$100-3*SQRT($B$100/P272)),"")</f>
        <v/>
      </c>
      <c r="T272" s="11">
        <f>IF(AND(ISNUMBER(P272),ISNUMBER(Q272),P272&gt;0,ISNUMBER($B$100)),$B$100+3*SQRT($B$100/P272),"")</f>
        <v/>
      </c>
      <c r="U272" s="13">
        <f>IF(AND(ISNUMBER(R272),ISNUMBER(S272),ISNUMBER(T272)),IF(R272&gt;T272,"boven UCL",IF(R272&lt;S272,"onder LCL","")),"")</f>
        <v/>
      </c>
    </row>
    <row r="273">
      <c r="A273" t="n">
        <v>167</v>
      </c>
      <c r="B273" s="7" t="n"/>
      <c r="C273" s="11">
        <f>IF(AND(ISNUMBER(B273),ISNUMBER(B272)),ABS(B273-B272),"")</f>
        <v/>
      </c>
      <c r="D273" s="13">
        <f>IF(AND(ISNUMBER(B273),ISNUMBER($B$88),ISNUMBER($D$88)),IF(B273&gt;$D$88,"boven UCL",IF(B273&lt;$B$88,"onder LCL","")),"")</f>
        <v/>
      </c>
      <c r="E273" s="13">
        <f>IF(AND(ISNUMBER(C273),ISNUMBER($B$89),ISNUMBER($D$89)),IF(C273&gt;$D$89,"boven UCL",IF(C273&lt;$B$89,"onder LCL","")),"")</f>
        <v/>
      </c>
      <c r="G273" t="n">
        <v>167</v>
      </c>
      <c r="H273" s="7" t="n"/>
      <c r="I273" s="7" t="n"/>
      <c r="J273" s="11">
        <f>IF(AND(ISNUMBER(H273),ISNUMBER(I273),H273&gt;0,ISNUMBER($B$94)),I273/H273,"")</f>
        <v/>
      </c>
      <c r="K273" s="11">
        <f>IF(AND(ISNUMBER(H273),ISNUMBER(I273),H273&gt;0,ISNUMBER($B$94)),MAX(0,$B$94-3*SQRT($B$94*(1-$B$94)/H273)),"")</f>
        <v/>
      </c>
      <c r="L273" s="11">
        <f>IF(AND(ISNUMBER(H273),ISNUMBER(I273),H273&gt;0,ISNUMBER($B$94)),$B$94+3*SQRT($B$94*(1-$B$94)/H273),"")</f>
        <v/>
      </c>
      <c r="M273" s="13">
        <f>IF(AND(ISNUMBER(J273),ISNUMBER(K273),ISNUMBER(L273)),IF(J273&gt;L273,"boven UCL",IF(J273&lt;K273,"onder LCL","")),"")</f>
        <v/>
      </c>
      <c r="O273" t="n">
        <v>167</v>
      </c>
      <c r="P273" s="7" t="n"/>
      <c r="Q273" s="7" t="n"/>
      <c r="R273" s="11">
        <f>IF(AND(ISNUMBER(P273),ISNUMBER(Q273),P273&gt;0,ISNUMBER($B$100)),Q273/P273,"")</f>
        <v/>
      </c>
      <c r="S273" s="11">
        <f>IF(AND(ISNUMBER(P273),ISNUMBER(Q273),P273&gt;0,ISNUMBER($B$100)),MAX(0,$B$100-3*SQRT($B$100/P273)),"")</f>
        <v/>
      </c>
      <c r="T273" s="11">
        <f>IF(AND(ISNUMBER(P273),ISNUMBER(Q273),P273&gt;0,ISNUMBER($B$100)),$B$100+3*SQRT($B$100/P273),"")</f>
        <v/>
      </c>
      <c r="U273" s="13">
        <f>IF(AND(ISNUMBER(R273),ISNUMBER(S273),ISNUMBER(T273)),IF(R273&gt;T273,"boven UCL",IF(R273&lt;S273,"onder LCL","")),"")</f>
        <v/>
      </c>
    </row>
    <row r="274">
      <c r="A274" t="n">
        <v>168</v>
      </c>
      <c r="B274" s="7" t="n"/>
      <c r="C274" s="11">
        <f>IF(AND(ISNUMBER(B274),ISNUMBER(B273)),ABS(B274-B273),"")</f>
        <v/>
      </c>
      <c r="D274" s="13">
        <f>IF(AND(ISNUMBER(B274),ISNUMBER($B$88),ISNUMBER($D$88)),IF(B274&gt;$D$88,"boven UCL",IF(B274&lt;$B$88,"onder LCL","")),"")</f>
        <v/>
      </c>
      <c r="E274" s="13">
        <f>IF(AND(ISNUMBER(C274),ISNUMBER($B$89),ISNUMBER($D$89)),IF(C274&gt;$D$89,"boven UCL",IF(C274&lt;$B$89,"onder LCL","")),"")</f>
        <v/>
      </c>
      <c r="G274" t="n">
        <v>168</v>
      </c>
      <c r="H274" s="7" t="n"/>
      <c r="I274" s="7" t="n"/>
      <c r="J274" s="11">
        <f>IF(AND(ISNUMBER(H274),ISNUMBER(I274),H274&gt;0,ISNUMBER($B$94)),I274/H274,"")</f>
        <v/>
      </c>
      <c r="K274" s="11">
        <f>IF(AND(ISNUMBER(H274),ISNUMBER(I274),H274&gt;0,ISNUMBER($B$94)),MAX(0,$B$94-3*SQRT($B$94*(1-$B$94)/H274)),"")</f>
        <v/>
      </c>
      <c r="L274" s="11">
        <f>IF(AND(ISNUMBER(H274),ISNUMBER(I274),H274&gt;0,ISNUMBER($B$94)),$B$94+3*SQRT($B$94*(1-$B$94)/H274),"")</f>
        <v/>
      </c>
      <c r="M274" s="13">
        <f>IF(AND(ISNUMBER(J274),ISNUMBER(K274),ISNUMBER(L274)),IF(J274&gt;L274,"boven UCL",IF(J274&lt;K274,"onder LCL","")),"")</f>
        <v/>
      </c>
      <c r="O274" t="n">
        <v>168</v>
      </c>
      <c r="P274" s="7" t="n"/>
      <c r="Q274" s="7" t="n"/>
      <c r="R274" s="11">
        <f>IF(AND(ISNUMBER(P274),ISNUMBER(Q274),P274&gt;0,ISNUMBER($B$100)),Q274/P274,"")</f>
        <v/>
      </c>
      <c r="S274" s="11">
        <f>IF(AND(ISNUMBER(P274),ISNUMBER(Q274),P274&gt;0,ISNUMBER($B$100)),MAX(0,$B$100-3*SQRT($B$100/P274)),"")</f>
        <v/>
      </c>
      <c r="T274" s="11">
        <f>IF(AND(ISNUMBER(P274),ISNUMBER(Q274),P274&gt;0,ISNUMBER($B$100)),$B$100+3*SQRT($B$100/P274),"")</f>
        <v/>
      </c>
      <c r="U274" s="13">
        <f>IF(AND(ISNUMBER(R274),ISNUMBER(S274),ISNUMBER(T274)),IF(R274&gt;T274,"boven UCL",IF(R274&lt;S274,"onder LCL","")),"")</f>
        <v/>
      </c>
    </row>
    <row r="275">
      <c r="A275" t="n">
        <v>169</v>
      </c>
      <c r="B275" s="7" t="n"/>
      <c r="C275" s="11">
        <f>IF(AND(ISNUMBER(B275),ISNUMBER(B274)),ABS(B275-B274),"")</f>
        <v/>
      </c>
      <c r="D275" s="13">
        <f>IF(AND(ISNUMBER(B275),ISNUMBER($B$88),ISNUMBER($D$88)),IF(B275&gt;$D$88,"boven UCL",IF(B275&lt;$B$88,"onder LCL","")),"")</f>
        <v/>
      </c>
      <c r="E275" s="13">
        <f>IF(AND(ISNUMBER(C275),ISNUMBER($B$89),ISNUMBER($D$89)),IF(C275&gt;$D$89,"boven UCL",IF(C275&lt;$B$89,"onder LCL","")),"")</f>
        <v/>
      </c>
      <c r="G275" t="n">
        <v>169</v>
      </c>
      <c r="H275" s="7" t="n"/>
      <c r="I275" s="7" t="n"/>
      <c r="J275" s="11">
        <f>IF(AND(ISNUMBER(H275),ISNUMBER(I275),H275&gt;0,ISNUMBER($B$94)),I275/H275,"")</f>
        <v/>
      </c>
      <c r="K275" s="11">
        <f>IF(AND(ISNUMBER(H275),ISNUMBER(I275),H275&gt;0,ISNUMBER($B$94)),MAX(0,$B$94-3*SQRT($B$94*(1-$B$94)/H275)),"")</f>
        <v/>
      </c>
      <c r="L275" s="11">
        <f>IF(AND(ISNUMBER(H275),ISNUMBER(I275),H275&gt;0,ISNUMBER($B$94)),$B$94+3*SQRT($B$94*(1-$B$94)/H275),"")</f>
        <v/>
      </c>
      <c r="M275" s="13">
        <f>IF(AND(ISNUMBER(J275),ISNUMBER(K275),ISNUMBER(L275)),IF(J275&gt;L275,"boven UCL",IF(J275&lt;K275,"onder LCL","")),"")</f>
        <v/>
      </c>
      <c r="O275" t="n">
        <v>169</v>
      </c>
      <c r="P275" s="7" t="n"/>
      <c r="Q275" s="7" t="n"/>
      <c r="R275" s="11">
        <f>IF(AND(ISNUMBER(P275),ISNUMBER(Q275),P275&gt;0,ISNUMBER($B$100)),Q275/P275,"")</f>
        <v/>
      </c>
      <c r="S275" s="11">
        <f>IF(AND(ISNUMBER(P275),ISNUMBER(Q275),P275&gt;0,ISNUMBER($B$100)),MAX(0,$B$100-3*SQRT($B$100/P275)),"")</f>
        <v/>
      </c>
      <c r="T275" s="11">
        <f>IF(AND(ISNUMBER(P275),ISNUMBER(Q275),P275&gt;0,ISNUMBER($B$100)),$B$100+3*SQRT($B$100/P275),"")</f>
        <v/>
      </c>
      <c r="U275" s="13">
        <f>IF(AND(ISNUMBER(R275),ISNUMBER(S275),ISNUMBER(T275)),IF(R275&gt;T275,"boven UCL",IF(R275&lt;S275,"onder LCL","")),"")</f>
        <v/>
      </c>
    </row>
    <row r="276">
      <c r="A276" t="n">
        <v>170</v>
      </c>
      <c r="B276" s="7" t="n"/>
      <c r="C276" s="11">
        <f>IF(AND(ISNUMBER(B276),ISNUMBER(B275)),ABS(B276-B275),"")</f>
        <v/>
      </c>
      <c r="D276" s="13">
        <f>IF(AND(ISNUMBER(B276),ISNUMBER($B$88),ISNUMBER($D$88)),IF(B276&gt;$D$88,"boven UCL",IF(B276&lt;$B$88,"onder LCL","")),"")</f>
        <v/>
      </c>
      <c r="E276" s="13">
        <f>IF(AND(ISNUMBER(C276),ISNUMBER($B$89),ISNUMBER($D$89)),IF(C276&gt;$D$89,"boven UCL",IF(C276&lt;$B$89,"onder LCL","")),"")</f>
        <v/>
      </c>
      <c r="G276" t="n">
        <v>170</v>
      </c>
      <c r="H276" s="7" t="n"/>
      <c r="I276" s="7" t="n"/>
      <c r="J276" s="11">
        <f>IF(AND(ISNUMBER(H276),ISNUMBER(I276),H276&gt;0,ISNUMBER($B$94)),I276/H276,"")</f>
        <v/>
      </c>
      <c r="K276" s="11">
        <f>IF(AND(ISNUMBER(H276),ISNUMBER(I276),H276&gt;0,ISNUMBER($B$94)),MAX(0,$B$94-3*SQRT($B$94*(1-$B$94)/H276)),"")</f>
        <v/>
      </c>
      <c r="L276" s="11">
        <f>IF(AND(ISNUMBER(H276),ISNUMBER(I276),H276&gt;0,ISNUMBER($B$94)),$B$94+3*SQRT($B$94*(1-$B$94)/H276),"")</f>
        <v/>
      </c>
      <c r="M276" s="13">
        <f>IF(AND(ISNUMBER(J276),ISNUMBER(K276),ISNUMBER(L276)),IF(J276&gt;L276,"boven UCL",IF(J276&lt;K276,"onder LCL","")),"")</f>
        <v/>
      </c>
      <c r="O276" t="n">
        <v>170</v>
      </c>
      <c r="P276" s="7" t="n"/>
      <c r="Q276" s="7" t="n"/>
      <c r="R276" s="11">
        <f>IF(AND(ISNUMBER(P276),ISNUMBER(Q276),P276&gt;0,ISNUMBER($B$100)),Q276/P276,"")</f>
        <v/>
      </c>
      <c r="S276" s="11">
        <f>IF(AND(ISNUMBER(P276),ISNUMBER(Q276),P276&gt;0,ISNUMBER($B$100)),MAX(0,$B$100-3*SQRT($B$100/P276)),"")</f>
        <v/>
      </c>
      <c r="T276" s="11">
        <f>IF(AND(ISNUMBER(P276),ISNUMBER(Q276),P276&gt;0,ISNUMBER($B$100)),$B$100+3*SQRT($B$100/P276),"")</f>
        <v/>
      </c>
      <c r="U276" s="13">
        <f>IF(AND(ISNUMBER(R276),ISNUMBER(S276),ISNUMBER(T276)),IF(R276&gt;T276,"boven UCL",IF(R276&lt;S276,"onder LCL","")),"")</f>
        <v/>
      </c>
    </row>
    <row r="277">
      <c r="A277" t="n">
        <v>171</v>
      </c>
      <c r="B277" s="7" t="n"/>
      <c r="C277" s="11">
        <f>IF(AND(ISNUMBER(B277),ISNUMBER(B276)),ABS(B277-B276),"")</f>
        <v/>
      </c>
      <c r="D277" s="13">
        <f>IF(AND(ISNUMBER(B277),ISNUMBER($B$88),ISNUMBER($D$88)),IF(B277&gt;$D$88,"boven UCL",IF(B277&lt;$B$88,"onder LCL","")),"")</f>
        <v/>
      </c>
      <c r="E277" s="13">
        <f>IF(AND(ISNUMBER(C277),ISNUMBER($B$89),ISNUMBER($D$89)),IF(C277&gt;$D$89,"boven UCL",IF(C277&lt;$B$89,"onder LCL","")),"")</f>
        <v/>
      </c>
      <c r="G277" t="n">
        <v>171</v>
      </c>
      <c r="H277" s="7" t="n"/>
      <c r="I277" s="7" t="n"/>
      <c r="J277" s="11">
        <f>IF(AND(ISNUMBER(H277),ISNUMBER(I277),H277&gt;0,ISNUMBER($B$94)),I277/H277,"")</f>
        <v/>
      </c>
      <c r="K277" s="11">
        <f>IF(AND(ISNUMBER(H277),ISNUMBER(I277),H277&gt;0,ISNUMBER($B$94)),MAX(0,$B$94-3*SQRT($B$94*(1-$B$94)/H277)),"")</f>
        <v/>
      </c>
      <c r="L277" s="11">
        <f>IF(AND(ISNUMBER(H277),ISNUMBER(I277),H277&gt;0,ISNUMBER($B$94)),$B$94+3*SQRT($B$94*(1-$B$94)/H277),"")</f>
        <v/>
      </c>
      <c r="M277" s="13">
        <f>IF(AND(ISNUMBER(J277),ISNUMBER(K277),ISNUMBER(L277)),IF(J277&gt;L277,"boven UCL",IF(J277&lt;K277,"onder LCL","")),"")</f>
        <v/>
      </c>
      <c r="O277" t="n">
        <v>171</v>
      </c>
      <c r="P277" s="7" t="n"/>
      <c r="Q277" s="7" t="n"/>
      <c r="R277" s="11">
        <f>IF(AND(ISNUMBER(P277),ISNUMBER(Q277),P277&gt;0,ISNUMBER($B$100)),Q277/P277,"")</f>
        <v/>
      </c>
      <c r="S277" s="11">
        <f>IF(AND(ISNUMBER(P277),ISNUMBER(Q277),P277&gt;0,ISNUMBER($B$100)),MAX(0,$B$100-3*SQRT($B$100/P277)),"")</f>
        <v/>
      </c>
      <c r="T277" s="11">
        <f>IF(AND(ISNUMBER(P277),ISNUMBER(Q277),P277&gt;0,ISNUMBER($B$100)),$B$100+3*SQRT($B$100/P277),"")</f>
        <v/>
      </c>
      <c r="U277" s="13">
        <f>IF(AND(ISNUMBER(R277),ISNUMBER(S277),ISNUMBER(T277)),IF(R277&gt;T277,"boven UCL",IF(R277&lt;S277,"onder LCL","")),"")</f>
        <v/>
      </c>
    </row>
    <row r="278">
      <c r="A278" t="n">
        <v>172</v>
      </c>
      <c r="B278" s="7" t="n"/>
      <c r="C278" s="11">
        <f>IF(AND(ISNUMBER(B278),ISNUMBER(B277)),ABS(B278-B277),"")</f>
        <v/>
      </c>
      <c r="D278" s="13">
        <f>IF(AND(ISNUMBER(B278),ISNUMBER($B$88),ISNUMBER($D$88)),IF(B278&gt;$D$88,"boven UCL",IF(B278&lt;$B$88,"onder LCL","")),"")</f>
        <v/>
      </c>
      <c r="E278" s="13">
        <f>IF(AND(ISNUMBER(C278),ISNUMBER($B$89),ISNUMBER($D$89)),IF(C278&gt;$D$89,"boven UCL",IF(C278&lt;$B$89,"onder LCL","")),"")</f>
        <v/>
      </c>
      <c r="G278" t="n">
        <v>172</v>
      </c>
      <c r="H278" s="7" t="n"/>
      <c r="I278" s="7" t="n"/>
      <c r="J278" s="11">
        <f>IF(AND(ISNUMBER(H278),ISNUMBER(I278),H278&gt;0,ISNUMBER($B$94)),I278/H278,"")</f>
        <v/>
      </c>
      <c r="K278" s="11">
        <f>IF(AND(ISNUMBER(H278),ISNUMBER(I278),H278&gt;0,ISNUMBER($B$94)),MAX(0,$B$94-3*SQRT($B$94*(1-$B$94)/H278)),"")</f>
        <v/>
      </c>
      <c r="L278" s="11">
        <f>IF(AND(ISNUMBER(H278),ISNUMBER(I278),H278&gt;0,ISNUMBER($B$94)),$B$94+3*SQRT($B$94*(1-$B$94)/H278),"")</f>
        <v/>
      </c>
      <c r="M278" s="13">
        <f>IF(AND(ISNUMBER(J278),ISNUMBER(K278),ISNUMBER(L278)),IF(J278&gt;L278,"boven UCL",IF(J278&lt;K278,"onder LCL","")),"")</f>
        <v/>
      </c>
      <c r="O278" t="n">
        <v>172</v>
      </c>
      <c r="P278" s="7" t="n"/>
      <c r="Q278" s="7" t="n"/>
      <c r="R278" s="11">
        <f>IF(AND(ISNUMBER(P278),ISNUMBER(Q278),P278&gt;0,ISNUMBER($B$100)),Q278/P278,"")</f>
        <v/>
      </c>
      <c r="S278" s="11">
        <f>IF(AND(ISNUMBER(P278),ISNUMBER(Q278),P278&gt;0,ISNUMBER($B$100)),MAX(0,$B$100-3*SQRT($B$100/P278)),"")</f>
        <v/>
      </c>
      <c r="T278" s="11">
        <f>IF(AND(ISNUMBER(P278),ISNUMBER(Q278),P278&gt;0,ISNUMBER($B$100)),$B$100+3*SQRT($B$100/P278),"")</f>
        <v/>
      </c>
      <c r="U278" s="13">
        <f>IF(AND(ISNUMBER(R278),ISNUMBER(S278),ISNUMBER(T278)),IF(R278&gt;T278,"boven UCL",IF(R278&lt;S278,"onder LCL","")),"")</f>
        <v/>
      </c>
    </row>
    <row r="279">
      <c r="A279" t="n">
        <v>173</v>
      </c>
      <c r="B279" s="7" t="n"/>
      <c r="C279" s="11">
        <f>IF(AND(ISNUMBER(B279),ISNUMBER(B278)),ABS(B279-B278),"")</f>
        <v/>
      </c>
      <c r="D279" s="13">
        <f>IF(AND(ISNUMBER(B279),ISNUMBER($B$88),ISNUMBER($D$88)),IF(B279&gt;$D$88,"boven UCL",IF(B279&lt;$B$88,"onder LCL","")),"")</f>
        <v/>
      </c>
      <c r="E279" s="13">
        <f>IF(AND(ISNUMBER(C279),ISNUMBER($B$89),ISNUMBER($D$89)),IF(C279&gt;$D$89,"boven UCL",IF(C279&lt;$B$89,"onder LCL","")),"")</f>
        <v/>
      </c>
      <c r="G279" t="n">
        <v>173</v>
      </c>
      <c r="H279" s="7" t="n"/>
      <c r="I279" s="7" t="n"/>
      <c r="J279" s="11">
        <f>IF(AND(ISNUMBER(H279),ISNUMBER(I279),H279&gt;0,ISNUMBER($B$94)),I279/H279,"")</f>
        <v/>
      </c>
      <c r="K279" s="11">
        <f>IF(AND(ISNUMBER(H279),ISNUMBER(I279),H279&gt;0,ISNUMBER($B$94)),MAX(0,$B$94-3*SQRT($B$94*(1-$B$94)/H279)),"")</f>
        <v/>
      </c>
      <c r="L279" s="11">
        <f>IF(AND(ISNUMBER(H279),ISNUMBER(I279),H279&gt;0,ISNUMBER($B$94)),$B$94+3*SQRT($B$94*(1-$B$94)/H279),"")</f>
        <v/>
      </c>
      <c r="M279" s="13">
        <f>IF(AND(ISNUMBER(J279),ISNUMBER(K279),ISNUMBER(L279)),IF(J279&gt;L279,"boven UCL",IF(J279&lt;K279,"onder LCL","")),"")</f>
        <v/>
      </c>
      <c r="O279" t="n">
        <v>173</v>
      </c>
      <c r="P279" s="7" t="n"/>
      <c r="Q279" s="7" t="n"/>
      <c r="R279" s="11">
        <f>IF(AND(ISNUMBER(P279),ISNUMBER(Q279),P279&gt;0,ISNUMBER($B$100)),Q279/P279,"")</f>
        <v/>
      </c>
      <c r="S279" s="11">
        <f>IF(AND(ISNUMBER(P279),ISNUMBER(Q279),P279&gt;0,ISNUMBER($B$100)),MAX(0,$B$100-3*SQRT($B$100/P279)),"")</f>
        <v/>
      </c>
      <c r="T279" s="11">
        <f>IF(AND(ISNUMBER(P279),ISNUMBER(Q279),P279&gt;0,ISNUMBER($B$100)),$B$100+3*SQRT($B$100/P279),"")</f>
        <v/>
      </c>
      <c r="U279" s="13">
        <f>IF(AND(ISNUMBER(R279),ISNUMBER(S279),ISNUMBER(T279)),IF(R279&gt;T279,"boven UCL",IF(R279&lt;S279,"onder LCL","")),"")</f>
        <v/>
      </c>
    </row>
    <row r="280">
      <c r="A280" t="n">
        <v>174</v>
      </c>
      <c r="B280" s="7" t="n"/>
      <c r="C280" s="11">
        <f>IF(AND(ISNUMBER(B280),ISNUMBER(B279)),ABS(B280-B279),"")</f>
        <v/>
      </c>
      <c r="D280" s="13">
        <f>IF(AND(ISNUMBER(B280),ISNUMBER($B$88),ISNUMBER($D$88)),IF(B280&gt;$D$88,"boven UCL",IF(B280&lt;$B$88,"onder LCL","")),"")</f>
        <v/>
      </c>
      <c r="E280" s="13">
        <f>IF(AND(ISNUMBER(C280),ISNUMBER($B$89),ISNUMBER($D$89)),IF(C280&gt;$D$89,"boven UCL",IF(C280&lt;$B$89,"onder LCL","")),"")</f>
        <v/>
      </c>
      <c r="G280" t="n">
        <v>174</v>
      </c>
      <c r="H280" s="7" t="n"/>
      <c r="I280" s="7" t="n"/>
      <c r="J280" s="11">
        <f>IF(AND(ISNUMBER(H280),ISNUMBER(I280),H280&gt;0,ISNUMBER($B$94)),I280/H280,"")</f>
        <v/>
      </c>
      <c r="K280" s="11">
        <f>IF(AND(ISNUMBER(H280),ISNUMBER(I280),H280&gt;0,ISNUMBER($B$94)),MAX(0,$B$94-3*SQRT($B$94*(1-$B$94)/H280)),"")</f>
        <v/>
      </c>
      <c r="L280" s="11">
        <f>IF(AND(ISNUMBER(H280),ISNUMBER(I280),H280&gt;0,ISNUMBER($B$94)),$B$94+3*SQRT($B$94*(1-$B$94)/H280),"")</f>
        <v/>
      </c>
      <c r="M280" s="13">
        <f>IF(AND(ISNUMBER(J280),ISNUMBER(K280),ISNUMBER(L280)),IF(J280&gt;L280,"boven UCL",IF(J280&lt;K280,"onder LCL","")),"")</f>
        <v/>
      </c>
      <c r="O280" t="n">
        <v>174</v>
      </c>
      <c r="P280" s="7" t="n"/>
      <c r="Q280" s="7" t="n"/>
      <c r="R280" s="11">
        <f>IF(AND(ISNUMBER(P280),ISNUMBER(Q280),P280&gt;0,ISNUMBER($B$100)),Q280/P280,"")</f>
        <v/>
      </c>
      <c r="S280" s="11">
        <f>IF(AND(ISNUMBER(P280),ISNUMBER(Q280),P280&gt;0,ISNUMBER($B$100)),MAX(0,$B$100-3*SQRT($B$100/P280)),"")</f>
        <v/>
      </c>
      <c r="T280" s="11">
        <f>IF(AND(ISNUMBER(P280),ISNUMBER(Q280),P280&gt;0,ISNUMBER($B$100)),$B$100+3*SQRT($B$100/P280),"")</f>
        <v/>
      </c>
      <c r="U280" s="13">
        <f>IF(AND(ISNUMBER(R280),ISNUMBER(S280),ISNUMBER(T280)),IF(R280&gt;T280,"boven UCL",IF(R280&lt;S280,"onder LCL","")),"")</f>
        <v/>
      </c>
    </row>
    <row r="281">
      <c r="A281" t="n">
        <v>175</v>
      </c>
      <c r="B281" s="7" t="n"/>
      <c r="C281" s="11">
        <f>IF(AND(ISNUMBER(B281),ISNUMBER(B280)),ABS(B281-B280),"")</f>
        <v/>
      </c>
      <c r="D281" s="13">
        <f>IF(AND(ISNUMBER(B281),ISNUMBER($B$88),ISNUMBER($D$88)),IF(B281&gt;$D$88,"boven UCL",IF(B281&lt;$B$88,"onder LCL","")),"")</f>
        <v/>
      </c>
      <c r="E281" s="13">
        <f>IF(AND(ISNUMBER(C281),ISNUMBER($B$89),ISNUMBER($D$89)),IF(C281&gt;$D$89,"boven UCL",IF(C281&lt;$B$89,"onder LCL","")),"")</f>
        <v/>
      </c>
      <c r="G281" t="n">
        <v>175</v>
      </c>
      <c r="H281" s="7" t="n"/>
      <c r="I281" s="7" t="n"/>
      <c r="J281" s="11">
        <f>IF(AND(ISNUMBER(H281),ISNUMBER(I281),H281&gt;0,ISNUMBER($B$94)),I281/H281,"")</f>
        <v/>
      </c>
      <c r="K281" s="11">
        <f>IF(AND(ISNUMBER(H281),ISNUMBER(I281),H281&gt;0,ISNUMBER($B$94)),MAX(0,$B$94-3*SQRT($B$94*(1-$B$94)/H281)),"")</f>
        <v/>
      </c>
      <c r="L281" s="11">
        <f>IF(AND(ISNUMBER(H281),ISNUMBER(I281),H281&gt;0,ISNUMBER($B$94)),$B$94+3*SQRT($B$94*(1-$B$94)/H281),"")</f>
        <v/>
      </c>
      <c r="M281" s="13">
        <f>IF(AND(ISNUMBER(J281),ISNUMBER(K281),ISNUMBER(L281)),IF(J281&gt;L281,"boven UCL",IF(J281&lt;K281,"onder LCL","")),"")</f>
        <v/>
      </c>
      <c r="O281" t="n">
        <v>175</v>
      </c>
      <c r="P281" s="7" t="n"/>
      <c r="Q281" s="7" t="n"/>
      <c r="R281" s="11">
        <f>IF(AND(ISNUMBER(P281),ISNUMBER(Q281),P281&gt;0,ISNUMBER($B$100)),Q281/P281,"")</f>
        <v/>
      </c>
      <c r="S281" s="11">
        <f>IF(AND(ISNUMBER(P281),ISNUMBER(Q281),P281&gt;0,ISNUMBER($B$100)),MAX(0,$B$100-3*SQRT($B$100/P281)),"")</f>
        <v/>
      </c>
      <c r="T281" s="11">
        <f>IF(AND(ISNUMBER(P281),ISNUMBER(Q281),P281&gt;0,ISNUMBER($B$100)),$B$100+3*SQRT($B$100/P281),"")</f>
        <v/>
      </c>
      <c r="U281" s="13">
        <f>IF(AND(ISNUMBER(R281),ISNUMBER(S281),ISNUMBER(T281)),IF(R281&gt;T281,"boven UCL",IF(R281&lt;S281,"onder LCL","")),"")</f>
        <v/>
      </c>
    </row>
    <row r="282">
      <c r="A282" t="n">
        <v>176</v>
      </c>
      <c r="B282" s="7" t="n"/>
      <c r="C282" s="11">
        <f>IF(AND(ISNUMBER(B282),ISNUMBER(B281)),ABS(B282-B281),"")</f>
        <v/>
      </c>
      <c r="D282" s="13">
        <f>IF(AND(ISNUMBER(B282),ISNUMBER($B$88),ISNUMBER($D$88)),IF(B282&gt;$D$88,"boven UCL",IF(B282&lt;$B$88,"onder LCL","")),"")</f>
        <v/>
      </c>
      <c r="E282" s="13">
        <f>IF(AND(ISNUMBER(C282),ISNUMBER($B$89),ISNUMBER($D$89)),IF(C282&gt;$D$89,"boven UCL",IF(C282&lt;$B$89,"onder LCL","")),"")</f>
        <v/>
      </c>
      <c r="G282" t="n">
        <v>176</v>
      </c>
      <c r="H282" s="7" t="n"/>
      <c r="I282" s="7" t="n"/>
      <c r="J282" s="11">
        <f>IF(AND(ISNUMBER(H282),ISNUMBER(I282),H282&gt;0,ISNUMBER($B$94)),I282/H282,"")</f>
        <v/>
      </c>
      <c r="K282" s="11">
        <f>IF(AND(ISNUMBER(H282),ISNUMBER(I282),H282&gt;0,ISNUMBER($B$94)),MAX(0,$B$94-3*SQRT($B$94*(1-$B$94)/H282)),"")</f>
        <v/>
      </c>
      <c r="L282" s="11">
        <f>IF(AND(ISNUMBER(H282),ISNUMBER(I282),H282&gt;0,ISNUMBER($B$94)),$B$94+3*SQRT($B$94*(1-$B$94)/H282),"")</f>
        <v/>
      </c>
      <c r="M282" s="13">
        <f>IF(AND(ISNUMBER(J282),ISNUMBER(K282),ISNUMBER(L282)),IF(J282&gt;L282,"boven UCL",IF(J282&lt;K282,"onder LCL","")),"")</f>
        <v/>
      </c>
      <c r="O282" t="n">
        <v>176</v>
      </c>
      <c r="P282" s="7" t="n"/>
      <c r="Q282" s="7" t="n"/>
      <c r="R282" s="11">
        <f>IF(AND(ISNUMBER(P282),ISNUMBER(Q282),P282&gt;0,ISNUMBER($B$100)),Q282/P282,"")</f>
        <v/>
      </c>
      <c r="S282" s="11">
        <f>IF(AND(ISNUMBER(P282),ISNUMBER(Q282),P282&gt;0,ISNUMBER($B$100)),MAX(0,$B$100-3*SQRT($B$100/P282)),"")</f>
        <v/>
      </c>
      <c r="T282" s="11">
        <f>IF(AND(ISNUMBER(P282),ISNUMBER(Q282),P282&gt;0,ISNUMBER($B$100)),$B$100+3*SQRT($B$100/P282),"")</f>
        <v/>
      </c>
      <c r="U282" s="13">
        <f>IF(AND(ISNUMBER(R282),ISNUMBER(S282),ISNUMBER(T282)),IF(R282&gt;T282,"boven UCL",IF(R282&lt;S282,"onder LCL","")),"")</f>
        <v/>
      </c>
    </row>
    <row r="283">
      <c r="A283" t="n">
        <v>177</v>
      </c>
      <c r="B283" s="7" t="n"/>
      <c r="C283" s="11">
        <f>IF(AND(ISNUMBER(B283),ISNUMBER(B282)),ABS(B283-B282),"")</f>
        <v/>
      </c>
      <c r="D283" s="13">
        <f>IF(AND(ISNUMBER(B283),ISNUMBER($B$88),ISNUMBER($D$88)),IF(B283&gt;$D$88,"boven UCL",IF(B283&lt;$B$88,"onder LCL","")),"")</f>
        <v/>
      </c>
      <c r="E283" s="13">
        <f>IF(AND(ISNUMBER(C283),ISNUMBER($B$89),ISNUMBER($D$89)),IF(C283&gt;$D$89,"boven UCL",IF(C283&lt;$B$89,"onder LCL","")),"")</f>
        <v/>
      </c>
      <c r="G283" t="n">
        <v>177</v>
      </c>
      <c r="H283" s="7" t="n"/>
      <c r="I283" s="7" t="n"/>
      <c r="J283" s="11">
        <f>IF(AND(ISNUMBER(H283),ISNUMBER(I283),H283&gt;0,ISNUMBER($B$94)),I283/H283,"")</f>
        <v/>
      </c>
      <c r="K283" s="11">
        <f>IF(AND(ISNUMBER(H283),ISNUMBER(I283),H283&gt;0,ISNUMBER($B$94)),MAX(0,$B$94-3*SQRT($B$94*(1-$B$94)/H283)),"")</f>
        <v/>
      </c>
      <c r="L283" s="11">
        <f>IF(AND(ISNUMBER(H283),ISNUMBER(I283),H283&gt;0,ISNUMBER($B$94)),$B$94+3*SQRT($B$94*(1-$B$94)/H283),"")</f>
        <v/>
      </c>
      <c r="M283" s="13">
        <f>IF(AND(ISNUMBER(J283),ISNUMBER(K283),ISNUMBER(L283)),IF(J283&gt;L283,"boven UCL",IF(J283&lt;K283,"onder LCL","")),"")</f>
        <v/>
      </c>
      <c r="O283" t="n">
        <v>177</v>
      </c>
      <c r="P283" s="7" t="n"/>
      <c r="Q283" s="7" t="n"/>
      <c r="R283" s="11">
        <f>IF(AND(ISNUMBER(P283),ISNUMBER(Q283),P283&gt;0,ISNUMBER($B$100)),Q283/P283,"")</f>
        <v/>
      </c>
      <c r="S283" s="11">
        <f>IF(AND(ISNUMBER(P283),ISNUMBER(Q283),P283&gt;0,ISNUMBER($B$100)),MAX(0,$B$100-3*SQRT($B$100/P283)),"")</f>
        <v/>
      </c>
      <c r="T283" s="11">
        <f>IF(AND(ISNUMBER(P283),ISNUMBER(Q283),P283&gt;0,ISNUMBER($B$100)),$B$100+3*SQRT($B$100/P283),"")</f>
        <v/>
      </c>
      <c r="U283" s="13">
        <f>IF(AND(ISNUMBER(R283),ISNUMBER(S283),ISNUMBER(T283)),IF(R283&gt;T283,"boven UCL",IF(R283&lt;S283,"onder LCL","")),"")</f>
        <v/>
      </c>
    </row>
    <row r="284">
      <c r="A284" t="n">
        <v>178</v>
      </c>
      <c r="B284" s="7" t="n"/>
      <c r="C284" s="11">
        <f>IF(AND(ISNUMBER(B284),ISNUMBER(B283)),ABS(B284-B283),"")</f>
        <v/>
      </c>
      <c r="D284" s="13">
        <f>IF(AND(ISNUMBER(B284),ISNUMBER($B$88),ISNUMBER($D$88)),IF(B284&gt;$D$88,"boven UCL",IF(B284&lt;$B$88,"onder LCL","")),"")</f>
        <v/>
      </c>
      <c r="E284" s="13">
        <f>IF(AND(ISNUMBER(C284),ISNUMBER($B$89),ISNUMBER($D$89)),IF(C284&gt;$D$89,"boven UCL",IF(C284&lt;$B$89,"onder LCL","")),"")</f>
        <v/>
      </c>
      <c r="G284" t="n">
        <v>178</v>
      </c>
      <c r="H284" s="7" t="n"/>
      <c r="I284" s="7" t="n"/>
      <c r="J284" s="11">
        <f>IF(AND(ISNUMBER(H284),ISNUMBER(I284),H284&gt;0,ISNUMBER($B$94)),I284/H284,"")</f>
        <v/>
      </c>
      <c r="K284" s="11">
        <f>IF(AND(ISNUMBER(H284),ISNUMBER(I284),H284&gt;0,ISNUMBER($B$94)),MAX(0,$B$94-3*SQRT($B$94*(1-$B$94)/H284)),"")</f>
        <v/>
      </c>
      <c r="L284" s="11">
        <f>IF(AND(ISNUMBER(H284),ISNUMBER(I284),H284&gt;0,ISNUMBER($B$94)),$B$94+3*SQRT($B$94*(1-$B$94)/H284),"")</f>
        <v/>
      </c>
      <c r="M284" s="13">
        <f>IF(AND(ISNUMBER(J284),ISNUMBER(K284),ISNUMBER(L284)),IF(J284&gt;L284,"boven UCL",IF(J284&lt;K284,"onder LCL","")),"")</f>
        <v/>
      </c>
      <c r="O284" t="n">
        <v>178</v>
      </c>
      <c r="P284" s="7" t="n"/>
      <c r="Q284" s="7" t="n"/>
      <c r="R284" s="11">
        <f>IF(AND(ISNUMBER(P284),ISNUMBER(Q284),P284&gt;0,ISNUMBER($B$100)),Q284/P284,"")</f>
        <v/>
      </c>
      <c r="S284" s="11">
        <f>IF(AND(ISNUMBER(P284),ISNUMBER(Q284),P284&gt;0,ISNUMBER($B$100)),MAX(0,$B$100-3*SQRT($B$100/P284)),"")</f>
        <v/>
      </c>
      <c r="T284" s="11">
        <f>IF(AND(ISNUMBER(P284),ISNUMBER(Q284),P284&gt;0,ISNUMBER($B$100)),$B$100+3*SQRT($B$100/P284),"")</f>
        <v/>
      </c>
      <c r="U284" s="13">
        <f>IF(AND(ISNUMBER(R284),ISNUMBER(S284),ISNUMBER(T284)),IF(R284&gt;T284,"boven UCL",IF(R284&lt;S284,"onder LCL","")),"")</f>
        <v/>
      </c>
    </row>
    <row r="285">
      <c r="A285" t="n">
        <v>179</v>
      </c>
      <c r="B285" s="7" t="n"/>
      <c r="C285" s="11">
        <f>IF(AND(ISNUMBER(B285),ISNUMBER(B284)),ABS(B285-B284),"")</f>
        <v/>
      </c>
      <c r="D285" s="13">
        <f>IF(AND(ISNUMBER(B285),ISNUMBER($B$88),ISNUMBER($D$88)),IF(B285&gt;$D$88,"boven UCL",IF(B285&lt;$B$88,"onder LCL","")),"")</f>
        <v/>
      </c>
      <c r="E285" s="13">
        <f>IF(AND(ISNUMBER(C285),ISNUMBER($B$89),ISNUMBER($D$89)),IF(C285&gt;$D$89,"boven UCL",IF(C285&lt;$B$89,"onder LCL","")),"")</f>
        <v/>
      </c>
      <c r="G285" t="n">
        <v>179</v>
      </c>
      <c r="H285" s="7" t="n"/>
      <c r="I285" s="7" t="n"/>
      <c r="J285" s="11">
        <f>IF(AND(ISNUMBER(H285),ISNUMBER(I285),H285&gt;0,ISNUMBER($B$94)),I285/H285,"")</f>
        <v/>
      </c>
      <c r="K285" s="11">
        <f>IF(AND(ISNUMBER(H285),ISNUMBER(I285),H285&gt;0,ISNUMBER($B$94)),MAX(0,$B$94-3*SQRT($B$94*(1-$B$94)/H285)),"")</f>
        <v/>
      </c>
      <c r="L285" s="11">
        <f>IF(AND(ISNUMBER(H285),ISNUMBER(I285),H285&gt;0,ISNUMBER($B$94)),$B$94+3*SQRT($B$94*(1-$B$94)/H285),"")</f>
        <v/>
      </c>
      <c r="M285" s="13">
        <f>IF(AND(ISNUMBER(J285),ISNUMBER(K285),ISNUMBER(L285)),IF(J285&gt;L285,"boven UCL",IF(J285&lt;K285,"onder LCL","")),"")</f>
        <v/>
      </c>
      <c r="O285" t="n">
        <v>179</v>
      </c>
      <c r="P285" s="7" t="n"/>
      <c r="Q285" s="7" t="n"/>
      <c r="R285" s="11">
        <f>IF(AND(ISNUMBER(P285),ISNUMBER(Q285),P285&gt;0,ISNUMBER($B$100)),Q285/P285,"")</f>
        <v/>
      </c>
      <c r="S285" s="11">
        <f>IF(AND(ISNUMBER(P285),ISNUMBER(Q285),P285&gt;0,ISNUMBER($B$100)),MAX(0,$B$100-3*SQRT($B$100/P285)),"")</f>
        <v/>
      </c>
      <c r="T285" s="11">
        <f>IF(AND(ISNUMBER(P285),ISNUMBER(Q285),P285&gt;0,ISNUMBER($B$100)),$B$100+3*SQRT($B$100/P285),"")</f>
        <v/>
      </c>
      <c r="U285" s="13">
        <f>IF(AND(ISNUMBER(R285),ISNUMBER(S285),ISNUMBER(T285)),IF(R285&gt;T285,"boven UCL",IF(R285&lt;S285,"onder LCL","")),"")</f>
        <v/>
      </c>
    </row>
    <row r="286">
      <c r="A286" t="n">
        <v>180</v>
      </c>
      <c r="B286" s="7" t="n"/>
      <c r="C286" s="11">
        <f>IF(AND(ISNUMBER(B286),ISNUMBER(B285)),ABS(B286-B285),"")</f>
        <v/>
      </c>
      <c r="D286" s="13">
        <f>IF(AND(ISNUMBER(B286),ISNUMBER($B$88),ISNUMBER($D$88)),IF(B286&gt;$D$88,"boven UCL",IF(B286&lt;$B$88,"onder LCL","")),"")</f>
        <v/>
      </c>
      <c r="E286" s="13">
        <f>IF(AND(ISNUMBER(C286),ISNUMBER($B$89),ISNUMBER($D$89)),IF(C286&gt;$D$89,"boven UCL",IF(C286&lt;$B$89,"onder LCL","")),"")</f>
        <v/>
      </c>
      <c r="G286" t="n">
        <v>180</v>
      </c>
      <c r="H286" s="7" t="n"/>
      <c r="I286" s="7" t="n"/>
      <c r="J286" s="11">
        <f>IF(AND(ISNUMBER(H286),ISNUMBER(I286),H286&gt;0,ISNUMBER($B$94)),I286/H286,"")</f>
        <v/>
      </c>
      <c r="K286" s="11">
        <f>IF(AND(ISNUMBER(H286),ISNUMBER(I286),H286&gt;0,ISNUMBER($B$94)),MAX(0,$B$94-3*SQRT($B$94*(1-$B$94)/H286)),"")</f>
        <v/>
      </c>
      <c r="L286" s="11">
        <f>IF(AND(ISNUMBER(H286),ISNUMBER(I286),H286&gt;0,ISNUMBER($B$94)),$B$94+3*SQRT($B$94*(1-$B$94)/H286),"")</f>
        <v/>
      </c>
      <c r="M286" s="13">
        <f>IF(AND(ISNUMBER(J286),ISNUMBER(K286),ISNUMBER(L286)),IF(J286&gt;L286,"boven UCL",IF(J286&lt;K286,"onder LCL","")),"")</f>
        <v/>
      </c>
      <c r="O286" t="n">
        <v>180</v>
      </c>
      <c r="P286" s="7" t="n"/>
      <c r="Q286" s="7" t="n"/>
      <c r="R286" s="11">
        <f>IF(AND(ISNUMBER(P286),ISNUMBER(Q286),P286&gt;0,ISNUMBER($B$100)),Q286/P286,"")</f>
        <v/>
      </c>
      <c r="S286" s="11">
        <f>IF(AND(ISNUMBER(P286),ISNUMBER(Q286),P286&gt;0,ISNUMBER($B$100)),MAX(0,$B$100-3*SQRT($B$100/P286)),"")</f>
        <v/>
      </c>
      <c r="T286" s="11">
        <f>IF(AND(ISNUMBER(P286),ISNUMBER(Q286),P286&gt;0,ISNUMBER($B$100)),$B$100+3*SQRT($B$100/P286),"")</f>
        <v/>
      </c>
      <c r="U286" s="13">
        <f>IF(AND(ISNUMBER(R286),ISNUMBER(S286),ISNUMBER(T286)),IF(R286&gt;T286,"boven UCL",IF(R286&lt;S286,"onder LCL","")),"")</f>
        <v/>
      </c>
    </row>
    <row r="287">
      <c r="A287" t="n">
        <v>181</v>
      </c>
      <c r="B287" s="7" t="n"/>
      <c r="C287" s="11">
        <f>IF(AND(ISNUMBER(B287),ISNUMBER(B286)),ABS(B287-B286),"")</f>
        <v/>
      </c>
      <c r="D287" s="13">
        <f>IF(AND(ISNUMBER(B287),ISNUMBER($B$88),ISNUMBER($D$88)),IF(B287&gt;$D$88,"boven UCL",IF(B287&lt;$B$88,"onder LCL","")),"")</f>
        <v/>
      </c>
      <c r="E287" s="13">
        <f>IF(AND(ISNUMBER(C287),ISNUMBER($B$89),ISNUMBER($D$89)),IF(C287&gt;$D$89,"boven UCL",IF(C287&lt;$B$89,"onder LCL","")),"")</f>
        <v/>
      </c>
      <c r="G287" t="n">
        <v>181</v>
      </c>
      <c r="H287" s="7" t="n"/>
      <c r="I287" s="7" t="n"/>
      <c r="J287" s="11">
        <f>IF(AND(ISNUMBER(H287),ISNUMBER(I287),H287&gt;0,ISNUMBER($B$94)),I287/H287,"")</f>
        <v/>
      </c>
      <c r="K287" s="11">
        <f>IF(AND(ISNUMBER(H287),ISNUMBER(I287),H287&gt;0,ISNUMBER($B$94)),MAX(0,$B$94-3*SQRT($B$94*(1-$B$94)/H287)),"")</f>
        <v/>
      </c>
      <c r="L287" s="11">
        <f>IF(AND(ISNUMBER(H287),ISNUMBER(I287),H287&gt;0,ISNUMBER($B$94)),$B$94+3*SQRT($B$94*(1-$B$94)/H287),"")</f>
        <v/>
      </c>
      <c r="M287" s="13">
        <f>IF(AND(ISNUMBER(J287),ISNUMBER(K287),ISNUMBER(L287)),IF(J287&gt;L287,"boven UCL",IF(J287&lt;K287,"onder LCL","")),"")</f>
        <v/>
      </c>
      <c r="O287" t="n">
        <v>181</v>
      </c>
      <c r="P287" s="7" t="n"/>
      <c r="Q287" s="7" t="n"/>
      <c r="R287" s="11">
        <f>IF(AND(ISNUMBER(P287),ISNUMBER(Q287),P287&gt;0,ISNUMBER($B$100)),Q287/P287,"")</f>
        <v/>
      </c>
      <c r="S287" s="11">
        <f>IF(AND(ISNUMBER(P287),ISNUMBER(Q287),P287&gt;0,ISNUMBER($B$100)),MAX(0,$B$100-3*SQRT($B$100/P287)),"")</f>
        <v/>
      </c>
      <c r="T287" s="11">
        <f>IF(AND(ISNUMBER(P287),ISNUMBER(Q287),P287&gt;0,ISNUMBER($B$100)),$B$100+3*SQRT($B$100/P287),"")</f>
        <v/>
      </c>
      <c r="U287" s="13">
        <f>IF(AND(ISNUMBER(R287),ISNUMBER(S287),ISNUMBER(T287)),IF(R287&gt;T287,"boven UCL",IF(R287&lt;S287,"onder LCL","")),"")</f>
        <v/>
      </c>
    </row>
    <row r="288">
      <c r="A288" t="n">
        <v>182</v>
      </c>
      <c r="B288" s="7" t="n"/>
      <c r="C288" s="11">
        <f>IF(AND(ISNUMBER(B288),ISNUMBER(B287)),ABS(B288-B287),"")</f>
        <v/>
      </c>
      <c r="D288" s="13">
        <f>IF(AND(ISNUMBER(B288),ISNUMBER($B$88),ISNUMBER($D$88)),IF(B288&gt;$D$88,"boven UCL",IF(B288&lt;$B$88,"onder LCL","")),"")</f>
        <v/>
      </c>
      <c r="E288" s="13">
        <f>IF(AND(ISNUMBER(C288),ISNUMBER($B$89),ISNUMBER($D$89)),IF(C288&gt;$D$89,"boven UCL",IF(C288&lt;$B$89,"onder LCL","")),"")</f>
        <v/>
      </c>
      <c r="G288" t="n">
        <v>182</v>
      </c>
      <c r="H288" s="7" t="n"/>
      <c r="I288" s="7" t="n"/>
      <c r="J288" s="11">
        <f>IF(AND(ISNUMBER(H288),ISNUMBER(I288),H288&gt;0,ISNUMBER($B$94)),I288/H288,"")</f>
        <v/>
      </c>
      <c r="K288" s="11">
        <f>IF(AND(ISNUMBER(H288),ISNUMBER(I288),H288&gt;0,ISNUMBER($B$94)),MAX(0,$B$94-3*SQRT($B$94*(1-$B$94)/H288)),"")</f>
        <v/>
      </c>
      <c r="L288" s="11">
        <f>IF(AND(ISNUMBER(H288),ISNUMBER(I288),H288&gt;0,ISNUMBER($B$94)),$B$94+3*SQRT($B$94*(1-$B$94)/H288),"")</f>
        <v/>
      </c>
      <c r="M288" s="13">
        <f>IF(AND(ISNUMBER(J288),ISNUMBER(K288),ISNUMBER(L288)),IF(J288&gt;L288,"boven UCL",IF(J288&lt;K288,"onder LCL","")),"")</f>
        <v/>
      </c>
      <c r="O288" t="n">
        <v>182</v>
      </c>
      <c r="P288" s="7" t="n"/>
      <c r="Q288" s="7" t="n"/>
      <c r="R288" s="11">
        <f>IF(AND(ISNUMBER(P288),ISNUMBER(Q288),P288&gt;0,ISNUMBER($B$100)),Q288/P288,"")</f>
        <v/>
      </c>
      <c r="S288" s="11">
        <f>IF(AND(ISNUMBER(P288),ISNUMBER(Q288),P288&gt;0,ISNUMBER($B$100)),MAX(0,$B$100-3*SQRT($B$100/P288)),"")</f>
        <v/>
      </c>
      <c r="T288" s="11">
        <f>IF(AND(ISNUMBER(P288),ISNUMBER(Q288),P288&gt;0,ISNUMBER($B$100)),$B$100+3*SQRT($B$100/P288),"")</f>
        <v/>
      </c>
      <c r="U288" s="13">
        <f>IF(AND(ISNUMBER(R288),ISNUMBER(S288),ISNUMBER(T288)),IF(R288&gt;T288,"boven UCL",IF(R288&lt;S288,"onder LCL","")),"")</f>
        <v/>
      </c>
    </row>
    <row r="289">
      <c r="A289" t="n">
        <v>183</v>
      </c>
      <c r="B289" s="7" t="n"/>
      <c r="C289" s="11">
        <f>IF(AND(ISNUMBER(B289),ISNUMBER(B288)),ABS(B289-B288),"")</f>
        <v/>
      </c>
      <c r="D289" s="13">
        <f>IF(AND(ISNUMBER(B289),ISNUMBER($B$88),ISNUMBER($D$88)),IF(B289&gt;$D$88,"boven UCL",IF(B289&lt;$B$88,"onder LCL","")),"")</f>
        <v/>
      </c>
      <c r="E289" s="13">
        <f>IF(AND(ISNUMBER(C289),ISNUMBER($B$89),ISNUMBER($D$89)),IF(C289&gt;$D$89,"boven UCL",IF(C289&lt;$B$89,"onder LCL","")),"")</f>
        <v/>
      </c>
      <c r="G289" t="n">
        <v>183</v>
      </c>
      <c r="H289" s="7" t="n"/>
      <c r="I289" s="7" t="n"/>
      <c r="J289" s="11">
        <f>IF(AND(ISNUMBER(H289),ISNUMBER(I289),H289&gt;0,ISNUMBER($B$94)),I289/H289,"")</f>
        <v/>
      </c>
      <c r="K289" s="11">
        <f>IF(AND(ISNUMBER(H289),ISNUMBER(I289),H289&gt;0,ISNUMBER($B$94)),MAX(0,$B$94-3*SQRT($B$94*(1-$B$94)/H289)),"")</f>
        <v/>
      </c>
      <c r="L289" s="11">
        <f>IF(AND(ISNUMBER(H289),ISNUMBER(I289),H289&gt;0,ISNUMBER($B$94)),$B$94+3*SQRT($B$94*(1-$B$94)/H289),"")</f>
        <v/>
      </c>
      <c r="M289" s="13">
        <f>IF(AND(ISNUMBER(J289),ISNUMBER(K289),ISNUMBER(L289)),IF(J289&gt;L289,"boven UCL",IF(J289&lt;K289,"onder LCL","")),"")</f>
        <v/>
      </c>
      <c r="O289" t="n">
        <v>183</v>
      </c>
      <c r="P289" s="7" t="n"/>
      <c r="Q289" s="7" t="n"/>
      <c r="R289" s="11">
        <f>IF(AND(ISNUMBER(P289),ISNUMBER(Q289),P289&gt;0,ISNUMBER($B$100)),Q289/P289,"")</f>
        <v/>
      </c>
      <c r="S289" s="11">
        <f>IF(AND(ISNUMBER(P289),ISNUMBER(Q289),P289&gt;0,ISNUMBER($B$100)),MAX(0,$B$100-3*SQRT($B$100/P289)),"")</f>
        <v/>
      </c>
      <c r="T289" s="11">
        <f>IF(AND(ISNUMBER(P289),ISNUMBER(Q289),P289&gt;0,ISNUMBER($B$100)),$B$100+3*SQRT($B$100/P289),"")</f>
        <v/>
      </c>
      <c r="U289" s="13">
        <f>IF(AND(ISNUMBER(R289),ISNUMBER(S289),ISNUMBER(T289)),IF(R289&gt;T289,"boven UCL",IF(R289&lt;S289,"onder LCL","")),"")</f>
        <v/>
      </c>
    </row>
    <row r="290">
      <c r="A290" t="n">
        <v>184</v>
      </c>
      <c r="B290" s="7" t="n"/>
      <c r="C290" s="11">
        <f>IF(AND(ISNUMBER(B290),ISNUMBER(B289)),ABS(B290-B289),"")</f>
        <v/>
      </c>
      <c r="D290" s="13">
        <f>IF(AND(ISNUMBER(B290),ISNUMBER($B$88),ISNUMBER($D$88)),IF(B290&gt;$D$88,"boven UCL",IF(B290&lt;$B$88,"onder LCL","")),"")</f>
        <v/>
      </c>
      <c r="E290" s="13">
        <f>IF(AND(ISNUMBER(C290),ISNUMBER($B$89),ISNUMBER($D$89)),IF(C290&gt;$D$89,"boven UCL",IF(C290&lt;$B$89,"onder LCL","")),"")</f>
        <v/>
      </c>
      <c r="G290" t="n">
        <v>184</v>
      </c>
      <c r="H290" s="7" t="n"/>
      <c r="I290" s="7" t="n"/>
      <c r="J290" s="11">
        <f>IF(AND(ISNUMBER(H290),ISNUMBER(I290),H290&gt;0,ISNUMBER($B$94)),I290/H290,"")</f>
        <v/>
      </c>
      <c r="K290" s="11">
        <f>IF(AND(ISNUMBER(H290),ISNUMBER(I290),H290&gt;0,ISNUMBER($B$94)),MAX(0,$B$94-3*SQRT($B$94*(1-$B$94)/H290)),"")</f>
        <v/>
      </c>
      <c r="L290" s="11">
        <f>IF(AND(ISNUMBER(H290),ISNUMBER(I290),H290&gt;0,ISNUMBER($B$94)),$B$94+3*SQRT($B$94*(1-$B$94)/H290),"")</f>
        <v/>
      </c>
      <c r="M290" s="13">
        <f>IF(AND(ISNUMBER(J290),ISNUMBER(K290),ISNUMBER(L290)),IF(J290&gt;L290,"boven UCL",IF(J290&lt;K290,"onder LCL","")),"")</f>
        <v/>
      </c>
      <c r="O290" t="n">
        <v>184</v>
      </c>
      <c r="P290" s="7" t="n"/>
      <c r="Q290" s="7" t="n"/>
      <c r="R290" s="11">
        <f>IF(AND(ISNUMBER(P290),ISNUMBER(Q290),P290&gt;0,ISNUMBER($B$100)),Q290/P290,"")</f>
        <v/>
      </c>
      <c r="S290" s="11">
        <f>IF(AND(ISNUMBER(P290),ISNUMBER(Q290),P290&gt;0,ISNUMBER($B$100)),MAX(0,$B$100-3*SQRT($B$100/P290)),"")</f>
        <v/>
      </c>
      <c r="T290" s="11">
        <f>IF(AND(ISNUMBER(P290),ISNUMBER(Q290),P290&gt;0,ISNUMBER($B$100)),$B$100+3*SQRT($B$100/P290),"")</f>
        <v/>
      </c>
      <c r="U290" s="13">
        <f>IF(AND(ISNUMBER(R290),ISNUMBER(S290),ISNUMBER(T290)),IF(R290&gt;T290,"boven UCL",IF(R290&lt;S290,"onder LCL","")),"")</f>
        <v/>
      </c>
    </row>
    <row r="291">
      <c r="A291" t="n">
        <v>185</v>
      </c>
      <c r="B291" s="7" t="n"/>
      <c r="C291" s="11">
        <f>IF(AND(ISNUMBER(B291),ISNUMBER(B290)),ABS(B291-B290),"")</f>
        <v/>
      </c>
      <c r="D291" s="13">
        <f>IF(AND(ISNUMBER(B291),ISNUMBER($B$88),ISNUMBER($D$88)),IF(B291&gt;$D$88,"boven UCL",IF(B291&lt;$B$88,"onder LCL","")),"")</f>
        <v/>
      </c>
      <c r="E291" s="13">
        <f>IF(AND(ISNUMBER(C291),ISNUMBER($B$89),ISNUMBER($D$89)),IF(C291&gt;$D$89,"boven UCL",IF(C291&lt;$B$89,"onder LCL","")),"")</f>
        <v/>
      </c>
      <c r="G291" t="n">
        <v>185</v>
      </c>
      <c r="H291" s="7" t="n"/>
      <c r="I291" s="7" t="n"/>
      <c r="J291" s="11">
        <f>IF(AND(ISNUMBER(H291),ISNUMBER(I291),H291&gt;0,ISNUMBER($B$94)),I291/H291,"")</f>
        <v/>
      </c>
      <c r="K291" s="11">
        <f>IF(AND(ISNUMBER(H291),ISNUMBER(I291),H291&gt;0,ISNUMBER($B$94)),MAX(0,$B$94-3*SQRT($B$94*(1-$B$94)/H291)),"")</f>
        <v/>
      </c>
      <c r="L291" s="11">
        <f>IF(AND(ISNUMBER(H291),ISNUMBER(I291),H291&gt;0,ISNUMBER($B$94)),$B$94+3*SQRT($B$94*(1-$B$94)/H291),"")</f>
        <v/>
      </c>
      <c r="M291" s="13">
        <f>IF(AND(ISNUMBER(J291),ISNUMBER(K291),ISNUMBER(L291)),IF(J291&gt;L291,"boven UCL",IF(J291&lt;K291,"onder LCL","")),"")</f>
        <v/>
      </c>
      <c r="O291" t="n">
        <v>185</v>
      </c>
      <c r="P291" s="7" t="n"/>
      <c r="Q291" s="7" t="n"/>
      <c r="R291" s="11">
        <f>IF(AND(ISNUMBER(P291),ISNUMBER(Q291),P291&gt;0,ISNUMBER($B$100)),Q291/P291,"")</f>
        <v/>
      </c>
      <c r="S291" s="11">
        <f>IF(AND(ISNUMBER(P291),ISNUMBER(Q291),P291&gt;0,ISNUMBER($B$100)),MAX(0,$B$100-3*SQRT($B$100/P291)),"")</f>
        <v/>
      </c>
      <c r="T291" s="11">
        <f>IF(AND(ISNUMBER(P291),ISNUMBER(Q291),P291&gt;0,ISNUMBER($B$100)),$B$100+3*SQRT($B$100/P291),"")</f>
        <v/>
      </c>
      <c r="U291" s="13">
        <f>IF(AND(ISNUMBER(R291),ISNUMBER(S291),ISNUMBER(T291)),IF(R291&gt;T291,"boven UCL",IF(R291&lt;S291,"onder LCL","")),"")</f>
        <v/>
      </c>
    </row>
    <row r="292">
      <c r="A292" t="n">
        <v>186</v>
      </c>
      <c r="B292" s="7" t="n"/>
      <c r="C292" s="11">
        <f>IF(AND(ISNUMBER(B292),ISNUMBER(B291)),ABS(B292-B291),"")</f>
        <v/>
      </c>
      <c r="D292" s="13">
        <f>IF(AND(ISNUMBER(B292),ISNUMBER($B$88),ISNUMBER($D$88)),IF(B292&gt;$D$88,"boven UCL",IF(B292&lt;$B$88,"onder LCL","")),"")</f>
        <v/>
      </c>
      <c r="E292" s="13">
        <f>IF(AND(ISNUMBER(C292),ISNUMBER($B$89),ISNUMBER($D$89)),IF(C292&gt;$D$89,"boven UCL",IF(C292&lt;$B$89,"onder LCL","")),"")</f>
        <v/>
      </c>
      <c r="G292" t="n">
        <v>186</v>
      </c>
      <c r="H292" s="7" t="n"/>
      <c r="I292" s="7" t="n"/>
      <c r="J292" s="11">
        <f>IF(AND(ISNUMBER(H292),ISNUMBER(I292),H292&gt;0,ISNUMBER($B$94)),I292/H292,"")</f>
        <v/>
      </c>
      <c r="K292" s="11">
        <f>IF(AND(ISNUMBER(H292),ISNUMBER(I292),H292&gt;0,ISNUMBER($B$94)),MAX(0,$B$94-3*SQRT($B$94*(1-$B$94)/H292)),"")</f>
        <v/>
      </c>
      <c r="L292" s="11">
        <f>IF(AND(ISNUMBER(H292),ISNUMBER(I292),H292&gt;0,ISNUMBER($B$94)),$B$94+3*SQRT($B$94*(1-$B$94)/H292),"")</f>
        <v/>
      </c>
      <c r="M292" s="13">
        <f>IF(AND(ISNUMBER(J292),ISNUMBER(K292),ISNUMBER(L292)),IF(J292&gt;L292,"boven UCL",IF(J292&lt;K292,"onder LCL","")),"")</f>
        <v/>
      </c>
      <c r="O292" t="n">
        <v>186</v>
      </c>
      <c r="P292" s="7" t="n"/>
      <c r="Q292" s="7" t="n"/>
      <c r="R292" s="11">
        <f>IF(AND(ISNUMBER(P292),ISNUMBER(Q292),P292&gt;0,ISNUMBER($B$100)),Q292/P292,"")</f>
        <v/>
      </c>
      <c r="S292" s="11">
        <f>IF(AND(ISNUMBER(P292),ISNUMBER(Q292),P292&gt;0,ISNUMBER($B$100)),MAX(0,$B$100-3*SQRT($B$100/P292)),"")</f>
        <v/>
      </c>
      <c r="T292" s="11">
        <f>IF(AND(ISNUMBER(P292),ISNUMBER(Q292),P292&gt;0,ISNUMBER($B$100)),$B$100+3*SQRT($B$100/P292),"")</f>
        <v/>
      </c>
      <c r="U292" s="13">
        <f>IF(AND(ISNUMBER(R292),ISNUMBER(S292),ISNUMBER(T292)),IF(R292&gt;T292,"boven UCL",IF(R292&lt;S292,"onder LCL","")),"")</f>
        <v/>
      </c>
    </row>
    <row r="293">
      <c r="A293" t="n">
        <v>187</v>
      </c>
      <c r="B293" s="7" t="n"/>
      <c r="C293" s="11">
        <f>IF(AND(ISNUMBER(B293),ISNUMBER(B292)),ABS(B293-B292),"")</f>
        <v/>
      </c>
      <c r="D293" s="13">
        <f>IF(AND(ISNUMBER(B293),ISNUMBER($B$88),ISNUMBER($D$88)),IF(B293&gt;$D$88,"boven UCL",IF(B293&lt;$B$88,"onder LCL","")),"")</f>
        <v/>
      </c>
      <c r="E293" s="13">
        <f>IF(AND(ISNUMBER(C293),ISNUMBER($B$89),ISNUMBER($D$89)),IF(C293&gt;$D$89,"boven UCL",IF(C293&lt;$B$89,"onder LCL","")),"")</f>
        <v/>
      </c>
      <c r="G293" t="n">
        <v>187</v>
      </c>
      <c r="H293" s="7" t="n"/>
      <c r="I293" s="7" t="n"/>
      <c r="J293" s="11">
        <f>IF(AND(ISNUMBER(H293),ISNUMBER(I293),H293&gt;0,ISNUMBER($B$94)),I293/H293,"")</f>
        <v/>
      </c>
      <c r="K293" s="11">
        <f>IF(AND(ISNUMBER(H293),ISNUMBER(I293),H293&gt;0,ISNUMBER($B$94)),MAX(0,$B$94-3*SQRT($B$94*(1-$B$94)/H293)),"")</f>
        <v/>
      </c>
      <c r="L293" s="11">
        <f>IF(AND(ISNUMBER(H293),ISNUMBER(I293),H293&gt;0,ISNUMBER($B$94)),$B$94+3*SQRT($B$94*(1-$B$94)/H293),"")</f>
        <v/>
      </c>
      <c r="M293" s="13">
        <f>IF(AND(ISNUMBER(J293),ISNUMBER(K293),ISNUMBER(L293)),IF(J293&gt;L293,"boven UCL",IF(J293&lt;K293,"onder LCL","")),"")</f>
        <v/>
      </c>
      <c r="O293" t="n">
        <v>187</v>
      </c>
      <c r="P293" s="7" t="n"/>
      <c r="Q293" s="7" t="n"/>
      <c r="R293" s="11">
        <f>IF(AND(ISNUMBER(P293),ISNUMBER(Q293),P293&gt;0,ISNUMBER($B$100)),Q293/P293,"")</f>
        <v/>
      </c>
      <c r="S293" s="11">
        <f>IF(AND(ISNUMBER(P293),ISNUMBER(Q293),P293&gt;0,ISNUMBER($B$100)),MAX(0,$B$100-3*SQRT($B$100/P293)),"")</f>
        <v/>
      </c>
      <c r="T293" s="11">
        <f>IF(AND(ISNUMBER(P293),ISNUMBER(Q293),P293&gt;0,ISNUMBER($B$100)),$B$100+3*SQRT($B$100/P293),"")</f>
        <v/>
      </c>
      <c r="U293" s="13">
        <f>IF(AND(ISNUMBER(R293),ISNUMBER(S293),ISNUMBER(T293)),IF(R293&gt;T293,"boven UCL",IF(R293&lt;S293,"onder LCL","")),"")</f>
        <v/>
      </c>
    </row>
    <row r="294">
      <c r="A294" t="n">
        <v>188</v>
      </c>
      <c r="B294" s="7" t="n"/>
      <c r="C294" s="11">
        <f>IF(AND(ISNUMBER(B294),ISNUMBER(B293)),ABS(B294-B293),"")</f>
        <v/>
      </c>
      <c r="D294" s="13">
        <f>IF(AND(ISNUMBER(B294),ISNUMBER($B$88),ISNUMBER($D$88)),IF(B294&gt;$D$88,"boven UCL",IF(B294&lt;$B$88,"onder LCL","")),"")</f>
        <v/>
      </c>
      <c r="E294" s="13">
        <f>IF(AND(ISNUMBER(C294),ISNUMBER($B$89),ISNUMBER($D$89)),IF(C294&gt;$D$89,"boven UCL",IF(C294&lt;$B$89,"onder LCL","")),"")</f>
        <v/>
      </c>
      <c r="G294" t="n">
        <v>188</v>
      </c>
      <c r="H294" s="7" t="n"/>
      <c r="I294" s="7" t="n"/>
      <c r="J294" s="11">
        <f>IF(AND(ISNUMBER(H294),ISNUMBER(I294),H294&gt;0,ISNUMBER($B$94)),I294/H294,"")</f>
        <v/>
      </c>
      <c r="K294" s="11">
        <f>IF(AND(ISNUMBER(H294),ISNUMBER(I294),H294&gt;0,ISNUMBER($B$94)),MAX(0,$B$94-3*SQRT($B$94*(1-$B$94)/H294)),"")</f>
        <v/>
      </c>
      <c r="L294" s="11">
        <f>IF(AND(ISNUMBER(H294),ISNUMBER(I294),H294&gt;0,ISNUMBER($B$94)),$B$94+3*SQRT($B$94*(1-$B$94)/H294),"")</f>
        <v/>
      </c>
      <c r="M294" s="13">
        <f>IF(AND(ISNUMBER(J294),ISNUMBER(K294),ISNUMBER(L294)),IF(J294&gt;L294,"boven UCL",IF(J294&lt;K294,"onder LCL","")),"")</f>
        <v/>
      </c>
      <c r="O294" t="n">
        <v>188</v>
      </c>
      <c r="P294" s="7" t="n"/>
      <c r="Q294" s="7" t="n"/>
      <c r="R294" s="11">
        <f>IF(AND(ISNUMBER(P294),ISNUMBER(Q294),P294&gt;0,ISNUMBER($B$100)),Q294/P294,"")</f>
        <v/>
      </c>
      <c r="S294" s="11">
        <f>IF(AND(ISNUMBER(P294),ISNUMBER(Q294),P294&gt;0,ISNUMBER($B$100)),MAX(0,$B$100-3*SQRT($B$100/P294)),"")</f>
        <v/>
      </c>
      <c r="T294" s="11">
        <f>IF(AND(ISNUMBER(P294),ISNUMBER(Q294),P294&gt;0,ISNUMBER($B$100)),$B$100+3*SQRT($B$100/P294),"")</f>
        <v/>
      </c>
      <c r="U294" s="13">
        <f>IF(AND(ISNUMBER(R294),ISNUMBER(S294),ISNUMBER(T294)),IF(R294&gt;T294,"boven UCL",IF(R294&lt;S294,"onder LCL","")),"")</f>
        <v/>
      </c>
    </row>
    <row r="295">
      <c r="A295" t="n">
        <v>189</v>
      </c>
      <c r="B295" s="7" t="n"/>
      <c r="C295" s="11">
        <f>IF(AND(ISNUMBER(B295),ISNUMBER(B294)),ABS(B295-B294),"")</f>
        <v/>
      </c>
      <c r="D295" s="13">
        <f>IF(AND(ISNUMBER(B295),ISNUMBER($B$88),ISNUMBER($D$88)),IF(B295&gt;$D$88,"boven UCL",IF(B295&lt;$B$88,"onder LCL","")),"")</f>
        <v/>
      </c>
      <c r="E295" s="13">
        <f>IF(AND(ISNUMBER(C295),ISNUMBER($B$89),ISNUMBER($D$89)),IF(C295&gt;$D$89,"boven UCL",IF(C295&lt;$B$89,"onder LCL","")),"")</f>
        <v/>
      </c>
      <c r="G295" t="n">
        <v>189</v>
      </c>
      <c r="H295" s="7" t="n"/>
      <c r="I295" s="7" t="n"/>
      <c r="J295" s="11">
        <f>IF(AND(ISNUMBER(H295),ISNUMBER(I295),H295&gt;0,ISNUMBER($B$94)),I295/H295,"")</f>
        <v/>
      </c>
      <c r="K295" s="11">
        <f>IF(AND(ISNUMBER(H295),ISNUMBER(I295),H295&gt;0,ISNUMBER($B$94)),MAX(0,$B$94-3*SQRT($B$94*(1-$B$94)/H295)),"")</f>
        <v/>
      </c>
      <c r="L295" s="11">
        <f>IF(AND(ISNUMBER(H295),ISNUMBER(I295),H295&gt;0,ISNUMBER($B$94)),$B$94+3*SQRT($B$94*(1-$B$94)/H295),"")</f>
        <v/>
      </c>
      <c r="M295" s="13">
        <f>IF(AND(ISNUMBER(J295),ISNUMBER(K295),ISNUMBER(L295)),IF(J295&gt;L295,"boven UCL",IF(J295&lt;K295,"onder LCL","")),"")</f>
        <v/>
      </c>
      <c r="O295" t="n">
        <v>189</v>
      </c>
      <c r="P295" s="7" t="n"/>
      <c r="Q295" s="7" t="n"/>
      <c r="R295" s="11">
        <f>IF(AND(ISNUMBER(P295),ISNUMBER(Q295),P295&gt;0,ISNUMBER($B$100)),Q295/P295,"")</f>
        <v/>
      </c>
      <c r="S295" s="11">
        <f>IF(AND(ISNUMBER(P295),ISNUMBER(Q295),P295&gt;0,ISNUMBER($B$100)),MAX(0,$B$100-3*SQRT($B$100/P295)),"")</f>
        <v/>
      </c>
      <c r="T295" s="11">
        <f>IF(AND(ISNUMBER(P295),ISNUMBER(Q295),P295&gt;0,ISNUMBER($B$100)),$B$100+3*SQRT($B$100/P295),"")</f>
        <v/>
      </c>
      <c r="U295" s="13">
        <f>IF(AND(ISNUMBER(R295),ISNUMBER(S295),ISNUMBER(T295)),IF(R295&gt;T295,"boven UCL",IF(R295&lt;S295,"onder LCL","")),"")</f>
        <v/>
      </c>
    </row>
    <row r="296">
      <c r="A296" t="n">
        <v>190</v>
      </c>
      <c r="B296" s="7" t="n"/>
      <c r="C296" s="11">
        <f>IF(AND(ISNUMBER(B296),ISNUMBER(B295)),ABS(B296-B295),"")</f>
        <v/>
      </c>
      <c r="D296" s="13">
        <f>IF(AND(ISNUMBER(B296),ISNUMBER($B$88),ISNUMBER($D$88)),IF(B296&gt;$D$88,"boven UCL",IF(B296&lt;$B$88,"onder LCL","")),"")</f>
        <v/>
      </c>
      <c r="E296" s="13">
        <f>IF(AND(ISNUMBER(C296),ISNUMBER($B$89),ISNUMBER($D$89)),IF(C296&gt;$D$89,"boven UCL",IF(C296&lt;$B$89,"onder LCL","")),"")</f>
        <v/>
      </c>
      <c r="G296" t="n">
        <v>190</v>
      </c>
      <c r="H296" s="7" t="n"/>
      <c r="I296" s="7" t="n"/>
      <c r="J296" s="11">
        <f>IF(AND(ISNUMBER(H296),ISNUMBER(I296),H296&gt;0,ISNUMBER($B$94)),I296/H296,"")</f>
        <v/>
      </c>
      <c r="K296" s="11">
        <f>IF(AND(ISNUMBER(H296),ISNUMBER(I296),H296&gt;0,ISNUMBER($B$94)),MAX(0,$B$94-3*SQRT($B$94*(1-$B$94)/H296)),"")</f>
        <v/>
      </c>
      <c r="L296" s="11">
        <f>IF(AND(ISNUMBER(H296),ISNUMBER(I296),H296&gt;0,ISNUMBER($B$94)),$B$94+3*SQRT($B$94*(1-$B$94)/H296),"")</f>
        <v/>
      </c>
      <c r="M296" s="13">
        <f>IF(AND(ISNUMBER(J296),ISNUMBER(K296),ISNUMBER(L296)),IF(J296&gt;L296,"boven UCL",IF(J296&lt;K296,"onder LCL","")),"")</f>
        <v/>
      </c>
      <c r="O296" t="n">
        <v>190</v>
      </c>
      <c r="P296" s="7" t="n"/>
      <c r="Q296" s="7" t="n"/>
      <c r="R296" s="11">
        <f>IF(AND(ISNUMBER(P296),ISNUMBER(Q296),P296&gt;0,ISNUMBER($B$100)),Q296/P296,"")</f>
        <v/>
      </c>
      <c r="S296" s="11">
        <f>IF(AND(ISNUMBER(P296),ISNUMBER(Q296),P296&gt;0,ISNUMBER($B$100)),MAX(0,$B$100-3*SQRT($B$100/P296)),"")</f>
        <v/>
      </c>
      <c r="T296" s="11">
        <f>IF(AND(ISNUMBER(P296),ISNUMBER(Q296),P296&gt;0,ISNUMBER($B$100)),$B$100+3*SQRT($B$100/P296),"")</f>
        <v/>
      </c>
      <c r="U296" s="13">
        <f>IF(AND(ISNUMBER(R296),ISNUMBER(S296),ISNUMBER(T296)),IF(R296&gt;T296,"boven UCL",IF(R296&lt;S296,"onder LCL","")),"")</f>
        <v/>
      </c>
    </row>
    <row r="297">
      <c r="A297" t="n">
        <v>191</v>
      </c>
      <c r="B297" s="7" t="n"/>
      <c r="C297" s="11">
        <f>IF(AND(ISNUMBER(B297),ISNUMBER(B296)),ABS(B297-B296),"")</f>
        <v/>
      </c>
      <c r="D297" s="13">
        <f>IF(AND(ISNUMBER(B297),ISNUMBER($B$88),ISNUMBER($D$88)),IF(B297&gt;$D$88,"boven UCL",IF(B297&lt;$B$88,"onder LCL","")),"")</f>
        <v/>
      </c>
      <c r="E297" s="13">
        <f>IF(AND(ISNUMBER(C297),ISNUMBER($B$89),ISNUMBER($D$89)),IF(C297&gt;$D$89,"boven UCL",IF(C297&lt;$B$89,"onder LCL","")),"")</f>
        <v/>
      </c>
      <c r="G297" t="n">
        <v>191</v>
      </c>
      <c r="H297" s="7" t="n"/>
      <c r="I297" s="7" t="n"/>
      <c r="J297" s="11">
        <f>IF(AND(ISNUMBER(H297),ISNUMBER(I297),H297&gt;0,ISNUMBER($B$94)),I297/H297,"")</f>
        <v/>
      </c>
      <c r="K297" s="11">
        <f>IF(AND(ISNUMBER(H297),ISNUMBER(I297),H297&gt;0,ISNUMBER($B$94)),MAX(0,$B$94-3*SQRT($B$94*(1-$B$94)/H297)),"")</f>
        <v/>
      </c>
      <c r="L297" s="11">
        <f>IF(AND(ISNUMBER(H297),ISNUMBER(I297),H297&gt;0,ISNUMBER($B$94)),$B$94+3*SQRT($B$94*(1-$B$94)/H297),"")</f>
        <v/>
      </c>
      <c r="M297" s="13">
        <f>IF(AND(ISNUMBER(J297),ISNUMBER(K297),ISNUMBER(L297)),IF(J297&gt;L297,"boven UCL",IF(J297&lt;K297,"onder LCL","")),"")</f>
        <v/>
      </c>
      <c r="O297" t="n">
        <v>191</v>
      </c>
      <c r="P297" s="7" t="n"/>
      <c r="Q297" s="7" t="n"/>
      <c r="R297" s="11">
        <f>IF(AND(ISNUMBER(P297),ISNUMBER(Q297),P297&gt;0,ISNUMBER($B$100)),Q297/P297,"")</f>
        <v/>
      </c>
      <c r="S297" s="11">
        <f>IF(AND(ISNUMBER(P297),ISNUMBER(Q297),P297&gt;0,ISNUMBER($B$100)),MAX(0,$B$100-3*SQRT($B$100/P297)),"")</f>
        <v/>
      </c>
      <c r="T297" s="11">
        <f>IF(AND(ISNUMBER(P297),ISNUMBER(Q297),P297&gt;0,ISNUMBER($B$100)),$B$100+3*SQRT($B$100/P297),"")</f>
        <v/>
      </c>
      <c r="U297" s="13">
        <f>IF(AND(ISNUMBER(R297),ISNUMBER(S297),ISNUMBER(T297)),IF(R297&gt;T297,"boven UCL",IF(R297&lt;S297,"onder LCL","")),"")</f>
        <v/>
      </c>
    </row>
    <row r="298">
      <c r="A298" t="n">
        <v>192</v>
      </c>
      <c r="B298" s="7" t="n"/>
      <c r="C298" s="11">
        <f>IF(AND(ISNUMBER(B298),ISNUMBER(B297)),ABS(B298-B297),"")</f>
        <v/>
      </c>
      <c r="D298" s="13">
        <f>IF(AND(ISNUMBER(B298),ISNUMBER($B$88),ISNUMBER($D$88)),IF(B298&gt;$D$88,"boven UCL",IF(B298&lt;$B$88,"onder LCL","")),"")</f>
        <v/>
      </c>
      <c r="E298" s="13">
        <f>IF(AND(ISNUMBER(C298),ISNUMBER($B$89),ISNUMBER($D$89)),IF(C298&gt;$D$89,"boven UCL",IF(C298&lt;$B$89,"onder LCL","")),"")</f>
        <v/>
      </c>
      <c r="G298" t="n">
        <v>192</v>
      </c>
      <c r="H298" s="7" t="n"/>
      <c r="I298" s="7" t="n"/>
      <c r="J298" s="11">
        <f>IF(AND(ISNUMBER(H298),ISNUMBER(I298),H298&gt;0,ISNUMBER($B$94)),I298/H298,"")</f>
        <v/>
      </c>
      <c r="K298" s="11">
        <f>IF(AND(ISNUMBER(H298),ISNUMBER(I298),H298&gt;0,ISNUMBER($B$94)),MAX(0,$B$94-3*SQRT($B$94*(1-$B$94)/H298)),"")</f>
        <v/>
      </c>
      <c r="L298" s="11">
        <f>IF(AND(ISNUMBER(H298),ISNUMBER(I298),H298&gt;0,ISNUMBER($B$94)),$B$94+3*SQRT($B$94*(1-$B$94)/H298),"")</f>
        <v/>
      </c>
      <c r="M298" s="13">
        <f>IF(AND(ISNUMBER(J298),ISNUMBER(K298),ISNUMBER(L298)),IF(J298&gt;L298,"boven UCL",IF(J298&lt;K298,"onder LCL","")),"")</f>
        <v/>
      </c>
      <c r="O298" t="n">
        <v>192</v>
      </c>
      <c r="P298" s="7" t="n"/>
      <c r="Q298" s="7" t="n"/>
      <c r="R298" s="11">
        <f>IF(AND(ISNUMBER(P298),ISNUMBER(Q298),P298&gt;0,ISNUMBER($B$100)),Q298/P298,"")</f>
        <v/>
      </c>
      <c r="S298" s="11">
        <f>IF(AND(ISNUMBER(P298),ISNUMBER(Q298),P298&gt;0,ISNUMBER($B$100)),MAX(0,$B$100-3*SQRT($B$100/P298)),"")</f>
        <v/>
      </c>
      <c r="T298" s="11">
        <f>IF(AND(ISNUMBER(P298),ISNUMBER(Q298),P298&gt;0,ISNUMBER($B$100)),$B$100+3*SQRT($B$100/P298),"")</f>
        <v/>
      </c>
      <c r="U298" s="13">
        <f>IF(AND(ISNUMBER(R298),ISNUMBER(S298),ISNUMBER(T298)),IF(R298&gt;T298,"boven UCL",IF(R298&lt;S298,"onder LCL","")),"")</f>
        <v/>
      </c>
    </row>
    <row r="299">
      <c r="A299" t="n">
        <v>193</v>
      </c>
      <c r="B299" s="7" t="n"/>
      <c r="C299" s="11">
        <f>IF(AND(ISNUMBER(B299),ISNUMBER(B298)),ABS(B299-B298),"")</f>
        <v/>
      </c>
      <c r="D299" s="13">
        <f>IF(AND(ISNUMBER(B299),ISNUMBER($B$88),ISNUMBER($D$88)),IF(B299&gt;$D$88,"boven UCL",IF(B299&lt;$B$88,"onder LCL","")),"")</f>
        <v/>
      </c>
      <c r="E299" s="13">
        <f>IF(AND(ISNUMBER(C299),ISNUMBER($B$89),ISNUMBER($D$89)),IF(C299&gt;$D$89,"boven UCL",IF(C299&lt;$B$89,"onder LCL","")),"")</f>
        <v/>
      </c>
      <c r="G299" t="n">
        <v>193</v>
      </c>
      <c r="H299" s="7" t="n"/>
      <c r="I299" s="7" t="n"/>
      <c r="J299" s="11">
        <f>IF(AND(ISNUMBER(H299),ISNUMBER(I299),H299&gt;0,ISNUMBER($B$94)),I299/H299,"")</f>
        <v/>
      </c>
      <c r="K299" s="11">
        <f>IF(AND(ISNUMBER(H299),ISNUMBER(I299),H299&gt;0,ISNUMBER($B$94)),MAX(0,$B$94-3*SQRT($B$94*(1-$B$94)/H299)),"")</f>
        <v/>
      </c>
      <c r="L299" s="11">
        <f>IF(AND(ISNUMBER(H299),ISNUMBER(I299),H299&gt;0,ISNUMBER($B$94)),$B$94+3*SQRT($B$94*(1-$B$94)/H299),"")</f>
        <v/>
      </c>
      <c r="M299" s="13">
        <f>IF(AND(ISNUMBER(J299),ISNUMBER(K299),ISNUMBER(L299)),IF(J299&gt;L299,"boven UCL",IF(J299&lt;K299,"onder LCL","")),"")</f>
        <v/>
      </c>
      <c r="O299" t="n">
        <v>193</v>
      </c>
      <c r="P299" s="7" t="n"/>
      <c r="Q299" s="7" t="n"/>
      <c r="R299" s="11">
        <f>IF(AND(ISNUMBER(P299),ISNUMBER(Q299),P299&gt;0,ISNUMBER($B$100)),Q299/P299,"")</f>
        <v/>
      </c>
      <c r="S299" s="11">
        <f>IF(AND(ISNUMBER(P299),ISNUMBER(Q299),P299&gt;0,ISNUMBER($B$100)),MAX(0,$B$100-3*SQRT($B$100/P299)),"")</f>
        <v/>
      </c>
      <c r="T299" s="11">
        <f>IF(AND(ISNUMBER(P299),ISNUMBER(Q299),P299&gt;0,ISNUMBER($B$100)),$B$100+3*SQRT($B$100/P299),"")</f>
        <v/>
      </c>
      <c r="U299" s="13">
        <f>IF(AND(ISNUMBER(R299),ISNUMBER(S299),ISNUMBER(T299)),IF(R299&gt;T299,"boven UCL",IF(R299&lt;S299,"onder LCL","")),"")</f>
        <v/>
      </c>
    </row>
    <row r="300">
      <c r="A300" t="n">
        <v>194</v>
      </c>
      <c r="B300" s="7" t="n"/>
      <c r="C300" s="11">
        <f>IF(AND(ISNUMBER(B300),ISNUMBER(B299)),ABS(B300-B299),"")</f>
        <v/>
      </c>
      <c r="D300" s="13">
        <f>IF(AND(ISNUMBER(B300),ISNUMBER($B$88),ISNUMBER($D$88)),IF(B300&gt;$D$88,"boven UCL",IF(B300&lt;$B$88,"onder LCL","")),"")</f>
        <v/>
      </c>
      <c r="E300" s="13">
        <f>IF(AND(ISNUMBER(C300),ISNUMBER($B$89),ISNUMBER($D$89)),IF(C300&gt;$D$89,"boven UCL",IF(C300&lt;$B$89,"onder LCL","")),"")</f>
        <v/>
      </c>
      <c r="G300" t="n">
        <v>194</v>
      </c>
      <c r="H300" s="7" t="n"/>
      <c r="I300" s="7" t="n"/>
      <c r="J300" s="11">
        <f>IF(AND(ISNUMBER(H300),ISNUMBER(I300),H300&gt;0,ISNUMBER($B$94)),I300/H300,"")</f>
        <v/>
      </c>
      <c r="K300" s="11">
        <f>IF(AND(ISNUMBER(H300),ISNUMBER(I300),H300&gt;0,ISNUMBER($B$94)),MAX(0,$B$94-3*SQRT($B$94*(1-$B$94)/H300)),"")</f>
        <v/>
      </c>
      <c r="L300" s="11">
        <f>IF(AND(ISNUMBER(H300),ISNUMBER(I300),H300&gt;0,ISNUMBER($B$94)),$B$94+3*SQRT($B$94*(1-$B$94)/H300),"")</f>
        <v/>
      </c>
      <c r="M300" s="13">
        <f>IF(AND(ISNUMBER(J300),ISNUMBER(K300),ISNUMBER(L300)),IF(J300&gt;L300,"boven UCL",IF(J300&lt;K300,"onder LCL","")),"")</f>
        <v/>
      </c>
      <c r="O300" t="n">
        <v>194</v>
      </c>
      <c r="P300" s="7" t="n"/>
      <c r="Q300" s="7" t="n"/>
      <c r="R300" s="11">
        <f>IF(AND(ISNUMBER(P300),ISNUMBER(Q300),P300&gt;0,ISNUMBER($B$100)),Q300/P300,"")</f>
        <v/>
      </c>
      <c r="S300" s="11">
        <f>IF(AND(ISNUMBER(P300),ISNUMBER(Q300),P300&gt;0,ISNUMBER($B$100)),MAX(0,$B$100-3*SQRT($B$100/P300)),"")</f>
        <v/>
      </c>
      <c r="T300" s="11">
        <f>IF(AND(ISNUMBER(P300),ISNUMBER(Q300),P300&gt;0,ISNUMBER($B$100)),$B$100+3*SQRT($B$100/P300),"")</f>
        <v/>
      </c>
      <c r="U300" s="13">
        <f>IF(AND(ISNUMBER(R300),ISNUMBER(S300),ISNUMBER(T300)),IF(R300&gt;T300,"boven UCL",IF(R300&lt;S300,"onder LCL","")),"")</f>
        <v/>
      </c>
    </row>
    <row r="301">
      <c r="A301" t="n">
        <v>195</v>
      </c>
      <c r="B301" s="7" t="n"/>
      <c r="C301" s="11">
        <f>IF(AND(ISNUMBER(B301),ISNUMBER(B300)),ABS(B301-B300),"")</f>
        <v/>
      </c>
      <c r="D301" s="13">
        <f>IF(AND(ISNUMBER(B301),ISNUMBER($B$88),ISNUMBER($D$88)),IF(B301&gt;$D$88,"boven UCL",IF(B301&lt;$B$88,"onder LCL","")),"")</f>
        <v/>
      </c>
      <c r="E301" s="13">
        <f>IF(AND(ISNUMBER(C301),ISNUMBER($B$89),ISNUMBER($D$89)),IF(C301&gt;$D$89,"boven UCL",IF(C301&lt;$B$89,"onder LCL","")),"")</f>
        <v/>
      </c>
      <c r="G301" t="n">
        <v>195</v>
      </c>
      <c r="H301" s="7" t="n"/>
      <c r="I301" s="7" t="n"/>
      <c r="J301" s="11">
        <f>IF(AND(ISNUMBER(H301),ISNUMBER(I301),H301&gt;0,ISNUMBER($B$94)),I301/H301,"")</f>
        <v/>
      </c>
      <c r="K301" s="11">
        <f>IF(AND(ISNUMBER(H301),ISNUMBER(I301),H301&gt;0,ISNUMBER($B$94)),MAX(0,$B$94-3*SQRT($B$94*(1-$B$94)/H301)),"")</f>
        <v/>
      </c>
      <c r="L301" s="11">
        <f>IF(AND(ISNUMBER(H301),ISNUMBER(I301),H301&gt;0,ISNUMBER($B$94)),$B$94+3*SQRT($B$94*(1-$B$94)/H301),"")</f>
        <v/>
      </c>
      <c r="M301" s="13">
        <f>IF(AND(ISNUMBER(J301),ISNUMBER(K301),ISNUMBER(L301)),IF(J301&gt;L301,"boven UCL",IF(J301&lt;K301,"onder LCL","")),"")</f>
        <v/>
      </c>
      <c r="O301" t="n">
        <v>195</v>
      </c>
      <c r="P301" s="7" t="n"/>
      <c r="Q301" s="7" t="n"/>
      <c r="R301" s="11">
        <f>IF(AND(ISNUMBER(P301),ISNUMBER(Q301),P301&gt;0,ISNUMBER($B$100)),Q301/P301,"")</f>
        <v/>
      </c>
      <c r="S301" s="11">
        <f>IF(AND(ISNUMBER(P301),ISNUMBER(Q301),P301&gt;0,ISNUMBER($B$100)),MAX(0,$B$100-3*SQRT($B$100/P301)),"")</f>
        <v/>
      </c>
      <c r="T301" s="11">
        <f>IF(AND(ISNUMBER(P301),ISNUMBER(Q301),P301&gt;0,ISNUMBER($B$100)),$B$100+3*SQRT($B$100/P301),"")</f>
        <v/>
      </c>
      <c r="U301" s="13">
        <f>IF(AND(ISNUMBER(R301),ISNUMBER(S301),ISNUMBER(T301)),IF(R301&gt;T301,"boven UCL",IF(R301&lt;S301,"onder LCL","")),"")</f>
        <v/>
      </c>
    </row>
    <row r="302">
      <c r="A302" t="n">
        <v>196</v>
      </c>
      <c r="B302" s="7" t="n"/>
      <c r="C302" s="11">
        <f>IF(AND(ISNUMBER(B302),ISNUMBER(B301)),ABS(B302-B301),"")</f>
        <v/>
      </c>
      <c r="D302" s="13">
        <f>IF(AND(ISNUMBER(B302),ISNUMBER($B$88),ISNUMBER($D$88)),IF(B302&gt;$D$88,"boven UCL",IF(B302&lt;$B$88,"onder LCL","")),"")</f>
        <v/>
      </c>
      <c r="E302" s="13">
        <f>IF(AND(ISNUMBER(C302),ISNUMBER($B$89),ISNUMBER($D$89)),IF(C302&gt;$D$89,"boven UCL",IF(C302&lt;$B$89,"onder LCL","")),"")</f>
        <v/>
      </c>
      <c r="G302" t="n">
        <v>196</v>
      </c>
      <c r="H302" s="7" t="n"/>
      <c r="I302" s="7" t="n"/>
      <c r="J302" s="11">
        <f>IF(AND(ISNUMBER(H302),ISNUMBER(I302),H302&gt;0,ISNUMBER($B$94)),I302/H302,"")</f>
        <v/>
      </c>
      <c r="K302" s="11">
        <f>IF(AND(ISNUMBER(H302),ISNUMBER(I302),H302&gt;0,ISNUMBER($B$94)),MAX(0,$B$94-3*SQRT($B$94*(1-$B$94)/H302)),"")</f>
        <v/>
      </c>
      <c r="L302" s="11">
        <f>IF(AND(ISNUMBER(H302),ISNUMBER(I302),H302&gt;0,ISNUMBER($B$94)),$B$94+3*SQRT($B$94*(1-$B$94)/H302),"")</f>
        <v/>
      </c>
      <c r="M302" s="13">
        <f>IF(AND(ISNUMBER(J302),ISNUMBER(K302),ISNUMBER(L302)),IF(J302&gt;L302,"boven UCL",IF(J302&lt;K302,"onder LCL","")),"")</f>
        <v/>
      </c>
      <c r="O302" t="n">
        <v>196</v>
      </c>
      <c r="P302" s="7" t="n"/>
      <c r="Q302" s="7" t="n"/>
      <c r="R302" s="11">
        <f>IF(AND(ISNUMBER(P302),ISNUMBER(Q302),P302&gt;0,ISNUMBER($B$100)),Q302/P302,"")</f>
        <v/>
      </c>
      <c r="S302" s="11">
        <f>IF(AND(ISNUMBER(P302),ISNUMBER(Q302),P302&gt;0,ISNUMBER($B$100)),MAX(0,$B$100-3*SQRT($B$100/P302)),"")</f>
        <v/>
      </c>
      <c r="T302" s="11">
        <f>IF(AND(ISNUMBER(P302),ISNUMBER(Q302),P302&gt;0,ISNUMBER($B$100)),$B$100+3*SQRT($B$100/P302),"")</f>
        <v/>
      </c>
      <c r="U302" s="13">
        <f>IF(AND(ISNUMBER(R302),ISNUMBER(S302),ISNUMBER(T302)),IF(R302&gt;T302,"boven UCL",IF(R302&lt;S302,"onder LCL","")),"")</f>
        <v/>
      </c>
    </row>
    <row r="303">
      <c r="A303" t="n">
        <v>197</v>
      </c>
      <c r="B303" s="7" t="n"/>
      <c r="C303" s="11">
        <f>IF(AND(ISNUMBER(B303),ISNUMBER(B302)),ABS(B303-B302),"")</f>
        <v/>
      </c>
      <c r="D303" s="13">
        <f>IF(AND(ISNUMBER(B303),ISNUMBER($B$88),ISNUMBER($D$88)),IF(B303&gt;$D$88,"boven UCL",IF(B303&lt;$B$88,"onder LCL","")),"")</f>
        <v/>
      </c>
      <c r="E303" s="13">
        <f>IF(AND(ISNUMBER(C303),ISNUMBER($B$89),ISNUMBER($D$89)),IF(C303&gt;$D$89,"boven UCL",IF(C303&lt;$B$89,"onder LCL","")),"")</f>
        <v/>
      </c>
      <c r="G303" t="n">
        <v>197</v>
      </c>
      <c r="H303" s="7" t="n"/>
      <c r="I303" s="7" t="n"/>
      <c r="J303" s="11">
        <f>IF(AND(ISNUMBER(H303),ISNUMBER(I303),H303&gt;0,ISNUMBER($B$94)),I303/H303,"")</f>
        <v/>
      </c>
      <c r="K303" s="11">
        <f>IF(AND(ISNUMBER(H303),ISNUMBER(I303),H303&gt;0,ISNUMBER($B$94)),MAX(0,$B$94-3*SQRT($B$94*(1-$B$94)/H303)),"")</f>
        <v/>
      </c>
      <c r="L303" s="11">
        <f>IF(AND(ISNUMBER(H303),ISNUMBER(I303),H303&gt;0,ISNUMBER($B$94)),$B$94+3*SQRT($B$94*(1-$B$94)/H303),"")</f>
        <v/>
      </c>
      <c r="M303" s="13">
        <f>IF(AND(ISNUMBER(J303),ISNUMBER(K303),ISNUMBER(L303)),IF(J303&gt;L303,"boven UCL",IF(J303&lt;K303,"onder LCL","")),"")</f>
        <v/>
      </c>
      <c r="O303" t="n">
        <v>197</v>
      </c>
      <c r="P303" s="7" t="n"/>
      <c r="Q303" s="7" t="n"/>
      <c r="R303" s="11">
        <f>IF(AND(ISNUMBER(P303),ISNUMBER(Q303),P303&gt;0,ISNUMBER($B$100)),Q303/P303,"")</f>
        <v/>
      </c>
      <c r="S303" s="11">
        <f>IF(AND(ISNUMBER(P303),ISNUMBER(Q303),P303&gt;0,ISNUMBER($B$100)),MAX(0,$B$100-3*SQRT($B$100/P303)),"")</f>
        <v/>
      </c>
      <c r="T303" s="11">
        <f>IF(AND(ISNUMBER(P303),ISNUMBER(Q303),P303&gt;0,ISNUMBER($B$100)),$B$100+3*SQRT($B$100/P303),"")</f>
        <v/>
      </c>
      <c r="U303" s="13">
        <f>IF(AND(ISNUMBER(R303),ISNUMBER(S303),ISNUMBER(T303)),IF(R303&gt;T303,"boven UCL",IF(R303&lt;S303,"onder LCL","")),"")</f>
        <v/>
      </c>
    </row>
    <row r="304">
      <c r="A304" t="n">
        <v>198</v>
      </c>
      <c r="B304" s="7" t="n"/>
      <c r="C304" s="11">
        <f>IF(AND(ISNUMBER(B304),ISNUMBER(B303)),ABS(B304-B303),"")</f>
        <v/>
      </c>
      <c r="D304" s="13">
        <f>IF(AND(ISNUMBER(B304),ISNUMBER($B$88),ISNUMBER($D$88)),IF(B304&gt;$D$88,"boven UCL",IF(B304&lt;$B$88,"onder LCL","")),"")</f>
        <v/>
      </c>
      <c r="E304" s="13">
        <f>IF(AND(ISNUMBER(C304),ISNUMBER($B$89),ISNUMBER($D$89)),IF(C304&gt;$D$89,"boven UCL",IF(C304&lt;$B$89,"onder LCL","")),"")</f>
        <v/>
      </c>
      <c r="G304" t="n">
        <v>198</v>
      </c>
      <c r="H304" s="7" t="n"/>
      <c r="I304" s="7" t="n"/>
      <c r="J304" s="11">
        <f>IF(AND(ISNUMBER(H304),ISNUMBER(I304),H304&gt;0,ISNUMBER($B$94)),I304/H304,"")</f>
        <v/>
      </c>
      <c r="K304" s="11">
        <f>IF(AND(ISNUMBER(H304),ISNUMBER(I304),H304&gt;0,ISNUMBER($B$94)),MAX(0,$B$94-3*SQRT($B$94*(1-$B$94)/H304)),"")</f>
        <v/>
      </c>
      <c r="L304" s="11">
        <f>IF(AND(ISNUMBER(H304),ISNUMBER(I304),H304&gt;0,ISNUMBER($B$94)),$B$94+3*SQRT($B$94*(1-$B$94)/H304),"")</f>
        <v/>
      </c>
      <c r="M304" s="13">
        <f>IF(AND(ISNUMBER(J304),ISNUMBER(K304),ISNUMBER(L304)),IF(J304&gt;L304,"boven UCL",IF(J304&lt;K304,"onder LCL","")),"")</f>
        <v/>
      </c>
      <c r="O304" t="n">
        <v>198</v>
      </c>
      <c r="P304" s="7" t="n"/>
      <c r="Q304" s="7" t="n"/>
      <c r="R304" s="11">
        <f>IF(AND(ISNUMBER(P304),ISNUMBER(Q304),P304&gt;0,ISNUMBER($B$100)),Q304/P304,"")</f>
        <v/>
      </c>
      <c r="S304" s="11">
        <f>IF(AND(ISNUMBER(P304),ISNUMBER(Q304),P304&gt;0,ISNUMBER($B$100)),MAX(0,$B$100-3*SQRT($B$100/P304)),"")</f>
        <v/>
      </c>
      <c r="T304" s="11">
        <f>IF(AND(ISNUMBER(P304),ISNUMBER(Q304),P304&gt;0,ISNUMBER($B$100)),$B$100+3*SQRT($B$100/P304),"")</f>
        <v/>
      </c>
      <c r="U304" s="13">
        <f>IF(AND(ISNUMBER(R304),ISNUMBER(S304),ISNUMBER(T304)),IF(R304&gt;T304,"boven UCL",IF(R304&lt;S304,"onder LCL","")),"")</f>
        <v/>
      </c>
    </row>
    <row r="305">
      <c r="A305" t="n">
        <v>199</v>
      </c>
      <c r="B305" s="7" t="n"/>
      <c r="C305" s="11">
        <f>IF(AND(ISNUMBER(B305),ISNUMBER(B304)),ABS(B305-B304),"")</f>
        <v/>
      </c>
      <c r="D305" s="13">
        <f>IF(AND(ISNUMBER(B305),ISNUMBER($B$88),ISNUMBER($D$88)),IF(B305&gt;$D$88,"boven UCL",IF(B305&lt;$B$88,"onder LCL","")),"")</f>
        <v/>
      </c>
      <c r="E305" s="13">
        <f>IF(AND(ISNUMBER(C305),ISNUMBER($B$89),ISNUMBER($D$89)),IF(C305&gt;$D$89,"boven UCL",IF(C305&lt;$B$89,"onder LCL","")),"")</f>
        <v/>
      </c>
      <c r="G305" t="n">
        <v>199</v>
      </c>
      <c r="H305" s="7" t="n"/>
      <c r="I305" s="7" t="n"/>
      <c r="J305" s="11">
        <f>IF(AND(ISNUMBER(H305),ISNUMBER(I305),H305&gt;0,ISNUMBER($B$94)),I305/H305,"")</f>
        <v/>
      </c>
      <c r="K305" s="11">
        <f>IF(AND(ISNUMBER(H305),ISNUMBER(I305),H305&gt;0,ISNUMBER($B$94)),MAX(0,$B$94-3*SQRT($B$94*(1-$B$94)/H305)),"")</f>
        <v/>
      </c>
      <c r="L305" s="11">
        <f>IF(AND(ISNUMBER(H305),ISNUMBER(I305),H305&gt;0,ISNUMBER($B$94)),$B$94+3*SQRT($B$94*(1-$B$94)/H305),"")</f>
        <v/>
      </c>
      <c r="M305" s="13">
        <f>IF(AND(ISNUMBER(J305),ISNUMBER(K305),ISNUMBER(L305)),IF(J305&gt;L305,"boven UCL",IF(J305&lt;K305,"onder LCL","")),"")</f>
        <v/>
      </c>
      <c r="O305" t="n">
        <v>199</v>
      </c>
      <c r="P305" s="7" t="n"/>
      <c r="Q305" s="7" t="n"/>
      <c r="R305" s="11">
        <f>IF(AND(ISNUMBER(P305),ISNUMBER(Q305),P305&gt;0,ISNUMBER($B$100)),Q305/P305,"")</f>
        <v/>
      </c>
      <c r="S305" s="11">
        <f>IF(AND(ISNUMBER(P305),ISNUMBER(Q305),P305&gt;0,ISNUMBER($B$100)),MAX(0,$B$100-3*SQRT($B$100/P305)),"")</f>
        <v/>
      </c>
      <c r="T305" s="11">
        <f>IF(AND(ISNUMBER(P305),ISNUMBER(Q305),P305&gt;0,ISNUMBER($B$100)),$B$100+3*SQRT($B$100/P305),"")</f>
        <v/>
      </c>
      <c r="U305" s="13">
        <f>IF(AND(ISNUMBER(R305),ISNUMBER(S305),ISNUMBER(T305)),IF(R305&gt;T305,"boven UCL",IF(R305&lt;S305,"onder LCL","")),"")</f>
        <v/>
      </c>
    </row>
    <row r="306">
      <c r="A306" t="n">
        <v>200</v>
      </c>
      <c r="B306" s="7" t="n"/>
      <c r="C306" s="11">
        <f>IF(AND(ISNUMBER(B306),ISNUMBER(B305)),ABS(B306-B305),"")</f>
        <v/>
      </c>
      <c r="D306" s="13">
        <f>IF(AND(ISNUMBER(B306),ISNUMBER($B$88),ISNUMBER($D$88)),IF(B306&gt;$D$88,"boven UCL",IF(B306&lt;$B$88,"onder LCL","")),"")</f>
        <v/>
      </c>
      <c r="E306" s="13">
        <f>IF(AND(ISNUMBER(C306),ISNUMBER($B$89),ISNUMBER($D$89)),IF(C306&gt;$D$89,"boven UCL",IF(C306&lt;$B$89,"onder LCL","")),"")</f>
        <v/>
      </c>
      <c r="G306" t="n">
        <v>200</v>
      </c>
      <c r="H306" s="7" t="n"/>
      <c r="I306" s="7" t="n"/>
      <c r="J306" s="11">
        <f>IF(AND(ISNUMBER(H306),ISNUMBER(I306),H306&gt;0,ISNUMBER($B$94)),I306/H306,"")</f>
        <v/>
      </c>
      <c r="K306" s="11">
        <f>IF(AND(ISNUMBER(H306),ISNUMBER(I306),H306&gt;0,ISNUMBER($B$94)),MAX(0,$B$94-3*SQRT($B$94*(1-$B$94)/H306)),"")</f>
        <v/>
      </c>
      <c r="L306" s="11">
        <f>IF(AND(ISNUMBER(H306),ISNUMBER(I306),H306&gt;0,ISNUMBER($B$94)),$B$94+3*SQRT($B$94*(1-$B$94)/H306),"")</f>
        <v/>
      </c>
      <c r="M306" s="13">
        <f>IF(AND(ISNUMBER(J306),ISNUMBER(K306),ISNUMBER(L306)),IF(J306&gt;L306,"boven UCL",IF(J306&lt;K306,"onder LCL","")),"")</f>
        <v/>
      </c>
      <c r="O306" t="n">
        <v>200</v>
      </c>
      <c r="P306" s="7" t="n"/>
      <c r="Q306" s="7" t="n"/>
      <c r="R306" s="11">
        <f>IF(AND(ISNUMBER(P306),ISNUMBER(Q306),P306&gt;0,ISNUMBER($B$100)),Q306/P306,"")</f>
        <v/>
      </c>
      <c r="S306" s="11">
        <f>IF(AND(ISNUMBER(P306),ISNUMBER(Q306),P306&gt;0,ISNUMBER($B$100)),MAX(0,$B$100-3*SQRT($B$100/P306)),"")</f>
        <v/>
      </c>
      <c r="T306" s="11">
        <f>IF(AND(ISNUMBER(P306),ISNUMBER(Q306),P306&gt;0,ISNUMBER($B$100)),$B$100+3*SQRT($B$100/P306),"")</f>
        <v/>
      </c>
      <c r="U306" s="13">
        <f>IF(AND(ISNUMBER(R306),ISNUMBER(S306),ISNUMBER(T306)),IF(R306&gt;T306,"boven UCL",IF(R306&lt;S306,"onder LCL","")),"")</f>
        <v/>
      </c>
    </row>
    <row r="307">
      <c r="A307" t="n">
        <v>201</v>
      </c>
      <c r="B307" s="7" t="n"/>
      <c r="C307" s="11">
        <f>IF(AND(ISNUMBER(B307),ISNUMBER(B306)),ABS(B307-B306),"")</f>
        <v/>
      </c>
      <c r="D307" s="13">
        <f>IF(AND(ISNUMBER(B307),ISNUMBER($B$88),ISNUMBER($D$88)),IF(B307&gt;$D$88,"boven UCL",IF(B307&lt;$B$88,"onder LCL","")),"")</f>
        <v/>
      </c>
      <c r="E307" s="13">
        <f>IF(AND(ISNUMBER(C307),ISNUMBER($B$89),ISNUMBER($D$89)),IF(C307&gt;$D$89,"boven UCL",IF(C307&lt;$B$89,"onder LCL","")),"")</f>
        <v/>
      </c>
      <c r="G307" t="n">
        <v>201</v>
      </c>
      <c r="H307" s="7" t="n"/>
      <c r="I307" s="7" t="n"/>
      <c r="J307" s="11">
        <f>IF(AND(ISNUMBER(H307),ISNUMBER(I307),H307&gt;0,ISNUMBER($B$94)),I307/H307,"")</f>
        <v/>
      </c>
      <c r="K307" s="11">
        <f>IF(AND(ISNUMBER(H307),ISNUMBER(I307),H307&gt;0,ISNUMBER($B$94)),MAX(0,$B$94-3*SQRT($B$94*(1-$B$94)/H307)),"")</f>
        <v/>
      </c>
      <c r="L307" s="11">
        <f>IF(AND(ISNUMBER(H307),ISNUMBER(I307),H307&gt;0,ISNUMBER($B$94)),$B$94+3*SQRT($B$94*(1-$B$94)/H307),"")</f>
        <v/>
      </c>
      <c r="M307" s="13">
        <f>IF(AND(ISNUMBER(J307),ISNUMBER(K307),ISNUMBER(L307)),IF(J307&gt;L307,"boven UCL",IF(J307&lt;K307,"onder LCL","")),"")</f>
        <v/>
      </c>
      <c r="O307" t="n">
        <v>201</v>
      </c>
      <c r="P307" s="7" t="n"/>
      <c r="Q307" s="7" t="n"/>
      <c r="R307" s="11">
        <f>IF(AND(ISNUMBER(P307),ISNUMBER(Q307),P307&gt;0,ISNUMBER($B$100)),Q307/P307,"")</f>
        <v/>
      </c>
      <c r="S307" s="11">
        <f>IF(AND(ISNUMBER(P307),ISNUMBER(Q307),P307&gt;0,ISNUMBER($B$100)),MAX(0,$B$100-3*SQRT($B$100/P307)),"")</f>
        <v/>
      </c>
      <c r="T307" s="11">
        <f>IF(AND(ISNUMBER(P307),ISNUMBER(Q307),P307&gt;0,ISNUMBER($B$100)),$B$100+3*SQRT($B$100/P307),"")</f>
        <v/>
      </c>
      <c r="U307" s="13">
        <f>IF(AND(ISNUMBER(R307),ISNUMBER(S307),ISNUMBER(T307)),IF(R307&gt;T307,"boven UCL",IF(R307&lt;S307,"onder LCL","")),"")</f>
        <v/>
      </c>
    </row>
    <row r="308">
      <c r="A308" t="n">
        <v>202</v>
      </c>
      <c r="B308" s="7" t="n"/>
      <c r="C308" s="11">
        <f>IF(AND(ISNUMBER(B308),ISNUMBER(B307)),ABS(B308-B307),"")</f>
        <v/>
      </c>
      <c r="D308" s="13">
        <f>IF(AND(ISNUMBER(B308),ISNUMBER($B$88),ISNUMBER($D$88)),IF(B308&gt;$D$88,"boven UCL",IF(B308&lt;$B$88,"onder LCL","")),"")</f>
        <v/>
      </c>
      <c r="E308" s="13">
        <f>IF(AND(ISNUMBER(C308),ISNUMBER($B$89),ISNUMBER($D$89)),IF(C308&gt;$D$89,"boven UCL",IF(C308&lt;$B$89,"onder LCL","")),"")</f>
        <v/>
      </c>
      <c r="G308" t="n">
        <v>202</v>
      </c>
      <c r="H308" s="7" t="n"/>
      <c r="I308" s="7" t="n"/>
      <c r="J308" s="11">
        <f>IF(AND(ISNUMBER(H308),ISNUMBER(I308),H308&gt;0,ISNUMBER($B$94)),I308/H308,"")</f>
        <v/>
      </c>
      <c r="K308" s="11">
        <f>IF(AND(ISNUMBER(H308),ISNUMBER(I308),H308&gt;0,ISNUMBER($B$94)),MAX(0,$B$94-3*SQRT($B$94*(1-$B$94)/H308)),"")</f>
        <v/>
      </c>
      <c r="L308" s="11">
        <f>IF(AND(ISNUMBER(H308),ISNUMBER(I308),H308&gt;0,ISNUMBER($B$94)),$B$94+3*SQRT($B$94*(1-$B$94)/H308),"")</f>
        <v/>
      </c>
      <c r="M308" s="13">
        <f>IF(AND(ISNUMBER(J308),ISNUMBER(K308),ISNUMBER(L308)),IF(J308&gt;L308,"boven UCL",IF(J308&lt;K308,"onder LCL","")),"")</f>
        <v/>
      </c>
      <c r="O308" t="n">
        <v>202</v>
      </c>
      <c r="P308" s="7" t="n"/>
      <c r="Q308" s="7" t="n"/>
      <c r="R308" s="11">
        <f>IF(AND(ISNUMBER(P308),ISNUMBER(Q308),P308&gt;0,ISNUMBER($B$100)),Q308/P308,"")</f>
        <v/>
      </c>
      <c r="S308" s="11">
        <f>IF(AND(ISNUMBER(P308),ISNUMBER(Q308),P308&gt;0,ISNUMBER($B$100)),MAX(0,$B$100-3*SQRT($B$100/P308)),"")</f>
        <v/>
      </c>
      <c r="T308" s="11">
        <f>IF(AND(ISNUMBER(P308),ISNUMBER(Q308),P308&gt;0,ISNUMBER($B$100)),$B$100+3*SQRT($B$100/P308),"")</f>
        <v/>
      </c>
      <c r="U308" s="13">
        <f>IF(AND(ISNUMBER(R308),ISNUMBER(S308),ISNUMBER(T308)),IF(R308&gt;T308,"boven UCL",IF(R308&lt;S308,"onder LCL","")),"")</f>
        <v/>
      </c>
    </row>
    <row r="309">
      <c r="A309" t="n">
        <v>203</v>
      </c>
      <c r="B309" s="7" t="n"/>
      <c r="C309" s="11">
        <f>IF(AND(ISNUMBER(B309),ISNUMBER(B308)),ABS(B309-B308),"")</f>
        <v/>
      </c>
      <c r="D309" s="13">
        <f>IF(AND(ISNUMBER(B309),ISNUMBER($B$88),ISNUMBER($D$88)),IF(B309&gt;$D$88,"boven UCL",IF(B309&lt;$B$88,"onder LCL","")),"")</f>
        <v/>
      </c>
      <c r="E309" s="13">
        <f>IF(AND(ISNUMBER(C309),ISNUMBER($B$89),ISNUMBER($D$89)),IF(C309&gt;$D$89,"boven UCL",IF(C309&lt;$B$89,"onder LCL","")),"")</f>
        <v/>
      </c>
      <c r="G309" t="n">
        <v>203</v>
      </c>
      <c r="H309" s="7" t="n"/>
      <c r="I309" s="7" t="n"/>
      <c r="J309" s="11">
        <f>IF(AND(ISNUMBER(H309),ISNUMBER(I309),H309&gt;0,ISNUMBER($B$94)),I309/H309,"")</f>
        <v/>
      </c>
      <c r="K309" s="11">
        <f>IF(AND(ISNUMBER(H309),ISNUMBER(I309),H309&gt;0,ISNUMBER($B$94)),MAX(0,$B$94-3*SQRT($B$94*(1-$B$94)/H309)),"")</f>
        <v/>
      </c>
      <c r="L309" s="11">
        <f>IF(AND(ISNUMBER(H309),ISNUMBER(I309),H309&gt;0,ISNUMBER($B$94)),$B$94+3*SQRT($B$94*(1-$B$94)/H309),"")</f>
        <v/>
      </c>
      <c r="M309" s="13">
        <f>IF(AND(ISNUMBER(J309),ISNUMBER(K309),ISNUMBER(L309)),IF(J309&gt;L309,"boven UCL",IF(J309&lt;K309,"onder LCL","")),"")</f>
        <v/>
      </c>
      <c r="O309" t="n">
        <v>203</v>
      </c>
      <c r="P309" s="7" t="n"/>
      <c r="Q309" s="7" t="n"/>
      <c r="R309" s="11">
        <f>IF(AND(ISNUMBER(P309),ISNUMBER(Q309),P309&gt;0,ISNUMBER($B$100)),Q309/P309,"")</f>
        <v/>
      </c>
      <c r="S309" s="11">
        <f>IF(AND(ISNUMBER(P309),ISNUMBER(Q309),P309&gt;0,ISNUMBER($B$100)),MAX(0,$B$100-3*SQRT($B$100/P309)),"")</f>
        <v/>
      </c>
      <c r="T309" s="11">
        <f>IF(AND(ISNUMBER(P309),ISNUMBER(Q309),P309&gt;0,ISNUMBER($B$100)),$B$100+3*SQRT($B$100/P309),"")</f>
        <v/>
      </c>
      <c r="U309" s="13">
        <f>IF(AND(ISNUMBER(R309),ISNUMBER(S309),ISNUMBER(T309)),IF(R309&gt;T309,"boven UCL",IF(R309&lt;S309,"onder LCL","")),"")</f>
        <v/>
      </c>
    </row>
    <row r="310">
      <c r="A310" t="n">
        <v>204</v>
      </c>
      <c r="B310" s="7" t="n"/>
      <c r="C310" s="11">
        <f>IF(AND(ISNUMBER(B310),ISNUMBER(B309)),ABS(B310-B309),"")</f>
        <v/>
      </c>
      <c r="D310" s="13">
        <f>IF(AND(ISNUMBER(B310),ISNUMBER($B$88),ISNUMBER($D$88)),IF(B310&gt;$D$88,"boven UCL",IF(B310&lt;$B$88,"onder LCL","")),"")</f>
        <v/>
      </c>
      <c r="E310" s="13">
        <f>IF(AND(ISNUMBER(C310),ISNUMBER($B$89),ISNUMBER($D$89)),IF(C310&gt;$D$89,"boven UCL",IF(C310&lt;$B$89,"onder LCL","")),"")</f>
        <v/>
      </c>
      <c r="G310" t="n">
        <v>204</v>
      </c>
      <c r="H310" s="7" t="n"/>
      <c r="I310" s="7" t="n"/>
      <c r="J310" s="11">
        <f>IF(AND(ISNUMBER(H310),ISNUMBER(I310),H310&gt;0,ISNUMBER($B$94)),I310/H310,"")</f>
        <v/>
      </c>
      <c r="K310" s="11">
        <f>IF(AND(ISNUMBER(H310),ISNUMBER(I310),H310&gt;0,ISNUMBER($B$94)),MAX(0,$B$94-3*SQRT($B$94*(1-$B$94)/H310)),"")</f>
        <v/>
      </c>
      <c r="L310" s="11">
        <f>IF(AND(ISNUMBER(H310),ISNUMBER(I310),H310&gt;0,ISNUMBER($B$94)),$B$94+3*SQRT($B$94*(1-$B$94)/H310),"")</f>
        <v/>
      </c>
      <c r="M310" s="13">
        <f>IF(AND(ISNUMBER(J310),ISNUMBER(K310),ISNUMBER(L310)),IF(J310&gt;L310,"boven UCL",IF(J310&lt;K310,"onder LCL","")),"")</f>
        <v/>
      </c>
      <c r="O310" t="n">
        <v>204</v>
      </c>
      <c r="P310" s="7" t="n"/>
      <c r="Q310" s="7" t="n"/>
      <c r="R310" s="11">
        <f>IF(AND(ISNUMBER(P310),ISNUMBER(Q310),P310&gt;0,ISNUMBER($B$100)),Q310/P310,"")</f>
        <v/>
      </c>
      <c r="S310" s="11">
        <f>IF(AND(ISNUMBER(P310),ISNUMBER(Q310),P310&gt;0,ISNUMBER($B$100)),MAX(0,$B$100-3*SQRT($B$100/P310)),"")</f>
        <v/>
      </c>
      <c r="T310" s="11">
        <f>IF(AND(ISNUMBER(P310),ISNUMBER(Q310),P310&gt;0,ISNUMBER($B$100)),$B$100+3*SQRT($B$100/P310),"")</f>
        <v/>
      </c>
      <c r="U310" s="13">
        <f>IF(AND(ISNUMBER(R310),ISNUMBER(S310),ISNUMBER(T310)),IF(R310&gt;T310,"boven UCL",IF(R310&lt;S310,"onder LCL","")),"")</f>
        <v/>
      </c>
    </row>
    <row r="311">
      <c r="A311" t="n">
        <v>205</v>
      </c>
      <c r="B311" s="7" t="n"/>
      <c r="C311" s="11">
        <f>IF(AND(ISNUMBER(B311),ISNUMBER(B310)),ABS(B311-B310),"")</f>
        <v/>
      </c>
      <c r="D311" s="13">
        <f>IF(AND(ISNUMBER(B311),ISNUMBER($B$88),ISNUMBER($D$88)),IF(B311&gt;$D$88,"boven UCL",IF(B311&lt;$B$88,"onder LCL","")),"")</f>
        <v/>
      </c>
      <c r="E311" s="13">
        <f>IF(AND(ISNUMBER(C311),ISNUMBER($B$89),ISNUMBER($D$89)),IF(C311&gt;$D$89,"boven UCL",IF(C311&lt;$B$89,"onder LCL","")),"")</f>
        <v/>
      </c>
      <c r="G311" t="n">
        <v>205</v>
      </c>
      <c r="H311" s="7" t="n"/>
      <c r="I311" s="7" t="n"/>
      <c r="J311" s="11">
        <f>IF(AND(ISNUMBER(H311),ISNUMBER(I311),H311&gt;0,ISNUMBER($B$94)),I311/H311,"")</f>
        <v/>
      </c>
      <c r="K311" s="11">
        <f>IF(AND(ISNUMBER(H311),ISNUMBER(I311),H311&gt;0,ISNUMBER($B$94)),MAX(0,$B$94-3*SQRT($B$94*(1-$B$94)/H311)),"")</f>
        <v/>
      </c>
      <c r="L311" s="11">
        <f>IF(AND(ISNUMBER(H311),ISNUMBER(I311),H311&gt;0,ISNUMBER($B$94)),$B$94+3*SQRT($B$94*(1-$B$94)/H311),"")</f>
        <v/>
      </c>
      <c r="M311" s="13">
        <f>IF(AND(ISNUMBER(J311),ISNUMBER(K311),ISNUMBER(L311)),IF(J311&gt;L311,"boven UCL",IF(J311&lt;K311,"onder LCL","")),"")</f>
        <v/>
      </c>
      <c r="O311" t="n">
        <v>205</v>
      </c>
      <c r="P311" s="7" t="n"/>
      <c r="Q311" s="7" t="n"/>
      <c r="R311" s="11">
        <f>IF(AND(ISNUMBER(P311),ISNUMBER(Q311),P311&gt;0,ISNUMBER($B$100)),Q311/P311,"")</f>
        <v/>
      </c>
      <c r="S311" s="11">
        <f>IF(AND(ISNUMBER(P311),ISNUMBER(Q311),P311&gt;0,ISNUMBER($B$100)),MAX(0,$B$100-3*SQRT($B$100/P311)),"")</f>
        <v/>
      </c>
      <c r="T311" s="11">
        <f>IF(AND(ISNUMBER(P311),ISNUMBER(Q311),P311&gt;0,ISNUMBER($B$100)),$B$100+3*SQRT($B$100/P311),"")</f>
        <v/>
      </c>
      <c r="U311" s="13">
        <f>IF(AND(ISNUMBER(R311),ISNUMBER(S311),ISNUMBER(T311)),IF(R311&gt;T311,"boven UCL",IF(R311&lt;S311,"onder LCL","")),"")</f>
        <v/>
      </c>
    </row>
    <row r="312">
      <c r="A312" t="n">
        <v>206</v>
      </c>
      <c r="B312" s="7" t="n"/>
      <c r="C312" s="11">
        <f>IF(AND(ISNUMBER(B312),ISNUMBER(B311)),ABS(B312-B311),"")</f>
        <v/>
      </c>
      <c r="D312" s="13">
        <f>IF(AND(ISNUMBER(B312),ISNUMBER($B$88),ISNUMBER($D$88)),IF(B312&gt;$D$88,"boven UCL",IF(B312&lt;$B$88,"onder LCL","")),"")</f>
        <v/>
      </c>
      <c r="E312" s="13">
        <f>IF(AND(ISNUMBER(C312),ISNUMBER($B$89),ISNUMBER($D$89)),IF(C312&gt;$D$89,"boven UCL",IF(C312&lt;$B$89,"onder LCL","")),"")</f>
        <v/>
      </c>
      <c r="G312" t="n">
        <v>206</v>
      </c>
      <c r="H312" s="7" t="n"/>
      <c r="I312" s="7" t="n"/>
      <c r="J312" s="11">
        <f>IF(AND(ISNUMBER(H312),ISNUMBER(I312),H312&gt;0,ISNUMBER($B$94)),I312/H312,"")</f>
        <v/>
      </c>
      <c r="K312" s="11">
        <f>IF(AND(ISNUMBER(H312),ISNUMBER(I312),H312&gt;0,ISNUMBER($B$94)),MAX(0,$B$94-3*SQRT($B$94*(1-$B$94)/H312)),"")</f>
        <v/>
      </c>
      <c r="L312" s="11">
        <f>IF(AND(ISNUMBER(H312),ISNUMBER(I312),H312&gt;0,ISNUMBER($B$94)),$B$94+3*SQRT($B$94*(1-$B$94)/H312),"")</f>
        <v/>
      </c>
      <c r="M312" s="13">
        <f>IF(AND(ISNUMBER(J312),ISNUMBER(K312),ISNUMBER(L312)),IF(J312&gt;L312,"boven UCL",IF(J312&lt;K312,"onder LCL","")),"")</f>
        <v/>
      </c>
      <c r="O312" t="n">
        <v>206</v>
      </c>
      <c r="P312" s="7" t="n"/>
      <c r="Q312" s="7" t="n"/>
      <c r="R312" s="11">
        <f>IF(AND(ISNUMBER(P312),ISNUMBER(Q312),P312&gt;0,ISNUMBER($B$100)),Q312/P312,"")</f>
        <v/>
      </c>
      <c r="S312" s="11">
        <f>IF(AND(ISNUMBER(P312),ISNUMBER(Q312),P312&gt;0,ISNUMBER($B$100)),MAX(0,$B$100-3*SQRT($B$100/P312)),"")</f>
        <v/>
      </c>
      <c r="T312" s="11">
        <f>IF(AND(ISNUMBER(P312),ISNUMBER(Q312),P312&gt;0,ISNUMBER($B$100)),$B$100+3*SQRT($B$100/P312),"")</f>
        <v/>
      </c>
      <c r="U312" s="13">
        <f>IF(AND(ISNUMBER(R312),ISNUMBER(S312),ISNUMBER(T312)),IF(R312&gt;T312,"boven UCL",IF(R312&lt;S312,"onder LCL","")),"")</f>
        <v/>
      </c>
    </row>
    <row r="313">
      <c r="A313" t="n">
        <v>207</v>
      </c>
      <c r="B313" s="7" t="n"/>
      <c r="C313" s="11">
        <f>IF(AND(ISNUMBER(B313),ISNUMBER(B312)),ABS(B313-B312),"")</f>
        <v/>
      </c>
      <c r="D313" s="13">
        <f>IF(AND(ISNUMBER(B313),ISNUMBER($B$88),ISNUMBER($D$88)),IF(B313&gt;$D$88,"boven UCL",IF(B313&lt;$B$88,"onder LCL","")),"")</f>
        <v/>
      </c>
      <c r="E313" s="13">
        <f>IF(AND(ISNUMBER(C313),ISNUMBER($B$89),ISNUMBER($D$89)),IF(C313&gt;$D$89,"boven UCL",IF(C313&lt;$B$89,"onder LCL","")),"")</f>
        <v/>
      </c>
      <c r="G313" t="n">
        <v>207</v>
      </c>
      <c r="H313" s="7" t="n"/>
      <c r="I313" s="7" t="n"/>
      <c r="J313" s="11">
        <f>IF(AND(ISNUMBER(H313),ISNUMBER(I313),H313&gt;0,ISNUMBER($B$94)),I313/H313,"")</f>
        <v/>
      </c>
      <c r="K313" s="11">
        <f>IF(AND(ISNUMBER(H313),ISNUMBER(I313),H313&gt;0,ISNUMBER($B$94)),MAX(0,$B$94-3*SQRT($B$94*(1-$B$94)/H313)),"")</f>
        <v/>
      </c>
      <c r="L313" s="11">
        <f>IF(AND(ISNUMBER(H313),ISNUMBER(I313),H313&gt;0,ISNUMBER($B$94)),$B$94+3*SQRT($B$94*(1-$B$94)/H313),"")</f>
        <v/>
      </c>
      <c r="M313" s="13">
        <f>IF(AND(ISNUMBER(J313),ISNUMBER(K313),ISNUMBER(L313)),IF(J313&gt;L313,"boven UCL",IF(J313&lt;K313,"onder LCL","")),"")</f>
        <v/>
      </c>
      <c r="O313" t="n">
        <v>207</v>
      </c>
      <c r="P313" s="7" t="n"/>
      <c r="Q313" s="7" t="n"/>
      <c r="R313" s="11">
        <f>IF(AND(ISNUMBER(P313),ISNUMBER(Q313),P313&gt;0,ISNUMBER($B$100)),Q313/P313,"")</f>
        <v/>
      </c>
      <c r="S313" s="11">
        <f>IF(AND(ISNUMBER(P313),ISNUMBER(Q313),P313&gt;0,ISNUMBER($B$100)),MAX(0,$B$100-3*SQRT($B$100/P313)),"")</f>
        <v/>
      </c>
      <c r="T313" s="11">
        <f>IF(AND(ISNUMBER(P313),ISNUMBER(Q313),P313&gt;0,ISNUMBER($B$100)),$B$100+3*SQRT($B$100/P313),"")</f>
        <v/>
      </c>
      <c r="U313" s="13">
        <f>IF(AND(ISNUMBER(R313),ISNUMBER(S313),ISNUMBER(T313)),IF(R313&gt;T313,"boven UCL",IF(R313&lt;S313,"onder LCL","")),"")</f>
        <v/>
      </c>
    </row>
    <row r="314">
      <c r="A314" t="n">
        <v>208</v>
      </c>
      <c r="B314" s="7" t="n"/>
      <c r="C314" s="11">
        <f>IF(AND(ISNUMBER(B314),ISNUMBER(B313)),ABS(B314-B313),"")</f>
        <v/>
      </c>
      <c r="D314" s="13">
        <f>IF(AND(ISNUMBER(B314),ISNUMBER($B$88),ISNUMBER($D$88)),IF(B314&gt;$D$88,"boven UCL",IF(B314&lt;$B$88,"onder LCL","")),"")</f>
        <v/>
      </c>
      <c r="E314" s="13">
        <f>IF(AND(ISNUMBER(C314),ISNUMBER($B$89),ISNUMBER($D$89)),IF(C314&gt;$D$89,"boven UCL",IF(C314&lt;$B$89,"onder LCL","")),"")</f>
        <v/>
      </c>
      <c r="G314" t="n">
        <v>208</v>
      </c>
      <c r="H314" s="7" t="n"/>
      <c r="I314" s="7" t="n"/>
      <c r="J314" s="11">
        <f>IF(AND(ISNUMBER(H314),ISNUMBER(I314),H314&gt;0,ISNUMBER($B$94)),I314/H314,"")</f>
        <v/>
      </c>
      <c r="K314" s="11">
        <f>IF(AND(ISNUMBER(H314),ISNUMBER(I314),H314&gt;0,ISNUMBER($B$94)),MAX(0,$B$94-3*SQRT($B$94*(1-$B$94)/H314)),"")</f>
        <v/>
      </c>
      <c r="L314" s="11">
        <f>IF(AND(ISNUMBER(H314),ISNUMBER(I314),H314&gt;0,ISNUMBER($B$94)),$B$94+3*SQRT($B$94*(1-$B$94)/H314),"")</f>
        <v/>
      </c>
      <c r="M314" s="13">
        <f>IF(AND(ISNUMBER(J314),ISNUMBER(K314),ISNUMBER(L314)),IF(J314&gt;L314,"boven UCL",IF(J314&lt;K314,"onder LCL","")),"")</f>
        <v/>
      </c>
      <c r="O314" t="n">
        <v>208</v>
      </c>
      <c r="P314" s="7" t="n"/>
      <c r="Q314" s="7" t="n"/>
      <c r="R314" s="11">
        <f>IF(AND(ISNUMBER(P314),ISNUMBER(Q314),P314&gt;0,ISNUMBER($B$100)),Q314/P314,"")</f>
        <v/>
      </c>
      <c r="S314" s="11">
        <f>IF(AND(ISNUMBER(P314),ISNUMBER(Q314),P314&gt;0,ISNUMBER($B$100)),MAX(0,$B$100-3*SQRT($B$100/P314)),"")</f>
        <v/>
      </c>
      <c r="T314" s="11">
        <f>IF(AND(ISNUMBER(P314),ISNUMBER(Q314),P314&gt;0,ISNUMBER($B$100)),$B$100+3*SQRT($B$100/P314),"")</f>
        <v/>
      </c>
      <c r="U314" s="13">
        <f>IF(AND(ISNUMBER(R314),ISNUMBER(S314),ISNUMBER(T314)),IF(R314&gt;T314,"boven UCL",IF(R314&lt;S314,"onder LCL","")),"")</f>
        <v/>
      </c>
    </row>
    <row r="315">
      <c r="A315" t="n">
        <v>209</v>
      </c>
      <c r="B315" s="7" t="n"/>
      <c r="C315" s="11">
        <f>IF(AND(ISNUMBER(B315),ISNUMBER(B314)),ABS(B315-B314),"")</f>
        <v/>
      </c>
      <c r="D315" s="13">
        <f>IF(AND(ISNUMBER(B315),ISNUMBER($B$88),ISNUMBER($D$88)),IF(B315&gt;$D$88,"boven UCL",IF(B315&lt;$B$88,"onder LCL","")),"")</f>
        <v/>
      </c>
      <c r="E315" s="13">
        <f>IF(AND(ISNUMBER(C315),ISNUMBER($B$89),ISNUMBER($D$89)),IF(C315&gt;$D$89,"boven UCL",IF(C315&lt;$B$89,"onder LCL","")),"")</f>
        <v/>
      </c>
      <c r="G315" t="n">
        <v>209</v>
      </c>
      <c r="H315" s="7" t="n"/>
      <c r="I315" s="7" t="n"/>
      <c r="J315" s="11">
        <f>IF(AND(ISNUMBER(H315),ISNUMBER(I315),H315&gt;0,ISNUMBER($B$94)),I315/H315,"")</f>
        <v/>
      </c>
      <c r="K315" s="11">
        <f>IF(AND(ISNUMBER(H315),ISNUMBER(I315),H315&gt;0,ISNUMBER($B$94)),MAX(0,$B$94-3*SQRT($B$94*(1-$B$94)/H315)),"")</f>
        <v/>
      </c>
      <c r="L315" s="11">
        <f>IF(AND(ISNUMBER(H315),ISNUMBER(I315),H315&gt;0,ISNUMBER($B$94)),$B$94+3*SQRT($B$94*(1-$B$94)/H315),"")</f>
        <v/>
      </c>
      <c r="M315" s="13">
        <f>IF(AND(ISNUMBER(J315),ISNUMBER(K315),ISNUMBER(L315)),IF(J315&gt;L315,"boven UCL",IF(J315&lt;K315,"onder LCL","")),"")</f>
        <v/>
      </c>
      <c r="O315" t="n">
        <v>209</v>
      </c>
      <c r="P315" s="7" t="n"/>
      <c r="Q315" s="7" t="n"/>
      <c r="R315" s="11">
        <f>IF(AND(ISNUMBER(P315),ISNUMBER(Q315),P315&gt;0,ISNUMBER($B$100)),Q315/P315,"")</f>
        <v/>
      </c>
      <c r="S315" s="11">
        <f>IF(AND(ISNUMBER(P315),ISNUMBER(Q315),P315&gt;0,ISNUMBER($B$100)),MAX(0,$B$100-3*SQRT($B$100/P315)),"")</f>
        <v/>
      </c>
      <c r="T315" s="11">
        <f>IF(AND(ISNUMBER(P315),ISNUMBER(Q315),P315&gt;0,ISNUMBER($B$100)),$B$100+3*SQRT($B$100/P315),"")</f>
        <v/>
      </c>
      <c r="U315" s="13">
        <f>IF(AND(ISNUMBER(R315),ISNUMBER(S315),ISNUMBER(T315)),IF(R315&gt;T315,"boven UCL",IF(R315&lt;S315,"onder LCL","")),"")</f>
        <v/>
      </c>
    </row>
    <row r="316">
      <c r="A316" t="n">
        <v>210</v>
      </c>
      <c r="B316" s="7" t="n"/>
      <c r="C316" s="11">
        <f>IF(AND(ISNUMBER(B316),ISNUMBER(B315)),ABS(B316-B315),"")</f>
        <v/>
      </c>
      <c r="D316" s="13">
        <f>IF(AND(ISNUMBER(B316),ISNUMBER($B$88),ISNUMBER($D$88)),IF(B316&gt;$D$88,"boven UCL",IF(B316&lt;$B$88,"onder LCL","")),"")</f>
        <v/>
      </c>
      <c r="E316" s="13">
        <f>IF(AND(ISNUMBER(C316),ISNUMBER($B$89),ISNUMBER($D$89)),IF(C316&gt;$D$89,"boven UCL",IF(C316&lt;$B$89,"onder LCL","")),"")</f>
        <v/>
      </c>
      <c r="G316" t="n">
        <v>210</v>
      </c>
      <c r="H316" s="7" t="n"/>
      <c r="I316" s="7" t="n"/>
      <c r="J316" s="11">
        <f>IF(AND(ISNUMBER(H316),ISNUMBER(I316),H316&gt;0,ISNUMBER($B$94)),I316/H316,"")</f>
        <v/>
      </c>
      <c r="K316" s="11">
        <f>IF(AND(ISNUMBER(H316),ISNUMBER(I316),H316&gt;0,ISNUMBER($B$94)),MAX(0,$B$94-3*SQRT($B$94*(1-$B$94)/H316)),"")</f>
        <v/>
      </c>
      <c r="L316" s="11">
        <f>IF(AND(ISNUMBER(H316),ISNUMBER(I316),H316&gt;0,ISNUMBER($B$94)),$B$94+3*SQRT($B$94*(1-$B$94)/H316),"")</f>
        <v/>
      </c>
      <c r="M316" s="13">
        <f>IF(AND(ISNUMBER(J316),ISNUMBER(K316),ISNUMBER(L316)),IF(J316&gt;L316,"boven UCL",IF(J316&lt;K316,"onder LCL","")),"")</f>
        <v/>
      </c>
      <c r="O316" t="n">
        <v>210</v>
      </c>
      <c r="P316" s="7" t="n"/>
      <c r="Q316" s="7" t="n"/>
      <c r="R316" s="11">
        <f>IF(AND(ISNUMBER(P316),ISNUMBER(Q316),P316&gt;0,ISNUMBER($B$100)),Q316/P316,"")</f>
        <v/>
      </c>
      <c r="S316" s="11">
        <f>IF(AND(ISNUMBER(P316),ISNUMBER(Q316),P316&gt;0,ISNUMBER($B$100)),MAX(0,$B$100-3*SQRT($B$100/P316)),"")</f>
        <v/>
      </c>
      <c r="T316" s="11">
        <f>IF(AND(ISNUMBER(P316),ISNUMBER(Q316),P316&gt;0,ISNUMBER($B$100)),$B$100+3*SQRT($B$100/P316),"")</f>
        <v/>
      </c>
      <c r="U316" s="13">
        <f>IF(AND(ISNUMBER(R316),ISNUMBER(S316),ISNUMBER(T316)),IF(R316&gt;T316,"boven UCL",IF(R316&lt;S316,"onder LCL","")),"")</f>
        <v/>
      </c>
    </row>
    <row r="317">
      <c r="A317" t="n">
        <v>211</v>
      </c>
      <c r="B317" s="7" t="n"/>
      <c r="C317" s="11">
        <f>IF(AND(ISNUMBER(B317),ISNUMBER(B316)),ABS(B317-B316),"")</f>
        <v/>
      </c>
      <c r="D317" s="13">
        <f>IF(AND(ISNUMBER(B317),ISNUMBER($B$88),ISNUMBER($D$88)),IF(B317&gt;$D$88,"boven UCL",IF(B317&lt;$B$88,"onder LCL","")),"")</f>
        <v/>
      </c>
      <c r="E317" s="13">
        <f>IF(AND(ISNUMBER(C317),ISNUMBER($B$89),ISNUMBER($D$89)),IF(C317&gt;$D$89,"boven UCL",IF(C317&lt;$B$89,"onder LCL","")),"")</f>
        <v/>
      </c>
      <c r="G317" t="n">
        <v>211</v>
      </c>
      <c r="H317" s="7" t="n"/>
      <c r="I317" s="7" t="n"/>
      <c r="J317" s="11">
        <f>IF(AND(ISNUMBER(H317),ISNUMBER(I317),H317&gt;0,ISNUMBER($B$94)),I317/H317,"")</f>
        <v/>
      </c>
      <c r="K317" s="11">
        <f>IF(AND(ISNUMBER(H317),ISNUMBER(I317),H317&gt;0,ISNUMBER($B$94)),MAX(0,$B$94-3*SQRT($B$94*(1-$B$94)/H317)),"")</f>
        <v/>
      </c>
      <c r="L317" s="11">
        <f>IF(AND(ISNUMBER(H317),ISNUMBER(I317),H317&gt;0,ISNUMBER($B$94)),$B$94+3*SQRT($B$94*(1-$B$94)/H317),"")</f>
        <v/>
      </c>
      <c r="M317" s="13">
        <f>IF(AND(ISNUMBER(J317),ISNUMBER(K317),ISNUMBER(L317)),IF(J317&gt;L317,"boven UCL",IF(J317&lt;K317,"onder LCL","")),"")</f>
        <v/>
      </c>
      <c r="O317" t="n">
        <v>211</v>
      </c>
      <c r="P317" s="7" t="n"/>
      <c r="Q317" s="7" t="n"/>
      <c r="R317" s="11">
        <f>IF(AND(ISNUMBER(P317),ISNUMBER(Q317),P317&gt;0,ISNUMBER($B$100)),Q317/P317,"")</f>
        <v/>
      </c>
      <c r="S317" s="11">
        <f>IF(AND(ISNUMBER(P317),ISNUMBER(Q317),P317&gt;0,ISNUMBER($B$100)),MAX(0,$B$100-3*SQRT($B$100/P317)),"")</f>
        <v/>
      </c>
      <c r="T317" s="11">
        <f>IF(AND(ISNUMBER(P317),ISNUMBER(Q317),P317&gt;0,ISNUMBER($B$100)),$B$100+3*SQRT($B$100/P317),"")</f>
        <v/>
      </c>
      <c r="U317" s="13">
        <f>IF(AND(ISNUMBER(R317),ISNUMBER(S317),ISNUMBER(T317)),IF(R317&gt;T317,"boven UCL",IF(R317&lt;S317,"onder LCL","")),"")</f>
        <v/>
      </c>
    </row>
    <row r="318">
      <c r="A318" t="n">
        <v>212</v>
      </c>
      <c r="B318" s="7" t="n"/>
      <c r="C318" s="11">
        <f>IF(AND(ISNUMBER(B318),ISNUMBER(B317)),ABS(B318-B317),"")</f>
        <v/>
      </c>
      <c r="D318" s="13">
        <f>IF(AND(ISNUMBER(B318),ISNUMBER($B$88),ISNUMBER($D$88)),IF(B318&gt;$D$88,"boven UCL",IF(B318&lt;$B$88,"onder LCL","")),"")</f>
        <v/>
      </c>
      <c r="E318" s="13">
        <f>IF(AND(ISNUMBER(C318),ISNUMBER($B$89),ISNUMBER($D$89)),IF(C318&gt;$D$89,"boven UCL",IF(C318&lt;$B$89,"onder LCL","")),"")</f>
        <v/>
      </c>
      <c r="G318" t="n">
        <v>212</v>
      </c>
      <c r="H318" s="7" t="n"/>
      <c r="I318" s="7" t="n"/>
      <c r="J318" s="11">
        <f>IF(AND(ISNUMBER(H318),ISNUMBER(I318),H318&gt;0,ISNUMBER($B$94)),I318/H318,"")</f>
        <v/>
      </c>
      <c r="K318" s="11">
        <f>IF(AND(ISNUMBER(H318),ISNUMBER(I318),H318&gt;0,ISNUMBER($B$94)),MAX(0,$B$94-3*SQRT($B$94*(1-$B$94)/H318)),"")</f>
        <v/>
      </c>
      <c r="L318" s="11">
        <f>IF(AND(ISNUMBER(H318),ISNUMBER(I318),H318&gt;0,ISNUMBER($B$94)),$B$94+3*SQRT($B$94*(1-$B$94)/H318),"")</f>
        <v/>
      </c>
      <c r="M318" s="13">
        <f>IF(AND(ISNUMBER(J318),ISNUMBER(K318),ISNUMBER(L318)),IF(J318&gt;L318,"boven UCL",IF(J318&lt;K318,"onder LCL","")),"")</f>
        <v/>
      </c>
      <c r="O318" t="n">
        <v>212</v>
      </c>
      <c r="P318" s="7" t="n"/>
      <c r="Q318" s="7" t="n"/>
      <c r="R318" s="11">
        <f>IF(AND(ISNUMBER(P318),ISNUMBER(Q318),P318&gt;0,ISNUMBER($B$100)),Q318/P318,"")</f>
        <v/>
      </c>
      <c r="S318" s="11">
        <f>IF(AND(ISNUMBER(P318),ISNUMBER(Q318),P318&gt;0,ISNUMBER($B$100)),MAX(0,$B$100-3*SQRT($B$100/P318)),"")</f>
        <v/>
      </c>
      <c r="T318" s="11">
        <f>IF(AND(ISNUMBER(P318),ISNUMBER(Q318),P318&gt;0,ISNUMBER($B$100)),$B$100+3*SQRT($B$100/P318),"")</f>
        <v/>
      </c>
      <c r="U318" s="13">
        <f>IF(AND(ISNUMBER(R318),ISNUMBER(S318),ISNUMBER(T318)),IF(R318&gt;T318,"boven UCL",IF(R318&lt;S318,"onder LCL","")),"")</f>
        <v/>
      </c>
    </row>
    <row r="319">
      <c r="A319" t="n">
        <v>213</v>
      </c>
      <c r="B319" s="7" t="n"/>
      <c r="C319" s="11">
        <f>IF(AND(ISNUMBER(B319),ISNUMBER(B318)),ABS(B319-B318),"")</f>
        <v/>
      </c>
      <c r="D319" s="13">
        <f>IF(AND(ISNUMBER(B319),ISNUMBER($B$88),ISNUMBER($D$88)),IF(B319&gt;$D$88,"boven UCL",IF(B319&lt;$B$88,"onder LCL","")),"")</f>
        <v/>
      </c>
      <c r="E319" s="13">
        <f>IF(AND(ISNUMBER(C319),ISNUMBER($B$89),ISNUMBER($D$89)),IF(C319&gt;$D$89,"boven UCL",IF(C319&lt;$B$89,"onder LCL","")),"")</f>
        <v/>
      </c>
      <c r="G319" t="n">
        <v>213</v>
      </c>
      <c r="H319" s="7" t="n"/>
      <c r="I319" s="7" t="n"/>
      <c r="J319" s="11">
        <f>IF(AND(ISNUMBER(H319),ISNUMBER(I319),H319&gt;0,ISNUMBER($B$94)),I319/H319,"")</f>
        <v/>
      </c>
      <c r="K319" s="11">
        <f>IF(AND(ISNUMBER(H319),ISNUMBER(I319),H319&gt;0,ISNUMBER($B$94)),MAX(0,$B$94-3*SQRT($B$94*(1-$B$94)/H319)),"")</f>
        <v/>
      </c>
      <c r="L319" s="11">
        <f>IF(AND(ISNUMBER(H319),ISNUMBER(I319),H319&gt;0,ISNUMBER($B$94)),$B$94+3*SQRT($B$94*(1-$B$94)/H319),"")</f>
        <v/>
      </c>
      <c r="M319" s="13">
        <f>IF(AND(ISNUMBER(J319),ISNUMBER(K319),ISNUMBER(L319)),IF(J319&gt;L319,"boven UCL",IF(J319&lt;K319,"onder LCL","")),"")</f>
        <v/>
      </c>
      <c r="O319" t="n">
        <v>213</v>
      </c>
      <c r="P319" s="7" t="n"/>
      <c r="Q319" s="7" t="n"/>
      <c r="R319" s="11">
        <f>IF(AND(ISNUMBER(P319),ISNUMBER(Q319),P319&gt;0,ISNUMBER($B$100)),Q319/P319,"")</f>
        <v/>
      </c>
      <c r="S319" s="11">
        <f>IF(AND(ISNUMBER(P319),ISNUMBER(Q319),P319&gt;0,ISNUMBER($B$100)),MAX(0,$B$100-3*SQRT($B$100/P319)),"")</f>
        <v/>
      </c>
      <c r="T319" s="11">
        <f>IF(AND(ISNUMBER(P319),ISNUMBER(Q319),P319&gt;0,ISNUMBER($B$100)),$B$100+3*SQRT($B$100/P319),"")</f>
        <v/>
      </c>
      <c r="U319" s="13">
        <f>IF(AND(ISNUMBER(R319),ISNUMBER(S319),ISNUMBER(T319)),IF(R319&gt;T319,"boven UCL",IF(R319&lt;S319,"onder LCL","")),"")</f>
        <v/>
      </c>
    </row>
    <row r="320">
      <c r="A320" t="n">
        <v>214</v>
      </c>
      <c r="B320" s="7" t="n"/>
      <c r="C320" s="11">
        <f>IF(AND(ISNUMBER(B320),ISNUMBER(B319)),ABS(B320-B319),"")</f>
        <v/>
      </c>
      <c r="D320" s="13">
        <f>IF(AND(ISNUMBER(B320),ISNUMBER($B$88),ISNUMBER($D$88)),IF(B320&gt;$D$88,"boven UCL",IF(B320&lt;$B$88,"onder LCL","")),"")</f>
        <v/>
      </c>
      <c r="E320" s="13">
        <f>IF(AND(ISNUMBER(C320),ISNUMBER($B$89),ISNUMBER($D$89)),IF(C320&gt;$D$89,"boven UCL",IF(C320&lt;$B$89,"onder LCL","")),"")</f>
        <v/>
      </c>
      <c r="G320" t="n">
        <v>214</v>
      </c>
      <c r="H320" s="7" t="n"/>
      <c r="I320" s="7" t="n"/>
      <c r="J320" s="11">
        <f>IF(AND(ISNUMBER(H320),ISNUMBER(I320),H320&gt;0,ISNUMBER($B$94)),I320/H320,"")</f>
        <v/>
      </c>
      <c r="K320" s="11">
        <f>IF(AND(ISNUMBER(H320),ISNUMBER(I320),H320&gt;0,ISNUMBER($B$94)),MAX(0,$B$94-3*SQRT($B$94*(1-$B$94)/H320)),"")</f>
        <v/>
      </c>
      <c r="L320" s="11">
        <f>IF(AND(ISNUMBER(H320),ISNUMBER(I320),H320&gt;0,ISNUMBER($B$94)),$B$94+3*SQRT($B$94*(1-$B$94)/H320),"")</f>
        <v/>
      </c>
      <c r="M320" s="13">
        <f>IF(AND(ISNUMBER(J320),ISNUMBER(K320),ISNUMBER(L320)),IF(J320&gt;L320,"boven UCL",IF(J320&lt;K320,"onder LCL","")),"")</f>
        <v/>
      </c>
      <c r="O320" t="n">
        <v>214</v>
      </c>
      <c r="P320" s="7" t="n"/>
      <c r="Q320" s="7" t="n"/>
      <c r="R320" s="11">
        <f>IF(AND(ISNUMBER(P320),ISNUMBER(Q320),P320&gt;0,ISNUMBER($B$100)),Q320/P320,"")</f>
        <v/>
      </c>
      <c r="S320" s="11">
        <f>IF(AND(ISNUMBER(P320),ISNUMBER(Q320),P320&gt;0,ISNUMBER($B$100)),MAX(0,$B$100-3*SQRT($B$100/P320)),"")</f>
        <v/>
      </c>
      <c r="T320" s="11">
        <f>IF(AND(ISNUMBER(P320),ISNUMBER(Q320),P320&gt;0,ISNUMBER($B$100)),$B$100+3*SQRT($B$100/P320),"")</f>
        <v/>
      </c>
      <c r="U320" s="13">
        <f>IF(AND(ISNUMBER(R320),ISNUMBER(S320),ISNUMBER(T320)),IF(R320&gt;T320,"boven UCL",IF(R320&lt;S320,"onder LCL","")),"")</f>
        <v/>
      </c>
    </row>
    <row r="321">
      <c r="A321" t="n">
        <v>215</v>
      </c>
      <c r="B321" s="7" t="n"/>
      <c r="C321" s="11">
        <f>IF(AND(ISNUMBER(B321),ISNUMBER(B320)),ABS(B321-B320),"")</f>
        <v/>
      </c>
      <c r="D321" s="13">
        <f>IF(AND(ISNUMBER(B321),ISNUMBER($B$88),ISNUMBER($D$88)),IF(B321&gt;$D$88,"boven UCL",IF(B321&lt;$B$88,"onder LCL","")),"")</f>
        <v/>
      </c>
      <c r="E321" s="13">
        <f>IF(AND(ISNUMBER(C321),ISNUMBER($B$89),ISNUMBER($D$89)),IF(C321&gt;$D$89,"boven UCL",IF(C321&lt;$B$89,"onder LCL","")),"")</f>
        <v/>
      </c>
      <c r="G321" t="n">
        <v>215</v>
      </c>
      <c r="H321" s="7" t="n"/>
      <c r="I321" s="7" t="n"/>
      <c r="J321" s="11">
        <f>IF(AND(ISNUMBER(H321),ISNUMBER(I321),H321&gt;0,ISNUMBER($B$94)),I321/H321,"")</f>
        <v/>
      </c>
      <c r="K321" s="11">
        <f>IF(AND(ISNUMBER(H321),ISNUMBER(I321),H321&gt;0,ISNUMBER($B$94)),MAX(0,$B$94-3*SQRT($B$94*(1-$B$94)/H321)),"")</f>
        <v/>
      </c>
      <c r="L321" s="11">
        <f>IF(AND(ISNUMBER(H321),ISNUMBER(I321),H321&gt;0,ISNUMBER($B$94)),$B$94+3*SQRT($B$94*(1-$B$94)/H321),"")</f>
        <v/>
      </c>
      <c r="M321" s="13">
        <f>IF(AND(ISNUMBER(J321),ISNUMBER(K321),ISNUMBER(L321)),IF(J321&gt;L321,"boven UCL",IF(J321&lt;K321,"onder LCL","")),"")</f>
        <v/>
      </c>
      <c r="O321" t="n">
        <v>215</v>
      </c>
      <c r="P321" s="7" t="n"/>
      <c r="Q321" s="7" t="n"/>
      <c r="R321" s="11">
        <f>IF(AND(ISNUMBER(P321),ISNUMBER(Q321),P321&gt;0,ISNUMBER($B$100)),Q321/P321,"")</f>
        <v/>
      </c>
      <c r="S321" s="11">
        <f>IF(AND(ISNUMBER(P321),ISNUMBER(Q321),P321&gt;0,ISNUMBER($B$100)),MAX(0,$B$100-3*SQRT($B$100/P321)),"")</f>
        <v/>
      </c>
      <c r="T321" s="11">
        <f>IF(AND(ISNUMBER(P321),ISNUMBER(Q321),P321&gt;0,ISNUMBER($B$100)),$B$100+3*SQRT($B$100/P321),"")</f>
        <v/>
      </c>
      <c r="U321" s="13">
        <f>IF(AND(ISNUMBER(R321),ISNUMBER(S321),ISNUMBER(T321)),IF(R321&gt;T321,"boven UCL",IF(R321&lt;S321,"onder LCL","")),"")</f>
        <v/>
      </c>
    </row>
    <row r="322">
      <c r="A322" t="n">
        <v>216</v>
      </c>
      <c r="B322" s="7" t="n"/>
      <c r="C322" s="11">
        <f>IF(AND(ISNUMBER(B322),ISNUMBER(B321)),ABS(B322-B321),"")</f>
        <v/>
      </c>
      <c r="D322" s="13">
        <f>IF(AND(ISNUMBER(B322),ISNUMBER($B$88),ISNUMBER($D$88)),IF(B322&gt;$D$88,"boven UCL",IF(B322&lt;$B$88,"onder LCL","")),"")</f>
        <v/>
      </c>
      <c r="E322" s="13">
        <f>IF(AND(ISNUMBER(C322),ISNUMBER($B$89),ISNUMBER($D$89)),IF(C322&gt;$D$89,"boven UCL",IF(C322&lt;$B$89,"onder LCL","")),"")</f>
        <v/>
      </c>
      <c r="G322" t="n">
        <v>216</v>
      </c>
      <c r="H322" s="7" t="n"/>
      <c r="I322" s="7" t="n"/>
      <c r="J322" s="11">
        <f>IF(AND(ISNUMBER(H322),ISNUMBER(I322),H322&gt;0,ISNUMBER($B$94)),I322/H322,"")</f>
        <v/>
      </c>
      <c r="K322" s="11">
        <f>IF(AND(ISNUMBER(H322),ISNUMBER(I322),H322&gt;0,ISNUMBER($B$94)),MAX(0,$B$94-3*SQRT($B$94*(1-$B$94)/H322)),"")</f>
        <v/>
      </c>
      <c r="L322" s="11">
        <f>IF(AND(ISNUMBER(H322),ISNUMBER(I322),H322&gt;0,ISNUMBER($B$94)),$B$94+3*SQRT($B$94*(1-$B$94)/H322),"")</f>
        <v/>
      </c>
      <c r="M322" s="13">
        <f>IF(AND(ISNUMBER(J322),ISNUMBER(K322),ISNUMBER(L322)),IF(J322&gt;L322,"boven UCL",IF(J322&lt;K322,"onder LCL","")),"")</f>
        <v/>
      </c>
      <c r="O322" t="n">
        <v>216</v>
      </c>
      <c r="P322" s="7" t="n"/>
      <c r="Q322" s="7" t="n"/>
      <c r="R322" s="11">
        <f>IF(AND(ISNUMBER(P322),ISNUMBER(Q322),P322&gt;0,ISNUMBER($B$100)),Q322/P322,"")</f>
        <v/>
      </c>
      <c r="S322" s="11">
        <f>IF(AND(ISNUMBER(P322),ISNUMBER(Q322),P322&gt;0,ISNUMBER($B$100)),MAX(0,$B$100-3*SQRT($B$100/P322)),"")</f>
        <v/>
      </c>
      <c r="T322" s="11">
        <f>IF(AND(ISNUMBER(P322),ISNUMBER(Q322),P322&gt;0,ISNUMBER($B$100)),$B$100+3*SQRT($B$100/P322),"")</f>
        <v/>
      </c>
      <c r="U322" s="13">
        <f>IF(AND(ISNUMBER(R322),ISNUMBER(S322),ISNUMBER(T322)),IF(R322&gt;T322,"boven UCL",IF(R322&lt;S322,"onder LCL","")),"")</f>
        <v/>
      </c>
    </row>
    <row r="323">
      <c r="A323" t="n">
        <v>217</v>
      </c>
      <c r="B323" s="7" t="n"/>
      <c r="C323" s="11">
        <f>IF(AND(ISNUMBER(B323),ISNUMBER(B322)),ABS(B323-B322),"")</f>
        <v/>
      </c>
      <c r="D323" s="13">
        <f>IF(AND(ISNUMBER(B323),ISNUMBER($B$88),ISNUMBER($D$88)),IF(B323&gt;$D$88,"boven UCL",IF(B323&lt;$B$88,"onder LCL","")),"")</f>
        <v/>
      </c>
      <c r="E323" s="13">
        <f>IF(AND(ISNUMBER(C323),ISNUMBER($B$89),ISNUMBER($D$89)),IF(C323&gt;$D$89,"boven UCL",IF(C323&lt;$B$89,"onder LCL","")),"")</f>
        <v/>
      </c>
      <c r="G323" t="n">
        <v>217</v>
      </c>
      <c r="H323" s="7" t="n"/>
      <c r="I323" s="7" t="n"/>
      <c r="J323" s="11">
        <f>IF(AND(ISNUMBER(H323),ISNUMBER(I323),H323&gt;0,ISNUMBER($B$94)),I323/H323,"")</f>
        <v/>
      </c>
      <c r="K323" s="11">
        <f>IF(AND(ISNUMBER(H323),ISNUMBER(I323),H323&gt;0,ISNUMBER($B$94)),MAX(0,$B$94-3*SQRT($B$94*(1-$B$94)/H323)),"")</f>
        <v/>
      </c>
      <c r="L323" s="11">
        <f>IF(AND(ISNUMBER(H323),ISNUMBER(I323),H323&gt;0,ISNUMBER($B$94)),$B$94+3*SQRT($B$94*(1-$B$94)/H323),"")</f>
        <v/>
      </c>
      <c r="M323" s="13">
        <f>IF(AND(ISNUMBER(J323),ISNUMBER(K323),ISNUMBER(L323)),IF(J323&gt;L323,"boven UCL",IF(J323&lt;K323,"onder LCL","")),"")</f>
        <v/>
      </c>
      <c r="O323" t="n">
        <v>217</v>
      </c>
      <c r="P323" s="7" t="n"/>
      <c r="Q323" s="7" t="n"/>
      <c r="R323" s="11">
        <f>IF(AND(ISNUMBER(P323),ISNUMBER(Q323),P323&gt;0,ISNUMBER($B$100)),Q323/P323,"")</f>
        <v/>
      </c>
      <c r="S323" s="11">
        <f>IF(AND(ISNUMBER(P323),ISNUMBER(Q323),P323&gt;0,ISNUMBER($B$100)),MAX(0,$B$100-3*SQRT($B$100/P323)),"")</f>
        <v/>
      </c>
      <c r="T323" s="11">
        <f>IF(AND(ISNUMBER(P323),ISNUMBER(Q323),P323&gt;0,ISNUMBER($B$100)),$B$100+3*SQRT($B$100/P323),"")</f>
        <v/>
      </c>
      <c r="U323" s="13">
        <f>IF(AND(ISNUMBER(R323),ISNUMBER(S323),ISNUMBER(T323)),IF(R323&gt;T323,"boven UCL",IF(R323&lt;S323,"onder LCL","")),"")</f>
        <v/>
      </c>
    </row>
    <row r="324">
      <c r="A324" t="n">
        <v>218</v>
      </c>
      <c r="B324" s="7" t="n"/>
      <c r="C324" s="11">
        <f>IF(AND(ISNUMBER(B324),ISNUMBER(B323)),ABS(B324-B323),"")</f>
        <v/>
      </c>
      <c r="D324" s="13">
        <f>IF(AND(ISNUMBER(B324),ISNUMBER($B$88),ISNUMBER($D$88)),IF(B324&gt;$D$88,"boven UCL",IF(B324&lt;$B$88,"onder LCL","")),"")</f>
        <v/>
      </c>
      <c r="E324" s="13">
        <f>IF(AND(ISNUMBER(C324),ISNUMBER($B$89),ISNUMBER($D$89)),IF(C324&gt;$D$89,"boven UCL",IF(C324&lt;$B$89,"onder LCL","")),"")</f>
        <v/>
      </c>
      <c r="G324" t="n">
        <v>218</v>
      </c>
      <c r="H324" s="7" t="n"/>
      <c r="I324" s="7" t="n"/>
      <c r="J324" s="11">
        <f>IF(AND(ISNUMBER(H324),ISNUMBER(I324),H324&gt;0,ISNUMBER($B$94)),I324/H324,"")</f>
        <v/>
      </c>
      <c r="K324" s="11">
        <f>IF(AND(ISNUMBER(H324),ISNUMBER(I324),H324&gt;0,ISNUMBER($B$94)),MAX(0,$B$94-3*SQRT($B$94*(1-$B$94)/H324)),"")</f>
        <v/>
      </c>
      <c r="L324" s="11">
        <f>IF(AND(ISNUMBER(H324),ISNUMBER(I324),H324&gt;0,ISNUMBER($B$94)),$B$94+3*SQRT($B$94*(1-$B$94)/H324),"")</f>
        <v/>
      </c>
      <c r="M324" s="13">
        <f>IF(AND(ISNUMBER(J324),ISNUMBER(K324),ISNUMBER(L324)),IF(J324&gt;L324,"boven UCL",IF(J324&lt;K324,"onder LCL","")),"")</f>
        <v/>
      </c>
      <c r="O324" t="n">
        <v>218</v>
      </c>
      <c r="P324" s="7" t="n"/>
      <c r="Q324" s="7" t="n"/>
      <c r="R324" s="11">
        <f>IF(AND(ISNUMBER(P324),ISNUMBER(Q324),P324&gt;0,ISNUMBER($B$100)),Q324/P324,"")</f>
        <v/>
      </c>
      <c r="S324" s="11">
        <f>IF(AND(ISNUMBER(P324),ISNUMBER(Q324),P324&gt;0,ISNUMBER($B$100)),MAX(0,$B$100-3*SQRT($B$100/P324)),"")</f>
        <v/>
      </c>
      <c r="T324" s="11">
        <f>IF(AND(ISNUMBER(P324),ISNUMBER(Q324),P324&gt;0,ISNUMBER($B$100)),$B$100+3*SQRT($B$100/P324),"")</f>
        <v/>
      </c>
      <c r="U324" s="13">
        <f>IF(AND(ISNUMBER(R324),ISNUMBER(S324),ISNUMBER(T324)),IF(R324&gt;T324,"boven UCL",IF(R324&lt;S324,"onder LCL","")),"")</f>
        <v/>
      </c>
    </row>
    <row r="325">
      <c r="A325" t="n">
        <v>219</v>
      </c>
      <c r="B325" s="7" t="n"/>
      <c r="C325" s="11">
        <f>IF(AND(ISNUMBER(B325),ISNUMBER(B324)),ABS(B325-B324),"")</f>
        <v/>
      </c>
      <c r="D325" s="13">
        <f>IF(AND(ISNUMBER(B325),ISNUMBER($B$88),ISNUMBER($D$88)),IF(B325&gt;$D$88,"boven UCL",IF(B325&lt;$B$88,"onder LCL","")),"")</f>
        <v/>
      </c>
      <c r="E325" s="13">
        <f>IF(AND(ISNUMBER(C325),ISNUMBER($B$89),ISNUMBER($D$89)),IF(C325&gt;$D$89,"boven UCL",IF(C325&lt;$B$89,"onder LCL","")),"")</f>
        <v/>
      </c>
      <c r="G325" t="n">
        <v>219</v>
      </c>
      <c r="H325" s="7" t="n"/>
      <c r="I325" s="7" t="n"/>
      <c r="J325" s="11">
        <f>IF(AND(ISNUMBER(H325),ISNUMBER(I325),H325&gt;0,ISNUMBER($B$94)),I325/H325,"")</f>
        <v/>
      </c>
      <c r="K325" s="11">
        <f>IF(AND(ISNUMBER(H325),ISNUMBER(I325),H325&gt;0,ISNUMBER($B$94)),MAX(0,$B$94-3*SQRT($B$94*(1-$B$94)/H325)),"")</f>
        <v/>
      </c>
      <c r="L325" s="11">
        <f>IF(AND(ISNUMBER(H325),ISNUMBER(I325),H325&gt;0,ISNUMBER($B$94)),$B$94+3*SQRT($B$94*(1-$B$94)/H325),"")</f>
        <v/>
      </c>
      <c r="M325" s="13">
        <f>IF(AND(ISNUMBER(J325),ISNUMBER(K325),ISNUMBER(L325)),IF(J325&gt;L325,"boven UCL",IF(J325&lt;K325,"onder LCL","")),"")</f>
        <v/>
      </c>
      <c r="O325" t="n">
        <v>219</v>
      </c>
      <c r="P325" s="7" t="n"/>
      <c r="Q325" s="7" t="n"/>
      <c r="R325" s="11">
        <f>IF(AND(ISNUMBER(P325),ISNUMBER(Q325),P325&gt;0,ISNUMBER($B$100)),Q325/P325,"")</f>
        <v/>
      </c>
      <c r="S325" s="11">
        <f>IF(AND(ISNUMBER(P325),ISNUMBER(Q325),P325&gt;0,ISNUMBER($B$100)),MAX(0,$B$100-3*SQRT($B$100/P325)),"")</f>
        <v/>
      </c>
      <c r="T325" s="11">
        <f>IF(AND(ISNUMBER(P325),ISNUMBER(Q325),P325&gt;0,ISNUMBER($B$100)),$B$100+3*SQRT($B$100/P325),"")</f>
        <v/>
      </c>
      <c r="U325" s="13">
        <f>IF(AND(ISNUMBER(R325),ISNUMBER(S325),ISNUMBER(T325)),IF(R325&gt;T325,"boven UCL",IF(R325&lt;S325,"onder LCL","")),"")</f>
        <v/>
      </c>
    </row>
    <row r="326">
      <c r="A326" t="n">
        <v>220</v>
      </c>
      <c r="B326" s="7" t="n"/>
      <c r="C326" s="11">
        <f>IF(AND(ISNUMBER(B326),ISNUMBER(B325)),ABS(B326-B325),"")</f>
        <v/>
      </c>
      <c r="D326" s="13">
        <f>IF(AND(ISNUMBER(B326),ISNUMBER($B$88),ISNUMBER($D$88)),IF(B326&gt;$D$88,"boven UCL",IF(B326&lt;$B$88,"onder LCL","")),"")</f>
        <v/>
      </c>
      <c r="E326" s="13">
        <f>IF(AND(ISNUMBER(C326),ISNUMBER($B$89),ISNUMBER($D$89)),IF(C326&gt;$D$89,"boven UCL",IF(C326&lt;$B$89,"onder LCL","")),"")</f>
        <v/>
      </c>
      <c r="G326" t="n">
        <v>220</v>
      </c>
      <c r="H326" s="7" t="n"/>
      <c r="I326" s="7" t="n"/>
      <c r="J326" s="11">
        <f>IF(AND(ISNUMBER(H326),ISNUMBER(I326),H326&gt;0,ISNUMBER($B$94)),I326/H326,"")</f>
        <v/>
      </c>
      <c r="K326" s="11">
        <f>IF(AND(ISNUMBER(H326),ISNUMBER(I326),H326&gt;0,ISNUMBER($B$94)),MAX(0,$B$94-3*SQRT($B$94*(1-$B$94)/H326)),"")</f>
        <v/>
      </c>
      <c r="L326" s="11">
        <f>IF(AND(ISNUMBER(H326),ISNUMBER(I326),H326&gt;0,ISNUMBER($B$94)),$B$94+3*SQRT($B$94*(1-$B$94)/H326),"")</f>
        <v/>
      </c>
      <c r="M326" s="13">
        <f>IF(AND(ISNUMBER(J326),ISNUMBER(K326),ISNUMBER(L326)),IF(J326&gt;L326,"boven UCL",IF(J326&lt;K326,"onder LCL","")),"")</f>
        <v/>
      </c>
      <c r="O326" t="n">
        <v>220</v>
      </c>
      <c r="P326" s="7" t="n"/>
      <c r="Q326" s="7" t="n"/>
      <c r="R326" s="11">
        <f>IF(AND(ISNUMBER(P326),ISNUMBER(Q326),P326&gt;0,ISNUMBER($B$100)),Q326/P326,"")</f>
        <v/>
      </c>
      <c r="S326" s="11">
        <f>IF(AND(ISNUMBER(P326),ISNUMBER(Q326),P326&gt;0,ISNUMBER($B$100)),MAX(0,$B$100-3*SQRT($B$100/P326)),"")</f>
        <v/>
      </c>
      <c r="T326" s="11">
        <f>IF(AND(ISNUMBER(P326),ISNUMBER(Q326),P326&gt;0,ISNUMBER($B$100)),$B$100+3*SQRT($B$100/P326),"")</f>
        <v/>
      </c>
      <c r="U326" s="13">
        <f>IF(AND(ISNUMBER(R326),ISNUMBER(S326),ISNUMBER(T326)),IF(R326&gt;T326,"boven UCL",IF(R326&lt;S326,"onder LCL","")),"")</f>
        <v/>
      </c>
    </row>
    <row r="327">
      <c r="A327" t="n">
        <v>221</v>
      </c>
      <c r="B327" s="7" t="n"/>
      <c r="C327" s="11">
        <f>IF(AND(ISNUMBER(B327),ISNUMBER(B326)),ABS(B327-B326),"")</f>
        <v/>
      </c>
      <c r="D327" s="13">
        <f>IF(AND(ISNUMBER(B327),ISNUMBER($B$88),ISNUMBER($D$88)),IF(B327&gt;$D$88,"boven UCL",IF(B327&lt;$B$88,"onder LCL","")),"")</f>
        <v/>
      </c>
      <c r="E327" s="13">
        <f>IF(AND(ISNUMBER(C327),ISNUMBER($B$89),ISNUMBER($D$89)),IF(C327&gt;$D$89,"boven UCL",IF(C327&lt;$B$89,"onder LCL","")),"")</f>
        <v/>
      </c>
      <c r="G327" t="n">
        <v>221</v>
      </c>
      <c r="H327" s="7" t="n"/>
      <c r="I327" s="7" t="n"/>
      <c r="J327" s="11">
        <f>IF(AND(ISNUMBER(H327),ISNUMBER(I327),H327&gt;0,ISNUMBER($B$94)),I327/H327,"")</f>
        <v/>
      </c>
      <c r="K327" s="11">
        <f>IF(AND(ISNUMBER(H327),ISNUMBER(I327),H327&gt;0,ISNUMBER($B$94)),MAX(0,$B$94-3*SQRT($B$94*(1-$B$94)/H327)),"")</f>
        <v/>
      </c>
      <c r="L327" s="11">
        <f>IF(AND(ISNUMBER(H327),ISNUMBER(I327),H327&gt;0,ISNUMBER($B$94)),$B$94+3*SQRT($B$94*(1-$B$94)/H327),"")</f>
        <v/>
      </c>
      <c r="M327" s="13">
        <f>IF(AND(ISNUMBER(J327),ISNUMBER(K327),ISNUMBER(L327)),IF(J327&gt;L327,"boven UCL",IF(J327&lt;K327,"onder LCL","")),"")</f>
        <v/>
      </c>
      <c r="O327" t="n">
        <v>221</v>
      </c>
      <c r="P327" s="7" t="n"/>
      <c r="Q327" s="7" t="n"/>
      <c r="R327" s="11">
        <f>IF(AND(ISNUMBER(P327),ISNUMBER(Q327),P327&gt;0,ISNUMBER($B$100)),Q327/P327,"")</f>
        <v/>
      </c>
      <c r="S327" s="11">
        <f>IF(AND(ISNUMBER(P327),ISNUMBER(Q327),P327&gt;0,ISNUMBER($B$100)),MAX(0,$B$100-3*SQRT($B$100/P327)),"")</f>
        <v/>
      </c>
      <c r="T327" s="11">
        <f>IF(AND(ISNUMBER(P327),ISNUMBER(Q327),P327&gt;0,ISNUMBER($B$100)),$B$100+3*SQRT($B$100/P327),"")</f>
        <v/>
      </c>
      <c r="U327" s="13">
        <f>IF(AND(ISNUMBER(R327),ISNUMBER(S327),ISNUMBER(T327)),IF(R327&gt;T327,"boven UCL",IF(R327&lt;S327,"onder LCL","")),"")</f>
        <v/>
      </c>
    </row>
    <row r="328">
      <c r="A328" t="n">
        <v>222</v>
      </c>
      <c r="B328" s="7" t="n"/>
      <c r="C328" s="11">
        <f>IF(AND(ISNUMBER(B328),ISNUMBER(B327)),ABS(B328-B327),"")</f>
        <v/>
      </c>
      <c r="D328" s="13">
        <f>IF(AND(ISNUMBER(B328),ISNUMBER($B$88),ISNUMBER($D$88)),IF(B328&gt;$D$88,"boven UCL",IF(B328&lt;$B$88,"onder LCL","")),"")</f>
        <v/>
      </c>
      <c r="E328" s="13">
        <f>IF(AND(ISNUMBER(C328),ISNUMBER($B$89),ISNUMBER($D$89)),IF(C328&gt;$D$89,"boven UCL",IF(C328&lt;$B$89,"onder LCL","")),"")</f>
        <v/>
      </c>
      <c r="G328" t="n">
        <v>222</v>
      </c>
      <c r="H328" s="7" t="n"/>
      <c r="I328" s="7" t="n"/>
      <c r="J328" s="11">
        <f>IF(AND(ISNUMBER(H328),ISNUMBER(I328),H328&gt;0,ISNUMBER($B$94)),I328/H328,"")</f>
        <v/>
      </c>
      <c r="K328" s="11">
        <f>IF(AND(ISNUMBER(H328),ISNUMBER(I328),H328&gt;0,ISNUMBER($B$94)),MAX(0,$B$94-3*SQRT($B$94*(1-$B$94)/H328)),"")</f>
        <v/>
      </c>
      <c r="L328" s="11">
        <f>IF(AND(ISNUMBER(H328),ISNUMBER(I328),H328&gt;0,ISNUMBER($B$94)),$B$94+3*SQRT($B$94*(1-$B$94)/H328),"")</f>
        <v/>
      </c>
      <c r="M328" s="13">
        <f>IF(AND(ISNUMBER(J328),ISNUMBER(K328),ISNUMBER(L328)),IF(J328&gt;L328,"boven UCL",IF(J328&lt;K328,"onder LCL","")),"")</f>
        <v/>
      </c>
      <c r="O328" t="n">
        <v>222</v>
      </c>
      <c r="P328" s="7" t="n"/>
      <c r="Q328" s="7" t="n"/>
      <c r="R328" s="11">
        <f>IF(AND(ISNUMBER(P328),ISNUMBER(Q328),P328&gt;0,ISNUMBER($B$100)),Q328/P328,"")</f>
        <v/>
      </c>
      <c r="S328" s="11">
        <f>IF(AND(ISNUMBER(P328),ISNUMBER(Q328),P328&gt;0,ISNUMBER($B$100)),MAX(0,$B$100-3*SQRT($B$100/P328)),"")</f>
        <v/>
      </c>
      <c r="T328" s="11">
        <f>IF(AND(ISNUMBER(P328),ISNUMBER(Q328),P328&gt;0,ISNUMBER($B$100)),$B$100+3*SQRT($B$100/P328),"")</f>
        <v/>
      </c>
      <c r="U328" s="13">
        <f>IF(AND(ISNUMBER(R328),ISNUMBER(S328),ISNUMBER(T328)),IF(R328&gt;T328,"boven UCL",IF(R328&lt;S328,"onder LCL","")),"")</f>
        <v/>
      </c>
    </row>
    <row r="329">
      <c r="A329" t="n">
        <v>223</v>
      </c>
      <c r="B329" s="7" t="n"/>
      <c r="C329" s="11">
        <f>IF(AND(ISNUMBER(B329),ISNUMBER(B328)),ABS(B329-B328),"")</f>
        <v/>
      </c>
      <c r="D329" s="13">
        <f>IF(AND(ISNUMBER(B329),ISNUMBER($B$88),ISNUMBER($D$88)),IF(B329&gt;$D$88,"boven UCL",IF(B329&lt;$B$88,"onder LCL","")),"")</f>
        <v/>
      </c>
      <c r="E329" s="13">
        <f>IF(AND(ISNUMBER(C329),ISNUMBER($B$89),ISNUMBER($D$89)),IF(C329&gt;$D$89,"boven UCL",IF(C329&lt;$B$89,"onder LCL","")),"")</f>
        <v/>
      </c>
      <c r="G329" t="n">
        <v>223</v>
      </c>
      <c r="H329" s="7" t="n"/>
      <c r="I329" s="7" t="n"/>
      <c r="J329" s="11">
        <f>IF(AND(ISNUMBER(H329),ISNUMBER(I329),H329&gt;0,ISNUMBER($B$94)),I329/H329,"")</f>
        <v/>
      </c>
      <c r="K329" s="11">
        <f>IF(AND(ISNUMBER(H329),ISNUMBER(I329),H329&gt;0,ISNUMBER($B$94)),MAX(0,$B$94-3*SQRT($B$94*(1-$B$94)/H329)),"")</f>
        <v/>
      </c>
      <c r="L329" s="11">
        <f>IF(AND(ISNUMBER(H329),ISNUMBER(I329),H329&gt;0,ISNUMBER($B$94)),$B$94+3*SQRT($B$94*(1-$B$94)/H329),"")</f>
        <v/>
      </c>
      <c r="M329" s="13">
        <f>IF(AND(ISNUMBER(J329),ISNUMBER(K329),ISNUMBER(L329)),IF(J329&gt;L329,"boven UCL",IF(J329&lt;K329,"onder LCL","")),"")</f>
        <v/>
      </c>
      <c r="O329" t="n">
        <v>223</v>
      </c>
      <c r="P329" s="7" t="n"/>
      <c r="Q329" s="7" t="n"/>
      <c r="R329" s="11">
        <f>IF(AND(ISNUMBER(P329),ISNUMBER(Q329),P329&gt;0,ISNUMBER($B$100)),Q329/P329,"")</f>
        <v/>
      </c>
      <c r="S329" s="11">
        <f>IF(AND(ISNUMBER(P329),ISNUMBER(Q329),P329&gt;0,ISNUMBER($B$100)),MAX(0,$B$100-3*SQRT($B$100/P329)),"")</f>
        <v/>
      </c>
      <c r="T329" s="11">
        <f>IF(AND(ISNUMBER(P329),ISNUMBER(Q329),P329&gt;0,ISNUMBER($B$100)),$B$100+3*SQRT($B$100/P329),"")</f>
        <v/>
      </c>
      <c r="U329" s="13">
        <f>IF(AND(ISNUMBER(R329),ISNUMBER(S329),ISNUMBER(T329)),IF(R329&gt;T329,"boven UCL",IF(R329&lt;S329,"onder LCL","")),"")</f>
        <v/>
      </c>
    </row>
    <row r="330">
      <c r="A330" t="n">
        <v>224</v>
      </c>
      <c r="B330" s="7" t="n"/>
      <c r="C330" s="11">
        <f>IF(AND(ISNUMBER(B330),ISNUMBER(B329)),ABS(B330-B329),"")</f>
        <v/>
      </c>
      <c r="D330" s="13">
        <f>IF(AND(ISNUMBER(B330),ISNUMBER($B$88),ISNUMBER($D$88)),IF(B330&gt;$D$88,"boven UCL",IF(B330&lt;$B$88,"onder LCL","")),"")</f>
        <v/>
      </c>
      <c r="E330" s="13">
        <f>IF(AND(ISNUMBER(C330),ISNUMBER($B$89),ISNUMBER($D$89)),IF(C330&gt;$D$89,"boven UCL",IF(C330&lt;$B$89,"onder LCL","")),"")</f>
        <v/>
      </c>
      <c r="G330" t="n">
        <v>224</v>
      </c>
      <c r="H330" s="7" t="n"/>
      <c r="I330" s="7" t="n"/>
      <c r="J330" s="11">
        <f>IF(AND(ISNUMBER(H330),ISNUMBER(I330),H330&gt;0,ISNUMBER($B$94)),I330/H330,"")</f>
        <v/>
      </c>
      <c r="K330" s="11">
        <f>IF(AND(ISNUMBER(H330),ISNUMBER(I330),H330&gt;0,ISNUMBER($B$94)),MAX(0,$B$94-3*SQRT($B$94*(1-$B$94)/H330)),"")</f>
        <v/>
      </c>
      <c r="L330" s="11">
        <f>IF(AND(ISNUMBER(H330),ISNUMBER(I330),H330&gt;0,ISNUMBER($B$94)),$B$94+3*SQRT($B$94*(1-$B$94)/H330),"")</f>
        <v/>
      </c>
      <c r="M330" s="13">
        <f>IF(AND(ISNUMBER(J330),ISNUMBER(K330),ISNUMBER(L330)),IF(J330&gt;L330,"boven UCL",IF(J330&lt;K330,"onder LCL","")),"")</f>
        <v/>
      </c>
      <c r="O330" t="n">
        <v>224</v>
      </c>
      <c r="P330" s="7" t="n"/>
      <c r="Q330" s="7" t="n"/>
      <c r="R330" s="11">
        <f>IF(AND(ISNUMBER(P330),ISNUMBER(Q330),P330&gt;0,ISNUMBER($B$100)),Q330/P330,"")</f>
        <v/>
      </c>
      <c r="S330" s="11">
        <f>IF(AND(ISNUMBER(P330),ISNUMBER(Q330),P330&gt;0,ISNUMBER($B$100)),MAX(0,$B$100-3*SQRT($B$100/P330)),"")</f>
        <v/>
      </c>
      <c r="T330" s="11">
        <f>IF(AND(ISNUMBER(P330),ISNUMBER(Q330),P330&gt;0,ISNUMBER($B$100)),$B$100+3*SQRT($B$100/P330),"")</f>
        <v/>
      </c>
      <c r="U330" s="13">
        <f>IF(AND(ISNUMBER(R330),ISNUMBER(S330),ISNUMBER(T330)),IF(R330&gt;T330,"boven UCL",IF(R330&lt;S330,"onder LCL","")),"")</f>
        <v/>
      </c>
    </row>
    <row r="331">
      <c r="A331" t="n">
        <v>225</v>
      </c>
      <c r="B331" s="7" t="n"/>
      <c r="C331" s="11">
        <f>IF(AND(ISNUMBER(B331),ISNUMBER(B330)),ABS(B331-B330),"")</f>
        <v/>
      </c>
      <c r="D331" s="13">
        <f>IF(AND(ISNUMBER(B331),ISNUMBER($B$88),ISNUMBER($D$88)),IF(B331&gt;$D$88,"boven UCL",IF(B331&lt;$B$88,"onder LCL","")),"")</f>
        <v/>
      </c>
      <c r="E331" s="13">
        <f>IF(AND(ISNUMBER(C331),ISNUMBER($B$89),ISNUMBER($D$89)),IF(C331&gt;$D$89,"boven UCL",IF(C331&lt;$B$89,"onder LCL","")),"")</f>
        <v/>
      </c>
      <c r="G331" t="n">
        <v>225</v>
      </c>
      <c r="H331" s="7" t="n"/>
      <c r="I331" s="7" t="n"/>
      <c r="J331" s="11">
        <f>IF(AND(ISNUMBER(H331),ISNUMBER(I331),H331&gt;0,ISNUMBER($B$94)),I331/H331,"")</f>
        <v/>
      </c>
      <c r="K331" s="11">
        <f>IF(AND(ISNUMBER(H331),ISNUMBER(I331),H331&gt;0,ISNUMBER($B$94)),MAX(0,$B$94-3*SQRT($B$94*(1-$B$94)/H331)),"")</f>
        <v/>
      </c>
      <c r="L331" s="11">
        <f>IF(AND(ISNUMBER(H331),ISNUMBER(I331),H331&gt;0,ISNUMBER($B$94)),$B$94+3*SQRT($B$94*(1-$B$94)/H331),"")</f>
        <v/>
      </c>
      <c r="M331" s="13">
        <f>IF(AND(ISNUMBER(J331),ISNUMBER(K331),ISNUMBER(L331)),IF(J331&gt;L331,"boven UCL",IF(J331&lt;K331,"onder LCL","")),"")</f>
        <v/>
      </c>
      <c r="O331" t="n">
        <v>225</v>
      </c>
      <c r="P331" s="7" t="n"/>
      <c r="Q331" s="7" t="n"/>
      <c r="R331" s="11">
        <f>IF(AND(ISNUMBER(P331),ISNUMBER(Q331),P331&gt;0,ISNUMBER($B$100)),Q331/P331,"")</f>
        <v/>
      </c>
      <c r="S331" s="11">
        <f>IF(AND(ISNUMBER(P331),ISNUMBER(Q331),P331&gt;0,ISNUMBER($B$100)),MAX(0,$B$100-3*SQRT($B$100/P331)),"")</f>
        <v/>
      </c>
      <c r="T331" s="11">
        <f>IF(AND(ISNUMBER(P331),ISNUMBER(Q331),P331&gt;0,ISNUMBER($B$100)),$B$100+3*SQRT($B$100/P331),"")</f>
        <v/>
      </c>
      <c r="U331" s="13">
        <f>IF(AND(ISNUMBER(R331),ISNUMBER(S331),ISNUMBER(T331)),IF(R331&gt;T331,"boven UCL",IF(R331&lt;S331,"onder LCL","")),"")</f>
        <v/>
      </c>
    </row>
    <row r="332">
      <c r="A332" t="n">
        <v>226</v>
      </c>
      <c r="B332" s="7" t="n"/>
      <c r="C332" s="11">
        <f>IF(AND(ISNUMBER(B332),ISNUMBER(B331)),ABS(B332-B331),"")</f>
        <v/>
      </c>
      <c r="D332" s="13">
        <f>IF(AND(ISNUMBER(B332),ISNUMBER($B$88),ISNUMBER($D$88)),IF(B332&gt;$D$88,"boven UCL",IF(B332&lt;$B$88,"onder LCL","")),"")</f>
        <v/>
      </c>
      <c r="E332" s="13">
        <f>IF(AND(ISNUMBER(C332),ISNUMBER($B$89),ISNUMBER($D$89)),IF(C332&gt;$D$89,"boven UCL",IF(C332&lt;$B$89,"onder LCL","")),"")</f>
        <v/>
      </c>
      <c r="G332" t="n">
        <v>226</v>
      </c>
      <c r="H332" s="7" t="n"/>
      <c r="I332" s="7" t="n"/>
      <c r="J332" s="11">
        <f>IF(AND(ISNUMBER(H332),ISNUMBER(I332),H332&gt;0,ISNUMBER($B$94)),I332/H332,"")</f>
        <v/>
      </c>
      <c r="K332" s="11">
        <f>IF(AND(ISNUMBER(H332),ISNUMBER(I332),H332&gt;0,ISNUMBER($B$94)),MAX(0,$B$94-3*SQRT($B$94*(1-$B$94)/H332)),"")</f>
        <v/>
      </c>
      <c r="L332" s="11">
        <f>IF(AND(ISNUMBER(H332),ISNUMBER(I332),H332&gt;0,ISNUMBER($B$94)),$B$94+3*SQRT($B$94*(1-$B$94)/H332),"")</f>
        <v/>
      </c>
      <c r="M332" s="13">
        <f>IF(AND(ISNUMBER(J332),ISNUMBER(K332),ISNUMBER(L332)),IF(J332&gt;L332,"boven UCL",IF(J332&lt;K332,"onder LCL","")),"")</f>
        <v/>
      </c>
      <c r="O332" t="n">
        <v>226</v>
      </c>
      <c r="P332" s="7" t="n"/>
      <c r="Q332" s="7" t="n"/>
      <c r="R332" s="11">
        <f>IF(AND(ISNUMBER(P332),ISNUMBER(Q332),P332&gt;0,ISNUMBER($B$100)),Q332/P332,"")</f>
        <v/>
      </c>
      <c r="S332" s="11">
        <f>IF(AND(ISNUMBER(P332),ISNUMBER(Q332),P332&gt;0,ISNUMBER($B$100)),MAX(0,$B$100-3*SQRT($B$100/P332)),"")</f>
        <v/>
      </c>
      <c r="T332" s="11">
        <f>IF(AND(ISNUMBER(P332),ISNUMBER(Q332),P332&gt;0,ISNUMBER($B$100)),$B$100+3*SQRT($B$100/P332),"")</f>
        <v/>
      </c>
      <c r="U332" s="13">
        <f>IF(AND(ISNUMBER(R332),ISNUMBER(S332),ISNUMBER(T332)),IF(R332&gt;T332,"boven UCL",IF(R332&lt;S332,"onder LCL","")),"")</f>
        <v/>
      </c>
    </row>
    <row r="333">
      <c r="A333" t="n">
        <v>227</v>
      </c>
      <c r="B333" s="7" t="n"/>
      <c r="C333" s="11">
        <f>IF(AND(ISNUMBER(B333),ISNUMBER(B332)),ABS(B333-B332),"")</f>
        <v/>
      </c>
      <c r="D333" s="13">
        <f>IF(AND(ISNUMBER(B333),ISNUMBER($B$88),ISNUMBER($D$88)),IF(B333&gt;$D$88,"boven UCL",IF(B333&lt;$B$88,"onder LCL","")),"")</f>
        <v/>
      </c>
      <c r="E333" s="13">
        <f>IF(AND(ISNUMBER(C333),ISNUMBER($B$89),ISNUMBER($D$89)),IF(C333&gt;$D$89,"boven UCL",IF(C333&lt;$B$89,"onder LCL","")),"")</f>
        <v/>
      </c>
      <c r="G333" t="n">
        <v>227</v>
      </c>
      <c r="H333" s="7" t="n"/>
      <c r="I333" s="7" t="n"/>
      <c r="J333" s="11">
        <f>IF(AND(ISNUMBER(H333),ISNUMBER(I333),H333&gt;0,ISNUMBER($B$94)),I333/H333,"")</f>
        <v/>
      </c>
      <c r="K333" s="11">
        <f>IF(AND(ISNUMBER(H333),ISNUMBER(I333),H333&gt;0,ISNUMBER($B$94)),MAX(0,$B$94-3*SQRT($B$94*(1-$B$94)/H333)),"")</f>
        <v/>
      </c>
      <c r="L333" s="11">
        <f>IF(AND(ISNUMBER(H333),ISNUMBER(I333),H333&gt;0,ISNUMBER($B$94)),$B$94+3*SQRT($B$94*(1-$B$94)/H333),"")</f>
        <v/>
      </c>
      <c r="M333" s="13">
        <f>IF(AND(ISNUMBER(J333),ISNUMBER(K333),ISNUMBER(L333)),IF(J333&gt;L333,"boven UCL",IF(J333&lt;K333,"onder LCL","")),"")</f>
        <v/>
      </c>
      <c r="O333" t="n">
        <v>227</v>
      </c>
      <c r="P333" s="7" t="n"/>
      <c r="Q333" s="7" t="n"/>
      <c r="R333" s="11">
        <f>IF(AND(ISNUMBER(P333),ISNUMBER(Q333),P333&gt;0,ISNUMBER($B$100)),Q333/P333,"")</f>
        <v/>
      </c>
      <c r="S333" s="11">
        <f>IF(AND(ISNUMBER(P333),ISNUMBER(Q333),P333&gt;0,ISNUMBER($B$100)),MAX(0,$B$100-3*SQRT($B$100/P333)),"")</f>
        <v/>
      </c>
      <c r="T333" s="11">
        <f>IF(AND(ISNUMBER(P333),ISNUMBER(Q333),P333&gt;0,ISNUMBER($B$100)),$B$100+3*SQRT($B$100/P333),"")</f>
        <v/>
      </c>
      <c r="U333" s="13">
        <f>IF(AND(ISNUMBER(R333),ISNUMBER(S333),ISNUMBER(T333)),IF(R333&gt;T333,"boven UCL",IF(R333&lt;S333,"onder LCL","")),"")</f>
        <v/>
      </c>
    </row>
    <row r="334">
      <c r="A334" t="n">
        <v>228</v>
      </c>
      <c r="B334" s="7" t="n"/>
      <c r="C334" s="11">
        <f>IF(AND(ISNUMBER(B334),ISNUMBER(B333)),ABS(B334-B333),"")</f>
        <v/>
      </c>
      <c r="D334" s="13">
        <f>IF(AND(ISNUMBER(B334),ISNUMBER($B$88),ISNUMBER($D$88)),IF(B334&gt;$D$88,"boven UCL",IF(B334&lt;$B$88,"onder LCL","")),"")</f>
        <v/>
      </c>
      <c r="E334" s="13">
        <f>IF(AND(ISNUMBER(C334),ISNUMBER($B$89),ISNUMBER($D$89)),IF(C334&gt;$D$89,"boven UCL",IF(C334&lt;$B$89,"onder LCL","")),"")</f>
        <v/>
      </c>
      <c r="G334" t="n">
        <v>228</v>
      </c>
      <c r="H334" s="7" t="n"/>
      <c r="I334" s="7" t="n"/>
      <c r="J334" s="11">
        <f>IF(AND(ISNUMBER(H334),ISNUMBER(I334),H334&gt;0,ISNUMBER($B$94)),I334/H334,"")</f>
        <v/>
      </c>
      <c r="K334" s="11">
        <f>IF(AND(ISNUMBER(H334),ISNUMBER(I334),H334&gt;0,ISNUMBER($B$94)),MAX(0,$B$94-3*SQRT($B$94*(1-$B$94)/H334)),"")</f>
        <v/>
      </c>
      <c r="L334" s="11">
        <f>IF(AND(ISNUMBER(H334),ISNUMBER(I334),H334&gt;0,ISNUMBER($B$94)),$B$94+3*SQRT($B$94*(1-$B$94)/H334),"")</f>
        <v/>
      </c>
      <c r="M334" s="13">
        <f>IF(AND(ISNUMBER(J334),ISNUMBER(K334),ISNUMBER(L334)),IF(J334&gt;L334,"boven UCL",IF(J334&lt;K334,"onder LCL","")),"")</f>
        <v/>
      </c>
      <c r="O334" t="n">
        <v>228</v>
      </c>
      <c r="P334" s="7" t="n"/>
      <c r="Q334" s="7" t="n"/>
      <c r="R334" s="11">
        <f>IF(AND(ISNUMBER(P334),ISNUMBER(Q334),P334&gt;0,ISNUMBER($B$100)),Q334/P334,"")</f>
        <v/>
      </c>
      <c r="S334" s="11">
        <f>IF(AND(ISNUMBER(P334),ISNUMBER(Q334),P334&gt;0,ISNUMBER($B$100)),MAX(0,$B$100-3*SQRT($B$100/P334)),"")</f>
        <v/>
      </c>
      <c r="T334" s="11">
        <f>IF(AND(ISNUMBER(P334),ISNUMBER(Q334),P334&gt;0,ISNUMBER($B$100)),$B$100+3*SQRT($B$100/P334),"")</f>
        <v/>
      </c>
      <c r="U334" s="13">
        <f>IF(AND(ISNUMBER(R334),ISNUMBER(S334),ISNUMBER(T334)),IF(R334&gt;T334,"boven UCL",IF(R334&lt;S334,"onder LCL","")),"")</f>
        <v/>
      </c>
    </row>
    <row r="335">
      <c r="A335" t="n">
        <v>229</v>
      </c>
      <c r="B335" s="7" t="n"/>
      <c r="C335" s="11">
        <f>IF(AND(ISNUMBER(B335),ISNUMBER(B334)),ABS(B335-B334),"")</f>
        <v/>
      </c>
      <c r="D335" s="13">
        <f>IF(AND(ISNUMBER(B335),ISNUMBER($B$88),ISNUMBER($D$88)),IF(B335&gt;$D$88,"boven UCL",IF(B335&lt;$B$88,"onder LCL","")),"")</f>
        <v/>
      </c>
      <c r="E335" s="13">
        <f>IF(AND(ISNUMBER(C335),ISNUMBER($B$89),ISNUMBER($D$89)),IF(C335&gt;$D$89,"boven UCL",IF(C335&lt;$B$89,"onder LCL","")),"")</f>
        <v/>
      </c>
      <c r="G335" t="n">
        <v>229</v>
      </c>
      <c r="H335" s="7" t="n"/>
      <c r="I335" s="7" t="n"/>
      <c r="J335" s="11">
        <f>IF(AND(ISNUMBER(H335),ISNUMBER(I335),H335&gt;0,ISNUMBER($B$94)),I335/H335,"")</f>
        <v/>
      </c>
      <c r="K335" s="11">
        <f>IF(AND(ISNUMBER(H335),ISNUMBER(I335),H335&gt;0,ISNUMBER($B$94)),MAX(0,$B$94-3*SQRT($B$94*(1-$B$94)/H335)),"")</f>
        <v/>
      </c>
      <c r="L335" s="11">
        <f>IF(AND(ISNUMBER(H335),ISNUMBER(I335),H335&gt;0,ISNUMBER($B$94)),$B$94+3*SQRT($B$94*(1-$B$94)/H335),"")</f>
        <v/>
      </c>
      <c r="M335" s="13">
        <f>IF(AND(ISNUMBER(J335),ISNUMBER(K335),ISNUMBER(L335)),IF(J335&gt;L335,"boven UCL",IF(J335&lt;K335,"onder LCL","")),"")</f>
        <v/>
      </c>
      <c r="O335" t="n">
        <v>229</v>
      </c>
      <c r="P335" s="7" t="n"/>
      <c r="Q335" s="7" t="n"/>
      <c r="R335" s="11">
        <f>IF(AND(ISNUMBER(P335),ISNUMBER(Q335),P335&gt;0,ISNUMBER($B$100)),Q335/P335,"")</f>
        <v/>
      </c>
      <c r="S335" s="11">
        <f>IF(AND(ISNUMBER(P335),ISNUMBER(Q335),P335&gt;0,ISNUMBER($B$100)),MAX(0,$B$100-3*SQRT($B$100/P335)),"")</f>
        <v/>
      </c>
      <c r="T335" s="11">
        <f>IF(AND(ISNUMBER(P335),ISNUMBER(Q335),P335&gt;0,ISNUMBER($B$100)),$B$100+3*SQRT($B$100/P335),"")</f>
        <v/>
      </c>
      <c r="U335" s="13">
        <f>IF(AND(ISNUMBER(R335),ISNUMBER(S335),ISNUMBER(T335)),IF(R335&gt;T335,"boven UCL",IF(R335&lt;S335,"onder LCL","")),"")</f>
        <v/>
      </c>
    </row>
    <row r="336">
      <c r="A336" t="n">
        <v>230</v>
      </c>
      <c r="B336" s="7" t="n"/>
      <c r="C336" s="11">
        <f>IF(AND(ISNUMBER(B336),ISNUMBER(B335)),ABS(B336-B335),"")</f>
        <v/>
      </c>
      <c r="D336" s="13">
        <f>IF(AND(ISNUMBER(B336),ISNUMBER($B$88),ISNUMBER($D$88)),IF(B336&gt;$D$88,"boven UCL",IF(B336&lt;$B$88,"onder LCL","")),"")</f>
        <v/>
      </c>
      <c r="E336" s="13">
        <f>IF(AND(ISNUMBER(C336),ISNUMBER($B$89),ISNUMBER($D$89)),IF(C336&gt;$D$89,"boven UCL",IF(C336&lt;$B$89,"onder LCL","")),"")</f>
        <v/>
      </c>
      <c r="G336" t="n">
        <v>230</v>
      </c>
      <c r="H336" s="7" t="n"/>
      <c r="I336" s="7" t="n"/>
      <c r="J336" s="11">
        <f>IF(AND(ISNUMBER(H336),ISNUMBER(I336),H336&gt;0,ISNUMBER($B$94)),I336/H336,"")</f>
        <v/>
      </c>
      <c r="K336" s="11">
        <f>IF(AND(ISNUMBER(H336),ISNUMBER(I336),H336&gt;0,ISNUMBER($B$94)),MAX(0,$B$94-3*SQRT($B$94*(1-$B$94)/H336)),"")</f>
        <v/>
      </c>
      <c r="L336" s="11">
        <f>IF(AND(ISNUMBER(H336),ISNUMBER(I336),H336&gt;0,ISNUMBER($B$94)),$B$94+3*SQRT($B$94*(1-$B$94)/H336),"")</f>
        <v/>
      </c>
      <c r="M336" s="13">
        <f>IF(AND(ISNUMBER(J336),ISNUMBER(K336),ISNUMBER(L336)),IF(J336&gt;L336,"boven UCL",IF(J336&lt;K336,"onder LCL","")),"")</f>
        <v/>
      </c>
      <c r="O336" t="n">
        <v>230</v>
      </c>
      <c r="P336" s="7" t="n"/>
      <c r="Q336" s="7" t="n"/>
      <c r="R336" s="11">
        <f>IF(AND(ISNUMBER(P336),ISNUMBER(Q336),P336&gt;0,ISNUMBER($B$100)),Q336/P336,"")</f>
        <v/>
      </c>
      <c r="S336" s="11">
        <f>IF(AND(ISNUMBER(P336),ISNUMBER(Q336),P336&gt;0,ISNUMBER($B$100)),MAX(0,$B$100-3*SQRT($B$100/P336)),"")</f>
        <v/>
      </c>
      <c r="T336" s="11">
        <f>IF(AND(ISNUMBER(P336),ISNUMBER(Q336),P336&gt;0,ISNUMBER($B$100)),$B$100+3*SQRT($B$100/P336),"")</f>
        <v/>
      </c>
      <c r="U336" s="13">
        <f>IF(AND(ISNUMBER(R336),ISNUMBER(S336),ISNUMBER(T336)),IF(R336&gt;T336,"boven UCL",IF(R336&lt;S336,"onder LCL","")),"")</f>
        <v/>
      </c>
    </row>
    <row r="337">
      <c r="A337" t="n">
        <v>231</v>
      </c>
      <c r="B337" s="7" t="n"/>
      <c r="C337" s="11">
        <f>IF(AND(ISNUMBER(B337),ISNUMBER(B336)),ABS(B337-B336),"")</f>
        <v/>
      </c>
      <c r="D337" s="13">
        <f>IF(AND(ISNUMBER(B337),ISNUMBER($B$88),ISNUMBER($D$88)),IF(B337&gt;$D$88,"boven UCL",IF(B337&lt;$B$88,"onder LCL","")),"")</f>
        <v/>
      </c>
      <c r="E337" s="13">
        <f>IF(AND(ISNUMBER(C337),ISNUMBER($B$89),ISNUMBER($D$89)),IF(C337&gt;$D$89,"boven UCL",IF(C337&lt;$B$89,"onder LCL","")),"")</f>
        <v/>
      </c>
      <c r="G337" t="n">
        <v>231</v>
      </c>
      <c r="H337" s="7" t="n"/>
      <c r="I337" s="7" t="n"/>
      <c r="J337" s="11">
        <f>IF(AND(ISNUMBER(H337),ISNUMBER(I337),H337&gt;0,ISNUMBER($B$94)),I337/H337,"")</f>
        <v/>
      </c>
      <c r="K337" s="11">
        <f>IF(AND(ISNUMBER(H337),ISNUMBER(I337),H337&gt;0,ISNUMBER($B$94)),MAX(0,$B$94-3*SQRT($B$94*(1-$B$94)/H337)),"")</f>
        <v/>
      </c>
      <c r="L337" s="11">
        <f>IF(AND(ISNUMBER(H337),ISNUMBER(I337),H337&gt;0,ISNUMBER($B$94)),$B$94+3*SQRT($B$94*(1-$B$94)/H337),"")</f>
        <v/>
      </c>
      <c r="M337" s="13">
        <f>IF(AND(ISNUMBER(J337),ISNUMBER(K337),ISNUMBER(L337)),IF(J337&gt;L337,"boven UCL",IF(J337&lt;K337,"onder LCL","")),"")</f>
        <v/>
      </c>
      <c r="O337" t="n">
        <v>231</v>
      </c>
      <c r="P337" s="7" t="n"/>
      <c r="Q337" s="7" t="n"/>
      <c r="R337" s="11">
        <f>IF(AND(ISNUMBER(P337),ISNUMBER(Q337),P337&gt;0,ISNUMBER($B$100)),Q337/P337,"")</f>
        <v/>
      </c>
      <c r="S337" s="11">
        <f>IF(AND(ISNUMBER(P337),ISNUMBER(Q337),P337&gt;0,ISNUMBER($B$100)),MAX(0,$B$100-3*SQRT($B$100/P337)),"")</f>
        <v/>
      </c>
      <c r="T337" s="11">
        <f>IF(AND(ISNUMBER(P337),ISNUMBER(Q337),P337&gt;0,ISNUMBER($B$100)),$B$100+3*SQRT($B$100/P337),"")</f>
        <v/>
      </c>
      <c r="U337" s="13">
        <f>IF(AND(ISNUMBER(R337),ISNUMBER(S337),ISNUMBER(T337)),IF(R337&gt;T337,"boven UCL",IF(R337&lt;S337,"onder LCL","")),"")</f>
        <v/>
      </c>
    </row>
    <row r="338">
      <c r="A338" t="n">
        <v>232</v>
      </c>
      <c r="B338" s="7" t="n"/>
      <c r="C338" s="11">
        <f>IF(AND(ISNUMBER(B338),ISNUMBER(B337)),ABS(B338-B337),"")</f>
        <v/>
      </c>
      <c r="D338" s="13">
        <f>IF(AND(ISNUMBER(B338),ISNUMBER($B$88),ISNUMBER($D$88)),IF(B338&gt;$D$88,"boven UCL",IF(B338&lt;$B$88,"onder LCL","")),"")</f>
        <v/>
      </c>
      <c r="E338" s="13">
        <f>IF(AND(ISNUMBER(C338),ISNUMBER($B$89),ISNUMBER($D$89)),IF(C338&gt;$D$89,"boven UCL",IF(C338&lt;$B$89,"onder LCL","")),"")</f>
        <v/>
      </c>
      <c r="G338" t="n">
        <v>232</v>
      </c>
      <c r="H338" s="7" t="n"/>
      <c r="I338" s="7" t="n"/>
      <c r="J338" s="11">
        <f>IF(AND(ISNUMBER(H338),ISNUMBER(I338),H338&gt;0,ISNUMBER($B$94)),I338/H338,"")</f>
        <v/>
      </c>
      <c r="K338" s="11">
        <f>IF(AND(ISNUMBER(H338),ISNUMBER(I338),H338&gt;0,ISNUMBER($B$94)),MAX(0,$B$94-3*SQRT($B$94*(1-$B$94)/H338)),"")</f>
        <v/>
      </c>
      <c r="L338" s="11">
        <f>IF(AND(ISNUMBER(H338),ISNUMBER(I338),H338&gt;0,ISNUMBER($B$94)),$B$94+3*SQRT($B$94*(1-$B$94)/H338),"")</f>
        <v/>
      </c>
      <c r="M338" s="13">
        <f>IF(AND(ISNUMBER(J338),ISNUMBER(K338),ISNUMBER(L338)),IF(J338&gt;L338,"boven UCL",IF(J338&lt;K338,"onder LCL","")),"")</f>
        <v/>
      </c>
      <c r="O338" t="n">
        <v>232</v>
      </c>
      <c r="P338" s="7" t="n"/>
      <c r="Q338" s="7" t="n"/>
      <c r="R338" s="11">
        <f>IF(AND(ISNUMBER(P338),ISNUMBER(Q338),P338&gt;0,ISNUMBER($B$100)),Q338/P338,"")</f>
        <v/>
      </c>
      <c r="S338" s="11">
        <f>IF(AND(ISNUMBER(P338),ISNUMBER(Q338),P338&gt;0,ISNUMBER($B$100)),MAX(0,$B$100-3*SQRT($B$100/P338)),"")</f>
        <v/>
      </c>
      <c r="T338" s="11">
        <f>IF(AND(ISNUMBER(P338),ISNUMBER(Q338),P338&gt;0,ISNUMBER($B$100)),$B$100+3*SQRT($B$100/P338),"")</f>
        <v/>
      </c>
      <c r="U338" s="13">
        <f>IF(AND(ISNUMBER(R338),ISNUMBER(S338),ISNUMBER(T338)),IF(R338&gt;T338,"boven UCL",IF(R338&lt;S338,"onder LCL","")),"")</f>
        <v/>
      </c>
    </row>
    <row r="339">
      <c r="A339" t="n">
        <v>233</v>
      </c>
      <c r="B339" s="7" t="n"/>
      <c r="C339" s="11">
        <f>IF(AND(ISNUMBER(B339),ISNUMBER(B338)),ABS(B339-B338),"")</f>
        <v/>
      </c>
      <c r="D339" s="13">
        <f>IF(AND(ISNUMBER(B339),ISNUMBER($B$88),ISNUMBER($D$88)),IF(B339&gt;$D$88,"boven UCL",IF(B339&lt;$B$88,"onder LCL","")),"")</f>
        <v/>
      </c>
      <c r="E339" s="13">
        <f>IF(AND(ISNUMBER(C339),ISNUMBER($B$89),ISNUMBER($D$89)),IF(C339&gt;$D$89,"boven UCL",IF(C339&lt;$B$89,"onder LCL","")),"")</f>
        <v/>
      </c>
      <c r="G339" t="n">
        <v>233</v>
      </c>
      <c r="H339" s="7" t="n"/>
      <c r="I339" s="7" t="n"/>
      <c r="J339" s="11">
        <f>IF(AND(ISNUMBER(H339),ISNUMBER(I339),H339&gt;0,ISNUMBER($B$94)),I339/H339,"")</f>
        <v/>
      </c>
      <c r="K339" s="11">
        <f>IF(AND(ISNUMBER(H339),ISNUMBER(I339),H339&gt;0,ISNUMBER($B$94)),MAX(0,$B$94-3*SQRT($B$94*(1-$B$94)/H339)),"")</f>
        <v/>
      </c>
      <c r="L339" s="11">
        <f>IF(AND(ISNUMBER(H339),ISNUMBER(I339),H339&gt;0,ISNUMBER($B$94)),$B$94+3*SQRT($B$94*(1-$B$94)/H339),"")</f>
        <v/>
      </c>
      <c r="M339" s="13">
        <f>IF(AND(ISNUMBER(J339),ISNUMBER(K339),ISNUMBER(L339)),IF(J339&gt;L339,"boven UCL",IF(J339&lt;K339,"onder LCL","")),"")</f>
        <v/>
      </c>
      <c r="O339" t="n">
        <v>233</v>
      </c>
      <c r="P339" s="7" t="n"/>
      <c r="Q339" s="7" t="n"/>
      <c r="R339" s="11">
        <f>IF(AND(ISNUMBER(P339),ISNUMBER(Q339),P339&gt;0,ISNUMBER($B$100)),Q339/P339,"")</f>
        <v/>
      </c>
      <c r="S339" s="11">
        <f>IF(AND(ISNUMBER(P339),ISNUMBER(Q339),P339&gt;0,ISNUMBER($B$100)),MAX(0,$B$100-3*SQRT($B$100/P339)),"")</f>
        <v/>
      </c>
      <c r="T339" s="11">
        <f>IF(AND(ISNUMBER(P339),ISNUMBER(Q339),P339&gt;0,ISNUMBER($B$100)),$B$100+3*SQRT($B$100/P339),"")</f>
        <v/>
      </c>
      <c r="U339" s="13">
        <f>IF(AND(ISNUMBER(R339),ISNUMBER(S339),ISNUMBER(T339)),IF(R339&gt;T339,"boven UCL",IF(R339&lt;S339,"onder LCL","")),"")</f>
        <v/>
      </c>
    </row>
    <row r="340">
      <c r="A340" t="n">
        <v>234</v>
      </c>
      <c r="B340" s="7" t="n"/>
      <c r="C340" s="11">
        <f>IF(AND(ISNUMBER(B340),ISNUMBER(B339)),ABS(B340-B339),"")</f>
        <v/>
      </c>
      <c r="D340" s="13">
        <f>IF(AND(ISNUMBER(B340),ISNUMBER($B$88),ISNUMBER($D$88)),IF(B340&gt;$D$88,"boven UCL",IF(B340&lt;$B$88,"onder LCL","")),"")</f>
        <v/>
      </c>
      <c r="E340" s="13">
        <f>IF(AND(ISNUMBER(C340),ISNUMBER($B$89),ISNUMBER($D$89)),IF(C340&gt;$D$89,"boven UCL",IF(C340&lt;$B$89,"onder LCL","")),"")</f>
        <v/>
      </c>
      <c r="G340" t="n">
        <v>234</v>
      </c>
      <c r="H340" s="7" t="n"/>
      <c r="I340" s="7" t="n"/>
      <c r="J340" s="11">
        <f>IF(AND(ISNUMBER(H340),ISNUMBER(I340),H340&gt;0,ISNUMBER($B$94)),I340/H340,"")</f>
        <v/>
      </c>
      <c r="K340" s="11">
        <f>IF(AND(ISNUMBER(H340),ISNUMBER(I340),H340&gt;0,ISNUMBER($B$94)),MAX(0,$B$94-3*SQRT($B$94*(1-$B$94)/H340)),"")</f>
        <v/>
      </c>
      <c r="L340" s="11">
        <f>IF(AND(ISNUMBER(H340),ISNUMBER(I340),H340&gt;0,ISNUMBER($B$94)),$B$94+3*SQRT($B$94*(1-$B$94)/H340),"")</f>
        <v/>
      </c>
      <c r="M340" s="13">
        <f>IF(AND(ISNUMBER(J340),ISNUMBER(K340),ISNUMBER(L340)),IF(J340&gt;L340,"boven UCL",IF(J340&lt;K340,"onder LCL","")),"")</f>
        <v/>
      </c>
      <c r="O340" t="n">
        <v>234</v>
      </c>
      <c r="P340" s="7" t="n"/>
      <c r="Q340" s="7" t="n"/>
      <c r="R340" s="11">
        <f>IF(AND(ISNUMBER(P340),ISNUMBER(Q340),P340&gt;0,ISNUMBER($B$100)),Q340/P340,"")</f>
        <v/>
      </c>
      <c r="S340" s="11">
        <f>IF(AND(ISNUMBER(P340),ISNUMBER(Q340),P340&gt;0,ISNUMBER($B$100)),MAX(0,$B$100-3*SQRT($B$100/P340)),"")</f>
        <v/>
      </c>
      <c r="T340" s="11">
        <f>IF(AND(ISNUMBER(P340),ISNUMBER(Q340),P340&gt;0,ISNUMBER($B$100)),$B$100+3*SQRT($B$100/P340),"")</f>
        <v/>
      </c>
      <c r="U340" s="13">
        <f>IF(AND(ISNUMBER(R340),ISNUMBER(S340),ISNUMBER(T340)),IF(R340&gt;T340,"boven UCL",IF(R340&lt;S340,"onder LCL","")),"")</f>
        <v/>
      </c>
    </row>
    <row r="341">
      <c r="A341" t="n">
        <v>235</v>
      </c>
      <c r="B341" s="7" t="n"/>
      <c r="C341" s="11">
        <f>IF(AND(ISNUMBER(B341),ISNUMBER(B340)),ABS(B341-B340),"")</f>
        <v/>
      </c>
      <c r="D341" s="13">
        <f>IF(AND(ISNUMBER(B341),ISNUMBER($B$88),ISNUMBER($D$88)),IF(B341&gt;$D$88,"boven UCL",IF(B341&lt;$B$88,"onder LCL","")),"")</f>
        <v/>
      </c>
      <c r="E341" s="13">
        <f>IF(AND(ISNUMBER(C341),ISNUMBER($B$89),ISNUMBER($D$89)),IF(C341&gt;$D$89,"boven UCL",IF(C341&lt;$B$89,"onder LCL","")),"")</f>
        <v/>
      </c>
      <c r="G341" t="n">
        <v>235</v>
      </c>
      <c r="H341" s="7" t="n"/>
      <c r="I341" s="7" t="n"/>
      <c r="J341" s="11">
        <f>IF(AND(ISNUMBER(H341),ISNUMBER(I341),H341&gt;0,ISNUMBER($B$94)),I341/H341,"")</f>
        <v/>
      </c>
      <c r="K341" s="11">
        <f>IF(AND(ISNUMBER(H341),ISNUMBER(I341),H341&gt;0,ISNUMBER($B$94)),MAX(0,$B$94-3*SQRT($B$94*(1-$B$94)/H341)),"")</f>
        <v/>
      </c>
      <c r="L341" s="11">
        <f>IF(AND(ISNUMBER(H341),ISNUMBER(I341),H341&gt;0,ISNUMBER($B$94)),$B$94+3*SQRT($B$94*(1-$B$94)/H341),"")</f>
        <v/>
      </c>
      <c r="M341" s="13">
        <f>IF(AND(ISNUMBER(J341),ISNUMBER(K341),ISNUMBER(L341)),IF(J341&gt;L341,"boven UCL",IF(J341&lt;K341,"onder LCL","")),"")</f>
        <v/>
      </c>
      <c r="O341" t="n">
        <v>235</v>
      </c>
      <c r="P341" s="7" t="n"/>
      <c r="Q341" s="7" t="n"/>
      <c r="R341" s="11">
        <f>IF(AND(ISNUMBER(P341),ISNUMBER(Q341),P341&gt;0,ISNUMBER($B$100)),Q341/P341,"")</f>
        <v/>
      </c>
      <c r="S341" s="11">
        <f>IF(AND(ISNUMBER(P341),ISNUMBER(Q341),P341&gt;0,ISNUMBER($B$100)),MAX(0,$B$100-3*SQRT($B$100/P341)),"")</f>
        <v/>
      </c>
      <c r="T341" s="11">
        <f>IF(AND(ISNUMBER(P341),ISNUMBER(Q341),P341&gt;0,ISNUMBER($B$100)),$B$100+3*SQRT($B$100/P341),"")</f>
        <v/>
      </c>
      <c r="U341" s="13">
        <f>IF(AND(ISNUMBER(R341),ISNUMBER(S341),ISNUMBER(T341)),IF(R341&gt;T341,"boven UCL",IF(R341&lt;S341,"onder LCL","")),"")</f>
        <v/>
      </c>
    </row>
    <row r="342">
      <c r="A342" t="n">
        <v>236</v>
      </c>
      <c r="B342" s="7" t="n"/>
      <c r="C342" s="11">
        <f>IF(AND(ISNUMBER(B342),ISNUMBER(B341)),ABS(B342-B341),"")</f>
        <v/>
      </c>
      <c r="D342" s="13">
        <f>IF(AND(ISNUMBER(B342),ISNUMBER($B$88),ISNUMBER($D$88)),IF(B342&gt;$D$88,"boven UCL",IF(B342&lt;$B$88,"onder LCL","")),"")</f>
        <v/>
      </c>
      <c r="E342" s="13">
        <f>IF(AND(ISNUMBER(C342),ISNUMBER($B$89),ISNUMBER($D$89)),IF(C342&gt;$D$89,"boven UCL",IF(C342&lt;$B$89,"onder LCL","")),"")</f>
        <v/>
      </c>
      <c r="G342" t="n">
        <v>236</v>
      </c>
      <c r="H342" s="7" t="n"/>
      <c r="I342" s="7" t="n"/>
      <c r="J342" s="11">
        <f>IF(AND(ISNUMBER(H342),ISNUMBER(I342),H342&gt;0,ISNUMBER($B$94)),I342/H342,"")</f>
        <v/>
      </c>
      <c r="K342" s="11">
        <f>IF(AND(ISNUMBER(H342),ISNUMBER(I342),H342&gt;0,ISNUMBER($B$94)),MAX(0,$B$94-3*SQRT($B$94*(1-$B$94)/H342)),"")</f>
        <v/>
      </c>
      <c r="L342" s="11">
        <f>IF(AND(ISNUMBER(H342),ISNUMBER(I342),H342&gt;0,ISNUMBER($B$94)),$B$94+3*SQRT($B$94*(1-$B$94)/H342),"")</f>
        <v/>
      </c>
      <c r="M342" s="13">
        <f>IF(AND(ISNUMBER(J342),ISNUMBER(K342),ISNUMBER(L342)),IF(J342&gt;L342,"boven UCL",IF(J342&lt;K342,"onder LCL","")),"")</f>
        <v/>
      </c>
      <c r="O342" t="n">
        <v>236</v>
      </c>
      <c r="P342" s="7" t="n"/>
      <c r="Q342" s="7" t="n"/>
      <c r="R342" s="11">
        <f>IF(AND(ISNUMBER(P342),ISNUMBER(Q342),P342&gt;0,ISNUMBER($B$100)),Q342/P342,"")</f>
        <v/>
      </c>
      <c r="S342" s="11">
        <f>IF(AND(ISNUMBER(P342),ISNUMBER(Q342),P342&gt;0,ISNUMBER($B$100)),MAX(0,$B$100-3*SQRT($B$100/P342)),"")</f>
        <v/>
      </c>
      <c r="T342" s="11">
        <f>IF(AND(ISNUMBER(P342),ISNUMBER(Q342),P342&gt;0,ISNUMBER($B$100)),$B$100+3*SQRT($B$100/P342),"")</f>
        <v/>
      </c>
      <c r="U342" s="13">
        <f>IF(AND(ISNUMBER(R342),ISNUMBER(S342),ISNUMBER(T342)),IF(R342&gt;T342,"boven UCL",IF(R342&lt;S342,"onder LCL","")),"")</f>
        <v/>
      </c>
    </row>
    <row r="343">
      <c r="A343" t="n">
        <v>237</v>
      </c>
      <c r="B343" s="7" t="n"/>
      <c r="C343" s="11">
        <f>IF(AND(ISNUMBER(B343),ISNUMBER(B342)),ABS(B343-B342),"")</f>
        <v/>
      </c>
      <c r="D343" s="13">
        <f>IF(AND(ISNUMBER(B343),ISNUMBER($B$88),ISNUMBER($D$88)),IF(B343&gt;$D$88,"boven UCL",IF(B343&lt;$B$88,"onder LCL","")),"")</f>
        <v/>
      </c>
      <c r="E343" s="13">
        <f>IF(AND(ISNUMBER(C343),ISNUMBER($B$89),ISNUMBER($D$89)),IF(C343&gt;$D$89,"boven UCL",IF(C343&lt;$B$89,"onder LCL","")),"")</f>
        <v/>
      </c>
      <c r="G343" t="n">
        <v>237</v>
      </c>
      <c r="H343" s="7" t="n"/>
      <c r="I343" s="7" t="n"/>
      <c r="J343" s="11">
        <f>IF(AND(ISNUMBER(H343),ISNUMBER(I343),H343&gt;0,ISNUMBER($B$94)),I343/H343,"")</f>
        <v/>
      </c>
      <c r="K343" s="11">
        <f>IF(AND(ISNUMBER(H343),ISNUMBER(I343),H343&gt;0,ISNUMBER($B$94)),MAX(0,$B$94-3*SQRT($B$94*(1-$B$94)/H343)),"")</f>
        <v/>
      </c>
      <c r="L343" s="11">
        <f>IF(AND(ISNUMBER(H343),ISNUMBER(I343),H343&gt;0,ISNUMBER($B$94)),$B$94+3*SQRT($B$94*(1-$B$94)/H343),"")</f>
        <v/>
      </c>
      <c r="M343" s="13">
        <f>IF(AND(ISNUMBER(J343),ISNUMBER(K343),ISNUMBER(L343)),IF(J343&gt;L343,"boven UCL",IF(J343&lt;K343,"onder LCL","")),"")</f>
        <v/>
      </c>
      <c r="O343" t="n">
        <v>237</v>
      </c>
      <c r="P343" s="7" t="n"/>
      <c r="Q343" s="7" t="n"/>
      <c r="R343" s="11">
        <f>IF(AND(ISNUMBER(P343),ISNUMBER(Q343),P343&gt;0,ISNUMBER($B$100)),Q343/P343,"")</f>
        <v/>
      </c>
      <c r="S343" s="11">
        <f>IF(AND(ISNUMBER(P343),ISNUMBER(Q343),P343&gt;0,ISNUMBER($B$100)),MAX(0,$B$100-3*SQRT($B$100/P343)),"")</f>
        <v/>
      </c>
      <c r="T343" s="11">
        <f>IF(AND(ISNUMBER(P343),ISNUMBER(Q343),P343&gt;0,ISNUMBER($B$100)),$B$100+3*SQRT($B$100/P343),"")</f>
        <v/>
      </c>
      <c r="U343" s="13">
        <f>IF(AND(ISNUMBER(R343),ISNUMBER(S343),ISNUMBER(T343)),IF(R343&gt;T343,"boven UCL",IF(R343&lt;S343,"onder LCL","")),"")</f>
        <v/>
      </c>
    </row>
    <row r="344">
      <c r="A344" t="n">
        <v>238</v>
      </c>
      <c r="B344" s="7" t="n"/>
      <c r="C344" s="11">
        <f>IF(AND(ISNUMBER(B344),ISNUMBER(B343)),ABS(B344-B343),"")</f>
        <v/>
      </c>
      <c r="D344" s="13">
        <f>IF(AND(ISNUMBER(B344),ISNUMBER($B$88),ISNUMBER($D$88)),IF(B344&gt;$D$88,"boven UCL",IF(B344&lt;$B$88,"onder LCL","")),"")</f>
        <v/>
      </c>
      <c r="E344" s="13">
        <f>IF(AND(ISNUMBER(C344),ISNUMBER($B$89),ISNUMBER($D$89)),IF(C344&gt;$D$89,"boven UCL",IF(C344&lt;$B$89,"onder LCL","")),"")</f>
        <v/>
      </c>
      <c r="G344" t="n">
        <v>238</v>
      </c>
      <c r="H344" s="7" t="n"/>
      <c r="I344" s="7" t="n"/>
      <c r="J344" s="11">
        <f>IF(AND(ISNUMBER(H344),ISNUMBER(I344),H344&gt;0,ISNUMBER($B$94)),I344/H344,"")</f>
        <v/>
      </c>
      <c r="K344" s="11">
        <f>IF(AND(ISNUMBER(H344),ISNUMBER(I344),H344&gt;0,ISNUMBER($B$94)),MAX(0,$B$94-3*SQRT($B$94*(1-$B$94)/H344)),"")</f>
        <v/>
      </c>
      <c r="L344" s="11">
        <f>IF(AND(ISNUMBER(H344),ISNUMBER(I344),H344&gt;0,ISNUMBER($B$94)),$B$94+3*SQRT($B$94*(1-$B$94)/H344),"")</f>
        <v/>
      </c>
      <c r="M344" s="13">
        <f>IF(AND(ISNUMBER(J344),ISNUMBER(K344),ISNUMBER(L344)),IF(J344&gt;L344,"boven UCL",IF(J344&lt;K344,"onder LCL","")),"")</f>
        <v/>
      </c>
      <c r="O344" t="n">
        <v>238</v>
      </c>
      <c r="P344" s="7" t="n"/>
      <c r="Q344" s="7" t="n"/>
      <c r="R344" s="11">
        <f>IF(AND(ISNUMBER(P344),ISNUMBER(Q344),P344&gt;0,ISNUMBER($B$100)),Q344/P344,"")</f>
        <v/>
      </c>
      <c r="S344" s="11">
        <f>IF(AND(ISNUMBER(P344),ISNUMBER(Q344),P344&gt;0,ISNUMBER($B$100)),MAX(0,$B$100-3*SQRT($B$100/P344)),"")</f>
        <v/>
      </c>
      <c r="T344" s="11">
        <f>IF(AND(ISNUMBER(P344),ISNUMBER(Q344),P344&gt;0,ISNUMBER($B$100)),$B$100+3*SQRT($B$100/P344),"")</f>
        <v/>
      </c>
      <c r="U344" s="13">
        <f>IF(AND(ISNUMBER(R344),ISNUMBER(S344),ISNUMBER(T344)),IF(R344&gt;T344,"boven UCL",IF(R344&lt;S344,"onder LCL","")),"")</f>
        <v/>
      </c>
    </row>
    <row r="345">
      <c r="A345" t="n">
        <v>239</v>
      </c>
      <c r="B345" s="7" t="n"/>
      <c r="C345" s="11">
        <f>IF(AND(ISNUMBER(B345),ISNUMBER(B344)),ABS(B345-B344),"")</f>
        <v/>
      </c>
      <c r="D345" s="13">
        <f>IF(AND(ISNUMBER(B345),ISNUMBER($B$88),ISNUMBER($D$88)),IF(B345&gt;$D$88,"boven UCL",IF(B345&lt;$B$88,"onder LCL","")),"")</f>
        <v/>
      </c>
      <c r="E345" s="13">
        <f>IF(AND(ISNUMBER(C345),ISNUMBER($B$89),ISNUMBER($D$89)),IF(C345&gt;$D$89,"boven UCL",IF(C345&lt;$B$89,"onder LCL","")),"")</f>
        <v/>
      </c>
      <c r="G345" t="n">
        <v>239</v>
      </c>
      <c r="H345" s="7" t="n"/>
      <c r="I345" s="7" t="n"/>
      <c r="J345" s="11">
        <f>IF(AND(ISNUMBER(H345),ISNUMBER(I345),H345&gt;0,ISNUMBER($B$94)),I345/H345,"")</f>
        <v/>
      </c>
      <c r="K345" s="11">
        <f>IF(AND(ISNUMBER(H345),ISNUMBER(I345),H345&gt;0,ISNUMBER($B$94)),MAX(0,$B$94-3*SQRT($B$94*(1-$B$94)/H345)),"")</f>
        <v/>
      </c>
      <c r="L345" s="11">
        <f>IF(AND(ISNUMBER(H345),ISNUMBER(I345),H345&gt;0,ISNUMBER($B$94)),$B$94+3*SQRT($B$94*(1-$B$94)/H345),"")</f>
        <v/>
      </c>
      <c r="M345" s="13">
        <f>IF(AND(ISNUMBER(J345),ISNUMBER(K345),ISNUMBER(L345)),IF(J345&gt;L345,"boven UCL",IF(J345&lt;K345,"onder LCL","")),"")</f>
        <v/>
      </c>
      <c r="O345" t="n">
        <v>239</v>
      </c>
      <c r="P345" s="7" t="n"/>
      <c r="Q345" s="7" t="n"/>
      <c r="R345" s="11">
        <f>IF(AND(ISNUMBER(P345),ISNUMBER(Q345),P345&gt;0,ISNUMBER($B$100)),Q345/P345,"")</f>
        <v/>
      </c>
      <c r="S345" s="11">
        <f>IF(AND(ISNUMBER(P345),ISNUMBER(Q345),P345&gt;0,ISNUMBER($B$100)),MAX(0,$B$100-3*SQRT($B$100/P345)),"")</f>
        <v/>
      </c>
      <c r="T345" s="11">
        <f>IF(AND(ISNUMBER(P345),ISNUMBER(Q345),P345&gt;0,ISNUMBER($B$100)),$B$100+3*SQRT($B$100/P345),"")</f>
        <v/>
      </c>
      <c r="U345" s="13">
        <f>IF(AND(ISNUMBER(R345),ISNUMBER(S345),ISNUMBER(T345)),IF(R345&gt;T345,"boven UCL",IF(R345&lt;S345,"onder LCL","")),"")</f>
        <v/>
      </c>
    </row>
    <row r="346">
      <c r="A346" t="n">
        <v>240</v>
      </c>
      <c r="B346" s="7" t="n"/>
      <c r="C346" s="11">
        <f>IF(AND(ISNUMBER(B346),ISNUMBER(B345)),ABS(B346-B345),"")</f>
        <v/>
      </c>
      <c r="D346" s="13">
        <f>IF(AND(ISNUMBER(B346),ISNUMBER($B$88),ISNUMBER($D$88)),IF(B346&gt;$D$88,"boven UCL",IF(B346&lt;$B$88,"onder LCL","")),"")</f>
        <v/>
      </c>
      <c r="E346" s="13">
        <f>IF(AND(ISNUMBER(C346),ISNUMBER($B$89),ISNUMBER($D$89)),IF(C346&gt;$D$89,"boven UCL",IF(C346&lt;$B$89,"onder LCL","")),"")</f>
        <v/>
      </c>
      <c r="G346" t="n">
        <v>240</v>
      </c>
      <c r="H346" s="7" t="n"/>
      <c r="I346" s="7" t="n"/>
      <c r="J346" s="11">
        <f>IF(AND(ISNUMBER(H346),ISNUMBER(I346),H346&gt;0,ISNUMBER($B$94)),I346/H346,"")</f>
        <v/>
      </c>
      <c r="K346" s="11">
        <f>IF(AND(ISNUMBER(H346),ISNUMBER(I346),H346&gt;0,ISNUMBER($B$94)),MAX(0,$B$94-3*SQRT($B$94*(1-$B$94)/H346)),"")</f>
        <v/>
      </c>
      <c r="L346" s="11">
        <f>IF(AND(ISNUMBER(H346),ISNUMBER(I346),H346&gt;0,ISNUMBER($B$94)),$B$94+3*SQRT($B$94*(1-$B$94)/H346),"")</f>
        <v/>
      </c>
      <c r="M346" s="13">
        <f>IF(AND(ISNUMBER(J346),ISNUMBER(K346),ISNUMBER(L346)),IF(J346&gt;L346,"boven UCL",IF(J346&lt;K346,"onder LCL","")),"")</f>
        <v/>
      </c>
      <c r="O346" t="n">
        <v>240</v>
      </c>
      <c r="P346" s="7" t="n"/>
      <c r="Q346" s="7" t="n"/>
      <c r="R346" s="11">
        <f>IF(AND(ISNUMBER(P346),ISNUMBER(Q346),P346&gt;0,ISNUMBER($B$100)),Q346/P346,"")</f>
        <v/>
      </c>
      <c r="S346" s="11">
        <f>IF(AND(ISNUMBER(P346),ISNUMBER(Q346),P346&gt;0,ISNUMBER($B$100)),MAX(0,$B$100-3*SQRT($B$100/P346)),"")</f>
        <v/>
      </c>
      <c r="T346" s="11">
        <f>IF(AND(ISNUMBER(P346),ISNUMBER(Q346),P346&gt;0,ISNUMBER($B$100)),$B$100+3*SQRT($B$100/P346),"")</f>
        <v/>
      </c>
      <c r="U346" s="13">
        <f>IF(AND(ISNUMBER(R346),ISNUMBER(S346),ISNUMBER(T346)),IF(R346&gt;T346,"boven UCL",IF(R346&lt;S346,"onder LCL","")),"")</f>
        <v/>
      </c>
    </row>
    <row r="347">
      <c r="A347" t="n">
        <v>241</v>
      </c>
      <c r="B347" s="7" t="n"/>
      <c r="C347" s="11">
        <f>IF(AND(ISNUMBER(B347),ISNUMBER(B346)),ABS(B347-B346),"")</f>
        <v/>
      </c>
      <c r="D347" s="13">
        <f>IF(AND(ISNUMBER(B347),ISNUMBER($B$88),ISNUMBER($D$88)),IF(B347&gt;$D$88,"boven UCL",IF(B347&lt;$B$88,"onder LCL","")),"")</f>
        <v/>
      </c>
      <c r="E347" s="13">
        <f>IF(AND(ISNUMBER(C347),ISNUMBER($B$89),ISNUMBER($D$89)),IF(C347&gt;$D$89,"boven UCL",IF(C347&lt;$B$89,"onder LCL","")),"")</f>
        <v/>
      </c>
      <c r="G347" t="n">
        <v>241</v>
      </c>
      <c r="H347" s="7" t="n"/>
      <c r="I347" s="7" t="n"/>
      <c r="J347" s="11">
        <f>IF(AND(ISNUMBER(H347),ISNUMBER(I347),H347&gt;0,ISNUMBER($B$94)),I347/H347,"")</f>
        <v/>
      </c>
      <c r="K347" s="11">
        <f>IF(AND(ISNUMBER(H347),ISNUMBER(I347),H347&gt;0,ISNUMBER($B$94)),MAX(0,$B$94-3*SQRT($B$94*(1-$B$94)/H347)),"")</f>
        <v/>
      </c>
      <c r="L347" s="11">
        <f>IF(AND(ISNUMBER(H347),ISNUMBER(I347),H347&gt;0,ISNUMBER($B$94)),$B$94+3*SQRT($B$94*(1-$B$94)/H347),"")</f>
        <v/>
      </c>
      <c r="M347" s="13">
        <f>IF(AND(ISNUMBER(J347),ISNUMBER(K347),ISNUMBER(L347)),IF(J347&gt;L347,"boven UCL",IF(J347&lt;K347,"onder LCL","")),"")</f>
        <v/>
      </c>
      <c r="O347" t="n">
        <v>241</v>
      </c>
      <c r="P347" s="7" t="n"/>
      <c r="Q347" s="7" t="n"/>
      <c r="R347" s="11">
        <f>IF(AND(ISNUMBER(P347),ISNUMBER(Q347),P347&gt;0,ISNUMBER($B$100)),Q347/P347,"")</f>
        <v/>
      </c>
      <c r="S347" s="11">
        <f>IF(AND(ISNUMBER(P347),ISNUMBER(Q347),P347&gt;0,ISNUMBER($B$100)),MAX(0,$B$100-3*SQRT($B$100/P347)),"")</f>
        <v/>
      </c>
      <c r="T347" s="11">
        <f>IF(AND(ISNUMBER(P347),ISNUMBER(Q347),P347&gt;0,ISNUMBER($B$100)),$B$100+3*SQRT($B$100/P347),"")</f>
        <v/>
      </c>
      <c r="U347" s="13">
        <f>IF(AND(ISNUMBER(R347),ISNUMBER(S347),ISNUMBER(T347)),IF(R347&gt;T347,"boven UCL",IF(R347&lt;S347,"onder LCL","")),"")</f>
        <v/>
      </c>
    </row>
    <row r="348">
      <c r="A348" t="n">
        <v>242</v>
      </c>
      <c r="B348" s="7" t="n"/>
      <c r="C348" s="11">
        <f>IF(AND(ISNUMBER(B348),ISNUMBER(B347)),ABS(B348-B347),"")</f>
        <v/>
      </c>
      <c r="D348" s="13">
        <f>IF(AND(ISNUMBER(B348),ISNUMBER($B$88),ISNUMBER($D$88)),IF(B348&gt;$D$88,"boven UCL",IF(B348&lt;$B$88,"onder LCL","")),"")</f>
        <v/>
      </c>
      <c r="E348" s="13">
        <f>IF(AND(ISNUMBER(C348),ISNUMBER($B$89),ISNUMBER($D$89)),IF(C348&gt;$D$89,"boven UCL",IF(C348&lt;$B$89,"onder LCL","")),"")</f>
        <v/>
      </c>
      <c r="G348" t="n">
        <v>242</v>
      </c>
      <c r="H348" s="7" t="n"/>
      <c r="I348" s="7" t="n"/>
      <c r="J348" s="11">
        <f>IF(AND(ISNUMBER(H348),ISNUMBER(I348),H348&gt;0,ISNUMBER($B$94)),I348/H348,"")</f>
        <v/>
      </c>
      <c r="K348" s="11">
        <f>IF(AND(ISNUMBER(H348),ISNUMBER(I348),H348&gt;0,ISNUMBER($B$94)),MAX(0,$B$94-3*SQRT($B$94*(1-$B$94)/H348)),"")</f>
        <v/>
      </c>
      <c r="L348" s="11">
        <f>IF(AND(ISNUMBER(H348),ISNUMBER(I348),H348&gt;0,ISNUMBER($B$94)),$B$94+3*SQRT($B$94*(1-$B$94)/H348),"")</f>
        <v/>
      </c>
      <c r="M348" s="13">
        <f>IF(AND(ISNUMBER(J348),ISNUMBER(K348),ISNUMBER(L348)),IF(J348&gt;L348,"boven UCL",IF(J348&lt;K348,"onder LCL","")),"")</f>
        <v/>
      </c>
      <c r="O348" t="n">
        <v>242</v>
      </c>
      <c r="P348" s="7" t="n"/>
      <c r="Q348" s="7" t="n"/>
      <c r="R348" s="11">
        <f>IF(AND(ISNUMBER(P348),ISNUMBER(Q348),P348&gt;0,ISNUMBER($B$100)),Q348/P348,"")</f>
        <v/>
      </c>
      <c r="S348" s="11">
        <f>IF(AND(ISNUMBER(P348),ISNUMBER(Q348),P348&gt;0,ISNUMBER($B$100)),MAX(0,$B$100-3*SQRT($B$100/P348)),"")</f>
        <v/>
      </c>
      <c r="T348" s="11">
        <f>IF(AND(ISNUMBER(P348),ISNUMBER(Q348),P348&gt;0,ISNUMBER($B$100)),$B$100+3*SQRT($B$100/P348),"")</f>
        <v/>
      </c>
      <c r="U348" s="13">
        <f>IF(AND(ISNUMBER(R348),ISNUMBER(S348),ISNUMBER(T348)),IF(R348&gt;T348,"boven UCL",IF(R348&lt;S348,"onder LCL","")),"")</f>
        <v/>
      </c>
    </row>
    <row r="349">
      <c r="A349" t="n">
        <v>243</v>
      </c>
      <c r="B349" s="7" t="n"/>
      <c r="C349" s="11">
        <f>IF(AND(ISNUMBER(B349),ISNUMBER(B348)),ABS(B349-B348),"")</f>
        <v/>
      </c>
      <c r="D349" s="13">
        <f>IF(AND(ISNUMBER(B349),ISNUMBER($B$88),ISNUMBER($D$88)),IF(B349&gt;$D$88,"boven UCL",IF(B349&lt;$B$88,"onder LCL","")),"")</f>
        <v/>
      </c>
      <c r="E349" s="13">
        <f>IF(AND(ISNUMBER(C349),ISNUMBER($B$89),ISNUMBER($D$89)),IF(C349&gt;$D$89,"boven UCL",IF(C349&lt;$B$89,"onder LCL","")),"")</f>
        <v/>
      </c>
      <c r="G349" t="n">
        <v>243</v>
      </c>
      <c r="H349" s="7" t="n"/>
      <c r="I349" s="7" t="n"/>
      <c r="J349" s="11">
        <f>IF(AND(ISNUMBER(H349),ISNUMBER(I349),H349&gt;0,ISNUMBER($B$94)),I349/H349,"")</f>
        <v/>
      </c>
      <c r="K349" s="11">
        <f>IF(AND(ISNUMBER(H349),ISNUMBER(I349),H349&gt;0,ISNUMBER($B$94)),MAX(0,$B$94-3*SQRT($B$94*(1-$B$94)/H349)),"")</f>
        <v/>
      </c>
      <c r="L349" s="11">
        <f>IF(AND(ISNUMBER(H349),ISNUMBER(I349),H349&gt;0,ISNUMBER($B$94)),$B$94+3*SQRT($B$94*(1-$B$94)/H349),"")</f>
        <v/>
      </c>
      <c r="M349" s="13">
        <f>IF(AND(ISNUMBER(J349),ISNUMBER(K349),ISNUMBER(L349)),IF(J349&gt;L349,"boven UCL",IF(J349&lt;K349,"onder LCL","")),"")</f>
        <v/>
      </c>
      <c r="O349" t="n">
        <v>243</v>
      </c>
      <c r="P349" s="7" t="n"/>
      <c r="Q349" s="7" t="n"/>
      <c r="R349" s="11">
        <f>IF(AND(ISNUMBER(P349),ISNUMBER(Q349),P349&gt;0,ISNUMBER($B$100)),Q349/P349,"")</f>
        <v/>
      </c>
      <c r="S349" s="11">
        <f>IF(AND(ISNUMBER(P349),ISNUMBER(Q349),P349&gt;0,ISNUMBER($B$100)),MAX(0,$B$100-3*SQRT($B$100/P349)),"")</f>
        <v/>
      </c>
      <c r="T349" s="11">
        <f>IF(AND(ISNUMBER(P349),ISNUMBER(Q349),P349&gt;0,ISNUMBER($B$100)),$B$100+3*SQRT($B$100/P349),"")</f>
        <v/>
      </c>
      <c r="U349" s="13">
        <f>IF(AND(ISNUMBER(R349),ISNUMBER(S349),ISNUMBER(T349)),IF(R349&gt;T349,"boven UCL",IF(R349&lt;S349,"onder LCL","")),"")</f>
        <v/>
      </c>
    </row>
    <row r="350">
      <c r="A350" t="n">
        <v>244</v>
      </c>
      <c r="B350" s="7" t="n"/>
      <c r="C350" s="11">
        <f>IF(AND(ISNUMBER(B350),ISNUMBER(B349)),ABS(B350-B349),"")</f>
        <v/>
      </c>
      <c r="D350" s="13">
        <f>IF(AND(ISNUMBER(B350),ISNUMBER($B$88),ISNUMBER($D$88)),IF(B350&gt;$D$88,"boven UCL",IF(B350&lt;$B$88,"onder LCL","")),"")</f>
        <v/>
      </c>
      <c r="E350" s="13">
        <f>IF(AND(ISNUMBER(C350),ISNUMBER($B$89),ISNUMBER($D$89)),IF(C350&gt;$D$89,"boven UCL",IF(C350&lt;$B$89,"onder LCL","")),"")</f>
        <v/>
      </c>
      <c r="G350" t="n">
        <v>244</v>
      </c>
      <c r="H350" s="7" t="n"/>
      <c r="I350" s="7" t="n"/>
      <c r="J350" s="11">
        <f>IF(AND(ISNUMBER(H350),ISNUMBER(I350),H350&gt;0,ISNUMBER($B$94)),I350/H350,"")</f>
        <v/>
      </c>
      <c r="K350" s="11">
        <f>IF(AND(ISNUMBER(H350),ISNUMBER(I350),H350&gt;0,ISNUMBER($B$94)),MAX(0,$B$94-3*SQRT($B$94*(1-$B$94)/H350)),"")</f>
        <v/>
      </c>
      <c r="L350" s="11">
        <f>IF(AND(ISNUMBER(H350),ISNUMBER(I350),H350&gt;0,ISNUMBER($B$94)),$B$94+3*SQRT($B$94*(1-$B$94)/H350),"")</f>
        <v/>
      </c>
      <c r="M350" s="13">
        <f>IF(AND(ISNUMBER(J350),ISNUMBER(K350),ISNUMBER(L350)),IF(J350&gt;L350,"boven UCL",IF(J350&lt;K350,"onder LCL","")),"")</f>
        <v/>
      </c>
      <c r="O350" t="n">
        <v>244</v>
      </c>
      <c r="P350" s="7" t="n"/>
      <c r="Q350" s="7" t="n"/>
      <c r="R350" s="11">
        <f>IF(AND(ISNUMBER(P350),ISNUMBER(Q350),P350&gt;0,ISNUMBER($B$100)),Q350/P350,"")</f>
        <v/>
      </c>
      <c r="S350" s="11">
        <f>IF(AND(ISNUMBER(P350),ISNUMBER(Q350),P350&gt;0,ISNUMBER($B$100)),MAX(0,$B$100-3*SQRT($B$100/P350)),"")</f>
        <v/>
      </c>
      <c r="T350" s="11">
        <f>IF(AND(ISNUMBER(P350),ISNUMBER(Q350),P350&gt;0,ISNUMBER($B$100)),$B$100+3*SQRT($B$100/P350),"")</f>
        <v/>
      </c>
      <c r="U350" s="13">
        <f>IF(AND(ISNUMBER(R350),ISNUMBER(S350),ISNUMBER(T350)),IF(R350&gt;T350,"boven UCL",IF(R350&lt;S350,"onder LCL","")),"")</f>
        <v/>
      </c>
    </row>
    <row r="351">
      <c r="A351" t="n">
        <v>245</v>
      </c>
      <c r="B351" s="7" t="n"/>
      <c r="C351" s="11">
        <f>IF(AND(ISNUMBER(B351),ISNUMBER(B350)),ABS(B351-B350),"")</f>
        <v/>
      </c>
      <c r="D351" s="13">
        <f>IF(AND(ISNUMBER(B351),ISNUMBER($B$88),ISNUMBER($D$88)),IF(B351&gt;$D$88,"boven UCL",IF(B351&lt;$B$88,"onder LCL","")),"")</f>
        <v/>
      </c>
      <c r="E351" s="13">
        <f>IF(AND(ISNUMBER(C351),ISNUMBER($B$89),ISNUMBER($D$89)),IF(C351&gt;$D$89,"boven UCL",IF(C351&lt;$B$89,"onder LCL","")),"")</f>
        <v/>
      </c>
      <c r="G351" t="n">
        <v>245</v>
      </c>
      <c r="H351" s="7" t="n"/>
      <c r="I351" s="7" t="n"/>
      <c r="J351" s="11">
        <f>IF(AND(ISNUMBER(H351),ISNUMBER(I351),H351&gt;0,ISNUMBER($B$94)),I351/H351,"")</f>
        <v/>
      </c>
      <c r="K351" s="11">
        <f>IF(AND(ISNUMBER(H351),ISNUMBER(I351),H351&gt;0,ISNUMBER($B$94)),MAX(0,$B$94-3*SQRT($B$94*(1-$B$94)/H351)),"")</f>
        <v/>
      </c>
      <c r="L351" s="11">
        <f>IF(AND(ISNUMBER(H351),ISNUMBER(I351),H351&gt;0,ISNUMBER($B$94)),$B$94+3*SQRT($B$94*(1-$B$94)/H351),"")</f>
        <v/>
      </c>
      <c r="M351" s="13">
        <f>IF(AND(ISNUMBER(J351),ISNUMBER(K351),ISNUMBER(L351)),IF(J351&gt;L351,"boven UCL",IF(J351&lt;K351,"onder LCL","")),"")</f>
        <v/>
      </c>
      <c r="O351" t="n">
        <v>245</v>
      </c>
      <c r="P351" s="7" t="n"/>
      <c r="Q351" s="7" t="n"/>
      <c r="R351" s="11">
        <f>IF(AND(ISNUMBER(P351),ISNUMBER(Q351),P351&gt;0,ISNUMBER($B$100)),Q351/P351,"")</f>
        <v/>
      </c>
      <c r="S351" s="11">
        <f>IF(AND(ISNUMBER(P351),ISNUMBER(Q351),P351&gt;0,ISNUMBER($B$100)),MAX(0,$B$100-3*SQRT($B$100/P351)),"")</f>
        <v/>
      </c>
      <c r="T351" s="11">
        <f>IF(AND(ISNUMBER(P351),ISNUMBER(Q351),P351&gt;0,ISNUMBER($B$100)),$B$100+3*SQRT($B$100/P351),"")</f>
        <v/>
      </c>
      <c r="U351" s="13">
        <f>IF(AND(ISNUMBER(R351),ISNUMBER(S351),ISNUMBER(T351)),IF(R351&gt;T351,"boven UCL",IF(R351&lt;S351,"onder LCL","")),"")</f>
        <v/>
      </c>
    </row>
    <row r="352">
      <c r="A352" t="n">
        <v>246</v>
      </c>
      <c r="B352" s="7" t="n"/>
      <c r="C352" s="11">
        <f>IF(AND(ISNUMBER(B352),ISNUMBER(B351)),ABS(B352-B351),"")</f>
        <v/>
      </c>
      <c r="D352" s="13">
        <f>IF(AND(ISNUMBER(B352),ISNUMBER($B$88),ISNUMBER($D$88)),IF(B352&gt;$D$88,"boven UCL",IF(B352&lt;$B$88,"onder LCL","")),"")</f>
        <v/>
      </c>
      <c r="E352" s="13">
        <f>IF(AND(ISNUMBER(C352),ISNUMBER($B$89),ISNUMBER($D$89)),IF(C352&gt;$D$89,"boven UCL",IF(C352&lt;$B$89,"onder LCL","")),"")</f>
        <v/>
      </c>
      <c r="G352" t="n">
        <v>246</v>
      </c>
      <c r="H352" s="7" t="n"/>
      <c r="I352" s="7" t="n"/>
      <c r="J352" s="11">
        <f>IF(AND(ISNUMBER(H352),ISNUMBER(I352),H352&gt;0,ISNUMBER($B$94)),I352/H352,"")</f>
        <v/>
      </c>
      <c r="K352" s="11">
        <f>IF(AND(ISNUMBER(H352),ISNUMBER(I352),H352&gt;0,ISNUMBER($B$94)),MAX(0,$B$94-3*SQRT($B$94*(1-$B$94)/H352)),"")</f>
        <v/>
      </c>
      <c r="L352" s="11">
        <f>IF(AND(ISNUMBER(H352),ISNUMBER(I352),H352&gt;0,ISNUMBER($B$94)),$B$94+3*SQRT($B$94*(1-$B$94)/H352),"")</f>
        <v/>
      </c>
      <c r="M352" s="13">
        <f>IF(AND(ISNUMBER(J352),ISNUMBER(K352),ISNUMBER(L352)),IF(J352&gt;L352,"boven UCL",IF(J352&lt;K352,"onder LCL","")),"")</f>
        <v/>
      </c>
      <c r="O352" t="n">
        <v>246</v>
      </c>
      <c r="P352" s="7" t="n"/>
      <c r="Q352" s="7" t="n"/>
      <c r="R352" s="11">
        <f>IF(AND(ISNUMBER(P352),ISNUMBER(Q352),P352&gt;0,ISNUMBER($B$100)),Q352/P352,"")</f>
        <v/>
      </c>
      <c r="S352" s="11">
        <f>IF(AND(ISNUMBER(P352),ISNUMBER(Q352),P352&gt;0,ISNUMBER($B$100)),MAX(0,$B$100-3*SQRT($B$100/P352)),"")</f>
        <v/>
      </c>
      <c r="T352" s="11">
        <f>IF(AND(ISNUMBER(P352),ISNUMBER(Q352),P352&gt;0,ISNUMBER($B$100)),$B$100+3*SQRT($B$100/P352),"")</f>
        <v/>
      </c>
      <c r="U352" s="13">
        <f>IF(AND(ISNUMBER(R352),ISNUMBER(S352),ISNUMBER(T352)),IF(R352&gt;T352,"boven UCL",IF(R352&lt;S352,"onder LCL","")),"")</f>
        <v/>
      </c>
    </row>
    <row r="353">
      <c r="A353" t="n">
        <v>247</v>
      </c>
      <c r="B353" s="7" t="n"/>
      <c r="C353" s="11">
        <f>IF(AND(ISNUMBER(B353),ISNUMBER(B352)),ABS(B353-B352),"")</f>
        <v/>
      </c>
      <c r="D353" s="13">
        <f>IF(AND(ISNUMBER(B353),ISNUMBER($B$88),ISNUMBER($D$88)),IF(B353&gt;$D$88,"boven UCL",IF(B353&lt;$B$88,"onder LCL","")),"")</f>
        <v/>
      </c>
      <c r="E353" s="13">
        <f>IF(AND(ISNUMBER(C353),ISNUMBER($B$89),ISNUMBER($D$89)),IF(C353&gt;$D$89,"boven UCL",IF(C353&lt;$B$89,"onder LCL","")),"")</f>
        <v/>
      </c>
      <c r="G353" t="n">
        <v>247</v>
      </c>
      <c r="H353" s="7" t="n"/>
      <c r="I353" s="7" t="n"/>
      <c r="J353" s="11">
        <f>IF(AND(ISNUMBER(H353),ISNUMBER(I353),H353&gt;0,ISNUMBER($B$94)),I353/H353,"")</f>
        <v/>
      </c>
      <c r="K353" s="11">
        <f>IF(AND(ISNUMBER(H353),ISNUMBER(I353),H353&gt;0,ISNUMBER($B$94)),MAX(0,$B$94-3*SQRT($B$94*(1-$B$94)/H353)),"")</f>
        <v/>
      </c>
      <c r="L353" s="11">
        <f>IF(AND(ISNUMBER(H353),ISNUMBER(I353),H353&gt;0,ISNUMBER($B$94)),$B$94+3*SQRT($B$94*(1-$B$94)/H353),"")</f>
        <v/>
      </c>
      <c r="M353" s="13">
        <f>IF(AND(ISNUMBER(J353),ISNUMBER(K353),ISNUMBER(L353)),IF(J353&gt;L353,"boven UCL",IF(J353&lt;K353,"onder LCL","")),"")</f>
        <v/>
      </c>
      <c r="O353" t="n">
        <v>247</v>
      </c>
      <c r="P353" s="7" t="n"/>
      <c r="Q353" s="7" t="n"/>
      <c r="R353" s="11">
        <f>IF(AND(ISNUMBER(P353),ISNUMBER(Q353),P353&gt;0,ISNUMBER($B$100)),Q353/P353,"")</f>
        <v/>
      </c>
      <c r="S353" s="11">
        <f>IF(AND(ISNUMBER(P353),ISNUMBER(Q353),P353&gt;0,ISNUMBER($B$100)),MAX(0,$B$100-3*SQRT($B$100/P353)),"")</f>
        <v/>
      </c>
      <c r="T353" s="11">
        <f>IF(AND(ISNUMBER(P353),ISNUMBER(Q353),P353&gt;0,ISNUMBER($B$100)),$B$100+3*SQRT($B$100/P353),"")</f>
        <v/>
      </c>
      <c r="U353" s="13">
        <f>IF(AND(ISNUMBER(R353),ISNUMBER(S353),ISNUMBER(T353)),IF(R353&gt;T353,"boven UCL",IF(R353&lt;S353,"onder LCL","")),"")</f>
        <v/>
      </c>
    </row>
    <row r="354">
      <c r="A354" t="n">
        <v>248</v>
      </c>
      <c r="B354" s="7" t="n"/>
      <c r="C354" s="11">
        <f>IF(AND(ISNUMBER(B354),ISNUMBER(B353)),ABS(B354-B353),"")</f>
        <v/>
      </c>
      <c r="D354" s="13">
        <f>IF(AND(ISNUMBER(B354),ISNUMBER($B$88),ISNUMBER($D$88)),IF(B354&gt;$D$88,"boven UCL",IF(B354&lt;$B$88,"onder LCL","")),"")</f>
        <v/>
      </c>
      <c r="E354" s="13">
        <f>IF(AND(ISNUMBER(C354),ISNUMBER($B$89),ISNUMBER($D$89)),IF(C354&gt;$D$89,"boven UCL",IF(C354&lt;$B$89,"onder LCL","")),"")</f>
        <v/>
      </c>
      <c r="G354" t="n">
        <v>248</v>
      </c>
      <c r="H354" s="7" t="n"/>
      <c r="I354" s="7" t="n"/>
      <c r="J354" s="11">
        <f>IF(AND(ISNUMBER(H354),ISNUMBER(I354),H354&gt;0,ISNUMBER($B$94)),I354/H354,"")</f>
        <v/>
      </c>
      <c r="K354" s="11">
        <f>IF(AND(ISNUMBER(H354),ISNUMBER(I354),H354&gt;0,ISNUMBER($B$94)),MAX(0,$B$94-3*SQRT($B$94*(1-$B$94)/H354)),"")</f>
        <v/>
      </c>
      <c r="L354" s="11">
        <f>IF(AND(ISNUMBER(H354),ISNUMBER(I354),H354&gt;0,ISNUMBER($B$94)),$B$94+3*SQRT($B$94*(1-$B$94)/H354),"")</f>
        <v/>
      </c>
      <c r="M354" s="13">
        <f>IF(AND(ISNUMBER(J354),ISNUMBER(K354),ISNUMBER(L354)),IF(J354&gt;L354,"boven UCL",IF(J354&lt;K354,"onder LCL","")),"")</f>
        <v/>
      </c>
      <c r="O354" t="n">
        <v>248</v>
      </c>
      <c r="P354" s="7" t="n"/>
      <c r="Q354" s="7" t="n"/>
      <c r="R354" s="11">
        <f>IF(AND(ISNUMBER(P354),ISNUMBER(Q354),P354&gt;0,ISNUMBER($B$100)),Q354/P354,"")</f>
        <v/>
      </c>
      <c r="S354" s="11">
        <f>IF(AND(ISNUMBER(P354),ISNUMBER(Q354),P354&gt;0,ISNUMBER($B$100)),MAX(0,$B$100-3*SQRT($B$100/P354)),"")</f>
        <v/>
      </c>
      <c r="T354" s="11">
        <f>IF(AND(ISNUMBER(P354),ISNUMBER(Q354),P354&gt;0,ISNUMBER($B$100)),$B$100+3*SQRT($B$100/P354),"")</f>
        <v/>
      </c>
      <c r="U354" s="13">
        <f>IF(AND(ISNUMBER(R354),ISNUMBER(S354),ISNUMBER(T354)),IF(R354&gt;T354,"boven UCL",IF(R354&lt;S354,"onder LCL","")),"")</f>
        <v/>
      </c>
    </row>
    <row r="355">
      <c r="A355" t="n">
        <v>249</v>
      </c>
      <c r="B355" s="7" t="n"/>
      <c r="C355" s="11">
        <f>IF(AND(ISNUMBER(B355),ISNUMBER(B354)),ABS(B355-B354),"")</f>
        <v/>
      </c>
      <c r="D355" s="13">
        <f>IF(AND(ISNUMBER(B355),ISNUMBER($B$88),ISNUMBER($D$88)),IF(B355&gt;$D$88,"boven UCL",IF(B355&lt;$B$88,"onder LCL","")),"")</f>
        <v/>
      </c>
      <c r="E355" s="13">
        <f>IF(AND(ISNUMBER(C355),ISNUMBER($B$89),ISNUMBER($D$89)),IF(C355&gt;$D$89,"boven UCL",IF(C355&lt;$B$89,"onder LCL","")),"")</f>
        <v/>
      </c>
      <c r="G355" t="n">
        <v>249</v>
      </c>
      <c r="H355" s="7" t="n"/>
      <c r="I355" s="7" t="n"/>
      <c r="J355" s="11">
        <f>IF(AND(ISNUMBER(H355),ISNUMBER(I355),H355&gt;0,ISNUMBER($B$94)),I355/H355,"")</f>
        <v/>
      </c>
      <c r="K355" s="11">
        <f>IF(AND(ISNUMBER(H355),ISNUMBER(I355),H355&gt;0,ISNUMBER($B$94)),MAX(0,$B$94-3*SQRT($B$94*(1-$B$94)/H355)),"")</f>
        <v/>
      </c>
      <c r="L355" s="11">
        <f>IF(AND(ISNUMBER(H355),ISNUMBER(I355),H355&gt;0,ISNUMBER($B$94)),$B$94+3*SQRT($B$94*(1-$B$94)/H355),"")</f>
        <v/>
      </c>
      <c r="M355" s="13">
        <f>IF(AND(ISNUMBER(J355),ISNUMBER(K355),ISNUMBER(L355)),IF(J355&gt;L355,"boven UCL",IF(J355&lt;K355,"onder LCL","")),"")</f>
        <v/>
      </c>
      <c r="O355" t="n">
        <v>249</v>
      </c>
      <c r="P355" s="7" t="n"/>
      <c r="Q355" s="7" t="n"/>
      <c r="R355" s="11">
        <f>IF(AND(ISNUMBER(P355),ISNUMBER(Q355),P355&gt;0,ISNUMBER($B$100)),Q355/P355,"")</f>
        <v/>
      </c>
      <c r="S355" s="11">
        <f>IF(AND(ISNUMBER(P355),ISNUMBER(Q355),P355&gt;0,ISNUMBER($B$100)),MAX(0,$B$100-3*SQRT($B$100/P355)),"")</f>
        <v/>
      </c>
      <c r="T355" s="11">
        <f>IF(AND(ISNUMBER(P355),ISNUMBER(Q355),P355&gt;0,ISNUMBER($B$100)),$B$100+3*SQRT($B$100/P355),"")</f>
        <v/>
      </c>
      <c r="U355" s="13">
        <f>IF(AND(ISNUMBER(R355),ISNUMBER(S355),ISNUMBER(T355)),IF(R355&gt;T355,"boven UCL",IF(R355&lt;S355,"onder LCL","")),"")</f>
        <v/>
      </c>
    </row>
    <row r="356">
      <c r="A356" t="n">
        <v>250</v>
      </c>
      <c r="B356" s="7" t="n"/>
      <c r="C356" s="11">
        <f>IF(AND(ISNUMBER(B356),ISNUMBER(B355)),ABS(B356-B355),"")</f>
        <v/>
      </c>
      <c r="D356" s="13">
        <f>IF(AND(ISNUMBER(B356),ISNUMBER($B$88),ISNUMBER($D$88)),IF(B356&gt;$D$88,"boven UCL",IF(B356&lt;$B$88,"onder LCL","")),"")</f>
        <v/>
      </c>
      <c r="E356" s="13">
        <f>IF(AND(ISNUMBER(C356),ISNUMBER($B$89),ISNUMBER($D$89)),IF(C356&gt;$D$89,"boven UCL",IF(C356&lt;$B$89,"onder LCL","")),"")</f>
        <v/>
      </c>
      <c r="G356" t="n">
        <v>250</v>
      </c>
      <c r="H356" s="7" t="n"/>
      <c r="I356" s="7" t="n"/>
      <c r="J356" s="11">
        <f>IF(AND(ISNUMBER(H356),ISNUMBER(I356),H356&gt;0,ISNUMBER($B$94)),I356/H356,"")</f>
        <v/>
      </c>
      <c r="K356" s="11">
        <f>IF(AND(ISNUMBER(H356),ISNUMBER(I356),H356&gt;0,ISNUMBER($B$94)),MAX(0,$B$94-3*SQRT($B$94*(1-$B$94)/H356)),"")</f>
        <v/>
      </c>
      <c r="L356" s="11">
        <f>IF(AND(ISNUMBER(H356),ISNUMBER(I356),H356&gt;0,ISNUMBER($B$94)),$B$94+3*SQRT($B$94*(1-$B$94)/H356),"")</f>
        <v/>
      </c>
      <c r="M356" s="13">
        <f>IF(AND(ISNUMBER(J356),ISNUMBER(K356),ISNUMBER(L356)),IF(J356&gt;L356,"boven UCL",IF(J356&lt;K356,"onder LCL","")),"")</f>
        <v/>
      </c>
      <c r="O356" t="n">
        <v>250</v>
      </c>
      <c r="P356" s="7" t="n"/>
      <c r="Q356" s="7" t="n"/>
      <c r="R356" s="11">
        <f>IF(AND(ISNUMBER(P356),ISNUMBER(Q356),P356&gt;0,ISNUMBER($B$100)),Q356/P356,"")</f>
        <v/>
      </c>
      <c r="S356" s="11">
        <f>IF(AND(ISNUMBER(P356),ISNUMBER(Q356),P356&gt;0,ISNUMBER($B$100)),MAX(0,$B$100-3*SQRT($B$100/P356)),"")</f>
        <v/>
      </c>
      <c r="T356" s="11">
        <f>IF(AND(ISNUMBER(P356),ISNUMBER(Q356),P356&gt;0,ISNUMBER($B$100)),$B$100+3*SQRT($B$100/P356),"")</f>
        <v/>
      </c>
      <c r="U356" s="13">
        <f>IF(AND(ISNUMBER(R356),ISNUMBER(S356),ISNUMBER(T356)),IF(R356&gt;T356,"boven UCL",IF(R356&lt;S356,"onder LCL","")),"")</f>
        <v/>
      </c>
    </row>
    <row r="357">
      <c r="A357" t="n">
        <v>251</v>
      </c>
      <c r="B357" s="7" t="n"/>
      <c r="C357" s="11">
        <f>IF(AND(ISNUMBER(B357),ISNUMBER(B356)),ABS(B357-B356),"")</f>
        <v/>
      </c>
      <c r="D357" s="13">
        <f>IF(AND(ISNUMBER(B357),ISNUMBER($B$88),ISNUMBER($D$88)),IF(B357&gt;$D$88,"boven UCL",IF(B357&lt;$B$88,"onder LCL","")),"")</f>
        <v/>
      </c>
      <c r="E357" s="13">
        <f>IF(AND(ISNUMBER(C357),ISNUMBER($B$89),ISNUMBER($D$89)),IF(C357&gt;$D$89,"boven UCL",IF(C357&lt;$B$89,"onder LCL","")),"")</f>
        <v/>
      </c>
      <c r="G357" t="n">
        <v>251</v>
      </c>
      <c r="H357" s="7" t="n"/>
      <c r="I357" s="7" t="n"/>
      <c r="J357" s="11">
        <f>IF(AND(ISNUMBER(H357),ISNUMBER(I357),H357&gt;0,ISNUMBER($B$94)),I357/H357,"")</f>
        <v/>
      </c>
      <c r="K357" s="11">
        <f>IF(AND(ISNUMBER(H357),ISNUMBER(I357),H357&gt;0,ISNUMBER($B$94)),MAX(0,$B$94-3*SQRT($B$94*(1-$B$94)/H357)),"")</f>
        <v/>
      </c>
      <c r="L357" s="11">
        <f>IF(AND(ISNUMBER(H357),ISNUMBER(I357),H357&gt;0,ISNUMBER($B$94)),$B$94+3*SQRT($B$94*(1-$B$94)/H357),"")</f>
        <v/>
      </c>
      <c r="M357" s="13">
        <f>IF(AND(ISNUMBER(J357),ISNUMBER(K357),ISNUMBER(L357)),IF(J357&gt;L357,"boven UCL",IF(J357&lt;K357,"onder LCL","")),"")</f>
        <v/>
      </c>
      <c r="O357" t="n">
        <v>251</v>
      </c>
      <c r="P357" s="7" t="n"/>
      <c r="Q357" s="7" t="n"/>
      <c r="R357" s="11">
        <f>IF(AND(ISNUMBER(P357),ISNUMBER(Q357),P357&gt;0,ISNUMBER($B$100)),Q357/P357,"")</f>
        <v/>
      </c>
      <c r="S357" s="11">
        <f>IF(AND(ISNUMBER(P357),ISNUMBER(Q357),P357&gt;0,ISNUMBER($B$100)),MAX(0,$B$100-3*SQRT($B$100/P357)),"")</f>
        <v/>
      </c>
      <c r="T357" s="11">
        <f>IF(AND(ISNUMBER(P357),ISNUMBER(Q357),P357&gt;0,ISNUMBER($B$100)),$B$100+3*SQRT($B$100/P357),"")</f>
        <v/>
      </c>
      <c r="U357" s="13">
        <f>IF(AND(ISNUMBER(R357),ISNUMBER(S357),ISNUMBER(T357)),IF(R357&gt;T357,"boven UCL",IF(R357&lt;S357,"onder LCL","")),"")</f>
        <v/>
      </c>
    </row>
    <row r="358">
      <c r="A358" t="n">
        <v>252</v>
      </c>
      <c r="B358" s="7" t="n"/>
      <c r="C358" s="11">
        <f>IF(AND(ISNUMBER(B358),ISNUMBER(B357)),ABS(B358-B357),"")</f>
        <v/>
      </c>
      <c r="D358" s="13">
        <f>IF(AND(ISNUMBER(B358),ISNUMBER($B$88),ISNUMBER($D$88)),IF(B358&gt;$D$88,"boven UCL",IF(B358&lt;$B$88,"onder LCL","")),"")</f>
        <v/>
      </c>
      <c r="E358" s="13">
        <f>IF(AND(ISNUMBER(C358),ISNUMBER($B$89),ISNUMBER($D$89)),IF(C358&gt;$D$89,"boven UCL",IF(C358&lt;$B$89,"onder LCL","")),"")</f>
        <v/>
      </c>
      <c r="G358" t="n">
        <v>252</v>
      </c>
      <c r="H358" s="7" t="n"/>
      <c r="I358" s="7" t="n"/>
      <c r="J358" s="11">
        <f>IF(AND(ISNUMBER(H358),ISNUMBER(I358),H358&gt;0,ISNUMBER($B$94)),I358/H358,"")</f>
        <v/>
      </c>
      <c r="K358" s="11">
        <f>IF(AND(ISNUMBER(H358),ISNUMBER(I358),H358&gt;0,ISNUMBER($B$94)),MAX(0,$B$94-3*SQRT($B$94*(1-$B$94)/H358)),"")</f>
        <v/>
      </c>
      <c r="L358" s="11">
        <f>IF(AND(ISNUMBER(H358),ISNUMBER(I358),H358&gt;0,ISNUMBER($B$94)),$B$94+3*SQRT($B$94*(1-$B$94)/H358),"")</f>
        <v/>
      </c>
      <c r="M358" s="13">
        <f>IF(AND(ISNUMBER(J358),ISNUMBER(K358),ISNUMBER(L358)),IF(J358&gt;L358,"boven UCL",IF(J358&lt;K358,"onder LCL","")),"")</f>
        <v/>
      </c>
      <c r="O358" t="n">
        <v>252</v>
      </c>
      <c r="P358" s="7" t="n"/>
      <c r="Q358" s="7" t="n"/>
      <c r="R358" s="11">
        <f>IF(AND(ISNUMBER(P358),ISNUMBER(Q358),P358&gt;0,ISNUMBER($B$100)),Q358/P358,"")</f>
        <v/>
      </c>
      <c r="S358" s="11">
        <f>IF(AND(ISNUMBER(P358),ISNUMBER(Q358),P358&gt;0,ISNUMBER($B$100)),MAX(0,$B$100-3*SQRT($B$100/P358)),"")</f>
        <v/>
      </c>
      <c r="T358" s="11">
        <f>IF(AND(ISNUMBER(P358),ISNUMBER(Q358),P358&gt;0,ISNUMBER($B$100)),$B$100+3*SQRT($B$100/P358),"")</f>
        <v/>
      </c>
      <c r="U358" s="13">
        <f>IF(AND(ISNUMBER(R358),ISNUMBER(S358),ISNUMBER(T358)),IF(R358&gt;T358,"boven UCL",IF(R358&lt;S358,"onder LCL","")),"")</f>
        <v/>
      </c>
    </row>
    <row r="359">
      <c r="A359" t="n">
        <v>253</v>
      </c>
      <c r="B359" s="7" t="n"/>
      <c r="C359" s="11">
        <f>IF(AND(ISNUMBER(B359),ISNUMBER(B358)),ABS(B359-B358),"")</f>
        <v/>
      </c>
      <c r="D359" s="13">
        <f>IF(AND(ISNUMBER(B359),ISNUMBER($B$88),ISNUMBER($D$88)),IF(B359&gt;$D$88,"boven UCL",IF(B359&lt;$B$88,"onder LCL","")),"")</f>
        <v/>
      </c>
      <c r="E359" s="13">
        <f>IF(AND(ISNUMBER(C359),ISNUMBER($B$89),ISNUMBER($D$89)),IF(C359&gt;$D$89,"boven UCL",IF(C359&lt;$B$89,"onder LCL","")),"")</f>
        <v/>
      </c>
      <c r="G359" t="n">
        <v>253</v>
      </c>
      <c r="H359" s="7" t="n"/>
      <c r="I359" s="7" t="n"/>
      <c r="J359" s="11">
        <f>IF(AND(ISNUMBER(H359),ISNUMBER(I359),H359&gt;0,ISNUMBER($B$94)),I359/H359,"")</f>
        <v/>
      </c>
      <c r="K359" s="11">
        <f>IF(AND(ISNUMBER(H359),ISNUMBER(I359),H359&gt;0,ISNUMBER($B$94)),MAX(0,$B$94-3*SQRT($B$94*(1-$B$94)/H359)),"")</f>
        <v/>
      </c>
      <c r="L359" s="11">
        <f>IF(AND(ISNUMBER(H359),ISNUMBER(I359),H359&gt;0,ISNUMBER($B$94)),$B$94+3*SQRT($B$94*(1-$B$94)/H359),"")</f>
        <v/>
      </c>
      <c r="M359" s="13">
        <f>IF(AND(ISNUMBER(J359),ISNUMBER(K359),ISNUMBER(L359)),IF(J359&gt;L359,"boven UCL",IF(J359&lt;K359,"onder LCL","")),"")</f>
        <v/>
      </c>
      <c r="O359" t="n">
        <v>253</v>
      </c>
      <c r="P359" s="7" t="n"/>
      <c r="Q359" s="7" t="n"/>
      <c r="R359" s="11">
        <f>IF(AND(ISNUMBER(P359),ISNUMBER(Q359),P359&gt;0,ISNUMBER($B$100)),Q359/P359,"")</f>
        <v/>
      </c>
      <c r="S359" s="11">
        <f>IF(AND(ISNUMBER(P359),ISNUMBER(Q359),P359&gt;0,ISNUMBER($B$100)),MAX(0,$B$100-3*SQRT($B$100/P359)),"")</f>
        <v/>
      </c>
      <c r="T359" s="11">
        <f>IF(AND(ISNUMBER(P359),ISNUMBER(Q359),P359&gt;0,ISNUMBER($B$100)),$B$100+3*SQRT($B$100/P359),"")</f>
        <v/>
      </c>
      <c r="U359" s="13">
        <f>IF(AND(ISNUMBER(R359),ISNUMBER(S359),ISNUMBER(T359)),IF(R359&gt;T359,"boven UCL",IF(R359&lt;S359,"onder LCL","")),"")</f>
        <v/>
      </c>
    </row>
    <row r="360">
      <c r="A360" t="n">
        <v>254</v>
      </c>
      <c r="B360" s="7" t="n"/>
      <c r="C360" s="11">
        <f>IF(AND(ISNUMBER(B360),ISNUMBER(B359)),ABS(B360-B359),"")</f>
        <v/>
      </c>
      <c r="D360" s="13">
        <f>IF(AND(ISNUMBER(B360),ISNUMBER($B$88),ISNUMBER($D$88)),IF(B360&gt;$D$88,"boven UCL",IF(B360&lt;$B$88,"onder LCL","")),"")</f>
        <v/>
      </c>
      <c r="E360" s="13">
        <f>IF(AND(ISNUMBER(C360),ISNUMBER($B$89),ISNUMBER($D$89)),IF(C360&gt;$D$89,"boven UCL",IF(C360&lt;$B$89,"onder LCL","")),"")</f>
        <v/>
      </c>
      <c r="G360" t="n">
        <v>254</v>
      </c>
      <c r="H360" s="7" t="n"/>
      <c r="I360" s="7" t="n"/>
      <c r="J360" s="11">
        <f>IF(AND(ISNUMBER(H360),ISNUMBER(I360),H360&gt;0,ISNUMBER($B$94)),I360/H360,"")</f>
        <v/>
      </c>
      <c r="K360" s="11">
        <f>IF(AND(ISNUMBER(H360),ISNUMBER(I360),H360&gt;0,ISNUMBER($B$94)),MAX(0,$B$94-3*SQRT($B$94*(1-$B$94)/H360)),"")</f>
        <v/>
      </c>
      <c r="L360" s="11">
        <f>IF(AND(ISNUMBER(H360),ISNUMBER(I360),H360&gt;0,ISNUMBER($B$94)),$B$94+3*SQRT($B$94*(1-$B$94)/H360),"")</f>
        <v/>
      </c>
      <c r="M360" s="13">
        <f>IF(AND(ISNUMBER(J360),ISNUMBER(K360),ISNUMBER(L360)),IF(J360&gt;L360,"boven UCL",IF(J360&lt;K360,"onder LCL","")),"")</f>
        <v/>
      </c>
      <c r="O360" t="n">
        <v>254</v>
      </c>
      <c r="P360" s="7" t="n"/>
      <c r="Q360" s="7" t="n"/>
      <c r="R360" s="11">
        <f>IF(AND(ISNUMBER(P360),ISNUMBER(Q360),P360&gt;0,ISNUMBER($B$100)),Q360/P360,"")</f>
        <v/>
      </c>
      <c r="S360" s="11">
        <f>IF(AND(ISNUMBER(P360),ISNUMBER(Q360),P360&gt;0,ISNUMBER($B$100)),MAX(0,$B$100-3*SQRT($B$100/P360)),"")</f>
        <v/>
      </c>
      <c r="T360" s="11">
        <f>IF(AND(ISNUMBER(P360),ISNUMBER(Q360),P360&gt;0,ISNUMBER($B$100)),$B$100+3*SQRT($B$100/P360),"")</f>
        <v/>
      </c>
      <c r="U360" s="13">
        <f>IF(AND(ISNUMBER(R360),ISNUMBER(S360),ISNUMBER(T360)),IF(R360&gt;T360,"boven UCL",IF(R360&lt;S360,"onder LCL","")),"")</f>
        <v/>
      </c>
    </row>
    <row r="361">
      <c r="A361" t="n">
        <v>255</v>
      </c>
      <c r="B361" s="7" t="n"/>
      <c r="C361" s="11">
        <f>IF(AND(ISNUMBER(B361),ISNUMBER(B360)),ABS(B361-B360),"")</f>
        <v/>
      </c>
      <c r="D361" s="13">
        <f>IF(AND(ISNUMBER(B361),ISNUMBER($B$88),ISNUMBER($D$88)),IF(B361&gt;$D$88,"boven UCL",IF(B361&lt;$B$88,"onder LCL","")),"")</f>
        <v/>
      </c>
      <c r="E361" s="13">
        <f>IF(AND(ISNUMBER(C361),ISNUMBER($B$89),ISNUMBER($D$89)),IF(C361&gt;$D$89,"boven UCL",IF(C361&lt;$B$89,"onder LCL","")),"")</f>
        <v/>
      </c>
      <c r="G361" t="n">
        <v>255</v>
      </c>
      <c r="H361" s="7" t="n"/>
      <c r="I361" s="7" t="n"/>
      <c r="J361" s="11">
        <f>IF(AND(ISNUMBER(H361),ISNUMBER(I361),H361&gt;0,ISNUMBER($B$94)),I361/H361,"")</f>
        <v/>
      </c>
      <c r="K361" s="11">
        <f>IF(AND(ISNUMBER(H361),ISNUMBER(I361),H361&gt;0,ISNUMBER($B$94)),MAX(0,$B$94-3*SQRT($B$94*(1-$B$94)/H361)),"")</f>
        <v/>
      </c>
      <c r="L361" s="11">
        <f>IF(AND(ISNUMBER(H361),ISNUMBER(I361),H361&gt;0,ISNUMBER($B$94)),$B$94+3*SQRT($B$94*(1-$B$94)/H361),"")</f>
        <v/>
      </c>
      <c r="M361" s="13">
        <f>IF(AND(ISNUMBER(J361),ISNUMBER(K361),ISNUMBER(L361)),IF(J361&gt;L361,"boven UCL",IF(J361&lt;K361,"onder LCL","")),"")</f>
        <v/>
      </c>
      <c r="O361" t="n">
        <v>255</v>
      </c>
      <c r="P361" s="7" t="n"/>
      <c r="Q361" s="7" t="n"/>
      <c r="R361" s="11">
        <f>IF(AND(ISNUMBER(P361),ISNUMBER(Q361),P361&gt;0,ISNUMBER($B$100)),Q361/P361,"")</f>
        <v/>
      </c>
      <c r="S361" s="11">
        <f>IF(AND(ISNUMBER(P361),ISNUMBER(Q361),P361&gt;0,ISNUMBER($B$100)),MAX(0,$B$100-3*SQRT($B$100/P361)),"")</f>
        <v/>
      </c>
      <c r="T361" s="11">
        <f>IF(AND(ISNUMBER(P361),ISNUMBER(Q361),P361&gt;0,ISNUMBER($B$100)),$B$100+3*SQRT($B$100/P361),"")</f>
        <v/>
      </c>
      <c r="U361" s="13">
        <f>IF(AND(ISNUMBER(R361),ISNUMBER(S361),ISNUMBER(T361)),IF(R361&gt;T361,"boven UCL",IF(R361&lt;S361,"onder LCL","")),"")</f>
        <v/>
      </c>
    </row>
    <row r="362">
      <c r="A362" t="n">
        <v>256</v>
      </c>
      <c r="B362" s="7" t="n"/>
      <c r="C362" s="11">
        <f>IF(AND(ISNUMBER(B362),ISNUMBER(B361)),ABS(B362-B361),"")</f>
        <v/>
      </c>
      <c r="D362" s="13">
        <f>IF(AND(ISNUMBER(B362),ISNUMBER($B$88),ISNUMBER($D$88)),IF(B362&gt;$D$88,"boven UCL",IF(B362&lt;$B$88,"onder LCL","")),"")</f>
        <v/>
      </c>
      <c r="E362" s="13">
        <f>IF(AND(ISNUMBER(C362),ISNUMBER($B$89),ISNUMBER($D$89)),IF(C362&gt;$D$89,"boven UCL",IF(C362&lt;$B$89,"onder LCL","")),"")</f>
        <v/>
      </c>
      <c r="G362" t="n">
        <v>256</v>
      </c>
      <c r="H362" s="7" t="n"/>
      <c r="I362" s="7" t="n"/>
      <c r="J362" s="11">
        <f>IF(AND(ISNUMBER(H362),ISNUMBER(I362),H362&gt;0,ISNUMBER($B$94)),I362/H362,"")</f>
        <v/>
      </c>
      <c r="K362" s="11">
        <f>IF(AND(ISNUMBER(H362),ISNUMBER(I362),H362&gt;0,ISNUMBER($B$94)),MAX(0,$B$94-3*SQRT($B$94*(1-$B$94)/H362)),"")</f>
        <v/>
      </c>
      <c r="L362" s="11">
        <f>IF(AND(ISNUMBER(H362),ISNUMBER(I362),H362&gt;0,ISNUMBER($B$94)),$B$94+3*SQRT($B$94*(1-$B$94)/H362),"")</f>
        <v/>
      </c>
      <c r="M362" s="13">
        <f>IF(AND(ISNUMBER(J362),ISNUMBER(K362),ISNUMBER(L362)),IF(J362&gt;L362,"boven UCL",IF(J362&lt;K362,"onder LCL","")),"")</f>
        <v/>
      </c>
      <c r="O362" t="n">
        <v>256</v>
      </c>
      <c r="P362" s="7" t="n"/>
      <c r="Q362" s="7" t="n"/>
      <c r="R362" s="11">
        <f>IF(AND(ISNUMBER(P362),ISNUMBER(Q362),P362&gt;0,ISNUMBER($B$100)),Q362/P362,"")</f>
        <v/>
      </c>
      <c r="S362" s="11">
        <f>IF(AND(ISNUMBER(P362),ISNUMBER(Q362),P362&gt;0,ISNUMBER($B$100)),MAX(0,$B$100-3*SQRT($B$100/P362)),"")</f>
        <v/>
      </c>
      <c r="T362" s="11">
        <f>IF(AND(ISNUMBER(P362),ISNUMBER(Q362),P362&gt;0,ISNUMBER($B$100)),$B$100+3*SQRT($B$100/P362),"")</f>
        <v/>
      </c>
      <c r="U362" s="13">
        <f>IF(AND(ISNUMBER(R362),ISNUMBER(S362),ISNUMBER(T362)),IF(R362&gt;T362,"boven UCL",IF(R362&lt;S362,"onder LCL","")),"")</f>
        <v/>
      </c>
    </row>
    <row r="363">
      <c r="A363" t="n">
        <v>257</v>
      </c>
      <c r="B363" s="7" t="n"/>
      <c r="C363" s="11">
        <f>IF(AND(ISNUMBER(B363),ISNUMBER(B362)),ABS(B363-B362),"")</f>
        <v/>
      </c>
      <c r="D363" s="13">
        <f>IF(AND(ISNUMBER(B363),ISNUMBER($B$88),ISNUMBER($D$88)),IF(B363&gt;$D$88,"boven UCL",IF(B363&lt;$B$88,"onder LCL","")),"")</f>
        <v/>
      </c>
      <c r="E363" s="13">
        <f>IF(AND(ISNUMBER(C363),ISNUMBER($B$89),ISNUMBER($D$89)),IF(C363&gt;$D$89,"boven UCL",IF(C363&lt;$B$89,"onder LCL","")),"")</f>
        <v/>
      </c>
      <c r="G363" t="n">
        <v>257</v>
      </c>
      <c r="H363" s="7" t="n"/>
      <c r="I363" s="7" t="n"/>
      <c r="J363" s="11">
        <f>IF(AND(ISNUMBER(H363),ISNUMBER(I363),H363&gt;0,ISNUMBER($B$94)),I363/H363,"")</f>
        <v/>
      </c>
      <c r="K363" s="11">
        <f>IF(AND(ISNUMBER(H363),ISNUMBER(I363),H363&gt;0,ISNUMBER($B$94)),MAX(0,$B$94-3*SQRT($B$94*(1-$B$94)/H363)),"")</f>
        <v/>
      </c>
      <c r="L363" s="11">
        <f>IF(AND(ISNUMBER(H363),ISNUMBER(I363),H363&gt;0,ISNUMBER($B$94)),$B$94+3*SQRT($B$94*(1-$B$94)/H363),"")</f>
        <v/>
      </c>
      <c r="M363" s="13">
        <f>IF(AND(ISNUMBER(J363),ISNUMBER(K363),ISNUMBER(L363)),IF(J363&gt;L363,"boven UCL",IF(J363&lt;K363,"onder LCL","")),"")</f>
        <v/>
      </c>
      <c r="O363" t="n">
        <v>257</v>
      </c>
      <c r="P363" s="7" t="n"/>
      <c r="Q363" s="7" t="n"/>
      <c r="R363" s="11">
        <f>IF(AND(ISNUMBER(P363),ISNUMBER(Q363),P363&gt;0,ISNUMBER($B$100)),Q363/P363,"")</f>
        <v/>
      </c>
      <c r="S363" s="11">
        <f>IF(AND(ISNUMBER(P363),ISNUMBER(Q363),P363&gt;0,ISNUMBER($B$100)),MAX(0,$B$100-3*SQRT($B$100/P363)),"")</f>
        <v/>
      </c>
      <c r="T363" s="11">
        <f>IF(AND(ISNUMBER(P363),ISNUMBER(Q363),P363&gt;0,ISNUMBER($B$100)),$B$100+3*SQRT($B$100/P363),"")</f>
        <v/>
      </c>
      <c r="U363" s="13">
        <f>IF(AND(ISNUMBER(R363),ISNUMBER(S363),ISNUMBER(T363)),IF(R363&gt;T363,"boven UCL",IF(R363&lt;S363,"onder LCL","")),"")</f>
        <v/>
      </c>
    </row>
    <row r="364">
      <c r="A364" t="n">
        <v>258</v>
      </c>
      <c r="B364" s="7" t="n"/>
      <c r="C364" s="11">
        <f>IF(AND(ISNUMBER(B364),ISNUMBER(B363)),ABS(B364-B363),"")</f>
        <v/>
      </c>
      <c r="D364" s="13">
        <f>IF(AND(ISNUMBER(B364),ISNUMBER($B$88),ISNUMBER($D$88)),IF(B364&gt;$D$88,"boven UCL",IF(B364&lt;$B$88,"onder LCL","")),"")</f>
        <v/>
      </c>
      <c r="E364" s="13">
        <f>IF(AND(ISNUMBER(C364),ISNUMBER($B$89),ISNUMBER($D$89)),IF(C364&gt;$D$89,"boven UCL",IF(C364&lt;$B$89,"onder LCL","")),"")</f>
        <v/>
      </c>
      <c r="G364" t="n">
        <v>258</v>
      </c>
      <c r="H364" s="7" t="n"/>
      <c r="I364" s="7" t="n"/>
      <c r="J364" s="11">
        <f>IF(AND(ISNUMBER(H364),ISNUMBER(I364),H364&gt;0,ISNUMBER($B$94)),I364/H364,"")</f>
        <v/>
      </c>
      <c r="K364" s="11">
        <f>IF(AND(ISNUMBER(H364),ISNUMBER(I364),H364&gt;0,ISNUMBER($B$94)),MAX(0,$B$94-3*SQRT($B$94*(1-$B$94)/H364)),"")</f>
        <v/>
      </c>
      <c r="L364" s="11">
        <f>IF(AND(ISNUMBER(H364),ISNUMBER(I364),H364&gt;0,ISNUMBER($B$94)),$B$94+3*SQRT($B$94*(1-$B$94)/H364),"")</f>
        <v/>
      </c>
      <c r="M364" s="13">
        <f>IF(AND(ISNUMBER(J364),ISNUMBER(K364),ISNUMBER(L364)),IF(J364&gt;L364,"boven UCL",IF(J364&lt;K364,"onder LCL","")),"")</f>
        <v/>
      </c>
      <c r="O364" t="n">
        <v>258</v>
      </c>
      <c r="P364" s="7" t="n"/>
      <c r="Q364" s="7" t="n"/>
      <c r="R364" s="11">
        <f>IF(AND(ISNUMBER(P364),ISNUMBER(Q364),P364&gt;0,ISNUMBER($B$100)),Q364/P364,"")</f>
        <v/>
      </c>
      <c r="S364" s="11">
        <f>IF(AND(ISNUMBER(P364),ISNUMBER(Q364),P364&gt;0,ISNUMBER($B$100)),MAX(0,$B$100-3*SQRT($B$100/P364)),"")</f>
        <v/>
      </c>
      <c r="T364" s="11">
        <f>IF(AND(ISNUMBER(P364),ISNUMBER(Q364),P364&gt;0,ISNUMBER($B$100)),$B$100+3*SQRT($B$100/P364),"")</f>
        <v/>
      </c>
      <c r="U364" s="13">
        <f>IF(AND(ISNUMBER(R364),ISNUMBER(S364),ISNUMBER(T364)),IF(R364&gt;T364,"boven UCL",IF(R364&lt;S364,"onder LCL","")),"")</f>
        <v/>
      </c>
    </row>
    <row r="365">
      <c r="A365" t="n">
        <v>259</v>
      </c>
      <c r="B365" s="7" t="n"/>
      <c r="C365" s="11">
        <f>IF(AND(ISNUMBER(B365),ISNUMBER(B364)),ABS(B365-B364),"")</f>
        <v/>
      </c>
      <c r="D365" s="13">
        <f>IF(AND(ISNUMBER(B365),ISNUMBER($B$88),ISNUMBER($D$88)),IF(B365&gt;$D$88,"boven UCL",IF(B365&lt;$B$88,"onder LCL","")),"")</f>
        <v/>
      </c>
      <c r="E365" s="13">
        <f>IF(AND(ISNUMBER(C365),ISNUMBER($B$89),ISNUMBER($D$89)),IF(C365&gt;$D$89,"boven UCL",IF(C365&lt;$B$89,"onder LCL","")),"")</f>
        <v/>
      </c>
      <c r="G365" t="n">
        <v>259</v>
      </c>
      <c r="H365" s="7" t="n"/>
      <c r="I365" s="7" t="n"/>
      <c r="J365" s="11">
        <f>IF(AND(ISNUMBER(H365),ISNUMBER(I365),H365&gt;0,ISNUMBER($B$94)),I365/H365,"")</f>
        <v/>
      </c>
      <c r="K365" s="11">
        <f>IF(AND(ISNUMBER(H365),ISNUMBER(I365),H365&gt;0,ISNUMBER($B$94)),MAX(0,$B$94-3*SQRT($B$94*(1-$B$94)/H365)),"")</f>
        <v/>
      </c>
      <c r="L365" s="11">
        <f>IF(AND(ISNUMBER(H365),ISNUMBER(I365),H365&gt;0,ISNUMBER($B$94)),$B$94+3*SQRT($B$94*(1-$B$94)/H365),"")</f>
        <v/>
      </c>
      <c r="M365" s="13">
        <f>IF(AND(ISNUMBER(J365),ISNUMBER(K365),ISNUMBER(L365)),IF(J365&gt;L365,"boven UCL",IF(J365&lt;K365,"onder LCL","")),"")</f>
        <v/>
      </c>
      <c r="O365" t="n">
        <v>259</v>
      </c>
      <c r="P365" s="7" t="n"/>
      <c r="Q365" s="7" t="n"/>
      <c r="R365" s="11">
        <f>IF(AND(ISNUMBER(P365),ISNUMBER(Q365),P365&gt;0,ISNUMBER($B$100)),Q365/P365,"")</f>
        <v/>
      </c>
      <c r="S365" s="11">
        <f>IF(AND(ISNUMBER(P365),ISNUMBER(Q365),P365&gt;0,ISNUMBER($B$100)),MAX(0,$B$100-3*SQRT($B$100/P365)),"")</f>
        <v/>
      </c>
      <c r="T365" s="11">
        <f>IF(AND(ISNUMBER(P365),ISNUMBER(Q365),P365&gt;0,ISNUMBER($B$100)),$B$100+3*SQRT($B$100/P365),"")</f>
        <v/>
      </c>
      <c r="U365" s="13">
        <f>IF(AND(ISNUMBER(R365),ISNUMBER(S365),ISNUMBER(T365)),IF(R365&gt;T365,"boven UCL",IF(R365&lt;S365,"onder LCL","")),"")</f>
        <v/>
      </c>
    </row>
    <row r="366">
      <c r="A366" t="n">
        <v>260</v>
      </c>
      <c r="B366" s="7" t="n"/>
      <c r="C366" s="11">
        <f>IF(AND(ISNUMBER(B366),ISNUMBER(B365)),ABS(B366-B365),"")</f>
        <v/>
      </c>
      <c r="D366" s="13">
        <f>IF(AND(ISNUMBER(B366),ISNUMBER($B$88),ISNUMBER($D$88)),IF(B366&gt;$D$88,"boven UCL",IF(B366&lt;$B$88,"onder LCL","")),"")</f>
        <v/>
      </c>
      <c r="E366" s="13">
        <f>IF(AND(ISNUMBER(C366),ISNUMBER($B$89),ISNUMBER($D$89)),IF(C366&gt;$D$89,"boven UCL",IF(C366&lt;$B$89,"onder LCL","")),"")</f>
        <v/>
      </c>
      <c r="G366" t="n">
        <v>260</v>
      </c>
      <c r="H366" s="7" t="n"/>
      <c r="I366" s="7" t="n"/>
      <c r="J366" s="11">
        <f>IF(AND(ISNUMBER(H366),ISNUMBER(I366),H366&gt;0,ISNUMBER($B$94)),I366/H366,"")</f>
        <v/>
      </c>
      <c r="K366" s="11">
        <f>IF(AND(ISNUMBER(H366),ISNUMBER(I366),H366&gt;0,ISNUMBER($B$94)),MAX(0,$B$94-3*SQRT($B$94*(1-$B$94)/H366)),"")</f>
        <v/>
      </c>
      <c r="L366" s="11">
        <f>IF(AND(ISNUMBER(H366),ISNUMBER(I366),H366&gt;0,ISNUMBER($B$94)),$B$94+3*SQRT($B$94*(1-$B$94)/H366),"")</f>
        <v/>
      </c>
      <c r="M366" s="13">
        <f>IF(AND(ISNUMBER(J366),ISNUMBER(K366),ISNUMBER(L366)),IF(J366&gt;L366,"boven UCL",IF(J366&lt;K366,"onder LCL","")),"")</f>
        <v/>
      </c>
      <c r="O366" t="n">
        <v>260</v>
      </c>
      <c r="P366" s="7" t="n"/>
      <c r="Q366" s="7" t="n"/>
      <c r="R366" s="11">
        <f>IF(AND(ISNUMBER(P366),ISNUMBER(Q366),P366&gt;0,ISNUMBER($B$100)),Q366/P366,"")</f>
        <v/>
      </c>
      <c r="S366" s="11">
        <f>IF(AND(ISNUMBER(P366),ISNUMBER(Q366),P366&gt;0,ISNUMBER($B$100)),MAX(0,$B$100-3*SQRT($B$100/P366)),"")</f>
        <v/>
      </c>
      <c r="T366" s="11">
        <f>IF(AND(ISNUMBER(P366),ISNUMBER(Q366),P366&gt;0,ISNUMBER($B$100)),$B$100+3*SQRT($B$100/P366),"")</f>
        <v/>
      </c>
      <c r="U366" s="13">
        <f>IF(AND(ISNUMBER(R366),ISNUMBER(S366),ISNUMBER(T366)),IF(R366&gt;T366,"boven UCL",IF(R366&lt;S366,"onder LCL","")),"")</f>
        <v/>
      </c>
    </row>
    <row r="367">
      <c r="A367" t="n">
        <v>261</v>
      </c>
      <c r="B367" s="7" t="n"/>
      <c r="C367" s="11">
        <f>IF(AND(ISNUMBER(B367),ISNUMBER(B366)),ABS(B367-B366),"")</f>
        <v/>
      </c>
      <c r="D367" s="13">
        <f>IF(AND(ISNUMBER(B367),ISNUMBER($B$88),ISNUMBER($D$88)),IF(B367&gt;$D$88,"boven UCL",IF(B367&lt;$B$88,"onder LCL","")),"")</f>
        <v/>
      </c>
      <c r="E367" s="13">
        <f>IF(AND(ISNUMBER(C367),ISNUMBER($B$89),ISNUMBER($D$89)),IF(C367&gt;$D$89,"boven UCL",IF(C367&lt;$B$89,"onder LCL","")),"")</f>
        <v/>
      </c>
      <c r="G367" t="n">
        <v>261</v>
      </c>
      <c r="H367" s="7" t="n"/>
      <c r="I367" s="7" t="n"/>
      <c r="J367" s="11">
        <f>IF(AND(ISNUMBER(H367),ISNUMBER(I367),H367&gt;0,ISNUMBER($B$94)),I367/H367,"")</f>
        <v/>
      </c>
      <c r="K367" s="11">
        <f>IF(AND(ISNUMBER(H367),ISNUMBER(I367),H367&gt;0,ISNUMBER($B$94)),MAX(0,$B$94-3*SQRT($B$94*(1-$B$94)/H367)),"")</f>
        <v/>
      </c>
      <c r="L367" s="11">
        <f>IF(AND(ISNUMBER(H367),ISNUMBER(I367),H367&gt;0,ISNUMBER($B$94)),$B$94+3*SQRT($B$94*(1-$B$94)/H367),"")</f>
        <v/>
      </c>
      <c r="M367" s="13">
        <f>IF(AND(ISNUMBER(J367),ISNUMBER(K367),ISNUMBER(L367)),IF(J367&gt;L367,"boven UCL",IF(J367&lt;K367,"onder LCL","")),"")</f>
        <v/>
      </c>
      <c r="O367" t="n">
        <v>261</v>
      </c>
      <c r="P367" s="7" t="n"/>
      <c r="Q367" s="7" t="n"/>
      <c r="R367" s="11">
        <f>IF(AND(ISNUMBER(P367),ISNUMBER(Q367),P367&gt;0,ISNUMBER($B$100)),Q367/P367,"")</f>
        <v/>
      </c>
      <c r="S367" s="11">
        <f>IF(AND(ISNUMBER(P367),ISNUMBER(Q367),P367&gt;0,ISNUMBER($B$100)),MAX(0,$B$100-3*SQRT($B$100/P367)),"")</f>
        <v/>
      </c>
      <c r="T367" s="11">
        <f>IF(AND(ISNUMBER(P367),ISNUMBER(Q367),P367&gt;0,ISNUMBER($B$100)),$B$100+3*SQRT($B$100/P367),"")</f>
        <v/>
      </c>
      <c r="U367" s="13">
        <f>IF(AND(ISNUMBER(R367),ISNUMBER(S367),ISNUMBER(T367)),IF(R367&gt;T367,"boven UCL",IF(R367&lt;S367,"onder LCL","")),"")</f>
        <v/>
      </c>
    </row>
    <row r="368">
      <c r="A368" t="n">
        <v>262</v>
      </c>
      <c r="B368" s="7" t="n"/>
      <c r="C368" s="11">
        <f>IF(AND(ISNUMBER(B368),ISNUMBER(B367)),ABS(B368-B367),"")</f>
        <v/>
      </c>
      <c r="D368" s="13">
        <f>IF(AND(ISNUMBER(B368),ISNUMBER($B$88),ISNUMBER($D$88)),IF(B368&gt;$D$88,"boven UCL",IF(B368&lt;$B$88,"onder LCL","")),"")</f>
        <v/>
      </c>
      <c r="E368" s="13">
        <f>IF(AND(ISNUMBER(C368),ISNUMBER($B$89),ISNUMBER($D$89)),IF(C368&gt;$D$89,"boven UCL",IF(C368&lt;$B$89,"onder LCL","")),"")</f>
        <v/>
      </c>
      <c r="G368" t="n">
        <v>262</v>
      </c>
      <c r="H368" s="7" t="n"/>
      <c r="I368" s="7" t="n"/>
      <c r="J368" s="11">
        <f>IF(AND(ISNUMBER(H368),ISNUMBER(I368),H368&gt;0,ISNUMBER($B$94)),I368/H368,"")</f>
        <v/>
      </c>
      <c r="K368" s="11">
        <f>IF(AND(ISNUMBER(H368),ISNUMBER(I368),H368&gt;0,ISNUMBER($B$94)),MAX(0,$B$94-3*SQRT($B$94*(1-$B$94)/H368)),"")</f>
        <v/>
      </c>
      <c r="L368" s="11">
        <f>IF(AND(ISNUMBER(H368),ISNUMBER(I368),H368&gt;0,ISNUMBER($B$94)),$B$94+3*SQRT($B$94*(1-$B$94)/H368),"")</f>
        <v/>
      </c>
      <c r="M368" s="13">
        <f>IF(AND(ISNUMBER(J368),ISNUMBER(K368),ISNUMBER(L368)),IF(J368&gt;L368,"boven UCL",IF(J368&lt;K368,"onder LCL","")),"")</f>
        <v/>
      </c>
      <c r="O368" t="n">
        <v>262</v>
      </c>
      <c r="P368" s="7" t="n"/>
      <c r="Q368" s="7" t="n"/>
      <c r="R368" s="11">
        <f>IF(AND(ISNUMBER(P368),ISNUMBER(Q368),P368&gt;0,ISNUMBER($B$100)),Q368/P368,"")</f>
        <v/>
      </c>
      <c r="S368" s="11">
        <f>IF(AND(ISNUMBER(P368),ISNUMBER(Q368),P368&gt;0,ISNUMBER($B$100)),MAX(0,$B$100-3*SQRT($B$100/P368)),"")</f>
        <v/>
      </c>
      <c r="T368" s="11">
        <f>IF(AND(ISNUMBER(P368),ISNUMBER(Q368),P368&gt;0,ISNUMBER($B$100)),$B$100+3*SQRT($B$100/P368),"")</f>
        <v/>
      </c>
      <c r="U368" s="13">
        <f>IF(AND(ISNUMBER(R368),ISNUMBER(S368),ISNUMBER(T368)),IF(R368&gt;T368,"boven UCL",IF(R368&lt;S368,"onder LCL","")),"")</f>
        <v/>
      </c>
    </row>
    <row r="369">
      <c r="A369" t="n">
        <v>263</v>
      </c>
      <c r="B369" s="7" t="n"/>
      <c r="C369" s="11">
        <f>IF(AND(ISNUMBER(B369),ISNUMBER(B368)),ABS(B369-B368),"")</f>
        <v/>
      </c>
      <c r="D369" s="13">
        <f>IF(AND(ISNUMBER(B369),ISNUMBER($B$88),ISNUMBER($D$88)),IF(B369&gt;$D$88,"boven UCL",IF(B369&lt;$B$88,"onder LCL","")),"")</f>
        <v/>
      </c>
      <c r="E369" s="13">
        <f>IF(AND(ISNUMBER(C369),ISNUMBER($B$89),ISNUMBER($D$89)),IF(C369&gt;$D$89,"boven UCL",IF(C369&lt;$B$89,"onder LCL","")),"")</f>
        <v/>
      </c>
      <c r="G369" t="n">
        <v>263</v>
      </c>
      <c r="H369" s="7" t="n"/>
      <c r="I369" s="7" t="n"/>
      <c r="J369" s="11">
        <f>IF(AND(ISNUMBER(H369),ISNUMBER(I369),H369&gt;0,ISNUMBER($B$94)),I369/H369,"")</f>
        <v/>
      </c>
      <c r="K369" s="11">
        <f>IF(AND(ISNUMBER(H369),ISNUMBER(I369),H369&gt;0,ISNUMBER($B$94)),MAX(0,$B$94-3*SQRT($B$94*(1-$B$94)/H369)),"")</f>
        <v/>
      </c>
      <c r="L369" s="11">
        <f>IF(AND(ISNUMBER(H369),ISNUMBER(I369),H369&gt;0,ISNUMBER($B$94)),$B$94+3*SQRT($B$94*(1-$B$94)/H369),"")</f>
        <v/>
      </c>
      <c r="M369" s="13">
        <f>IF(AND(ISNUMBER(J369),ISNUMBER(K369),ISNUMBER(L369)),IF(J369&gt;L369,"boven UCL",IF(J369&lt;K369,"onder LCL","")),"")</f>
        <v/>
      </c>
      <c r="O369" t="n">
        <v>263</v>
      </c>
      <c r="P369" s="7" t="n"/>
      <c r="Q369" s="7" t="n"/>
      <c r="R369" s="11">
        <f>IF(AND(ISNUMBER(P369),ISNUMBER(Q369),P369&gt;0,ISNUMBER($B$100)),Q369/P369,"")</f>
        <v/>
      </c>
      <c r="S369" s="11">
        <f>IF(AND(ISNUMBER(P369),ISNUMBER(Q369),P369&gt;0,ISNUMBER($B$100)),MAX(0,$B$100-3*SQRT($B$100/P369)),"")</f>
        <v/>
      </c>
      <c r="T369" s="11">
        <f>IF(AND(ISNUMBER(P369),ISNUMBER(Q369),P369&gt;0,ISNUMBER($B$100)),$B$100+3*SQRT($B$100/P369),"")</f>
        <v/>
      </c>
      <c r="U369" s="13">
        <f>IF(AND(ISNUMBER(R369),ISNUMBER(S369),ISNUMBER(T369)),IF(R369&gt;T369,"boven UCL",IF(R369&lt;S369,"onder LCL","")),"")</f>
        <v/>
      </c>
    </row>
    <row r="370">
      <c r="A370" t="n">
        <v>264</v>
      </c>
      <c r="B370" s="7" t="n"/>
      <c r="C370" s="11">
        <f>IF(AND(ISNUMBER(B370),ISNUMBER(B369)),ABS(B370-B369),"")</f>
        <v/>
      </c>
      <c r="D370" s="13">
        <f>IF(AND(ISNUMBER(B370),ISNUMBER($B$88),ISNUMBER($D$88)),IF(B370&gt;$D$88,"boven UCL",IF(B370&lt;$B$88,"onder LCL","")),"")</f>
        <v/>
      </c>
      <c r="E370" s="13">
        <f>IF(AND(ISNUMBER(C370),ISNUMBER($B$89),ISNUMBER($D$89)),IF(C370&gt;$D$89,"boven UCL",IF(C370&lt;$B$89,"onder LCL","")),"")</f>
        <v/>
      </c>
      <c r="G370" t="n">
        <v>264</v>
      </c>
      <c r="H370" s="7" t="n"/>
      <c r="I370" s="7" t="n"/>
      <c r="J370" s="11">
        <f>IF(AND(ISNUMBER(H370),ISNUMBER(I370),H370&gt;0,ISNUMBER($B$94)),I370/H370,"")</f>
        <v/>
      </c>
      <c r="K370" s="11">
        <f>IF(AND(ISNUMBER(H370),ISNUMBER(I370),H370&gt;0,ISNUMBER($B$94)),MAX(0,$B$94-3*SQRT($B$94*(1-$B$94)/H370)),"")</f>
        <v/>
      </c>
      <c r="L370" s="11">
        <f>IF(AND(ISNUMBER(H370),ISNUMBER(I370),H370&gt;0,ISNUMBER($B$94)),$B$94+3*SQRT($B$94*(1-$B$94)/H370),"")</f>
        <v/>
      </c>
      <c r="M370" s="13">
        <f>IF(AND(ISNUMBER(J370),ISNUMBER(K370),ISNUMBER(L370)),IF(J370&gt;L370,"boven UCL",IF(J370&lt;K370,"onder LCL","")),"")</f>
        <v/>
      </c>
      <c r="O370" t="n">
        <v>264</v>
      </c>
      <c r="P370" s="7" t="n"/>
      <c r="Q370" s="7" t="n"/>
      <c r="R370" s="11">
        <f>IF(AND(ISNUMBER(P370),ISNUMBER(Q370),P370&gt;0,ISNUMBER($B$100)),Q370/P370,"")</f>
        <v/>
      </c>
      <c r="S370" s="11">
        <f>IF(AND(ISNUMBER(P370),ISNUMBER(Q370),P370&gt;0,ISNUMBER($B$100)),MAX(0,$B$100-3*SQRT($B$100/P370)),"")</f>
        <v/>
      </c>
      <c r="T370" s="11">
        <f>IF(AND(ISNUMBER(P370),ISNUMBER(Q370),P370&gt;0,ISNUMBER($B$100)),$B$100+3*SQRT($B$100/P370),"")</f>
        <v/>
      </c>
      <c r="U370" s="13">
        <f>IF(AND(ISNUMBER(R370),ISNUMBER(S370),ISNUMBER(T370)),IF(R370&gt;T370,"boven UCL",IF(R370&lt;S370,"onder LCL","")),"")</f>
        <v/>
      </c>
    </row>
    <row r="371">
      <c r="A371" t="n">
        <v>265</v>
      </c>
      <c r="B371" s="7" t="n"/>
      <c r="C371" s="11">
        <f>IF(AND(ISNUMBER(B371),ISNUMBER(B370)),ABS(B371-B370),"")</f>
        <v/>
      </c>
      <c r="D371" s="13">
        <f>IF(AND(ISNUMBER(B371),ISNUMBER($B$88),ISNUMBER($D$88)),IF(B371&gt;$D$88,"boven UCL",IF(B371&lt;$B$88,"onder LCL","")),"")</f>
        <v/>
      </c>
      <c r="E371" s="13">
        <f>IF(AND(ISNUMBER(C371),ISNUMBER($B$89),ISNUMBER($D$89)),IF(C371&gt;$D$89,"boven UCL",IF(C371&lt;$B$89,"onder LCL","")),"")</f>
        <v/>
      </c>
      <c r="G371" t="n">
        <v>265</v>
      </c>
      <c r="H371" s="7" t="n"/>
      <c r="I371" s="7" t="n"/>
      <c r="J371" s="11">
        <f>IF(AND(ISNUMBER(H371),ISNUMBER(I371),H371&gt;0,ISNUMBER($B$94)),I371/H371,"")</f>
        <v/>
      </c>
      <c r="K371" s="11">
        <f>IF(AND(ISNUMBER(H371),ISNUMBER(I371),H371&gt;0,ISNUMBER($B$94)),MAX(0,$B$94-3*SQRT($B$94*(1-$B$94)/H371)),"")</f>
        <v/>
      </c>
      <c r="L371" s="11">
        <f>IF(AND(ISNUMBER(H371),ISNUMBER(I371),H371&gt;0,ISNUMBER($B$94)),$B$94+3*SQRT($B$94*(1-$B$94)/H371),"")</f>
        <v/>
      </c>
      <c r="M371" s="13">
        <f>IF(AND(ISNUMBER(J371),ISNUMBER(K371),ISNUMBER(L371)),IF(J371&gt;L371,"boven UCL",IF(J371&lt;K371,"onder LCL","")),"")</f>
        <v/>
      </c>
      <c r="O371" t="n">
        <v>265</v>
      </c>
      <c r="P371" s="7" t="n"/>
      <c r="Q371" s="7" t="n"/>
      <c r="R371" s="11">
        <f>IF(AND(ISNUMBER(P371),ISNUMBER(Q371),P371&gt;0,ISNUMBER($B$100)),Q371/P371,"")</f>
        <v/>
      </c>
      <c r="S371" s="11">
        <f>IF(AND(ISNUMBER(P371),ISNUMBER(Q371),P371&gt;0,ISNUMBER($B$100)),MAX(0,$B$100-3*SQRT($B$100/P371)),"")</f>
        <v/>
      </c>
      <c r="T371" s="11">
        <f>IF(AND(ISNUMBER(P371),ISNUMBER(Q371),P371&gt;0,ISNUMBER($B$100)),$B$100+3*SQRT($B$100/P371),"")</f>
        <v/>
      </c>
      <c r="U371" s="13">
        <f>IF(AND(ISNUMBER(R371),ISNUMBER(S371),ISNUMBER(T371)),IF(R371&gt;T371,"boven UCL",IF(R371&lt;S371,"onder LCL","")),"")</f>
        <v/>
      </c>
    </row>
    <row r="372">
      <c r="A372" t="n">
        <v>266</v>
      </c>
      <c r="B372" s="7" t="n"/>
      <c r="C372" s="11">
        <f>IF(AND(ISNUMBER(B372),ISNUMBER(B371)),ABS(B372-B371),"")</f>
        <v/>
      </c>
      <c r="D372" s="13">
        <f>IF(AND(ISNUMBER(B372),ISNUMBER($B$88),ISNUMBER($D$88)),IF(B372&gt;$D$88,"boven UCL",IF(B372&lt;$B$88,"onder LCL","")),"")</f>
        <v/>
      </c>
      <c r="E372" s="13">
        <f>IF(AND(ISNUMBER(C372),ISNUMBER($B$89),ISNUMBER($D$89)),IF(C372&gt;$D$89,"boven UCL",IF(C372&lt;$B$89,"onder LCL","")),"")</f>
        <v/>
      </c>
      <c r="G372" t="n">
        <v>266</v>
      </c>
      <c r="H372" s="7" t="n"/>
      <c r="I372" s="7" t="n"/>
      <c r="J372" s="11">
        <f>IF(AND(ISNUMBER(H372),ISNUMBER(I372),H372&gt;0,ISNUMBER($B$94)),I372/H372,"")</f>
        <v/>
      </c>
      <c r="K372" s="11">
        <f>IF(AND(ISNUMBER(H372),ISNUMBER(I372),H372&gt;0,ISNUMBER($B$94)),MAX(0,$B$94-3*SQRT($B$94*(1-$B$94)/H372)),"")</f>
        <v/>
      </c>
      <c r="L372" s="11">
        <f>IF(AND(ISNUMBER(H372),ISNUMBER(I372),H372&gt;0,ISNUMBER($B$94)),$B$94+3*SQRT($B$94*(1-$B$94)/H372),"")</f>
        <v/>
      </c>
      <c r="M372" s="13">
        <f>IF(AND(ISNUMBER(J372),ISNUMBER(K372),ISNUMBER(L372)),IF(J372&gt;L372,"boven UCL",IF(J372&lt;K372,"onder LCL","")),"")</f>
        <v/>
      </c>
      <c r="O372" t="n">
        <v>266</v>
      </c>
      <c r="P372" s="7" t="n"/>
      <c r="Q372" s="7" t="n"/>
      <c r="R372" s="11">
        <f>IF(AND(ISNUMBER(P372),ISNUMBER(Q372),P372&gt;0,ISNUMBER($B$100)),Q372/P372,"")</f>
        <v/>
      </c>
      <c r="S372" s="11">
        <f>IF(AND(ISNUMBER(P372),ISNUMBER(Q372),P372&gt;0,ISNUMBER($B$100)),MAX(0,$B$100-3*SQRT($B$100/P372)),"")</f>
        <v/>
      </c>
      <c r="T372" s="11">
        <f>IF(AND(ISNUMBER(P372),ISNUMBER(Q372),P372&gt;0,ISNUMBER($B$100)),$B$100+3*SQRT($B$100/P372),"")</f>
        <v/>
      </c>
      <c r="U372" s="13">
        <f>IF(AND(ISNUMBER(R372),ISNUMBER(S372),ISNUMBER(T372)),IF(R372&gt;T372,"boven UCL",IF(R372&lt;S372,"onder LCL","")),"")</f>
        <v/>
      </c>
    </row>
    <row r="373">
      <c r="A373" t="n">
        <v>267</v>
      </c>
      <c r="B373" s="7" t="n"/>
      <c r="C373" s="11">
        <f>IF(AND(ISNUMBER(B373),ISNUMBER(B372)),ABS(B373-B372),"")</f>
        <v/>
      </c>
      <c r="D373" s="13">
        <f>IF(AND(ISNUMBER(B373),ISNUMBER($B$88),ISNUMBER($D$88)),IF(B373&gt;$D$88,"boven UCL",IF(B373&lt;$B$88,"onder LCL","")),"")</f>
        <v/>
      </c>
      <c r="E373" s="13">
        <f>IF(AND(ISNUMBER(C373),ISNUMBER($B$89),ISNUMBER($D$89)),IF(C373&gt;$D$89,"boven UCL",IF(C373&lt;$B$89,"onder LCL","")),"")</f>
        <v/>
      </c>
      <c r="G373" t="n">
        <v>267</v>
      </c>
      <c r="H373" s="7" t="n"/>
      <c r="I373" s="7" t="n"/>
      <c r="J373" s="11">
        <f>IF(AND(ISNUMBER(H373),ISNUMBER(I373),H373&gt;0,ISNUMBER($B$94)),I373/H373,"")</f>
        <v/>
      </c>
      <c r="K373" s="11">
        <f>IF(AND(ISNUMBER(H373),ISNUMBER(I373),H373&gt;0,ISNUMBER($B$94)),MAX(0,$B$94-3*SQRT($B$94*(1-$B$94)/H373)),"")</f>
        <v/>
      </c>
      <c r="L373" s="11">
        <f>IF(AND(ISNUMBER(H373),ISNUMBER(I373),H373&gt;0,ISNUMBER($B$94)),$B$94+3*SQRT($B$94*(1-$B$94)/H373),"")</f>
        <v/>
      </c>
      <c r="M373" s="13">
        <f>IF(AND(ISNUMBER(J373),ISNUMBER(K373),ISNUMBER(L373)),IF(J373&gt;L373,"boven UCL",IF(J373&lt;K373,"onder LCL","")),"")</f>
        <v/>
      </c>
      <c r="O373" t="n">
        <v>267</v>
      </c>
      <c r="P373" s="7" t="n"/>
      <c r="Q373" s="7" t="n"/>
      <c r="R373" s="11">
        <f>IF(AND(ISNUMBER(P373),ISNUMBER(Q373),P373&gt;0,ISNUMBER($B$100)),Q373/P373,"")</f>
        <v/>
      </c>
      <c r="S373" s="11">
        <f>IF(AND(ISNUMBER(P373),ISNUMBER(Q373),P373&gt;0,ISNUMBER($B$100)),MAX(0,$B$100-3*SQRT($B$100/P373)),"")</f>
        <v/>
      </c>
      <c r="T373" s="11">
        <f>IF(AND(ISNUMBER(P373),ISNUMBER(Q373),P373&gt;0,ISNUMBER($B$100)),$B$100+3*SQRT($B$100/P373),"")</f>
        <v/>
      </c>
      <c r="U373" s="13">
        <f>IF(AND(ISNUMBER(R373),ISNUMBER(S373),ISNUMBER(T373)),IF(R373&gt;T373,"boven UCL",IF(R373&lt;S373,"onder LCL","")),"")</f>
        <v/>
      </c>
    </row>
    <row r="374">
      <c r="A374" t="n">
        <v>268</v>
      </c>
      <c r="B374" s="7" t="n"/>
      <c r="C374" s="11">
        <f>IF(AND(ISNUMBER(B374),ISNUMBER(B373)),ABS(B374-B373),"")</f>
        <v/>
      </c>
      <c r="D374" s="13">
        <f>IF(AND(ISNUMBER(B374),ISNUMBER($B$88),ISNUMBER($D$88)),IF(B374&gt;$D$88,"boven UCL",IF(B374&lt;$B$88,"onder LCL","")),"")</f>
        <v/>
      </c>
      <c r="E374" s="13">
        <f>IF(AND(ISNUMBER(C374),ISNUMBER($B$89),ISNUMBER($D$89)),IF(C374&gt;$D$89,"boven UCL",IF(C374&lt;$B$89,"onder LCL","")),"")</f>
        <v/>
      </c>
      <c r="G374" t="n">
        <v>268</v>
      </c>
      <c r="H374" s="7" t="n"/>
      <c r="I374" s="7" t="n"/>
      <c r="J374" s="11">
        <f>IF(AND(ISNUMBER(H374),ISNUMBER(I374),H374&gt;0,ISNUMBER($B$94)),I374/H374,"")</f>
        <v/>
      </c>
      <c r="K374" s="11">
        <f>IF(AND(ISNUMBER(H374),ISNUMBER(I374),H374&gt;0,ISNUMBER($B$94)),MAX(0,$B$94-3*SQRT($B$94*(1-$B$94)/H374)),"")</f>
        <v/>
      </c>
      <c r="L374" s="11">
        <f>IF(AND(ISNUMBER(H374),ISNUMBER(I374),H374&gt;0,ISNUMBER($B$94)),$B$94+3*SQRT($B$94*(1-$B$94)/H374),"")</f>
        <v/>
      </c>
      <c r="M374" s="13">
        <f>IF(AND(ISNUMBER(J374),ISNUMBER(K374),ISNUMBER(L374)),IF(J374&gt;L374,"boven UCL",IF(J374&lt;K374,"onder LCL","")),"")</f>
        <v/>
      </c>
      <c r="O374" t="n">
        <v>268</v>
      </c>
      <c r="P374" s="7" t="n"/>
      <c r="Q374" s="7" t="n"/>
      <c r="R374" s="11">
        <f>IF(AND(ISNUMBER(P374),ISNUMBER(Q374),P374&gt;0,ISNUMBER($B$100)),Q374/P374,"")</f>
        <v/>
      </c>
      <c r="S374" s="11">
        <f>IF(AND(ISNUMBER(P374),ISNUMBER(Q374),P374&gt;0,ISNUMBER($B$100)),MAX(0,$B$100-3*SQRT($B$100/P374)),"")</f>
        <v/>
      </c>
      <c r="T374" s="11">
        <f>IF(AND(ISNUMBER(P374),ISNUMBER(Q374),P374&gt;0,ISNUMBER($B$100)),$B$100+3*SQRT($B$100/P374),"")</f>
        <v/>
      </c>
      <c r="U374" s="13">
        <f>IF(AND(ISNUMBER(R374),ISNUMBER(S374),ISNUMBER(T374)),IF(R374&gt;T374,"boven UCL",IF(R374&lt;S374,"onder LCL","")),"")</f>
        <v/>
      </c>
    </row>
    <row r="375">
      <c r="A375" t="n">
        <v>269</v>
      </c>
      <c r="B375" s="7" t="n"/>
      <c r="C375" s="11">
        <f>IF(AND(ISNUMBER(B375),ISNUMBER(B374)),ABS(B375-B374),"")</f>
        <v/>
      </c>
      <c r="D375" s="13">
        <f>IF(AND(ISNUMBER(B375),ISNUMBER($B$88),ISNUMBER($D$88)),IF(B375&gt;$D$88,"boven UCL",IF(B375&lt;$B$88,"onder LCL","")),"")</f>
        <v/>
      </c>
      <c r="E375" s="13">
        <f>IF(AND(ISNUMBER(C375),ISNUMBER($B$89),ISNUMBER($D$89)),IF(C375&gt;$D$89,"boven UCL",IF(C375&lt;$B$89,"onder LCL","")),"")</f>
        <v/>
      </c>
      <c r="G375" t="n">
        <v>269</v>
      </c>
      <c r="H375" s="7" t="n"/>
      <c r="I375" s="7" t="n"/>
      <c r="J375" s="11">
        <f>IF(AND(ISNUMBER(H375),ISNUMBER(I375),H375&gt;0,ISNUMBER($B$94)),I375/H375,"")</f>
        <v/>
      </c>
      <c r="K375" s="11">
        <f>IF(AND(ISNUMBER(H375),ISNUMBER(I375),H375&gt;0,ISNUMBER($B$94)),MAX(0,$B$94-3*SQRT($B$94*(1-$B$94)/H375)),"")</f>
        <v/>
      </c>
      <c r="L375" s="11">
        <f>IF(AND(ISNUMBER(H375),ISNUMBER(I375),H375&gt;0,ISNUMBER($B$94)),$B$94+3*SQRT($B$94*(1-$B$94)/H375),"")</f>
        <v/>
      </c>
      <c r="M375" s="13">
        <f>IF(AND(ISNUMBER(J375),ISNUMBER(K375),ISNUMBER(L375)),IF(J375&gt;L375,"boven UCL",IF(J375&lt;K375,"onder LCL","")),"")</f>
        <v/>
      </c>
      <c r="O375" t="n">
        <v>269</v>
      </c>
      <c r="P375" s="7" t="n"/>
      <c r="Q375" s="7" t="n"/>
      <c r="R375" s="11">
        <f>IF(AND(ISNUMBER(P375),ISNUMBER(Q375),P375&gt;0,ISNUMBER($B$100)),Q375/P375,"")</f>
        <v/>
      </c>
      <c r="S375" s="11">
        <f>IF(AND(ISNUMBER(P375),ISNUMBER(Q375),P375&gt;0,ISNUMBER($B$100)),MAX(0,$B$100-3*SQRT($B$100/P375)),"")</f>
        <v/>
      </c>
      <c r="T375" s="11">
        <f>IF(AND(ISNUMBER(P375),ISNUMBER(Q375),P375&gt;0,ISNUMBER($B$100)),$B$100+3*SQRT($B$100/P375),"")</f>
        <v/>
      </c>
      <c r="U375" s="13">
        <f>IF(AND(ISNUMBER(R375),ISNUMBER(S375),ISNUMBER(T375)),IF(R375&gt;T375,"boven UCL",IF(R375&lt;S375,"onder LCL","")),"")</f>
        <v/>
      </c>
    </row>
    <row r="376">
      <c r="A376" t="n">
        <v>270</v>
      </c>
      <c r="B376" s="7" t="n"/>
      <c r="C376" s="11">
        <f>IF(AND(ISNUMBER(B376),ISNUMBER(B375)),ABS(B376-B375),"")</f>
        <v/>
      </c>
      <c r="D376" s="13">
        <f>IF(AND(ISNUMBER(B376),ISNUMBER($B$88),ISNUMBER($D$88)),IF(B376&gt;$D$88,"boven UCL",IF(B376&lt;$B$88,"onder LCL","")),"")</f>
        <v/>
      </c>
      <c r="E376" s="13">
        <f>IF(AND(ISNUMBER(C376),ISNUMBER($B$89),ISNUMBER($D$89)),IF(C376&gt;$D$89,"boven UCL",IF(C376&lt;$B$89,"onder LCL","")),"")</f>
        <v/>
      </c>
      <c r="G376" t="n">
        <v>270</v>
      </c>
      <c r="H376" s="7" t="n"/>
      <c r="I376" s="7" t="n"/>
      <c r="J376" s="11">
        <f>IF(AND(ISNUMBER(H376),ISNUMBER(I376),H376&gt;0,ISNUMBER($B$94)),I376/H376,"")</f>
        <v/>
      </c>
      <c r="K376" s="11">
        <f>IF(AND(ISNUMBER(H376),ISNUMBER(I376),H376&gt;0,ISNUMBER($B$94)),MAX(0,$B$94-3*SQRT($B$94*(1-$B$94)/H376)),"")</f>
        <v/>
      </c>
      <c r="L376" s="11">
        <f>IF(AND(ISNUMBER(H376),ISNUMBER(I376),H376&gt;0,ISNUMBER($B$94)),$B$94+3*SQRT($B$94*(1-$B$94)/H376),"")</f>
        <v/>
      </c>
      <c r="M376" s="13">
        <f>IF(AND(ISNUMBER(J376),ISNUMBER(K376),ISNUMBER(L376)),IF(J376&gt;L376,"boven UCL",IF(J376&lt;K376,"onder LCL","")),"")</f>
        <v/>
      </c>
      <c r="O376" t="n">
        <v>270</v>
      </c>
      <c r="P376" s="7" t="n"/>
      <c r="Q376" s="7" t="n"/>
      <c r="R376" s="11">
        <f>IF(AND(ISNUMBER(P376),ISNUMBER(Q376),P376&gt;0,ISNUMBER($B$100)),Q376/P376,"")</f>
        <v/>
      </c>
      <c r="S376" s="11">
        <f>IF(AND(ISNUMBER(P376),ISNUMBER(Q376),P376&gt;0,ISNUMBER($B$100)),MAX(0,$B$100-3*SQRT($B$100/P376)),"")</f>
        <v/>
      </c>
      <c r="T376" s="11">
        <f>IF(AND(ISNUMBER(P376),ISNUMBER(Q376),P376&gt;0,ISNUMBER($B$100)),$B$100+3*SQRT($B$100/P376),"")</f>
        <v/>
      </c>
      <c r="U376" s="13">
        <f>IF(AND(ISNUMBER(R376),ISNUMBER(S376),ISNUMBER(T376)),IF(R376&gt;T376,"boven UCL",IF(R376&lt;S376,"onder LCL","")),"")</f>
        <v/>
      </c>
    </row>
    <row r="377">
      <c r="A377" t="n">
        <v>271</v>
      </c>
      <c r="B377" s="7" t="n"/>
      <c r="C377" s="11">
        <f>IF(AND(ISNUMBER(B377),ISNUMBER(B376)),ABS(B377-B376),"")</f>
        <v/>
      </c>
      <c r="D377" s="13">
        <f>IF(AND(ISNUMBER(B377),ISNUMBER($B$88),ISNUMBER($D$88)),IF(B377&gt;$D$88,"boven UCL",IF(B377&lt;$B$88,"onder LCL","")),"")</f>
        <v/>
      </c>
      <c r="E377" s="13">
        <f>IF(AND(ISNUMBER(C377),ISNUMBER($B$89),ISNUMBER($D$89)),IF(C377&gt;$D$89,"boven UCL",IF(C377&lt;$B$89,"onder LCL","")),"")</f>
        <v/>
      </c>
      <c r="G377" t="n">
        <v>271</v>
      </c>
      <c r="H377" s="7" t="n"/>
      <c r="I377" s="7" t="n"/>
      <c r="J377" s="11">
        <f>IF(AND(ISNUMBER(H377),ISNUMBER(I377),H377&gt;0,ISNUMBER($B$94)),I377/H377,"")</f>
        <v/>
      </c>
      <c r="K377" s="11">
        <f>IF(AND(ISNUMBER(H377),ISNUMBER(I377),H377&gt;0,ISNUMBER($B$94)),MAX(0,$B$94-3*SQRT($B$94*(1-$B$94)/H377)),"")</f>
        <v/>
      </c>
      <c r="L377" s="11">
        <f>IF(AND(ISNUMBER(H377),ISNUMBER(I377),H377&gt;0,ISNUMBER($B$94)),$B$94+3*SQRT($B$94*(1-$B$94)/H377),"")</f>
        <v/>
      </c>
      <c r="M377" s="13">
        <f>IF(AND(ISNUMBER(J377),ISNUMBER(K377),ISNUMBER(L377)),IF(J377&gt;L377,"boven UCL",IF(J377&lt;K377,"onder LCL","")),"")</f>
        <v/>
      </c>
      <c r="O377" t="n">
        <v>271</v>
      </c>
      <c r="P377" s="7" t="n"/>
      <c r="Q377" s="7" t="n"/>
      <c r="R377" s="11">
        <f>IF(AND(ISNUMBER(P377),ISNUMBER(Q377),P377&gt;0,ISNUMBER($B$100)),Q377/P377,"")</f>
        <v/>
      </c>
      <c r="S377" s="11">
        <f>IF(AND(ISNUMBER(P377),ISNUMBER(Q377),P377&gt;0,ISNUMBER($B$100)),MAX(0,$B$100-3*SQRT($B$100/P377)),"")</f>
        <v/>
      </c>
      <c r="T377" s="11">
        <f>IF(AND(ISNUMBER(P377),ISNUMBER(Q377),P377&gt;0,ISNUMBER($B$100)),$B$100+3*SQRT($B$100/P377),"")</f>
        <v/>
      </c>
      <c r="U377" s="13">
        <f>IF(AND(ISNUMBER(R377),ISNUMBER(S377),ISNUMBER(T377)),IF(R377&gt;T377,"boven UCL",IF(R377&lt;S377,"onder LCL","")),"")</f>
        <v/>
      </c>
    </row>
    <row r="378">
      <c r="A378" t="n">
        <v>272</v>
      </c>
      <c r="B378" s="7" t="n"/>
      <c r="C378" s="11">
        <f>IF(AND(ISNUMBER(B378),ISNUMBER(B377)),ABS(B378-B377),"")</f>
        <v/>
      </c>
      <c r="D378" s="13">
        <f>IF(AND(ISNUMBER(B378),ISNUMBER($B$88),ISNUMBER($D$88)),IF(B378&gt;$D$88,"boven UCL",IF(B378&lt;$B$88,"onder LCL","")),"")</f>
        <v/>
      </c>
      <c r="E378" s="13">
        <f>IF(AND(ISNUMBER(C378),ISNUMBER($B$89),ISNUMBER($D$89)),IF(C378&gt;$D$89,"boven UCL",IF(C378&lt;$B$89,"onder LCL","")),"")</f>
        <v/>
      </c>
      <c r="G378" t="n">
        <v>272</v>
      </c>
      <c r="H378" s="7" t="n"/>
      <c r="I378" s="7" t="n"/>
      <c r="J378" s="11">
        <f>IF(AND(ISNUMBER(H378),ISNUMBER(I378),H378&gt;0,ISNUMBER($B$94)),I378/H378,"")</f>
        <v/>
      </c>
      <c r="K378" s="11">
        <f>IF(AND(ISNUMBER(H378),ISNUMBER(I378),H378&gt;0,ISNUMBER($B$94)),MAX(0,$B$94-3*SQRT($B$94*(1-$B$94)/H378)),"")</f>
        <v/>
      </c>
      <c r="L378" s="11">
        <f>IF(AND(ISNUMBER(H378),ISNUMBER(I378),H378&gt;0,ISNUMBER($B$94)),$B$94+3*SQRT($B$94*(1-$B$94)/H378),"")</f>
        <v/>
      </c>
      <c r="M378" s="13">
        <f>IF(AND(ISNUMBER(J378),ISNUMBER(K378),ISNUMBER(L378)),IF(J378&gt;L378,"boven UCL",IF(J378&lt;K378,"onder LCL","")),"")</f>
        <v/>
      </c>
      <c r="O378" t="n">
        <v>272</v>
      </c>
      <c r="P378" s="7" t="n"/>
      <c r="Q378" s="7" t="n"/>
      <c r="R378" s="11">
        <f>IF(AND(ISNUMBER(P378),ISNUMBER(Q378),P378&gt;0,ISNUMBER($B$100)),Q378/P378,"")</f>
        <v/>
      </c>
      <c r="S378" s="11">
        <f>IF(AND(ISNUMBER(P378),ISNUMBER(Q378),P378&gt;0,ISNUMBER($B$100)),MAX(0,$B$100-3*SQRT($B$100/P378)),"")</f>
        <v/>
      </c>
      <c r="T378" s="11">
        <f>IF(AND(ISNUMBER(P378),ISNUMBER(Q378),P378&gt;0,ISNUMBER($B$100)),$B$100+3*SQRT($B$100/P378),"")</f>
        <v/>
      </c>
      <c r="U378" s="13">
        <f>IF(AND(ISNUMBER(R378),ISNUMBER(S378),ISNUMBER(T378)),IF(R378&gt;T378,"boven UCL",IF(R378&lt;S378,"onder LCL","")),"")</f>
        <v/>
      </c>
    </row>
    <row r="379">
      <c r="A379" t="n">
        <v>273</v>
      </c>
      <c r="B379" s="7" t="n"/>
      <c r="C379" s="11">
        <f>IF(AND(ISNUMBER(B379),ISNUMBER(B378)),ABS(B379-B378),"")</f>
        <v/>
      </c>
      <c r="D379" s="13">
        <f>IF(AND(ISNUMBER(B379),ISNUMBER($B$88),ISNUMBER($D$88)),IF(B379&gt;$D$88,"boven UCL",IF(B379&lt;$B$88,"onder LCL","")),"")</f>
        <v/>
      </c>
      <c r="E379" s="13">
        <f>IF(AND(ISNUMBER(C379),ISNUMBER($B$89),ISNUMBER($D$89)),IF(C379&gt;$D$89,"boven UCL",IF(C379&lt;$B$89,"onder LCL","")),"")</f>
        <v/>
      </c>
      <c r="G379" t="n">
        <v>273</v>
      </c>
      <c r="H379" s="7" t="n"/>
      <c r="I379" s="7" t="n"/>
      <c r="J379" s="11">
        <f>IF(AND(ISNUMBER(H379),ISNUMBER(I379),H379&gt;0,ISNUMBER($B$94)),I379/H379,"")</f>
        <v/>
      </c>
      <c r="K379" s="11">
        <f>IF(AND(ISNUMBER(H379),ISNUMBER(I379),H379&gt;0,ISNUMBER($B$94)),MAX(0,$B$94-3*SQRT($B$94*(1-$B$94)/H379)),"")</f>
        <v/>
      </c>
      <c r="L379" s="11">
        <f>IF(AND(ISNUMBER(H379),ISNUMBER(I379),H379&gt;0,ISNUMBER($B$94)),$B$94+3*SQRT($B$94*(1-$B$94)/H379),"")</f>
        <v/>
      </c>
      <c r="M379" s="13">
        <f>IF(AND(ISNUMBER(J379),ISNUMBER(K379),ISNUMBER(L379)),IF(J379&gt;L379,"boven UCL",IF(J379&lt;K379,"onder LCL","")),"")</f>
        <v/>
      </c>
      <c r="O379" t="n">
        <v>273</v>
      </c>
      <c r="P379" s="7" t="n"/>
      <c r="Q379" s="7" t="n"/>
      <c r="R379" s="11">
        <f>IF(AND(ISNUMBER(P379),ISNUMBER(Q379),P379&gt;0,ISNUMBER($B$100)),Q379/P379,"")</f>
        <v/>
      </c>
      <c r="S379" s="11">
        <f>IF(AND(ISNUMBER(P379),ISNUMBER(Q379),P379&gt;0,ISNUMBER($B$100)),MAX(0,$B$100-3*SQRT($B$100/P379)),"")</f>
        <v/>
      </c>
      <c r="T379" s="11">
        <f>IF(AND(ISNUMBER(P379),ISNUMBER(Q379),P379&gt;0,ISNUMBER($B$100)),$B$100+3*SQRT($B$100/P379),"")</f>
        <v/>
      </c>
      <c r="U379" s="13">
        <f>IF(AND(ISNUMBER(R379),ISNUMBER(S379),ISNUMBER(T379)),IF(R379&gt;T379,"boven UCL",IF(R379&lt;S379,"onder LCL","")),"")</f>
        <v/>
      </c>
    </row>
    <row r="380">
      <c r="A380" t="n">
        <v>274</v>
      </c>
      <c r="B380" s="7" t="n"/>
      <c r="C380" s="11">
        <f>IF(AND(ISNUMBER(B380),ISNUMBER(B379)),ABS(B380-B379),"")</f>
        <v/>
      </c>
      <c r="D380" s="13">
        <f>IF(AND(ISNUMBER(B380),ISNUMBER($B$88),ISNUMBER($D$88)),IF(B380&gt;$D$88,"boven UCL",IF(B380&lt;$B$88,"onder LCL","")),"")</f>
        <v/>
      </c>
      <c r="E380" s="13">
        <f>IF(AND(ISNUMBER(C380),ISNUMBER($B$89),ISNUMBER($D$89)),IF(C380&gt;$D$89,"boven UCL",IF(C380&lt;$B$89,"onder LCL","")),"")</f>
        <v/>
      </c>
      <c r="G380" t="n">
        <v>274</v>
      </c>
      <c r="H380" s="7" t="n"/>
      <c r="I380" s="7" t="n"/>
      <c r="J380" s="11">
        <f>IF(AND(ISNUMBER(H380),ISNUMBER(I380),H380&gt;0,ISNUMBER($B$94)),I380/H380,"")</f>
        <v/>
      </c>
      <c r="K380" s="11">
        <f>IF(AND(ISNUMBER(H380),ISNUMBER(I380),H380&gt;0,ISNUMBER($B$94)),MAX(0,$B$94-3*SQRT($B$94*(1-$B$94)/H380)),"")</f>
        <v/>
      </c>
      <c r="L380" s="11">
        <f>IF(AND(ISNUMBER(H380),ISNUMBER(I380),H380&gt;0,ISNUMBER($B$94)),$B$94+3*SQRT($B$94*(1-$B$94)/H380),"")</f>
        <v/>
      </c>
      <c r="M380" s="13">
        <f>IF(AND(ISNUMBER(J380),ISNUMBER(K380),ISNUMBER(L380)),IF(J380&gt;L380,"boven UCL",IF(J380&lt;K380,"onder LCL","")),"")</f>
        <v/>
      </c>
      <c r="O380" t="n">
        <v>274</v>
      </c>
      <c r="P380" s="7" t="n"/>
      <c r="Q380" s="7" t="n"/>
      <c r="R380" s="11">
        <f>IF(AND(ISNUMBER(P380),ISNUMBER(Q380),P380&gt;0,ISNUMBER($B$100)),Q380/P380,"")</f>
        <v/>
      </c>
      <c r="S380" s="11">
        <f>IF(AND(ISNUMBER(P380),ISNUMBER(Q380),P380&gt;0,ISNUMBER($B$100)),MAX(0,$B$100-3*SQRT($B$100/P380)),"")</f>
        <v/>
      </c>
      <c r="T380" s="11">
        <f>IF(AND(ISNUMBER(P380),ISNUMBER(Q380),P380&gt;0,ISNUMBER($B$100)),$B$100+3*SQRT($B$100/P380),"")</f>
        <v/>
      </c>
      <c r="U380" s="13">
        <f>IF(AND(ISNUMBER(R380),ISNUMBER(S380),ISNUMBER(T380)),IF(R380&gt;T380,"boven UCL",IF(R380&lt;S380,"onder LCL","")),"")</f>
        <v/>
      </c>
    </row>
    <row r="381">
      <c r="A381" t="n">
        <v>275</v>
      </c>
      <c r="B381" s="7" t="n"/>
      <c r="C381" s="11">
        <f>IF(AND(ISNUMBER(B381),ISNUMBER(B380)),ABS(B381-B380),"")</f>
        <v/>
      </c>
      <c r="D381" s="13">
        <f>IF(AND(ISNUMBER(B381),ISNUMBER($B$88),ISNUMBER($D$88)),IF(B381&gt;$D$88,"boven UCL",IF(B381&lt;$B$88,"onder LCL","")),"")</f>
        <v/>
      </c>
      <c r="E381" s="13">
        <f>IF(AND(ISNUMBER(C381),ISNUMBER($B$89),ISNUMBER($D$89)),IF(C381&gt;$D$89,"boven UCL",IF(C381&lt;$B$89,"onder LCL","")),"")</f>
        <v/>
      </c>
      <c r="G381" t="n">
        <v>275</v>
      </c>
      <c r="H381" s="7" t="n"/>
      <c r="I381" s="7" t="n"/>
      <c r="J381" s="11">
        <f>IF(AND(ISNUMBER(H381),ISNUMBER(I381),H381&gt;0,ISNUMBER($B$94)),I381/H381,"")</f>
        <v/>
      </c>
      <c r="K381" s="11">
        <f>IF(AND(ISNUMBER(H381),ISNUMBER(I381),H381&gt;0,ISNUMBER($B$94)),MAX(0,$B$94-3*SQRT($B$94*(1-$B$94)/H381)),"")</f>
        <v/>
      </c>
      <c r="L381" s="11">
        <f>IF(AND(ISNUMBER(H381),ISNUMBER(I381),H381&gt;0,ISNUMBER($B$94)),$B$94+3*SQRT($B$94*(1-$B$94)/H381),"")</f>
        <v/>
      </c>
      <c r="M381" s="13">
        <f>IF(AND(ISNUMBER(J381),ISNUMBER(K381),ISNUMBER(L381)),IF(J381&gt;L381,"boven UCL",IF(J381&lt;K381,"onder LCL","")),"")</f>
        <v/>
      </c>
      <c r="O381" t="n">
        <v>275</v>
      </c>
      <c r="P381" s="7" t="n"/>
      <c r="Q381" s="7" t="n"/>
      <c r="R381" s="11">
        <f>IF(AND(ISNUMBER(P381),ISNUMBER(Q381),P381&gt;0,ISNUMBER($B$100)),Q381/P381,"")</f>
        <v/>
      </c>
      <c r="S381" s="11">
        <f>IF(AND(ISNUMBER(P381),ISNUMBER(Q381),P381&gt;0,ISNUMBER($B$100)),MAX(0,$B$100-3*SQRT($B$100/P381)),"")</f>
        <v/>
      </c>
      <c r="T381" s="11">
        <f>IF(AND(ISNUMBER(P381),ISNUMBER(Q381),P381&gt;0,ISNUMBER($B$100)),$B$100+3*SQRT($B$100/P381),"")</f>
        <v/>
      </c>
      <c r="U381" s="13">
        <f>IF(AND(ISNUMBER(R381),ISNUMBER(S381),ISNUMBER(T381)),IF(R381&gt;T381,"boven UCL",IF(R381&lt;S381,"onder LCL","")),"")</f>
        <v/>
      </c>
    </row>
    <row r="382">
      <c r="A382" t="n">
        <v>276</v>
      </c>
      <c r="B382" s="7" t="n"/>
      <c r="C382" s="11">
        <f>IF(AND(ISNUMBER(B382),ISNUMBER(B381)),ABS(B382-B381),"")</f>
        <v/>
      </c>
      <c r="D382" s="13">
        <f>IF(AND(ISNUMBER(B382),ISNUMBER($B$88),ISNUMBER($D$88)),IF(B382&gt;$D$88,"boven UCL",IF(B382&lt;$B$88,"onder LCL","")),"")</f>
        <v/>
      </c>
      <c r="E382" s="13">
        <f>IF(AND(ISNUMBER(C382),ISNUMBER($B$89),ISNUMBER($D$89)),IF(C382&gt;$D$89,"boven UCL",IF(C382&lt;$B$89,"onder LCL","")),"")</f>
        <v/>
      </c>
      <c r="G382" t="n">
        <v>276</v>
      </c>
      <c r="H382" s="7" t="n"/>
      <c r="I382" s="7" t="n"/>
      <c r="J382" s="11">
        <f>IF(AND(ISNUMBER(H382),ISNUMBER(I382),H382&gt;0,ISNUMBER($B$94)),I382/H382,"")</f>
        <v/>
      </c>
      <c r="K382" s="11">
        <f>IF(AND(ISNUMBER(H382),ISNUMBER(I382),H382&gt;0,ISNUMBER($B$94)),MAX(0,$B$94-3*SQRT($B$94*(1-$B$94)/H382)),"")</f>
        <v/>
      </c>
      <c r="L382" s="11">
        <f>IF(AND(ISNUMBER(H382),ISNUMBER(I382),H382&gt;0,ISNUMBER($B$94)),$B$94+3*SQRT($B$94*(1-$B$94)/H382),"")</f>
        <v/>
      </c>
      <c r="M382" s="13">
        <f>IF(AND(ISNUMBER(J382),ISNUMBER(K382),ISNUMBER(L382)),IF(J382&gt;L382,"boven UCL",IF(J382&lt;K382,"onder LCL","")),"")</f>
        <v/>
      </c>
      <c r="O382" t="n">
        <v>276</v>
      </c>
      <c r="P382" s="7" t="n"/>
      <c r="Q382" s="7" t="n"/>
      <c r="R382" s="11">
        <f>IF(AND(ISNUMBER(P382),ISNUMBER(Q382),P382&gt;0,ISNUMBER($B$100)),Q382/P382,"")</f>
        <v/>
      </c>
      <c r="S382" s="11">
        <f>IF(AND(ISNUMBER(P382),ISNUMBER(Q382),P382&gt;0,ISNUMBER($B$100)),MAX(0,$B$100-3*SQRT($B$100/P382)),"")</f>
        <v/>
      </c>
      <c r="T382" s="11">
        <f>IF(AND(ISNUMBER(P382),ISNUMBER(Q382),P382&gt;0,ISNUMBER($B$100)),$B$100+3*SQRT($B$100/P382),"")</f>
        <v/>
      </c>
      <c r="U382" s="13">
        <f>IF(AND(ISNUMBER(R382),ISNUMBER(S382),ISNUMBER(T382)),IF(R382&gt;T382,"boven UCL",IF(R382&lt;S382,"onder LCL","")),"")</f>
        <v/>
      </c>
    </row>
    <row r="383">
      <c r="A383" t="n">
        <v>277</v>
      </c>
      <c r="B383" s="7" t="n"/>
      <c r="C383" s="11">
        <f>IF(AND(ISNUMBER(B383),ISNUMBER(B382)),ABS(B383-B382),"")</f>
        <v/>
      </c>
      <c r="D383" s="13">
        <f>IF(AND(ISNUMBER(B383),ISNUMBER($B$88),ISNUMBER($D$88)),IF(B383&gt;$D$88,"boven UCL",IF(B383&lt;$B$88,"onder LCL","")),"")</f>
        <v/>
      </c>
      <c r="E383" s="13">
        <f>IF(AND(ISNUMBER(C383),ISNUMBER($B$89),ISNUMBER($D$89)),IF(C383&gt;$D$89,"boven UCL",IF(C383&lt;$B$89,"onder LCL","")),"")</f>
        <v/>
      </c>
      <c r="G383" t="n">
        <v>277</v>
      </c>
      <c r="H383" s="7" t="n"/>
      <c r="I383" s="7" t="n"/>
      <c r="J383" s="11">
        <f>IF(AND(ISNUMBER(H383),ISNUMBER(I383),H383&gt;0,ISNUMBER($B$94)),I383/H383,"")</f>
        <v/>
      </c>
      <c r="K383" s="11">
        <f>IF(AND(ISNUMBER(H383),ISNUMBER(I383),H383&gt;0,ISNUMBER($B$94)),MAX(0,$B$94-3*SQRT($B$94*(1-$B$94)/H383)),"")</f>
        <v/>
      </c>
      <c r="L383" s="11">
        <f>IF(AND(ISNUMBER(H383),ISNUMBER(I383),H383&gt;0,ISNUMBER($B$94)),$B$94+3*SQRT($B$94*(1-$B$94)/H383),"")</f>
        <v/>
      </c>
      <c r="M383" s="13">
        <f>IF(AND(ISNUMBER(J383),ISNUMBER(K383),ISNUMBER(L383)),IF(J383&gt;L383,"boven UCL",IF(J383&lt;K383,"onder LCL","")),"")</f>
        <v/>
      </c>
      <c r="O383" t="n">
        <v>277</v>
      </c>
      <c r="P383" s="7" t="n"/>
      <c r="Q383" s="7" t="n"/>
      <c r="R383" s="11">
        <f>IF(AND(ISNUMBER(P383),ISNUMBER(Q383),P383&gt;0,ISNUMBER($B$100)),Q383/P383,"")</f>
        <v/>
      </c>
      <c r="S383" s="11">
        <f>IF(AND(ISNUMBER(P383),ISNUMBER(Q383),P383&gt;0,ISNUMBER($B$100)),MAX(0,$B$100-3*SQRT($B$100/P383)),"")</f>
        <v/>
      </c>
      <c r="T383" s="11">
        <f>IF(AND(ISNUMBER(P383),ISNUMBER(Q383),P383&gt;0,ISNUMBER($B$100)),$B$100+3*SQRT($B$100/P383),"")</f>
        <v/>
      </c>
      <c r="U383" s="13">
        <f>IF(AND(ISNUMBER(R383),ISNUMBER(S383),ISNUMBER(T383)),IF(R383&gt;T383,"boven UCL",IF(R383&lt;S383,"onder LCL","")),"")</f>
        <v/>
      </c>
    </row>
    <row r="384">
      <c r="A384" t="n">
        <v>278</v>
      </c>
      <c r="B384" s="7" t="n"/>
      <c r="C384" s="11">
        <f>IF(AND(ISNUMBER(B384),ISNUMBER(B383)),ABS(B384-B383),"")</f>
        <v/>
      </c>
      <c r="D384" s="13">
        <f>IF(AND(ISNUMBER(B384),ISNUMBER($B$88),ISNUMBER($D$88)),IF(B384&gt;$D$88,"boven UCL",IF(B384&lt;$B$88,"onder LCL","")),"")</f>
        <v/>
      </c>
      <c r="E384" s="13">
        <f>IF(AND(ISNUMBER(C384),ISNUMBER($B$89),ISNUMBER($D$89)),IF(C384&gt;$D$89,"boven UCL",IF(C384&lt;$B$89,"onder LCL","")),"")</f>
        <v/>
      </c>
      <c r="G384" t="n">
        <v>278</v>
      </c>
      <c r="H384" s="7" t="n"/>
      <c r="I384" s="7" t="n"/>
      <c r="J384" s="11">
        <f>IF(AND(ISNUMBER(H384),ISNUMBER(I384),H384&gt;0,ISNUMBER($B$94)),I384/H384,"")</f>
        <v/>
      </c>
      <c r="K384" s="11">
        <f>IF(AND(ISNUMBER(H384),ISNUMBER(I384),H384&gt;0,ISNUMBER($B$94)),MAX(0,$B$94-3*SQRT($B$94*(1-$B$94)/H384)),"")</f>
        <v/>
      </c>
      <c r="L384" s="11">
        <f>IF(AND(ISNUMBER(H384),ISNUMBER(I384),H384&gt;0,ISNUMBER($B$94)),$B$94+3*SQRT($B$94*(1-$B$94)/H384),"")</f>
        <v/>
      </c>
      <c r="M384" s="13">
        <f>IF(AND(ISNUMBER(J384),ISNUMBER(K384),ISNUMBER(L384)),IF(J384&gt;L384,"boven UCL",IF(J384&lt;K384,"onder LCL","")),"")</f>
        <v/>
      </c>
      <c r="O384" t="n">
        <v>278</v>
      </c>
      <c r="P384" s="7" t="n"/>
      <c r="Q384" s="7" t="n"/>
      <c r="R384" s="11">
        <f>IF(AND(ISNUMBER(P384),ISNUMBER(Q384),P384&gt;0,ISNUMBER($B$100)),Q384/P384,"")</f>
        <v/>
      </c>
      <c r="S384" s="11">
        <f>IF(AND(ISNUMBER(P384),ISNUMBER(Q384),P384&gt;0,ISNUMBER($B$100)),MAX(0,$B$100-3*SQRT($B$100/P384)),"")</f>
        <v/>
      </c>
      <c r="T384" s="11">
        <f>IF(AND(ISNUMBER(P384),ISNUMBER(Q384),P384&gt;0,ISNUMBER($B$100)),$B$100+3*SQRT($B$100/P384),"")</f>
        <v/>
      </c>
      <c r="U384" s="13">
        <f>IF(AND(ISNUMBER(R384),ISNUMBER(S384),ISNUMBER(T384)),IF(R384&gt;T384,"boven UCL",IF(R384&lt;S384,"onder LCL","")),"")</f>
        <v/>
      </c>
    </row>
    <row r="385">
      <c r="A385" t="n">
        <v>279</v>
      </c>
      <c r="B385" s="7" t="n"/>
      <c r="C385" s="11">
        <f>IF(AND(ISNUMBER(B385),ISNUMBER(B384)),ABS(B385-B384),"")</f>
        <v/>
      </c>
      <c r="D385" s="13">
        <f>IF(AND(ISNUMBER(B385),ISNUMBER($B$88),ISNUMBER($D$88)),IF(B385&gt;$D$88,"boven UCL",IF(B385&lt;$B$88,"onder LCL","")),"")</f>
        <v/>
      </c>
      <c r="E385" s="13">
        <f>IF(AND(ISNUMBER(C385),ISNUMBER($B$89),ISNUMBER($D$89)),IF(C385&gt;$D$89,"boven UCL",IF(C385&lt;$B$89,"onder LCL","")),"")</f>
        <v/>
      </c>
      <c r="G385" t="n">
        <v>279</v>
      </c>
      <c r="H385" s="7" t="n"/>
      <c r="I385" s="7" t="n"/>
      <c r="J385" s="11">
        <f>IF(AND(ISNUMBER(H385),ISNUMBER(I385),H385&gt;0,ISNUMBER($B$94)),I385/H385,"")</f>
        <v/>
      </c>
      <c r="K385" s="11">
        <f>IF(AND(ISNUMBER(H385),ISNUMBER(I385),H385&gt;0,ISNUMBER($B$94)),MAX(0,$B$94-3*SQRT($B$94*(1-$B$94)/H385)),"")</f>
        <v/>
      </c>
      <c r="L385" s="11">
        <f>IF(AND(ISNUMBER(H385),ISNUMBER(I385),H385&gt;0,ISNUMBER($B$94)),$B$94+3*SQRT($B$94*(1-$B$94)/H385),"")</f>
        <v/>
      </c>
      <c r="M385" s="13">
        <f>IF(AND(ISNUMBER(J385),ISNUMBER(K385),ISNUMBER(L385)),IF(J385&gt;L385,"boven UCL",IF(J385&lt;K385,"onder LCL","")),"")</f>
        <v/>
      </c>
      <c r="O385" t="n">
        <v>279</v>
      </c>
      <c r="P385" s="7" t="n"/>
      <c r="Q385" s="7" t="n"/>
      <c r="R385" s="11">
        <f>IF(AND(ISNUMBER(P385),ISNUMBER(Q385),P385&gt;0,ISNUMBER($B$100)),Q385/P385,"")</f>
        <v/>
      </c>
      <c r="S385" s="11">
        <f>IF(AND(ISNUMBER(P385),ISNUMBER(Q385),P385&gt;0,ISNUMBER($B$100)),MAX(0,$B$100-3*SQRT($B$100/P385)),"")</f>
        <v/>
      </c>
      <c r="T385" s="11">
        <f>IF(AND(ISNUMBER(P385),ISNUMBER(Q385),P385&gt;0,ISNUMBER($B$100)),$B$100+3*SQRT($B$100/P385),"")</f>
        <v/>
      </c>
      <c r="U385" s="13">
        <f>IF(AND(ISNUMBER(R385),ISNUMBER(S385),ISNUMBER(T385)),IF(R385&gt;T385,"boven UCL",IF(R385&lt;S385,"onder LCL","")),"")</f>
        <v/>
      </c>
    </row>
    <row r="386">
      <c r="A386" t="n">
        <v>280</v>
      </c>
      <c r="B386" s="7" t="n"/>
      <c r="C386" s="11">
        <f>IF(AND(ISNUMBER(B386),ISNUMBER(B385)),ABS(B386-B385),"")</f>
        <v/>
      </c>
      <c r="D386" s="13">
        <f>IF(AND(ISNUMBER(B386),ISNUMBER($B$88),ISNUMBER($D$88)),IF(B386&gt;$D$88,"boven UCL",IF(B386&lt;$B$88,"onder LCL","")),"")</f>
        <v/>
      </c>
      <c r="E386" s="13">
        <f>IF(AND(ISNUMBER(C386),ISNUMBER($B$89),ISNUMBER($D$89)),IF(C386&gt;$D$89,"boven UCL",IF(C386&lt;$B$89,"onder LCL","")),"")</f>
        <v/>
      </c>
      <c r="G386" t="n">
        <v>280</v>
      </c>
      <c r="H386" s="7" t="n"/>
      <c r="I386" s="7" t="n"/>
      <c r="J386" s="11">
        <f>IF(AND(ISNUMBER(H386),ISNUMBER(I386),H386&gt;0,ISNUMBER($B$94)),I386/H386,"")</f>
        <v/>
      </c>
      <c r="K386" s="11">
        <f>IF(AND(ISNUMBER(H386),ISNUMBER(I386),H386&gt;0,ISNUMBER($B$94)),MAX(0,$B$94-3*SQRT($B$94*(1-$B$94)/H386)),"")</f>
        <v/>
      </c>
      <c r="L386" s="11">
        <f>IF(AND(ISNUMBER(H386),ISNUMBER(I386),H386&gt;0,ISNUMBER($B$94)),$B$94+3*SQRT($B$94*(1-$B$94)/H386),"")</f>
        <v/>
      </c>
      <c r="M386" s="13">
        <f>IF(AND(ISNUMBER(J386),ISNUMBER(K386),ISNUMBER(L386)),IF(J386&gt;L386,"boven UCL",IF(J386&lt;K386,"onder LCL","")),"")</f>
        <v/>
      </c>
      <c r="O386" t="n">
        <v>280</v>
      </c>
      <c r="P386" s="7" t="n"/>
      <c r="Q386" s="7" t="n"/>
      <c r="R386" s="11">
        <f>IF(AND(ISNUMBER(P386),ISNUMBER(Q386),P386&gt;0,ISNUMBER($B$100)),Q386/P386,"")</f>
        <v/>
      </c>
      <c r="S386" s="11">
        <f>IF(AND(ISNUMBER(P386),ISNUMBER(Q386),P386&gt;0,ISNUMBER($B$100)),MAX(0,$B$100-3*SQRT($B$100/P386)),"")</f>
        <v/>
      </c>
      <c r="T386" s="11">
        <f>IF(AND(ISNUMBER(P386),ISNUMBER(Q386),P386&gt;0,ISNUMBER($B$100)),$B$100+3*SQRT($B$100/P386),"")</f>
        <v/>
      </c>
      <c r="U386" s="13">
        <f>IF(AND(ISNUMBER(R386),ISNUMBER(S386),ISNUMBER(T386)),IF(R386&gt;T386,"boven UCL",IF(R386&lt;S386,"onder LCL","")),"")</f>
        <v/>
      </c>
    </row>
    <row r="387">
      <c r="A387" t="n">
        <v>281</v>
      </c>
      <c r="B387" s="7" t="n"/>
      <c r="C387" s="11">
        <f>IF(AND(ISNUMBER(B387),ISNUMBER(B386)),ABS(B387-B386),"")</f>
        <v/>
      </c>
      <c r="D387" s="13">
        <f>IF(AND(ISNUMBER(B387),ISNUMBER($B$88),ISNUMBER($D$88)),IF(B387&gt;$D$88,"boven UCL",IF(B387&lt;$B$88,"onder LCL","")),"")</f>
        <v/>
      </c>
      <c r="E387" s="13">
        <f>IF(AND(ISNUMBER(C387),ISNUMBER($B$89),ISNUMBER($D$89)),IF(C387&gt;$D$89,"boven UCL",IF(C387&lt;$B$89,"onder LCL","")),"")</f>
        <v/>
      </c>
      <c r="G387" t="n">
        <v>281</v>
      </c>
      <c r="H387" s="7" t="n"/>
      <c r="I387" s="7" t="n"/>
      <c r="J387" s="11">
        <f>IF(AND(ISNUMBER(H387),ISNUMBER(I387),H387&gt;0,ISNUMBER($B$94)),I387/H387,"")</f>
        <v/>
      </c>
      <c r="K387" s="11">
        <f>IF(AND(ISNUMBER(H387),ISNUMBER(I387),H387&gt;0,ISNUMBER($B$94)),MAX(0,$B$94-3*SQRT($B$94*(1-$B$94)/H387)),"")</f>
        <v/>
      </c>
      <c r="L387" s="11">
        <f>IF(AND(ISNUMBER(H387),ISNUMBER(I387),H387&gt;0,ISNUMBER($B$94)),$B$94+3*SQRT($B$94*(1-$B$94)/H387),"")</f>
        <v/>
      </c>
      <c r="M387" s="13">
        <f>IF(AND(ISNUMBER(J387),ISNUMBER(K387),ISNUMBER(L387)),IF(J387&gt;L387,"boven UCL",IF(J387&lt;K387,"onder LCL","")),"")</f>
        <v/>
      </c>
      <c r="O387" t="n">
        <v>281</v>
      </c>
      <c r="P387" s="7" t="n"/>
      <c r="Q387" s="7" t="n"/>
      <c r="R387" s="11">
        <f>IF(AND(ISNUMBER(P387),ISNUMBER(Q387),P387&gt;0,ISNUMBER($B$100)),Q387/P387,"")</f>
        <v/>
      </c>
      <c r="S387" s="11">
        <f>IF(AND(ISNUMBER(P387),ISNUMBER(Q387),P387&gt;0,ISNUMBER($B$100)),MAX(0,$B$100-3*SQRT($B$100/P387)),"")</f>
        <v/>
      </c>
      <c r="T387" s="11">
        <f>IF(AND(ISNUMBER(P387),ISNUMBER(Q387),P387&gt;0,ISNUMBER($B$100)),$B$100+3*SQRT($B$100/P387),"")</f>
        <v/>
      </c>
      <c r="U387" s="13">
        <f>IF(AND(ISNUMBER(R387),ISNUMBER(S387),ISNUMBER(T387)),IF(R387&gt;T387,"boven UCL",IF(R387&lt;S387,"onder LCL","")),"")</f>
        <v/>
      </c>
    </row>
    <row r="388">
      <c r="A388" t="n">
        <v>282</v>
      </c>
      <c r="B388" s="7" t="n"/>
      <c r="C388" s="11">
        <f>IF(AND(ISNUMBER(B388),ISNUMBER(B387)),ABS(B388-B387),"")</f>
        <v/>
      </c>
      <c r="D388" s="13">
        <f>IF(AND(ISNUMBER(B388),ISNUMBER($B$88),ISNUMBER($D$88)),IF(B388&gt;$D$88,"boven UCL",IF(B388&lt;$B$88,"onder LCL","")),"")</f>
        <v/>
      </c>
      <c r="E388" s="13">
        <f>IF(AND(ISNUMBER(C388),ISNUMBER($B$89),ISNUMBER($D$89)),IF(C388&gt;$D$89,"boven UCL",IF(C388&lt;$B$89,"onder LCL","")),"")</f>
        <v/>
      </c>
      <c r="G388" t="n">
        <v>282</v>
      </c>
      <c r="H388" s="7" t="n"/>
      <c r="I388" s="7" t="n"/>
      <c r="J388" s="11">
        <f>IF(AND(ISNUMBER(H388),ISNUMBER(I388),H388&gt;0,ISNUMBER($B$94)),I388/H388,"")</f>
        <v/>
      </c>
      <c r="K388" s="11">
        <f>IF(AND(ISNUMBER(H388),ISNUMBER(I388),H388&gt;0,ISNUMBER($B$94)),MAX(0,$B$94-3*SQRT($B$94*(1-$B$94)/H388)),"")</f>
        <v/>
      </c>
      <c r="L388" s="11">
        <f>IF(AND(ISNUMBER(H388),ISNUMBER(I388),H388&gt;0,ISNUMBER($B$94)),$B$94+3*SQRT($B$94*(1-$B$94)/H388),"")</f>
        <v/>
      </c>
      <c r="M388" s="13">
        <f>IF(AND(ISNUMBER(J388),ISNUMBER(K388),ISNUMBER(L388)),IF(J388&gt;L388,"boven UCL",IF(J388&lt;K388,"onder LCL","")),"")</f>
        <v/>
      </c>
      <c r="O388" t="n">
        <v>282</v>
      </c>
      <c r="P388" s="7" t="n"/>
      <c r="Q388" s="7" t="n"/>
      <c r="R388" s="11">
        <f>IF(AND(ISNUMBER(P388),ISNUMBER(Q388),P388&gt;0,ISNUMBER($B$100)),Q388/P388,"")</f>
        <v/>
      </c>
      <c r="S388" s="11">
        <f>IF(AND(ISNUMBER(P388),ISNUMBER(Q388),P388&gt;0,ISNUMBER($B$100)),MAX(0,$B$100-3*SQRT($B$100/P388)),"")</f>
        <v/>
      </c>
      <c r="T388" s="11">
        <f>IF(AND(ISNUMBER(P388),ISNUMBER(Q388),P388&gt;0,ISNUMBER($B$100)),$B$100+3*SQRT($B$100/P388),"")</f>
        <v/>
      </c>
      <c r="U388" s="13">
        <f>IF(AND(ISNUMBER(R388),ISNUMBER(S388),ISNUMBER(T388)),IF(R388&gt;T388,"boven UCL",IF(R388&lt;S388,"onder LCL","")),"")</f>
        <v/>
      </c>
    </row>
    <row r="389">
      <c r="A389" t="n">
        <v>283</v>
      </c>
      <c r="B389" s="7" t="n"/>
      <c r="C389" s="11">
        <f>IF(AND(ISNUMBER(B389),ISNUMBER(B388)),ABS(B389-B388),"")</f>
        <v/>
      </c>
      <c r="D389" s="13">
        <f>IF(AND(ISNUMBER(B389),ISNUMBER($B$88),ISNUMBER($D$88)),IF(B389&gt;$D$88,"boven UCL",IF(B389&lt;$B$88,"onder LCL","")),"")</f>
        <v/>
      </c>
      <c r="E389" s="13">
        <f>IF(AND(ISNUMBER(C389),ISNUMBER($B$89),ISNUMBER($D$89)),IF(C389&gt;$D$89,"boven UCL",IF(C389&lt;$B$89,"onder LCL","")),"")</f>
        <v/>
      </c>
      <c r="G389" t="n">
        <v>283</v>
      </c>
      <c r="H389" s="7" t="n"/>
      <c r="I389" s="7" t="n"/>
      <c r="J389" s="11">
        <f>IF(AND(ISNUMBER(H389),ISNUMBER(I389),H389&gt;0,ISNUMBER($B$94)),I389/H389,"")</f>
        <v/>
      </c>
      <c r="K389" s="11">
        <f>IF(AND(ISNUMBER(H389),ISNUMBER(I389),H389&gt;0,ISNUMBER($B$94)),MAX(0,$B$94-3*SQRT($B$94*(1-$B$94)/H389)),"")</f>
        <v/>
      </c>
      <c r="L389" s="11">
        <f>IF(AND(ISNUMBER(H389),ISNUMBER(I389),H389&gt;0,ISNUMBER($B$94)),$B$94+3*SQRT($B$94*(1-$B$94)/H389),"")</f>
        <v/>
      </c>
      <c r="M389" s="13">
        <f>IF(AND(ISNUMBER(J389),ISNUMBER(K389),ISNUMBER(L389)),IF(J389&gt;L389,"boven UCL",IF(J389&lt;K389,"onder LCL","")),"")</f>
        <v/>
      </c>
      <c r="O389" t="n">
        <v>283</v>
      </c>
      <c r="P389" s="7" t="n"/>
      <c r="Q389" s="7" t="n"/>
      <c r="R389" s="11">
        <f>IF(AND(ISNUMBER(P389),ISNUMBER(Q389),P389&gt;0,ISNUMBER($B$100)),Q389/P389,"")</f>
        <v/>
      </c>
      <c r="S389" s="11">
        <f>IF(AND(ISNUMBER(P389),ISNUMBER(Q389),P389&gt;0,ISNUMBER($B$100)),MAX(0,$B$100-3*SQRT($B$100/P389)),"")</f>
        <v/>
      </c>
      <c r="T389" s="11">
        <f>IF(AND(ISNUMBER(P389),ISNUMBER(Q389),P389&gt;0,ISNUMBER($B$100)),$B$100+3*SQRT($B$100/P389),"")</f>
        <v/>
      </c>
      <c r="U389" s="13">
        <f>IF(AND(ISNUMBER(R389),ISNUMBER(S389),ISNUMBER(T389)),IF(R389&gt;T389,"boven UCL",IF(R389&lt;S389,"onder LCL","")),"")</f>
        <v/>
      </c>
    </row>
    <row r="390">
      <c r="A390" t="n">
        <v>284</v>
      </c>
      <c r="B390" s="7" t="n"/>
      <c r="C390" s="11">
        <f>IF(AND(ISNUMBER(B390),ISNUMBER(B389)),ABS(B390-B389),"")</f>
        <v/>
      </c>
      <c r="D390" s="13">
        <f>IF(AND(ISNUMBER(B390),ISNUMBER($B$88),ISNUMBER($D$88)),IF(B390&gt;$D$88,"boven UCL",IF(B390&lt;$B$88,"onder LCL","")),"")</f>
        <v/>
      </c>
      <c r="E390" s="13">
        <f>IF(AND(ISNUMBER(C390),ISNUMBER($B$89),ISNUMBER($D$89)),IF(C390&gt;$D$89,"boven UCL",IF(C390&lt;$B$89,"onder LCL","")),"")</f>
        <v/>
      </c>
      <c r="G390" t="n">
        <v>284</v>
      </c>
      <c r="H390" s="7" t="n"/>
      <c r="I390" s="7" t="n"/>
      <c r="J390" s="11">
        <f>IF(AND(ISNUMBER(H390),ISNUMBER(I390),H390&gt;0,ISNUMBER($B$94)),I390/H390,"")</f>
        <v/>
      </c>
      <c r="K390" s="11">
        <f>IF(AND(ISNUMBER(H390),ISNUMBER(I390),H390&gt;0,ISNUMBER($B$94)),MAX(0,$B$94-3*SQRT($B$94*(1-$B$94)/H390)),"")</f>
        <v/>
      </c>
      <c r="L390" s="11">
        <f>IF(AND(ISNUMBER(H390),ISNUMBER(I390),H390&gt;0,ISNUMBER($B$94)),$B$94+3*SQRT($B$94*(1-$B$94)/H390),"")</f>
        <v/>
      </c>
      <c r="M390" s="13">
        <f>IF(AND(ISNUMBER(J390),ISNUMBER(K390),ISNUMBER(L390)),IF(J390&gt;L390,"boven UCL",IF(J390&lt;K390,"onder LCL","")),"")</f>
        <v/>
      </c>
      <c r="O390" t="n">
        <v>284</v>
      </c>
      <c r="P390" s="7" t="n"/>
      <c r="Q390" s="7" t="n"/>
      <c r="R390" s="11">
        <f>IF(AND(ISNUMBER(P390),ISNUMBER(Q390),P390&gt;0,ISNUMBER($B$100)),Q390/P390,"")</f>
        <v/>
      </c>
      <c r="S390" s="11">
        <f>IF(AND(ISNUMBER(P390),ISNUMBER(Q390),P390&gt;0,ISNUMBER($B$100)),MAX(0,$B$100-3*SQRT($B$100/P390)),"")</f>
        <v/>
      </c>
      <c r="T390" s="11">
        <f>IF(AND(ISNUMBER(P390),ISNUMBER(Q390),P390&gt;0,ISNUMBER($B$100)),$B$100+3*SQRT($B$100/P390),"")</f>
        <v/>
      </c>
      <c r="U390" s="13">
        <f>IF(AND(ISNUMBER(R390),ISNUMBER(S390),ISNUMBER(T390)),IF(R390&gt;T390,"boven UCL",IF(R390&lt;S390,"onder LCL","")),"")</f>
        <v/>
      </c>
    </row>
    <row r="391">
      <c r="A391" t="n">
        <v>285</v>
      </c>
      <c r="B391" s="7" t="n"/>
      <c r="C391" s="11">
        <f>IF(AND(ISNUMBER(B391),ISNUMBER(B390)),ABS(B391-B390),"")</f>
        <v/>
      </c>
      <c r="D391" s="13">
        <f>IF(AND(ISNUMBER(B391),ISNUMBER($B$88),ISNUMBER($D$88)),IF(B391&gt;$D$88,"boven UCL",IF(B391&lt;$B$88,"onder LCL","")),"")</f>
        <v/>
      </c>
      <c r="E391" s="13">
        <f>IF(AND(ISNUMBER(C391),ISNUMBER($B$89),ISNUMBER($D$89)),IF(C391&gt;$D$89,"boven UCL",IF(C391&lt;$B$89,"onder LCL","")),"")</f>
        <v/>
      </c>
      <c r="G391" t="n">
        <v>285</v>
      </c>
      <c r="H391" s="7" t="n"/>
      <c r="I391" s="7" t="n"/>
      <c r="J391" s="11">
        <f>IF(AND(ISNUMBER(H391),ISNUMBER(I391),H391&gt;0,ISNUMBER($B$94)),I391/H391,"")</f>
        <v/>
      </c>
      <c r="K391" s="11">
        <f>IF(AND(ISNUMBER(H391),ISNUMBER(I391),H391&gt;0,ISNUMBER($B$94)),MAX(0,$B$94-3*SQRT($B$94*(1-$B$94)/H391)),"")</f>
        <v/>
      </c>
      <c r="L391" s="11">
        <f>IF(AND(ISNUMBER(H391),ISNUMBER(I391),H391&gt;0,ISNUMBER($B$94)),$B$94+3*SQRT($B$94*(1-$B$94)/H391),"")</f>
        <v/>
      </c>
      <c r="M391" s="13">
        <f>IF(AND(ISNUMBER(J391),ISNUMBER(K391),ISNUMBER(L391)),IF(J391&gt;L391,"boven UCL",IF(J391&lt;K391,"onder LCL","")),"")</f>
        <v/>
      </c>
      <c r="O391" t="n">
        <v>285</v>
      </c>
      <c r="P391" s="7" t="n"/>
      <c r="Q391" s="7" t="n"/>
      <c r="R391" s="11">
        <f>IF(AND(ISNUMBER(P391),ISNUMBER(Q391),P391&gt;0,ISNUMBER($B$100)),Q391/P391,"")</f>
        <v/>
      </c>
      <c r="S391" s="11">
        <f>IF(AND(ISNUMBER(P391),ISNUMBER(Q391),P391&gt;0,ISNUMBER($B$100)),MAX(0,$B$100-3*SQRT($B$100/P391)),"")</f>
        <v/>
      </c>
      <c r="T391" s="11">
        <f>IF(AND(ISNUMBER(P391),ISNUMBER(Q391),P391&gt;0,ISNUMBER($B$100)),$B$100+3*SQRT($B$100/P391),"")</f>
        <v/>
      </c>
      <c r="U391" s="13">
        <f>IF(AND(ISNUMBER(R391),ISNUMBER(S391),ISNUMBER(T391)),IF(R391&gt;T391,"boven UCL",IF(R391&lt;S391,"onder LCL","")),"")</f>
        <v/>
      </c>
    </row>
    <row r="392">
      <c r="A392" t="n">
        <v>286</v>
      </c>
      <c r="B392" s="7" t="n"/>
      <c r="C392" s="11">
        <f>IF(AND(ISNUMBER(B392),ISNUMBER(B391)),ABS(B392-B391),"")</f>
        <v/>
      </c>
      <c r="D392" s="13">
        <f>IF(AND(ISNUMBER(B392),ISNUMBER($B$88),ISNUMBER($D$88)),IF(B392&gt;$D$88,"boven UCL",IF(B392&lt;$B$88,"onder LCL","")),"")</f>
        <v/>
      </c>
      <c r="E392" s="13">
        <f>IF(AND(ISNUMBER(C392),ISNUMBER($B$89),ISNUMBER($D$89)),IF(C392&gt;$D$89,"boven UCL",IF(C392&lt;$B$89,"onder LCL","")),"")</f>
        <v/>
      </c>
      <c r="G392" t="n">
        <v>286</v>
      </c>
      <c r="H392" s="7" t="n"/>
      <c r="I392" s="7" t="n"/>
      <c r="J392" s="11">
        <f>IF(AND(ISNUMBER(H392),ISNUMBER(I392),H392&gt;0,ISNUMBER($B$94)),I392/H392,"")</f>
        <v/>
      </c>
      <c r="K392" s="11">
        <f>IF(AND(ISNUMBER(H392),ISNUMBER(I392),H392&gt;0,ISNUMBER($B$94)),MAX(0,$B$94-3*SQRT($B$94*(1-$B$94)/H392)),"")</f>
        <v/>
      </c>
      <c r="L392" s="11">
        <f>IF(AND(ISNUMBER(H392),ISNUMBER(I392),H392&gt;0,ISNUMBER($B$94)),$B$94+3*SQRT($B$94*(1-$B$94)/H392),"")</f>
        <v/>
      </c>
      <c r="M392" s="13">
        <f>IF(AND(ISNUMBER(J392),ISNUMBER(K392),ISNUMBER(L392)),IF(J392&gt;L392,"boven UCL",IF(J392&lt;K392,"onder LCL","")),"")</f>
        <v/>
      </c>
      <c r="O392" t="n">
        <v>286</v>
      </c>
      <c r="P392" s="7" t="n"/>
      <c r="Q392" s="7" t="n"/>
      <c r="R392" s="11">
        <f>IF(AND(ISNUMBER(P392),ISNUMBER(Q392),P392&gt;0,ISNUMBER($B$100)),Q392/P392,"")</f>
        <v/>
      </c>
      <c r="S392" s="11">
        <f>IF(AND(ISNUMBER(P392),ISNUMBER(Q392),P392&gt;0,ISNUMBER($B$100)),MAX(0,$B$100-3*SQRT($B$100/P392)),"")</f>
        <v/>
      </c>
      <c r="T392" s="11">
        <f>IF(AND(ISNUMBER(P392),ISNUMBER(Q392),P392&gt;0,ISNUMBER($B$100)),$B$100+3*SQRT($B$100/P392),"")</f>
        <v/>
      </c>
      <c r="U392" s="13">
        <f>IF(AND(ISNUMBER(R392),ISNUMBER(S392),ISNUMBER(T392)),IF(R392&gt;T392,"boven UCL",IF(R392&lt;S392,"onder LCL","")),"")</f>
        <v/>
      </c>
    </row>
    <row r="393">
      <c r="A393" t="n">
        <v>287</v>
      </c>
      <c r="B393" s="7" t="n"/>
      <c r="C393" s="11">
        <f>IF(AND(ISNUMBER(B393),ISNUMBER(B392)),ABS(B393-B392),"")</f>
        <v/>
      </c>
      <c r="D393" s="13">
        <f>IF(AND(ISNUMBER(B393),ISNUMBER($B$88),ISNUMBER($D$88)),IF(B393&gt;$D$88,"boven UCL",IF(B393&lt;$B$88,"onder LCL","")),"")</f>
        <v/>
      </c>
      <c r="E393" s="13">
        <f>IF(AND(ISNUMBER(C393),ISNUMBER($B$89),ISNUMBER($D$89)),IF(C393&gt;$D$89,"boven UCL",IF(C393&lt;$B$89,"onder LCL","")),"")</f>
        <v/>
      </c>
      <c r="G393" t="n">
        <v>287</v>
      </c>
      <c r="H393" s="7" t="n"/>
      <c r="I393" s="7" t="n"/>
      <c r="J393" s="11">
        <f>IF(AND(ISNUMBER(H393),ISNUMBER(I393),H393&gt;0,ISNUMBER($B$94)),I393/H393,"")</f>
        <v/>
      </c>
      <c r="K393" s="11">
        <f>IF(AND(ISNUMBER(H393),ISNUMBER(I393),H393&gt;0,ISNUMBER($B$94)),MAX(0,$B$94-3*SQRT($B$94*(1-$B$94)/H393)),"")</f>
        <v/>
      </c>
      <c r="L393" s="11">
        <f>IF(AND(ISNUMBER(H393),ISNUMBER(I393),H393&gt;0,ISNUMBER($B$94)),$B$94+3*SQRT($B$94*(1-$B$94)/H393),"")</f>
        <v/>
      </c>
      <c r="M393" s="13">
        <f>IF(AND(ISNUMBER(J393),ISNUMBER(K393),ISNUMBER(L393)),IF(J393&gt;L393,"boven UCL",IF(J393&lt;K393,"onder LCL","")),"")</f>
        <v/>
      </c>
      <c r="O393" t="n">
        <v>287</v>
      </c>
      <c r="P393" s="7" t="n"/>
      <c r="Q393" s="7" t="n"/>
      <c r="R393" s="11">
        <f>IF(AND(ISNUMBER(P393),ISNUMBER(Q393),P393&gt;0,ISNUMBER($B$100)),Q393/P393,"")</f>
        <v/>
      </c>
      <c r="S393" s="11">
        <f>IF(AND(ISNUMBER(P393),ISNUMBER(Q393),P393&gt;0,ISNUMBER($B$100)),MAX(0,$B$100-3*SQRT($B$100/P393)),"")</f>
        <v/>
      </c>
      <c r="T393" s="11">
        <f>IF(AND(ISNUMBER(P393),ISNUMBER(Q393),P393&gt;0,ISNUMBER($B$100)),$B$100+3*SQRT($B$100/P393),"")</f>
        <v/>
      </c>
      <c r="U393" s="13">
        <f>IF(AND(ISNUMBER(R393),ISNUMBER(S393),ISNUMBER(T393)),IF(R393&gt;T393,"boven UCL",IF(R393&lt;S393,"onder LCL","")),"")</f>
        <v/>
      </c>
    </row>
    <row r="394">
      <c r="A394" t="n">
        <v>288</v>
      </c>
      <c r="B394" s="7" t="n"/>
      <c r="C394" s="11">
        <f>IF(AND(ISNUMBER(B394),ISNUMBER(B393)),ABS(B394-B393),"")</f>
        <v/>
      </c>
      <c r="D394" s="13">
        <f>IF(AND(ISNUMBER(B394),ISNUMBER($B$88),ISNUMBER($D$88)),IF(B394&gt;$D$88,"boven UCL",IF(B394&lt;$B$88,"onder LCL","")),"")</f>
        <v/>
      </c>
      <c r="E394" s="13">
        <f>IF(AND(ISNUMBER(C394),ISNUMBER($B$89),ISNUMBER($D$89)),IF(C394&gt;$D$89,"boven UCL",IF(C394&lt;$B$89,"onder LCL","")),"")</f>
        <v/>
      </c>
      <c r="G394" t="n">
        <v>288</v>
      </c>
      <c r="H394" s="7" t="n"/>
      <c r="I394" s="7" t="n"/>
      <c r="J394" s="11">
        <f>IF(AND(ISNUMBER(H394),ISNUMBER(I394),H394&gt;0,ISNUMBER($B$94)),I394/H394,"")</f>
        <v/>
      </c>
      <c r="K394" s="11">
        <f>IF(AND(ISNUMBER(H394),ISNUMBER(I394),H394&gt;0,ISNUMBER($B$94)),MAX(0,$B$94-3*SQRT($B$94*(1-$B$94)/H394)),"")</f>
        <v/>
      </c>
      <c r="L394" s="11">
        <f>IF(AND(ISNUMBER(H394),ISNUMBER(I394),H394&gt;0,ISNUMBER($B$94)),$B$94+3*SQRT($B$94*(1-$B$94)/H394),"")</f>
        <v/>
      </c>
      <c r="M394" s="13">
        <f>IF(AND(ISNUMBER(J394),ISNUMBER(K394),ISNUMBER(L394)),IF(J394&gt;L394,"boven UCL",IF(J394&lt;K394,"onder LCL","")),"")</f>
        <v/>
      </c>
      <c r="O394" t="n">
        <v>288</v>
      </c>
      <c r="P394" s="7" t="n"/>
      <c r="Q394" s="7" t="n"/>
      <c r="R394" s="11">
        <f>IF(AND(ISNUMBER(P394),ISNUMBER(Q394),P394&gt;0,ISNUMBER($B$100)),Q394/P394,"")</f>
        <v/>
      </c>
      <c r="S394" s="11">
        <f>IF(AND(ISNUMBER(P394),ISNUMBER(Q394),P394&gt;0,ISNUMBER($B$100)),MAX(0,$B$100-3*SQRT($B$100/P394)),"")</f>
        <v/>
      </c>
      <c r="T394" s="11">
        <f>IF(AND(ISNUMBER(P394),ISNUMBER(Q394),P394&gt;0,ISNUMBER($B$100)),$B$100+3*SQRT($B$100/P394),"")</f>
        <v/>
      </c>
      <c r="U394" s="13">
        <f>IF(AND(ISNUMBER(R394),ISNUMBER(S394),ISNUMBER(T394)),IF(R394&gt;T394,"boven UCL",IF(R394&lt;S394,"onder LCL","")),"")</f>
        <v/>
      </c>
    </row>
    <row r="395">
      <c r="A395" t="n">
        <v>289</v>
      </c>
      <c r="B395" s="7" t="n"/>
      <c r="C395" s="11">
        <f>IF(AND(ISNUMBER(B395),ISNUMBER(B394)),ABS(B395-B394),"")</f>
        <v/>
      </c>
      <c r="D395" s="13">
        <f>IF(AND(ISNUMBER(B395),ISNUMBER($B$88),ISNUMBER($D$88)),IF(B395&gt;$D$88,"boven UCL",IF(B395&lt;$B$88,"onder LCL","")),"")</f>
        <v/>
      </c>
      <c r="E395" s="13">
        <f>IF(AND(ISNUMBER(C395),ISNUMBER($B$89),ISNUMBER($D$89)),IF(C395&gt;$D$89,"boven UCL",IF(C395&lt;$B$89,"onder LCL","")),"")</f>
        <v/>
      </c>
      <c r="G395" t="n">
        <v>289</v>
      </c>
      <c r="H395" s="7" t="n"/>
      <c r="I395" s="7" t="n"/>
      <c r="J395" s="11">
        <f>IF(AND(ISNUMBER(H395),ISNUMBER(I395),H395&gt;0,ISNUMBER($B$94)),I395/H395,"")</f>
        <v/>
      </c>
      <c r="K395" s="11">
        <f>IF(AND(ISNUMBER(H395),ISNUMBER(I395),H395&gt;0,ISNUMBER($B$94)),MAX(0,$B$94-3*SQRT($B$94*(1-$B$94)/H395)),"")</f>
        <v/>
      </c>
      <c r="L395" s="11">
        <f>IF(AND(ISNUMBER(H395),ISNUMBER(I395),H395&gt;0,ISNUMBER($B$94)),$B$94+3*SQRT($B$94*(1-$B$94)/H395),"")</f>
        <v/>
      </c>
      <c r="M395" s="13">
        <f>IF(AND(ISNUMBER(J395),ISNUMBER(K395),ISNUMBER(L395)),IF(J395&gt;L395,"boven UCL",IF(J395&lt;K395,"onder LCL","")),"")</f>
        <v/>
      </c>
      <c r="O395" t="n">
        <v>289</v>
      </c>
      <c r="P395" s="7" t="n"/>
      <c r="Q395" s="7" t="n"/>
      <c r="R395" s="11">
        <f>IF(AND(ISNUMBER(P395),ISNUMBER(Q395),P395&gt;0,ISNUMBER($B$100)),Q395/P395,"")</f>
        <v/>
      </c>
      <c r="S395" s="11">
        <f>IF(AND(ISNUMBER(P395),ISNUMBER(Q395),P395&gt;0,ISNUMBER($B$100)),MAX(0,$B$100-3*SQRT($B$100/P395)),"")</f>
        <v/>
      </c>
      <c r="T395" s="11">
        <f>IF(AND(ISNUMBER(P395),ISNUMBER(Q395),P395&gt;0,ISNUMBER($B$100)),$B$100+3*SQRT($B$100/P395),"")</f>
        <v/>
      </c>
      <c r="U395" s="13">
        <f>IF(AND(ISNUMBER(R395),ISNUMBER(S395),ISNUMBER(T395)),IF(R395&gt;T395,"boven UCL",IF(R395&lt;S395,"onder LCL","")),"")</f>
        <v/>
      </c>
    </row>
    <row r="396">
      <c r="A396" t="n">
        <v>290</v>
      </c>
      <c r="B396" s="7" t="n"/>
      <c r="C396" s="11">
        <f>IF(AND(ISNUMBER(B396),ISNUMBER(B395)),ABS(B396-B395),"")</f>
        <v/>
      </c>
      <c r="D396" s="13">
        <f>IF(AND(ISNUMBER(B396),ISNUMBER($B$88),ISNUMBER($D$88)),IF(B396&gt;$D$88,"boven UCL",IF(B396&lt;$B$88,"onder LCL","")),"")</f>
        <v/>
      </c>
      <c r="E396" s="13">
        <f>IF(AND(ISNUMBER(C396),ISNUMBER($B$89),ISNUMBER($D$89)),IF(C396&gt;$D$89,"boven UCL",IF(C396&lt;$B$89,"onder LCL","")),"")</f>
        <v/>
      </c>
      <c r="G396" t="n">
        <v>290</v>
      </c>
      <c r="H396" s="7" t="n"/>
      <c r="I396" s="7" t="n"/>
      <c r="J396" s="11">
        <f>IF(AND(ISNUMBER(H396),ISNUMBER(I396),H396&gt;0,ISNUMBER($B$94)),I396/H396,"")</f>
        <v/>
      </c>
      <c r="K396" s="11">
        <f>IF(AND(ISNUMBER(H396),ISNUMBER(I396),H396&gt;0,ISNUMBER($B$94)),MAX(0,$B$94-3*SQRT($B$94*(1-$B$94)/H396)),"")</f>
        <v/>
      </c>
      <c r="L396" s="11">
        <f>IF(AND(ISNUMBER(H396),ISNUMBER(I396),H396&gt;0,ISNUMBER($B$94)),$B$94+3*SQRT($B$94*(1-$B$94)/H396),"")</f>
        <v/>
      </c>
      <c r="M396" s="13">
        <f>IF(AND(ISNUMBER(J396),ISNUMBER(K396),ISNUMBER(L396)),IF(J396&gt;L396,"boven UCL",IF(J396&lt;K396,"onder LCL","")),"")</f>
        <v/>
      </c>
      <c r="O396" t="n">
        <v>290</v>
      </c>
      <c r="P396" s="7" t="n"/>
      <c r="Q396" s="7" t="n"/>
      <c r="R396" s="11">
        <f>IF(AND(ISNUMBER(P396),ISNUMBER(Q396),P396&gt;0,ISNUMBER($B$100)),Q396/P396,"")</f>
        <v/>
      </c>
      <c r="S396" s="11">
        <f>IF(AND(ISNUMBER(P396),ISNUMBER(Q396),P396&gt;0,ISNUMBER($B$100)),MAX(0,$B$100-3*SQRT($B$100/P396)),"")</f>
        <v/>
      </c>
      <c r="T396" s="11">
        <f>IF(AND(ISNUMBER(P396),ISNUMBER(Q396),P396&gt;0,ISNUMBER($B$100)),$B$100+3*SQRT($B$100/P396),"")</f>
        <v/>
      </c>
      <c r="U396" s="13">
        <f>IF(AND(ISNUMBER(R396),ISNUMBER(S396),ISNUMBER(T396)),IF(R396&gt;T396,"boven UCL",IF(R396&lt;S396,"onder LCL","")),"")</f>
        <v/>
      </c>
    </row>
    <row r="397">
      <c r="A397" t="n">
        <v>291</v>
      </c>
      <c r="B397" s="7" t="n"/>
      <c r="C397" s="11">
        <f>IF(AND(ISNUMBER(B397),ISNUMBER(B396)),ABS(B397-B396),"")</f>
        <v/>
      </c>
      <c r="D397" s="13">
        <f>IF(AND(ISNUMBER(B397),ISNUMBER($B$88),ISNUMBER($D$88)),IF(B397&gt;$D$88,"boven UCL",IF(B397&lt;$B$88,"onder LCL","")),"")</f>
        <v/>
      </c>
      <c r="E397" s="13">
        <f>IF(AND(ISNUMBER(C397),ISNUMBER($B$89),ISNUMBER($D$89)),IF(C397&gt;$D$89,"boven UCL",IF(C397&lt;$B$89,"onder LCL","")),"")</f>
        <v/>
      </c>
      <c r="G397" t="n">
        <v>291</v>
      </c>
      <c r="H397" s="7" t="n"/>
      <c r="I397" s="7" t="n"/>
      <c r="J397" s="11">
        <f>IF(AND(ISNUMBER(H397),ISNUMBER(I397),H397&gt;0,ISNUMBER($B$94)),I397/H397,"")</f>
        <v/>
      </c>
      <c r="K397" s="11">
        <f>IF(AND(ISNUMBER(H397),ISNUMBER(I397),H397&gt;0,ISNUMBER($B$94)),MAX(0,$B$94-3*SQRT($B$94*(1-$B$94)/H397)),"")</f>
        <v/>
      </c>
      <c r="L397" s="11">
        <f>IF(AND(ISNUMBER(H397),ISNUMBER(I397),H397&gt;0,ISNUMBER($B$94)),$B$94+3*SQRT($B$94*(1-$B$94)/H397),"")</f>
        <v/>
      </c>
      <c r="M397" s="13">
        <f>IF(AND(ISNUMBER(J397),ISNUMBER(K397),ISNUMBER(L397)),IF(J397&gt;L397,"boven UCL",IF(J397&lt;K397,"onder LCL","")),"")</f>
        <v/>
      </c>
      <c r="O397" t="n">
        <v>291</v>
      </c>
      <c r="P397" s="7" t="n"/>
      <c r="Q397" s="7" t="n"/>
      <c r="R397" s="11">
        <f>IF(AND(ISNUMBER(P397),ISNUMBER(Q397),P397&gt;0,ISNUMBER($B$100)),Q397/P397,"")</f>
        <v/>
      </c>
      <c r="S397" s="11">
        <f>IF(AND(ISNUMBER(P397),ISNUMBER(Q397),P397&gt;0,ISNUMBER($B$100)),MAX(0,$B$100-3*SQRT($B$100/P397)),"")</f>
        <v/>
      </c>
      <c r="T397" s="11">
        <f>IF(AND(ISNUMBER(P397),ISNUMBER(Q397),P397&gt;0,ISNUMBER($B$100)),$B$100+3*SQRT($B$100/P397),"")</f>
        <v/>
      </c>
      <c r="U397" s="13">
        <f>IF(AND(ISNUMBER(R397),ISNUMBER(S397),ISNUMBER(T397)),IF(R397&gt;T397,"boven UCL",IF(R397&lt;S397,"onder LCL","")),"")</f>
        <v/>
      </c>
    </row>
    <row r="398">
      <c r="A398" t="n">
        <v>292</v>
      </c>
      <c r="B398" s="7" t="n"/>
      <c r="C398" s="11">
        <f>IF(AND(ISNUMBER(B398),ISNUMBER(B397)),ABS(B398-B397),"")</f>
        <v/>
      </c>
      <c r="D398" s="13">
        <f>IF(AND(ISNUMBER(B398),ISNUMBER($B$88),ISNUMBER($D$88)),IF(B398&gt;$D$88,"boven UCL",IF(B398&lt;$B$88,"onder LCL","")),"")</f>
        <v/>
      </c>
      <c r="E398" s="13">
        <f>IF(AND(ISNUMBER(C398),ISNUMBER($B$89),ISNUMBER($D$89)),IF(C398&gt;$D$89,"boven UCL",IF(C398&lt;$B$89,"onder LCL","")),"")</f>
        <v/>
      </c>
      <c r="G398" t="n">
        <v>292</v>
      </c>
      <c r="H398" s="7" t="n"/>
      <c r="I398" s="7" t="n"/>
      <c r="J398" s="11">
        <f>IF(AND(ISNUMBER(H398),ISNUMBER(I398),H398&gt;0,ISNUMBER($B$94)),I398/H398,"")</f>
        <v/>
      </c>
      <c r="K398" s="11">
        <f>IF(AND(ISNUMBER(H398),ISNUMBER(I398),H398&gt;0,ISNUMBER($B$94)),MAX(0,$B$94-3*SQRT($B$94*(1-$B$94)/H398)),"")</f>
        <v/>
      </c>
      <c r="L398" s="11">
        <f>IF(AND(ISNUMBER(H398),ISNUMBER(I398),H398&gt;0,ISNUMBER($B$94)),$B$94+3*SQRT($B$94*(1-$B$94)/H398),"")</f>
        <v/>
      </c>
      <c r="M398" s="13">
        <f>IF(AND(ISNUMBER(J398),ISNUMBER(K398),ISNUMBER(L398)),IF(J398&gt;L398,"boven UCL",IF(J398&lt;K398,"onder LCL","")),"")</f>
        <v/>
      </c>
      <c r="O398" t="n">
        <v>292</v>
      </c>
      <c r="P398" s="7" t="n"/>
      <c r="Q398" s="7" t="n"/>
      <c r="R398" s="11">
        <f>IF(AND(ISNUMBER(P398),ISNUMBER(Q398),P398&gt;0,ISNUMBER($B$100)),Q398/P398,"")</f>
        <v/>
      </c>
      <c r="S398" s="11">
        <f>IF(AND(ISNUMBER(P398),ISNUMBER(Q398),P398&gt;0,ISNUMBER($B$100)),MAX(0,$B$100-3*SQRT($B$100/P398)),"")</f>
        <v/>
      </c>
      <c r="T398" s="11">
        <f>IF(AND(ISNUMBER(P398),ISNUMBER(Q398),P398&gt;0,ISNUMBER($B$100)),$B$100+3*SQRT($B$100/P398),"")</f>
        <v/>
      </c>
      <c r="U398" s="13">
        <f>IF(AND(ISNUMBER(R398),ISNUMBER(S398),ISNUMBER(T398)),IF(R398&gt;T398,"boven UCL",IF(R398&lt;S398,"onder LCL","")),"")</f>
        <v/>
      </c>
    </row>
    <row r="399">
      <c r="A399" t="n">
        <v>293</v>
      </c>
      <c r="B399" s="7" t="n"/>
      <c r="C399" s="11">
        <f>IF(AND(ISNUMBER(B399),ISNUMBER(B398)),ABS(B399-B398),"")</f>
        <v/>
      </c>
      <c r="D399" s="13">
        <f>IF(AND(ISNUMBER(B399),ISNUMBER($B$88),ISNUMBER($D$88)),IF(B399&gt;$D$88,"boven UCL",IF(B399&lt;$B$88,"onder LCL","")),"")</f>
        <v/>
      </c>
      <c r="E399" s="13">
        <f>IF(AND(ISNUMBER(C399),ISNUMBER($B$89),ISNUMBER($D$89)),IF(C399&gt;$D$89,"boven UCL",IF(C399&lt;$B$89,"onder LCL","")),"")</f>
        <v/>
      </c>
      <c r="G399" t="n">
        <v>293</v>
      </c>
      <c r="H399" s="7" t="n"/>
      <c r="I399" s="7" t="n"/>
      <c r="J399" s="11">
        <f>IF(AND(ISNUMBER(H399),ISNUMBER(I399),H399&gt;0,ISNUMBER($B$94)),I399/H399,"")</f>
        <v/>
      </c>
      <c r="K399" s="11">
        <f>IF(AND(ISNUMBER(H399),ISNUMBER(I399),H399&gt;0,ISNUMBER($B$94)),MAX(0,$B$94-3*SQRT($B$94*(1-$B$94)/H399)),"")</f>
        <v/>
      </c>
      <c r="L399" s="11">
        <f>IF(AND(ISNUMBER(H399),ISNUMBER(I399),H399&gt;0,ISNUMBER($B$94)),$B$94+3*SQRT($B$94*(1-$B$94)/H399),"")</f>
        <v/>
      </c>
      <c r="M399" s="13">
        <f>IF(AND(ISNUMBER(J399),ISNUMBER(K399),ISNUMBER(L399)),IF(J399&gt;L399,"boven UCL",IF(J399&lt;K399,"onder LCL","")),"")</f>
        <v/>
      </c>
      <c r="O399" t="n">
        <v>293</v>
      </c>
      <c r="P399" s="7" t="n"/>
      <c r="Q399" s="7" t="n"/>
      <c r="R399" s="11">
        <f>IF(AND(ISNUMBER(P399),ISNUMBER(Q399),P399&gt;0,ISNUMBER($B$100)),Q399/P399,"")</f>
        <v/>
      </c>
      <c r="S399" s="11">
        <f>IF(AND(ISNUMBER(P399),ISNUMBER(Q399),P399&gt;0,ISNUMBER($B$100)),MAX(0,$B$100-3*SQRT($B$100/P399)),"")</f>
        <v/>
      </c>
      <c r="T399" s="11">
        <f>IF(AND(ISNUMBER(P399),ISNUMBER(Q399),P399&gt;0,ISNUMBER($B$100)),$B$100+3*SQRT($B$100/P399),"")</f>
        <v/>
      </c>
      <c r="U399" s="13">
        <f>IF(AND(ISNUMBER(R399),ISNUMBER(S399),ISNUMBER(T399)),IF(R399&gt;T399,"boven UCL",IF(R399&lt;S399,"onder LCL","")),"")</f>
        <v/>
      </c>
    </row>
    <row r="400">
      <c r="A400" t="n">
        <v>294</v>
      </c>
      <c r="B400" s="7" t="n"/>
      <c r="C400" s="11">
        <f>IF(AND(ISNUMBER(B400),ISNUMBER(B399)),ABS(B400-B399),"")</f>
        <v/>
      </c>
      <c r="D400" s="13">
        <f>IF(AND(ISNUMBER(B400),ISNUMBER($B$88),ISNUMBER($D$88)),IF(B400&gt;$D$88,"boven UCL",IF(B400&lt;$B$88,"onder LCL","")),"")</f>
        <v/>
      </c>
      <c r="E400" s="13">
        <f>IF(AND(ISNUMBER(C400),ISNUMBER($B$89),ISNUMBER($D$89)),IF(C400&gt;$D$89,"boven UCL",IF(C400&lt;$B$89,"onder LCL","")),"")</f>
        <v/>
      </c>
      <c r="G400" t="n">
        <v>294</v>
      </c>
      <c r="H400" s="7" t="n"/>
      <c r="I400" s="7" t="n"/>
      <c r="J400" s="11">
        <f>IF(AND(ISNUMBER(H400),ISNUMBER(I400),H400&gt;0,ISNUMBER($B$94)),I400/H400,"")</f>
        <v/>
      </c>
      <c r="K400" s="11">
        <f>IF(AND(ISNUMBER(H400),ISNUMBER(I400),H400&gt;0,ISNUMBER($B$94)),MAX(0,$B$94-3*SQRT($B$94*(1-$B$94)/H400)),"")</f>
        <v/>
      </c>
      <c r="L400" s="11">
        <f>IF(AND(ISNUMBER(H400),ISNUMBER(I400),H400&gt;0,ISNUMBER($B$94)),$B$94+3*SQRT($B$94*(1-$B$94)/H400),"")</f>
        <v/>
      </c>
      <c r="M400" s="13">
        <f>IF(AND(ISNUMBER(J400),ISNUMBER(K400),ISNUMBER(L400)),IF(J400&gt;L400,"boven UCL",IF(J400&lt;K400,"onder LCL","")),"")</f>
        <v/>
      </c>
      <c r="O400" t="n">
        <v>294</v>
      </c>
      <c r="P400" s="7" t="n"/>
      <c r="Q400" s="7" t="n"/>
      <c r="R400" s="11">
        <f>IF(AND(ISNUMBER(P400),ISNUMBER(Q400),P400&gt;0,ISNUMBER($B$100)),Q400/P400,"")</f>
        <v/>
      </c>
      <c r="S400" s="11">
        <f>IF(AND(ISNUMBER(P400),ISNUMBER(Q400),P400&gt;0,ISNUMBER($B$100)),MAX(0,$B$100-3*SQRT($B$100/P400)),"")</f>
        <v/>
      </c>
      <c r="T400" s="11">
        <f>IF(AND(ISNUMBER(P400),ISNUMBER(Q400),P400&gt;0,ISNUMBER($B$100)),$B$100+3*SQRT($B$100/P400),"")</f>
        <v/>
      </c>
      <c r="U400" s="13">
        <f>IF(AND(ISNUMBER(R400),ISNUMBER(S400),ISNUMBER(T400)),IF(R400&gt;T400,"boven UCL",IF(R400&lt;S400,"onder LCL","")),"")</f>
        <v/>
      </c>
    </row>
    <row r="401">
      <c r="A401" t="n">
        <v>295</v>
      </c>
      <c r="B401" s="7" t="n"/>
      <c r="C401" s="11">
        <f>IF(AND(ISNUMBER(B401),ISNUMBER(B400)),ABS(B401-B400),"")</f>
        <v/>
      </c>
      <c r="D401" s="13">
        <f>IF(AND(ISNUMBER(B401),ISNUMBER($B$88),ISNUMBER($D$88)),IF(B401&gt;$D$88,"boven UCL",IF(B401&lt;$B$88,"onder LCL","")),"")</f>
        <v/>
      </c>
      <c r="E401" s="13">
        <f>IF(AND(ISNUMBER(C401),ISNUMBER($B$89),ISNUMBER($D$89)),IF(C401&gt;$D$89,"boven UCL",IF(C401&lt;$B$89,"onder LCL","")),"")</f>
        <v/>
      </c>
      <c r="G401" t="n">
        <v>295</v>
      </c>
      <c r="H401" s="7" t="n"/>
      <c r="I401" s="7" t="n"/>
      <c r="J401" s="11">
        <f>IF(AND(ISNUMBER(H401),ISNUMBER(I401),H401&gt;0,ISNUMBER($B$94)),I401/H401,"")</f>
        <v/>
      </c>
      <c r="K401" s="11">
        <f>IF(AND(ISNUMBER(H401),ISNUMBER(I401),H401&gt;0,ISNUMBER($B$94)),MAX(0,$B$94-3*SQRT($B$94*(1-$B$94)/H401)),"")</f>
        <v/>
      </c>
      <c r="L401" s="11">
        <f>IF(AND(ISNUMBER(H401),ISNUMBER(I401),H401&gt;0,ISNUMBER($B$94)),$B$94+3*SQRT($B$94*(1-$B$94)/H401),"")</f>
        <v/>
      </c>
      <c r="M401" s="13">
        <f>IF(AND(ISNUMBER(J401),ISNUMBER(K401),ISNUMBER(L401)),IF(J401&gt;L401,"boven UCL",IF(J401&lt;K401,"onder LCL","")),"")</f>
        <v/>
      </c>
      <c r="O401" t="n">
        <v>295</v>
      </c>
      <c r="P401" s="7" t="n"/>
      <c r="Q401" s="7" t="n"/>
      <c r="R401" s="11">
        <f>IF(AND(ISNUMBER(P401),ISNUMBER(Q401),P401&gt;0,ISNUMBER($B$100)),Q401/P401,"")</f>
        <v/>
      </c>
      <c r="S401" s="11">
        <f>IF(AND(ISNUMBER(P401),ISNUMBER(Q401),P401&gt;0,ISNUMBER($B$100)),MAX(0,$B$100-3*SQRT($B$100/P401)),"")</f>
        <v/>
      </c>
      <c r="T401" s="11">
        <f>IF(AND(ISNUMBER(P401),ISNUMBER(Q401),P401&gt;0,ISNUMBER($B$100)),$B$100+3*SQRT($B$100/P401),"")</f>
        <v/>
      </c>
      <c r="U401" s="13">
        <f>IF(AND(ISNUMBER(R401),ISNUMBER(S401),ISNUMBER(T401)),IF(R401&gt;T401,"boven UCL",IF(R401&lt;S401,"onder LCL","")),"")</f>
        <v/>
      </c>
    </row>
    <row r="402">
      <c r="A402" t="n">
        <v>296</v>
      </c>
      <c r="B402" s="7" t="n"/>
      <c r="C402" s="11">
        <f>IF(AND(ISNUMBER(B402),ISNUMBER(B401)),ABS(B402-B401),"")</f>
        <v/>
      </c>
      <c r="D402" s="13">
        <f>IF(AND(ISNUMBER(B402),ISNUMBER($B$88),ISNUMBER($D$88)),IF(B402&gt;$D$88,"boven UCL",IF(B402&lt;$B$88,"onder LCL","")),"")</f>
        <v/>
      </c>
      <c r="E402" s="13">
        <f>IF(AND(ISNUMBER(C402),ISNUMBER($B$89),ISNUMBER($D$89)),IF(C402&gt;$D$89,"boven UCL",IF(C402&lt;$B$89,"onder LCL","")),"")</f>
        <v/>
      </c>
      <c r="G402" t="n">
        <v>296</v>
      </c>
      <c r="H402" s="7" t="n"/>
      <c r="I402" s="7" t="n"/>
      <c r="J402" s="11">
        <f>IF(AND(ISNUMBER(H402),ISNUMBER(I402),H402&gt;0,ISNUMBER($B$94)),I402/H402,"")</f>
        <v/>
      </c>
      <c r="K402" s="11">
        <f>IF(AND(ISNUMBER(H402),ISNUMBER(I402),H402&gt;0,ISNUMBER($B$94)),MAX(0,$B$94-3*SQRT($B$94*(1-$B$94)/H402)),"")</f>
        <v/>
      </c>
      <c r="L402" s="11">
        <f>IF(AND(ISNUMBER(H402),ISNUMBER(I402),H402&gt;0,ISNUMBER($B$94)),$B$94+3*SQRT($B$94*(1-$B$94)/H402),"")</f>
        <v/>
      </c>
      <c r="M402" s="13">
        <f>IF(AND(ISNUMBER(J402),ISNUMBER(K402),ISNUMBER(L402)),IF(J402&gt;L402,"boven UCL",IF(J402&lt;K402,"onder LCL","")),"")</f>
        <v/>
      </c>
      <c r="O402" t="n">
        <v>296</v>
      </c>
      <c r="P402" s="7" t="n"/>
      <c r="Q402" s="7" t="n"/>
      <c r="R402" s="11">
        <f>IF(AND(ISNUMBER(P402),ISNUMBER(Q402),P402&gt;0,ISNUMBER($B$100)),Q402/P402,"")</f>
        <v/>
      </c>
      <c r="S402" s="11">
        <f>IF(AND(ISNUMBER(P402),ISNUMBER(Q402),P402&gt;0,ISNUMBER($B$100)),MAX(0,$B$100-3*SQRT($B$100/P402)),"")</f>
        <v/>
      </c>
      <c r="T402" s="11">
        <f>IF(AND(ISNUMBER(P402),ISNUMBER(Q402),P402&gt;0,ISNUMBER($B$100)),$B$100+3*SQRT($B$100/P402),"")</f>
        <v/>
      </c>
      <c r="U402" s="13">
        <f>IF(AND(ISNUMBER(R402),ISNUMBER(S402),ISNUMBER(T402)),IF(R402&gt;T402,"boven UCL",IF(R402&lt;S402,"onder LCL","")),"")</f>
        <v/>
      </c>
    </row>
    <row r="403">
      <c r="A403" t="n">
        <v>297</v>
      </c>
      <c r="B403" s="7" t="n"/>
      <c r="C403" s="11">
        <f>IF(AND(ISNUMBER(B403),ISNUMBER(B402)),ABS(B403-B402),"")</f>
        <v/>
      </c>
      <c r="D403" s="13">
        <f>IF(AND(ISNUMBER(B403),ISNUMBER($B$88),ISNUMBER($D$88)),IF(B403&gt;$D$88,"boven UCL",IF(B403&lt;$B$88,"onder LCL","")),"")</f>
        <v/>
      </c>
      <c r="E403" s="13">
        <f>IF(AND(ISNUMBER(C403),ISNUMBER($B$89),ISNUMBER($D$89)),IF(C403&gt;$D$89,"boven UCL",IF(C403&lt;$B$89,"onder LCL","")),"")</f>
        <v/>
      </c>
      <c r="G403" t="n">
        <v>297</v>
      </c>
      <c r="H403" s="7" t="n"/>
      <c r="I403" s="7" t="n"/>
      <c r="J403" s="11">
        <f>IF(AND(ISNUMBER(H403),ISNUMBER(I403),H403&gt;0,ISNUMBER($B$94)),I403/H403,"")</f>
        <v/>
      </c>
      <c r="K403" s="11">
        <f>IF(AND(ISNUMBER(H403),ISNUMBER(I403),H403&gt;0,ISNUMBER($B$94)),MAX(0,$B$94-3*SQRT($B$94*(1-$B$94)/H403)),"")</f>
        <v/>
      </c>
      <c r="L403" s="11">
        <f>IF(AND(ISNUMBER(H403),ISNUMBER(I403),H403&gt;0,ISNUMBER($B$94)),$B$94+3*SQRT($B$94*(1-$B$94)/H403),"")</f>
        <v/>
      </c>
      <c r="M403" s="13">
        <f>IF(AND(ISNUMBER(J403),ISNUMBER(K403),ISNUMBER(L403)),IF(J403&gt;L403,"boven UCL",IF(J403&lt;K403,"onder LCL","")),"")</f>
        <v/>
      </c>
      <c r="O403" t="n">
        <v>297</v>
      </c>
      <c r="P403" s="7" t="n"/>
      <c r="Q403" s="7" t="n"/>
      <c r="R403" s="11">
        <f>IF(AND(ISNUMBER(P403),ISNUMBER(Q403),P403&gt;0,ISNUMBER($B$100)),Q403/P403,"")</f>
        <v/>
      </c>
      <c r="S403" s="11">
        <f>IF(AND(ISNUMBER(P403),ISNUMBER(Q403),P403&gt;0,ISNUMBER($B$100)),MAX(0,$B$100-3*SQRT($B$100/P403)),"")</f>
        <v/>
      </c>
      <c r="T403" s="11">
        <f>IF(AND(ISNUMBER(P403),ISNUMBER(Q403),P403&gt;0,ISNUMBER($B$100)),$B$100+3*SQRT($B$100/P403),"")</f>
        <v/>
      </c>
      <c r="U403" s="13">
        <f>IF(AND(ISNUMBER(R403),ISNUMBER(S403),ISNUMBER(T403)),IF(R403&gt;T403,"boven UCL",IF(R403&lt;S403,"onder LCL","")),"")</f>
        <v/>
      </c>
    </row>
    <row r="404">
      <c r="A404" t="n">
        <v>298</v>
      </c>
      <c r="B404" s="7" t="n"/>
      <c r="C404" s="11">
        <f>IF(AND(ISNUMBER(B404),ISNUMBER(B403)),ABS(B404-B403),"")</f>
        <v/>
      </c>
      <c r="D404" s="13">
        <f>IF(AND(ISNUMBER(B404),ISNUMBER($B$88),ISNUMBER($D$88)),IF(B404&gt;$D$88,"boven UCL",IF(B404&lt;$B$88,"onder LCL","")),"")</f>
        <v/>
      </c>
      <c r="E404" s="13">
        <f>IF(AND(ISNUMBER(C404),ISNUMBER($B$89),ISNUMBER($D$89)),IF(C404&gt;$D$89,"boven UCL",IF(C404&lt;$B$89,"onder LCL","")),"")</f>
        <v/>
      </c>
      <c r="G404" t="n">
        <v>298</v>
      </c>
      <c r="H404" s="7" t="n"/>
      <c r="I404" s="7" t="n"/>
      <c r="J404" s="11">
        <f>IF(AND(ISNUMBER(H404),ISNUMBER(I404),H404&gt;0,ISNUMBER($B$94)),I404/H404,"")</f>
        <v/>
      </c>
      <c r="K404" s="11">
        <f>IF(AND(ISNUMBER(H404),ISNUMBER(I404),H404&gt;0,ISNUMBER($B$94)),MAX(0,$B$94-3*SQRT($B$94*(1-$B$94)/H404)),"")</f>
        <v/>
      </c>
      <c r="L404" s="11">
        <f>IF(AND(ISNUMBER(H404),ISNUMBER(I404),H404&gt;0,ISNUMBER($B$94)),$B$94+3*SQRT($B$94*(1-$B$94)/H404),"")</f>
        <v/>
      </c>
      <c r="M404" s="13">
        <f>IF(AND(ISNUMBER(J404),ISNUMBER(K404),ISNUMBER(L404)),IF(J404&gt;L404,"boven UCL",IF(J404&lt;K404,"onder LCL","")),"")</f>
        <v/>
      </c>
      <c r="O404" t="n">
        <v>298</v>
      </c>
      <c r="P404" s="7" t="n"/>
      <c r="Q404" s="7" t="n"/>
      <c r="R404" s="11">
        <f>IF(AND(ISNUMBER(P404),ISNUMBER(Q404),P404&gt;0,ISNUMBER($B$100)),Q404/P404,"")</f>
        <v/>
      </c>
      <c r="S404" s="11">
        <f>IF(AND(ISNUMBER(P404),ISNUMBER(Q404),P404&gt;0,ISNUMBER($B$100)),MAX(0,$B$100-3*SQRT($B$100/P404)),"")</f>
        <v/>
      </c>
      <c r="T404" s="11">
        <f>IF(AND(ISNUMBER(P404),ISNUMBER(Q404),P404&gt;0,ISNUMBER($B$100)),$B$100+3*SQRT($B$100/P404),"")</f>
        <v/>
      </c>
      <c r="U404" s="13">
        <f>IF(AND(ISNUMBER(R404),ISNUMBER(S404),ISNUMBER(T404)),IF(R404&gt;T404,"boven UCL",IF(R404&lt;S404,"onder LCL","")),"")</f>
        <v/>
      </c>
    </row>
    <row r="405">
      <c r="A405" t="n">
        <v>299</v>
      </c>
      <c r="B405" s="7" t="n"/>
      <c r="C405" s="11">
        <f>IF(AND(ISNUMBER(B405),ISNUMBER(B404)),ABS(B405-B404),"")</f>
        <v/>
      </c>
      <c r="D405" s="13">
        <f>IF(AND(ISNUMBER(B405),ISNUMBER($B$88),ISNUMBER($D$88)),IF(B405&gt;$D$88,"boven UCL",IF(B405&lt;$B$88,"onder LCL","")),"")</f>
        <v/>
      </c>
      <c r="E405" s="13">
        <f>IF(AND(ISNUMBER(C405),ISNUMBER($B$89),ISNUMBER($D$89)),IF(C405&gt;$D$89,"boven UCL",IF(C405&lt;$B$89,"onder LCL","")),"")</f>
        <v/>
      </c>
      <c r="G405" t="n">
        <v>299</v>
      </c>
      <c r="H405" s="7" t="n"/>
      <c r="I405" s="7" t="n"/>
      <c r="J405" s="11">
        <f>IF(AND(ISNUMBER(H405),ISNUMBER(I405),H405&gt;0,ISNUMBER($B$94)),I405/H405,"")</f>
        <v/>
      </c>
      <c r="K405" s="11">
        <f>IF(AND(ISNUMBER(H405),ISNUMBER(I405),H405&gt;0,ISNUMBER($B$94)),MAX(0,$B$94-3*SQRT($B$94*(1-$B$94)/H405)),"")</f>
        <v/>
      </c>
      <c r="L405" s="11">
        <f>IF(AND(ISNUMBER(H405),ISNUMBER(I405),H405&gt;0,ISNUMBER($B$94)),$B$94+3*SQRT($B$94*(1-$B$94)/H405),"")</f>
        <v/>
      </c>
      <c r="M405" s="13">
        <f>IF(AND(ISNUMBER(J405),ISNUMBER(K405),ISNUMBER(L405)),IF(J405&gt;L405,"boven UCL",IF(J405&lt;K405,"onder LCL","")),"")</f>
        <v/>
      </c>
      <c r="O405" t="n">
        <v>299</v>
      </c>
      <c r="P405" s="7" t="n"/>
      <c r="Q405" s="7" t="n"/>
      <c r="R405" s="11">
        <f>IF(AND(ISNUMBER(P405),ISNUMBER(Q405),P405&gt;0,ISNUMBER($B$100)),Q405/P405,"")</f>
        <v/>
      </c>
      <c r="S405" s="11">
        <f>IF(AND(ISNUMBER(P405),ISNUMBER(Q405),P405&gt;0,ISNUMBER($B$100)),MAX(0,$B$100-3*SQRT($B$100/P405)),"")</f>
        <v/>
      </c>
      <c r="T405" s="11">
        <f>IF(AND(ISNUMBER(P405),ISNUMBER(Q405),P405&gt;0,ISNUMBER($B$100)),$B$100+3*SQRT($B$100/P405),"")</f>
        <v/>
      </c>
      <c r="U405" s="13">
        <f>IF(AND(ISNUMBER(R405),ISNUMBER(S405),ISNUMBER(T405)),IF(R405&gt;T405,"boven UCL",IF(R405&lt;S405,"onder LCL","")),"")</f>
        <v/>
      </c>
    </row>
    <row r="406">
      <c r="A406" t="n">
        <v>300</v>
      </c>
      <c r="B406" s="7" t="n"/>
      <c r="C406" s="11">
        <f>IF(AND(ISNUMBER(B406),ISNUMBER(B405)),ABS(B406-B405),"")</f>
        <v/>
      </c>
      <c r="D406" s="13">
        <f>IF(AND(ISNUMBER(B406),ISNUMBER($B$88),ISNUMBER($D$88)),IF(B406&gt;$D$88,"boven UCL",IF(B406&lt;$B$88,"onder LCL","")),"")</f>
        <v/>
      </c>
      <c r="E406" s="13">
        <f>IF(AND(ISNUMBER(C406),ISNUMBER($B$89),ISNUMBER($D$89)),IF(C406&gt;$D$89,"boven UCL",IF(C406&lt;$B$89,"onder LCL","")),"")</f>
        <v/>
      </c>
      <c r="G406" t="n">
        <v>300</v>
      </c>
      <c r="H406" s="7" t="n"/>
      <c r="I406" s="7" t="n"/>
      <c r="J406" s="11">
        <f>IF(AND(ISNUMBER(H406),ISNUMBER(I406),H406&gt;0,ISNUMBER($B$94)),I406/H406,"")</f>
        <v/>
      </c>
      <c r="K406" s="11">
        <f>IF(AND(ISNUMBER(H406),ISNUMBER(I406),H406&gt;0,ISNUMBER($B$94)),MAX(0,$B$94-3*SQRT($B$94*(1-$B$94)/H406)),"")</f>
        <v/>
      </c>
      <c r="L406" s="11">
        <f>IF(AND(ISNUMBER(H406),ISNUMBER(I406),H406&gt;0,ISNUMBER($B$94)),$B$94+3*SQRT($B$94*(1-$B$94)/H406),"")</f>
        <v/>
      </c>
      <c r="M406" s="13">
        <f>IF(AND(ISNUMBER(J406),ISNUMBER(K406),ISNUMBER(L406)),IF(J406&gt;L406,"boven UCL",IF(J406&lt;K406,"onder LCL","")),"")</f>
        <v/>
      </c>
      <c r="O406" t="n">
        <v>300</v>
      </c>
      <c r="P406" s="7" t="n"/>
      <c r="Q406" s="7" t="n"/>
      <c r="R406" s="11">
        <f>IF(AND(ISNUMBER(P406),ISNUMBER(Q406),P406&gt;0,ISNUMBER($B$100)),Q406/P406,"")</f>
        <v/>
      </c>
      <c r="S406" s="11">
        <f>IF(AND(ISNUMBER(P406),ISNUMBER(Q406),P406&gt;0,ISNUMBER($B$100)),MAX(0,$B$100-3*SQRT($B$100/P406)),"")</f>
        <v/>
      </c>
      <c r="T406" s="11">
        <f>IF(AND(ISNUMBER(P406),ISNUMBER(Q406),P406&gt;0,ISNUMBER($B$100)),$B$100+3*SQRT($B$100/P406),"")</f>
        <v/>
      </c>
      <c r="U406" s="13">
        <f>IF(AND(ISNUMBER(R406),ISNUMBER(S406),ISNUMBER(T406)),IF(R406&gt;T406,"boven UCL",IF(R406&lt;S406,"onder LCL","")),"")</f>
        <v/>
      </c>
    </row>
    <row r="407">
      <c r="A407" t="n">
        <v>301</v>
      </c>
      <c r="B407" s="7" t="n"/>
      <c r="C407" s="11">
        <f>IF(AND(ISNUMBER(B407),ISNUMBER(B406)),ABS(B407-B406),"")</f>
        <v/>
      </c>
      <c r="D407" s="13">
        <f>IF(AND(ISNUMBER(B407),ISNUMBER($B$88),ISNUMBER($D$88)),IF(B407&gt;$D$88,"boven UCL",IF(B407&lt;$B$88,"onder LCL","")),"")</f>
        <v/>
      </c>
      <c r="E407" s="13">
        <f>IF(AND(ISNUMBER(C407),ISNUMBER($B$89),ISNUMBER($D$89)),IF(C407&gt;$D$89,"boven UCL",IF(C407&lt;$B$89,"onder LCL","")),"")</f>
        <v/>
      </c>
      <c r="G407" t="n">
        <v>301</v>
      </c>
      <c r="H407" s="7" t="n"/>
      <c r="I407" s="7" t="n"/>
      <c r="J407" s="11">
        <f>IF(AND(ISNUMBER(H407),ISNUMBER(I407),H407&gt;0,ISNUMBER($B$94)),I407/H407,"")</f>
        <v/>
      </c>
      <c r="K407" s="11">
        <f>IF(AND(ISNUMBER(H407),ISNUMBER(I407),H407&gt;0,ISNUMBER($B$94)),MAX(0,$B$94-3*SQRT($B$94*(1-$B$94)/H407)),"")</f>
        <v/>
      </c>
      <c r="L407" s="11">
        <f>IF(AND(ISNUMBER(H407),ISNUMBER(I407),H407&gt;0,ISNUMBER($B$94)),$B$94+3*SQRT($B$94*(1-$B$94)/H407),"")</f>
        <v/>
      </c>
      <c r="M407" s="13">
        <f>IF(AND(ISNUMBER(J407),ISNUMBER(K407),ISNUMBER(L407)),IF(J407&gt;L407,"boven UCL",IF(J407&lt;K407,"onder LCL","")),"")</f>
        <v/>
      </c>
      <c r="O407" t="n">
        <v>301</v>
      </c>
      <c r="P407" s="7" t="n"/>
      <c r="Q407" s="7" t="n"/>
      <c r="R407" s="11">
        <f>IF(AND(ISNUMBER(P407),ISNUMBER(Q407),P407&gt;0,ISNUMBER($B$100)),Q407/P407,"")</f>
        <v/>
      </c>
      <c r="S407" s="11">
        <f>IF(AND(ISNUMBER(P407),ISNUMBER(Q407),P407&gt;0,ISNUMBER($B$100)),MAX(0,$B$100-3*SQRT($B$100/P407)),"")</f>
        <v/>
      </c>
      <c r="T407" s="11">
        <f>IF(AND(ISNUMBER(P407),ISNUMBER(Q407),P407&gt;0,ISNUMBER($B$100)),$B$100+3*SQRT($B$100/P407),"")</f>
        <v/>
      </c>
      <c r="U407" s="13">
        <f>IF(AND(ISNUMBER(R407),ISNUMBER(S407),ISNUMBER(T407)),IF(R407&gt;T407,"boven UCL",IF(R407&lt;S407,"onder LCL","")),"")</f>
        <v/>
      </c>
    </row>
    <row r="408">
      <c r="A408" t="n">
        <v>302</v>
      </c>
      <c r="B408" s="7" t="n"/>
      <c r="C408" s="11">
        <f>IF(AND(ISNUMBER(B408),ISNUMBER(B407)),ABS(B408-B407),"")</f>
        <v/>
      </c>
      <c r="D408" s="13">
        <f>IF(AND(ISNUMBER(B408),ISNUMBER($B$88),ISNUMBER($D$88)),IF(B408&gt;$D$88,"boven UCL",IF(B408&lt;$B$88,"onder LCL","")),"")</f>
        <v/>
      </c>
      <c r="E408" s="13">
        <f>IF(AND(ISNUMBER(C408),ISNUMBER($B$89),ISNUMBER($D$89)),IF(C408&gt;$D$89,"boven UCL",IF(C408&lt;$B$89,"onder LCL","")),"")</f>
        <v/>
      </c>
      <c r="G408" t="n">
        <v>302</v>
      </c>
      <c r="H408" s="7" t="n"/>
      <c r="I408" s="7" t="n"/>
      <c r="J408" s="11">
        <f>IF(AND(ISNUMBER(H408),ISNUMBER(I408),H408&gt;0,ISNUMBER($B$94)),I408/H408,"")</f>
        <v/>
      </c>
      <c r="K408" s="11">
        <f>IF(AND(ISNUMBER(H408),ISNUMBER(I408),H408&gt;0,ISNUMBER($B$94)),MAX(0,$B$94-3*SQRT($B$94*(1-$B$94)/H408)),"")</f>
        <v/>
      </c>
      <c r="L408" s="11">
        <f>IF(AND(ISNUMBER(H408),ISNUMBER(I408),H408&gt;0,ISNUMBER($B$94)),$B$94+3*SQRT($B$94*(1-$B$94)/H408),"")</f>
        <v/>
      </c>
      <c r="M408" s="13">
        <f>IF(AND(ISNUMBER(J408),ISNUMBER(K408),ISNUMBER(L408)),IF(J408&gt;L408,"boven UCL",IF(J408&lt;K408,"onder LCL","")),"")</f>
        <v/>
      </c>
      <c r="O408" t="n">
        <v>302</v>
      </c>
      <c r="P408" s="7" t="n"/>
      <c r="Q408" s="7" t="n"/>
      <c r="R408" s="11">
        <f>IF(AND(ISNUMBER(P408),ISNUMBER(Q408),P408&gt;0,ISNUMBER($B$100)),Q408/P408,"")</f>
        <v/>
      </c>
      <c r="S408" s="11">
        <f>IF(AND(ISNUMBER(P408),ISNUMBER(Q408),P408&gt;0,ISNUMBER($B$100)),MAX(0,$B$100-3*SQRT($B$100/P408)),"")</f>
        <v/>
      </c>
      <c r="T408" s="11">
        <f>IF(AND(ISNUMBER(P408),ISNUMBER(Q408),P408&gt;0,ISNUMBER($B$100)),$B$100+3*SQRT($B$100/P408),"")</f>
        <v/>
      </c>
      <c r="U408" s="13">
        <f>IF(AND(ISNUMBER(R408),ISNUMBER(S408),ISNUMBER(T408)),IF(R408&gt;T408,"boven UCL",IF(R408&lt;S408,"onder LCL","")),"")</f>
        <v/>
      </c>
    </row>
    <row r="409">
      <c r="A409" t="n">
        <v>303</v>
      </c>
      <c r="B409" s="7" t="n"/>
      <c r="C409" s="11">
        <f>IF(AND(ISNUMBER(B409),ISNUMBER(B408)),ABS(B409-B408),"")</f>
        <v/>
      </c>
      <c r="D409" s="13">
        <f>IF(AND(ISNUMBER(B409),ISNUMBER($B$88),ISNUMBER($D$88)),IF(B409&gt;$D$88,"boven UCL",IF(B409&lt;$B$88,"onder LCL","")),"")</f>
        <v/>
      </c>
      <c r="E409" s="13">
        <f>IF(AND(ISNUMBER(C409),ISNUMBER($B$89),ISNUMBER($D$89)),IF(C409&gt;$D$89,"boven UCL",IF(C409&lt;$B$89,"onder LCL","")),"")</f>
        <v/>
      </c>
      <c r="G409" t="n">
        <v>303</v>
      </c>
      <c r="H409" s="7" t="n"/>
      <c r="I409" s="7" t="n"/>
      <c r="J409" s="11">
        <f>IF(AND(ISNUMBER(H409),ISNUMBER(I409),H409&gt;0,ISNUMBER($B$94)),I409/H409,"")</f>
        <v/>
      </c>
      <c r="K409" s="11">
        <f>IF(AND(ISNUMBER(H409),ISNUMBER(I409),H409&gt;0,ISNUMBER($B$94)),MAX(0,$B$94-3*SQRT($B$94*(1-$B$94)/H409)),"")</f>
        <v/>
      </c>
      <c r="L409" s="11">
        <f>IF(AND(ISNUMBER(H409),ISNUMBER(I409),H409&gt;0,ISNUMBER($B$94)),$B$94+3*SQRT($B$94*(1-$B$94)/H409),"")</f>
        <v/>
      </c>
      <c r="M409" s="13">
        <f>IF(AND(ISNUMBER(J409),ISNUMBER(K409),ISNUMBER(L409)),IF(J409&gt;L409,"boven UCL",IF(J409&lt;K409,"onder LCL","")),"")</f>
        <v/>
      </c>
      <c r="O409" t="n">
        <v>303</v>
      </c>
      <c r="P409" s="7" t="n"/>
      <c r="Q409" s="7" t="n"/>
      <c r="R409" s="11">
        <f>IF(AND(ISNUMBER(P409),ISNUMBER(Q409),P409&gt;0,ISNUMBER($B$100)),Q409/P409,"")</f>
        <v/>
      </c>
      <c r="S409" s="11">
        <f>IF(AND(ISNUMBER(P409),ISNUMBER(Q409),P409&gt;0,ISNUMBER($B$100)),MAX(0,$B$100-3*SQRT($B$100/P409)),"")</f>
        <v/>
      </c>
      <c r="T409" s="11">
        <f>IF(AND(ISNUMBER(P409),ISNUMBER(Q409),P409&gt;0,ISNUMBER($B$100)),$B$100+3*SQRT($B$100/P409),"")</f>
        <v/>
      </c>
      <c r="U409" s="13">
        <f>IF(AND(ISNUMBER(R409),ISNUMBER(S409),ISNUMBER(T409)),IF(R409&gt;T409,"boven UCL",IF(R409&lt;S409,"onder LCL","")),"")</f>
        <v/>
      </c>
    </row>
    <row r="410">
      <c r="A410" t="n">
        <v>304</v>
      </c>
      <c r="B410" s="7" t="n"/>
      <c r="C410" s="11">
        <f>IF(AND(ISNUMBER(B410),ISNUMBER(B409)),ABS(B410-B409),"")</f>
        <v/>
      </c>
      <c r="D410" s="13">
        <f>IF(AND(ISNUMBER(B410),ISNUMBER($B$88),ISNUMBER($D$88)),IF(B410&gt;$D$88,"boven UCL",IF(B410&lt;$B$88,"onder LCL","")),"")</f>
        <v/>
      </c>
      <c r="E410" s="13">
        <f>IF(AND(ISNUMBER(C410),ISNUMBER($B$89),ISNUMBER($D$89)),IF(C410&gt;$D$89,"boven UCL",IF(C410&lt;$B$89,"onder LCL","")),"")</f>
        <v/>
      </c>
      <c r="G410" t="n">
        <v>304</v>
      </c>
      <c r="H410" s="7" t="n"/>
      <c r="I410" s="7" t="n"/>
      <c r="J410" s="11">
        <f>IF(AND(ISNUMBER(H410),ISNUMBER(I410),H410&gt;0,ISNUMBER($B$94)),I410/H410,"")</f>
        <v/>
      </c>
      <c r="K410" s="11">
        <f>IF(AND(ISNUMBER(H410),ISNUMBER(I410),H410&gt;0,ISNUMBER($B$94)),MAX(0,$B$94-3*SQRT($B$94*(1-$B$94)/H410)),"")</f>
        <v/>
      </c>
      <c r="L410" s="11">
        <f>IF(AND(ISNUMBER(H410),ISNUMBER(I410),H410&gt;0,ISNUMBER($B$94)),$B$94+3*SQRT($B$94*(1-$B$94)/H410),"")</f>
        <v/>
      </c>
      <c r="M410" s="13">
        <f>IF(AND(ISNUMBER(J410),ISNUMBER(K410),ISNUMBER(L410)),IF(J410&gt;L410,"boven UCL",IF(J410&lt;K410,"onder LCL","")),"")</f>
        <v/>
      </c>
      <c r="O410" t="n">
        <v>304</v>
      </c>
      <c r="P410" s="7" t="n"/>
      <c r="Q410" s="7" t="n"/>
      <c r="R410" s="11">
        <f>IF(AND(ISNUMBER(P410),ISNUMBER(Q410),P410&gt;0,ISNUMBER($B$100)),Q410/P410,"")</f>
        <v/>
      </c>
      <c r="S410" s="11">
        <f>IF(AND(ISNUMBER(P410),ISNUMBER(Q410),P410&gt;0,ISNUMBER($B$100)),MAX(0,$B$100-3*SQRT($B$100/P410)),"")</f>
        <v/>
      </c>
      <c r="T410" s="11">
        <f>IF(AND(ISNUMBER(P410),ISNUMBER(Q410),P410&gt;0,ISNUMBER($B$100)),$B$100+3*SQRT($B$100/P410),"")</f>
        <v/>
      </c>
      <c r="U410" s="13">
        <f>IF(AND(ISNUMBER(R410),ISNUMBER(S410),ISNUMBER(T410)),IF(R410&gt;T410,"boven UCL",IF(R410&lt;S410,"onder LCL","")),"")</f>
        <v/>
      </c>
    </row>
    <row r="411">
      <c r="A411" t="n">
        <v>305</v>
      </c>
      <c r="B411" s="7" t="n"/>
      <c r="C411" s="11">
        <f>IF(AND(ISNUMBER(B411),ISNUMBER(B410)),ABS(B411-B410),"")</f>
        <v/>
      </c>
      <c r="D411" s="13">
        <f>IF(AND(ISNUMBER(B411),ISNUMBER($B$88),ISNUMBER($D$88)),IF(B411&gt;$D$88,"boven UCL",IF(B411&lt;$B$88,"onder LCL","")),"")</f>
        <v/>
      </c>
      <c r="E411" s="13">
        <f>IF(AND(ISNUMBER(C411),ISNUMBER($B$89),ISNUMBER($D$89)),IF(C411&gt;$D$89,"boven UCL",IF(C411&lt;$B$89,"onder LCL","")),"")</f>
        <v/>
      </c>
      <c r="G411" t="n">
        <v>305</v>
      </c>
      <c r="H411" s="7" t="n"/>
      <c r="I411" s="7" t="n"/>
      <c r="J411" s="11">
        <f>IF(AND(ISNUMBER(H411),ISNUMBER(I411),H411&gt;0,ISNUMBER($B$94)),I411/H411,"")</f>
        <v/>
      </c>
      <c r="K411" s="11">
        <f>IF(AND(ISNUMBER(H411),ISNUMBER(I411),H411&gt;0,ISNUMBER($B$94)),MAX(0,$B$94-3*SQRT($B$94*(1-$B$94)/H411)),"")</f>
        <v/>
      </c>
      <c r="L411" s="11">
        <f>IF(AND(ISNUMBER(H411),ISNUMBER(I411),H411&gt;0,ISNUMBER($B$94)),$B$94+3*SQRT($B$94*(1-$B$94)/H411),"")</f>
        <v/>
      </c>
      <c r="M411" s="13">
        <f>IF(AND(ISNUMBER(J411),ISNUMBER(K411),ISNUMBER(L411)),IF(J411&gt;L411,"boven UCL",IF(J411&lt;K411,"onder LCL","")),"")</f>
        <v/>
      </c>
      <c r="O411" t="n">
        <v>305</v>
      </c>
      <c r="P411" s="7" t="n"/>
      <c r="Q411" s="7" t="n"/>
      <c r="R411" s="11">
        <f>IF(AND(ISNUMBER(P411),ISNUMBER(Q411),P411&gt;0,ISNUMBER($B$100)),Q411/P411,"")</f>
        <v/>
      </c>
      <c r="S411" s="11">
        <f>IF(AND(ISNUMBER(P411),ISNUMBER(Q411),P411&gt;0,ISNUMBER($B$100)),MAX(0,$B$100-3*SQRT($B$100/P411)),"")</f>
        <v/>
      </c>
      <c r="T411" s="11">
        <f>IF(AND(ISNUMBER(P411),ISNUMBER(Q411),P411&gt;0,ISNUMBER($B$100)),$B$100+3*SQRT($B$100/P411),"")</f>
        <v/>
      </c>
      <c r="U411" s="13">
        <f>IF(AND(ISNUMBER(R411),ISNUMBER(S411),ISNUMBER(T411)),IF(R411&gt;T411,"boven UCL",IF(R411&lt;S411,"onder LCL","")),"")</f>
        <v/>
      </c>
    </row>
    <row r="412">
      <c r="A412" t="n">
        <v>306</v>
      </c>
      <c r="B412" s="7" t="n"/>
      <c r="C412" s="11">
        <f>IF(AND(ISNUMBER(B412),ISNUMBER(B411)),ABS(B412-B411),"")</f>
        <v/>
      </c>
      <c r="D412" s="13">
        <f>IF(AND(ISNUMBER(B412),ISNUMBER($B$88),ISNUMBER($D$88)),IF(B412&gt;$D$88,"boven UCL",IF(B412&lt;$B$88,"onder LCL","")),"")</f>
        <v/>
      </c>
      <c r="E412" s="13">
        <f>IF(AND(ISNUMBER(C412),ISNUMBER($B$89),ISNUMBER($D$89)),IF(C412&gt;$D$89,"boven UCL",IF(C412&lt;$B$89,"onder LCL","")),"")</f>
        <v/>
      </c>
      <c r="G412" t="n">
        <v>306</v>
      </c>
      <c r="H412" s="7" t="n"/>
      <c r="I412" s="7" t="n"/>
      <c r="J412" s="11">
        <f>IF(AND(ISNUMBER(H412),ISNUMBER(I412),H412&gt;0,ISNUMBER($B$94)),I412/H412,"")</f>
        <v/>
      </c>
      <c r="K412" s="11">
        <f>IF(AND(ISNUMBER(H412),ISNUMBER(I412),H412&gt;0,ISNUMBER($B$94)),MAX(0,$B$94-3*SQRT($B$94*(1-$B$94)/H412)),"")</f>
        <v/>
      </c>
      <c r="L412" s="11">
        <f>IF(AND(ISNUMBER(H412),ISNUMBER(I412),H412&gt;0,ISNUMBER($B$94)),$B$94+3*SQRT($B$94*(1-$B$94)/H412),"")</f>
        <v/>
      </c>
      <c r="M412" s="13">
        <f>IF(AND(ISNUMBER(J412),ISNUMBER(K412),ISNUMBER(L412)),IF(J412&gt;L412,"boven UCL",IF(J412&lt;K412,"onder LCL","")),"")</f>
        <v/>
      </c>
      <c r="O412" t="n">
        <v>306</v>
      </c>
      <c r="P412" s="7" t="n"/>
      <c r="Q412" s="7" t="n"/>
      <c r="R412" s="11">
        <f>IF(AND(ISNUMBER(P412),ISNUMBER(Q412),P412&gt;0,ISNUMBER($B$100)),Q412/P412,"")</f>
        <v/>
      </c>
      <c r="S412" s="11">
        <f>IF(AND(ISNUMBER(P412),ISNUMBER(Q412),P412&gt;0,ISNUMBER($B$100)),MAX(0,$B$100-3*SQRT($B$100/P412)),"")</f>
        <v/>
      </c>
      <c r="T412" s="11">
        <f>IF(AND(ISNUMBER(P412),ISNUMBER(Q412),P412&gt;0,ISNUMBER($B$100)),$B$100+3*SQRT($B$100/P412),"")</f>
        <v/>
      </c>
      <c r="U412" s="13">
        <f>IF(AND(ISNUMBER(R412),ISNUMBER(S412),ISNUMBER(T412)),IF(R412&gt;T412,"boven UCL",IF(R412&lt;S412,"onder LCL","")),"")</f>
        <v/>
      </c>
    </row>
    <row r="413">
      <c r="A413" t="n">
        <v>307</v>
      </c>
      <c r="B413" s="7" t="n"/>
      <c r="C413" s="11">
        <f>IF(AND(ISNUMBER(B413),ISNUMBER(B412)),ABS(B413-B412),"")</f>
        <v/>
      </c>
      <c r="D413" s="13">
        <f>IF(AND(ISNUMBER(B413),ISNUMBER($B$88),ISNUMBER($D$88)),IF(B413&gt;$D$88,"boven UCL",IF(B413&lt;$B$88,"onder LCL","")),"")</f>
        <v/>
      </c>
      <c r="E413" s="13">
        <f>IF(AND(ISNUMBER(C413),ISNUMBER($B$89),ISNUMBER($D$89)),IF(C413&gt;$D$89,"boven UCL",IF(C413&lt;$B$89,"onder LCL","")),"")</f>
        <v/>
      </c>
      <c r="G413" t="n">
        <v>307</v>
      </c>
      <c r="H413" s="7" t="n"/>
      <c r="I413" s="7" t="n"/>
      <c r="J413" s="11">
        <f>IF(AND(ISNUMBER(H413),ISNUMBER(I413),H413&gt;0,ISNUMBER($B$94)),I413/H413,"")</f>
        <v/>
      </c>
      <c r="K413" s="11">
        <f>IF(AND(ISNUMBER(H413),ISNUMBER(I413),H413&gt;0,ISNUMBER($B$94)),MAX(0,$B$94-3*SQRT($B$94*(1-$B$94)/H413)),"")</f>
        <v/>
      </c>
      <c r="L413" s="11">
        <f>IF(AND(ISNUMBER(H413),ISNUMBER(I413),H413&gt;0,ISNUMBER($B$94)),$B$94+3*SQRT($B$94*(1-$B$94)/H413),"")</f>
        <v/>
      </c>
      <c r="M413" s="13">
        <f>IF(AND(ISNUMBER(J413),ISNUMBER(K413),ISNUMBER(L413)),IF(J413&gt;L413,"boven UCL",IF(J413&lt;K413,"onder LCL","")),"")</f>
        <v/>
      </c>
      <c r="O413" t="n">
        <v>307</v>
      </c>
      <c r="P413" s="7" t="n"/>
      <c r="Q413" s="7" t="n"/>
      <c r="R413" s="11">
        <f>IF(AND(ISNUMBER(P413),ISNUMBER(Q413),P413&gt;0,ISNUMBER($B$100)),Q413/P413,"")</f>
        <v/>
      </c>
      <c r="S413" s="11">
        <f>IF(AND(ISNUMBER(P413),ISNUMBER(Q413),P413&gt;0,ISNUMBER($B$100)),MAX(0,$B$100-3*SQRT($B$100/P413)),"")</f>
        <v/>
      </c>
      <c r="T413" s="11">
        <f>IF(AND(ISNUMBER(P413),ISNUMBER(Q413),P413&gt;0,ISNUMBER($B$100)),$B$100+3*SQRT($B$100/P413),"")</f>
        <v/>
      </c>
      <c r="U413" s="13">
        <f>IF(AND(ISNUMBER(R413),ISNUMBER(S413),ISNUMBER(T413)),IF(R413&gt;T413,"boven UCL",IF(R413&lt;S413,"onder LCL","")),"")</f>
        <v/>
      </c>
    </row>
    <row r="414">
      <c r="A414" t="n">
        <v>308</v>
      </c>
      <c r="B414" s="7" t="n"/>
      <c r="C414" s="11">
        <f>IF(AND(ISNUMBER(B414),ISNUMBER(B413)),ABS(B414-B413),"")</f>
        <v/>
      </c>
      <c r="D414" s="13">
        <f>IF(AND(ISNUMBER(B414),ISNUMBER($B$88),ISNUMBER($D$88)),IF(B414&gt;$D$88,"boven UCL",IF(B414&lt;$B$88,"onder LCL","")),"")</f>
        <v/>
      </c>
      <c r="E414" s="13">
        <f>IF(AND(ISNUMBER(C414),ISNUMBER($B$89),ISNUMBER($D$89)),IF(C414&gt;$D$89,"boven UCL",IF(C414&lt;$B$89,"onder LCL","")),"")</f>
        <v/>
      </c>
      <c r="G414" t="n">
        <v>308</v>
      </c>
      <c r="H414" s="7" t="n"/>
      <c r="I414" s="7" t="n"/>
      <c r="J414" s="11">
        <f>IF(AND(ISNUMBER(H414),ISNUMBER(I414),H414&gt;0,ISNUMBER($B$94)),I414/H414,"")</f>
        <v/>
      </c>
      <c r="K414" s="11">
        <f>IF(AND(ISNUMBER(H414),ISNUMBER(I414),H414&gt;0,ISNUMBER($B$94)),MAX(0,$B$94-3*SQRT($B$94*(1-$B$94)/H414)),"")</f>
        <v/>
      </c>
      <c r="L414" s="11">
        <f>IF(AND(ISNUMBER(H414),ISNUMBER(I414),H414&gt;0,ISNUMBER($B$94)),$B$94+3*SQRT($B$94*(1-$B$94)/H414),"")</f>
        <v/>
      </c>
      <c r="M414" s="13">
        <f>IF(AND(ISNUMBER(J414),ISNUMBER(K414),ISNUMBER(L414)),IF(J414&gt;L414,"boven UCL",IF(J414&lt;K414,"onder LCL","")),"")</f>
        <v/>
      </c>
      <c r="O414" t="n">
        <v>308</v>
      </c>
      <c r="P414" s="7" t="n"/>
      <c r="Q414" s="7" t="n"/>
      <c r="R414" s="11">
        <f>IF(AND(ISNUMBER(P414),ISNUMBER(Q414),P414&gt;0,ISNUMBER($B$100)),Q414/P414,"")</f>
        <v/>
      </c>
      <c r="S414" s="11">
        <f>IF(AND(ISNUMBER(P414),ISNUMBER(Q414),P414&gt;0,ISNUMBER($B$100)),MAX(0,$B$100-3*SQRT($B$100/P414)),"")</f>
        <v/>
      </c>
      <c r="T414" s="11">
        <f>IF(AND(ISNUMBER(P414),ISNUMBER(Q414),P414&gt;0,ISNUMBER($B$100)),$B$100+3*SQRT($B$100/P414),"")</f>
        <v/>
      </c>
      <c r="U414" s="13">
        <f>IF(AND(ISNUMBER(R414),ISNUMBER(S414),ISNUMBER(T414)),IF(R414&gt;T414,"boven UCL",IF(R414&lt;S414,"onder LCL","")),"")</f>
        <v/>
      </c>
    </row>
    <row r="415">
      <c r="A415" t="n">
        <v>309</v>
      </c>
      <c r="B415" s="7" t="n"/>
      <c r="C415" s="11">
        <f>IF(AND(ISNUMBER(B415),ISNUMBER(B414)),ABS(B415-B414),"")</f>
        <v/>
      </c>
      <c r="D415" s="13">
        <f>IF(AND(ISNUMBER(B415),ISNUMBER($B$88),ISNUMBER($D$88)),IF(B415&gt;$D$88,"boven UCL",IF(B415&lt;$B$88,"onder LCL","")),"")</f>
        <v/>
      </c>
      <c r="E415" s="13">
        <f>IF(AND(ISNUMBER(C415),ISNUMBER($B$89),ISNUMBER($D$89)),IF(C415&gt;$D$89,"boven UCL",IF(C415&lt;$B$89,"onder LCL","")),"")</f>
        <v/>
      </c>
      <c r="G415" t="n">
        <v>309</v>
      </c>
      <c r="H415" s="7" t="n"/>
      <c r="I415" s="7" t="n"/>
      <c r="J415" s="11">
        <f>IF(AND(ISNUMBER(H415),ISNUMBER(I415),H415&gt;0,ISNUMBER($B$94)),I415/H415,"")</f>
        <v/>
      </c>
      <c r="K415" s="11">
        <f>IF(AND(ISNUMBER(H415),ISNUMBER(I415),H415&gt;0,ISNUMBER($B$94)),MAX(0,$B$94-3*SQRT($B$94*(1-$B$94)/H415)),"")</f>
        <v/>
      </c>
      <c r="L415" s="11">
        <f>IF(AND(ISNUMBER(H415),ISNUMBER(I415),H415&gt;0,ISNUMBER($B$94)),$B$94+3*SQRT($B$94*(1-$B$94)/H415),"")</f>
        <v/>
      </c>
      <c r="M415" s="13">
        <f>IF(AND(ISNUMBER(J415),ISNUMBER(K415),ISNUMBER(L415)),IF(J415&gt;L415,"boven UCL",IF(J415&lt;K415,"onder LCL","")),"")</f>
        <v/>
      </c>
      <c r="O415" t="n">
        <v>309</v>
      </c>
      <c r="P415" s="7" t="n"/>
      <c r="Q415" s="7" t="n"/>
      <c r="R415" s="11">
        <f>IF(AND(ISNUMBER(P415),ISNUMBER(Q415),P415&gt;0,ISNUMBER($B$100)),Q415/P415,"")</f>
        <v/>
      </c>
      <c r="S415" s="11">
        <f>IF(AND(ISNUMBER(P415),ISNUMBER(Q415),P415&gt;0,ISNUMBER($B$100)),MAX(0,$B$100-3*SQRT($B$100/P415)),"")</f>
        <v/>
      </c>
      <c r="T415" s="11">
        <f>IF(AND(ISNUMBER(P415),ISNUMBER(Q415),P415&gt;0,ISNUMBER($B$100)),$B$100+3*SQRT($B$100/P415),"")</f>
        <v/>
      </c>
      <c r="U415" s="13">
        <f>IF(AND(ISNUMBER(R415),ISNUMBER(S415),ISNUMBER(T415)),IF(R415&gt;T415,"boven UCL",IF(R415&lt;S415,"onder LCL","")),"")</f>
        <v/>
      </c>
    </row>
    <row r="416">
      <c r="A416" t="n">
        <v>310</v>
      </c>
      <c r="B416" s="7" t="n"/>
      <c r="C416" s="11">
        <f>IF(AND(ISNUMBER(B416),ISNUMBER(B415)),ABS(B416-B415),"")</f>
        <v/>
      </c>
      <c r="D416" s="13">
        <f>IF(AND(ISNUMBER(B416),ISNUMBER($B$88),ISNUMBER($D$88)),IF(B416&gt;$D$88,"boven UCL",IF(B416&lt;$B$88,"onder LCL","")),"")</f>
        <v/>
      </c>
      <c r="E416" s="13">
        <f>IF(AND(ISNUMBER(C416),ISNUMBER($B$89),ISNUMBER($D$89)),IF(C416&gt;$D$89,"boven UCL",IF(C416&lt;$B$89,"onder LCL","")),"")</f>
        <v/>
      </c>
      <c r="G416" t="n">
        <v>310</v>
      </c>
      <c r="H416" s="7" t="n"/>
      <c r="I416" s="7" t="n"/>
      <c r="J416" s="11">
        <f>IF(AND(ISNUMBER(H416),ISNUMBER(I416),H416&gt;0,ISNUMBER($B$94)),I416/H416,"")</f>
        <v/>
      </c>
      <c r="K416" s="11">
        <f>IF(AND(ISNUMBER(H416),ISNUMBER(I416),H416&gt;0,ISNUMBER($B$94)),MAX(0,$B$94-3*SQRT($B$94*(1-$B$94)/H416)),"")</f>
        <v/>
      </c>
      <c r="L416" s="11">
        <f>IF(AND(ISNUMBER(H416),ISNUMBER(I416),H416&gt;0,ISNUMBER($B$94)),$B$94+3*SQRT($B$94*(1-$B$94)/H416),"")</f>
        <v/>
      </c>
      <c r="M416" s="13">
        <f>IF(AND(ISNUMBER(J416),ISNUMBER(K416),ISNUMBER(L416)),IF(J416&gt;L416,"boven UCL",IF(J416&lt;K416,"onder LCL","")),"")</f>
        <v/>
      </c>
      <c r="O416" t="n">
        <v>310</v>
      </c>
      <c r="P416" s="7" t="n"/>
      <c r="Q416" s="7" t="n"/>
      <c r="R416" s="11">
        <f>IF(AND(ISNUMBER(P416),ISNUMBER(Q416),P416&gt;0,ISNUMBER($B$100)),Q416/P416,"")</f>
        <v/>
      </c>
      <c r="S416" s="11">
        <f>IF(AND(ISNUMBER(P416),ISNUMBER(Q416),P416&gt;0,ISNUMBER($B$100)),MAX(0,$B$100-3*SQRT($B$100/P416)),"")</f>
        <v/>
      </c>
      <c r="T416" s="11">
        <f>IF(AND(ISNUMBER(P416),ISNUMBER(Q416),P416&gt;0,ISNUMBER($B$100)),$B$100+3*SQRT($B$100/P416),"")</f>
        <v/>
      </c>
      <c r="U416" s="13">
        <f>IF(AND(ISNUMBER(R416),ISNUMBER(S416),ISNUMBER(T416)),IF(R416&gt;T416,"boven UCL",IF(R416&lt;S416,"onder LCL","")),"")</f>
        <v/>
      </c>
    </row>
    <row r="417">
      <c r="A417" t="n">
        <v>311</v>
      </c>
      <c r="B417" s="7" t="n"/>
      <c r="C417" s="11">
        <f>IF(AND(ISNUMBER(B417),ISNUMBER(B416)),ABS(B417-B416),"")</f>
        <v/>
      </c>
      <c r="D417" s="13">
        <f>IF(AND(ISNUMBER(B417),ISNUMBER($B$88),ISNUMBER($D$88)),IF(B417&gt;$D$88,"boven UCL",IF(B417&lt;$B$88,"onder LCL","")),"")</f>
        <v/>
      </c>
      <c r="E417" s="13">
        <f>IF(AND(ISNUMBER(C417),ISNUMBER($B$89),ISNUMBER($D$89)),IF(C417&gt;$D$89,"boven UCL",IF(C417&lt;$B$89,"onder LCL","")),"")</f>
        <v/>
      </c>
      <c r="G417" t="n">
        <v>311</v>
      </c>
      <c r="H417" s="7" t="n"/>
      <c r="I417" s="7" t="n"/>
      <c r="J417" s="11">
        <f>IF(AND(ISNUMBER(H417),ISNUMBER(I417),H417&gt;0,ISNUMBER($B$94)),I417/H417,"")</f>
        <v/>
      </c>
      <c r="K417" s="11">
        <f>IF(AND(ISNUMBER(H417),ISNUMBER(I417),H417&gt;0,ISNUMBER($B$94)),MAX(0,$B$94-3*SQRT($B$94*(1-$B$94)/H417)),"")</f>
        <v/>
      </c>
      <c r="L417" s="11">
        <f>IF(AND(ISNUMBER(H417),ISNUMBER(I417),H417&gt;0,ISNUMBER($B$94)),$B$94+3*SQRT($B$94*(1-$B$94)/H417),"")</f>
        <v/>
      </c>
      <c r="M417" s="13">
        <f>IF(AND(ISNUMBER(J417),ISNUMBER(K417),ISNUMBER(L417)),IF(J417&gt;L417,"boven UCL",IF(J417&lt;K417,"onder LCL","")),"")</f>
        <v/>
      </c>
      <c r="O417" t="n">
        <v>311</v>
      </c>
      <c r="P417" s="7" t="n"/>
      <c r="Q417" s="7" t="n"/>
      <c r="R417" s="11">
        <f>IF(AND(ISNUMBER(P417),ISNUMBER(Q417),P417&gt;0,ISNUMBER($B$100)),Q417/P417,"")</f>
        <v/>
      </c>
      <c r="S417" s="11">
        <f>IF(AND(ISNUMBER(P417),ISNUMBER(Q417),P417&gt;0,ISNUMBER($B$100)),MAX(0,$B$100-3*SQRT($B$100/P417)),"")</f>
        <v/>
      </c>
      <c r="T417" s="11">
        <f>IF(AND(ISNUMBER(P417),ISNUMBER(Q417),P417&gt;0,ISNUMBER($B$100)),$B$100+3*SQRT($B$100/P417),"")</f>
        <v/>
      </c>
      <c r="U417" s="13">
        <f>IF(AND(ISNUMBER(R417),ISNUMBER(S417),ISNUMBER(T417)),IF(R417&gt;T417,"boven UCL",IF(R417&lt;S417,"onder LCL","")),"")</f>
        <v/>
      </c>
    </row>
    <row r="418">
      <c r="A418" t="n">
        <v>312</v>
      </c>
      <c r="B418" s="7" t="n"/>
      <c r="C418" s="11">
        <f>IF(AND(ISNUMBER(B418),ISNUMBER(B417)),ABS(B418-B417),"")</f>
        <v/>
      </c>
      <c r="D418" s="13">
        <f>IF(AND(ISNUMBER(B418),ISNUMBER($B$88),ISNUMBER($D$88)),IF(B418&gt;$D$88,"boven UCL",IF(B418&lt;$B$88,"onder LCL","")),"")</f>
        <v/>
      </c>
      <c r="E418" s="13">
        <f>IF(AND(ISNUMBER(C418),ISNUMBER($B$89),ISNUMBER($D$89)),IF(C418&gt;$D$89,"boven UCL",IF(C418&lt;$B$89,"onder LCL","")),"")</f>
        <v/>
      </c>
      <c r="G418" t="n">
        <v>312</v>
      </c>
      <c r="H418" s="7" t="n"/>
      <c r="I418" s="7" t="n"/>
      <c r="J418" s="11">
        <f>IF(AND(ISNUMBER(H418),ISNUMBER(I418),H418&gt;0,ISNUMBER($B$94)),I418/H418,"")</f>
        <v/>
      </c>
      <c r="K418" s="11">
        <f>IF(AND(ISNUMBER(H418),ISNUMBER(I418),H418&gt;0,ISNUMBER($B$94)),MAX(0,$B$94-3*SQRT($B$94*(1-$B$94)/H418)),"")</f>
        <v/>
      </c>
      <c r="L418" s="11">
        <f>IF(AND(ISNUMBER(H418),ISNUMBER(I418),H418&gt;0,ISNUMBER($B$94)),$B$94+3*SQRT($B$94*(1-$B$94)/H418),"")</f>
        <v/>
      </c>
      <c r="M418" s="13">
        <f>IF(AND(ISNUMBER(J418),ISNUMBER(K418),ISNUMBER(L418)),IF(J418&gt;L418,"boven UCL",IF(J418&lt;K418,"onder LCL","")),"")</f>
        <v/>
      </c>
      <c r="O418" t="n">
        <v>312</v>
      </c>
      <c r="P418" s="7" t="n"/>
      <c r="Q418" s="7" t="n"/>
      <c r="R418" s="11">
        <f>IF(AND(ISNUMBER(P418),ISNUMBER(Q418),P418&gt;0,ISNUMBER($B$100)),Q418/P418,"")</f>
        <v/>
      </c>
      <c r="S418" s="11">
        <f>IF(AND(ISNUMBER(P418),ISNUMBER(Q418),P418&gt;0,ISNUMBER($B$100)),MAX(0,$B$100-3*SQRT($B$100/P418)),"")</f>
        <v/>
      </c>
      <c r="T418" s="11">
        <f>IF(AND(ISNUMBER(P418),ISNUMBER(Q418),P418&gt;0,ISNUMBER($B$100)),$B$100+3*SQRT($B$100/P418),"")</f>
        <v/>
      </c>
      <c r="U418" s="13">
        <f>IF(AND(ISNUMBER(R418),ISNUMBER(S418),ISNUMBER(T418)),IF(R418&gt;T418,"boven UCL",IF(R418&lt;S418,"onder LCL","")),"")</f>
        <v/>
      </c>
    </row>
    <row r="419">
      <c r="A419" t="n">
        <v>313</v>
      </c>
      <c r="B419" s="7" t="n"/>
      <c r="C419" s="11">
        <f>IF(AND(ISNUMBER(B419),ISNUMBER(B418)),ABS(B419-B418),"")</f>
        <v/>
      </c>
      <c r="D419" s="13">
        <f>IF(AND(ISNUMBER(B419),ISNUMBER($B$88),ISNUMBER($D$88)),IF(B419&gt;$D$88,"boven UCL",IF(B419&lt;$B$88,"onder LCL","")),"")</f>
        <v/>
      </c>
      <c r="E419" s="13">
        <f>IF(AND(ISNUMBER(C419),ISNUMBER($B$89),ISNUMBER($D$89)),IF(C419&gt;$D$89,"boven UCL",IF(C419&lt;$B$89,"onder LCL","")),"")</f>
        <v/>
      </c>
      <c r="G419" t="n">
        <v>313</v>
      </c>
      <c r="H419" s="7" t="n"/>
      <c r="I419" s="7" t="n"/>
      <c r="J419" s="11">
        <f>IF(AND(ISNUMBER(H419),ISNUMBER(I419),H419&gt;0,ISNUMBER($B$94)),I419/H419,"")</f>
        <v/>
      </c>
      <c r="K419" s="11">
        <f>IF(AND(ISNUMBER(H419),ISNUMBER(I419),H419&gt;0,ISNUMBER($B$94)),MAX(0,$B$94-3*SQRT($B$94*(1-$B$94)/H419)),"")</f>
        <v/>
      </c>
      <c r="L419" s="11">
        <f>IF(AND(ISNUMBER(H419),ISNUMBER(I419),H419&gt;0,ISNUMBER($B$94)),$B$94+3*SQRT($B$94*(1-$B$94)/H419),"")</f>
        <v/>
      </c>
      <c r="M419" s="13">
        <f>IF(AND(ISNUMBER(J419),ISNUMBER(K419),ISNUMBER(L419)),IF(J419&gt;L419,"boven UCL",IF(J419&lt;K419,"onder LCL","")),"")</f>
        <v/>
      </c>
      <c r="O419" t="n">
        <v>313</v>
      </c>
      <c r="P419" s="7" t="n"/>
      <c r="Q419" s="7" t="n"/>
      <c r="R419" s="11">
        <f>IF(AND(ISNUMBER(P419),ISNUMBER(Q419),P419&gt;0,ISNUMBER($B$100)),Q419/P419,"")</f>
        <v/>
      </c>
      <c r="S419" s="11">
        <f>IF(AND(ISNUMBER(P419),ISNUMBER(Q419),P419&gt;0,ISNUMBER($B$100)),MAX(0,$B$100-3*SQRT($B$100/P419)),"")</f>
        <v/>
      </c>
      <c r="T419" s="11">
        <f>IF(AND(ISNUMBER(P419),ISNUMBER(Q419),P419&gt;0,ISNUMBER($B$100)),$B$100+3*SQRT($B$100/P419),"")</f>
        <v/>
      </c>
      <c r="U419" s="13">
        <f>IF(AND(ISNUMBER(R419),ISNUMBER(S419),ISNUMBER(T419)),IF(R419&gt;T419,"boven UCL",IF(R419&lt;S419,"onder LCL","")),"")</f>
        <v/>
      </c>
    </row>
    <row r="420">
      <c r="A420" t="n">
        <v>314</v>
      </c>
      <c r="B420" s="7" t="n"/>
      <c r="C420" s="11">
        <f>IF(AND(ISNUMBER(B420),ISNUMBER(B419)),ABS(B420-B419),"")</f>
        <v/>
      </c>
      <c r="D420" s="13">
        <f>IF(AND(ISNUMBER(B420),ISNUMBER($B$88),ISNUMBER($D$88)),IF(B420&gt;$D$88,"boven UCL",IF(B420&lt;$B$88,"onder LCL","")),"")</f>
        <v/>
      </c>
      <c r="E420" s="13">
        <f>IF(AND(ISNUMBER(C420),ISNUMBER($B$89),ISNUMBER($D$89)),IF(C420&gt;$D$89,"boven UCL",IF(C420&lt;$B$89,"onder LCL","")),"")</f>
        <v/>
      </c>
      <c r="G420" t="n">
        <v>314</v>
      </c>
      <c r="H420" s="7" t="n"/>
      <c r="I420" s="7" t="n"/>
      <c r="J420" s="11">
        <f>IF(AND(ISNUMBER(H420),ISNUMBER(I420),H420&gt;0,ISNUMBER($B$94)),I420/H420,"")</f>
        <v/>
      </c>
      <c r="K420" s="11">
        <f>IF(AND(ISNUMBER(H420),ISNUMBER(I420),H420&gt;0,ISNUMBER($B$94)),MAX(0,$B$94-3*SQRT($B$94*(1-$B$94)/H420)),"")</f>
        <v/>
      </c>
      <c r="L420" s="11">
        <f>IF(AND(ISNUMBER(H420),ISNUMBER(I420),H420&gt;0,ISNUMBER($B$94)),$B$94+3*SQRT($B$94*(1-$B$94)/H420),"")</f>
        <v/>
      </c>
      <c r="M420" s="13">
        <f>IF(AND(ISNUMBER(J420),ISNUMBER(K420),ISNUMBER(L420)),IF(J420&gt;L420,"boven UCL",IF(J420&lt;K420,"onder LCL","")),"")</f>
        <v/>
      </c>
      <c r="O420" t="n">
        <v>314</v>
      </c>
      <c r="P420" s="7" t="n"/>
      <c r="Q420" s="7" t="n"/>
      <c r="R420" s="11">
        <f>IF(AND(ISNUMBER(P420),ISNUMBER(Q420),P420&gt;0,ISNUMBER($B$100)),Q420/P420,"")</f>
        <v/>
      </c>
      <c r="S420" s="11">
        <f>IF(AND(ISNUMBER(P420),ISNUMBER(Q420),P420&gt;0,ISNUMBER($B$100)),MAX(0,$B$100-3*SQRT($B$100/P420)),"")</f>
        <v/>
      </c>
      <c r="T420" s="11">
        <f>IF(AND(ISNUMBER(P420),ISNUMBER(Q420),P420&gt;0,ISNUMBER($B$100)),$B$100+3*SQRT($B$100/P420),"")</f>
        <v/>
      </c>
      <c r="U420" s="13">
        <f>IF(AND(ISNUMBER(R420),ISNUMBER(S420),ISNUMBER(T420)),IF(R420&gt;T420,"boven UCL",IF(R420&lt;S420,"onder LCL","")),"")</f>
        <v/>
      </c>
    </row>
    <row r="421">
      <c r="A421" t="n">
        <v>315</v>
      </c>
      <c r="B421" s="7" t="n"/>
      <c r="C421" s="11">
        <f>IF(AND(ISNUMBER(B421),ISNUMBER(B420)),ABS(B421-B420),"")</f>
        <v/>
      </c>
      <c r="D421" s="13">
        <f>IF(AND(ISNUMBER(B421),ISNUMBER($B$88),ISNUMBER($D$88)),IF(B421&gt;$D$88,"boven UCL",IF(B421&lt;$B$88,"onder LCL","")),"")</f>
        <v/>
      </c>
      <c r="E421" s="13">
        <f>IF(AND(ISNUMBER(C421),ISNUMBER($B$89),ISNUMBER($D$89)),IF(C421&gt;$D$89,"boven UCL",IF(C421&lt;$B$89,"onder LCL","")),"")</f>
        <v/>
      </c>
      <c r="G421" t="n">
        <v>315</v>
      </c>
      <c r="H421" s="7" t="n"/>
      <c r="I421" s="7" t="n"/>
      <c r="J421" s="11">
        <f>IF(AND(ISNUMBER(H421),ISNUMBER(I421),H421&gt;0,ISNUMBER($B$94)),I421/H421,"")</f>
        <v/>
      </c>
      <c r="K421" s="11">
        <f>IF(AND(ISNUMBER(H421),ISNUMBER(I421),H421&gt;0,ISNUMBER($B$94)),MAX(0,$B$94-3*SQRT($B$94*(1-$B$94)/H421)),"")</f>
        <v/>
      </c>
      <c r="L421" s="11">
        <f>IF(AND(ISNUMBER(H421),ISNUMBER(I421),H421&gt;0,ISNUMBER($B$94)),$B$94+3*SQRT($B$94*(1-$B$94)/H421),"")</f>
        <v/>
      </c>
      <c r="M421" s="13">
        <f>IF(AND(ISNUMBER(J421),ISNUMBER(K421),ISNUMBER(L421)),IF(J421&gt;L421,"boven UCL",IF(J421&lt;K421,"onder LCL","")),"")</f>
        <v/>
      </c>
      <c r="O421" t="n">
        <v>315</v>
      </c>
      <c r="P421" s="7" t="n"/>
      <c r="Q421" s="7" t="n"/>
      <c r="R421" s="11">
        <f>IF(AND(ISNUMBER(P421),ISNUMBER(Q421),P421&gt;0,ISNUMBER($B$100)),Q421/P421,"")</f>
        <v/>
      </c>
      <c r="S421" s="11">
        <f>IF(AND(ISNUMBER(P421),ISNUMBER(Q421),P421&gt;0,ISNUMBER($B$100)),MAX(0,$B$100-3*SQRT($B$100/P421)),"")</f>
        <v/>
      </c>
      <c r="T421" s="11">
        <f>IF(AND(ISNUMBER(P421),ISNUMBER(Q421),P421&gt;0,ISNUMBER($B$100)),$B$100+3*SQRT($B$100/P421),"")</f>
        <v/>
      </c>
      <c r="U421" s="13">
        <f>IF(AND(ISNUMBER(R421),ISNUMBER(S421),ISNUMBER(T421)),IF(R421&gt;T421,"boven UCL",IF(R421&lt;S421,"onder LCL","")),"")</f>
        <v/>
      </c>
    </row>
    <row r="422">
      <c r="A422" t="n">
        <v>316</v>
      </c>
      <c r="B422" s="7" t="n"/>
      <c r="C422" s="11">
        <f>IF(AND(ISNUMBER(B422),ISNUMBER(B421)),ABS(B422-B421),"")</f>
        <v/>
      </c>
      <c r="D422" s="13">
        <f>IF(AND(ISNUMBER(B422),ISNUMBER($B$88),ISNUMBER($D$88)),IF(B422&gt;$D$88,"boven UCL",IF(B422&lt;$B$88,"onder LCL","")),"")</f>
        <v/>
      </c>
      <c r="E422" s="13">
        <f>IF(AND(ISNUMBER(C422),ISNUMBER($B$89),ISNUMBER($D$89)),IF(C422&gt;$D$89,"boven UCL",IF(C422&lt;$B$89,"onder LCL","")),"")</f>
        <v/>
      </c>
      <c r="G422" t="n">
        <v>316</v>
      </c>
      <c r="H422" s="7" t="n"/>
      <c r="I422" s="7" t="n"/>
      <c r="J422" s="11">
        <f>IF(AND(ISNUMBER(H422),ISNUMBER(I422),H422&gt;0,ISNUMBER($B$94)),I422/H422,"")</f>
        <v/>
      </c>
      <c r="K422" s="11">
        <f>IF(AND(ISNUMBER(H422),ISNUMBER(I422),H422&gt;0,ISNUMBER($B$94)),MAX(0,$B$94-3*SQRT($B$94*(1-$B$94)/H422)),"")</f>
        <v/>
      </c>
      <c r="L422" s="11">
        <f>IF(AND(ISNUMBER(H422),ISNUMBER(I422),H422&gt;0,ISNUMBER($B$94)),$B$94+3*SQRT($B$94*(1-$B$94)/H422),"")</f>
        <v/>
      </c>
      <c r="M422" s="13">
        <f>IF(AND(ISNUMBER(J422),ISNUMBER(K422),ISNUMBER(L422)),IF(J422&gt;L422,"boven UCL",IF(J422&lt;K422,"onder LCL","")),"")</f>
        <v/>
      </c>
      <c r="O422" t="n">
        <v>316</v>
      </c>
      <c r="P422" s="7" t="n"/>
      <c r="Q422" s="7" t="n"/>
      <c r="R422" s="11">
        <f>IF(AND(ISNUMBER(P422),ISNUMBER(Q422),P422&gt;0,ISNUMBER($B$100)),Q422/P422,"")</f>
        <v/>
      </c>
      <c r="S422" s="11">
        <f>IF(AND(ISNUMBER(P422),ISNUMBER(Q422),P422&gt;0,ISNUMBER($B$100)),MAX(0,$B$100-3*SQRT($B$100/P422)),"")</f>
        <v/>
      </c>
      <c r="T422" s="11">
        <f>IF(AND(ISNUMBER(P422),ISNUMBER(Q422),P422&gt;0,ISNUMBER($B$100)),$B$100+3*SQRT($B$100/P422),"")</f>
        <v/>
      </c>
      <c r="U422" s="13">
        <f>IF(AND(ISNUMBER(R422),ISNUMBER(S422),ISNUMBER(T422)),IF(R422&gt;T422,"boven UCL",IF(R422&lt;S422,"onder LCL","")),"")</f>
        <v/>
      </c>
    </row>
    <row r="423">
      <c r="A423" t="n">
        <v>317</v>
      </c>
      <c r="B423" s="7" t="n"/>
      <c r="C423" s="11">
        <f>IF(AND(ISNUMBER(B423),ISNUMBER(B422)),ABS(B423-B422),"")</f>
        <v/>
      </c>
      <c r="D423" s="13">
        <f>IF(AND(ISNUMBER(B423),ISNUMBER($B$88),ISNUMBER($D$88)),IF(B423&gt;$D$88,"boven UCL",IF(B423&lt;$B$88,"onder LCL","")),"")</f>
        <v/>
      </c>
      <c r="E423" s="13">
        <f>IF(AND(ISNUMBER(C423),ISNUMBER($B$89),ISNUMBER($D$89)),IF(C423&gt;$D$89,"boven UCL",IF(C423&lt;$B$89,"onder LCL","")),"")</f>
        <v/>
      </c>
      <c r="G423" t="n">
        <v>317</v>
      </c>
      <c r="H423" s="7" t="n"/>
      <c r="I423" s="7" t="n"/>
      <c r="J423" s="11">
        <f>IF(AND(ISNUMBER(H423),ISNUMBER(I423),H423&gt;0,ISNUMBER($B$94)),I423/H423,"")</f>
        <v/>
      </c>
      <c r="K423" s="11">
        <f>IF(AND(ISNUMBER(H423),ISNUMBER(I423),H423&gt;0,ISNUMBER($B$94)),MAX(0,$B$94-3*SQRT($B$94*(1-$B$94)/H423)),"")</f>
        <v/>
      </c>
      <c r="L423" s="11">
        <f>IF(AND(ISNUMBER(H423),ISNUMBER(I423),H423&gt;0,ISNUMBER($B$94)),$B$94+3*SQRT($B$94*(1-$B$94)/H423),"")</f>
        <v/>
      </c>
      <c r="M423" s="13">
        <f>IF(AND(ISNUMBER(J423),ISNUMBER(K423),ISNUMBER(L423)),IF(J423&gt;L423,"boven UCL",IF(J423&lt;K423,"onder LCL","")),"")</f>
        <v/>
      </c>
      <c r="O423" t="n">
        <v>317</v>
      </c>
      <c r="P423" s="7" t="n"/>
      <c r="Q423" s="7" t="n"/>
      <c r="R423" s="11">
        <f>IF(AND(ISNUMBER(P423),ISNUMBER(Q423),P423&gt;0,ISNUMBER($B$100)),Q423/P423,"")</f>
        <v/>
      </c>
      <c r="S423" s="11">
        <f>IF(AND(ISNUMBER(P423),ISNUMBER(Q423),P423&gt;0,ISNUMBER($B$100)),MAX(0,$B$100-3*SQRT($B$100/P423)),"")</f>
        <v/>
      </c>
      <c r="T423" s="11">
        <f>IF(AND(ISNUMBER(P423),ISNUMBER(Q423),P423&gt;0,ISNUMBER($B$100)),$B$100+3*SQRT($B$100/P423),"")</f>
        <v/>
      </c>
      <c r="U423" s="13">
        <f>IF(AND(ISNUMBER(R423),ISNUMBER(S423),ISNUMBER(T423)),IF(R423&gt;T423,"boven UCL",IF(R423&lt;S423,"onder LCL","")),"")</f>
        <v/>
      </c>
    </row>
    <row r="424">
      <c r="A424" t="n">
        <v>318</v>
      </c>
      <c r="B424" s="7" t="n"/>
      <c r="C424" s="11">
        <f>IF(AND(ISNUMBER(B424),ISNUMBER(B423)),ABS(B424-B423),"")</f>
        <v/>
      </c>
      <c r="D424" s="13">
        <f>IF(AND(ISNUMBER(B424),ISNUMBER($B$88),ISNUMBER($D$88)),IF(B424&gt;$D$88,"boven UCL",IF(B424&lt;$B$88,"onder LCL","")),"")</f>
        <v/>
      </c>
      <c r="E424" s="13">
        <f>IF(AND(ISNUMBER(C424),ISNUMBER($B$89),ISNUMBER($D$89)),IF(C424&gt;$D$89,"boven UCL",IF(C424&lt;$B$89,"onder LCL","")),"")</f>
        <v/>
      </c>
      <c r="G424" t="n">
        <v>318</v>
      </c>
      <c r="H424" s="7" t="n"/>
      <c r="I424" s="7" t="n"/>
      <c r="J424" s="11">
        <f>IF(AND(ISNUMBER(H424),ISNUMBER(I424),H424&gt;0,ISNUMBER($B$94)),I424/H424,"")</f>
        <v/>
      </c>
      <c r="K424" s="11">
        <f>IF(AND(ISNUMBER(H424),ISNUMBER(I424),H424&gt;0,ISNUMBER($B$94)),MAX(0,$B$94-3*SQRT($B$94*(1-$B$94)/H424)),"")</f>
        <v/>
      </c>
      <c r="L424" s="11">
        <f>IF(AND(ISNUMBER(H424),ISNUMBER(I424),H424&gt;0,ISNUMBER($B$94)),$B$94+3*SQRT($B$94*(1-$B$94)/H424),"")</f>
        <v/>
      </c>
      <c r="M424" s="13">
        <f>IF(AND(ISNUMBER(J424),ISNUMBER(K424),ISNUMBER(L424)),IF(J424&gt;L424,"boven UCL",IF(J424&lt;K424,"onder LCL","")),"")</f>
        <v/>
      </c>
      <c r="O424" t="n">
        <v>318</v>
      </c>
      <c r="P424" s="7" t="n"/>
      <c r="Q424" s="7" t="n"/>
      <c r="R424" s="11">
        <f>IF(AND(ISNUMBER(P424),ISNUMBER(Q424),P424&gt;0,ISNUMBER($B$100)),Q424/P424,"")</f>
        <v/>
      </c>
      <c r="S424" s="11">
        <f>IF(AND(ISNUMBER(P424),ISNUMBER(Q424),P424&gt;0,ISNUMBER($B$100)),MAX(0,$B$100-3*SQRT($B$100/P424)),"")</f>
        <v/>
      </c>
      <c r="T424" s="11">
        <f>IF(AND(ISNUMBER(P424),ISNUMBER(Q424),P424&gt;0,ISNUMBER($B$100)),$B$100+3*SQRT($B$100/P424),"")</f>
        <v/>
      </c>
      <c r="U424" s="13">
        <f>IF(AND(ISNUMBER(R424),ISNUMBER(S424),ISNUMBER(T424)),IF(R424&gt;T424,"boven UCL",IF(R424&lt;S424,"onder LCL","")),"")</f>
        <v/>
      </c>
    </row>
    <row r="425">
      <c r="A425" t="n">
        <v>319</v>
      </c>
      <c r="B425" s="7" t="n"/>
      <c r="C425" s="11">
        <f>IF(AND(ISNUMBER(B425),ISNUMBER(B424)),ABS(B425-B424),"")</f>
        <v/>
      </c>
      <c r="D425" s="13">
        <f>IF(AND(ISNUMBER(B425),ISNUMBER($B$88),ISNUMBER($D$88)),IF(B425&gt;$D$88,"boven UCL",IF(B425&lt;$B$88,"onder LCL","")),"")</f>
        <v/>
      </c>
      <c r="E425" s="13">
        <f>IF(AND(ISNUMBER(C425),ISNUMBER($B$89),ISNUMBER($D$89)),IF(C425&gt;$D$89,"boven UCL",IF(C425&lt;$B$89,"onder LCL","")),"")</f>
        <v/>
      </c>
      <c r="G425" t="n">
        <v>319</v>
      </c>
      <c r="H425" s="7" t="n"/>
      <c r="I425" s="7" t="n"/>
      <c r="J425" s="11">
        <f>IF(AND(ISNUMBER(H425),ISNUMBER(I425),H425&gt;0,ISNUMBER($B$94)),I425/H425,"")</f>
        <v/>
      </c>
      <c r="K425" s="11">
        <f>IF(AND(ISNUMBER(H425),ISNUMBER(I425),H425&gt;0,ISNUMBER($B$94)),MAX(0,$B$94-3*SQRT($B$94*(1-$B$94)/H425)),"")</f>
        <v/>
      </c>
      <c r="L425" s="11">
        <f>IF(AND(ISNUMBER(H425),ISNUMBER(I425),H425&gt;0,ISNUMBER($B$94)),$B$94+3*SQRT($B$94*(1-$B$94)/H425),"")</f>
        <v/>
      </c>
      <c r="M425" s="13">
        <f>IF(AND(ISNUMBER(J425),ISNUMBER(K425),ISNUMBER(L425)),IF(J425&gt;L425,"boven UCL",IF(J425&lt;K425,"onder LCL","")),"")</f>
        <v/>
      </c>
      <c r="O425" t="n">
        <v>319</v>
      </c>
      <c r="P425" s="7" t="n"/>
      <c r="Q425" s="7" t="n"/>
      <c r="R425" s="11">
        <f>IF(AND(ISNUMBER(P425),ISNUMBER(Q425),P425&gt;0,ISNUMBER($B$100)),Q425/P425,"")</f>
        <v/>
      </c>
      <c r="S425" s="11">
        <f>IF(AND(ISNUMBER(P425),ISNUMBER(Q425),P425&gt;0,ISNUMBER($B$100)),MAX(0,$B$100-3*SQRT($B$100/P425)),"")</f>
        <v/>
      </c>
      <c r="T425" s="11">
        <f>IF(AND(ISNUMBER(P425),ISNUMBER(Q425),P425&gt;0,ISNUMBER($B$100)),$B$100+3*SQRT($B$100/P425),"")</f>
        <v/>
      </c>
      <c r="U425" s="13">
        <f>IF(AND(ISNUMBER(R425),ISNUMBER(S425),ISNUMBER(T425)),IF(R425&gt;T425,"boven UCL",IF(R425&lt;S425,"onder LCL","")),"")</f>
        <v/>
      </c>
    </row>
    <row r="426">
      <c r="A426" t="n">
        <v>320</v>
      </c>
      <c r="B426" s="7" t="n"/>
      <c r="C426" s="11">
        <f>IF(AND(ISNUMBER(B426),ISNUMBER(B425)),ABS(B426-B425),"")</f>
        <v/>
      </c>
      <c r="D426" s="13">
        <f>IF(AND(ISNUMBER(B426),ISNUMBER($B$88),ISNUMBER($D$88)),IF(B426&gt;$D$88,"boven UCL",IF(B426&lt;$B$88,"onder LCL","")),"")</f>
        <v/>
      </c>
      <c r="E426" s="13">
        <f>IF(AND(ISNUMBER(C426),ISNUMBER($B$89),ISNUMBER($D$89)),IF(C426&gt;$D$89,"boven UCL",IF(C426&lt;$B$89,"onder LCL","")),"")</f>
        <v/>
      </c>
      <c r="G426" t="n">
        <v>320</v>
      </c>
      <c r="H426" s="7" t="n"/>
      <c r="I426" s="7" t="n"/>
      <c r="J426" s="11">
        <f>IF(AND(ISNUMBER(H426),ISNUMBER(I426),H426&gt;0,ISNUMBER($B$94)),I426/H426,"")</f>
        <v/>
      </c>
      <c r="K426" s="11">
        <f>IF(AND(ISNUMBER(H426),ISNUMBER(I426),H426&gt;0,ISNUMBER($B$94)),MAX(0,$B$94-3*SQRT($B$94*(1-$B$94)/H426)),"")</f>
        <v/>
      </c>
      <c r="L426" s="11">
        <f>IF(AND(ISNUMBER(H426),ISNUMBER(I426),H426&gt;0,ISNUMBER($B$94)),$B$94+3*SQRT($B$94*(1-$B$94)/H426),"")</f>
        <v/>
      </c>
      <c r="M426" s="13">
        <f>IF(AND(ISNUMBER(J426),ISNUMBER(K426),ISNUMBER(L426)),IF(J426&gt;L426,"boven UCL",IF(J426&lt;K426,"onder LCL","")),"")</f>
        <v/>
      </c>
      <c r="O426" t="n">
        <v>320</v>
      </c>
      <c r="P426" s="7" t="n"/>
      <c r="Q426" s="7" t="n"/>
      <c r="R426" s="11">
        <f>IF(AND(ISNUMBER(P426),ISNUMBER(Q426),P426&gt;0,ISNUMBER($B$100)),Q426/P426,"")</f>
        <v/>
      </c>
      <c r="S426" s="11">
        <f>IF(AND(ISNUMBER(P426),ISNUMBER(Q426),P426&gt;0,ISNUMBER($B$100)),MAX(0,$B$100-3*SQRT($B$100/P426)),"")</f>
        <v/>
      </c>
      <c r="T426" s="11">
        <f>IF(AND(ISNUMBER(P426),ISNUMBER(Q426),P426&gt;0,ISNUMBER($B$100)),$B$100+3*SQRT($B$100/P426),"")</f>
        <v/>
      </c>
      <c r="U426" s="13">
        <f>IF(AND(ISNUMBER(R426),ISNUMBER(S426),ISNUMBER(T426)),IF(R426&gt;T426,"boven UCL",IF(R426&lt;S426,"onder LCL","")),"")</f>
        <v/>
      </c>
    </row>
    <row r="427">
      <c r="A427" t="n">
        <v>321</v>
      </c>
      <c r="B427" s="7" t="n"/>
      <c r="C427" s="11">
        <f>IF(AND(ISNUMBER(B427),ISNUMBER(B426)),ABS(B427-B426),"")</f>
        <v/>
      </c>
      <c r="D427" s="13">
        <f>IF(AND(ISNUMBER(B427),ISNUMBER($B$88),ISNUMBER($D$88)),IF(B427&gt;$D$88,"boven UCL",IF(B427&lt;$B$88,"onder LCL","")),"")</f>
        <v/>
      </c>
      <c r="E427" s="13">
        <f>IF(AND(ISNUMBER(C427),ISNUMBER($B$89),ISNUMBER($D$89)),IF(C427&gt;$D$89,"boven UCL",IF(C427&lt;$B$89,"onder LCL","")),"")</f>
        <v/>
      </c>
      <c r="G427" t="n">
        <v>321</v>
      </c>
      <c r="H427" s="7" t="n"/>
      <c r="I427" s="7" t="n"/>
      <c r="J427" s="11">
        <f>IF(AND(ISNUMBER(H427),ISNUMBER(I427),H427&gt;0,ISNUMBER($B$94)),I427/H427,"")</f>
        <v/>
      </c>
      <c r="K427" s="11">
        <f>IF(AND(ISNUMBER(H427),ISNUMBER(I427),H427&gt;0,ISNUMBER($B$94)),MAX(0,$B$94-3*SQRT($B$94*(1-$B$94)/H427)),"")</f>
        <v/>
      </c>
      <c r="L427" s="11">
        <f>IF(AND(ISNUMBER(H427),ISNUMBER(I427),H427&gt;0,ISNUMBER($B$94)),$B$94+3*SQRT($B$94*(1-$B$94)/H427),"")</f>
        <v/>
      </c>
      <c r="M427" s="13">
        <f>IF(AND(ISNUMBER(J427),ISNUMBER(K427),ISNUMBER(L427)),IF(J427&gt;L427,"boven UCL",IF(J427&lt;K427,"onder LCL","")),"")</f>
        <v/>
      </c>
      <c r="O427" t="n">
        <v>321</v>
      </c>
      <c r="P427" s="7" t="n"/>
      <c r="Q427" s="7" t="n"/>
      <c r="R427" s="11">
        <f>IF(AND(ISNUMBER(P427),ISNUMBER(Q427),P427&gt;0,ISNUMBER($B$100)),Q427/P427,"")</f>
        <v/>
      </c>
      <c r="S427" s="11">
        <f>IF(AND(ISNUMBER(P427),ISNUMBER(Q427),P427&gt;0,ISNUMBER($B$100)),MAX(0,$B$100-3*SQRT($B$100/P427)),"")</f>
        <v/>
      </c>
      <c r="T427" s="11">
        <f>IF(AND(ISNUMBER(P427),ISNUMBER(Q427),P427&gt;0,ISNUMBER($B$100)),$B$100+3*SQRT($B$100/P427),"")</f>
        <v/>
      </c>
      <c r="U427" s="13">
        <f>IF(AND(ISNUMBER(R427),ISNUMBER(S427),ISNUMBER(T427)),IF(R427&gt;T427,"boven UCL",IF(R427&lt;S427,"onder LCL","")),"")</f>
        <v/>
      </c>
    </row>
    <row r="428">
      <c r="A428" t="n">
        <v>322</v>
      </c>
      <c r="B428" s="7" t="n"/>
      <c r="C428" s="11">
        <f>IF(AND(ISNUMBER(B428),ISNUMBER(B427)),ABS(B428-B427),"")</f>
        <v/>
      </c>
      <c r="D428" s="13">
        <f>IF(AND(ISNUMBER(B428),ISNUMBER($B$88),ISNUMBER($D$88)),IF(B428&gt;$D$88,"boven UCL",IF(B428&lt;$B$88,"onder LCL","")),"")</f>
        <v/>
      </c>
      <c r="E428" s="13">
        <f>IF(AND(ISNUMBER(C428),ISNUMBER($B$89),ISNUMBER($D$89)),IF(C428&gt;$D$89,"boven UCL",IF(C428&lt;$B$89,"onder LCL","")),"")</f>
        <v/>
      </c>
      <c r="G428" t="n">
        <v>322</v>
      </c>
      <c r="H428" s="7" t="n"/>
      <c r="I428" s="7" t="n"/>
      <c r="J428" s="11">
        <f>IF(AND(ISNUMBER(H428),ISNUMBER(I428),H428&gt;0,ISNUMBER($B$94)),I428/H428,"")</f>
        <v/>
      </c>
      <c r="K428" s="11">
        <f>IF(AND(ISNUMBER(H428),ISNUMBER(I428),H428&gt;0,ISNUMBER($B$94)),MAX(0,$B$94-3*SQRT($B$94*(1-$B$94)/H428)),"")</f>
        <v/>
      </c>
      <c r="L428" s="11">
        <f>IF(AND(ISNUMBER(H428),ISNUMBER(I428),H428&gt;0,ISNUMBER($B$94)),$B$94+3*SQRT($B$94*(1-$B$94)/H428),"")</f>
        <v/>
      </c>
      <c r="M428" s="13">
        <f>IF(AND(ISNUMBER(J428),ISNUMBER(K428),ISNUMBER(L428)),IF(J428&gt;L428,"boven UCL",IF(J428&lt;K428,"onder LCL","")),"")</f>
        <v/>
      </c>
      <c r="O428" t="n">
        <v>322</v>
      </c>
      <c r="P428" s="7" t="n"/>
      <c r="Q428" s="7" t="n"/>
      <c r="R428" s="11">
        <f>IF(AND(ISNUMBER(P428),ISNUMBER(Q428),P428&gt;0,ISNUMBER($B$100)),Q428/P428,"")</f>
        <v/>
      </c>
      <c r="S428" s="11">
        <f>IF(AND(ISNUMBER(P428),ISNUMBER(Q428),P428&gt;0,ISNUMBER($B$100)),MAX(0,$B$100-3*SQRT($B$100/P428)),"")</f>
        <v/>
      </c>
      <c r="T428" s="11">
        <f>IF(AND(ISNUMBER(P428),ISNUMBER(Q428),P428&gt;0,ISNUMBER($B$100)),$B$100+3*SQRT($B$100/P428),"")</f>
        <v/>
      </c>
      <c r="U428" s="13">
        <f>IF(AND(ISNUMBER(R428),ISNUMBER(S428),ISNUMBER(T428)),IF(R428&gt;T428,"boven UCL",IF(R428&lt;S428,"onder LCL","")),"")</f>
        <v/>
      </c>
    </row>
    <row r="429">
      <c r="A429" t="n">
        <v>323</v>
      </c>
      <c r="B429" s="7" t="n"/>
      <c r="C429" s="11">
        <f>IF(AND(ISNUMBER(B429),ISNUMBER(B428)),ABS(B429-B428),"")</f>
        <v/>
      </c>
      <c r="D429" s="13">
        <f>IF(AND(ISNUMBER(B429),ISNUMBER($B$88),ISNUMBER($D$88)),IF(B429&gt;$D$88,"boven UCL",IF(B429&lt;$B$88,"onder LCL","")),"")</f>
        <v/>
      </c>
      <c r="E429" s="13">
        <f>IF(AND(ISNUMBER(C429),ISNUMBER($B$89),ISNUMBER($D$89)),IF(C429&gt;$D$89,"boven UCL",IF(C429&lt;$B$89,"onder LCL","")),"")</f>
        <v/>
      </c>
      <c r="G429" t="n">
        <v>323</v>
      </c>
      <c r="H429" s="7" t="n"/>
      <c r="I429" s="7" t="n"/>
      <c r="J429" s="11">
        <f>IF(AND(ISNUMBER(H429),ISNUMBER(I429),H429&gt;0,ISNUMBER($B$94)),I429/H429,"")</f>
        <v/>
      </c>
      <c r="K429" s="11">
        <f>IF(AND(ISNUMBER(H429),ISNUMBER(I429),H429&gt;0,ISNUMBER($B$94)),MAX(0,$B$94-3*SQRT($B$94*(1-$B$94)/H429)),"")</f>
        <v/>
      </c>
      <c r="L429" s="11">
        <f>IF(AND(ISNUMBER(H429),ISNUMBER(I429),H429&gt;0,ISNUMBER($B$94)),$B$94+3*SQRT($B$94*(1-$B$94)/H429),"")</f>
        <v/>
      </c>
      <c r="M429" s="13">
        <f>IF(AND(ISNUMBER(J429),ISNUMBER(K429),ISNUMBER(L429)),IF(J429&gt;L429,"boven UCL",IF(J429&lt;K429,"onder LCL","")),"")</f>
        <v/>
      </c>
      <c r="O429" t="n">
        <v>323</v>
      </c>
      <c r="P429" s="7" t="n"/>
      <c r="Q429" s="7" t="n"/>
      <c r="R429" s="11">
        <f>IF(AND(ISNUMBER(P429),ISNUMBER(Q429),P429&gt;0,ISNUMBER($B$100)),Q429/P429,"")</f>
        <v/>
      </c>
      <c r="S429" s="11">
        <f>IF(AND(ISNUMBER(P429),ISNUMBER(Q429),P429&gt;0,ISNUMBER($B$100)),MAX(0,$B$100-3*SQRT($B$100/P429)),"")</f>
        <v/>
      </c>
      <c r="T429" s="11">
        <f>IF(AND(ISNUMBER(P429),ISNUMBER(Q429),P429&gt;0,ISNUMBER($B$100)),$B$100+3*SQRT($B$100/P429),"")</f>
        <v/>
      </c>
      <c r="U429" s="13">
        <f>IF(AND(ISNUMBER(R429),ISNUMBER(S429),ISNUMBER(T429)),IF(R429&gt;T429,"boven UCL",IF(R429&lt;S429,"onder LCL","")),"")</f>
        <v/>
      </c>
    </row>
    <row r="430">
      <c r="A430" t="n">
        <v>324</v>
      </c>
      <c r="B430" s="7" t="n"/>
      <c r="C430" s="11">
        <f>IF(AND(ISNUMBER(B430),ISNUMBER(B429)),ABS(B430-B429),"")</f>
        <v/>
      </c>
      <c r="D430" s="13">
        <f>IF(AND(ISNUMBER(B430),ISNUMBER($B$88),ISNUMBER($D$88)),IF(B430&gt;$D$88,"boven UCL",IF(B430&lt;$B$88,"onder LCL","")),"")</f>
        <v/>
      </c>
      <c r="E430" s="13">
        <f>IF(AND(ISNUMBER(C430),ISNUMBER($B$89),ISNUMBER($D$89)),IF(C430&gt;$D$89,"boven UCL",IF(C430&lt;$B$89,"onder LCL","")),"")</f>
        <v/>
      </c>
      <c r="G430" t="n">
        <v>324</v>
      </c>
      <c r="H430" s="7" t="n"/>
      <c r="I430" s="7" t="n"/>
      <c r="J430" s="11">
        <f>IF(AND(ISNUMBER(H430),ISNUMBER(I430),H430&gt;0,ISNUMBER($B$94)),I430/H430,"")</f>
        <v/>
      </c>
      <c r="K430" s="11">
        <f>IF(AND(ISNUMBER(H430),ISNUMBER(I430),H430&gt;0,ISNUMBER($B$94)),MAX(0,$B$94-3*SQRT($B$94*(1-$B$94)/H430)),"")</f>
        <v/>
      </c>
      <c r="L430" s="11">
        <f>IF(AND(ISNUMBER(H430),ISNUMBER(I430),H430&gt;0,ISNUMBER($B$94)),$B$94+3*SQRT($B$94*(1-$B$94)/H430),"")</f>
        <v/>
      </c>
      <c r="M430" s="13">
        <f>IF(AND(ISNUMBER(J430),ISNUMBER(K430),ISNUMBER(L430)),IF(J430&gt;L430,"boven UCL",IF(J430&lt;K430,"onder LCL","")),"")</f>
        <v/>
      </c>
      <c r="O430" t="n">
        <v>324</v>
      </c>
      <c r="P430" s="7" t="n"/>
      <c r="Q430" s="7" t="n"/>
      <c r="R430" s="11">
        <f>IF(AND(ISNUMBER(P430),ISNUMBER(Q430),P430&gt;0,ISNUMBER($B$100)),Q430/P430,"")</f>
        <v/>
      </c>
      <c r="S430" s="11">
        <f>IF(AND(ISNUMBER(P430),ISNUMBER(Q430),P430&gt;0,ISNUMBER($B$100)),MAX(0,$B$100-3*SQRT($B$100/P430)),"")</f>
        <v/>
      </c>
      <c r="T430" s="11">
        <f>IF(AND(ISNUMBER(P430),ISNUMBER(Q430),P430&gt;0,ISNUMBER($B$100)),$B$100+3*SQRT($B$100/P430),"")</f>
        <v/>
      </c>
      <c r="U430" s="13">
        <f>IF(AND(ISNUMBER(R430),ISNUMBER(S430),ISNUMBER(T430)),IF(R430&gt;T430,"boven UCL",IF(R430&lt;S430,"onder LCL","")),"")</f>
        <v/>
      </c>
    </row>
    <row r="431">
      <c r="A431" t="n">
        <v>325</v>
      </c>
      <c r="B431" s="7" t="n"/>
      <c r="C431" s="11">
        <f>IF(AND(ISNUMBER(B431),ISNUMBER(B430)),ABS(B431-B430),"")</f>
        <v/>
      </c>
      <c r="D431" s="13">
        <f>IF(AND(ISNUMBER(B431),ISNUMBER($B$88),ISNUMBER($D$88)),IF(B431&gt;$D$88,"boven UCL",IF(B431&lt;$B$88,"onder LCL","")),"")</f>
        <v/>
      </c>
      <c r="E431" s="13">
        <f>IF(AND(ISNUMBER(C431),ISNUMBER($B$89),ISNUMBER($D$89)),IF(C431&gt;$D$89,"boven UCL",IF(C431&lt;$B$89,"onder LCL","")),"")</f>
        <v/>
      </c>
      <c r="G431" t="n">
        <v>325</v>
      </c>
      <c r="H431" s="7" t="n"/>
      <c r="I431" s="7" t="n"/>
      <c r="J431" s="11">
        <f>IF(AND(ISNUMBER(H431),ISNUMBER(I431),H431&gt;0,ISNUMBER($B$94)),I431/H431,"")</f>
        <v/>
      </c>
      <c r="K431" s="11">
        <f>IF(AND(ISNUMBER(H431),ISNUMBER(I431),H431&gt;0,ISNUMBER($B$94)),MAX(0,$B$94-3*SQRT($B$94*(1-$B$94)/H431)),"")</f>
        <v/>
      </c>
      <c r="L431" s="11">
        <f>IF(AND(ISNUMBER(H431),ISNUMBER(I431),H431&gt;0,ISNUMBER($B$94)),$B$94+3*SQRT($B$94*(1-$B$94)/H431),"")</f>
        <v/>
      </c>
      <c r="M431" s="13">
        <f>IF(AND(ISNUMBER(J431),ISNUMBER(K431),ISNUMBER(L431)),IF(J431&gt;L431,"boven UCL",IF(J431&lt;K431,"onder LCL","")),"")</f>
        <v/>
      </c>
      <c r="O431" t="n">
        <v>325</v>
      </c>
      <c r="P431" s="7" t="n"/>
      <c r="Q431" s="7" t="n"/>
      <c r="R431" s="11">
        <f>IF(AND(ISNUMBER(P431),ISNUMBER(Q431),P431&gt;0,ISNUMBER($B$100)),Q431/P431,"")</f>
        <v/>
      </c>
      <c r="S431" s="11">
        <f>IF(AND(ISNUMBER(P431),ISNUMBER(Q431),P431&gt;0,ISNUMBER($B$100)),MAX(0,$B$100-3*SQRT($B$100/P431)),"")</f>
        <v/>
      </c>
      <c r="T431" s="11">
        <f>IF(AND(ISNUMBER(P431),ISNUMBER(Q431),P431&gt;0,ISNUMBER($B$100)),$B$100+3*SQRT($B$100/P431),"")</f>
        <v/>
      </c>
      <c r="U431" s="13">
        <f>IF(AND(ISNUMBER(R431),ISNUMBER(S431),ISNUMBER(T431)),IF(R431&gt;T431,"boven UCL",IF(R431&lt;S431,"onder LCL","")),"")</f>
        <v/>
      </c>
    </row>
    <row r="432">
      <c r="A432" t="n">
        <v>326</v>
      </c>
      <c r="B432" s="7" t="n"/>
      <c r="C432" s="11">
        <f>IF(AND(ISNUMBER(B432),ISNUMBER(B431)),ABS(B432-B431),"")</f>
        <v/>
      </c>
      <c r="D432" s="13">
        <f>IF(AND(ISNUMBER(B432),ISNUMBER($B$88),ISNUMBER($D$88)),IF(B432&gt;$D$88,"boven UCL",IF(B432&lt;$B$88,"onder LCL","")),"")</f>
        <v/>
      </c>
      <c r="E432" s="13">
        <f>IF(AND(ISNUMBER(C432),ISNUMBER($B$89),ISNUMBER($D$89)),IF(C432&gt;$D$89,"boven UCL",IF(C432&lt;$B$89,"onder LCL","")),"")</f>
        <v/>
      </c>
      <c r="G432" t="n">
        <v>326</v>
      </c>
      <c r="H432" s="7" t="n"/>
      <c r="I432" s="7" t="n"/>
      <c r="J432" s="11">
        <f>IF(AND(ISNUMBER(H432),ISNUMBER(I432),H432&gt;0,ISNUMBER($B$94)),I432/H432,"")</f>
        <v/>
      </c>
      <c r="K432" s="11">
        <f>IF(AND(ISNUMBER(H432),ISNUMBER(I432),H432&gt;0,ISNUMBER($B$94)),MAX(0,$B$94-3*SQRT($B$94*(1-$B$94)/H432)),"")</f>
        <v/>
      </c>
      <c r="L432" s="11">
        <f>IF(AND(ISNUMBER(H432),ISNUMBER(I432),H432&gt;0,ISNUMBER($B$94)),$B$94+3*SQRT($B$94*(1-$B$94)/H432),"")</f>
        <v/>
      </c>
      <c r="M432" s="13">
        <f>IF(AND(ISNUMBER(J432),ISNUMBER(K432),ISNUMBER(L432)),IF(J432&gt;L432,"boven UCL",IF(J432&lt;K432,"onder LCL","")),"")</f>
        <v/>
      </c>
      <c r="O432" t="n">
        <v>326</v>
      </c>
      <c r="P432" s="7" t="n"/>
      <c r="Q432" s="7" t="n"/>
      <c r="R432" s="11">
        <f>IF(AND(ISNUMBER(P432),ISNUMBER(Q432),P432&gt;0,ISNUMBER($B$100)),Q432/P432,"")</f>
        <v/>
      </c>
      <c r="S432" s="11">
        <f>IF(AND(ISNUMBER(P432),ISNUMBER(Q432),P432&gt;0,ISNUMBER($B$100)),MAX(0,$B$100-3*SQRT($B$100/P432)),"")</f>
        <v/>
      </c>
      <c r="T432" s="11">
        <f>IF(AND(ISNUMBER(P432),ISNUMBER(Q432),P432&gt;0,ISNUMBER($B$100)),$B$100+3*SQRT($B$100/P432),"")</f>
        <v/>
      </c>
      <c r="U432" s="13">
        <f>IF(AND(ISNUMBER(R432),ISNUMBER(S432),ISNUMBER(T432)),IF(R432&gt;T432,"boven UCL",IF(R432&lt;S432,"onder LCL","")),"")</f>
        <v/>
      </c>
    </row>
    <row r="433">
      <c r="A433" t="n">
        <v>327</v>
      </c>
      <c r="B433" s="7" t="n"/>
      <c r="C433" s="11">
        <f>IF(AND(ISNUMBER(B433),ISNUMBER(B432)),ABS(B433-B432),"")</f>
        <v/>
      </c>
      <c r="D433" s="13">
        <f>IF(AND(ISNUMBER(B433),ISNUMBER($B$88),ISNUMBER($D$88)),IF(B433&gt;$D$88,"boven UCL",IF(B433&lt;$B$88,"onder LCL","")),"")</f>
        <v/>
      </c>
      <c r="E433" s="13">
        <f>IF(AND(ISNUMBER(C433),ISNUMBER($B$89),ISNUMBER($D$89)),IF(C433&gt;$D$89,"boven UCL",IF(C433&lt;$B$89,"onder LCL","")),"")</f>
        <v/>
      </c>
      <c r="G433" t="n">
        <v>327</v>
      </c>
      <c r="H433" s="7" t="n"/>
      <c r="I433" s="7" t="n"/>
      <c r="J433" s="11">
        <f>IF(AND(ISNUMBER(H433),ISNUMBER(I433),H433&gt;0,ISNUMBER($B$94)),I433/H433,"")</f>
        <v/>
      </c>
      <c r="K433" s="11">
        <f>IF(AND(ISNUMBER(H433),ISNUMBER(I433),H433&gt;0,ISNUMBER($B$94)),MAX(0,$B$94-3*SQRT($B$94*(1-$B$94)/H433)),"")</f>
        <v/>
      </c>
      <c r="L433" s="11">
        <f>IF(AND(ISNUMBER(H433),ISNUMBER(I433),H433&gt;0,ISNUMBER($B$94)),$B$94+3*SQRT($B$94*(1-$B$94)/H433),"")</f>
        <v/>
      </c>
      <c r="M433" s="13">
        <f>IF(AND(ISNUMBER(J433),ISNUMBER(K433),ISNUMBER(L433)),IF(J433&gt;L433,"boven UCL",IF(J433&lt;K433,"onder LCL","")),"")</f>
        <v/>
      </c>
      <c r="O433" t="n">
        <v>327</v>
      </c>
      <c r="P433" s="7" t="n"/>
      <c r="Q433" s="7" t="n"/>
      <c r="R433" s="11">
        <f>IF(AND(ISNUMBER(P433),ISNUMBER(Q433),P433&gt;0,ISNUMBER($B$100)),Q433/P433,"")</f>
        <v/>
      </c>
      <c r="S433" s="11">
        <f>IF(AND(ISNUMBER(P433),ISNUMBER(Q433),P433&gt;0,ISNUMBER($B$100)),MAX(0,$B$100-3*SQRT($B$100/P433)),"")</f>
        <v/>
      </c>
      <c r="T433" s="11">
        <f>IF(AND(ISNUMBER(P433),ISNUMBER(Q433),P433&gt;0,ISNUMBER($B$100)),$B$100+3*SQRT($B$100/P433),"")</f>
        <v/>
      </c>
      <c r="U433" s="13">
        <f>IF(AND(ISNUMBER(R433),ISNUMBER(S433),ISNUMBER(T433)),IF(R433&gt;T433,"boven UCL",IF(R433&lt;S433,"onder LCL","")),"")</f>
        <v/>
      </c>
    </row>
    <row r="434">
      <c r="A434" t="n">
        <v>328</v>
      </c>
      <c r="B434" s="7" t="n"/>
      <c r="C434" s="11">
        <f>IF(AND(ISNUMBER(B434),ISNUMBER(B433)),ABS(B434-B433),"")</f>
        <v/>
      </c>
      <c r="D434" s="13">
        <f>IF(AND(ISNUMBER(B434),ISNUMBER($B$88),ISNUMBER($D$88)),IF(B434&gt;$D$88,"boven UCL",IF(B434&lt;$B$88,"onder LCL","")),"")</f>
        <v/>
      </c>
      <c r="E434" s="13">
        <f>IF(AND(ISNUMBER(C434),ISNUMBER($B$89),ISNUMBER($D$89)),IF(C434&gt;$D$89,"boven UCL",IF(C434&lt;$B$89,"onder LCL","")),"")</f>
        <v/>
      </c>
      <c r="G434" t="n">
        <v>328</v>
      </c>
      <c r="H434" s="7" t="n"/>
      <c r="I434" s="7" t="n"/>
      <c r="J434" s="11">
        <f>IF(AND(ISNUMBER(H434),ISNUMBER(I434),H434&gt;0,ISNUMBER($B$94)),I434/H434,"")</f>
        <v/>
      </c>
      <c r="K434" s="11">
        <f>IF(AND(ISNUMBER(H434),ISNUMBER(I434),H434&gt;0,ISNUMBER($B$94)),MAX(0,$B$94-3*SQRT($B$94*(1-$B$94)/H434)),"")</f>
        <v/>
      </c>
      <c r="L434" s="11">
        <f>IF(AND(ISNUMBER(H434),ISNUMBER(I434),H434&gt;0,ISNUMBER($B$94)),$B$94+3*SQRT($B$94*(1-$B$94)/H434),"")</f>
        <v/>
      </c>
      <c r="M434" s="13">
        <f>IF(AND(ISNUMBER(J434),ISNUMBER(K434),ISNUMBER(L434)),IF(J434&gt;L434,"boven UCL",IF(J434&lt;K434,"onder LCL","")),"")</f>
        <v/>
      </c>
      <c r="O434" t="n">
        <v>328</v>
      </c>
      <c r="P434" s="7" t="n"/>
      <c r="Q434" s="7" t="n"/>
      <c r="R434" s="11">
        <f>IF(AND(ISNUMBER(P434),ISNUMBER(Q434),P434&gt;0,ISNUMBER($B$100)),Q434/P434,"")</f>
        <v/>
      </c>
      <c r="S434" s="11">
        <f>IF(AND(ISNUMBER(P434),ISNUMBER(Q434),P434&gt;0,ISNUMBER($B$100)),MAX(0,$B$100-3*SQRT($B$100/P434)),"")</f>
        <v/>
      </c>
      <c r="T434" s="11">
        <f>IF(AND(ISNUMBER(P434),ISNUMBER(Q434),P434&gt;0,ISNUMBER($B$100)),$B$100+3*SQRT($B$100/P434),"")</f>
        <v/>
      </c>
      <c r="U434" s="13">
        <f>IF(AND(ISNUMBER(R434),ISNUMBER(S434),ISNUMBER(T434)),IF(R434&gt;T434,"boven UCL",IF(R434&lt;S434,"onder LCL","")),"")</f>
        <v/>
      </c>
    </row>
    <row r="435">
      <c r="A435" t="n">
        <v>329</v>
      </c>
      <c r="B435" s="7" t="n"/>
      <c r="C435" s="11">
        <f>IF(AND(ISNUMBER(B435),ISNUMBER(B434)),ABS(B435-B434),"")</f>
        <v/>
      </c>
      <c r="D435" s="13">
        <f>IF(AND(ISNUMBER(B435),ISNUMBER($B$88),ISNUMBER($D$88)),IF(B435&gt;$D$88,"boven UCL",IF(B435&lt;$B$88,"onder LCL","")),"")</f>
        <v/>
      </c>
      <c r="E435" s="13">
        <f>IF(AND(ISNUMBER(C435),ISNUMBER($B$89),ISNUMBER($D$89)),IF(C435&gt;$D$89,"boven UCL",IF(C435&lt;$B$89,"onder LCL","")),"")</f>
        <v/>
      </c>
      <c r="G435" t="n">
        <v>329</v>
      </c>
      <c r="H435" s="7" t="n"/>
      <c r="I435" s="7" t="n"/>
      <c r="J435" s="11">
        <f>IF(AND(ISNUMBER(H435),ISNUMBER(I435),H435&gt;0,ISNUMBER($B$94)),I435/H435,"")</f>
        <v/>
      </c>
      <c r="K435" s="11">
        <f>IF(AND(ISNUMBER(H435),ISNUMBER(I435),H435&gt;0,ISNUMBER($B$94)),MAX(0,$B$94-3*SQRT($B$94*(1-$B$94)/H435)),"")</f>
        <v/>
      </c>
      <c r="L435" s="11">
        <f>IF(AND(ISNUMBER(H435),ISNUMBER(I435),H435&gt;0,ISNUMBER($B$94)),$B$94+3*SQRT($B$94*(1-$B$94)/H435),"")</f>
        <v/>
      </c>
      <c r="M435" s="13">
        <f>IF(AND(ISNUMBER(J435),ISNUMBER(K435),ISNUMBER(L435)),IF(J435&gt;L435,"boven UCL",IF(J435&lt;K435,"onder LCL","")),"")</f>
        <v/>
      </c>
      <c r="O435" t="n">
        <v>329</v>
      </c>
      <c r="P435" s="7" t="n"/>
      <c r="Q435" s="7" t="n"/>
      <c r="R435" s="11">
        <f>IF(AND(ISNUMBER(P435),ISNUMBER(Q435),P435&gt;0,ISNUMBER($B$100)),Q435/P435,"")</f>
        <v/>
      </c>
      <c r="S435" s="11">
        <f>IF(AND(ISNUMBER(P435),ISNUMBER(Q435),P435&gt;0,ISNUMBER($B$100)),MAX(0,$B$100-3*SQRT($B$100/P435)),"")</f>
        <v/>
      </c>
      <c r="T435" s="11">
        <f>IF(AND(ISNUMBER(P435),ISNUMBER(Q435),P435&gt;0,ISNUMBER($B$100)),$B$100+3*SQRT($B$100/P435),"")</f>
        <v/>
      </c>
      <c r="U435" s="13">
        <f>IF(AND(ISNUMBER(R435),ISNUMBER(S435),ISNUMBER(T435)),IF(R435&gt;T435,"boven UCL",IF(R435&lt;S435,"onder LCL","")),"")</f>
        <v/>
      </c>
    </row>
    <row r="436">
      <c r="A436" t="n">
        <v>330</v>
      </c>
      <c r="B436" s="7" t="n"/>
      <c r="C436" s="11">
        <f>IF(AND(ISNUMBER(B436),ISNUMBER(B435)),ABS(B436-B435),"")</f>
        <v/>
      </c>
      <c r="D436" s="13">
        <f>IF(AND(ISNUMBER(B436),ISNUMBER($B$88),ISNUMBER($D$88)),IF(B436&gt;$D$88,"boven UCL",IF(B436&lt;$B$88,"onder LCL","")),"")</f>
        <v/>
      </c>
      <c r="E436" s="13">
        <f>IF(AND(ISNUMBER(C436),ISNUMBER($B$89),ISNUMBER($D$89)),IF(C436&gt;$D$89,"boven UCL",IF(C436&lt;$B$89,"onder LCL","")),"")</f>
        <v/>
      </c>
      <c r="G436" t="n">
        <v>330</v>
      </c>
      <c r="H436" s="7" t="n"/>
      <c r="I436" s="7" t="n"/>
      <c r="J436" s="11">
        <f>IF(AND(ISNUMBER(H436),ISNUMBER(I436),H436&gt;0,ISNUMBER($B$94)),I436/H436,"")</f>
        <v/>
      </c>
      <c r="K436" s="11">
        <f>IF(AND(ISNUMBER(H436),ISNUMBER(I436),H436&gt;0,ISNUMBER($B$94)),MAX(0,$B$94-3*SQRT($B$94*(1-$B$94)/H436)),"")</f>
        <v/>
      </c>
      <c r="L436" s="11">
        <f>IF(AND(ISNUMBER(H436),ISNUMBER(I436),H436&gt;0,ISNUMBER($B$94)),$B$94+3*SQRT($B$94*(1-$B$94)/H436),"")</f>
        <v/>
      </c>
      <c r="M436" s="13">
        <f>IF(AND(ISNUMBER(J436),ISNUMBER(K436),ISNUMBER(L436)),IF(J436&gt;L436,"boven UCL",IF(J436&lt;K436,"onder LCL","")),"")</f>
        <v/>
      </c>
      <c r="O436" t="n">
        <v>330</v>
      </c>
      <c r="P436" s="7" t="n"/>
      <c r="Q436" s="7" t="n"/>
      <c r="R436" s="11">
        <f>IF(AND(ISNUMBER(P436),ISNUMBER(Q436),P436&gt;0,ISNUMBER($B$100)),Q436/P436,"")</f>
        <v/>
      </c>
      <c r="S436" s="11">
        <f>IF(AND(ISNUMBER(P436),ISNUMBER(Q436),P436&gt;0,ISNUMBER($B$100)),MAX(0,$B$100-3*SQRT($B$100/P436)),"")</f>
        <v/>
      </c>
      <c r="T436" s="11">
        <f>IF(AND(ISNUMBER(P436),ISNUMBER(Q436),P436&gt;0,ISNUMBER($B$100)),$B$100+3*SQRT($B$100/P436),"")</f>
        <v/>
      </c>
      <c r="U436" s="13">
        <f>IF(AND(ISNUMBER(R436),ISNUMBER(S436),ISNUMBER(T436)),IF(R436&gt;T436,"boven UCL",IF(R436&lt;S436,"onder LCL","")),"")</f>
        <v/>
      </c>
    </row>
    <row r="437">
      <c r="A437" t="n">
        <v>331</v>
      </c>
      <c r="B437" s="7" t="n"/>
      <c r="C437" s="11">
        <f>IF(AND(ISNUMBER(B437),ISNUMBER(B436)),ABS(B437-B436),"")</f>
        <v/>
      </c>
      <c r="D437" s="13">
        <f>IF(AND(ISNUMBER(B437),ISNUMBER($B$88),ISNUMBER($D$88)),IF(B437&gt;$D$88,"boven UCL",IF(B437&lt;$B$88,"onder LCL","")),"")</f>
        <v/>
      </c>
      <c r="E437" s="13">
        <f>IF(AND(ISNUMBER(C437),ISNUMBER($B$89),ISNUMBER($D$89)),IF(C437&gt;$D$89,"boven UCL",IF(C437&lt;$B$89,"onder LCL","")),"")</f>
        <v/>
      </c>
      <c r="G437" t="n">
        <v>331</v>
      </c>
      <c r="H437" s="7" t="n"/>
      <c r="I437" s="7" t="n"/>
      <c r="J437" s="11">
        <f>IF(AND(ISNUMBER(H437),ISNUMBER(I437),H437&gt;0,ISNUMBER($B$94)),I437/H437,"")</f>
        <v/>
      </c>
      <c r="K437" s="11">
        <f>IF(AND(ISNUMBER(H437),ISNUMBER(I437),H437&gt;0,ISNUMBER($B$94)),MAX(0,$B$94-3*SQRT($B$94*(1-$B$94)/H437)),"")</f>
        <v/>
      </c>
      <c r="L437" s="11">
        <f>IF(AND(ISNUMBER(H437),ISNUMBER(I437),H437&gt;0,ISNUMBER($B$94)),$B$94+3*SQRT($B$94*(1-$B$94)/H437),"")</f>
        <v/>
      </c>
      <c r="M437" s="13">
        <f>IF(AND(ISNUMBER(J437),ISNUMBER(K437),ISNUMBER(L437)),IF(J437&gt;L437,"boven UCL",IF(J437&lt;K437,"onder LCL","")),"")</f>
        <v/>
      </c>
      <c r="O437" t="n">
        <v>331</v>
      </c>
      <c r="P437" s="7" t="n"/>
      <c r="Q437" s="7" t="n"/>
      <c r="R437" s="11">
        <f>IF(AND(ISNUMBER(P437),ISNUMBER(Q437),P437&gt;0,ISNUMBER($B$100)),Q437/P437,"")</f>
        <v/>
      </c>
      <c r="S437" s="11">
        <f>IF(AND(ISNUMBER(P437),ISNUMBER(Q437),P437&gt;0,ISNUMBER($B$100)),MAX(0,$B$100-3*SQRT($B$100/P437)),"")</f>
        <v/>
      </c>
      <c r="T437" s="11">
        <f>IF(AND(ISNUMBER(P437),ISNUMBER(Q437),P437&gt;0,ISNUMBER($B$100)),$B$100+3*SQRT($B$100/P437),"")</f>
        <v/>
      </c>
      <c r="U437" s="13">
        <f>IF(AND(ISNUMBER(R437),ISNUMBER(S437),ISNUMBER(T437)),IF(R437&gt;T437,"boven UCL",IF(R437&lt;S437,"onder LCL","")),"")</f>
        <v/>
      </c>
    </row>
    <row r="438">
      <c r="A438" t="n">
        <v>332</v>
      </c>
      <c r="B438" s="7" t="n"/>
      <c r="C438" s="11">
        <f>IF(AND(ISNUMBER(B438),ISNUMBER(B437)),ABS(B438-B437),"")</f>
        <v/>
      </c>
      <c r="D438" s="13">
        <f>IF(AND(ISNUMBER(B438),ISNUMBER($B$88),ISNUMBER($D$88)),IF(B438&gt;$D$88,"boven UCL",IF(B438&lt;$B$88,"onder LCL","")),"")</f>
        <v/>
      </c>
      <c r="E438" s="13">
        <f>IF(AND(ISNUMBER(C438),ISNUMBER($B$89),ISNUMBER($D$89)),IF(C438&gt;$D$89,"boven UCL",IF(C438&lt;$B$89,"onder LCL","")),"")</f>
        <v/>
      </c>
      <c r="G438" t="n">
        <v>332</v>
      </c>
      <c r="H438" s="7" t="n"/>
      <c r="I438" s="7" t="n"/>
      <c r="J438" s="11">
        <f>IF(AND(ISNUMBER(H438),ISNUMBER(I438),H438&gt;0,ISNUMBER($B$94)),I438/H438,"")</f>
        <v/>
      </c>
      <c r="K438" s="11">
        <f>IF(AND(ISNUMBER(H438),ISNUMBER(I438),H438&gt;0,ISNUMBER($B$94)),MAX(0,$B$94-3*SQRT($B$94*(1-$B$94)/H438)),"")</f>
        <v/>
      </c>
      <c r="L438" s="11">
        <f>IF(AND(ISNUMBER(H438),ISNUMBER(I438),H438&gt;0,ISNUMBER($B$94)),$B$94+3*SQRT($B$94*(1-$B$94)/H438),"")</f>
        <v/>
      </c>
      <c r="M438" s="13">
        <f>IF(AND(ISNUMBER(J438),ISNUMBER(K438),ISNUMBER(L438)),IF(J438&gt;L438,"boven UCL",IF(J438&lt;K438,"onder LCL","")),"")</f>
        <v/>
      </c>
      <c r="O438" t="n">
        <v>332</v>
      </c>
      <c r="P438" s="7" t="n"/>
      <c r="Q438" s="7" t="n"/>
      <c r="R438" s="11">
        <f>IF(AND(ISNUMBER(P438),ISNUMBER(Q438),P438&gt;0,ISNUMBER($B$100)),Q438/P438,"")</f>
        <v/>
      </c>
      <c r="S438" s="11">
        <f>IF(AND(ISNUMBER(P438),ISNUMBER(Q438),P438&gt;0,ISNUMBER($B$100)),MAX(0,$B$100-3*SQRT($B$100/P438)),"")</f>
        <v/>
      </c>
      <c r="T438" s="11">
        <f>IF(AND(ISNUMBER(P438),ISNUMBER(Q438),P438&gt;0,ISNUMBER($B$100)),$B$100+3*SQRT($B$100/P438),"")</f>
        <v/>
      </c>
      <c r="U438" s="13">
        <f>IF(AND(ISNUMBER(R438),ISNUMBER(S438),ISNUMBER(T438)),IF(R438&gt;T438,"boven UCL",IF(R438&lt;S438,"onder LCL","")),"")</f>
        <v/>
      </c>
    </row>
    <row r="439">
      <c r="A439" t="n">
        <v>333</v>
      </c>
      <c r="B439" s="7" t="n"/>
      <c r="C439" s="11">
        <f>IF(AND(ISNUMBER(B439),ISNUMBER(B438)),ABS(B439-B438),"")</f>
        <v/>
      </c>
      <c r="D439" s="13">
        <f>IF(AND(ISNUMBER(B439),ISNUMBER($B$88),ISNUMBER($D$88)),IF(B439&gt;$D$88,"boven UCL",IF(B439&lt;$B$88,"onder LCL","")),"")</f>
        <v/>
      </c>
      <c r="E439" s="13">
        <f>IF(AND(ISNUMBER(C439),ISNUMBER($B$89),ISNUMBER($D$89)),IF(C439&gt;$D$89,"boven UCL",IF(C439&lt;$B$89,"onder LCL","")),"")</f>
        <v/>
      </c>
      <c r="G439" t="n">
        <v>333</v>
      </c>
      <c r="H439" s="7" t="n"/>
      <c r="I439" s="7" t="n"/>
      <c r="J439" s="11">
        <f>IF(AND(ISNUMBER(H439),ISNUMBER(I439),H439&gt;0,ISNUMBER($B$94)),I439/H439,"")</f>
        <v/>
      </c>
      <c r="K439" s="11">
        <f>IF(AND(ISNUMBER(H439),ISNUMBER(I439),H439&gt;0,ISNUMBER($B$94)),MAX(0,$B$94-3*SQRT($B$94*(1-$B$94)/H439)),"")</f>
        <v/>
      </c>
      <c r="L439" s="11">
        <f>IF(AND(ISNUMBER(H439),ISNUMBER(I439),H439&gt;0,ISNUMBER($B$94)),$B$94+3*SQRT($B$94*(1-$B$94)/H439),"")</f>
        <v/>
      </c>
      <c r="M439" s="13">
        <f>IF(AND(ISNUMBER(J439),ISNUMBER(K439),ISNUMBER(L439)),IF(J439&gt;L439,"boven UCL",IF(J439&lt;K439,"onder LCL","")),"")</f>
        <v/>
      </c>
      <c r="O439" t="n">
        <v>333</v>
      </c>
      <c r="P439" s="7" t="n"/>
      <c r="Q439" s="7" t="n"/>
      <c r="R439" s="11">
        <f>IF(AND(ISNUMBER(P439),ISNUMBER(Q439),P439&gt;0,ISNUMBER($B$100)),Q439/P439,"")</f>
        <v/>
      </c>
      <c r="S439" s="11">
        <f>IF(AND(ISNUMBER(P439),ISNUMBER(Q439),P439&gt;0,ISNUMBER($B$100)),MAX(0,$B$100-3*SQRT($B$100/P439)),"")</f>
        <v/>
      </c>
      <c r="T439" s="11">
        <f>IF(AND(ISNUMBER(P439),ISNUMBER(Q439),P439&gt;0,ISNUMBER($B$100)),$B$100+3*SQRT($B$100/P439),"")</f>
        <v/>
      </c>
      <c r="U439" s="13">
        <f>IF(AND(ISNUMBER(R439),ISNUMBER(S439),ISNUMBER(T439)),IF(R439&gt;T439,"boven UCL",IF(R439&lt;S439,"onder LCL","")),"")</f>
        <v/>
      </c>
    </row>
    <row r="440">
      <c r="A440" t="n">
        <v>334</v>
      </c>
      <c r="B440" s="7" t="n"/>
      <c r="C440" s="11">
        <f>IF(AND(ISNUMBER(B440),ISNUMBER(B439)),ABS(B440-B439),"")</f>
        <v/>
      </c>
      <c r="D440" s="13">
        <f>IF(AND(ISNUMBER(B440),ISNUMBER($B$88),ISNUMBER($D$88)),IF(B440&gt;$D$88,"boven UCL",IF(B440&lt;$B$88,"onder LCL","")),"")</f>
        <v/>
      </c>
      <c r="E440" s="13">
        <f>IF(AND(ISNUMBER(C440),ISNUMBER($B$89),ISNUMBER($D$89)),IF(C440&gt;$D$89,"boven UCL",IF(C440&lt;$B$89,"onder LCL","")),"")</f>
        <v/>
      </c>
      <c r="G440" t="n">
        <v>334</v>
      </c>
      <c r="H440" s="7" t="n"/>
      <c r="I440" s="7" t="n"/>
      <c r="J440" s="11">
        <f>IF(AND(ISNUMBER(H440),ISNUMBER(I440),H440&gt;0,ISNUMBER($B$94)),I440/H440,"")</f>
        <v/>
      </c>
      <c r="K440" s="11">
        <f>IF(AND(ISNUMBER(H440),ISNUMBER(I440),H440&gt;0,ISNUMBER($B$94)),MAX(0,$B$94-3*SQRT($B$94*(1-$B$94)/H440)),"")</f>
        <v/>
      </c>
      <c r="L440" s="11">
        <f>IF(AND(ISNUMBER(H440),ISNUMBER(I440),H440&gt;0,ISNUMBER($B$94)),$B$94+3*SQRT($B$94*(1-$B$94)/H440),"")</f>
        <v/>
      </c>
      <c r="M440" s="13">
        <f>IF(AND(ISNUMBER(J440),ISNUMBER(K440),ISNUMBER(L440)),IF(J440&gt;L440,"boven UCL",IF(J440&lt;K440,"onder LCL","")),"")</f>
        <v/>
      </c>
      <c r="O440" t="n">
        <v>334</v>
      </c>
      <c r="P440" s="7" t="n"/>
      <c r="Q440" s="7" t="n"/>
      <c r="R440" s="11">
        <f>IF(AND(ISNUMBER(P440),ISNUMBER(Q440),P440&gt;0,ISNUMBER($B$100)),Q440/P440,"")</f>
        <v/>
      </c>
      <c r="S440" s="11">
        <f>IF(AND(ISNUMBER(P440),ISNUMBER(Q440),P440&gt;0,ISNUMBER($B$100)),MAX(0,$B$100-3*SQRT($B$100/P440)),"")</f>
        <v/>
      </c>
      <c r="T440" s="11">
        <f>IF(AND(ISNUMBER(P440),ISNUMBER(Q440),P440&gt;0,ISNUMBER($B$100)),$B$100+3*SQRT($B$100/P440),"")</f>
        <v/>
      </c>
      <c r="U440" s="13">
        <f>IF(AND(ISNUMBER(R440),ISNUMBER(S440),ISNUMBER(T440)),IF(R440&gt;T440,"boven UCL",IF(R440&lt;S440,"onder LCL","")),"")</f>
        <v/>
      </c>
    </row>
    <row r="441">
      <c r="A441" t="n">
        <v>335</v>
      </c>
      <c r="B441" s="7" t="n"/>
      <c r="C441" s="11">
        <f>IF(AND(ISNUMBER(B441),ISNUMBER(B440)),ABS(B441-B440),"")</f>
        <v/>
      </c>
      <c r="D441" s="13">
        <f>IF(AND(ISNUMBER(B441),ISNUMBER($B$88),ISNUMBER($D$88)),IF(B441&gt;$D$88,"boven UCL",IF(B441&lt;$B$88,"onder LCL","")),"")</f>
        <v/>
      </c>
      <c r="E441" s="13">
        <f>IF(AND(ISNUMBER(C441),ISNUMBER($B$89),ISNUMBER($D$89)),IF(C441&gt;$D$89,"boven UCL",IF(C441&lt;$B$89,"onder LCL","")),"")</f>
        <v/>
      </c>
      <c r="G441" t="n">
        <v>335</v>
      </c>
      <c r="H441" s="7" t="n"/>
      <c r="I441" s="7" t="n"/>
      <c r="J441" s="11">
        <f>IF(AND(ISNUMBER(H441),ISNUMBER(I441),H441&gt;0,ISNUMBER($B$94)),I441/H441,"")</f>
        <v/>
      </c>
      <c r="K441" s="11">
        <f>IF(AND(ISNUMBER(H441),ISNUMBER(I441),H441&gt;0,ISNUMBER($B$94)),MAX(0,$B$94-3*SQRT($B$94*(1-$B$94)/H441)),"")</f>
        <v/>
      </c>
      <c r="L441" s="11">
        <f>IF(AND(ISNUMBER(H441),ISNUMBER(I441),H441&gt;0,ISNUMBER($B$94)),$B$94+3*SQRT($B$94*(1-$B$94)/H441),"")</f>
        <v/>
      </c>
      <c r="M441" s="13">
        <f>IF(AND(ISNUMBER(J441),ISNUMBER(K441),ISNUMBER(L441)),IF(J441&gt;L441,"boven UCL",IF(J441&lt;K441,"onder LCL","")),"")</f>
        <v/>
      </c>
      <c r="O441" t="n">
        <v>335</v>
      </c>
      <c r="P441" s="7" t="n"/>
      <c r="Q441" s="7" t="n"/>
      <c r="R441" s="11">
        <f>IF(AND(ISNUMBER(P441),ISNUMBER(Q441),P441&gt;0,ISNUMBER($B$100)),Q441/P441,"")</f>
        <v/>
      </c>
      <c r="S441" s="11">
        <f>IF(AND(ISNUMBER(P441),ISNUMBER(Q441),P441&gt;0,ISNUMBER($B$100)),MAX(0,$B$100-3*SQRT($B$100/P441)),"")</f>
        <v/>
      </c>
      <c r="T441" s="11">
        <f>IF(AND(ISNUMBER(P441),ISNUMBER(Q441),P441&gt;0,ISNUMBER($B$100)),$B$100+3*SQRT($B$100/P441),"")</f>
        <v/>
      </c>
      <c r="U441" s="13">
        <f>IF(AND(ISNUMBER(R441),ISNUMBER(S441),ISNUMBER(T441)),IF(R441&gt;T441,"boven UCL",IF(R441&lt;S441,"onder LCL","")),"")</f>
        <v/>
      </c>
    </row>
    <row r="442">
      <c r="A442" t="n">
        <v>336</v>
      </c>
      <c r="B442" s="7" t="n"/>
      <c r="C442" s="11">
        <f>IF(AND(ISNUMBER(B442),ISNUMBER(B441)),ABS(B442-B441),"")</f>
        <v/>
      </c>
      <c r="D442" s="13">
        <f>IF(AND(ISNUMBER(B442),ISNUMBER($B$88),ISNUMBER($D$88)),IF(B442&gt;$D$88,"boven UCL",IF(B442&lt;$B$88,"onder LCL","")),"")</f>
        <v/>
      </c>
      <c r="E442" s="13">
        <f>IF(AND(ISNUMBER(C442),ISNUMBER($B$89),ISNUMBER($D$89)),IF(C442&gt;$D$89,"boven UCL",IF(C442&lt;$B$89,"onder LCL","")),"")</f>
        <v/>
      </c>
      <c r="G442" t="n">
        <v>336</v>
      </c>
      <c r="H442" s="7" t="n"/>
      <c r="I442" s="7" t="n"/>
      <c r="J442" s="11">
        <f>IF(AND(ISNUMBER(H442),ISNUMBER(I442),H442&gt;0,ISNUMBER($B$94)),I442/H442,"")</f>
        <v/>
      </c>
      <c r="K442" s="11">
        <f>IF(AND(ISNUMBER(H442),ISNUMBER(I442),H442&gt;0,ISNUMBER($B$94)),MAX(0,$B$94-3*SQRT($B$94*(1-$B$94)/H442)),"")</f>
        <v/>
      </c>
      <c r="L442" s="11">
        <f>IF(AND(ISNUMBER(H442),ISNUMBER(I442),H442&gt;0,ISNUMBER($B$94)),$B$94+3*SQRT($B$94*(1-$B$94)/H442),"")</f>
        <v/>
      </c>
      <c r="M442" s="13">
        <f>IF(AND(ISNUMBER(J442),ISNUMBER(K442),ISNUMBER(L442)),IF(J442&gt;L442,"boven UCL",IF(J442&lt;K442,"onder LCL","")),"")</f>
        <v/>
      </c>
      <c r="O442" t="n">
        <v>336</v>
      </c>
      <c r="P442" s="7" t="n"/>
      <c r="Q442" s="7" t="n"/>
      <c r="R442" s="11">
        <f>IF(AND(ISNUMBER(P442),ISNUMBER(Q442),P442&gt;0,ISNUMBER($B$100)),Q442/P442,"")</f>
        <v/>
      </c>
      <c r="S442" s="11">
        <f>IF(AND(ISNUMBER(P442),ISNUMBER(Q442),P442&gt;0,ISNUMBER($B$100)),MAX(0,$B$100-3*SQRT($B$100/P442)),"")</f>
        <v/>
      </c>
      <c r="T442" s="11">
        <f>IF(AND(ISNUMBER(P442),ISNUMBER(Q442),P442&gt;0,ISNUMBER($B$100)),$B$100+3*SQRT($B$100/P442),"")</f>
        <v/>
      </c>
      <c r="U442" s="13">
        <f>IF(AND(ISNUMBER(R442),ISNUMBER(S442),ISNUMBER(T442)),IF(R442&gt;T442,"boven UCL",IF(R442&lt;S442,"onder LCL","")),"")</f>
        <v/>
      </c>
    </row>
    <row r="443">
      <c r="A443" t="n">
        <v>337</v>
      </c>
      <c r="B443" s="7" t="n"/>
      <c r="C443" s="11">
        <f>IF(AND(ISNUMBER(B443),ISNUMBER(B442)),ABS(B443-B442),"")</f>
        <v/>
      </c>
      <c r="D443" s="13">
        <f>IF(AND(ISNUMBER(B443),ISNUMBER($B$88),ISNUMBER($D$88)),IF(B443&gt;$D$88,"boven UCL",IF(B443&lt;$B$88,"onder LCL","")),"")</f>
        <v/>
      </c>
      <c r="E443" s="13">
        <f>IF(AND(ISNUMBER(C443),ISNUMBER($B$89),ISNUMBER($D$89)),IF(C443&gt;$D$89,"boven UCL",IF(C443&lt;$B$89,"onder LCL","")),"")</f>
        <v/>
      </c>
      <c r="G443" t="n">
        <v>337</v>
      </c>
      <c r="H443" s="7" t="n"/>
      <c r="I443" s="7" t="n"/>
      <c r="J443" s="11">
        <f>IF(AND(ISNUMBER(H443),ISNUMBER(I443),H443&gt;0,ISNUMBER($B$94)),I443/H443,"")</f>
        <v/>
      </c>
      <c r="K443" s="11">
        <f>IF(AND(ISNUMBER(H443),ISNUMBER(I443),H443&gt;0,ISNUMBER($B$94)),MAX(0,$B$94-3*SQRT($B$94*(1-$B$94)/H443)),"")</f>
        <v/>
      </c>
      <c r="L443" s="11">
        <f>IF(AND(ISNUMBER(H443),ISNUMBER(I443),H443&gt;0,ISNUMBER($B$94)),$B$94+3*SQRT($B$94*(1-$B$94)/H443),"")</f>
        <v/>
      </c>
      <c r="M443" s="13">
        <f>IF(AND(ISNUMBER(J443),ISNUMBER(K443),ISNUMBER(L443)),IF(J443&gt;L443,"boven UCL",IF(J443&lt;K443,"onder LCL","")),"")</f>
        <v/>
      </c>
      <c r="O443" t="n">
        <v>337</v>
      </c>
      <c r="P443" s="7" t="n"/>
      <c r="Q443" s="7" t="n"/>
      <c r="R443" s="11">
        <f>IF(AND(ISNUMBER(P443),ISNUMBER(Q443),P443&gt;0,ISNUMBER($B$100)),Q443/P443,"")</f>
        <v/>
      </c>
      <c r="S443" s="11">
        <f>IF(AND(ISNUMBER(P443),ISNUMBER(Q443),P443&gt;0,ISNUMBER($B$100)),MAX(0,$B$100-3*SQRT($B$100/P443)),"")</f>
        <v/>
      </c>
      <c r="T443" s="11">
        <f>IF(AND(ISNUMBER(P443),ISNUMBER(Q443),P443&gt;0,ISNUMBER($B$100)),$B$100+3*SQRT($B$100/P443),"")</f>
        <v/>
      </c>
      <c r="U443" s="13">
        <f>IF(AND(ISNUMBER(R443),ISNUMBER(S443),ISNUMBER(T443)),IF(R443&gt;T443,"boven UCL",IF(R443&lt;S443,"onder LCL","")),"")</f>
        <v/>
      </c>
    </row>
    <row r="444">
      <c r="A444" t="n">
        <v>338</v>
      </c>
      <c r="B444" s="7" t="n"/>
      <c r="C444" s="11">
        <f>IF(AND(ISNUMBER(B444),ISNUMBER(B443)),ABS(B444-B443),"")</f>
        <v/>
      </c>
      <c r="D444" s="13">
        <f>IF(AND(ISNUMBER(B444),ISNUMBER($B$88),ISNUMBER($D$88)),IF(B444&gt;$D$88,"boven UCL",IF(B444&lt;$B$88,"onder LCL","")),"")</f>
        <v/>
      </c>
      <c r="E444" s="13">
        <f>IF(AND(ISNUMBER(C444),ISNUMBER($B$89),ISNUMBER($D$89)),IF(C444&gt;$D$89,"boven UCL",IF(C444&lt;$B$89,"onder LCL","")),"")</f>
        <v/>
      </c>
      <c r="G444" t="n">
        <v>338</v>
      </c>
      <c r="H444" s="7" t="n"/>
      <c r="I444" s="7" t="n"/>
      <c r="J444" s="11">
        <f>IF(AND(ISNUMBER(H444),ISNUMBER(I444),H444&gt;0,ISNUMBER($B$94)),I444/H444,"")</f>
        <v/>
      </c>
      <c r="K444" s="11">
        <f>IF(AND(ISNUMBER(H444),ISNUMBER(I444),H444&gt;0,ISNUMBER($B$94)),MAX(0,$B$94-3*SQRT($B$94*(1-$B$94)/H444)),"")</f>
        <v/>
      </c>
      <c r="L444" s="11">
        <f>IF(AND(ISNUMBER(H444),ISNUMBER(I444),H444&gt;0,ISNUMBER($B$94)),$B$94+3*SQRT($B$94*(1-$B$94)/H444),"")</f>
        <v/>
      </c>
      <c r="M444" s="13">
        <f>IF(AND(ISNUMBER(J444),ISNUMBER(K444),ISNUMBER(L444)),IF(J444&gt;L444,"boven UCL",IF(J444&lt;K444,"onder LCL","")),"")</f>
        <v/>
      </c>
      <c r="O444" t="n">
        <v>338</v>
      </c>
      <c r="P444" s="7" t="n"/>
      <c r="Q444" s="7" t="n"/>
      <c r="R444" s="11">
        <f>IF(AND(ISNUMBER(P444),ISNUMBER(Q444),P444&gt;0,ISNUMBER($B$100)),Q444/P444,"")</f>
        <v/>
      </c>
      <c r="S444" s="11">
        <f>IF(AND(ISNUMBER(P444),ISNUMBER(Q444),P444&gt;0,ISNUMBER($B$100)),MAX(0,$B$100-3*SQRT($B$100/P444)),"")</f>
        <v/>
      </c>
      <c r="T444" s="11">
        <f>IF(AND(ISNUMBER(P444),ISNUMBER(Q444),P444&gt;0,ISNUMBER($B$100)),$B$100+3*SQRT($B$100/P444),"")</f>
        <v/>
      </c>
      <c r="U444" s="13">
        <f>IF(AND(ISNUMBER(R444),ISNUMBER(S444),ISNUMBER(T444)),IF(R444&gt;T444,"boven UCL",IF(R444&lt;S444,"onder LCL","")),"")</f>
        <v/>
      </c>
    </row>
    <row r="445">
      <c r="A445" t="n">
        <v>339</v>
      </c>
      <c r="B445" s="7" t="n"/>
      <c r="C445" s="11">
        <f>IF(AND(ISNUMBER(B445),ISNUMBER(B444)),ABS(B445-B444),"")</f>
        <v/>
      </c>
      <c r="D445" s="13">
        <f>IF(AND(ISNUMBER(B445),ISNUMBER($B$88),ISNUMBER($D$88)),IF(B445&gt;$D$88,"boven UCL",IF(B445&lt;$B$88,"onder LCL","")),"")</f>
        <v/>
      </c>
      <c r="E445" s="13">
        <f>IF(AND(ISNUMBER(C445),ISNUMBER($B$89),ISNUMBER($D$89)),IF(C445&gt;$D$89,"boven UCL",IF(C445&lt;$B$89,"onder LCL","")),"")</f>
        <v/>
      </c>
      <c r="G445" t="n">
        <v>339</v>
      </c>
      <c r="H445" s="7" t="n"/>
      <c r="I445" s="7" t="n"/>
      <c r="J445" s="11">
        <f>IF(AND(ISNUMBER(H445),ISNUMBER(I445),H445&gt;0,ISNUMBER($B$94)),I445/H445,"")</f>
        <v/>
      </c>
      <c r="K445" s="11">
        <f>IF(AND(ISNUMBER(H445),ISNUMBER(I445),H445&gt;0,ISNUMBER($B$94)),MAX(0,$B$94-3*SQRT($B$94*(1-$B$94)/H445)),"")</f>
        <v/>
      </c>
      <c r="L445" s="11">
        <f>IF(AND(ISNUMBER(H445),ISNUMBER(I445),H445&gt;0,ISNUMBER($B$94)),$B$94+3*SQRT($B$94*(1-$B$94)/H445),"")</f>
        <v/>
      </c>
      <c r="M445" s="13">
        <f>IF(AND(ISNUMBER(J445),ISNUMBER(K445),ISNUMBER(L445)),IF(J445&gt;L445,"boven UCL",IF(J445&lt;K445,"onder LCL","")),"")</f>
        <v/>
      </c>
      <c r="O445" t="n">
        <v>339</v>
      </c>
      <c r="P445" s="7" t="n"/>
      <c r="Q445" s="7" t="n"/>
      <c r="R445" s="11">
        <f>IF(AND(ISNUMBER(P445),ISNUMBER(Q445),P445&gt;0,ISNUMBER($B$100)),Q445/P445,"")</f>
        <v/>
      </c>
      <c r="S445" s="11">
        <f>IF(AND(ISNUMBER(P445),ISNUMBER(Q445),P445&gt;0,ISNUMBER($B$100)),MAX(0,$B$100-3*SQRT($B$100/P445)),"")</f>
        <v/>
      </c>
      <c r="T445" s="11">
        <f>IF(AND(ISNUMBER(P445),ISNUMBER(Q445),P445&gt;0,ISNUMBER($B$100)),$B$100+3*SQRT($B$100/P445),"")</f>
        <v/>
      </c>
      <c r="U445" s="13">
        <f>IF(AND(ISNUMBER(R445),ISNUMBER(S445),ISNUMBER(T445)),IF(R445&gt;T445,"boven UCL",IF(R445&lt;S445,"onder LCL","")),"")</f>
        <v/>
      </c>
    </row>
    <row r="446">
      <c r="A446" t="n">
        <v>340</v>
      </c>
      <c r="B446" s="7" t="n"/>
      <c r="C446" s="11">
        <f>IF(AND(ISNUMBER(B446),ISNUMBER(B445)),ABS(B446-B445),"")</f>
        <v/>
      </c>
      <c r="D446" s="13">
        <f>IF(AND(ISNUMBER(B446),ISNUMBER($B$88),ISNUMBER($D$88)),IF(B446&gt;$D$88,"boven UCL",IF(B446&lt;$B$88,"onder LCL","")),"")</f>
        <v/>
      </c>
      <c r="E446" s="13">
        <f>IF(AND(ISNUMBER(C446),ISNUMBER($B$89),ISNUMBER($D$89)),IF(C446&gt;$D$89,"boven UCL",IF(C446&lt;$B$89,"onder LCL","")),"")</f>
        <v/>
      </c>
      <c r="G446" t="n">
        <v>340</v>
      </c>
      <c r="H446" s="7" t="n"/>
      <c r="I446" s="7" t="n"/>
      <c r="J446" s="11">
        <f>IF(AND(ISNUMBER(H446),ISNUMBER(I446),H446&gt;0,ISNUMBER($B$94)),I446/H446,"")</f>
        <v/>
      </c>
      <c r="K446" s="11">
        <f>IF(AND(ISNUMBER(H446),ISNUMBER(I446),H446&gt;0,ISNUMBER($B$94)),MAX(0,$B$94-3*SQRT($B$94*(1-$B$94)/H446)),"")</f>
        <v/>
      </c>
      <c r="L446" s="11">
        <f>IF(AND(ISNUMBER(H446),ISNUMBER(I446),H446&gt;0,ISNUMBER($B$94)),$B$94+3*SQRT($B$94*(1-$B$94)/H446),"")</f>
        <v/>
      </c>
      <c r="M446" s="13">
        <f>IF(AND(ISNUMBER(J446),ISNUMBER(K446),ISNUMBER(L446)),IF(J446&gt;L446,"boven UCL",IF(J446&lt;K446,"onder LCL","")),"")</f>
        <v/>
      </c>
      <c r="O446" t="n">
        <v>340</v>
      </c>
      <c r="P446" s="7" t="n"/>
      <c r="Q446" s="7" t="n"/>
      <c r="R446" s="11">
        <f>IF(AND(ISNUMBER(P446),ISNUMBER(Q446),P446&gt;0,ISNUMBER($B$100)),Q446/P446,"")</f>
        <v/>
      </c>
      <c r="S446" s="11">
        <f>IF(AND(ISNUMBER(P446),ISNUMBER(Q446),P446&gt;0,ISNUMBER($B$100)),MAX(0,$B$100-3*SQRT($B$100/P446)),"")</f>
        <v/>
      </c>
      <c r="T446" s="11">
        <f>IF(AND(ISNUMBER(P446),ISNUMBER(Q446),P446&gt;0,ISNUMBER($B$100)),$B$100+3*SQRT($B$100/P446),"")</f>
        <v/>
      </c>
      <c r="U446" s="13">
        <f>IF(AND(ISNUMBER(R446),ISNUMBER(S446),ISNUMBER(T446)),IF(R446&gt;T446,"boven UCL",IF(R446&lt;S446,"onder LCL","")),"")</f>
        <v/>
      </c>
    </row>
    <row r="447">
      <c r="A447" t="n">
        <v>341</v>
      </c>
      <c r="B447" s="7" t="n"/>
      <c r="C447" s="11">
        <f>IF(AND(ISNUMBER(B447),ISNUMBER(B446)),ABS(B447-B446),"")</f>
        <v/>
      </c>
      <c r="D447" s="13">
        <f>IF(AND(ISNUMBER(B447),ISNUMBER($B$88),ISNUMBER($D$88)),IF(B447&gt;$D$88,"boven UCL",IF(B447&lt;$B$88,"onder LCL","")),"")</f>
        <v/>
      </c>
      <c r="E447" s="13">
        <f>IF(AND(ISNUMBER(C447),ISNUMBER($B$89),ISNUMBER($D$89)),IF(C447&gt;$D$89,"boven UCL",IF(C447&lt;$B$89,"onder LCL","")),"")</f>
        <v/>
      </c>
      <c r="G447" t="n">
        <v>341</v>
      </c>
      <c r="H447" s="7" t="n"/>
      <c r="I447" s="7" t="n"/>
      <c r="J447" s="11">
        <f>IF(AND(ISNUMBER(H447),ISNUMBER(I447),H447&gt;0,ISNUMBER($B$94)),I447/H447,"")</f>
        <v/>
      </c>
      <c r="K447" s="11">
        <f>IF(AND(ISNUMBER(H447),ISNUMBER(I447),H447&gt;0,ISNUMBER($B$94)),MAX(0,$B$94-3*SQRT($B$94*(1-$B$94)/H447)),"")</f>
        <v/>
      </c>
      <c r="L447" s="11">
        <f>IF(AND(ISNUMBER(H447),ISNUMBER(I447),H447&gt;0,ISNUMBER($B$94)),$B$94+3*SQRT($B$94*(1-$B$94)/H447),"")</f>
        <v/>
      </c>
      <c r="M447" s="13">
        <f>IF(AND(ISNUMBER(J447),ISNUMBER(K447),ISNUMBER(L447)),IF(J447&gt;L447,"boven UCL",IF(J447&lt;K447,"onder LCL","")),"")</f>
        <v/>
      </c>
      <c r="O447" t="n">
        <v>341</v>
      </c>
      <c r="P447" s="7" t="n"/>
      <c r="Q447" s="7" t="n"/>
      <c r="R447" s="11">
        <f>IF(AND(ISNUMBER(P447),ISNUMBER(Q447),P447&gt;0,ISNUMBER($B$100)),Q447/P447,"")</f>
        <v/>
      </c>
      <c r="S447" s="11">
        <f>IF(AND(ISNUMBER(P447),ISNUMBER(Q447),P447&gt;0,ISNUMBER($B$100)),MAX(0,$B$100-3*SQRT($B$100/P447)),"")</f>
        <v/>
      </c>
      <c r="T447" s="11">
        <f>IF(AND(ISNUMBER(P447),ISNUMBER(Q447),P447&gt;0,ISNUMBER($B$100)),$B$100+3*SQRT($B$100/P447),"")</f>
        <v/>
      </c>
      <c r="U447" s="13">
        <f>IF(AND(ISNUMBER(R447),ISNUMBER(S447),ISNUMBER(T447)),IF(R447&gt;T447,"boven UCL",IF(R447&lt;S447,"onder LCL","")),"")</f>
        <v/>
      </c>
    </row>
    <row r="448">
      <c r="A448" t="n">
        <v>342</v>
      </c>
      <c r="B448" s="7" t="n"/>
      <c r="C448" s="11">
        <f>IF(AND(ISNUMBER(B448),ISNUMBER(B447)),ABS(B448-B447),"")</f>
        <v/>
      </c>
      <c r="D448" s="13">
        <f>IF(AND(ISNUMBER(B448),ISNUMBER($B$88),ISNUMBER($D$88)),IF(B448&gt;$D$88,"boven UCL",IF(B448&lt;$B$88,"onder LCL","")),"")</f>
        <v/>
      </c>
      <c r="E448" s="13">
        <f>IF(AND(ISNUMBER(C448),ISNUMBER($B$89),ISNUMBER($D$89)),IF(C448&gt;$D$89,"boven UCL",IF(C448&lt;$B$89,"onder LCL","")),"")</f>
        <v/>
      </c>
      <c r="G448" t="n">
        <v>342</v>
      </c>
      <c r="H448" s="7" t="n"/>
      <c r="I448" s="7" t="n"/>
      <c r="J448" s="11">
        <f>IF(AND(ISNUMBER(H448),ISNUMBER(I448),H448&gt;0,ISNUMBER($B$94)),I448/H448,"")</f>
        <v/>
      </c>
      <c r="K448" s="11">
        <f>IF(AND(ISNUMBER(H448),ISNUMBER(I448),H448&gt;0,ISNUMBER($B$94)),MAX(0,$B$94-3*SQRT($B$94*(1-$B$94)/H448)),"")</f>
        <v/>
      </c>
      <c r="L448" s="11">
        <f>IF(AND(ISNUMBER(H448),ISNUMBER(I448),H448&gt;0,ISNUMBER($B$94)),$B$94+3*SQRT($B$94*(1-$B$94)/H448),"")</f>
        <v/>
      </c>
      <c r="M448" s="13">
        <f>IF(AND(ISNUMBER(J448),ISNUMBER(K448),ISNUMBER(L448)),IF(J448&gt;L448,"boven UCL",IF(J448&lt;K448,"onder LCL","")),"")</f>
        <v/>
      </c>
      <c r="O448" t="n">
        <v>342</v>
      </c>
      <c r="P448" s="7" t="n"/>
      <c r="Q448" s="7" t="n"/>
      <c r="R448" s="11">
        <f>IF(AND(ISNUMBER(P448),ISNUMBER(Q448),P448&gt;0,ISNUMBER($B$100)),Q448/P448,"")</f>
        <v/>
      </c>
      <c r="S448" s="11">
        <f>IF(AND(ISNUMBER(P448),ISNUMBER(Q448),P448&gt;0,ISNUMBER($B$100)),MAX(0,$B$100-3*SQRT($B$100/P448)),"")</f>
        <v/>
      </c>
      <c r="T448" s="11">
        <f>IF(AND(ISNUMBER(P448),ISNUMBER(Q448),P448&gt;0,ISNUMBER($B$100)),$B$100+3*SQRT($B$100/P448),"")</f>
        <v/>
      </c>
      <c r="U448" s="13">
        <f>IF(AND(ISNUMBER(R448),ISNUMBER(S448),ISNUMBER(T448)),IF(R448&gt;T448,"boven UCL",IF(R448&lt;S448,"onder LCL","")),"")</f>
        <v/>
      </c>
    </row>
    <row r="449">
      <c r="A449" t="n">
        <v>343</v>
      </c>
      <c r="B449" s="7" t="n"/>
      <c r="C449" s="11">
        <f>IF(AND(ISNUMBER(B449),ISNUMBER(B448)),ABS(B449-B448),"")</f>
        <v/>
      </c>
      <c r="D449" s="13">
        <f>IF(AND(ISNUMBER(B449),ISNUMBER($B$88),ISNUMBER($D$88)),IF(B449&gt;$D$88,"boven UCL",IF(B449&lt;$B$88,"onder LCL","")),"")</f>
        <v/>
      </c>
      <c r="E449" s="13">
        <f>IF(AND(ISNUMBER(C449),ISNUMBER($B$89),ISNUMBER($D$89)),IF(C449&gt;$D$89,"boven UCL",IF(C449&lt;$B$89,"onder LCL","")),"")</f>
        <v/>
      </c>
      <c r="G449" t="n">
        <v>343</v>
      </c>
      <c r="H449" s="7" t="n"/>
      <c r="I449" s="7" t="n"/>
      <c r="J449" s="11">
        <f>IF(AND(ISNUMBER(H449),ISNUMBER(I449),H449&gt;0,ISNUMBER($B$94)),I449/H449,"")</f>
        <v/>
      </c>
      <c r="K449" s="11">
        <f>IF(AND(ISNUMBER(H449),ISNUMBER(I449),H449&gt;0,ISNUMBER($B$94)),MAX(0,$B$94-3*SQRT($B$94*(1-$B$94)/H449)),"")</f>
        <v/>
      </c>
      <c r="L449" s="11">
        <f>IF(AND(ISNUMBER(H449),ISNUMBER(I449),H449&gt;0,ISNUMBER($B$94)),$B$94+3*SQRT($B$94*(1-$B$94)/H449),"")</f>
        <v/>
      </c>
      <c r="M449" s="13">
        <f>IF(AND(ISNUMBER(J449),ISNUMBER(K449),ISNUMBER(L449)),IF(J449&gt;L449,"boven UCL",IF(J449&lt;K449,"onder LCL","")),"")</f>
        <v/>
      </c>
      <c r="O449" t="n">
        <v>343</v>
      </c>
      <c r="P449" s="7" t="n"/>
      <c r="Q449" s="7" t="n"/>
      <c r="R449" s="11">
        <f>IF(AND(ISNUMBER(P449),ISNUMBER(Q449),P449&gt;0,ISNUMBER($B$100)),Q449/P449,"")</f>
        <v/>
      </c>
      <c r="S449" s="11">
        <f>IF(AND(ISNUMBER(P449),ISNUMBER(Q449),P449&gt;0,ISNUMBER($B$100)),MAX(0,$B$100-3*SQRT($B$100/P449)),"")</f>
        <v/>
      </c>
      <c r="T449" s="11">
        <f>IF(AND(ISNUMBER(P449),ISNUMBER(Q449),P449&gt;0,ISNUMBER($B$100)),$B$100+3*SQRT($B$100/P449),"")</f>
        <v/>
      </c>
      <c r="U449" s="13">
        <f>IF(AND(ISNUMBER(R449),ISNUMBER(S449),ISNUMBER(T449)),IF(R449&gt;T449,"boven UCL",IF(R449&lt;S449,"onder LCL","")),"")</f>
        <v/>
      </c>
    </row>
    <row r="450">
      <c r="A450" t="n">
        <v>344</v>
      </c>
      <c r="B450" s="7" t="n"/>
      <c r="C450" s="11">
        <f>IF(AND(ISNUMBER(B450),ISNUMBER(B449)),ABS(B450-B449),"")</f>
        <v/>
      </c>
      <c r="D450" s="13">
        <f>IF(AND(ISNUMBER(B450),ISNUMBER($B$88),ISNUMBER($D$88)),IF(B450&gt;$D$88,"boven UCL",IF(B450&lt;$B$88,"onder LCL","")),"")</f>
        <v/>
      </c>
      <c r="E450" s="13">
        <f>IF(AND(ISNUMBER(C450),ISNUMBER($B$89),ISNUMBER($D$89)),IF(C450&gt;$D$89,"boven UCL",IF(C450&lt;$B$89,"onder LCL","")),"")</f>
        <v/>
      </c>
      <c r="G450" t="n">
        <v>344</v>
      </c>
      <c r="H450" s="7" t="n"/>
      <c r="I450" s="7" t="n"/>
      <c r="J450" s="11">
        <f>IF(AND(ISNUMBER(H450),ISNUMBER(I450),H450&gt;0,ISNUMBER($B$94)),I450/H450,"")</f>
        <v/>
      </c>
      <c r="K450" s="11">
        <f>IF(AND(ISNUMBER(H450),ISNUMBER(I450),H450&gt;0,ISNUMBER($B$94)),MAX(0,$B$94-3*SQRT($B$94*(1-$B$94)/H450)),"")</f>
        <v/>
      </c>
      <c r="L450" s="11">
        <f>IF(AND(ISNUMBER(H450),ISNUMBER(I450),H450&gt;0,ISNUMBER($B$94)),$B$94+3*SQRT($B$94*(1-$B$94)/H450),"")</f>
        <v/>
      </c>
      <c r="M450" s="13">
        <f>IF(AND(ISNUMBER(J450),ISNUMBER(K450),ISNUMBER(L450)),IF(J450&gt;L450,"boven UCL",IF(J450&lt;K450,"onder LCL","")),"")</f>
        <v/>
      </c>
      <c r="O450" t="n">
        <v>344</v>
      </c>
      <c r="P450" s="7" t="n"/>
      <c r="Q450" s="7" t="n"/>
      <c r="R450" s="11">
        <f>IF(AND(ISNUMBER(P450),ISNUMBER(Q450),P450&gt;0,ISNUMBER($B$100)),Q450/P450,"")</f>
        <v/>
      </c>
      <c r="S450" s="11">
        <f>IF(AND(ISNUMBER(P450),ISNUMBER(Q450),P450&gt;0,ISNUMBER($B$100)),MAX(0,$B$100-3*SQRT($B$100/P450)),"")</f>
        <v/>
      </c>
      <c r="T450" s="11">
        <f>IF(AND(ISNUMBER(P450),ISNUMBER(Q450),P450&gt;0,ISNUMBER($B$100)),$B$100+3*SQRT($B$100/P450),"")</f>
        <v/>
      </c>
      <c r="U450" s="13">
        <f>IF(AND(ISNUMBER(R450),ISNUMBER(S450),ISNUMBER(T450)),IF(R450&gt;T450,"boven UCL",IF(R450&lt;S450,"onder LCL","")),"")</f>
        <v/>
      </c>
    </row>
    <row r="451">
      <c r="A451" t="n">
        <v>345</v>
      </c>
      <c r="B451" s="7" t="n"/>
      <c r="C451" s="11">
        <f>IF(AND(ISNUMBER(B451),ISNUMBER(B450)),ABS(B451-B450),"")</f>
        <v/>
      </c>
      <c r="D451" s="13">
        <f>IF(AND(ISNUMBER(B451),ISNUMBER($B$88),ISNUMBER($D$88)),IF(B451&gt;$D$88,"boven UCL",IF(B451&lt;$B$88,"onder LCL","")),"")</f>
        <v/>
      </c>
      <c r="E451" s="13">
        <f>IF(AND(ISNUMBER(C451),ISNUMBER($B$89),ISNUMBER($D$89)),IF(C451&gt;$D$89,"boven UCL",IF(C451&lt;$B$89,"onder LCL","")),"")</f>
        <v/>
      </c>
      <c r="G451" t="n">
        <v>345</v>
      </c>
      <c r="H451" s="7" t="n"/>
      <c r="I451" s="7" t="n"/>
      <c r="J451" s="11">
        <f>IF(AND(ISNUMBER(H451),ISNUMBER(I451),H451&gt;0,ISNUMBER($B$94)),I451/H451,"")</f>
        <v/>
      </c>
      <c r="K451" s="11">
        <f>IF(AND(ISNUMBER(H451),ISNUMBER(I451),H451&gt;0,ISNUMBER($B$94)),MAX(0,$B$94-3*SQRT($B$94*(1-$B$94)/H451)),"")</f>
        <v/>
      </c>
      <c r="L451" s="11">
        <f>IF(AND(ISNUMBER(H451),ISNUMBER(I451),H451&gt;0,ISNUMBER($B$94)),$B$94+3*SQRT($B$94*(1-$B$94)/H451),"")</f>
        <v/>
      </c>
      <c r="M451" s="13">
        <f>IF(AND(ISNUMBER(J451),ISNUMBER(K451),ISNUMBER(L451)),IF(J451&gt;L451,"boven UCL",IF(J451&lt;K451,"onder LCL","")),"")</f>
        <v/>
      </c>
      <c r="O451" t="n">
        <v>345</v>
      </c>
      <c r="P451" s="7" t="n"/>
      <c r="Q451" s="7" t="n"/>
      <c r="R451" s="11">
        <f>IF(AND(ISNUMBER(P451),ISNUMBER(Q451),P451&gt;0,ISNUMBER($B$100)),Q451/P451,"")</f>
        <v/>
      </c>
      <c r="S451" s="11">
        <f>IF(AND(ISNUMBER(P451),ISNUMBER(Q451),P451&gt;0,ISNUMBER($B$100)),MAX(0,$B$100-3*SQRT($B$100/P451)),"")</f>
        <v/>
      </c>
      <c r="T451" s="11">
        <f>IF(AND(ISNUMBER(P451),ISNUMBER(Q451),P451&gt;0,ISNUMBER($B$100)),$B$100+3*SQRT($B$100/P451),"")</f>
        <v/>
      </c>
      <c r="U451" s="13">
        <f>IF(AND(ISNUMBER(R451),ISNUMBER(S451),ISNUMBER(T451)),IF(R451&gt;T451,"boven UCL",IF(R451&lt;S451,"onder LCL","")),"")</f>
        <v/>
      </c>
    </row>
    <row r="452">
      <c r="A452" t="n">
        <v>346</v>
      </c>
      <c r="B452" s="7" t="n"/>
      <c r="C452" s="11">
        <f>IF(AND(ISNUMBER(B452),ISNUMBER(B451)),ABS(B452-B451),"")</f>
        <v/>
      </c>
      <c r="D452" s="13">
        <f>IF(AND(ISNUMBER(B452),ISNUMBER($B$88),ISNUMBER($D$88)),IF(B452&gt;$D$88,"boven UCL",IF(B452&lt;$B$88,"onder LCL","")),"")</f>
        <v/>
      </c>
      <c r="E452" s="13">
        <f>IF(AND(ISNUMBER(C452),ISNUMBER($B$89),ISNUMBER($D$89)),IF(C452&gt;$D$89,"boven UCL",IF(C452&lt;$B$89,"onder LCL","")),"")</f>
        <v/>
      </c>
      <c r="G452" t="n">
        <v>346</v>
      </c>
      <c r="H452" s="7" t="n"/>
      <c r="I452" s="7" t="n"/>
      <c r="J452" s="11">
        <f>IF(AND(ISNUMBER(H452),ISNUMBER(I452),H452&gt;0,ISNUMBER($B$94)),I452/H452,"")</f>
        <v/>
      </c>
      <c r="K452" s="11">
        <f>IF(AND(ISNUMBER(H452),ISNUMBER(I452),H452&gt;0,ISNUMBER($B$94)),MAX(0,$B$94-3*SQRT($B$94*(1-$B$94)/H452)),"")</f>
        <v/>
      </c>
      <c r="L452" s="11">
        <f>IF(AND(ISNUMBER(H452),ISNUMBER(I452),H452&gt;0,ISNUMBER($B$94)),$B$94+3*SQRT($B$94*(1-$B$94)/H452),"")</f>
        <v/>
      </c>
      <c r="M452" s="13">
        <f>IF(AND(ISNUMBER(J452),ISNUMBER(K452),ISNUMBER(L452)),IF(J452&gt;L452,"boven UCL",IF(J452&lt;K452,"onder LCL","")),"")</f>
        <v/>
      </c>
      <c r="O452" t="n">
        <v>346</v>
      </c>
      <c r="P452" s="7" t="n"/>
      <c r="Q452" s="7" t="n"/>
      <c r="R452" s="11">
        <f>IF(AND(ISNUMBER(P452),ISNUMBER(Q452),P452&gt;0,ISNUMBER($B$100)),Q452/P452,"")</f>
        <v/>
      </c>
      <c r="S452" s="11">
        <f>IF(AND(ISNUMBER(P452),ISNUMBER(Q452),P452&gt;0,ISNUMBER($B$100)),MAX(0,$B$100-3*SQRT($B$100/P452)),"")</f>
        <v/>
      </c>
      <c r="T452" s="11">
        <f>IF(AND(ISNUMBER(P452),ISNUMBER(Q452),P452&gt;0,ISNUMBER($B$100)),$B$100+3*SQRT($B$100/P452),"")</f>
        <v/>
      </c>
      <c r="U452" s="13">
        <f>IF(AND(ISNUMBER(R452),ISNUMBER(S452),ISNUMBER(T452)),IF(R452&gt;T452,"boven UCL",IF(R452&lt;S452,"onder LCL","")),"")</f>
        <v/>
      </c>
    </row>
    <row r="453">
      <c r="A453" t="n">
        <v>347</v>
      </c>
      <c r="B453" s="7" t="n"/>
      <c r="C453" s="11">
        <f>IF(AND(ISNUMBER(B453),ISNUMBER(B452)),ABS(B453-B452),"")</f>
        <v/>
      </c>
      <c r="D453" s="13">
        <f>IF(AND(ISNUMBER(B453),ISNUMBER($B$88),ISNUMBER($D$88)),IF(B453&gt;$D$88,"boven UCL",IF(B453&lt;$B$88,"onder LCL","")),"")</f>
        <v/>
      </c>
      <c r="E453" s="13">
        <f>IF(AND(ISNUMBER(C453),ISNUMBER($B$89),ISNUMBER($D$89)),IF(C453&gt;$D$89,"boven UCL",IF(C453&lt;$B$89,"onder LCL","")),"")</f>
        <v/>
      </c>
      <c r="G453" t="n">
        <v>347</v>
      </c>
      <c r="H453" s="7" t="n"/>
      <c r="I453" s="7" t="n"/>
      <c r="J453" s="11">
        <f>IF(AND(ISNUMBER(H453),ISNUMBER(I453),H453&gt;0,ISNUMBER($B$94)),I453/H453,"")</f>
        <v/>
      </c>
      <c r="K453" s="11">
        <f>IF(AND(ISNUMBER(H453),ISNUMBER(I453),H453&gt;0,ISNUMBER($B$94)),MAX(0,$B$94-3*SQRT($B$94*(1-$B$94)/H453)),"")</f>
        <v/>
      </c>
      <c r="L453" s="11">
        <f>IF(AND(ISNUMBER(H453),ISNUMBER(I453),H453&gt;0,ISNUMBER($B$94)),$B$94+3*SQRT($B$94*(1-$B$94)/H453),"")</f>
        <v/>
      </c>
      <c r="M453" s="13">
        <f>IF(AND(ISNUMBER(J453),ISNUMBER(K453),ISNUMBER(L453)),IF(J453&gt;L453,"boven UCL",IF(J453&lt;K453,"onder LCL","")),"")</f>
        <v/>
      </c>
      <c r="O453" t="n">
        <v>347</v>
      </c>
      <c r="P453" s="7" t="n"/>
      <c r="Q453" s="7" t="n"/>
      <c r="R453" s="11">
        <f>IF(AND(ISNUMBER(P453),ISNUMBER(Q453),P453&gt;0,ISNUMBER($B$100)),Q453/P453,"")</f>
        <v/>
      </c>
      <c r="S453" s="11">
        <f>IF(AND(ISNUMBER(P453),ISNUMBER(Q453),P453&gt;0,ISNUMBER($B$100)),MAX(0,$B$100-3*SQRT($B$100/P453)),"")</f>
        <v/>
      </c>
      <c r="T453" s="11">
        <f>IF(AND(ISNUMBER(P453),ISNUMBER(Q453),P453&gt;0,ISNUMBER($B$100)),$B$100+3*SQRT($B$100/P453),"")</f>
        <v/>
      </c>
      <c r="U453" s="13">
        <f>IF(AND(ISNUMBER(R453),ISNUMBER(S453),ISNUMBER(T453)),IF(R453&gt;T453,"boven UCL",IF(R453&lt;S453,"onder LCL","")),"")</f>
        <v/>
      </c>
    </row>
    <row r="454">
      <c r="A454" t="n">
        <v>348</v>
      </c>
      <c r="B454" s="7" t="n"/>
      <c r="C454" s="11">
        <f>IF(AND(ISNUMBER(B454),ISNUMBER(B453)),ABS(B454-B453),"")</f>
        <v/>
      </c>
      <c r="D454" s="13">
        <f>IF(AND(ISNUMBER(B454),ISNUMBER($B$88),ISNUMBER($D$88)),IF(B454&gt;$D$88,"boven UCL",IF(B454&lt;$B$88,"onder LCL","")),"")</f>
        <v/>
      </c>
      <c r="E454" s="13">
        <f>IF(AND(ISNUMBER(C454),ISNUMBER($B$89),ISNUMBER($D$89)),IF(C454&gt;$D$89,"boven UCL",IF(C454&lt;$B$89,"onder LCL","")),"")</f>
        <v/>
      </c>
      <c r="G454" t="n">
        <v>348</v>
      </c>
      <c r="H454" s="7" t="n"/>
      <c r="I454" s="7" t="n"/>
      <c r="J454" s="11">
        <f>IF(AND(ISNUMBER(H454),ISNUMBER(I454),H454&gt;0,ISNUMBER($B$94)),I454/H454,"")</f>
        <v/>
      </c>
      <c r="K454" s="11">
        <f>IF(AND(ISNUMBER(H454),ISNUMBER(I454),H454&gt;0,ISNUMBER($B$94)),MAX(0,$B$94-3*SQRT($B$94*(1-$B$94)/H454)),"")</f>
        <v/>
      </c>
      <c r="L454" s="11">
        <f>IF(AND(ISNUMBER(H454),ISNUMBER(I454),H454&gt;0,ISNUMBER($B$94)),$B$94+3*SQRT($B$94*(1-$B$94)/H454),"")</f>
        <v/>
      </c>
      <c r="M454" s="13">
        <f>IF(AND(ISNUMBER(J454),ISNUMBER(K454),ISNUMBER(L454)),IF(J454&gt;L454,"boven UCL",IF(J454&lt;K454,"onder LCL","")),"")</f>
        <v/>
      </c>
      <c r="O454" t="n">
        <v>348</v>
      </c>
      <c r="P454" s="7" t="n"/>
      <c r="Q454" s="7" t="n"/>
      <c r="R454" s="11">
        <f>IF(AND(ISNUMBER(P454),ISNUMBER(Q454),P454&gt;0,ISNUMBER($B$100)),Q454/P454,"")</f>
        <v/>
      </c>
      <c r="S454" s="11">
        <f>IF(AND(ISNUMBER(P454),ISNUMBER(Q454),P454&gt;0,ISNUMBER($B$100)),MAX(0,$B$100-3*SQRT($B$100/P454)),"")</f>
        <v/>
      </c>
      <c r="T454" s="11">
        <f>IF(AND(ISNUMBER(P454),ISNUMBER(Q454),P454&gt;0,ISNUMBER($B$100)),$B$100+3*SQRT($B$100/P454),"")</f>
        <v/>
      </c>
      <c r="U454" s="13">
        <f>IF(AND(ISNUMBER(R454),ISNUMBER(S454),ISNUMBER(T454)),IF(R454&gt;T454,"boven UCL",IF(R454&lt;S454,"onder LCL","")),"")</f>
        <v/>
      </c>
    </row>
    <row r="455">
      <c r="A455" t="n">
        <v>349</v>
      </c>
      <c r="B455" s="7" t="n"/>
      <c r="C455" s="11">
        <f>IF(AND(ISNUMBER(B455),ISNUMBER(B454)),ABS(B455-B454),"")</f>
        <v/>
      </c>
      <c r="D455" s="13">
        <f>IF(AND(ISNUMBER(B455),ISNUMBER($B$88),ISNUMBER($D$88)),IF(B455&gt;$D$88,"boven UCL",IF(B455&lt;$B$88,"onder LCL","")),"")</f>
        <v/>
      </c>
      <c r="E455" s="13">
        <f>IF(AND(ISNUMBER(C455),ISNUMBER($B$89),ISNUMBER($D$89)),IF(C455&gt;$D$89,"boven UCL",IF(C455&lt;$B$89,"onder LCL","")),"")</f>
        <v/>
      </c>
      <c r="G455" t="n">
        <v>349</v>
      </c>
      <c r="H455" s="7" t="n"/>
      <c r="I455" s="7" t="n"/>
      <c r="J455" s="11">
        <f>IF(AND(ISNUMBER(H455),ISNUMBER(I455),H455&gt;0,ISNUMBER($B$94)),I455/H455,"")</f>
        <v/>
      </c>
      <c r="K455" s="11">
        <f>IF(AND(ISNUMBER(H455),ISNUMBER(I455),H455&gt;0,ISNUMBER($B$94)),MAX(0,$B$94-3*SQRT($B$94*(1-$B$94)/H455)),"")</f>
        <v/>
      </c>
      <c r="L455" s="11">
        <f>IF(AND(ISNUMBER(H455),ISNUMBER(I455),H455&gt;0,ISNUMBER($B$94)),$B$94+3*SQRT($B$94*(1-$B$94)/H455),"")</f>
        <v/>
      </c>
      <c r="M455" s="13">
        <f>IF(AND(ISNUMBER(J455),ISNUMBER(K455),ISNUMBER(L455)),IF(J455&gt;L455,"boven UCL",IF(J455&lt;K455,"onder LCL","")),"")</f>
        <v/>
      </c>
      <c r="O455" t="n">
        <v>349</v>
      </c>
      <c r="P455" s="7" t="n"/>
      <c r="Q455" s="7" t="n"/>
      <c r="R455" s="11">
        <f>IF(AND(ISNUMBER(P455),ISNUMBER(Q455),P455&gt;0,ISNUMBER($B$100)),Q455/P455,"")</f>
        <v/>
      </c>
      <c r="S455" s="11">
        <f>IF(AND(ISNUMBER(P455),ISNUMBER(Q455),P455&gt;0,ISNUMBER($B$100)),MAX(0,$B$100-3*SQRT($B$100/P455)),"")</f>
        <v/>
      </c>
      <c r="T455" s="11">
        <f>IF(AND(ISNUMBER(P455),ISNUMBER(Q455),P455&gt;0,ISNUMBER($B$100)),$B$100+3*SQRT($B$100/P455),"")</f>
        <v/>
      </c>
      <c r="U455" s="13">
        <f>IF(AND(ISNUMBER(R455),ISNUMBER(S455),ISNUMBER(T455)),IF(R455&gt;T455,"boven UCL",IF(R455&lt;S455,"onder LCL","")),"")</f>
        <v/>
      </c>
    </row>
    <row r="456">
      <c r="A456" t="n">
        <v>350</v>
      </c>
      <c r="B456" s="7" t="n"/>
      <c r="C456" s="11">
        <f>IF(AND(ISNUMBER(B456),ISNUMBER(B455)),ABS(B456-B455),"")</f>
        <v/>
      </c>
      <c r="D456" s="13">
        <f>IF(AND(ISNUMBER(B456),ISNUMBER($B$88),ISNUMBER($D$88)),IF(B456&gt;$D$88,"boven UCL",IF(B456&lt;$B$88,"onder LCL","")),"")</f>
        <v/>
      </c>
      <c r="E456" s="13">
        <f>IF(AND(ISNUMBER(C456),ISNUMBER($B$89),ISNUMBER($D$89)),IF(C456&gt;$D$89,"boven UCL",IF(C456&lt;$B$89,"onder LCL","")),"")</f>
        <v/>
      </c>
      <c r="G456" t="n">
        <v>350</v>
      </c>
      <c r="H456" s="7" t="n"/>
      <c r="I456" s="7" t="n"/>
      <c r="J456" s="11">
        <f>IF(AND(ISNUMBER(H456),ISNUMBER(I456),H456&gt;0,ISNUMBER($B$94)),I456/H456,"")</f>
        <v/>
      </c>
      <c r="K456" s="11">
        <f>IF(AND(ISNUMBER(H456),ISNUMBER(I456),H456&gt;0,ISNUMBER($B$94)),MAX(0,$B$94-3*SQRT($B$94*(1-$B$94)/H456)),"")</f>
        <v/>
      </c>
      <c r="L456" s="11">
        <f>IF(AND(ISNUMBER(H456),ISNUMBER(I456),H456&gt;0,ISNUMBER($B$94)),$B$94+3*SQRT($B$94*(1-$B$94)/H456),"")</f>
        <v/>
      </c>
      <c r="M456" s="13">
        <f>IF(AND(ISNUMBER(J456),ISNUMBER(K456),ISNUMBER(L456)),IF(J456&gt;L456,"boven UCL",IF(J456&lt;K456,"onder LCL","")),"")</f>
        <v/>
      </c>
      <c r="O456" t="n">
        <v>350</v>
      </c>
      <c r="P456" s="7" t="n"/>
      <c r="Q456" s="7" t="n"/>
      <c r="R456" s="11">
        <f>IF(AND(ISNUMBER(P456),ISNUMBER(Q456),P456&gt;0,ISNUMBER($B$100)),Q456/P456,"")</f>
        <v/>
      </c>
      <c r="S456" s="11">
        <f>IF(AND(ISNUMBER(P456),ISNUMBER(Q456),P456&gt;0,ISNUMBER($B$100)),MAX(0,$B$100-3*SQRT($B$100/P456)),"")</f>
        <v/>
      </c>
      <c r="T456" s="11">
        <f>IF(AND(ISNUMBER(P456),ISNUMBER(Q456),P456&gt;0,ISNUMBER($B$100)),$B$100+3*SQRT($B$100/P456),"")</f>
        <v/>
      </c>
      <c r="U456" s="13">
        <f>IF(AND(ISNUMBER(R456),ISNUMBER(S456),ISNUMBER(T456)),IF(R456&gt;T456,"boven UCL",IF(R456&lt;S456,"onder LCL","")),"")</f>
        <v/>
      </c>
    </row>
    <row r="457">
      <c r="A457" t="n">
        <v>351</v>
      </c>
      <c r="B457" s="7" t="n"/>
      <c r="C457" s="11">
        <f>IF(AND(ISNUMBER(B457),ISNUMBER(B456)),ABS(B457-B456),"")</f>
        <v/>
      </c>
      <c r="D457" s="13">
        <f>IF(AND(ISNUMBER(B457),ISNUMBER($B$88),ISNUMBER($D$88)),IF(B457&gt;$D$88,"boven UCL",IF(B457&lt;$B$88,"onder LCL","")),"")</f>
        <v/>
      </c>
      <c r="E457" s="13">
        <f>IF(AND(ISNUMBER(C457),ISNUMBER($B$89),ISNUMBER($D$89)),IF(C457&gt;$D$89,"boven UCL",IF(C457&lt;$B$89,"onder LCL","")),"")</f>
        <v/>
      </c>
      <c r="G457" t="n">
        <v>351</v>
      </c>
      <c r="H457" s="7" t="n"/>
      <c r="I457" s="7" t="n"/>
      <c r="J457" s="11">
        <f>IF(AND(ISNUMBER(H457),ISNUMBER(I457),H457&gt;0,ISNUMBER($B$94)),I457/H457,"")</f>
        <v/>
      </c>
      <c r="K457" s="11">
        <f>IF(AND(ISNUMBER(H457),ISNUMBER(I457),H457&gt;0,ISNUMBER($B$94)),MAX(0,$B$94-3*SQRT($B$94*(1-$B$94)/H457)),"")</f>
        <v/>
      </c>
      <c r="L457" s="11">
        <f>IF(AND(ISNUMBER(H457),ISNUMBER(I457),H457&gt;0,ISNUMBER($B$94)),$B$94+3*SQRT($B$94*(1-$B$94)/H457),"")</f>
        <v/>
      </c>
      <c r="M457" s="13">
        <f>IF(AND(ISNUMBER(J457),ISNUMBER(K457),ISNUMBER(L457)),IF(J457&gt;L457,"boven UCL",IF(J457&lt;K457,"onder LCL","")),"")</f>
        <v/>
      </c>
      <c r="O457" t="n">
        <v>351</v>
      </c>
      <c r="P457" s="7" t="n"/>
      <c r="Q457" s="7" t="n"/>
      <c r="R457" s="11">
        <f>IF(AND(ISNUMBER(P457),ISNUMBER(Q457),P457&gt;0,ISNUMBER($B$100)),Q457/P457,"")</f>
        <v/>
      </c>
      <c r="S457" s="11">
        <f>IF(AND(ISNUMBER(P457),ISNUMBER(Q457),P457&gt;0,ISNUMBER($B$100)),MAX(0,$B$100-3*SQRT($B$100/P457)),"")</f>
        <v/>
      </c>
      <c r="T457" s="11">
        <f>IF(AND(ISNUMBER(P457),ISNUMBER(Q457),P457&gt;0,ISNUMBER($B$100)),$B$100+3*SQRT($B$100/P457),"")</f>
        <v/>
      </c>
      <c r="U457" s="13">
        <f>IF(AND(ISNUMBER(R457),ISNUMBER(S457),ISNUMBER(T457)),IF(R457&gt;T457,"boven UCL",IF(R457&lt;S457,"onder LCL","")),"")</f>
        <v/>
      </c>
    </row>
    <row r="458">
      <c r="A458" t="n">
        <v>352</v>
      </c>
      <c r="B458" s="7" t="n"/>
      <c r="C458" s="11">
        <f>IF(AND(ISNUMBER(B458),ISNUMBER(B457)),ABS(B458-B457),"")</f>
        <v/>
      </c>
      <c r="D458" s="13">
        <f>IF(AND(ISNUMBER(B458),ISNUMBER($B$88),ISNUMBER($D$88)),IF(B458&gt;$D$88,"boven UCL",IF(B458&lt;$B$88,"onder LCL","")),"")</f>
        <v/>
      </c>
      <c r="E458" s="13">
        <f>IF(AND(ISNUMBER(C458),ISNUMBER($B$89),ISNUMBER($D$89)),IF(C458&gt;$D$89,"boven UCL",IF(C458&lt;$B$89,"onder LCL","")),"")</f>
        <v/>
      </c>
      <c r="G458" t="n">
        <v>352</v>
      </c>
      <c r="H458" s="7" t="n"/>
      <c r="I458" s="7" t="n"/>
      <c r="J458" s="11">
        <f>IF(AND(ISNUMBER(H458),ISNUMBER(I458),H458&gt;0,ISNUMBER($B$94)),I458/H458,"")</f>
        <v/>
      </c>
      <c r="K458" s="11">
        <f>IF(AND(ISNUMBER(H458),ISNUMBER(I458),H458&gt;0,ISNUMBER($B$94)),MAX(0,$B$94-3*SQRT($B$94*(1-$B$94)/H458)),"")</f>
        <v/>
      </c>
      <c r="L458" s="11">
        <f>IF(AND(ISNUMBER(H458),ISNUMBER(I458),H458&gt;0,ISNUMBER($B$94)),$B$94+3*SQRT($B$94*(1-$B$94)/H458),"")</f>
        <v/>
      </c>
      <c r="M458" s="13">
        <f>IF(AND(ISNUMBER(J458),ISNUMBER(K458),ISNUMBER(L458)),IF(J458&gt;L458,"boven UCL",IF(J458&lt;K458,"onder LCL","")),"")</f>
        <v/>
      </c>
      <c r="O458" t="n">
        <v>352</v>
      </c>
      <c r="P458" s="7" t="n"/>
      <c r="Q458" s="7" t="n"/>
      <c r="R458" s="11">
        <f>IF(AND(ISNUMBER(P458),ISNUMBER(Q458),P458&gt;0,ISNUMBER($B$100)),Q458/P458,"")</f>
        <v/>
      </c>
      <c r="S458" s="11">
        <f>IF(AND(ISNUMBER(P458),ISNUMBER(Q458),P458&gt;0,ISNUMBER($B$100)),MAX(0,$B$100-3*SQRT($B$100/P458)),"")</f>
        <v/>
      </c>
      <c r="T458" s="11">
        <f>IF(AND(ISNUMBER(P458),ISNUMBER(Q458),P458&gt;0,ISNUMBER($B$100)),$B$100+3*SQRT($B$100/P458),"")</f>
        <v/>
      </c>
      <c r="U458" s="13">
        <f>IF(AND(ISNUMBER(R458),ISNUMBER(S458),ISNUMBER(T458)),IF(R458&gt;T458,"boven UCL",IF(R458&lt;S458,"onder LCL","")),"")</f>
        <v/>
      </c>
    </row>
    <row r="459">
      <c r="A459" t="n">
        <v>353</v>
      </c>
      <c r="B459" s="7" t="n"/>
      <c r="C459" s="11">
        <f>IF(AND(ISNUMBER(B459),ISNUMBER(B458)),ABS(B459-B458),"")</f>
        <v/>
      </c>
      <c r="D459" s="13">
        <f>IF(AND(ISNUMBER(B459),ISNUMBER($B$88),ISNUMBER($D$88)),IF(B459&gt;$D$88,"boven UCL",IF(B459&lt;$B$88,"onder LCL","")),"")</f>
        <v/>
      </c>
      <c r="E459" s="13">
        <f>IF(AND(ISNUMBER(C459),ISNUMBER($B$89),ISNUMBER($D$89)),IF(C459&gt;$D$89,"boven UCL",IF(C459&lt;$B$89,"onder LCL","")),"")</f>
        <v/>
      </c>
      <c r="G459" t="n">
        <v>353</v>
      </c>
      <c r="H459" s="7" t="n"/>
      <c r="I459" s="7" t="n"/>
      <c r="J459" s="11">
        <f>IF(AND(ISNUMBER(H459),ISNUMBER(I459),H459&gt;0,ISNUMBER($B$94)),I459/H459,"")</f>
        <v/>
      </c>
      <c r="K459" s="11">
        <f>IF(AND(ISNUMBER(H459),ISNUMBER(I459),H459&gt;0,ISNUMBER($B$94)),MAX(0,$B$94-3*SQRT($B$94*(1-$B$94)/H459)),"")</f>
        <v/>
      </c>
      <c r="L459" s="11">
        <f>IF(AND(ISNUMBER(H459),ISNUMBER(I459),H459&gt;0,ISNUMBER($B$94)),$B$94+3*SQRT($B$94*(1-$B$94)/H459),"")</f>
        <v/>
      </c>
      <c r="M459" s="13">
        <f>IF(AND(ISNUMBER(J459),ISNUMBER(K459),ISNUMBER(L459)),IF(J459&gt;L459,"boven UCL",IF(J459&lt;K459,"onder LCL","")),"")</f>
        <v/>
      </c>
      <c r="O459" t="n">
        <v>353</v>
      </c>
      <c r="P459" s="7" t="n"/>
      <c r="Q459" s="7" t="n"/>
      <c r="R459" s="11">
        <f>IF(AND(ISNUMBER(P459),ISNUMBER(Q459),P459&gt;0,ISNUMBER($B$100)),Q459/P459,"")</f>
        <v/>
      </c>
      <c r="S459" s="11">
        <f>IF(AND(ISNUMBER(P459),ISNUMBER(Q459),P459&gt;0,ISNUMBER($B$100)),MAX(0,$B$100-3*SQRT($B$100/P459)),"")</f>
        <v/>
      </c>
      <c r="T459" s="11">
        <f>IF(AND(ISNUMBER(P459),ISNUMBER(Q459),P459&gt;0,ISNUMBER($B$100)),$B$100+3*SQRT($B$100/P459),"")</f>
        <v/>
      </c>
      <c r="U459" s="13">
        <f>IF(AND(ISNUMBER(R459),ISNUMBER(S459),ISNUMBER(T459)),IF(R459&gt;T459,"boven UCL",IF(R459&lt;S459,"onder LCL","")),"")</f>
        <v/>
      </c>
    </row>
    <row r="460">
      <c r="A460" t="n">
        <v>354</v>
      </c>
      <c r="B460" s="7" t="n"/>
      <c r="C460" s="11">
        <f>IF(AND(ISNUMBER(B460),ISNUMBER(B459)),ABS(B460-B459),"")</f>
        <v/>
      </c>
      <c r="D460" s="13">
        <f>IF(AND(ISNUMBER(B460),ISNUMBER($B$88),ISNUMBER($D$88)),IF(B460&gt;$D$88,"boven UCL",IF(B460&lt;$B$88,"onder LCL","")),"")</f>
        <v/>
      </c>
      <c r="E460" s="13">
        <f>IF(AND(ISNUMBER(C460),ISNUMBER($B$89),ISNUMBER($D$89)),IF(C460&gt;$D$89,"boven UCL",IF(C460&lt;$B$89,"onder LCL","")),"")</f>
        <v/>
      </c>
      <c r="G460" t="n">
        <v>354</v>
      </c>
      <c r="H460" s="7" t="n"/>
      <c r="I460" s="7" t="n"/>
      <c r="J460" s="11">
        <f>IF(AND(ISNUMBER(H460),ISNUMBER(I460),H460&gt;0,ISNUMBER($B$94)),I460/H460,"")</f>
        <v/>
      </c>
      <c r="K460" s="11">
        <f>IF(AND(ISNUMBER(H460),ISNUMBER(I460),H460&gt;0,ISNUMBER($B$94)),MAX(0,$B$94-3*SQRT($B$94*(1-$B$94)/H460)),"")</f>
        <v/>
      </c>
      <c r="L460" s="11">
        <f>IF(AND(ISNUMBER(H460),ISNUMBER(I460),H460&gt;0,ISNUMBER($B$94)),$B$94+3*SQRT($B$94*(1-$B$94)/H460),"")</f>
        <v/>
      </c>
      <c r="M460" s="13">
        <f>IF(AND(ISNUMBER(J460),ISNUMBER(K460),ISNUMBER(L460)),IF(J460&gt;L460,"boven UCL",IF(J460&lt;K460,"onder LCL","")),"")</f>
        <v/>
      </c>
      <c r="O460" t="n">
        <v>354</v>
      </c>
      <c r="P460" s="7" t="n"/>
      <c r="Q460" s="7" t="n"/>
      <c r="R460" s="11">
        <f>IF(AND(ISNUMBER(P460),ISNUMBER(Q460),P460&gt;0,ISNUMBER($B$100)),Q460/P460,"")</f>
        <v/>
      </c>
      <c r="S460" s="11">
        <f>IF(AND(ISNUMBER(P460),ISNUMBER(Q460),P460&gt;0,ISNUMBER($B$100)),MAX(0,$B$100-3*SQRT($B$100/P460)),"")</f>
        <v/>
      </c>
      <c r="T460" s="11">
        <f>IF(AND(ISNUMBER(P460),ISNUMBER(Q460),P460&gt;0,ISNUMBER($B$100)),$B$100+3*SQRT($B$100/P460),"")</f>
        <v/>
      </c>
      <c r="U460" s="13">
        <f>IF(AND(ISNUMBER(R460),ISNUMBER(S460),ISNUMBER(T460)),IF(R460&gt;T460,"boven UCL",IF(R460&lt;S460,"onder LCL","")),"")</f>
        <v/>
      </c>
    </row>
    <row r="461">
      <c r="A461" t="n">
        <v>355</v>
      </c>
      <c r="B461" s="7" t="n"/>
      <c r="C461" s="11">
        <f>IF(AND(ISNUMBER(B461),ISNUMBER(B460)),ABS(B461-B460),"")</f>
        <v/>
      </c>
      <c r="D461" s="13">
        <f>IF(AND(ISNUMBER(B461),ISNUMBER($B$88),ISNUMBER($D$88)),IF(B461&gt;$D$88,"boven UCL",IF(B461&lt;$B$88,"onder LCL","")),"")</f>
        <v/>
      </c>
      <c r="E461" s="13">
        <f>IF(AND(ISNUMBER(C461),ISNUMBER($B$89),ISNUMBER($D$89)),IF(C461&gt;$D$89,"boven UCL",IF(C461&lt;$B$89,"onder LCL","")),"")</f>
        <v/>
      </c>
      <c r="G461" t="n">
        <v>355</v>
      </c>
      <c r="H461" s="7" t="n"/>
      <c r="I461" s="7" t="n"/>
      <c r="J461" s="11">
        <f>IF(AND(ISNUMBER(H461),ISNUMBER(I461),H461&gt;0,ISNUMBER($B$94)),I461/H461,"")</f>
        <v/>
      </c>
      <c r="K461" s="11">
        <f>IF(AND(ISNUMBER(H461),ISNUMBER(I461),H461&gt;0,ISNUMBER($B$94)),MAX(0,$B$94-3*SQRT($B$94*(1-$B$94)/H461)),"")</f>
        <v/>
      </c>
      <c r="L461" s="11">
        <f>IF(AND(ISNUMBER(H461),ISNUMBER(I461),H461&gt;0,ISNUMBER($B$94)),$B$94+3*SQRT($B$94*(1-$B$94)/H461),"")</f>
        <v/>
      </c>
      <c r="M461" s="13">
        <f>IF(AND(ISNUMBER(J461),ISNUMBER(K461),ISNUMBER(L461)),IF(J461&gt;L461,"boven UCL",IF(J461&lt;K461,"onder LCL","")),"")</f>
        <v/>
      </c>
      <c r="O461" t="n">
        <v>355</v>
      </c>
      <c r="P461" s="7" t="n"/>
      <c r="Q461" s="7" t="n"/>
      <c r="R461" s="11">
        <f>IF(AND(ISNUMBER(P461),ISNUMBER(Q461),P461&gt;0,ISNUMBER($B$100)),Q461/P461,"")</f>
        <v/>
      </c>
      <c r="S461" s="11">
        <f>IF(AND(ISNUMBER(P461),ISNUMBER(Q461),P461&gt;0,ISNUMBER($B$100)),MAX(0,$B$100-3*SQRT($B$100/P461)),"")</f>
        <v/>
      </c>
      <c r="T461" s="11">
        <f>IF(AND(ISNUMBER(P461),ISNUMBER(Q461),P461&gt;0,ISNUMBER($B$100)),$B$100+3*SQRT($B$100/P461),"")</f>
        <v/>
      </c>
      <c r="U461" s="13">
        <f>IF(AND(ISNUMBER(R461),ISNUMBER(S461),ISNUMBER(T461)),IF(R461&gt;T461,"boven UCL",IF(R461&lt;S461,"onder LCL","")),"")</f>
        <v/>
      </c>
    </row>
    <row r="462">
      <c r="A462" t="n">
        <v>356</v>
      </c>
      <c r="B462" s="7" t="n"/>
      <c r="C462" s="11">
        <f>IF(AND(ISNUMBER(B462),ISNUMBER(B461)),ABS(B462-B461),"")</f>
        <v/>
      </c>
      <c r="D462" s="13">
        <f>IF(AND(ISNUMBER(B462),ISNUMBER($B$88),ISNUMBER($D$88)),IF(B462&gt;$D$88,"boven UCL",IF(B462&lt;$B$88,"onder LCL","")),"")</f>
        <v/>
      </c>
      <c r="E462" s="13">
        <f>IF(AND(ISNUMBER(C462),ISNUMBER($B$89),ISNUMBER($D$89)),IF(C462&gt;$D$89,"boven UCL",IF(C462&lt;$B$89,"onder LCL","")),"")</f>
        <v/>
      </c>
      <c r="G462" t="n">
        <v>356</v>
      </c>
      <c r="H462" s="7" t="n"/>
      <c r="I462" s="7" t="n"/>
      <c r="J462" s="11">
        <f>IF(AND(ISNUMBER(H462),ISNUMBER(I462),H462&gt;0,ISNUMBER($B$94)),I462/H462,"")</f>
        <v/>
      </c>
      <c r="K462" s="11">
        <f>IF(AND(ISNUMBER(H462),ISNUMBER(I462),H462&gt;0,ISNUMBER($B$94)),MAX(0,$B$94-3*SQRT($B$94*(1-$B$94)/H462)),"")</f>
        <v/>
      </c>
      <c r="L462" s="11">
        <f>IF(AND(ISNUMBER(H462),ISNUMBER(I462),H462&gt;0,ISNUMBER($B$94)),$B$94+3*SQRT($B$94*(1-$B$94)/H462),"")</f>
        <v/>
      </c>
      <c r="M462" s="13">
        <f>IF(AND(ISNUMBER(J462),ISNUMBER(K462),ISNUMBER(L462)),IF(J462&gt;L462,"boven UCL",IF(J462&lt;K462,"onder LCL","")),"")</f>
        <v/>
      </c>
      <c r="O462" t="n">
        <v>356</v>
      </c>
      <c r="P462" s="7" t="n"/>
      <c r="Q462" s="7" t="n"/>
      <c r="R462" s="11">
        <f>IF(AND(ISNUMBER(P462),ISNUMBER(Q462),P462&gt;0,ISNUMBER($B$100)),Q462/P462,"")</f>
        <v/>
      </c>
      <c r="S462" s="11">
        <f>IF(AND(ISNUMBER(P462),ISNUMBER(Q462),P462&gt;0,ISNUMBER($B$100)),MAX(0,$B$100-3*SQRT($B$100/P462)),"")</f>
        <v/>
      </c>
      <c r="T462" s="11">
        <f>IF(AND(ISNUMBER(P462),ISNUMBER(Q462),P462&gt;0,ISNUMBER($B$100)),$B$100+3*SQRT($B$100/P462),"")</f>
        <v/>
      </c>
      <c r="U462" s="13">
        <f>IF(AND(ISNUMBER(R462),ISNUMBER(S462),ISNUMBER(T462)),IF(R462&gt;T462,"boven UCL",IF(R462&lt;S462,"onder LCL","")),"")</f>
        <v/>
      </c>
    </row>
    <row r="463">
      <c r="A463" t="n">
        <v>357</v>
      </c>
      <c r="B463" s="7" t="n"/>
      <c r="C463" s="11">
        <f>IF(AND(ISNUMBER(B463),ISNUMBER(B462)),ABS(B463-B462),"")</f>
        <v/>
      </c>
      <c r="D463" s="13">
        <f>IF(AND(ISNUMBER(B463),ISNUMBER($B$88),ISNUMBER($D$88)),IF(B463&gt;$D$88,"boven UCL",IF(B463&lt;$B$88,"onder LCL","")),"")</f>
        <v/>
      </c>
      <c r="E463" s="13">
        <f>IF(AND(ISNUMBER(C463),ISNUMBER($B$89),ISNUMBER($D$89)),IF(C463&gt;$D$89,"boven UCL",IF(C463&lt;$B$89,"onder LCL","")),"")</f>
        <v/>
      </c>
      <c r="G463" t="n">
        <v>357</v>
      </c>
      <c r="H463" s="7" t="n"/>
      <c r="I463" s="7" t="n"/>
      <c r="J463" s="11">
        <f>IF(AND(ISNUMBER(H463),ISNUMBER(I463),H463&gt;0,ISNUMBER($B$94)),I463/H463,"")</f>
        <v/>
      </c>
      <c r="K463" s="11">
        <f>IF(AND(ISNUMBER(H463),ISNUMBER(I463),H463&gt;0,ISNUMBER($B$94)),MAX(0,$B$94-3*SQRT($B$94*(1-$B$94)/H463)),"")</f>
        <v/>
      </c>
      <c r="L463" s="11">
        <f>IF(AND(ISNUMBER(H463),ISNUMBER(I463),H463&gt;0,ISNUMBER($B$94)),$B$94+3*SQRT($B$94*(1-$B$94)/H463),"")</f>
        <v/>
      </c>
      <c r="M463" s="13">
        <f>IF(AND(ISNUMBER(J463),ISNUMBER(K463),ISNUMBER(L463)),IF(J463&gt;L463,"boven UCL",IF(J463&lt;K463,"onder LCL","")),"")</f>
        <v/>
      </c>
      <c r="O463" t="n">
        <v>357</v>
      </c>
      <c r="P463" s="7" t="n"/>
      <c r="Q463" s="7" t="n"/>
      <c r="R463" s="11">
        <f>IF(AND(ISNUMBER(P463),ISNUMBER(Q463),P463&gt;0,ISNUMBER($B$100)),Q463/P463,"")</f>
        <v/>
      </c>
      <c r="S463" s="11">
        <f>IF(AND(ISNUMBER(P463),ISNUMBER(Q463),P463&gt;0,ISNUMBER($B$100)),MAX(0,$B$100-3*SQRT($B$100/P463)),"")</f>
        <v/>
      </c>
      <c r="T463" s="11">
        <f>IF(AND(ISNUMBER(P463),ISNUMBER(Q463),P463&gt;0,ISNUMBER($B$100)),$B$100+3*SQRT($B$100/P463),"")</f>
        <v/>
      </c>
      <c r="U463" s="13">
        <f>IF(AND(ISNUMBER(R463),ISNUMBER(S463),ISNUMBER(T463)),IF(R463&gt;T463,"boven UCL",IF(R463&lt;S463,"onder LCL","")),"")</f>
        <v/>
      </c>
    </row>
    <row r="464">
      <c r="A464" t="n">
        <v>358</v>
      </c>
      <c r="B464" s="7" t="n"/>
      <c r="C464" s="11">
        <f>IF(AND(ISNUMBER(B464),ISNUMBER(B463)),ABS(B464-B463),"")</f>
        <v/>
      </c>
      <c r="D464" s="13">
        <f>IF(AND(ISNUMBER(B464),ISNUMBER($B$88),ISNUMBER($D$88)),IF(B464&gt;$D$88,"boven UCL",IF(B464&lt;$B$88,"onder LCL","")),"")</f>
        <v/>
      </c>
      <c r="E464" s="13">
        <f>IF(AND(ISNUMBER(C464),ISNUMBER($B$89),ISNUMBER($D$89)),IF(C464&gt;$D$89,"boven UCL",IF(C464&lt;$B$89,"onder LCL","")),"")</f>
        <v/>
      </c>
      <c r="G464" t="n">
        <v>358</v>
      </c>
      <c r="H464" s="7" t="n"/>
      <c r="I464" s="7" t="n"/>
      <c r="J464" s="11">
        <f>IF(AND(ISNUMBER(H464),ISNUMBER(I464),H464&gt;0,ISNUMBER($B$94)),I464/H464,"")</f>
        <v/>
      </c>
      <c r="K464" s="11">
        <f>IF(AND(ISNUMBER(H464),ISNUMBER(I464),H464&gt;0,ISNUMBER($B$94)),MAX(0,$B$94-3*SQRT($B$94*(1-$B$94)/H464)),"")</f>
        <v/>
      </c>
      <c r="L464" s="11">
        <f>IF(AND(ISNUMBER(H464),ISNUMBER(I464),H464&gt;0,ISNUMBER($B$94)),$B$94+3*SQRT($B$94*(1-$B$94)/H464),"")</f>
        <v/>
      </c>
      <c r="M464" s="13">
        <f>IF(AND(ISNUMBER(J464),ISNUMBER(K464),ISNUMBER(L464)),IF(J464&gt;L464,"boven UCL",IF(J464&lt;K464,"onder LCL","")),"")</f>
        <v/>
      </c>
      <c r="O464" t="n">
        <v>358</v>
      </c>
      <c r="P464" s="7" t="n"/>
      <c r="Q464" s="7" t="n"/>
      <c r="R464" s="11">
        <f>IF(AND(ISNUMBER(P464),ISNUMBER(Q464),P464&gt;0,ISNUMBER($B$100)),Q464/P464,"")</f>
        <v/>
      </c>
      <c r="S464" s="11">
        <f>IF(AND(ISNUMBER(P464),ISNUMBER(Q464),P464&gt;0,ISNUMBER($B$100)),MAX(0,$B$100-3*SQRT($B$100/P464)),"")</f>
        <v/>
      </c>
      <c r="T464" s="11">
        <f>IF(AND(ISNUMBER(P464),ISNUMBER(Q464),P464&gt;0,ISNUMBER($B$100)),$B$100+3*SQRT($B$100/P464),"")</f>
        <v/>
      </c>
      <c r="U464" s="13">
        <f>IF(AND(ISNUMBER(R464),ISNUMBER(S464),ISNUMBER(T464)),IF(R464&gt;T464,"boven UCL",IF(R464&lt;S464,"onder LCL","")),"")</f>
        <v/>
      </c>
    </row>
    <row r="465">
      <c r="A465" t="n">
        <v>359</v>
      </c>
      <c r="B465" s="7" t="n"/>
      <c r="C465" s="11">
        <f>IF(AND(ISNUMBER(B465),ISNUMBER(B464)),ABS(B465-B464),"")</f>
        <v/>
      </c>
      <c r="D465" s="13">
        <f>IF(AND(ISNUMBER(B465),ISNUMBER($B$88),ISNUMBER($D$88)),IF(B465&gt;$D$88,"boven UCL",IF(B465&lt;$B$88,"onder LCL","")),"")</f>
        <v/>
      </c>
      <c r="E465" s="13">
        <f>IF(AND(ISNUMBER(C465),ISNUMBER($B$89),ISNUMBER($D$89)),IF(C465&gt;$D$89,"boven UCL",IF(C465&lt;$B$89,"onder LCL","")),"")</f>
        <v/>
      </c>
      <c r="G465" t="n">
        <v>359</v>
      </c>
      <c r="H465" s="7" t="n"/>
      <c r="I465" s="7" t="n"/>
      <c r="J465" s="11">
        <f>IF(AND(ISNUMBER(H465),ISNUMBER(I465),H465&gt;0,ISNUMBER($B$94)),I465/H465,"")</f>
        <v/>
      </c>
      <c r="K465" s="11">
        <f>IF(AND(ISNUMBER(H465),ISNUMBER(I465),H465&gt;0,ISNUMBER($B$94)),MAX(0,$B$94-3*SQRT($B$94*(1-$B$94)/H465)),"")</f>
        <v/>
      </c>
      <c r="L465" s="11">
        <f>IF(AND(ISNUMBER(H465),ISNUMBER(I465),H465&gt;0,ISNUMBER($B$94)),$B$94+3*SQRT($B$94*(1-$B$94)/H465),"")</f>
        <v/>
      </c>
      <c r="M465" s="13">
        <f>IF(AND(ISNUMBER(J465),ISNUMBER(K465),ISNUMBER(L465)),IF(J465&gt;L465,"boven UCL",IF(J465&lt;K465,"onder LCL","")),"")</f>
        <v/>
      </c>
      <c r="O465" t="n">
        <v>359</v>
      </c>
      <c r="P465" s="7" t="n"/>
      <c r="Q465" s="7" t="n"/>
      <c r="R465" s="11">
        <f>IF(AND(ISNUMBER(P465),ISNUMBER(Q465),P465&gt;0,ISNUMBER($B$100)),Q465/P465,"")</f>
        <v/>
      </c>
      <c r="S465" s="11">
        <f>IF(AND(ISNUMBER(P465),ISNUMBER(Q465),P465&gt;0,ISNUMBER($B$100)),MAX(0,$B$100-3*SQRT($B$100/P465)),"")</f>
        <v/>
      </c>
      <c r="T465" s="11">
        <f>IF(AND(ISNUMBER(P465),ISNUMBER(Q465),P465&gt;0,ISNUMBER($B$100)),$B$100+3*SQRT($B$100/P465),"")</f>
        <v/>
      </c>
      <c r="U465" s="13">
        <f>IF(AND(ISNUMBER(R465),ISNUMBER(S465),ISNUMBER(T465)),IF(R465&gt;T465,"boven UCL",IF(R465&lt;S465,"onder LCL","")),"")</f>
        <v/>
      </c>
    </row>
    <row r="466">
      <c r="A466" t="n">
        <v>360</v>
      </c>
      <c r="B466" s="7" t="n"/>
      <c r="C466" s="11">
        <f>IF(AND(ISNUMBER(B466),ISNUMBER(B465)),ABS(B466-B465),"")</f>
        <v/>
      </c>
      <c r="D466" s="13">
        <f>IF(AND(ISNUMBER(B466),ISNUMBER($B$88),ISNUMBER($D$88)),IF(B466&gt;$D$88,"boven UCL",IF(B466&lt;$B$88,"onder LCL","")),"")</f>
        <v/>
      </c>
      <c r="E466" s="13">
        <f>IF(AND(ISNUMBER(C466),ISNUMBER($B$89),ISNUMBER($D$89)),IF(C466&gt;$D$89,"boven UCL",IF(C466&lt;$B$89,"onder LCL","")),"")</f>
        <v/>
      </c>
      <c r="G466" t="n">
        <v>360</v>
      </c>
      <c r="H466" s="7" t="n"/>
      <c r="I466" s="7" t="n"/>
      <c r="J466" s="11">
        <f>IF(AND(ISNUMBER(H466),ISNUMBER(I466),H466&gt;0,ISNUMBER($B$94)),I466/H466,"")</f>
        <v/>
      </c>
      <c r="K466" s="11">
        <f>IF(AND(ISNUMBER(H466),ISNUMBER(I466),H466&gt;0,ISNUMBER($B$94)),MAX(0,$B$94-3*SQRT($B$94*(1-$B$94)/H466)),"")</f>
        <v/>
      </c>
      <c r="L466" s="11">
        <f>IF(AND(ISNUMBER(H466),ISNUMBER(I466),H466&gt;0,ISNUMBER($B$94)),$B$94+3*SQRT($B$94*(1-$B$94)/H466),"")</f>
        <v/>
      </c>
      <c r="M466" s="13">
        <f>IF(AND(ISNUMBER(J466),ISNUMBER(K466),ISNUMBER(L466)),IF(J466&gt;L466,"boven UCL",IF(J466&lt;K466,"onder LCL","")),"")</f>
        <v/>
      </c>
      <c r="O466" t="n">
        <v>360</v>
      </c>
      <c r="P466" s="7" t="n"/>
      <c r="Q466" s="7" t="n"/>
      <c r="R466" s="11">
        <f>IF(AND(ISNUMBER(P466),ISNUMBER(Q466),P466&gt;0,ISNUMBER($B$100)),Q466/P466,"")</f>
        <v/>
      </c>
      <c r="S466" s="11">
        <f>IF(AND(ISNUMBER(P466),ISNUMBER(Q466),P466&gt;0,ISNUMBER($B$100)),MAX(0,$B$100-3*SQRT($B$100/P466)),"")</f>
        <v/>
      </c>
      <c r="T466" s="11">
        <f>IF(AND(ISNUMBER(P466),ISNUMBER(Q466),P466&gt;0,ISNUMBER($B$100)),$B$100+3*SQRT($B$100/P466),"")</f>
        <v/>
      </c>
      <c r="U466" s="13">
        <f>IF(AND(ISNUMBER(R466),ISNUMBER(S466),ISNUMBER(T466)),IF(R466&gt;T466,"boven UCL",IF(R466&lt;S466,"onder LCL","")),"")</f>
        <v/>
      </c>
    </row>
    <row r="467">
      <c r="A467" t="n">
        <v>361</v>
      </c>
      <c r="B467" s="7" t="n"/>
      <c r="C467" s="11">
        <f>IF(AND(ISNUMBER(B467),ISNUMBER(B466)),ABS(B467-B466),"")</f>
        <v/>
      </c>
      <c r="D467" s="13">
        <f>IF(AND(ISNUMBER(B467),ISNUMBER($B$88),ISNUMBER($D$88)),IF(B467&gt;$D$88,"boven UCL",IF(B467&lt;$B$88,"onder LCL","")),"")</f>
        <v/>
      </c>
      <c r="E467" s="13">
        <f>IF(AND(ISNUMBER(C467),ISNUMBER($B$89),ISNUMBER($D$89)),IF(C467&gt;$D$89,"boven UCL",IF(C467&lt;$B$89,"onder LCL","")),"")</f>
        <v/>
      </c>
      <c r="G467" t="n">
        <v>361</v>
      </c>
      <c r="H467" s="7" t="n"/>
      <c r="I467" s="7" t="n"/>
      <c r="J467" s="11">
        <f>IF(AND(ISNUMBER(H467),ISNUMBER(I467),H467&gt;0,ISNUMBER($B$94)),I467/H467,"")</f>
        <v/>
      </c>
      <c r="K467" s="11">
        <f>IF(AND(ISNUMBER(H467),ISNUMBER(I467),H467&gt;0,ISNUMBER($B$94)),MAX(0,$B$94-3*SQRT($B$94*(1-$B$94)/H467)),"")</f>
        <v/>
      </c>
      <c r="L467" s="11">
        <f>IF(AND(ISNUMBER(H467),ISNUMBER(I467),H467&gt;0,ISNUMBER($B$94)),$B$94+3*SQRT($B$94*(1-$B$94)/H467),"")</f>
        <v/>
      </c>
      <c r="M467" s="13">
        <f>IF(AND(ISNUMBER(J467),ISNUMBER(K467),ISNUMBER(L467)),IF(J467&gt;L467,"boven UCL",IF(J467&lt;K467,"onder LCL","")),"")</f>
        <v/>
      </c>
      <c r="O467" t="n">
        <v>361</v>
      </c>
      <c r="P467" s="7" t="n"/>
      <c r="Q467" s="7" t="n"/>
      <c r="R467" s="11">
        <f>IF(AND(ISNUMBER(P467),ISNUMBER(Q467),P467&gt;0,ISNUMBER($B$100)),Q467/P467,"")</f>
        <v/>
      </c>
      <c r="S467" s="11">
        <f>IF(AND(ISNUMBER(P467),ISNUMBER(Q467),P467&gt;0,ISNUMBER($B$100)),MAX(0,$B$100-3*SQRT($B$100/P467)),"")</f>
        <v/>
      </c>
      <c r="T467" s="11">
        <f>IF(AND(ISNUMBER(P467),ISNUMBER(Q467),P467&gt;0,ISNUMBER($B$100)),$B$100+3*SQRT($B$100/P467),"")</f>
        <v/>
      </c>
      <c r="U467" s="13">
        <f>IF(AND(ISNUMBER(R467),ISNUMBER(S467),ISNUMBER(T467)),IF(R467&gt;T467,"boven UCL",IF(R467&lt;S467,"onder LCL","")),"")</f>
        <v/>
      </c>
    </row>
    <row r="468">
      <c r="A468" t="n">
        <v>362</v>
      </c>
      <c r="B468" s="7" t="n"/>
      <c r="C468" s="11">
        <f>IF(AND(ISNUMBER(B468),ISNUMBER(B467)),ABS(B468-B467),"")</f>
        <v/>
      </c>
      <c r="D468" s="13">
        <f>IF(AND(ISNUMBER(B468),ISNUMBER($B$88),ISNUMBER($D$88)),IF(B468&gt;$D$88,"boven UCL",IF(B468&lt;$B$88,"onder LCL","")),"")</f>
        <v/>
      </c>
      <c r="E468" s="13">
        <f>IF(AND(ISNUMBER(C468),ISNUMBER($B$89),ISNUMBER($D$89)),IF(C468&gt;$D$89,"boven UCL",IF(C468&lt;$B$89,"onder LCL","")),"")</f>
        <v/>
      </c>
      <c r="G468" t="n">
        <v>362</v>
      </c>
      <c r="H468" s="7" t="n"/>
      <c r="I468" s="7" t="n"/>
      <c r="J468" s="11">
        <f>IF(AND(ISNUMBER(H468),ISNUMBER(I468),H468&gt;0,ISNUMBER($B$94)),I468/H468,"")</f>
        <v/>
      </c>
      <c r="K468" s="11">
        <f>IF(AND(ISNUMBER(H468),ISNUMBER(I468),H468&gt;0,ISNUMBER($B$94)),MAX(0,$B$94-3*SQRT($B$94*(1-$B$94)/H468)),"")</f>
        <v/>
      </c>
      <c r="L468" s="11">
        <f>IF(AND(ISNUMBER(H468),ISNUMBER(I468),H468&gt;0,ISNUMBER($B$94)),$B$94+3*SQRT($B$94*(1-$B$94)/H468),"")</f>
        <v/>
      </c>
      <c r="M468" s="13">
        <f>IF(AND(ISNUMBER(J468),ISNUMBER(K468),ISNUMBER(L468)),IF(J468&gt;L468,"boven UCL",IF(J468&lt;K468,"onder LCL","")),"")</f>
        <v/>
      </c>
      <c r="O468" t="n">
        <v>362</v>
      </c>
      <c r="P468" s="7" t="n"/>
      <c r="Q468" s="7" t="n"/>
      <c r="R468" s="11">
        <f>IF(AND(ISNUMBER(P468),ISNUMBER(Q468),P468&gt;0,ISNUMBER($B$100)),Q468/P468,"")</f>
        <v/>
      </c>
      <c r="S468" s="11">
        <f>IF(AND(ISNUMBER(P468),ISNUMBER(Q468),P468&gt;0,ISNUMBER($B$100)),MAX(0,$B$100-3*SQRT($B$100/P468)),"")</f>
        <v/>
      </c>
      <c r="T468" s="11">
        <f>IF(AND(ISNUMBER(P468),ISNUMBER(Q468),P468&gt;0,ISNUMBER($B$100)),$B$100+3*SQRT($B$100/P468),"")</f>
        <v/>
      </c>
      <c r="U468" s="13">
        <f>IF(AND(ISNUMBER(R468),ISNUMBER(S468),ISNUMBER(T468)),IF(R468&gt;T468,"boven UCL",IF(R468&lt;S468,"onder LCL","")),"")</f>
        <v/>
      </c>
    </row>
    <row r="469">
      <c r="A469" t="n">
        <v>363</v>
      </c>
      <c r="B469" s="7" t="n"/>
      <c r="C469" s="11">
        <f>IF(AND(ISNUMBER(B469),ISNUMBER(B468)),ABS(B469-B468),"")</f>
        <v/>
      </c>
      <c r="D469" s="13">
        <f>IF(AND(ISNUMBER(B469),ISNUMBER($B$88),ISNUMBER($D$88)),IF(B469&gt;$D$88,"boven UCL",IF(B469&lt;$B$88,"onder LCL","")),"")</f>
        <v/>
      </c>
      <c r="E469" s="13">
        <f>IF(AND(ISNUMBER(C469),ISNUMBER($B$89),ISNUMBER($D$89)),IF(C469&gt;$D$89,"boven UCL",IF(C469&lt;$B$89,"onder LCL","")),"")</f>
        <v/>
      </c>
      <c r="G469" t="n">
        <v>363</v>
      </c>
      <c r="H469" s="7" t="n"/>
      <c r="I469" s="7" t="n"/>
      <c r="J469" s="11">
        <f>IF(AND(ISNUMBER(H469),ISNUMBER(I469),H469&gt;0,ISNUMBER($B$94)),I469/H469,"")</f>
        <v/>
      </c>
      <c r="K469" s="11">
        <f>IF(AND(ISNUMBER(H469),ISNUMBER(I469),H469&gt;0,ISNUMBER($B$94)),MAX(0,$B$94-3*SQRT($B$94*(1-$B$94)/H469)),"")</f>
        <v/>
      </c>
      <c r="L469" s="11">
        <f>IF(AND(ISNUMBER(H469),ISNUMBER(I469),H469&gt;0,ISNUMBER($B$94)),$B$94+3*SQRT($B$94*(1-$B$94)/H469),"")</f>
        <v/>
      </c>
      <c r="M469" s="13">
        <f>IF(AND(ISNUMBER(J469),ISNUMBER(K469),ISNUMBER(L469)),IF(J469&gt;L469,"boven UCL",IF(J469&lt;K469,"onder LCL","")),"")</f>
        <v/>
      </c>
      <c r="O469" t="n">
        <v>363</v>
      </c>
      <c r="P469" s="7" t="n"/>
      <c r="Q469" s="7" t="n"/>
      <c r="R469" s="11">
        <f>IF(AND(ISNUMBER(P469),ISNUMBER(Q469),P469&gt;0,ISNUMBER($B$100)),Q469/P469,"")</f>
        <v/>
      </c>
      <c r="S469" s="11">
        <f>IF(AND(ISNUMBER(P469),ISNUMBER(Q469),P469&gt;0,ISNUMBER($B$100)),MAX(0,$B$100-3*SQRT($B$100/P469)),"")</f>
        <v/>
      </c>
      <c r="T469" s="11">
        <f>IF(AND(ISNUMBER(P469),ISNUMBER(Q469),P469&gt;0,ISNUMBER($B$100)),$B$100+3*SQRT($B$100/P469),"")</f>
        <v/>
      </c>
      <c r="U469" s="13">
        <f>IF(AND(ISNUMBER(R469),ISNUMBER(S469),ISNUMBER(T469)),IF(R469&gt;T469,"boven UCL",IF(R469&lt;S469,"onder LCL","")),"")</f>
        <v/>
      </c>
    </row>
    <row r="470">
      <c r="A470" t="n">
        <v>364</v>
      </c>
      <c r="B470" s="7" t="n"/>
      <c r="C470" s="11">
        <f>IF(AND(ISNUMBER(B470),ISNUMBER(B469)),ABS(B470-B469),"")</f>
        <v/>
      </c>
      <c r="D470" s="13">
        <f>IF(AND(ISNUMBER(B470),ISNUMBER($B$88),ISNUMBER($D$88)),IF(B470&gt;$D$88,"boven UCL",IF(B470&lt;$B$88,"onder LCL","")),"")</f>
        <v/>
      </c>
      <c r="E470" s="13">
        <f>IF(AND(ISNUMBER(C470),ISNUMBER($B$89),ISNUMBER($D$89)),IF(C470&gt;$D$89,"boven UCL",IF(C470&lt;$B$89,"onder LCL","")),"")</f>
        <v/>
      </c>
      <c r="G470" t="n">
        <v>364</v>
      </c>
      <c r="H470" s="7" t="n"/>
      <c r="I470" s="7" t="n"/>
      <c r="J470" s="11">
        <f>IF(AND(ISNUMBER(H470),ISNUMBER(I470),H470&gt;0,ISNUMBER($B$94)),I470/H470,"")</f>
        <v/>
      </c>
      <c r="K470" s="11">
        <f>IF(AND(ISNUMBER(H470),ISNUMBER(I470),H470&gt;0,ISNUMBER($B$94)),MAX(0,$B$94-3*SQRT($B$94*(1-$B$94)/H470)),"")</f>
        <v/>
      </c>
      <c r="L470" s="11">
        <f>IF(AND(ISNUMBER(H470),ISNUMBER(I470),H470&gt;0,ISNUMBER($B$94)),$B$94+3*SQRT($B$94*(1-$B$94)/H470),"")</f>
        <v/>
      </c>
      <c r="M470" s="13">
        <f>IF(AND(ISNUMBER(J470),ISNUMBER(K470),ISNUMBER(L470)),IF(J470&gt;L470,"boven UCL",IF(J470&lt;K470,"onder LCL","")),"")</f>
        <v/>
      </c>
      <c r="O470" t="n">
        <v>364</v>
      </c>
      <c r="P470" s="7" t="n"/>
      <c r="Q470" s="7" t="n"/>
      <c r="R470" s="11">
        <f>IF(AND(ISNUMBER(P470),ISNUMBER(Q470),P470&gt;0,ISNUMBER($B$100)),Q470/P470,"")</f>
        <v/>
      </c>
      <c r="S470" s="11">
        <f>IF(AND(ISNUMBER(P470),ISNUMBER(Q470),P470&gt;0,ISNUMBER($B$100)),MAX(0,$B$100-3*SQRT($B$100/P470)),"")</f>
        <v/>
      </c>
      <c r="T470" s="11">
        <f>IF(AND(ISNUMBER(P470),ISNUMBER(Q470),P470&gt;0,ISNUMBER($B$100)),$B$100+3*SQRT($B$100/P470),"")</f>
        <v/>
      </c>
      <c r="U470" s="13">
        <f>IF(AND(ISNUMBER(R470),ISNUMBER(S470),ISNUMBER(T470)),IF(R470&gt;T470,"boven UCL",IF(R470&lt;S470,"onder LCL","")),"")</f>
        <v/>
      </c>
    </row>
    <row r="471">
      <c r="A471" t="n">
        <v>365</v>
      </c>
      <c r="B471" s="7" t="n"/>
      <c r="C471" s="11">
        <f>IF(AND(ISNUMBER(B471),ISNUMBER(B470)),ABS(B471-B470),"")</f>
        <v/>
      </c>
      <c r="D471" s="13">
        <f>IF(AND(ISNUMBER(B471),ISNUMBER($B$88),ISNUMBER($D$88)),IF(B471&gt;$D$88,"boven UCL",IF(B471&lt;$B$88,"onder LCL","")),"")</f>
        <v/>
      </c>
      <c r="E471" s="13">
        <f>IF(AND(ISNUMBER(C471),ISNUMBER($B$89),ISNUMBER($D$89)),IF(C471&gt;$D$89,"boven UCL",IF(C471&lt;$B$89,"onder LCL","")),"")</f>
        <v/>
      </c>
      <c r="G471" t="n">
        <v>365</v>
      </c>
      <c r="H471" s="7" t="n"/>
      <c r="I471" s="7" t="n"/>
      <c r="J471" s="11">
        <f>IF(AND(ISNUMBER(H471),ISNUMBER(I471),H471&gt;0,ISNUMBER($B$94)),I471/H471,"")</f>
        <v/>
      </c>
      <c r="K471" s="11">
        <f>IF(AND(ISNUMBER(H471),ISNUMBER(I471),H471&gt;0,ISNUMBER($B$94)),MAX(0,$B$94-3*SQRT($B$94*(1-$B$94)/H471)),"")</f>
        <v/>
      </c>
      <c r="L471" s="11">
        <f>IF(AND(ISNUMBER(H471),ISNUMBER(I471),H471&gt;0,ISNUMBER($B$94)),$B$94+3*SQRT($B$94*(1-$B$94)/H471),"")</f>
        <v/>
      </c>
      <c r="M471" s="13">
        <f>IF(AND(ISNUMBER(J471),ISNUMBER(K471),ISNUMBER(L471)),IF(J471&gt;L471,"boven UCL",IF(J471&lt;K471,"onder LCL","")),"")</f>
        <v/>
      </c>
      <c r="O471" t="n">
        <v>365</v>
      </c>
      <c r="P471" s="7" t="n"/>
      <c r="Q471" s="7" t="n"/>
      <c r="R471" s="11">
        <f>IF(AND(ISNUMBER(P471),ISNUMBER(Q471),P471&gt;0,ISNUMBER($B$100)),Q471/P471,"")</f>
        <v/>
      </c>
      <c r="S471" s="11">
        <f>IF(AND(ISNUMBER(P471),ISNUMBER(Q471),P471&gt;0,ISNUMBER($B$100)),MAX(0,$B$100-3*SQRT($B$100/P471)),"")</f>
        <v/>
      </c>
      <c r="T471" s="11">
        <f>IF(AND(ISNUMBER(P471),ISNUMBER(Q471),P471&gt;0,ISNUMBER($B$100)),$B$100+3*SQRT($B$100/P471),"")</f>
        <v/>
      </c>
      <c r="U471" s="13">
        <f>IF(AND(ISNUMBER(R471),ISNUMBER(S471),ISNUMBER(T471)),IF(R471&gt;T471,"boven UCL",IF(R471&lt;S471,"onder LCL","")),"")</f>
        <v/>
      </c>
    </row>
    <row r="472">
      <c r="A472" t="n">
        <v>366</v>
      </c>
      <c r="B472" s="7" t="n"/>
      <c r="C472" s="11">
        <f>IF(AND(ISNUMBER(B472),ISNUMBER(B471)),ABS(B472-B471),"")</f>
        <v/>
      </c>
      <c r="D472" s="13">
        <f>IF(AND(ISNUMBER(B472),ISNUMBER($B$88),ISNUMBER($D$88)),IF(B472&gt;$D$88,"boven UCL",IF(B472&lt;$B$88,"onder LCL","")),"")</f>
        <v/>
      </c>
      <c r="E472" s="13">
        <f>IF(AND(ISNUMBER(C472),ISNUMBER($B$89),ISNUMBER($D$89)),IF(C472&gt;$D$89,"boven UCL",IF(C472&lt;$B$89,"onder LCL","")),"")</f>
        <v/>
      </c>
      <c r="G472" t="n">
        <v>366</v>
      </c>
      <c r="H472" s="7" t="n"/>
      <c r="I472" s="7" t="n"/>
      <c r="J472" s="11">
        <f>IF(AND(ISNUMBER(H472),ISNUMBER(I472),H472&gt;0,ISNUMBER($B$94)),I472/H472,"")</f>
        <v/>
      </c>
      <c r="K472" s="11">
        <f>IF(AND(ISNUMBER(H472),ISNUMBER(I472),H472&gt;0,ISNUMBER($B$94)),MAX(0,$B$94-3*SQRT($B$94*(1-$B$94)/H472)),"")</f>
        <v/>
      </c>
      <c r="L472" s="11">
        <f>IF(AND(ISNUMBER(H472),ISNUMBER(I472),H472&gt;0,ISNUMBER($B$94)),$B$94+3*SQRT($B$94*(1-$B$94)/H472),"")</f>
        <v/>
      </c>
      <c r="M472" s="13">
        <f>IF(AND(ISNUMBER(J472),ISNUMBER(K472),ISNUMBER(L472)),IF(J472&gt;L472,"boven UCL",IF(J472&lt;K472,"onder LCL","")),"")</f>
        <v/>
      </c>
      <c r="O472" t="n">
        <v>366</v>
      </c>
      <c r="P472" s="7" t="n"/>
      <c r="Q472" s="7" t="n"/>
      <c r="R472" s="11">
        <f>IF(AND(ISNUMBER(P472),ISNUMBER(Q472),P472&gt;0,ISNUMBER($B$100)),Q472/P472,"")</f>
        <v/>
      </c>
      <c r="S472" s="11">
        <f>IF(AND(ISNUMBER(P472),ISNUMBER(Q472),P472&gt;0,ISNUMBER($B$100)),MAX(0,$B$100-3*SQRT($B$100/P472)),"")</f>
        <v/>
      </c>
      <c r="T472" s="11">
        <f>IF(AND(ISNUMBER(P472),ISNUMBER(Q472),P472&gt;0,ISNUMBER($B$100)),$B$100+3*SQRT($B$100/P472),"")</f>
        <v/>
      </c>
      <c r="U472" s="13">
        <f>IF(AND(ISNUMBER(R472),ISNUMBER(S472),ISNUMBER(T472)),IF(R472&gt;T472,"boven UCL",IF(R472&lt;S472,"onder LCL","")),"")</f>
        <v/>
      </c>
    </row>
    <row r="473">
      <c r="A473" t="n">
        <v>367</v>
      </c>
      <c r="B473" s="7" t="n"/>
      <c r="C473" s="11">
        <f>IF(AND(ISNUMBER(B473),ISNUMBER(B472)),ABS(B473-B472),"")</f>
        <v/>
      </c>
      <c r="D473" s="13">
        <f>IF(AND(ISNUMBER(B473),ISNUMBER($B$88),ISNUMBER($D$88)),IF(B473&gt;$D$88,"boven UCL",IF(B473&lt;$B$88,"onder LCL","")),"")</f>
        <v/>
      </c>
      <c r="E473" s="13">
        <f>IF(AND(ISNUMBER(C473),ISNUMBER($B$89),ISNUMBER($D$89)),IF(C473&gt;$D$89,"boven UCL",IF(C473&lt;$B$89,"onder LCL","")),"")</f>
        <v/>
      </c>
      <c r="G473" t="n">
        <v>367</v>
      </c>
      <c r="H473" s="7" t="n"/>
      <c r="I473" s="7" t="n"/>
      <c r="J473" s="11">
        <f>IF(AND(ISNUMBER(H473),ISNUMBER(I473),H473&gt;0,ISNUMBER($B$94)),I473/H473,"")</f>
        <v/>
      </c>
      <c r="K473" s="11">
        <f>IF(AND(ISNUMBER(H473),ISNUMBER(I473),H473&gt;0,ISNUMBER($B$94)),MAX(0,$B$94-3*SQRT($B$94*(1-$B$94)/H473)),"")</f>
        <v/>
      </c>
      <c r="L473" s="11">
        <f>IF(AND(ISNUMBER(H473),ISNUMBER(I473),H473&gt;0,ISNUMBER($B$94)),$B$94+3*SQRT($B$94*(1-$B$94)/H473),"")</f>
        <v/>
      </c>
      <c r="M473" s="13">
        <f>IF(AND(ISNUMBER(J473),ISNUMBER(K473),ISNUMBER(L473)),IF(J473&gt;L473,"boven UCL",IF(J473&lt;K473,"onder LCL","")),"")</f>
        <v/>
      </c>
      <c r="O473" t="n">
        <v>367</v>
      </c>
      <c r="P473" s="7" t="n"/>
      <c r="Q473" s="7" t="n"/>
      <c r="R473" s="11">
        <f>IF(AND(ISNUMBER(P473),ISNUMBER(Q473),P473&gt;0,ISNUMBER($B$100)),Q473/P473,"")</f>
        <v/>
      </c>
      <c r="S473" s="11">
        <f>IF(AND(ISNUMBER(P473),ISNUMBER(Q473),P473&gt;0,ISNUMBER($B$100)),MAX(0,$B$100-3*SQRT($B$100/P473)),"")</f>
        <v/>
      </c>
      <c r="T473" s="11">
        <f>IF(AND(ISNUMBER(P473),ISNUMBER(Q473),P473&gt;0,ISNUMBER($B$100)),$B$100+3*SQRT($B$100/P473),"")</f>
        <v/>
      </c>
      <c r="U473" s="13">
        <f>IF(AND(ISNUMBER(R473),ISNUMBER(S473),ISNUMBER(T473)),IF(R473&gt;T473,"boven UCL",IF(R473&lt;S473,"onder LCL","")),"")</f>
        <v/>
      </c>
    </row>
    <row r="474">
      <c r="A474" t="n">
        <v>368</v>
      </c>
      <c r="B474" s="7" t="n"/>
      <c r="C474" s="11">
        <f>IF(AND(ISNUMBER(B474),ISNUMBER(B473)),ABS(B474-B473),"")</f>
        <v/>
      </c>
      <c r="D474" s="13">
        <f>IF(AND(ISNUMBER(B474),ISNUMBER($B$88),ISNUMBER($D$88)),IF(B474&gt;$D$88,"boven UCL",IF(B474&lt;$B$88,"onder LCL","")),"")</f>
        <v/>
      </c>
      <c r="E474" s="13">
        <f>IF(AND(ISNUMBER(C474),ISNUMBER($B$89),ISNUMBER($D$89)),IF(C474&gt;$D$89,"boven UCL",IF(C474&lt;$B$89,"onder LCL","")),"")</f>
        <v/>
      </c>
      <c r="G474" t="n">
        <v>368</v>
      </c>
      <c r="H474" s="7" t="n"/>
      <c r="I474" s="7" t="n"/>
      <c r="J474" s="11">
        <f>IF(AND(ISNUMBER(H474),ISNUMBER(I474),H474&gt;0,ISNUMBER($B$94)),I474/H474,"")</f>
        <v/>
      </c>
      <c r="K474" s="11">
        <f>IF(AND(ISNUMBER(H474),ISNUMBER(I474),H474&gt;0,ISNUMBER($B$94)),MAX(0,$B$94-3*SQRT($B$94*(1-$B$94)/H474)),"")</f>
        <v/>
      </c>
      <c r="L474" s="11">
        <f>IF(AND(ISNUMBER(H474),ISNUMBER(I474),H474&gt;0,ISNUMBER($B$94)),$B$94+3*SQRT($B$94*(1-$B$94)/H474),"")</f>
        <v/>
      </c>
      <c r="M474" s="13">
        <f>IF(AND(ISNUMBER(J474),ISNUMBER(K474),ISNUMBER(L474)),IF(J474&gt;L474,"boven UCL",IF(J474&lt;K474,"onder LCL","")),"")</f>
        <v/>
      </c>
      <c r="O474" t="n">
        <v>368</v>
      </c>
      <c r="P474" s="7" t="n"/>
      <c r="Q474" s="7" t="n"/>
      <c r="R474" s="11">
        <f>IF(AND(ISNUMBER(P474),ISNUMBER(Q474),P474&gt;0,ISNUMBER($B$100)),Q474/P474,"")</f>
        <v/>
      </c>
      <c r="S474" s="11">
        <f>IF(AND(ISNUMBER(P474),ISNUMBER(Q474),P474&gt;0,ISNUMBER($B$100)),MAX(0,$B$100-3*SQRT($B$100/P474)),"")</f>
        <v/>
      </c>
      <c r="T474" s="11">
        <f>IF(AND(ISNUMBER(P474),ISNUMBER(Q474),P474&gt;0,ISNUMBER($B$100)),$B$100+3*SQRT($B$100/P474),"")</f>
        <v/>
      </c>
      <c r="U474" s="13">
        <f>IF(AND(ISNUMBER(R474),ISNUMBER(S474),ISNUMBER(T474)),IF(R474&gt;T474,"boven UCL",IF(R474&lt;S474,"onder LCL","")),"")</f>
        <v/>
      </c>
    </row>
    <row r="475">
      <c r="A475" t="n">
        <v>369</v>
      </c>
      <c r="B475" s="7" t="n"/>
      <c r="C475" s="11">
        <f>IF(AND(ISNUMBER(B475),ISNUMBER(B474)),ABS(B475-B474),"")</f>
        <v/>
      </c>
      <c r="D475" s="13">
        <f>IF(AND(ISNUMBER(B475),ISNUMBER($B$88),ISNUMBER($D$88)),IF(B475&gt;$D$88,"boven UCL",IF(B475&lt;$B$88,"onder LCL","")),"")</f>
        <v/>
      </c>
      <c r="E475" s="13">
        <f>IF(AND(ISNUMBER(C475),ISNUMBER($B$89),ISNUMBER($D$89)),IF(C475&gt;$D$89,"boven UCL",IF(C475&lt;$B$89,"onder LCL","")),"")</f>
        <v/>
      </c>
      <c r="G475" t="n">
        <v>369</v>
      </c>
      <c r="H475" s="7" t="n"/>
      <c r="I475" s="7" t="n"/>
      <c r="J475" s="11">
        <f>IF(AND(ISNUMBER(H475),ISNUMBER(I475),H475&gt;0,ISNUMBER($B$94)),I475/H475,"")</f>
        <v/>
      </c>
      <c r="K475" s="11">
        <f>IF(AND(ISNUMBER(H475),ISNUMBER(I475),H475&gt;0,ISNUMBER($B$94)),MAX(0,$B$94-3*SQRT($B$94*(1-$B$94)/H475)),"")</f>
        <v/>
      </c>
      <c r="L475" s="11">
        <f>IF(AND(ISNUMBER(H475),ISNUMBER(I475),H475&gt;0,ISNUMBER($B$94)),$B$94+3*SQRT($B$94*(1-$B$94)/H475),"")</f>
        <v/>
      </c>
      <c r="M475" s="13">
        <f>IF(AND(ISNUMBER(J475),ISNUMBER(K475),ISNUMBER(L475)),IF(J475&gt;L475,"boven UCL",IF(J475&lt;K475,"onder LCL","")),"")</f>
        <v/>
      </c>
      <c r="O475" t="n">
        <v>369</v>
      </c>
      <c r="P475" s="7" t="n"/>
      <c r="Q475" s="7" t="n"/>
      <c r="R475" s="11">
        <f>IF(AND(ISNUMBER(P475),ISNUMBER(Q475),P475&gt;0,ISNUMBER($B$100)),Q475/P475,"")</f>
        <v/>
      </c>
      <c r="S475" s="11">
        <f>IF(AND(ISNUMBER(P475),ISNUMBER(Q475),P475&gt;0,ISNUMBER($B$100)),MAX(0,$B$100-3*SQRT($B$100/P475)),"")</f>
        <v/>
      </c>
      <c r="T475" s="11">
        <f>IF(AND(ISNUMBER(P475),ISNUMBER(Q475),P475&gt;0,ISNUMBER($B$100)),$B$100+3*SQRT($B$100/P475),"")</f>
        <v/>
      </c>
      <c r="U475" s="13">
        <f>IF(AND(ISNUMBER(R475),ISNUMBER(S475),ISNUMBER(T475)),IF(R475&gt;T475,"boven UCL",IF(R475&lt;S475,"onder LCL","")),"")</f>
        <v/>
      </c>
    </row>
    <row r="476">
      <c r="A476" t="n">
        <v>370</v>
      </c>
      <c r="B476" s="7" t="n"/>
      <c r="C476" s="11">
        <f>IF(AND(ISNUMBER(B476),ISNUMBER(B475)),ABS(B476-B475),"")</f>
        <v/>
      </c>
      <c r="D476" s="13">
        <f>IF(AND(ISNUMBER(B476),ISNUMBER($B$88),ISNUMBER($D$88)),IF(B476&gt;$D$88,"boven UCL",IF(B476&lt;$B$88,"onder LCL","")),"")</f>
        <v/>
      </c>
      <c r="E476" s="13">
        <f>IF(AND(ISNUMBER(C476),ISNUMBER($B$89),ISNUMBER($D$89)),IF(C476&gt;$D$89,"boven UCL",IF(C476&lt;$B$89,"onder LCL","")),"")</f>
        <v/>
      </c>
      <c r="G476" t="n">
        <v>370</v>
      </c>
      <c r="H476" s="7" t="n"/>
      <c r="I476" s="7" t="n"/>
      <c r="J476" s="11">
        <f>IF(AND(ISNUMBER(H476),ISNUMBER(I476),H476&gt;0,ISNUMBER($B$94)),I476/H476,"")</f>
        <v/>
      </c>
      <c r="K476" s="11">
        <f>IF(AND(ISNUMBER(H476),ISNUMBER(I476),H476&gt;0,ISNUMBER($B$94)),MAX(0,$B$94-3*SQRT($B$94*(1-$B$94)/H476)),"")</f>
        <v/>
      </c>
      <c r="L476" s="11">
        <f>IF(AND(ISNUMBER(H476),ISNUMBER(I476),H476&gt;0,ISNUMBER($B$94)),$B$94+3*SQRT($B$94*(1-$B$94)/H476),"")</f>
        <v/>
      </c>
      <c r="M476" s="13">
        <f>IF(AND(ISNUMBER(J476),ISNUMBER(K476),ISNUMBER(L476)),IF(J476&gt;L476,"boven UCL",IF(J476&lt;K476,"onder LCL","")),"")</f>
        <v/>
      </c>
      <c r="O476" t="n">
        <v>370</v>
      </c>
      <c r="P476" s="7" t="n"/>
      <c r="Q476" s="7" t="n"/>
      <c r="R476" s="11">
        <f>IF(AND(ISNUMBER(P476),ISNUMBER(Q476),P476&gt;0,ISNUMBER($B$100)),Q476/P476,"")</f>
        <v/>
      </c>
      <c r="S476" s="11">
        <f>IF(AND(ISNUMBER(P476),ISNUMBER(Q476),P476&gt;0,ISNUMBER($B$100)),MAX(0,$B$100-3*SQRT($B$100/P476)),"")</f>
        <v/>
      </c>
      <c r="T476" s="11">
        <f>IF(AND(ISNUMBER(P476),ISNUMBER(Q476),P476&gt;0,ISNUMBER($B$100)),$B$100+3*SQRT($B$100/P476),"")</f>
        <v/>
      </c>
      <c r="U476" s="13">
        <f>IF(AND(ISNUMBER(R476),ISNUMBER(S476),ISNUMBER(T476)),IF(R476&gt;T476,"boven UCL",IF(R476&lt;S476,"onder LCL","")),"")</f>
        <v/>
      </c>
    </row>
    <row r="477">
      <c r="A477" t="n">
        <v>371</v>
      </c>
      <c r="B477" s="7" t="n"/>
      <c r="C477" s="11">
        <f>IF(AND(ISNUMBER(B477),ISNUMBER(B476)),ABS(B477-B476),"")</f>
        <v/>
      </c>
      <c r="D477" s="13">
        <f>IF(AND(ISNUMBER(B477),ISNUMBER($B$88),ISNUMBER($D$88)),IF(B477&gt;$D$88,"boven UCL",IF(B477&lt;$B$88,"onder LCL","")),"")</f>
        <v/>
      </c>
      <c r="E477" s="13">
        <f>IF(AND(ISNUMBER(C477),ISNUMBER($B$89),ISNUMBER($D$89)),IF(C477&gt;$D$89,"boven UCL",IF(C477&lt;$B$89,"onder LCL","")),"")</f>
        <v/>
      </c>
      <c r="G477" t="n">
        <v>371</v>
      </c>
      <c r="H477" s="7" t="n"/>
      <c r="I477" s="7" t="n"/>
      <c r="J477" s="11">
        <f>IF(AND(ISNUMBER(H477),ISNUMBER(I477),H477&gt;0,ISNUMBER($B$94)),I477/H477,"")</f>
        <v/>
      </c>
      <c r="K477" s="11">
        <f>IF(AND(ISNUMBER(H477),ISNUMBER(I477),H477&gt;0,ISNUMBER($B$94)),MAX(0,$B$94-3*SQRT($B$94*(1-$B$94)/H477)),"")</f>
        <v/>
      </c>
      <c r="L477" s="11">
        <f>IF(AND(ISNUMBER(H477),ISNUMBER(I477),H477&gt;0,ISNUMBER($B$94)),$B$94+3*SQRT($B$94*(1-$B$94)/H477),"")</f>
        <v/>
      </c>
      <c r="M477" s="13">
        <f>IF(AND(ISNUMBER(J477),ISNUMBER(K477),ISNUMBER(L477)),IF(J477&gt;L477,"boven UCL",IF(J477&lt;K477,"onder LCL","")),"")</f>
        <v/>
      </c>
      <c r="O477" t="n">
        <v>371</v>
      </c>
      <c r="P477" s="7" t="n"/>
      <c r="Q477" s="7" t="n"/>
      <c r="R477" s="11">
        <f>IF(AND(ISNUMBER(P477),ISNUMBER(Q477),P477&gt;0,ISNUMBER($B$100)),Q477/P477,"")</f>
        <v/>
      </c>
      <c r="S477" s="11">
        <f>IF(AND(ISNUMBER(P477),ISNUMBER(Q477),P477&gt;0,ISNUMBER($B$100)),MAX(0,$B$100-3*SQRT($B$100/P477)),"")</f>
        <v/>
      </c>
      <c r="T477" s="11">
        <f>IF(AND(ISNUMBER(P477),ISNUMBER(Q477),P477&gt;0,ISNUMBER($B$100)),$B$100+3*SQRT($B$100/P477),"")</f>
        <v/>
      </c>
      <c r="U477" s="13">
        <f>IF(AND(ISNUMBER(R477),ISNUMBER(S477),ISNUMBER(T477)),IF(R477&gt;T477,"boven UCL",IF(R477&lt;S477,"onder LCL","")),"")</f>
        <v/>
      </c>
    </row>
    <row r="478">
      <c r="A478" t="n">
        <v>372</v>
      </c>
      <c r="B478" s="7" t="n"/>
      <c r="C478" s="11">
        <f>IF(AND(ISNUMBER(B478),ISNUMBER(B477)),ABS(B478-B477),"")</f>
        <v/>
      </c>
      <c r="D478" s="13">
        <f>IF(AND(ISNUMBER(B478),ISNUMBER($B$88),ISNUMBER($D$88)),IF(B478&gt;$D$88,"boven UCL",IF(B478&lt;$B$88,"onder LCL","")),"")</f>
        <v/>
      </c>
      <c r="E478" s="13">
        <f>IF(AND(ISNUMBER(C478),ISNUMBER($B$89),ISNUMBER($D$89)),IF(C478&gt;$D$89,"boven UCL",IF(C478&lt;$B$89,"onder LCL","")),"")</f>
        <v/>
      </c>
      <c r="G478" t="n">
        <v>372</v>
      </c>
      <c r="H478" s="7" t="n"/>
      <c r="I478" s="7" t="n"/>
      <c r="J478" s="11">
        <f>IF(AND(ISNUMBER(H478),ISNUMBER(I478),H478&gt;0,ISNUMBER($B$94)),I478/H478,"")</f>
        <v/>
      </c>
      <c r="K478" s="11">
        <f>IF(AND(ISNUMBER(H478),ISNUMBER(I478),H478&gt;0,ISNUMBER($B$94)),MAX(0,$B$94-3*SQRT($B$94*(1-$B$94)/H478)),"")</f>
        <v/>
      </c>
      <c r="L478" s="11">
        <f>IF(AND(ISNUMBER(H478),ISNUMBER(I478),H478&gt;0,ISNUMBER($B$94)),$B$94+3*SQRT($B$94*(1-$B$94)/H478),"")</f>
        <v/>
      </c>
      <c r="M478" s="13">
        <f>IF(AND(ISNUMBER(J478),ISNUMBER(K478),ISNUMBER(L478)),IF(J478&gt;L478,"boven UCL",IF(J478&lt;K478,"onder LCL","")),"")</f>
        <v/>
      </c>
      <c r="O478" t="n">
        <v>372</v>
      </c>
      <c r="P478" s="7" t="n"/>
      <c r="Q478" s="7" t="n"/>
      <c r="R478" s="11">
        <f>IF(AND(ISNUMBER(P478),ISNUMBER(Q478),P478&gt;0,ISNUMBER($B$100)),Q478/P478,"")</f>
        <v/>
      </c>
      <c r="S478" s="11">
        <f>IF(AND(ISNUMBER(P478),ISNUMBER(Q478),P478&gt;0,ISNUMBER($B$100)),MAX(0,$B$100-3*SQRT($B$100/P478)),"")</f>
        <v/>
      </c>
      <c r="T478" s="11">
        <f>IF(AND(ISNUMBER(P478),ISNUMBER(Q478),P478&gt;0,ISNUMBER($B$100)),$B$100+3*SQRT($B$100/P478),"")</f>
        <v/>
      </c>
      <c r="U478" s="13">
        <f>IF(AND(ISNUMBER(R478),ISNUMBER(S478),ISNUMBER(T478)),IF(R478&gt;T478,"boven UCL",IF(R478&lt;S478,"onder LCL","")),"")</f>
        <v/>
      </c>
    </row>
    <row r="479">
      <c r="A479" t="n">
        <v>373</v>
      </c>
      <c r="B479" s="7" t="n"/>
      <c r="C479" s="11">
        <f>IF(AND(ISNUMBER(B479),ISNUMBER(B478)),ABS(B479-B478),"")</f>
        <v/>
      </c>
      <c r="D479" s="13">
        <f>IF(AND(ISNUMBER(B479),ISNUMBER($B$88),ISNUMBER($D$88)),IF(B479&gt;$D$88,"boven UCL",IF(B479&lt;$B$88,"onder LCL","")),"")</f>
        <v/>
      </c>
      <c r="E479" s="13">
        <f>IF(AND(ISNUMBER(C479),ISNUMBER($B$89),ISNUMBER($D$89)),IF(C479&gt;$D$89,"boven UCL",IF(C479&lt;$B$89,"onder LCL","")),"")</f>
        <v/>
      </c>
      <c r="G479" t="n">
        <v>373</v>
      </c>
      <c r="H479" s="7" t="n"/>
      <c r="I479" s="7" t="n"/>
      <c r="J479" s="11">
        <f>IF(AND(ISNUMBER(H479),ISNUMBER(I479),H479&gt;0,ISNUMBER($B$94)),I479/H479,"")</f>
        <v/>
      </c>
      <c r="K479" s="11">
        <f>IF(AND(ISNUMBER(H479),ISNUMBER(I479),H479&gt;0,ISNUMBER($B$94)),MAX(0,$B$94-3*SQRT($B$94*(1-$B$94)/H479)),"")</f>
        <v/>
      </c>
      <c r="L479" s="11">
        <f>IF(AND(ISNUMBER(H479),ISNUMBER(I479),H479&gt;0,ISNUMBER($B$94)),$B$94+3*SQRT($B$94*(1-$B$94)/H479),"")</f>
        <v/>
      </c>
      <c r="M479" s="13">
        <f>IF(AND(ISNUMBER(J479),ISNUMBER(K479),ISNUMBER(L479)),IF(J479&gt;L479,"boven UCL",IF(J479&lt;K479,"onder LCL","")),"")</f>
        <v/>
      </c>
      <c r="O479" t="n">
        <v>373</v>
      </c>
      <c r="P479" s="7" t="n"/>
      <c r="Q479" s="7" t="n"/>
      <c r="R479" s="11">
        <f>IF(AND(ISNUMBER(P479),ISNUMBER(Q479),P479&gt;0,ISNUMBER($B$100)),Q479/P479,"")</f>
        <v/>
      </c>
      <c r="S479" s="11">
        <f>IF(AND(ISNUMBER(P479),ISNUMBER(Q479),P479&gt;0,ISNUMBER($B$100)),MAX(0,$B$100-3*SQRT($B$100/P479)),"")</f>
        <v/>
      </c>
      <c r="T479" s="11">
        <f>IF(AND(ISNUMBER(P479),ISNUMBER(Q479),P479&gt;0,ISNUMBER($B$100)),$B$100+3*SQRT($B$100/P479),"")</f>
        <v/>
      </c>
      <c r="U479" s="13">
        <f>IF(AND(ISNUMBER(R479),ISNUMBER(S479),ISNUMBER(T479)),IF(R479&gt;T479,"boven UCL",IF(R479&lt;S479,"onder LCL","")),"")</f>
        <v/>
      </c>
    </row>
    <row r="480">
      <c r="A480" t="n">
        <v>374</v>
      </c>
      <c r="B480" s="7" t="n"/>
      <c r="C480" s="11">
        <f>IF(AND(ISNUMBER(B480),ISNUMBER(B479)),ABS(B480-B479),"")</f>
        <v/>
      </c>
      <c r="D480" s="13">
        <f>IF(AND(ISNUMBER(B480),ISNUMBER($B$88),ISNUMBER($D$88)),IF(B480&gt;$D$88,"boven UCL",IF(B480&lt;$B$88,"onder LCL","")),"")</f>
        <v/>
      </c>
      <c r="E480" s="13">
        <f>IF(AND(ISNUMBER(C480),ISNUMBER($B$89),ISNUMBER($D$89)),IF(C480&gt;$D$89,"boven UCL",IF(C480&lt;$B$89,"onder LCL","")),"")</f>
        <v/>
      </c>
      <c r="G480" t="n">
        <v>374</v>
      </c>
      <c r="H480" s="7" t="n"/>
      <c r="I480" s="7" t="n"/>
      <c r="J480" s="11">
        <f>IF(AND(ISNUMBER(H480),ISNUMBER(I480),H480&gt;0,ISNUMBER($B$94)),I480/H480,"")</f>
        <v/>
      </c>
      <c r="K480" s="11">
        <f>IF(AND(ISNUMBER(H480),ISNUMBER(I480),H480&gt;0,ISNUMBER($B$94)),MAX(0,$B$94-3*SQRT($B$94*(1-$B$94)/H480)),"")</f>
        <v/>
      </c>
      <c r="L480" s="11">
        <f>IF(AND(ISNUMBER(H480),ISNUMBER(I480),H480&gt;0,ISNUMBER($B$94)),$B$94+3*SQRT($B$94*(1-$B$94)/H480),"")</f>
        <v/>
      </c>
      <c r="M480" s="13">
        <f>IF(AND(ISNUMBER(J480),ISNUMBER(K480),ISNUMBER(L480)),IF(J480&gt;L480,"boven UCL",IF(J480&lt;K480,"onder LCL","")),"")</f>
        <v/>
      </c>
      <c r="O480" t="n">
        <v>374</v>
      </c>
      <c r="P480" s="7" t="n"/>
      <c r="Q480" s="7" t="n"/>
      <c r="R480" s="11">
        <f>IF(AND(ISNUMBER(P480),ISNUMBER(Q480),P480&gt;0,ISNUMBER($B$100)),Q480/P480,"")</f>
        <v/>
      </c>
      <c r="S480" s="11">
        <f>IF(AND(ISNUMBER(P480),ISNUMBER(Q480),P480&gt;0,ISNUMBER($B$100)),MAX(0,$B$100-3*SQRT($B$100/P480)),"")</f>
        <v/>
      </c>
      <c r="T480" s="11">
        <f>IF(AND(ISNUMBER(P480),ISNUMBER(Q480),P480&gt;0,ISNUMBER($B$100)),$B$100+3*SQRT($B$100/P480),"")</f>
        <v/>
      </c>
      <c r="U480" s="13">
        <f>IF(AND(ISNUMBER(R480),ISNUMBER(S480),ISNUMBER(T480)),IF(R480&gt;T480,"boven UCL",IF(R480&lt;S480,"onder LCL","")),"")</f>
        <v/>
      </c>
    </row>
    <row r="481">
      <c r="A481" t="n">
        <v>375</v>
      </c>
      <c r="B481" s="7" t="n"/>
      <c r="C481" s="11">
        <f>IF(AND(ISNUMBER(B481),ISNUMBER(B480)),ABS(B481-B480),"")</f>
        <v/>
      </c>
      <c r="D481" s="13">
        <f>IF(AND(ISNUMBER(B481),ISNUMBER($B$88),ISNUMBER($D$88)),IF(B481&gt;$D$88,"boven UCL",IF(B481&lt;$B$88,"onder LCL","")),"")</f>
        <v/>
      </c>
      <c r="E481" s="13">
        <f>IF(AND(ISNUMBER(C481),ISNUMBER($B$89),ISNUMBER($D$89)),IF(C481&gt;$D$89,"boven UCL",IF(C481&lt;$B$89,"onder LCL","")),"")</f>
        <v/>
      </c>
      <c r="G481" t="n">
        <v>375</v>
      </c>
      <c r="H481" s="7" t="n"/>
      <c r="I481" s="7" t="n"/>
      <c r="J481" s="11">
        <f>IF(AND(ISNUMBER(H481),ISNUMBER(I481),H481&gt;0,ISNUMBER($B$94)),I481/H481,"")</f>
        <v/>
      </c>
      <c r="K481" s="11">
        <f>IF(AND(ISNUMBER(H481),ISNUMBER(I481),H481&gt;0,ISNUMBER($B$94)),MAX(0,$B$94-3*SQRT($B$94*(1-$B$94)/H481)),"")</f>
        <v/>
      </c>
      <c r="L481" s="11">
        <f>IF(AND(ISNUMBER(H481),ISNUMBER(I481),H481&gt;0,ISNUMBER($B$94)),$B$94+3*SQRT($B$94*(1-$B$94)/H481),"")</f>
        <v/>
      </c>
      <c r="M481" s="13">
        <f>IF(AND(ISNUMBER(J481),ISNUMBER(K481),ISNUMBER(L481)),IF(J481&gt;L481,"boven UCL",IF(J481&lt;K481,"onder LCL","")),"")</f>
        <v/>
      </c>
      <c r="O481" t="n">
        <v>375</v>
      </c>
      <c r="P481" s="7" t="n"/>
      <c r="Q481" s="7" t="n"/>
      <c r="R481" s="11">
        <f>IF(AND(ISNUMBER(P481),ISNUMBER(Q481),P481&gt;0,ISNUMBER($B$100)),Q481/P481,"")</f>
        <v/>
      </c>
      <c r="S481" s="11">
        <f>IF(AND(ISNUMBER(P481),ISNUMBER(Q481),P481&gt;0,ISNUMBER($B$100)),MAX(0,$B$100-3*SQRT($B$100/P481)),"")</f>
        <v/>
      </c>
      <c r="T481" s="11">
        <f>IF(AND(ISNUMBER(P481),ISNUMBER(Q481),P481&gt;0,ISNUMBER($B$100)),$B$100+3*SQRT($B$100/P481),"")</f>
        <v/>
      </c>
      <c r="U481" s="13">
        <f>IF(AND(ISNUMBER(R481),ISNUMBER(S481),ISNUMBER(T481)),IF(R481&gt;T481,"boven UCL",IF(R481&lt;S481,"onder LCL","")),"")</f>
        <v/>
      </c>
    </row>
    <row r="482">
      <c r="A482" t="n">
        <v>376</v>
      </c>
      <c r="B482" s="7" t="n"/>
      <c r="C482" s="11">
        <f>IF(AND(ISNUMBER(B482),ISNUMBER(B481)),ABS(B482-B481),"")</f>
        <v/>
      </c>
      <c r="D482" s="13">
        <f>IF(AND(ISNUMBER(B482),ISNUMBER($B$88),ISNUMBER($D$88)),IF(B482&gt;$D$88,"boven UCL",IF(B482&lt;$B$88,"onder LCL","")),"")</f>
        <v/>
      </c>
      <c r="E482" s="13">
        <f>IF(AND(ISNUMBER(C482),ISNUMBER($B$89),ISNUMBER($D$89)),IF(C482&gt;$D$89,"boven UCL",IF(C482&lt;$B$89,"onder LCL","")),"")</f>
        <v/>
      </c>
      <c r="G482" t="n">
        <v>376</v>
      </c>
      <c r="H482" s="7" t="n"/>
      <c r="I482" s="7" t="n"/>
      <c r="J482" s="11">
        <f>IF(AND(ISNUMBER(H482),ISNUMBER(I482),H482&gt;0,ISNUMBER($B$94)),I482/H482,"")</f>
        <v/>
      </c>
      <c r="K482" s="11">
        <f>IF(AND(ISNUMBER(H482),ISNUMBER(I482),H482&gt;0,ISNUMBER($B$94)),MAX(0,$B$94-3*SQRT($B$94*(1-$B$94)/H482)),"")</f>
        <v/>
      </c>
      <c r="L482" s="11">
        <f>IF(AND(ISNUMBER(H482),ISNUMBER(I482),H482&gt;0,ISNUMBER($B$94)),$B$94+3*SQRT($B$94*(1-$B$94)/H482),"")</f>
        <v/>
      </c>
      <c r="M482" s="13">
        <f>IF(AND(ISNUMBER(J482),ISNUMBER(K482),ISNUMBER(L482)),IF(J482&gt;L482,"boven UCL",IF(J482&lt;K482,"onder LCL","")),"")</f>
        <v/>
      </c>
      <c r="O482" t="n">
        <v>376</v>
      </c>
      <c r="P482" s="7" t="n"/>
      <c r="Q482" s="7" t="n"/>
      <c r="R482" s="11">
        <f>IF(AND(ISNUMBER(P482),ISNUMBER(Q482),P482&gt;0,ISNUMBER($B$100)),Q482/P482,"")</f>
        <v/>
      </c>
      <c r="S482" s="11">
        <f>IF(AND(ISNUMBER(P482),ISNUMBER(Q482),P482&gt;0,ISNUMBER($B$100)),MAX(0,$B$100-3*SQRT($B$100/P482)),"")</f>
        <v/>
      </c>
      <c r="T482" s="11">
        <f>IF(AND(ISNUMBER(P482),ISNUMBER(Q482),P482&gt;0,ISNUMBER($B$100)),$B$100+3*SQRT($B$100/P482),"")</f>
        <v/>
      </c>
      <c r="U482" s="13">
        <f>IF(AND(ISNUMBER(R482),ISNUMBER(S482),ISNUMBER(T482)),IF(R482&gt;T482,"boven UCL",IF(R482&lt;S482,"onder LCL","")),"")</f>
        <v/>
      </c>
    </row>
    <row r="483">
      <c r="A483" t="n">
        <v>377</v>
      </c>
      <c r="B483" s="7" t="n"/>
      <c r="C483" s="11">
        <f>IF(AND(ISNUMBER(B483),ISNUMBER(B482)),ABS(B483-B482),"")</f>
        <v/>
      </c>
      <c r="D483" s="13">
        <f>IF(AND(ISNUMBER(B483),ISNUMBER($B$88),ISNUMBER($D$88)),IF(B483&gt;$D$88,"boven UCL",IF(B483&lt;$B$88,"onder LCL","")),"")</f>
        <v/>
      </c>
      <c r="E483" s="13">
        <f>IF(AND(ISNUMBER(C483),ISNUMBER($B$89),ISNUMBER($D$89)),IF(C483&gt;$D$89,"boven UCL",IF(C483&lt;$B$89,"onder LCL","")),"")</f>
        <v/>
      </c>
      <c r="G483" t="n">
        <v>377</v>
      </c>
      <c r="H483" s="7" t="n"/>
      <c r="I483" s="7" t="n"/>
      <c r="J483" s="11">
        <f>IF(AND(ISNUMBER(H483),ISNUMBER(I483),H483&gt;0,ISNUMBER($B$94)),I483/H483,"")</f>
        <v/>
      </c>
      <c r="K483" s="11">
        <f>IF(AND(ISNUMBER(H483),ISNUMBER(I483),H483&gt;0,ISNUMBER($B$94)),MAX(0,$B$94-3*SQRT($B$94*(1-$B$94)/H483)),"")</f>
        <v/>
      </c>
      <c r="L483" s="11">
        <f>IF(AND(ISNUMBER(H483),ISNUMBER(I483),H483&gt;0,ISNUMBER($B$94)),$B$94+3*SQRT($B$94*(1-$B$94)/H483),"")</f>
        <v/>
      </c>
      <c r="M483" s="13">
        <f>IF(AND(ISNUMBER(J483),ISNUMBER(K483),ISNUMBER(L483)),IF(J483&gt;L483,"boven UCL",IF(J483&lt;K483,"onder LCL","")),"")</f>
        <v/>
      </c>
      <c r="O483" t="n">
        <v>377</v>
      </c>
      <c r="P483" s="7" t="n"/>
      <c r="Q483" s="7" t="n"/>
      <c r="R483" s="11">
        <f>IF(AND(ISNUMBER(P483),ISNUMBER(Q483),P483&gt;0,ISNUMBER($B$100)),Q483/P483,"")</f>
        <v/>
      </c>
      <c r="S483" s="11">
        <f>IF(AND(ISNUMBER(P483),ISNUMBER(Q483),P483&gt;0,ISNUMBER($B$100)),MAX(0,$B$100-3*SQRT($B$100/P483)),"")</f>
        <v/>
      </c>
      <c r="T483" s="11">
        <f>IF(AND(ISNUMBER(P483),ISNUMBER(Q483),P483&gt;0,ISNUMBER($B$100)),$B$100+3*SQRT($B$100/P483),"")</f>
        <v/>
      </c>
      <c r="U483" s="13">
        <f>IF(AND(ISNUMBER(R483),ISNUMBER(S483),ISNUMBER(T483)),IF(R483&gt;T483,"boven UCL",IF(R483&lt;S483,"onder LCL","")),"")</f>
        <v/>
      </c>
    </row>
    <row r="484">
      <c r="A484" t="n">
        <v>378</v>
      </c>
      <c r="B484" s="7" t="n"/>
      <c r="C484" s="11">
        <f>IF(AND(ISNUMBER(B484),ISNUMBER(B483)),ABS(B484-B483),"")</f>
        <v/>
      </c>
      <c r="D484" s="13">
        <f>IF(AND(ISNUMBER(B484),ISNUMBER($B$88),ISNUMBER($D$88)),IF(B484&gt;$D$88,"boven UCL",IF(B484&lt;$B$88,"onder LCL","")),"")</f>
        <v/>
      </c>
      <c r="E484" s="13">
        <f>IF(AND(ISNUMBER(C484),ISNUMBER($B$89),ISNUMBER($D$89)),IF(C484&gt;$D$89,"boven UCL",IF(C484&lt;$B$89,"onder LCL","")),"")</f>
        <v/>
      </c>
      <c r="G484" t="n">
        <v>378</v>
      </c>
      <c r="H484" s="7" t="n"/>
      <c r="I484" s="7" t="n"/>
      <c r="J484" s="11">
        <f>IF(AND(ISNUMBER(H484),ISNUMBER(I484),H484&gt;0,ISNUMBER($B$94)),I484/H484,"")</f>
        <v/>
      </c>
      <c r="K484" s="11">
        <f>IF(AND(ISNUMBER(H484),ISNUMBER(I484),H484&gt;0,ISNUMBER($B$94)),MAX(0,$B$94-3*SQRT($B$94*(1-$B$94)/H484)),"")</f>
        <v/>
      </c>
      <c r="L484" s="11">
        <f>IF(AND(ISNUMBER(H484),ISNUMBER(I484),H484&gt;0,ISNUMBER($B$94)),$B$94+3*SQRT($B$94*(1-$B$94)/H484),"")</f>
        <v/>
      </c>
      <c r="M484" s="13">
        <f>IF(AND(ISNUMBER(J484),ISNUMBER(K484),ISNUMBER(L484)),IF(J484&gt;L484,"boven UCL",IF(J484&lt;K484,"onder LCL","")),"")</f>
        <v/>
      </c>
      <c r="O484" t="n">
        <v>378</v>
      </c>
      <c r="P484" s="7" t="n"/>
      <c r="Q484" s="7" t="n"/>
      <c r="R484" s="11">
        <f>IF(AND(ISNUMBER(P484),ISNUMBER(Q484),P484&gt;0,ISNUMBER($B$100)),Q484/P484,"")</f>
        <v/>
      </c>
      <c r="S484" s="11">
        <f>IF(AND(ISNUMBER(P484),ISNUMBER(Q484),P484&gt;0,ISNUMBER($B$100)),MAX(0,$B$100-3*SQRT($B$100/P484)),"")</f>
        <v/>
      </c>
      <c r="T484" s="11">
        <f>IF(AND(ISNUMBER(P484),ISNUMBER(Q484),P484&gt;0,ISNUMBER($B$100)),$B$100+3*SQRT($B$100/P484),"")</f>
        <v/>
      </c>
      <c r="U484" s="13">
        <f>IF(AND(ISNUMBER(R484),ISNUMBER(S484),ISNUMBER(T484)),IF(R484&gt;T484,"boven UCL",IF(R484&lt;S484,"onder LCL","")),"")</f>
        <v/>
      </c>
    </row>
    <row r="485">
      <c r="A485" t="n">
        <v>379</v>
      </c>
      <c r="B485" s="7" t="n"/>
      <c r="C485" s="11">
        <f>IF(AND(ISNUMBER(B485),ISNUMBER(B484)),ABS(B485-B484),"")</f>
        <v/>
      </c>
      <c r="D485" s="13">
        <f>IF(AND(ISNUMBER(B485),ISNUMBER($B$88),ISNUMBER($D$88)),IF(B485&gt;$D$88,"boven UCL",IF(B485&lt;$B$88,"onder LCL","")),"")</f>
        <v/>
      </c>
      <c r="E485" s="13">
        <f>IF(AND(ISNUMBER(C485),ISNUMBER($B$89),ISNUMBER($D$89)),IF(C485&gt;$D$89,"boven UCL",IF(C485&lt;$B$89,"onder LCL","")),"")</f>
        <v/>
      </c>
      <c r="G485" t="n">
        <v>379</v>
      </c>
      <c r="H485" s="7" t="n"/>
      <c r="I485" s="7" t="n"/>
      <c r="J485" s="11">
        <f>IF(AND(ISNUMBER(H485),ISNUMBER(I485),H485&gt;0,ISNUMBER($B$94)),I485/H485,"")</f>
        <v/>
      </c>
      <c r="K485" s="11">
        <f>IF(AND(ISNUMBER(H485),ISNUMBER(I485),H485&gt;0,ISNUMBER($B$94)),MAX(0,$B$94-3*SQRT($B$94*(1-$B$94)/H485)),"")</f>
        <v/>
      </c>
      <c r="L485" s="11">
        <f>IF(AND(ISNUMBER(H485),ISNUMBER(I485),H485&gt;0,ISNUMBER($B$94)),$B$94+3*SQRT($B$94*(1-$B$94)/H485),"")</f>
        <v/>
      </c>
      <c r="M485" s="13">
        <f>IF(AND(ISNUMBER(J485),ISNUMBER(K485),ISNUMBER(L485)),IF(J485&gt;L485,"boven UCL",IF(J485&lt;K485,"onder LCL","")),"")</f>
        <v/>
      </c>
      <c r="O485" t="n">
        <v>379</v>
      </c>
      <c r="P485" s="7" t="n"/>
      <c r="Q485" s="7" t="n"/>
      <c r="R485" s="11">
        <f>IF(AND(ISNUMBER(P485),ISNUMBER(Q485),P485&gt;0,ISNUMBER($B$100)),Q485/P485,"")</f>
        <v/>
      </c>
      <c r="S485" s="11">
        <f>IF(AND(ISNUMBER(P485),ISNUMBER(Q485),P485&gt;0,ISNUMBER($B$100)),MAX(0,$B$100-3*SQRT($B$100/P485)),"")</f>
        <v/>
      </c>
      <c r="T485" s="11">
        <f>IF(AND(ISNUMBER(P485),ISNUMBER(Q485),P485&gt;0,ISNUMBER($B$100)),$B$100+3*SQRT($B$100/P485),"")</f>
        <v/>
      </c>
      <c r="U485" s="13">
        <f>IF(AND(ISNUMBER(R485),ISNUMBER(S485),ISNUMBER(T485)),IF(R485&gt;T485,"boven UCL",IF(R485&lt;S485,"onder LCL","")),"")</f>
        <v/>
      </c>
    </row>
    <row r="486">
      <c r="A486" t="n">
        <v>380</v>
      </c>
      <c r="B486" s="7" t="n"/>
      <c r="C486" s="11">
        <f>IF(AND(ISNUMBER(B486),ISNUMBER(B485)),ABS(B486-B485),"")</f>
        <v/>
      </c>
      <c r="D486" s="13">
        <f>IF(AND(ISNUMBER(B486),ISNUMBER($B$88),ISNUMBER($D$88)),IF(B486&gt;$D$88,"boven UCL",IF(B486&lt;$B$88,"onder LCL","")),"")</f>
        <v/>
      </c>
      <c r="E486" s="13">
        <f>IF(AND(ISNUMBER(C486),ISNUMBER($B$89),ISNUMBER($D$89)),IF(C486&gt;$D$89,"boven UCL",IF(C486&lt;$B$89,"onder LCL","")),"")</f>
        <v/>
      </c>
      <c r="G486" t="n">
        <v>380</v>
      </c>
      <c r="H486" s="7" t="n"/>
      <c r="I486" s="7" t="n"/>
      <c r="J486" s="11">
        <f>IF(AND(ISNUMBER(H486),ISNUMBER(I486),H486&gt;0,ISNUMBER($B$94)),I486/H486,"")</f>
        <v/>
      </c>
      <c r="K486" s="11">
        <f>IF(AND(ISNUMBER(H486),ISNUMBER(I486),H486&gt;0,ISNUMBER($B$94)),MAX(0,$B$94-3*SQRT($B$94*(1-$B$94)/H486)),"")</f>
        <v/>
      </c>
      <c r="L486" s="11">
        <f>IF(AND(ISNUMBER(H486),ISNUMBER(I486),H486&gt;0,ISNUMBER($B$94)),$B$94+3*SQRT($B$94*(1-$B$94)/H486),"")</f>
        <v/>
      </c>
      <c r="M486" s="13">
        <f>IF(AND(ISNUMBER(J486),ISNUMBER(K486),ISNUMBER(L486)),IF(J486&gt;L486,"boven UCL",IF(J486&lt;K486,"onder LCL","")),"")</f>
        <v/>
      </c>
      <c r="O486" t="n">
        <v>380</v>
      </c>
      <c r="P486" s="7" t="n"/>
      <c r="Q486" s="7" t="n"/>
      <c r="R486" s="11">
        <f>IF(AND(ISNUMBER(P486),ISNUMBER(Q486),P486&gt;0,ISNUMBER($B$100)),Q486/P486,"")</f>
        <v/>
      </c>
      <c r="S486" s="11">
        <f>IF(AND(ISNUMBER(P486),ISNUMBER(Q486),P486&gt;0,ISNUMBER($B$100)),MAX(0,$B$100-3*SQRT($B$100/P486)),"")</f>
        <v/>
      </c>
      <c r="T486" s="11">
        <f>IF(AND(ISNUMBER(P486),ISNUMBER(Q486),P486&gt;0,ISNUMBER($B$100)),$B$100+3*SQRT($B$100/P486),"")</f>
        <v/>
      </c>
      <c r="U486" s="13">
        <f>IF(AND(ISNUMBER(R486),ISNUMBER(S486),ISNUMBER(T486)),IF(R486&gt;T486,"boven UCL",IF(R486&lt;S486,"onder LCL","")),"")</f>
        <v/>
      </c>
    </row>
    <row r="487">
      <c r="A487" t="n">
        <v>381</v>
      </c>
      <c r="B487" s="7" t="n"/>
      <c r="C487" s="11">
        <f>IF(AND(ISNUMBER(B487),ISNUMBER(B486)),ABS(B487-B486),"")</f>
        <v/>
      </c>
      <c r="D487" s="13">
        <f>IF(AND(ISNUMBER(B487),ISNUMBER($B$88),ISNUMBER($D$88)),IF(B487&gt;$D$88,"boven UCL",IF(B487&lt;$B$88,"onder LCL","")),"")</f>
        <v/>
      </c>
      <c r="E487" s="13">
        <f>IF(AND(ISNUMBER(C487),ISNUMBER($B$89),ISNUMBER($D$89)),IF(C487&gt;$D$89,"boven UCL",IF(C487&lt;$B$89,"onder LCL","")),"")</f>
        <v/>
      </c>
      <c r="G487" t="n">
        <v>381</v>
      </c>
      <c r="H487" s="7" t="n"/>
      <c r="I487" s="7" t="n"/>
      <c r="J487" s="11">
        <f>IF(AND(ISNUMBER(H487),ISNUMBER(I487),H487&gt;0,ISNUMBER($B$94)),I487/H487,"")</f>
        <v/>
      </c>
      <c r="K487" s="11">
        <f>IF(AND(ISNUMBER(H487),ISNUMBER(I487),H487&gt;0,ISNUMBER($B$94)),MAX(0,$B$94-3*SQRT($B$94*(1-$B$94)/H487)),"")</f>
        <v/>
      </c>
      <c r="L487" s="11">
        <f>IF(AND(ISNUMBER(H487),ISNUMBER(I487),H487&gt;0,ISNUMBER($B$94)),$B$94+3*SQRT($B$94*(1-$B$94)/H487),"")</f>
        <v/>
      </c>
      <c r="M487" s="13">
        <f>IF(AND(ISNUMBER(J487),ISNUMBER(K487),ISNUMBER(L487)),IF(J487&gt;L487,"boven UCL",IF(J487&lt;K487,"onder LCL","")),"")</f>
        <v/>
      </c>
      <c r="O487" t="n">
        <v>381</v>
      </c>
      <c r="P487" s="7" t="n"/>
      <c r="Q487" s="7" t="n"/>
      <c r="R487" s="11">
        <f>IF(AND(ISNUMBER(P487),ISNUMBER(Q487),P487&gt;0,ISNUMBER($B$100)),Q487/P487,"")</f>
        <v/>
      </c>
      <c r="S487" s="11">
        <f>IF(AND(ISNUMBER(P487),ISNUMBER(Q487),P487&gt;0,ISNUMBER($B$100)),MAX(0,$B$100-3*SQRT($B$100/P487)),"")</f>
        <v/>
      </c>
      <c r="T487" s="11">
        <f>IF(AND(ISNUMBER(P487),ISNUMBER(Q487),P487&gt;0,ISNUMBER($B$100)),$B$100+3*SQRT($B$100/P487),"")</f>
        <v/>
      </c>
      <c r="U487" s="13">
        <f>IF(AND(ISNUMBER(R487),ISNUMBER(S487),ISNUMBER(T487)),IF(R487&gt;T487,"boven UCL",IF(R487&lt;S487,"onder LCL","")),"")</f>
        <v/>
      </c>
    </row>
    <row r="488">
      <c r="A488" t="n">
        <v>382</v>
      </c>
      <c r="B488" s="7" t="n"/>
      <c r="C488" s="11">
        <f>IF(AND(ISNUMBER(B488),ISNUMBER(B487)),ABS(B488-B487),"")</f>
        <v/>
      </c>
      <c r="D488" s="13">
        <f>IF(AND(ISNUMBER(B488),ISNUMBER($B$88),ISNUMBER($D$88)),IF(B488&gt;$D$88,"boven UCL",IF(B488&lt;$B$88,"onder LCL","")),"")</f>
        <v/>
      </c>
      <c r="E488" s="13">
        <f>IF(AND(ISNUMBER(C488),ISNUMBER($B$89),ISNUMBER($D$89)),IF(C488&gt;$D$89,"boven UCL",IF(C488&lt;$B$89,"onder LCL","")),"")</f>
        <v/>
      </c>
      <c r="G488" t="n">
        <v>382</v>
      </c>
      <c r="H488" s="7" t="n"/>
      <c r="I488" s="7" t="n"/>
      <c r="J488" s="11">
        <f>IF(AND(ISNUMBER(H488),ISNUMBER(I488),H488&gt;0,ISNUMBER($B$94)),I488/H488,"")</f>
        <v/>
      </c>
      <c r="K488" s="11">
        <f>IF(AND(ISNUMBER(H488),ISNUMBER(I488),H488&gt;0,ISNUMBER($B$94)),MAX(0,$B$94-3*SQRT($B$94*(1-$B$94)/H488)),"")</f>
        <v/>
      </c>
      <c r="L488" s="11">
        <f>IF(AND(ISNUMBER(H488),ISNUMBER(I488),H488&gt;0,ISNUMBER($B$94)),$B$94+3*SQRT($B$94*(1-$B$94)/H488),"")</f>
        <v/>
      </c>
      <c r="M488" s="13">
        <f>IF(AND(ISNUMBER(J488),ISNUMBER(K488),ISNUMBER(L488)),IF(J488&gt;L488,"boven UCL",IF(J488&lt;K488,"onder LCL","")),"")</f>
        <v/>
      </c>
      <c r="O488" t="n">
        <v>382</v>
      </c>
      <c r="P488" s="7" t="n"/>
      <c r="Q488" s="7" t="n"/>
      <c r="R488" s="11">
        <f>IF(AND(ISNUMBER(P488),ISNUMBER(Q488),P488&gt;0,ISNUMBER($B$100)),Q488/P488,"")</f>
        <v/>
      </c>
      <c r="S488" s="11">
        <f>IF(AND(ISNUMBER(P488),ISNUMBER(Q488),P488&gt;0,ISNUMBER($B$100)),MAX(0,$B$100-3*SQRT($B$100/P488)),"")</f>
        <v/>
      </c>
      <c r="T488" s="11">
        <f>IF(AND(ISNUMBER(P488),ISNUMBER(Q488),P488&gt;0,ISNUMBER($B$100)),$B$100+3*SQRT($B$100/P488),"")</f>
        <v/>
      </c>
      <c r="U488" s="13">
        <f>IF(AND(ISNUMBER(R488),ISNUMBER(S488),ISNUMBER(T488)),IF(R488&gt;T488,"boven UCL",IF(R488&lt;S488,"onder LCL","")),"")</f>
        <v/>
      </c>
    </row>
    <row r="489">
      <c r="A489" t="n">
        <v>383</v>
      </c>
      <c r="B489" s="7" t="n"/>
      <c r="C489" s="11">
        <f>IF(AND(ISNUMBER(B489),ISNUMBER(B488)),ABS(B489-B488),"")</f>
        <v/>
      </c>
      <c r="D489" s="13">
        <f>IF(AND(ISNUMBER(B489),ISNUMBER($B$88),ISNUMBER($D$88)),IF(B489&gt;$D$88,"boven UCL",IF(B489&lt;$B$88,"onder LCL","")),"")</f>
        <v/>
      </c>
      <c r="E489" s="13">
        <f>IF(AND(ISNUMBER(C489),ISNUMBER($B$89),ISNUMBER($D$89)),IF(C489&gt;$D$89,"boven UCL",IF(C489&lt;$B$89,"onder LCL","")),"")</f>
        <v/>
      </c>
      <c r="G489" t="n">
        <v>383</v>
      </c>
      <c r="H489" s="7" t="n"/>
      <c r="I489" s="7" t="n"/>
      <c r="J489" s="11">
        <f>IF(AND(ISNUMBER(H489),ISNUMBER(I489),H489&gt;0,ISNUMBER($B$94)),I489/H489,"")</f>
        <v/>
      </c>
      <c r="K489" s="11">
        <f>IF(AND(ISNUMBER(H489),ISNUMBER(I489),H489&gt;0,ISNUMBER($B$94)),MAX(0,$B$94-3*SQRT($B$94*(1-$B$94)/H489)),"")</f>
        <v/>
      </c>
      <c r="L489" s="11">
        <f>IF(AND(ISNUMBER(H489),ISNUMBER(I489),H489&gt;0,ISNUMBER($B$94)),$B$94+3*SQRT($B$94*(1-$B$94)/H489),"")</f>
        <v/>
      </c>
      <c r="M489" s="13">
        <f>IF(AND(ISNUMBER(J489),ISNUMBER(K489),ISNUMBER(L489)),IF(J489&gt;L489,"boven UCL",IF(J489&lt;K489,"onder LCL","")),"")</f>
        <v/>
      </c>
      <c r="O489" t="n">
        <v>383</v>
      </c>
      <c r="P489" s="7" t="n"/>
      <c r="Q489" s="7" t="n"/>
      <c r="R489" s="11">
        <f>IF(AND(ISNUMBER(P489),ISNUMBER(Q489),P489&gt;0,ISNUMBER($B$100)),Q489/P489,"")</f>
        <v/>
      </c>
      <c r="S489" s="11">
        <f>IF(AND(ISNUMBER(P489),ISNUMBER(Q489),P489&gt;0,ISNUMBER($B$100)),MAX(0,$B$100-3*SQRT($B$100/P489)),"")</f>
        <v/>
      </c>
      <c r="T489" s="11">
        <f>IF(AND(ISNUMBER(P489),ISNUMBER(Q489),P489&gt;0,ISNUMBER($B$100)),$B$100+3*SQRT($B$100/P489),"")</f>
        <v/>
      </c>
      <c r="U489" s="13">
        <f>IF(AND(ISNUMBER(R489),ISNUMBER(S489),ISNUMBER(T489)),IF(R489&gt;T489,"boven UCL",IF(R489&lt;S489,"onder LCL","")),"")</f>
        <v/>
      </c>
    </row>
    <row r="490">
      <c r="A490" t="n">
        <v>384</v>
      </c>
      <c r="B490" s="7" t="n"/>
      <c r="C490" s="11">
        <f>IF(AND(ISNUMBER(B490),ISNUMBER(B489)),ABS(B490-B489),"")</f>
        <v/>
      </c>
      <c r="D490" s="13">
        <f>IF(AND(ISNUMBER(B490),ISNUMBER($B$88),ISNUMBER($D$88)),IF(B490&gt;$D$88,"boven UCL",IF(B490&lt;$B$88,"onder LCL","")),"")</f>
        <v/>
      </c>
      <c r="E490" s="13">
        <f>IF(AND(ISNUMBER(C490),ISNUMBER($B$89),ISNUMBER($D$89)),IF(C490&gt;$D$89,"boven UCL",IF(C490&lt;$B$89,"onder LCL","")),"")</f>
        <v/>
      </c>
      <c r="G490" t="n">
        <v>384</v>
      </c>
      <c r="H490" s="7" t="n"/>
      <c r="I490" s="7" t="n"/>
      <c r="J490" s="11">
        <f>IF(AND(ISNUMBER(H490),ISNUMBER(I490),H490&gt;0,ISNUMBER($B$94)),I490/H490,"")</f>
        <v/>
      </c>
      <c r="K490" s="11">
        <f>IF(AND(ISNUMBER(H490),ISNUMBER(I490),H490&gt;0,ISNUMBER($B$94)),MAX(0,$B$94-3*SQRT($B$94*(1-$B$94)/H490)),"")</f>
        <v/>
      </c>
      <c r="L490" s="11">
        <f>IF(AND(ISNUMBER(H490),ISNUMBER(I490),H490&gt;0,ISNUMBER($B$94)),$B$94+3*SQRT($B$94*(1-$B$94)/H490),"")</f>
        <v/>
      </c>
      <c r="M490" s="13">
        <f>IF(AND(ISNUMBER(J490),ISNUMBER(K490),ISNUMBER(L490)),IF(J490&gt;L490,"boven UCL",IF(J490&lt;K490,"onder LCL","")),"")</f>
        <v/>
      </c>
      <c r="O490" t="n">
        <v>384</v>
      </c>
      <c r="P490" s="7" t="n"/>
      <c r="Q490" s="7" t="n"/>
      <c r="R490" s="11">
        <f>IF(AND(ISNUMBER(P490),ISNUMBER(Q490),P490&gt;0,ISNUMBER($B$100)),Q490/P490,"")</f>
        <v/>
      </c>
      <c r="S490" s="11">
        <f>IF(AND(ISNUMBER(P490),ISNUMBER(Q490),P490&gt;0,ISNUMBER($B$100)),MAX(0,$B$100-3*SQRT($B$100/P490)),"")</f>
        <v/>
      </c>
      <c r="T490" s="11">
        <f>IF(AND(ISNUMBER(P490),ISNUMBER(Q490),P490&gt;0,ISNUMBER($B$100)),$B$100+3*SQRT($B$100/P490),"")</f>
        <v/>
      </c>
      <c r="U490" s="13">
        <f>IF(AND(ISNUMBER(R490),ISNUMBER(S490),ISNUMBER(T490)),IF(R490&gt;T490,"boven UCL",IF(R490&lt;S490,"onder LCL","")),"")</f>
        <v/>
      </c>
    </row>
    <row r="491">
      <c r="A491" t="n">
        <v>385</v>
      </c>
      <c r="B491" s="7" t="n"/>
      <c r="C491" s="11">
        <f>IF(AND(ISNUMBER(B491),ISNUMBER(B490)),ABS(B491-B490),"")</f>
        <v/>
      </c>
      <c r="D491" s="13">
        <f>IF(AND(ISNUMBER(B491),ISNUMBER($B$88),ISNUMBER($D$88)),IF(B491&gt;$D$88,"boven UCL",IF(B491&lt;$B$88,"onder LCL","")),"")</f>
        <v/>
      </c>
      <c r="E491" s="13">
        <f>IF(AND(ISNUMBER(C491),ISNUMBER($B$89),ISNUMBER($D$89)),IF(C491&gt;$D$89,"boven UCL",IF(C491&lt;$B$89,"onder LCL","")),"")</f>
        <v/>
      </c>
      <c r="G491" t="n">
        <v>385</v>
      </c>
      <c r="H491" s="7" t="n"/>
      <c r="I491" s="7" t="n"/>
      <c r="J491" s="11">
        <f>IF(AND(ISNUMBER(H491),ISNUMBER(I491),H491&gt;0,ISNUMBER($B$94)),I491/H491,"")</f>
        <v/>
      </c>
      <c r="K491" s="11">
        <f>IF(AND(ISNUMBER(H491),ISNUMBER(I491),H491&gt;0,ISNUMBER($B$94)),MAX(0,$B$94-3*SQRT($B$94*(1-$B$94)/H491)),"")</f>
        <v/>
      </c>
      <c r="L491" s="11">
        <f>IF(AND(ISNUMBER(H491),ISNUMBER(I491),H491&gt;0,ISNUMBER($B$94)),$B$94+3*SQRT($B$94*(1-$B$94)/H491),"")</f>
        <v/>
      </c>
      <c r="M491" s="13">
        <f>IF(AND(ISNUMBER(J491),ISNUMBER(K491),ISNUMBER(L491)),IF(J491&gt;L491,"boven UCL",IF(J491&lt;K491,"onder LCL","")),"")</f>
        <v/>
      </c>
      <c r="O491" t="n">
        <v>385</v>
      </c>
      <c r="P491" s="7" t="n"/>
      <c r="Q491" s="7" t="n"/>
      <c r="R491" s="11">
        <f>IF(AND(ISNUMBER(P491),ISNUMBER(Q491),P491&gt;0,ISNUMBER($B$100)),Q491/P491,"")</f>
        <v/>
      </c>
      <c r="S491" s="11">
        <f>IF(AND(ISNUMBER(P491),ISNUMBER(Q491),P491&gt;0,ISNUMBER($B$100)),MAX(0,$B$100-3*SQRT($B$100/P491)),"")</f>
        <v/>
      </c>
      <c r="T491" s="11">
        <f>IF(AND(ISNUMBER(P491),ISNUMBER(Q491),P491&gt;0,ISNUMBER($B$100)),$B$100+3*SQRT($B$100/P491),"")</f>
        <v/>
      </c>
      <c r="U491" s="13">
        <f>IF(AND(ISNUMBER(R491),ISNUMBER(S491),ISNUMBER(T491)),IF(R491&gt;T491,"boven UCL",IF(R491&lt;S491,"onder LCL","")),"")</f>
        <v/>
      </c>
    </row>
    <row r="492">
      <c r="A492" t="n">
        <v>386</v>
      </c>
      <c r="B492" s="7" t="n"/>
      <c r="C492" s="11">
        <f>IF(AND(ISNUMBER(B492),ISNUMBER(B491)),ABS(B492-B491),"")</f>
        <v/>
      </c>
      <c r="D492" s="13">
        <f>IF(AND(ISNUMBER(B492),ISNUMBER($B$88),ISNUMBER($D$88)),IF(B492&gt;$D$88,"boven UCL",IF(B492&lt;$B$88,"onder LCL","")),"")</f>
        <v/>
      </c>
      <c r="E492" s="13">
        <f>IF(AND(ISNUMBER(C492),ISNUMBER($B$89),ISNUMBER($D$89)),IF(C492&gt;$D$89,"boven UCL",IF(C492&lt;$B$89,"onder LCL","")),"")</f>
        <v/>
      </c>
      <c r="G492" t="n">
        <v>386</v>
      </c>
      <c r="H492" s="7" t="n"/>
      <c r="I492" s="7" t="n"/>
      <c r="J492" s="11">
        <f>IF(AND(ISNUMBER(H492),ISNUMBER(I492),H492&gt;0,ISNUMBER($B$94)),I492/H492,"")</f>
        <v/>
      </c>
      <c r="K492" s="11">
        <f>IF(AND(ISNUMBER(H492),ISNUMBER(I492),H492&gt;0,ISNUMBER($B$94)),MAX(0,$B$94-3*SQRT($B$94*(1-$B$94)/H492)),"")</f>
        <v/>
      </c>
      <c r="L492" s="11">
        <f>IF(AND(ISNUMBER(H492),ISNUMBER(I492),H492&gt;0,ISNUMBER($B$94)),$B$94+3*SQRT($B$94*(1-$B$94)/H492),"")</f>
        <v/>
      </c>
      <c r="M492" s="13">
        <f>IF(AND(ISNUMBER(J492),ISNUMBER(K492),ISNUMBER(L492)),IF(J492&gt;L492,"boven UCL",IF(J492&lt;K492,"onder LCL","")),"")</f>
        <v/>
      </c>
      <c r="O492" t="n">
        <v>386</v>
      </c>
      <c r="P492" s="7" t="n"/>
      <c r="Q492" s="7" t="n"/>
      <c r="R492" s="11">
        <f>IF(AND(ISNUMBER(P492),ISNUMBER(Q492),P492&gt;0,ISNUMBER($B$100)),Q492/P492,"")</f>
        <v/>
      </c>
      <c r="S492" s="11">
        <f>IF(AND(ISNUMBER(P492),ISNUMBER(Q492),P492&gt;0,ISNUMBER($B$100)),MAX(0,$B$100-3*SQRT($B$100/P492)),"")</f>
        <v/>
      </c>
      <c r="T492" s="11">
        <f>IF(AND(ISNUMBER(P492),ISNUMBER(Q492),P492&gt;0,ISNUMBER($B$100)),$B$100+3*SQRT($B$100/P492),"")</f>
        <v/>
      </c>
      <c r="U492" s="13">
        <f>IF(AND(ISNUMBER(R492),ISNUMBER(S492),ISNUMBER(T492)),IF(R492&gt;T492,"boven UCL",IF(R492&lt;S492,"onder LCL","")),"")</f>
        <v/>
      </c>
    </row>
    <row r="493">
      <c r="A493" t="n">
        <v>387</v>
      </c>
      <c r="B493" s="7" t="n"/>
      <c r="C493" s="11">
        <f>IF(AND(ISNUMBER(B493),ISNUMBER(B492)),ABS(B493-B492),"")</f>
        <v/>
      </c>
      <c r="D493" s="13">
        <f>IF(AND(ISNUMBER(B493),ISNUMBER($B$88),ISNUMBER($D$88)),IF(B493&gt;$D$88,"boven UCL",IF(B493&lt;$B$88,"onder LCL","")),"")</f>
        <v/>
      </c>
      <c r="E493" s="13">
        <f>IF(AND(ISNUMBER(C493),ISNUMBER($B$89),ISNUMBER($D$89)),IF(C493&gt;$D$89,"boven UCL",IF(C493&lt;$B$89,"onder LCL","")),"")</f>
        <v/>
      </c>
      <c r="G493" t="n">
        <v>387</v>
      </c>
      <c r="H493" s="7" t="n"/>
      <c r="I493" s="7" t="n"/>
      <c r="J493" s="11">
        <f>IF(AND(ISNUMBER(H493),ISNUMBER(I493),H493&gt;0,ISNUMBER($B$94)),I493/H493,"")</f>
        <v/>
      </c>
      <c r="K493" s="11">
        <f>IF(AND(ISNUMBER(H493),ISNUMBER(I493),H493&gt;0,ISNUMBER($B$94)),MAX(0,$B$94-3*SQRT($B$94*(1-$B$94)/H493)),"")</f>
        <v/>
      </c>
      <c r="L493" s="11">
        <f>IF(AND(ISNUMBER(H493),ISNUMBER(I493),H493&gt;0,ISNUMBER($B$94)),$B$94+3*SQRT($B$94*(1-$B$94)/H493),"")</f>
        <v/>
      </c>
      <c r="M493" s="13">
        <f>IF(AND(ISNUMBER(J493),ISNUMBER(K493),ISNUMBER(L493)),IF(J493&gt;L493,"boven UCL",IF(J493&lt;K493,"onder LCL","")),"")</f>
        <v/>
      </c>
      <c r="O493" t="n">
        <v>387</v>
      </c>
      <c r="P493" s="7" t="n"/>
      <c r="Q493" s="7" t="n"/>
      <c r="R493" s="11">
        <f>IF(AND(ISNUMBER(P493),ISNUMBER(Q493),P493&gt;0,ISNUMBER($B$100)),Q493/P493,"")</f>
        <v/>
      </c>
      <c r="S493" s="11">
        <f>IF(AND(ISNUMBER(P493),ISNUMBER(Q493),P493&gt;0,ISNUMBER($B$100)),MAX(0,$B$100-3*SQRT($B$100/P493)),"")</f>
        <v/>
      </c>
      <c r="T493" s="11">
        <f>IF(AND(ISNUMBER(P493),ISNUMBER(Q493),P493&gt;0,ISNUMBER($B$100)),$B$100+3*SQRT($B$100/P493),"")</f>
        <v/>
      </c>
      <c r="U493" s="13">
        <f>IF(AND(ISNUMBER(R493),ISNUMBER(S493),ISNUMBER(T493)),IF(R493&gt;T493,"boven UCL",IF(R493&lt;S493,"onder LCL","")),"")</f>
        <v/>
      </c>
    </row>
    <row r="494">
      <c r="A494" t="n">
        <v>388</v>
      </c>
      <c r="B494" s="7" t="n"/>
      <c r="C494" s="11">
        <f>IF(AND(ISNUMBER(B494),ISNUMBER(B493)),ABS(B494-B493),"")</f>
        <v/>
      </c>
      <c r="D494" s="13">
        <f>IF(AND(ISNUMBER(B494),ISNUMBER($B$88),ISNUMBER($D$88)),IF(B494&gt;$D$88,"boven UCL",IF(B494&lt;$B$88,"onder LCL","")),"")</f>
        <v/>
      </c>
      <c r="E494" s="13">
        <f>IF(AND(ISNUMBER(C494),ISNUMBER($B$89),ISNUMBER($D$89)),IF(C494&gt;$D$89,"boven UCL",IF(C494&lt;$B$89,"onder LCL","")),"")</f>
        <v/>
      </c>
      <c r="G494" t="n">
        <v>388</v>
      </c>
      <c r="H494" s="7" t="n"/>
      <c r="I494" s="7" t="n"/>
      <c r="J494" s="11">
        <f>IF(AND(ISNUMBER(H494),ISNUMBER(I494),H494&gt;0,ISNUMBER($B$94)),I494/H494,"")</f>
        <v/>
      </c>
      <c r="K494" s="11">
        <f>IF(AND(ISNUMBER(H494),ISNUMBER(I494),H494&gt;0,ISNUMBER($B$94)),MAX(0,$B$94-3*SQRT($B$94*(1-$B$94)/H494)),"")</f>
        <v/>
      </c>
      <c r="L494" s="11">
        <f>IF(AND(ISNUMBER(H494),ISNUMBER(I494),H494&gt;0,ISNUMBER($B$94)),$B$94+3*SQRT($B$94*(1-$B$94)/H494),"")</f>
        <v/>
      </c>
      <c r="M494" s="13">
        <f>IF(AND(ISNUMBER(J494),ISNUMBER(K494),ISNUMBER(L494)),IF(J494&gt;L494,"boven UCL",IF(J494&lt;K494,"onder LCL","")),"")</f>
        <v/>
      </c>
      <c r="O494" t="n">
        <v>388</v>
      </c>
      <c r="P494" s="7" t="n"/>
      <c r="Q494" s="7" t="n"/>
      <c r="R494" s="11">
        <f>IF(AND(ISNUMBER(P494),ISNUMBER(Q494),P494&gt;0,ISNUMBER($B$100)),Q494/P494,"")</f>
        <v/>
      </c>
      <c r="S494" s="11">
        <f>IF(AND(ISNUMBER(P494),ISNUMBER(Q494),P494&gt;0,ISNUMBER($B$100)),MAX(0,$B$100-3*SQRT($B$100/P494)),"")</f>
        <v/>
      </c>
      <c r="T494" s="11">
        <f>IF(AND(ISNUMBER(P494),ISNUMBER(Q494),P494&gt;0,ISNUMBER($B$100)),$B$100+3*SQRT($B$100/P494),"")</f>
        <v/>
      </c>
      <c r="U494" s="13">
        <f>IF(AND(ISNUMBER(R494),ISNUMBER(S494),ISNUMBER(T494)),IF(R494&gt;T494,"boven UCL",IF(R494&lt;S494,"onder LCL","")),"")</f>
        <v/>
      </c>
    </row>
    <row r="495">
      <c r="A495" t="n">
        <v>389</v>
      </c>
      <c r="B495" s="7" t="n"/>
      <c r="C495" s="11">
        <f>IF(AND(ISNUMBER(B495),ISNUMBER(B494)),ABS(B495-B494),"")</f>
        <v/>
      </c>
      <c r="D495" s="13">
        <f>IF(AND(ISNUMBER(B495),ISNUMBER($B$88),ISNUMBER($D$88)),IF(B495&gt;$D$88,"boven UCL",IF(B495&lt;$B$88,"onder LCL","")),"")</f>
        <v/>
      </c>
      <c r="E495" s="13">
        <f>IF(AND(ISNUMBER(C495),ISNUMBER($B$89),ISNUMBER($D$89)),IF(C495&gt;$D$89,"boven UCL",IF(C495&lt;$B$89,"onder LCL","")),"")</f>
        <v/>
      </c>
      <c r="G495" t="n">
        <v>389</v>
      </c>
      <c r="H495" s="7" t="n"/>
      <c r="I495" s="7" t="n"/>
      <c r="J495" s="11">
        <f>IF(AND(ISNUMBER(H495),ISNUMBER(I495),H495&gt;0,ISNUMBER($B$94)),I495/H495,"")</f>
        <v/>
      </c>
      <c r="K495" s="11">
        <f>IF(AND(ISNUMBER(H495),ISNUMBER(I495),H495&gt;0,ISNUMBER($B$94)),MAX(0,$B$94-3*SQRT($B$94*(1-$B$94)/H495)),"")</f>
        <v/>
      </c>
      <c r="L495" s="11">
        <f>IF(AND(ISNUMBER(H495),ISNUMBER(I495),H495&gt;0,ISNUMBER($B$94)),$B$94+3*SQRT($B$94*(1-$B$94)/H495),"")</f>
        <v/>
      </c>
      <c r="M495" s="13">
        <f>IF(AND(ISNUMBER(J495),ISNUMBER(K495),ISNUMBER(L495)),IF(J495&gt;L495,"boven UCL",IF(J495&lt;K495,"onder LCL","")),"")</f>
        <v/>
      </c>
      <c r="O495" t="n">
        <v>389</v>
      </c>
      <c r="P495" s="7" t="n"/>
      <c r="Q495" s="7" t="n"/>
      <c r="R495" s="11">
        <f>IF(AND(ISNUMBER(P495),ISNUMBER(Q495),P495&gt;0,ISNUMBER($B$100)),Q495/P495,"")</f>
        <v/>
      </c>
      <c r="S495" s="11">
        <f>IF(AND(ISNUMBER(P495),ISNUMBER(Q495),P495&gt;0,ISNUMBER($B$100)),MAX(0,$B$100-3*SQRT($B$100/P495)),"")</f>
        <v/>
      </c>
      <c r="T495" s="11">
        <f>IF(AND(ISNUMBER(P495),ISNUMBER(Q495),P495&gt;0,ISNUMBER($B$100)),$B$100+3*SQRT($B$100/P495),"")</f>
        <v/>
      </c>
      <c r="U495" s="13">
        <f>IF(AND(ISNUMBER(R495),ISNUMBER(S495),ISNUMBER(T495)),IF(R495&gt;T495,"boven UCL",IF(R495&lt;S495,"onder LCL","")),"")</f>
        <v/>
      </c>
    </row>
    <row r="496">
      <c r="A496" t="n">
        <v>390</v>
      </c>
      <c r="B496" s="7" t="n"/>
      <c r="C496" s="11">
        <f>IF(AND(ISNUMBER(B496),ISNUMBER(B495)),ABS(B496-B495),"")</f>
        <v/>
      </c>
      <c r="D496" s="13">
        <f>IF(AND(ISNUMBER(B496),ISNUMBER($B$88),ISNUMBER($D$88)),IF(B496&gt;$D$88,"boven UCL",IF(B496&lt;$B$88,"onder LCL","")),"")</f>
        <v/>
      </c>
      <c r="E496" s="13">
        <f>IF(AND(ISNUMBER(C496),ISNUMBER($B$89),ISNUMBER($D$89)),IF(C496&gt;$D$89,"boven UCL",IF(C496&lt;$B$89,"onder LCL","")),"")</f>
        <v/>
      </c>
      <c r="G496" t="n">
        <v>390</v>
      </c>
      <c r="H496" s="7" t="n"/>
      <c r="I496" s="7" t="n"/>
      <c r="J496" s="11">
        <f>IF(AND(ISNUMBER(H496),ISNUMBER(I496),H496&gt;0,ISNUMBER($B$94)),I496/H496,"")</f>
        <v/>
      </c>
      <c r="K496" s="11">
        <f>IF(AND(ISNUMBER(H496),ISNUMBER(I496),H496&gt;0,ISNUMBER($B$94)),MAX(0,$B$94-3*SQRT($B$94*(1-$B$94)/H496)),"")</f>
        <v/>
      </c>
      <c r="L496" s="11">
        <f>IF(AND(ISNUMBER(H496),ISNUMBER(I496),H496&gt;0,ISNUMBER($B$94)),$B$94+3*SQRT($B$94*(1-$B$94)/H496),"")</f>
        <v/>
      </c>
      <c r="M496" s="13">
        <f>IF(AND(ISNUMBER(J496),ISNUMBER(K496),ISNUMBER(L496)),IF(J496&gt;L496,"boven UCL",IF(J496&lt;K496,"onder LCL","")),"")</f>
        <v/>
      </c>
      <c r="O496" t="n">
        <v>390</v>
      </c>
      <c r="P496" s="7" t="n"/>
      <c r="Q496" s="7" t="n"/>
      <c r="R496" s="11">
        <f>IF(AND(ISNUMBER(P496),ISNUMBER(Q496),P496&gt;0,ISNUMBER($B$100)),Q496/P496,"")</f>
        <v/>
      </c>
      <c r="S496" s="11">
        <f>IF(AND(ISNUMBER(P496),ISNUMBER(Q496),P496&gt;0,ISNUMBER($B$100)),MAX(0,$B$100-3*SQRT($B$100/P496)),"")</f>
        <v/>
      </c>
      <c r="T496" s="11">
        <f>IF(AND(ISNUMBER(P496),ISNUMBER(Q496),P496&gt;0,ISNUMBER($B$100)),$B$100+3*SQRT($B$100/P496),"")</f>
        <v/>
      </c>
      <c r="U496" s="13">
        <f>IF(AND(ISNUMBER(R496),ISNUMBER(S496),ISNUMBER(T496)),IF(R496&gt;T496,"boven UCL",IF(R496&lt;S496,"onder LCL","")),"")</f>
        <v/>
      </c>
    </row>
    <row r="497">
      <c r="A497" t="n">
        <v>391</v>
      </c>
      <c r="B497" s="7" t="n"/>
      <c r="C497" s="11">
        <f>IF(AND(ISNUMBER(B497),ISNUMBER(B496)),ABS(B497-B496),"")</f>
        <v/>
      </c>
      <c r="D497" s="13">
        <f>IF(AND(ISNUMBER(B497),ISNUMBER($B$88),ISNUMBER($D$88)),IF(B497&gt;$D$88,"boven UCL",IF(B497&lt;$B$88,"onder LCL","")),"")</f>
        <v/>
      </c>
      <c r="E497" s="13">
        <f>IF(AND(ISNUMBER(C497),ISNUMBER($B$89),ISNUMBER($D$89)),IF(C497&gt;$D$89,"boven UCL",IF(C497&lt;$B$89,"onder LCL","")),"")</f>
        <v/>
      </c>
      <c r="G497" t="n">
        <v>391</v>
      </c>
      <c r="H497" s="7" t="n"/>
      <c r="I497" s="7" t="n"/>
      <c r="J497" s="11">
        <f>IF(AND(ISNUMBER(H497),ISNUMBER(I497),H497&gt;0,ISNUMBER($B$94)),I497/H497,"")</f>
        <v/>
      </c>
      <c r="K497" s="11">
        <f>IF(AND(ISNUMBER(H497),ISNUMBER(I497),H497&gt;0,ISNUMBER($B$94)),MAX(0,$B$94-3*SQRT($B$94*(1-$B$94)/H497)),"")</f>
        <v/>
      </c>
      <c r="L497" s="11">
        <f>IF(AND(ISNUMBER(H497),ISNUMBER(I497),H497&gt;0,ISNUMBER($B$94)),$B$94+3*SQRT($B$94*(1-$B$94)/H497),"")</f>
        <v/>
      </c>
      <c r="M497" s="13">
        <f>IF(AND(ISNUMBER(J497),ISNUMBER(K497),ISNUMBER(L497)),IF(J497&gt;L497,"boven UCL",IF(J497&lt;K497,"onder LCL","")),"")</f>
        <v/>
      </c>
      <c r="O497" t="n">
        <v>391</v>
      </c>
      <c r="P497" s="7" t="n"/>
      <c r="Q497" s="7" t="n"/>
      <c r="R497" s="11">
        <f>IF(AND(ISNUMBER(P497),ISNUMBER(Q497),P497&gt;0,ISNUMBER($B$100)),Q497/P497,"")</f>
        <v/>
      </c>
      <c r="S497" s="11">
        <f>IF(AND(ISNUMBER(P497),ISNUMBER(Q497),P497&gt;0,ISNUMBER($B$100)),MAX(0,$B$100-3*SQRT($B$100/P497)),"")</f>
        <v/>
      </c>
      <c r="T497" s="11">
        <f>IF(AND(ISNUMBER(P497),ISNUMBER(Q497),P497&gt;0,ISNUMBER($B$100)),$B$100+3*SQRT($B$100/P497),"")</f>
        <v/>
      </c>
      <c r="U497" s="13">
        <f>IF(AND(ISNUMBER(R497),ISNUMBER(S497),ISNUMBER(T497)),IF(R497&gt;T497,"boven UCL",IF(R497&lt;S497,"onder LCL","")),"")</f>
        <v/>
      </c>
    </row>
    <row r="498">
      <c r="A498" t="n">
        <v>392</v>
      </c>
      <c r="B498" s="7" t="n"/>
      <c r="C498" s="11">
        <f>IF(AND(ISNUMBER(B498),ISNUMBER(B497)),ABS(B498-B497),"")</f>
        <v/>
      </c>
      <c r="D498" s="13">
        <f>IF(AND(ISNUMBER(B498),ISNUMBER($B$88),ISNUMBER($D$88)),IF(B498&gt;$D$88,"boven UCL",IF(B498&lt;$B$88,"onder LCL","")),"")</f>
        <v/>
      </c>
      <c r="E498" s="13">
        <f>IF(AND(ISNUMBER(C498),ISNUMBER($B$89),ISNUMBER($D$89)),IF(C498&gt;$D$89,"boven UCL",IF(C498&lt;$B$89,"onder LCL","")),"")</f>
        <v/>
      </c>
      <c r="G498" t="n">
        <v>392</v>
      </c>
      <c r="H498" s="7" t="n"/>
      <c r="I498" s="7" t="n"/>
      <c r="J498" s="11">
        <f>IF(AND(ISNUMBER(H498),ISNUMBER(I498),H498&gt;0,ISNUMBER($B$94)),I498/H498,"")</f>
        <v/>
      </c>
      <c r="K498" s="11">
        <f>IF(AND(ISNUMBER(H498),ISNUMBER(I498),H498&gt;0,ISNUMBER($B$94)),MAX(0,$B$94-3*SQRT($B$94*(1-$B$94)/H498)),"")</f>
        <v/>
      </c>
      <c r="L498" s="11">
        <f>IF(AND(ISNUMBER(H498),ISNUMBER(I498),H498&gt;0,ISNUMBER($B$94)),$B$94+3*SQRT($B$94*(1-$B$94)/H498),"")</f>
        <v/>
      </c>
      <c r="M498" s="13">
        <f>IF(AND(ISNUMBER(J498),ISNUMBER(K498),ISNUMBER(L498)),IF(J498&gt;L498,"boven UCL",IF(J498&lt;K498,"onder LCL","")),"")</f>
        <v/>
      </c>
      <c r="O498" t="n">
        <v>392</v>
      </c>
      <c r="P498" s="7" t="n"/>
      <c r="Q498" s="7" t="n"/>
      <c r="R498" s="11">
        <f>IF(AND(ISNUMBER(P498),ISNUMBER(Q498),P498&gt;0,ISNUMBER($B$100)),Q498/P498,"")</f>
        <v/>
      </c>
      <c r="S498" s="11">
        <f>IF(AND(ISNUMBER(P498),ISNUMBER(Q498),P498&gt;0,ISNUMBER($B$100)),MAX(0,$B$100-3*SQRT($B$100/P498)),"")</f>
        <v/>
      </c>
      <c r="T498" s="11">
        <f>IF(AND(ISNUMBER(P498),ISNUMBER(Q498),P498&gt;0,ISNUMBER($B$100)),$B$100+3*SQRT($B$100/P498),"")</f>
        <v/>
      </c>
      <c r="U498" s="13">
        <f>IF(AND(ISNUMBER(R498),ISNUMBER(S498),ISNUMBER(T498)),IF(R498&gt;T498,"boven UCL",IF(R498&lt;S498,"onder LCL","")),"")</f>
        <v/>
      </c>
    </row>
    <row r="499">
      <c r="A499" t="n">
        <v>393</v>
      </c>
      <c r="B499" s="7" t="n"/>
      <c r="C499" s="11">
        <f>IF(AND(ISNUMBER(B499),ISNUMBER(B498)),ABS(B499-B498),"")</f>
        <v/>
      </c>
      <c r="D499" s="13">
        <f>IF(AND(ISNUMBER(B499),ISNUMBER($B$88),ISNUMBER($D$88)),IF(B499&gt;$D$88,"boven UCL",IF(B499&lt;$B$88,"onder LCL","")),"")</f>
        <v/>
      </c>
      <c r="E499" s="13">
        <f>IF(AND(ISNUMBER(C499),ISNUMBER($B$89),ISNUMBER($D$89)),IF(C499&gt;$D$89,"boven UCL",IF(C499&lt;$B$89,"onder LCL","")),"")</f>
        <v/>
      </c>
      <c r="G499" t="n">
        <v>393</v>
      </c>
      <c r="H499" s="7" t="n"/>
      <c r="I499" s="7" t="n"/>
      <c r="J499" s="11">
        <f>IF(AND(ISNUMBER(H499),ISNUMBER(I499),H499&gt;0,ISNUMBER($B$94)),I499/H499,"")</f>
        <v/>
      </c>
      <c r="K499" s="11">
        <f>IF(AND(ISNUMBER(H499),ISNUMBER(I499),H499&gt;0,ISNUMBER($B$94)),MAX(0,$B$94-3*SQRT($B$94*(1-$B$94)/H499)),"")</f>
        <v/>
      </c>
      <c r="L499" s="11">
        <f>IF(AND(ISNUMBER(H499),ISNUMBER(I499),H499&gt;0,ISNUMBER($B$94)),$B$94+3*SQRT($B$94*(1-$B$94)/H499),"")</f>
        <v/>
      </c>
      <c r="M499" s="13">
        <f>IF(AND(ISNUMBER(J499),ISNUMBER(K499),ISNUMBER(L499)),IF(J499&gt;L499,"boven UCL",IF(J499&lt;K499,"onder LCL","")),"")</f>
        <v/>
      </c>
      <c r="O499" t="n">
        <v>393</v>
      </c>
      <c r="P499" s="7" t="n"/>
      <c r="Q499" s="7" t="n"/>
      <c r="R499" s="11">
        <f>IF(AND(ISNUMBER(P499),ISNUMBER(Q499),P499&gt;0,ISNUMBER($B$100)),Q499/P499,"")</f>
        <v/>
      </c>
      <c r="S499" s="11">
        <f>IF(AND(ISNUMBER(P499),ISNUMBER(Q499),P499&gt;0,ISNUMBER($B$100)),MAX(0,$B$100-3*SQRT($B$100/P499)),"")</f>
        <v/>
      </c>
      <c r="T499" s="11">
        <f>IF(AND(ISNUMBER(P499),ISNUMBER(Q499),P499&gt;0,ISNUMBER($B$100)),$B$100+3*SQRT($B$100/P499),"")</f>
        <v/>
      </c>
      <c r="U499" s="13">
        <f>IF(AND(ISNUMBER(R499),ISNUMBER(S499),ISNUMBER(T499)),IF(R499&gt;T499,"boven UCL",IF(R499&lt;S499,"onder LCL","")),"")</f>
        <v/>
      </c>
    </row>
    <row r="500">
      <c r="A500" t="n">
        <v>394</v>
      </c>
      <c r="B500" s="7" t="n"/>
      <c r="C500" s="11">
        <f>IF(AND(ISNUMBER(B500),ISNUMBER(B499)),ABS(B500-B499),"")</f>
        <v/>
      </c>
      <c r="D500" s="13">
        <f>IF(AND(ISNUMBER(B500),ISNUMBER($B$88),ISNUMBER($D$88)),IF(B500&gt;$D$88,"boven UCL",IF(B500&lt;$B$88,"onder LCL","")),"")</f>
        <v/>
      </c>
      <c r="E500" s="13">
        <f>IF(AND(ISNUMBER(C500),ISNUMBER($B$89),ISNUMBER($D$89)),IF(C500&gt;$D$89,"boven UCL",IF(C500&lt;$B$89,"onder LCL","")),"")</f>
        <v/>
      </c>
      <c r="G500" t="n">
        <v>394</v>
      </c>
      <c r="H500" s="7" t="n"/>
      <c r="I500" s="7" t="n"/>
      <c r="J500" s="11">
        <f>IF(AND(ISNUMBER(H500),ISNUMBER(I500),H500&gt;0,ISNUMBER($B$94)),I500/H500,"")</f>
        <v/>
      </c>
      <c r="K500" s="11">
        <f>IF(AND(ISNUMBER(H500),ISNUMBER(I500),H500&gt;0,ISNUMBER($B$94)),MAX(0,$B$94-3*SQRT($B$94*(1-$B$94)/H500)),"")</f>
        <v/>
      </c>
      <c r="L500" s="11">
        <f>IF(AND(ISNUMBER(H500),ISNUMBER(I500),H500&gt;0,ISNUMBER($B$94)),$B$94+3*SQRT($B$94*(1-$B$94)/H500),"")</f>
        <v/>
      </c>
      <c r="M500" s="13">
        <f>IF(AND(ISNUMBER(J500),ISNUMBER(K500),ISNUMBER(L500)),IF(J500&gt;L500,"boven UCL",IF(J500&lt;K500,"onder LCL","")),"")</f>
        <v/>
      </c>
      <c r="O500" t="n">
        <v>394</v>
      </c>
      <c r="P500" s="7" t="n"/>
      <c r="Q500" s="7" t="n"/>
      <c r="R500" s="11">
        <f>IF(AND(ISNUMBER(P500),ISNUMBER(Q500),P500&gt;0,ISNUMBER($B$100)),Q500/P500,"")</f>
        <v/>
      </c>
      <c r="S500" s="11">
        <f>IF(AND(ISNUMBER(P500),ISNUMBER(Q500),P500&gt;0,ISNUMBER($B$100)),MAX(0,$B$100-3*SQRT($B$100/P500)),"")</f>
        <v/>
      </c>
      <c r="T500" s="11">
        <f>IF(AND(ISNUMBER(P500),ISNUMBER(Q500),P500&gt;0,ISNUMBER($B$100)),$B$100+3*SQRT($B$100/P500),"")</f>
        <v/>
      </c>
      <c r="U500" s="13">
        <f>IF(AND(ISNUMBER(R500),ISNUMBER(S500),ISNUMBER(T500)),IF(R500&gt;T500,"boven UCL",IF(R500&lt;S500,"onder LCL","")),"")</f>
        <v/>
      </c>
    </row>
    <row r="501">
      <c r="A501" t="n">
        <v>395</v>
      </c>
      <c r="B501" s="7" t="n"/>
      <c r="C501" s="11">
        <f>IF(AND(ISNUMBER(B501),ISNUMBER(B500)),ABS(B501-B500),"")</f>
        <v/>
      </c>
      <c r="D501" s="13">
        <f>IF(AND(ISNUMBER(B501),ISNUMBER($B$88),ISNUMBER($D$88)),IF(B501&gt;$D$88,"boven UCL",IF(B501&lt;$B$88,"onder LCL","")),"")</f>
        <v/>
      </c>
      <c r="E501" s="13">
        <f>IF(AND(ISNUMBER(C501),ISNUMBER($B$89),ISNUMBER($D$89)),IF(C501&gt;$D$89,"boven UCL",IF(C501&lt;$B$89,"onder LCL","")),"")</f>
        <v/>
      </c>
      <c r="G501" t="n">
        <v>395</v>
      </c>
      <c r="H501" s="7" t="n"/>
      <c r="I501" s="7" t="n"/>
      <c r="J501" s="11">
        <f>IF(AND(ISNUMBER(H501),ISNUMBER(I501),H501&gt;0,ISNUMBER($B$94)),I501/H501,"")</f>
        <v/>
      </c>
      <c r="K501" s="11">
        <f>IF(AND(ISNUMBER(H501),ISNUMBER(I501),H501&gt;0,ISNUMBER($B$94)),MAX(0,$B$94-3*SQRT($B$94*(1-$B$94)/H501)),"")</f>
        <v/>
      </c>
      <c r="L501" s="11">
        <f>IF(AND(ISNUMBER(H501),ISNUMBER(I501),H501&gt;0,ISNUMBER($B$94)),$B$94+3*SQRT($B$94*(1-$B$94)/H501),"")</f>
        <v/>
      </c>
      <c r="M501" s="13">
        <f>IF(AND(ISNUMBER(J501),ISNUMBER(K501),ISNUMBER(L501)),IF(J501&gt;L501,"boven UCL",IF(J501&lt;K501,"onder LCL","")),"")</f>
        <v/>
      </c>
      <c r="O501" t="n">
        <v>395</v>
      </c>
      <c r="P501" s="7" t="n"/>
      <c r="Q501" s="7" t="n"/>
      <c r="R501" s="11">
        <f>IF(AND(ISNUMBER(P501),ISNUMBER(Q501),P501&gt;0,ISNUMBER($B$100)),Q501/P501,"")</f>
        <v/>
      </c>
      <c r="S501" s="11">
        <f>IF(AND(ISNUMBER(P501),ISNUMBER(Q501),P501&gt;0,ISNUMBER($B$100)),MAX(0,$B$100-3*SQRT($B$100/P501)),"")</f>
        <v/>
      </c>
      <c r="T501" s="11">
        <f>IF(AND(ISNUMBER(P501),ISNUMBER(Q501),P501&gt;0,ISNUMBER($B$100)),$B$100+3*SQRT($B$100/P501),"")</f>
        <v/>
      </c>
      <c r="U501" s="13">
        <f>IF(AND(ISNUMBER(R501),ISNUMBER(S501),ISNUMBER(T501)),IF(R501&gt;T501,"boven UCL",IF(R501&lt;S501,"onder LCL","")),"")</f>
        <v/>
      </c>
    </row>
    <row r="502">
      <c r="A502" t="n">
        <v>396</v>
      </c>
      <c r="B502" s="7" t="n"/>
      <c r="C502" s="11">
        <f>IF(AND(ISNUMBER(B502),ISNUMBER(B501)),ABS(B502-B501),"")</f>
        <v/>
      </c>
      <c r="D502" s="13">
        <f>IF(AND(ISNUMBER(B502),ISNUMBER($B$88),ISNUMBER($D$88)),IF(B502&gt;$D$88,"boven UCL",IF(B502&lt;$B$88,"onder LCL","")),"")</f>
        <v/>
      </c>
      <c r="E502" s="13">
        <f>IF(AND(ISNUMBER(C502),ISNUMBER($B$89),ISNUMBER($D$89)),IF(C502&gt;$D$89,"boven UCL",IF(C502&lt;$B$89,"onder LCL","")),"")</f>
        <v/>
      </c>
      <c r="G502" t="n">
        <v>396</v>
      </c>
      <c r="H502" s="7" t="n"/>
      <c r="I502" s="7" t="n"/>
      <c r="J502" s="11">
        <f>IF(AND(ISNUMBER(H502),ISNUMBER(I502),H502&gt;0,ISNUMBER($B$94)),I502/H502,"")</f>
        <v/>
      </c>
      <c r="K502" s="11">
        <f>IF(AND(ISNUMBER(H502),ISNUMBER(I502),H502&gt;0,ISNUMBER($B$94)),MAX(0,$B$94-3*SQRT($B$94*(1-$B$94)/H502)),"")</f>
        <v/>
      </c>
      <c r="L502" s="11">
        <f>IF(AND(ISNUMBER(H502),ISNUMBER(I502),H502&gt;0,ISNUMBER($B$94)),$B$94+3*SQRT($B$94*(1-$B$94)/H502),"")</f>
        <v/>
      </c>
      <c r="M502" s="13">
        <f>IF(AND(ISNUMBER(J502),ISNUMBER(K502),ISNUMBER(L502)),IF(J502&gt;L502,"boven UCL",IF(J502&lt;K502,"onder LCL","")),"")</f>
        <v/>
      </c>
      <c r="O502" t="n">
        <v>396</v>
      </c>
      <c r="P502" s="7" t="n"/>
      <c r="Q502" s="7" t="n"/>
      <c r="R502" s="11">
        <f>IF(AND(ISNUMBER(P502),ISNUMBER(Q502),P502&gt;0,ISNUMBER($B$100)),Q502/P502,"")</f>
        <v/>
      </c>
      <c r="S502" s="11">
        <f>IF(AND(ISNUMBER(P502),ISNUMBER(Q502),P502&gt;0,ISNUMBER($B$100)),MAX(0,$B$100-3*SQRT($B$100/P502)),"")</f>
        <v/>
      </c>
      <c r="T502" s="11">
        <f>IF(AND(ISNUMBER(P502),ISNUMBER(Q502),P502&gt;0,ISNUMBER($B$100)),$B$100+3*SQRT($B$100/P502),"")</f>
        <v/>
      </c>
      <c r="U502" s="13">
        <f>IF(AND(ISNUMBER(R502),ISNUMBER(S502),ISNUMBER(T502)),IF(R502&gt;T502,"boven UCL",IF(R502&lt;S502,"onder LCL","")),"")</f>
        <v/>
      </c>
    </row>
    <row r="503">
      <c r="A503" t="n">
        <v>397</v>
      </c>
      <c r="B503" s="7" t="n"/>
      <c r="C503" s="11">
        <f>IF(AND(ISNUMBER(B503),ISNUMBER(B502)),ABS(B503-B502),"")</f>
        <v/>
      </c>
      <c r="D503" s="13">
        <f>IF(AND(ISNUMBER(B503),ISNUMBER($B$88),ISNUMBER($D$88)),IF(B503&gt;$D$88,"boven UCL",IF(B503&lt;$B$88,"onder LCL","")),"")</f>
        <v/>
      </c>
      <c r="E503" s="13">
        <f>IF(AND(ISNUMBER(C503),ISNUMBER($B$89),ISNUMBER($D$89)),IF(C503&gt;$D$89,"boven UCL",IF(C503&lt;$B$89,"onder LCL","")),"")</f>
        <v/>
      </c>
      <c r="G503" t="n">
        <v>397</v>
      </c>
      <c r="H503" s="7" t="n"/>
      <c r="I503" s="7" t="n"/>
      <c r="J503" s="11">
        <f>IF(AND(ISNUMBER(H503),ISNUMBER(I503),H503&gt;0,ISNUMBER($B$94)),I503/H503,"")</f>
        <v/>
      </c>
      <c r="K503" s="11">
        <f>IF(AND(ISNUMBER(H503),ISNUMBER(I503),H503&gt;0,ISNUMBER($B$94)),MAX(0,$B$94-3*SQRT($B$94*(1-$B$94)/H503)),"")</f>
        <v/>
      </c>
      <c r="L503" s="11">
        <f>IF(AND(ISNUMBER(H503),ISNUMBER(I503),H503&gt;0,ISNUMBER($B$94)),$B$94+3*SQRT($B$94*(1-$B$94)/H503),"")</f>
        <v/>
      </c>
      <c r="M503" s="13">
        <f>IF(AND(ISNUMBER(J503),ISNUMBER(K503),ISNUMBER(L503)),IF(J503&gt;L503,"boven UCL",IF(J503&lt;K503,"onder LCL","")),"")</f>
        <v/>
      </c>
      <c r="O503" t="n">
        <v>397</v>
      </c>
      <c r="P503" s="7" t="n"/>
      <c r="Q503" s="7" t="n"/>
      <c r="R503" s="11">
        <f>IF(AND(ISNUMBER(P503),ISNUMBER(Q503),P503&gt;0,ISNUMBER($B$100)),Q503/P503,"")</f>
        <v/>
      </c>
      <c r="S503" s="11">
        <f>IF(AND(ISNUMBER(P503),ISNUMBER(Q503),P503&gt;0,ISNUMBER($B$100)),MAX(0,$B$100-3*SQRT($B$100/P503)),"")</f>
        <v/>
      </c>
      <c r="T503" s="11">
        <f>IF(AND(ISNUMBER(P503),ISNUMBER(Q503),P503&gt;0,ISNUMBER($B$100)),$B$100+3*SQRT($B$100/P503),"")</f>
        <v/>
      </c>
      <c r="U503" s="13">
        <f>IF(AND(ISNUMBER(R503),ISNUMBER(S503),ISNUMBER(T503)),IF(R503&gt;T503,"boven UCL",IF(R503&lt;S503,"onder LCL","")),"")</f>
        <v/>
      </c>
    </row>
    <row r="504">
      <c r="A504" t="n">
        <v>398</v>
      </c>
      <c r="B504" s="7" t="n"/>
      <c r="C504" s="11">
        <f>IF(AND(ISNUMBER(B504),ISNUMBER(B503)),ABS(B504-B503),"")</f>
        <v/>
      </c>
      <c r="D504" s="13">
        <f>IF(AND(ISNUMBER(B504),ISNUMBER($B$88),ISNUMBER($D$88)),IF(B504&gt;$D$88,"boven UCL",IF(B504&lt;$B$88,"onder LCL","")),"")</f>
        <v/>
      </c>
      <c r="E504" s="13">
        <f>IF(AND(ISNUMBER(C504),ISNUMBER($B$89),ISNUMBER($D$89)),IF(C504&gt;$D$89,"boven UCL",IF(C504&lt;$B$89,"onder LCL","")),"")</f>
        <v/>
      </c>
      <c r="G504" t="n">
        <v>398</v>
      </c>
      <c r="H504" s="7" t="n"/>
      <c r="I504" s="7" t="n"/>
      <c r="J504" s="11">
        <f>IF(AND(ISNUMBER(H504),ISNUMBER(I504),H504&gt;0,ISNUMBER($B$94)),I504/H504,"")</f>
        <v/>
      </c>
      <c r="K504" s="11">
        <f>IF(AND(ISNUMBER(H504),ISNUMBER(I504),H504&gt;0,ISNUMBER($B$94)),MAX(0,$B$94-3*SQRT($B$94*(1-$B$94)/H504)),"")</f>
        <v/>
      </c>
      <c r="L504" s="11">
        <f>IF(AND(ISNUMBER(H504),ISNUMBER(I504),H504&gt;0,ISNUMBER($B$94)),$B$94+3*SQRT($B$94*(1-$B$94)/H504),"")</f>
        <v/>
      </c>
      <c r="M504" s="13">
        <f>IF(AND(ISNUMBER(J504),ISNUMBER(K504),ISNUMBER(L504)),IF(J504&gt;L504,"boven UCL",IF(J504&lt;K504,"onder LCL","")),"")</f>
        <v/>
      </c>
      <c r="O504" t="n">
        <v>398</v>
      </c>
      <c r="P504" s="7" t="n"/>
      <c r="Q504" s="7" t="n"/>
      <c r="R504" s="11">
        <f>IF(AND(ISNUMBER(P504),ISNUMBER(Q504),P504&gt;0,ISNUMBER($B$100)),Q504/P504,"")</f>
        <v/>
      </c>
      <c r="S504" s="11">
        <f>IF(AND(ISNUMBER(P504),ISNUMBER(Q504),P504&gt;0,ISNUMBER($B$100)),MAX(0,$B$100-3*SQRT($B$100/P504)),"")</f>
        <v/>
      </c>
      <c r="T504" s="11">
        <f>IF(AND(ISNUMBER(P504),ISNUMBER(Q504),P504&gt;0,ISNUMBER($B$100)),$B$100+3*SQRT($B$100/P504),"")</f>
        <v/>
      </c>
      <c r="U504" s="13">
        <f>IF(AND(ISNUMBER(R504),ISNUMBER(S504),ISNUMBER(T504)),IF(R504&gt;T504,"boven UCL",IF(R504&lt;S504,"onder LCL","")),"")</f>
        <v/>
      </c>
    </row>
    <row r="505">
      <c r="A505" t="n">
        <v>399</v>
      </c>
      <c r="B505" s="7" t="n"/>
      <c r="C505" s="11">
        <f>IF(AND(ISNUMBER(B505),ISNUMBER(B504)),ABS(B505-B504),"")</f>
        <v/>
      </c>
      <c r="D505" s="13">
        <f>IF(AND(ISNUMBER(B505),ISNUMBER($B$88),ISNUMBER($D$88)),IF(B505&gt;$D$88,"boven UCL",IF(B505&lt;$B$88,"onder LCL","")),"")</f>
        <v/>
      </c>
      <c r="E505" s="13">
        <f>IF(AND(ISNUMBER(C505),ISNUMBER($B$89),ISNUMBER($D$89)),IF(C505&gt;$D$89,"boven UCL",IF(C505&lt;$B$89,"onder LCL","")),"")</f>
        <v/>
      </c>
      <c r="G505" t="n">
        <v>399</v>
      </c>
      <c r="H505" s="7" t="n"/>
      <c r="I505" s="7" t="n"/>
      <c r="J505" s="11">
        <f>IF(AND(ISNUMBER(H505),ISNUMBER(I505),H505&gt;0,ISNUMBER($B$94)),I505/H505,"")</f>
        <v/>
      </c>
      <c r="K505" s="11">
        <f>IF(AND(ISNUMBER(H505),ISNUMBER(I505),H505&gt;0,ISNUMBER($B$94)),MAX(0,$B$94-3*SQRT($B$94*(1-$B$94)/H505)),"")</f>
        <v/>
      </c>
      <c r="L505" s="11">
        <f>IF(AND(ISNUMBER(H505),ISNUMBER(I505),H505&gt;0,ISNUMBER($B$94)),$B$94+3*SQRT($B$94*(1-$B$94)/H505),"")</f>
        <v/>
      </c>
      <c r="M505" s="13">
        <f>IF(AND(ISNUMBER(J505),ISNUMBER(K505),ISNUMBER(L505)),IF(J505&gt;L505,"boven UCL",IF(J505&lt;K505,"onder LCL","")),"")</f>
        <v/>
      </c>
      <c r="O505" t="n">
        <v>399</v>
      </c>
      <c r="P505" s="7" t="n"/>
      <c r="Q505" s="7" t="n"/>
      <c r="R505" s="11">
        <f>IF(AND(ISNUMBER(P505),ISNUMBER(Q505),P505&gt;0,ISNUMBER($B$100)),Q505/P505,"")</f>
        <v/>
      </c>
      <c r="S505" s="11">
        <f>IF(AND(ISNUMBER(P505),ISNUMBER(Q505),P505&gt;0,ISNUMBER($B$100)),MAX(0,$B$100-3*SQRT($B$100/P505)),"")</f>
        <v/>
      </c>
      <c r="T505" s="11">
        <f>IF(AND(ISNUMBER(P505),ISNUMBER(Q505),P505&gt;0,ISNUMBER($B$100)),$B$100+3*SQRT($B$100/P505),"")</f>
        <v/>
      </c>
      <c r="U505" s="13">
        <f>IF(AND(ISNUMBER(R505),ISNUMBER(S505),ISNUMBER(T505)),IF(R505&gt;T505,"boven UCL",IF(R505&lt;S505,"onder LCL","")),"")</f>
        <v/>
      </c>
    </row>
    <row r="506">
      <c r="A506" t="n">
        <v>400</v>
      </c>
      <c r="B506" s="7" t="n"/>
      <c r="C506" s="11">
        <f>IF(AND(ISNUMBER(B506),ISNUMBER(B505)),ABS(B506-B505),"")</f>
        <v/>
      </c>
      <c r="D506" s="13">
        <f>IF(AND(ISNUMBER(B506),ISNUMBER($B$88),ISNUMBER($D$88)),IF(B506&gt;$D$88,"boven UCL",IF(B506&lt;$B$88,"onder LCL","")),"")</f>
        <v/>
      </c>
      <c r="E506" s="13">
        <f>IF(AND(ISNUMBER(C506),ISNUMBER($B$89),ISNUMBER($D$89)),IF(C506&gt;$D$89,"boven UCL",IF(C506&lt;$B$89,"onder LCL","")),"")</f>
        <v/>
      </c>
      <c r="G506" t="n">
        <v>400</v>
      </c>
      <c r="H506" s="7" t="n"/>
      <c r="I506" s="7" t="n"/>
      <c r="J506" s="11">
        <f>IF(AND(ISNUMBER(H506),ISNUMBER(I506),H506&gt;0,ISNUMBER($B$94)),I506/H506,"")</f>
        <v/>
      </c>
      <c r="K506" s="11">
        <f>IF(AND(ISNUMBER(H506),ISNUMBER(I506),H506&gt;0,ISNUMBER($B$94)),MAX(0,$B$94-3*SQRT($B$94*(1-$B$94)/H506)),"")</f>
        <v/>
      </c>
      <c r="L506" s="11">
        <f>IF(AND(ISNUMBER(H506),ISNUMBER(I506),H506&gt;0,ISNUMBER($B$94)),$B$94+3*SQRT($B$94*(1-$B$94)/H506),"")</f>
        <v/>
      </c>
      <c r="M506" s="13">
        <f>IF(AND(ISNUMBER(J506),ISNUMBER(K506),ISNUMBER(L506)),IF(J506&gt;L506,"boven UCL",IF(J506&lt;K506,"onder LCL","")),"")</f>
        <v/>
      </c>
      <c r="O506" t="n">
        <v>400</v>
      </c>
      <c r="P506" s="7" t="n"/>
      <c r="Q506" s="7" t="n"/>
      <c r="R506" s="11">
        <f>IF(AND(ISNUMBER(P506),ISNUMBER(Q506),P506&gt;0,ISNUMBER($B$100)),Q506/P506,"")</f>
        <v/>
      </c>
      <c r="S506" s="11">
        <f>IF(AND(ISNUMBER(P506),ISNUMBER(Q506),P506&gt;0,ISNUMBER($B$100)),MAX(0,$B$100-3*SQRT($B$100/P506)),"")</f>
        <v/>
      </c>
      <c r="T506" s="11">
        <f>IF(AND(ISNUMBER(P506),ISNUMBER(Q506),P506&gt;0,ISNUMBER($B$100)),$B$100+3*SQRT($B$100/P506),"")</f>
        <v/>
      </c>
      <c r="U506" s="13">
        <f>IF(AND(ISNUMBER(R506),ISNUMBER(S506),ISNUMBER(T506)),IF(R506&gt;T506,"boven UCL",IF(R506&lt;S506,"onder LCL","")),"")</f>
        <v/>
      </c>
    </row>
    <row r="507">
      <c r="A507" t="n">
        <v>401</v>
      </c>
      <c r="B507" s="7" t="n"/>
      <c r="C507" s="11">
        <f>IF(AND(ISNUMBER(B507),ISNUMBER(B506)),ABS(B507-B506),"")</f>
        <v/>
      </c>
      <c r="D507" s="13">
        <f>IF(AND(ISNUMBER(B507),ISNUMBER($B$88),ISNUMBER($D$88)),IF(B507&gt;$D$88,"boven UCL",IF(B507&lt;$B$88,"onder LCL","")),"")</f>
        <v/>
      </c>
      <c r="E507" s="13">
        <f>IF(AND(ISNUMBER(C507),ISNUMBER($B$89),ISNUMBER($D$89)),IF(C507&gt;$D$89,"boven UCL",IF(C507&lt;$B$89,"onder LCL","")),"")</f>
        <v/>
      </c>
      <c r="G507" t="n">
        <v>401</v>
      </c>
      <c r="H507" s="7" t="n"/>
      <c r="I507" s="7" t="n"/>
      <c r="J507" s="11">
        <f>IF(AND(ISNUMBER(H507),ISNUMBER(I507),H507&gt;0,ISNUMBER($B$94)),I507/H507,"")</f>
        <v/>
      </c>
      <c r="K507" s="11">
        <f>IF(AND(ISNUMBER(H507),ISNUMBER(I507),H507&gt;0,ISNUMBER($B$94)),MAX(0,$B$94-3*SQRT($B$94*(1-$B$94)/H507)),"")</f>
        <v/>
      </c>
      <c r="L507" s="11">
        <f>IF(AND(ISNUMBER(H507),ISNUMBER(I507),H507&gt;0,ISNUMBER($B$94)),$B$94+3*SQRT($B$94*(1-$B$94)/H507),"")</f>
        <v/>
      </c>
      <c r="M507" s="13">
        <f>IF(AND(ISNUMBER(J507),ISNUMBER(K507),ISNUMBER(L507)),IF(J507&gt;L507,"boven UCL",IF(J507&lt;K507,"onder LCL","")),"")</f>
        <v/>
      </c>
      <c r="O507" t="n">
        <v>401</v>
      </c>
      <c r="P507" s="7" t="n"/>
      <c r="Q507" s="7" t="n"/>
      <c r="R507" s="11">
        <f>IF(AND(ISNUMBER(P507),ISNUMBER(Q507),P507&gt;0,ISNUMBER($B$100)),Q507/P507,"")</f>
        <v/>
      </c>
      <c r="S507" s="11">
        <f>IF(AND(ISNUMBER(P507),ISNUMBER(Q507),P507&gt;0,ISNUMBER($B$100)),MAX(0,$B$100-3*SQRT($B$100/P507)),"")</f>
        <v/>
      </c>
      <c r="T507" s="11">
        <f>IF(AND(ISNUMBER(P507),ISNUMBER(Q507),P507&gt;0,ISNUMBER($B$100)),$B$100+3*SQRT($B$100/P507),"")</f>
        <v/>
      </c>
      <c r="U507" s="13">
        <f>IF(AND(ISNUMBER(R507),ISNUMBER(S507),ISNUMBER(T507)),IF(R507&gt;T507,"boven UCL",IF(R507&lt;S507,"onder LCL","")),"")</f>
        <v/>
      </c>
    </row>
    <row r="508">
      <c r="A508" t="n">
        <v>402</v>
      </c>
      <c r="B508" s="7" t="n"/>
      <c r="C508" s="11">
        <f>IF(AND(ISNUMBER(B508),ISNUMBER(B507)),ABS(B508-B507),"")</f>
        <v/>
      </c>
      <c r="D508" s="13">
        <f>IF(AND(ISNUMBER(B508),ISNUMBER($B$88),ISNUMBER($D$88)),IF(B508&gt;$D$88,"boven UCL",IF(B508&lt;$B$88,"onder LCL","")),"")</f>
        <v/>
      </c>
      <c r="E508" s="13">
        <f>IF(AND(ISNUMBER(C508),ISNUMBER($B$89),ISNUMBER($D$89)),IF(C508&gt;$D$89,"boven UCL",IF(C508&lt;$B$89,"onder LCL","")),"")</f>
        <v/>
      </c>
      <c r="G508" t="n">
        <v>402</v>
      </c>
      <c r="H508" s="7" t="n"/>
      <c r="I508" s="7" t="n"/>
      <c r="J508" s="11">
        <f>IF(AND(ISNUMBER(H508),ISNUMBER(I508),H508&gt;0,ISNUMBER($B$94)),I508/H508,"")</f>
        <v/>
      </c>
      <c r="K508" s="11">
        <f>IF(AND(ISNUMBER(H508),ISNUMBER(I508),H508&gt;0,ISNUMBER($B$94)),MAX(0,$B$94-3*SQRT($B$94*(1-$B$94)/H508)),"")</f>
        <v/>
      </c>
      <c r="L508" s="11">
        <f>IF(AND(ISNUMBER(H508),ISNUMBER(I508),H508&gt;0,ISNUMBER($B$94)),$B$94+3*SQRT($B$94*(1-$B$94)/H508),"")</f>
        <v/>
      </c>
      <c r="M508" s="13">
        <f>IF(AND(ISNUMBER(J508),ISNUMBER(K508),ISNUMBER(L508)),IF(J508&gt;L508,"boven UCL",IF(J508&lt;K508,"onder LCL","")),"")</f>
        <v/>
      </c>
      <c r="O508" t="n">
        <v>402</v>
      </c>
      <c r="P508" s="7" t="n"/>
      <c r="Q508" s="7" t="n"/>
      <c r="R508" s="11">
        <f>IF(AND(ISNUMBER(P508),ISNUMBER(Q508),P508&gt;0,ISNUMBER($B$100)),Q508/P508,"")</f>
        <v/>
      </c>
      <c r="S508" s="11">
        <f>IF(AND(ISNUMBER(P508),ISNUMBER(Q508),P508&gt;0,ISNUMBER($B$100)),MAX(0,$B$100-3*SQRT($B$100/P508)),"")</f>
        <v/>
      </c>
      <c r="T508" s="11">
        <f>IF(AND(ISNUMBER(P508),ISNUMBER(Q508),P508&gt;0,ISNUMBER($B$100)),$B$100+3*SQRT($B$100/P508),"")</f>
        <v/>
      </c>
      <c r="U508" s="13">
        <f>IF(AND(ISNUMBER(R508),ISNUMBER(S508),ISNUMBER(T508)),IF(R508&gt;T508,"boven UCL",IF(R508&lt;S508,"onder LCL","")),"")</f>
        <v/>
      </c>
    </row>
    <row r="509">
      <c r="A509" t="n">
        <v>403</v>
      </c>
      <c r="B509" s="7" t="n"/>
      <c r="C509" s="11">
        <f>IF(AND(ISNUMBER(B509),ISNUMBER(B508)),ABS(B509-B508),"")</f>
        <v/>
      </c>
      <c r="D509" s="13">
        <f>IF(AND(ISNUMBER(B509),ISNUMBER($B$88),ISNUMBER($D$88)),IF(B509&gt;$D$88,"boven UCL",IF(B509&lt;$B$88,"onder LCL","")),"")</f>
        <v/>
      </c>
      <c r="E509" s="13">
        <f>IF(AND(ISNUMBER(C509),ISNUMBER($B$89),ISNUMBER($D$89)),IF(C509&gt;$D$89,"boven UCL",IF(C509&lt;$B$89,"onder LCL","")),"")</f>
        <v/>
      </c>
      <c r="G509" t="n">
        <v>403</v>
      </c>
      <c r="H509" s="7" t="n"/>
      <c r="I509" s="7" t="n"/>
      <c r="J509" s="11">
        <f>IF(AND(ISNUMBER(H509),ISNUMBER(I509),H509&gt;0,ISNUMBER($B$94)),I509/H509,"")</f>
        <v/>
      </c>
      <c r="K509" s="11">
        <f>IF(AND(ISNUMBER(H509),ISNUMBER(I509),H509&gt;0,ISNUMBER($B$94)),MAX(0,$B$94-3*SQRT($B$94*(1-$B$94)/H509)),"")</f>
        <v/>
      </c>
      <c r="L509" s="11">
        <f>IF(AND(ISNUMBER(H509),ISNUMBER(I509),H509&gt;0,ISNUMBER($B$94)),$B$94+3*SQRT($B$94*(1-$B$94)/H509),"")</f>
        <v/>
      </c>
      <c r="M509" s="13">
        <f>IF(AND(ISNUMBER(J509),ISNUMBER(K509),ISNUMBER(L509)),IF(J509&gt;L509,"boven UCL",IF(J509&lt;K509,"onder LCL","")),"")</f>
        <v/>
      </c>
      <c r="O509" t="n">
        <v>403</v>
      </c>
      <c r="P509" s="7" t="n"/>
      <c r="Q509" s="7" t="n"/>
      <c r="R509" s="11">
        <f>IF(AND(ISNUMBER(P509),ISNUMBER(Q509),P509&gt;0,ISNUMBER($B$100)),Q509/P509,"")</f>
        <v/>
      </c>
      <c r="S509" s="11">
        <f>IF(AND(ISNUMBER(P509),ISNUMBER(Q509),P509&gt;0,ISNUMBER($B$100)),MAX(0,$B$100-3*SQRT($B$100/P509)),"")</f>
        <v/>
      </c>
      <c r="T509" s="11">
        <f>IF(AND(ISNUMBER(P509),ISNUMBER(Q509),P509&gt;0,ISNUMBER($B$100)),$B$100+3*SQRT($B$100/P509),"")</f>
        <v/>
      </c>
      <c r="U509" s="13">
        <f>IF(AND(ISNUMBER(R509),ISNUMBER(S509),ISNUMBER(T509)),IF(R509&gt;T509,"boven UCL",IF(R509&lt;S509,"onder LCL","")),"")</f>
        <v/>
      </c>
    </row>
    <row r="510">
      <c r="A510" t="n">
        <v>404</v>
      </c>
      <c r="B510" s="7" t="n"/>
      <c r="C510" s="11">
        <f>IF(AND(ISNUMBER(B510),ISNUMBER(B509)),ABS(B510-B509),"")</f>
        <v/>
      </c>
      <c r="D510" s="13">
        <f>IF(AND(ISNUMBER(B510),ISNUMBER($B$88),ISNUMBER($D$88)),IF(B510&gt;$D$88,"boven UCL",IF(B510&lt;$B$88,"onder LCL","")),"")</f>
        <v/>
      </c>
      <c r="E510" s="13">
        <f>IF(AND(ISNUMBER(C510),ISNUMBER($B$89),ISNUMBER($D$89)),IF(C510&gt;$D$89,"boven UCL",IF(C510&lt;$B$89,"onder LCL","")),"")</f>
        <v/>
      </c>
      <c r="G510" t="n">
        <v>404</v>
      </c>
      <c r="H510" s="7" t="n"/>
      <c r="I510" s="7" t="n"/>
      <c r="J510" s="11">
        <f>IF(AND(ISNUMBER(H510),ISNUMBER(I510),H510&gt;0,ISNUMBER($B$94)),I510/H510,"")</f>
        <v/>
      </c>
      <c r="K510" s="11">
        <f>IF(AND(ISNUMBER(H510),ISNUMBER(I510),H510&gt;0,ISNUMBER($B$94)),MAX(0,$B$94-3*SQRT($B$94*(1-$B$94)/H510)),"")</f>
        <v/>
      </c>
      <c r="L510" s="11">
        <f>IF(AND(ISNUMBER(H510),ISNUMBER(I510),H510&gt;0,ISNUMBER($B$94)),$B$94+3*SQRT($B$94*(1-$B$94)/H510),"")</f>
        <v/>
      </c>
      <c r="M510" s="13">
        <f>IF(AND(ISNUMBER(J510),ISNUMBER(K510),ISNUMBER(L510)),IF(J510&gt;L510,"boven UCL",IF(J510&lt;K510,"onder LCL","")),"")</f>
        <v/>
      </c>
      <c r="O510" t="n">
        <v>404</v>
      </c>
      <c r="P510" s="7" t="n"/>
      <c r="Q510" s="7" t="n"/>
      <c r="R510" s="11">
        <f>IF(AND(ISNUMBER(P510),ISNUMBER(Q510),P510&gt;0,ISNUMBER($B$100)),Q510/P510,"")</f>
        <v/>
      </c>
      <c r="S510" s="11">
        <f>IF(AND(ISNUMBER(P510),ISNUMBER(Q510),P510&gt;0,ISNUMBER($B$100)),MAX(0,$B$100-3*SQRT($B$100/P510)),"")</f>
        <v/>
      </c>
      <c r="T510" s="11">
        <f>IF(AND(ISNUMBER(P510),ISNUMBER(Q510),P510&gt;0,ISNUMBER($B$100)),$B$100+3*SQRT($B$100/P510),"")</f>
        <v/>
      </c>
      <c r="U510" s="13">
        <f>IF(AND(ISNUMBER(R510),ISNUMBER(S510),ISNUMBER(T510)),IF(R510&gt;T510,"boven UCL",IF(R510&lt;S510,"onder LCL","")),"")</f>
        <v/>
      </c>
    </row>
    <row r="511">
      <c r="A511" t="n">
        <v>405</v>
      </c>
      <c r="B511" s="7" t="n"/>
      <c r="C511" s="11">
        <f>IF(AND(ISNUMBER(B511),ISNUMBER(B510)),ABS(B511-B510),"")</f>
        <v/>
      </c>
      <c r="D511" s="13">
        <f>IF(AND(ISNUMBER(B511),ISNUMBER($B$88),ISNUMBER($D$88)),IF(B511&gt;$D$88,"boven UCL",IF(B511&lt;$B$88,"onder LCL","")),"")</f>
        <v/>
      </c>
      <c r="E511" s="13">
        <f>IF(AND(ISNUMBER(C511),ISNUMBER($B$89),ISNUMBER($D$89)),IF(C511&gt;$D$89,"boven UCL",IF(C511&lt;$B$89,"onder LCL","")),"")</f>
        <v/>
      </c>
      <c r="G511" t="n">
        <v>405</v>
      </c>
      <c r="H511" s="7" t="n"/>
      <c r="I511" s="7" t="n"/>
      <c r="J511" s="11">
        <f>IF(AND(ISNUMBER(H511),ISNUMBER(I511),H511&gt;0,ISNUMBER($B$94)),I511/H511,"")</f>
        <v/>
      </c>
      <c r="K511" s="11">
        <f>IF(AND(ISNUMBER(H511),ISNUMBER(I511),H511&gt;0,ISNUMBER($B$94)),MAX(0,$B$94-3*SQRT($B$94*(1-$B$94)/H511)),"")</f>
        <v/>
      </c>
      <c r="L511" s="11">
        <f>IF(AND(ISNUMBER(H511),ISNUMBER(I511),H511&gt;0,ISNUMBER($B$94)),$B$94+3*SQRT($B$94*(1-$B$94)/H511),"")</f>
        <v/>
      </c>
      <c r="M511" s="13">
        <f>IF(AND(ISNUMBER(J511),ISNUMBER(K511),ISNUMBER(L511)),IF(J511&gt;L511,"boven UCL",IF(J511&lt;K511,"onder LCL","")),"")</f>
        <v/>
      </c>
      <c r="O511" t="n">
        <v>405</v>
      </c>
      <c r="P511" s="7" t="n"/>
      <c r="Q511" s="7" t="n"/>
      <c r="R511" s="11">
        <f>IF(AND(ISNUMBER(P511),ISNUMBER(Q511),P511&gt;0,ISNUMBER($B$100)),Q511/P511,"")</f>
        <v/>
      </c>
      <c r="S511" s="11">
        <f>IF(AND(ISNUMBER(P511),ISNUMBER(Q511),P511&gt;0,ISNUMBER($B$100)),MAX(0,$B$100-3*SQRT($B$100/P511)),"")</f>
        <v/>
      </c>
      <c r="T511" s="11">
        <f>IF(AND(ISNUMBER(P511),ISNUMBER(Q511),P511&gt;0,ISNUMBER($B$100)),$B$100+3*SQRT($B$100/P511),"")</f>
        <v/>
      </c>
      <c r="U511" s="13">
        <f>IF(AND(ISNUMBER(R511),ISNUMBER(S511),ISNUMBER(T511)),IF(R511&gt;T511,"boven UCL",IF(R511&lt;S511,"onder LCL","")),"")</f>
        <v/>
      </c>
    </row>
    <row r="512">
      <c r="A512" t="n">
        <v>406</v>
      </c>
      <c r="B512" s="7" t="n"/>
      <c r="C512" s="11">
        <f>IF(AND(ISNUMBER(B512),ISNUMBER(B511)),ABS(B512-B511),"")</f>
        <v/>
      </c>
      <c r="D512" s="13">
        <f>IF(AND(ISNUMBER(B512),ISNUMBER($B$88),ISNUMBER($D$88)),IF(B512&gt;$D$88,"boven UCL",IF(B512&lt;$B$88,"onder LCL","")),"")</f>
        <v/>
      </c>
      <c r="E512" s="13">
        <f>IF(AND(ISNUMBER(C512),ISNUMBER($B$89),ISNUMBER($D$89)),IF(C512&gt;$D$89,"boven UCL",IF(C512&lt;$B$89,"onder LCL","")),"")</f>
        <v/>
      </c>
      <c r="G512" t="n">
        <v>406</v>
      </c>
      <c r="H512" s="7" t="n"/>
      <c r="I512" s="7" t="n"/>
      <c r="J512" s="11">
        <f>IF(AND(ISNUMBER(H512),ISNUMBER(I512),H512&gt;0,ISNUMBER($B$94)),I512/H512,"")</f>
        <v/>
      </c>
      <c r="K512" s="11">
        <f>IF(AND(ISNUMBER(H512),ISNUMBER(I512),H512&gt;0,ISNUMBER($B$94)),MAX(0,$B$94-3*SQRT($B$94*(1-$B$94)/H512)),"")</f>
        <v/>
      </c>
      <c r="L512" s="11">
        <f>IF(AND(ISNUMBER(H512),ISNUMBER(I512),H512&gt;0,ISNUMBER($B$94)),$B$94+3*SQRT($B$94*(1-$B$94)/H512),"")</f>
        <v/>
      </c>
      <c r="M512" s="13">
        <f>IF(AND(ISNUMBER(J512),ISNUMBER(K512),ISNUMBER(L512)),IF(J512&gt;L512,"boven UCL",IF(J512&lt;K512,"onder LCL","")),"")</f>
        <v/>
      </c>
      <c r="O512" t="n">
        <v>406</v>
      </c>
      <c r="P512" s="7" t="n"/>
      <c r="Q512" s="7" t="n"/>
      <c r="R512" s="11">
        <f>IF(AND(ISNUMBER(P512),ISNUMBER(Q512),P512&gt;0,ISNUMBER($B$100)),Q512/P512,"")</f>
        <v/>
      </c>
      <c r="S512" s="11">
        <f>IF(AND(ISNUMBER(P512),ISNUMBER(Q512),P512&gt;0,ISNUMBER($B$100)),MAX(0,$B$100-3*SQRT($B$100/P512)),"")</f>
        <v/>
      </c>
      <c r="T512" s="11">
        <f>IF(AND(ISNUMBER(P512),ISNUMBER(Q512),P512&gt;0,ISNUMBER($B$100)),$B$100+3*SQRT($B$100/P512),"")</f>
        <v/>
      </c>
      <c r="U512" s="13">
        <f>IF(AND(ISNUMBER(R512),ISNUMBER(S512),ISNUMBER(T512)),IF(R512&gt;T512,"boven UCL",IF(R512&lt;S512,"onder LCL","")),"")</f>
        <v/>
      </c>
    </row>
    <row r="513">
      <c r="A513" t="n">
        <v>407</v>
      </c>
      <c r="B513" s="7" t="n"/>
      <c r="C513" s="11">
        <f>IF(AND(ISNUMBER(B513),ISNUMBER(B512)),ABS(B513-B512),"")</f>
        <v/>
      </c>
      <c r="D513" s="13">
        <f>IF(AND(ISNUMBER(B513),ISNUMBER($B$88),ISNUMBER($D$88)),IF(B513&gt;$D$88,"boven UCL",IF(B513&lt;$B$88,"onder LCL","")),"")</f>
        <v/>
      </c>
      <c r="E513" s="13">
        <f>IF(AND(ISNUMBER(C513),ISNUMBER($B$89),ISNUMBER($D$89)),IF(C513&gt;$D$89,"boven UCL",IF(C513&lt;$B$89,"onder LCL","")),"")</f>
        <v/>
      </c>
      <c r="G513" t="n">
        <v>407</v>
      </c>
      <c r="H513" s="7" t="n"/>
      <c r="I513" s="7" t="n"/>
      <c r="J513" s="11">
        <f>IF(AND(ISNUMBER(H513),ISNUMBER(I513),H513&gt;0,ISNUMBER($B$94)),I513/H513,"")</f>
        <v/>
      </c>
      <c r="K513" s="11">
        <f>IF(AND(ISNUMBER(H513),ISNUMBER(I513),H513&gt;0,ISNUMBER($B$94)),MAX(0,$B$94-3*SQRT($B$94*(1-$B$94)/H513)),"")</f>
        <v/>
      </c>
      <c r="L513" s="11">
        <f>IF(AND(ISNUMBER(H513),ISNUMBER(I513),H513&gt;0,ISNUMBER($B$94)),$B$94+3*SQRT($B$94*(1-$B$94)/H513),"")</f>
        <v/>
      </c>
      <c r="M513" s="13">
        <f>IF(AND(ISNUMBER(J513),ISNUMBER(K513),ISNUMBER(L513)),IF(J513&gt;L513,"boven UCL",IF(J513&lt;K513,"onder LCL","")),"")</f>
        <v/>
      </c>
      <c r="O513" t="n">
        <v>407</v>
      </c>
      <c r="P513" s="7" t="n"/>
      <c r="Q513" s="7" t="n"/>
      <c r="R513" s="11">
        <f>IF(AND(ISNUMBER(P513),ISNUMBER(Q513),P513&gt;0,ISNUMBER($B$100)),Q513/P513,"")</f>
        <v/>
      </c>
      <c r="S513" s="11">
        <f>IF(AND(ISNUMBER(P513),ISNUMBER(Q513),P513&gt;0,ISNUMBER($B$100)),MAX(0,$B$100-3*SQRT($B$100/P513)),"")</f>
        <v/>
      </c>
      <c r="T513" s="11">
        <f>IF(AND(ISNUMBER(P513),ISNUMBER(Q513),P513&gt;0,ISNUMBER($B$100)),$B$100+3*SQRT($B$100/P513),"")</f>
        <v/>
      </c>
      <c r="U513" s="13">
        <f>IF(AND(ISNUMBER(R513),ISNUMBER(S513),ISNUMBER(T513)),IF(R513&gt;T513,"boven UCL",IF(R513&lt;S513,"onder LCL","")),"")</f>
        <v/>
      </c>
    </row>
    <row r="514">
      <c r="A514" t="n">
        <v>408</v>
      </c>
      <c r="B514" s="7" t="n"/>
      <c r="C514" s="11">
        <f>IF(AND(ISNUMBER(B514),ISNUMBER(B513)),ABS(B514-B513),"")</f>
        <v/>
      </c>
      <c r="D514" s="13">
        <f>IF(AND(ISNUMBER(B514),ISNUMBER($B$88),ISNUMBER($D$88)),IF(B514&gt;$D$88,"boven UCL",IF(B514&lt;$B$88,"onder LCL","")),"")</f>
        <v/>
      </c>
      <c r="E514" s="13">
        <f>IF(AND(ISNUMBER(C514),ISNUMBER($B$89),ISNUMBER($D$89)),IF(C514&gt;$D$89,"boven UCL",IF(C514&lt;$B$89,"onder LCL","")),"")</f>
        <v/>
      </c>
      <c r="G514" t="n">
        <v>408</v>
      </c>
      <c r="H514" s="7" t="n"/>
      <c r="I514" s="7" t="n"/>
      <c r="J514" s="11">
        <f>IF(AND(ISNUMBER(H514),ISNUMBER(I514),H514&gt;0,ISNUMBER($B$94)),I514/H514,"")</f>
        <v/>
      </c>
      <c r="K514" s="11">
        <f>IF(AND(ISNUMBER(H514),ISNUMBER(I514),H514&gt;0,ISNUMBER($B$94)),MAX(0,$B$94-3*SQRT($B$94*(1-$B$94)/H514)),"")</f>
        <v/>
      </c>
      <c r="L514" s="11">
        <f>IF(AND(ISNUMBER(H514),ISNUMBER(I514),H514&gt;0,ISNUMBER($B$94)),$B$94+3*SQRT($B$94*(1-$B$94)/H514),"")</f>
        <v/>
      </c>
      <c r="M514" s="13">
        <f>IF(AND(ISNUMBER(J514),ISNUMBER(K514),ISNUMBER(L514)),IF(J514&gt;L514,"boven UCL",IF(J514&lt;K514,"onder LCL","")),"")</f>
        <v/>
      </c>
      <c r="O514" t="n">
        <v>408</v>
      </c>
      <c r="P514" s="7" t="n"/>
      <c r="Q514" s="7" t="n"/>
      <c r="R514" s="11">
        <f>IF(AND(ISNUMBER(P514),ISNUMBER(Q514),P514&gt;0,ISNUMBER($B$100)),Q514/P514,"")</f>
        <v/>
      </c>
      <c r="S514" s="11">
        <f>IF(AND(ISNUMBER(P514),ISNUMBER(Q514),P514&gt;0,ISNUMBER($B$100)),MAX(0,$B$100-3*SQRT($B$100/P514)),"")</f>
        <v/>
      </c>
      <c r="T514" s="11">
        <f>IF(AND(ISNUMBER(P514),ISNUMBER(Q514),P514&gt;0,ISNUMBER($B$100)),$B$100+3*SQRT($B$100/P514),"")</f>
        <v/>
      </c>
      <c r="U514" s="13">
        <f>IF(AND(ISNUMBER(R514),ISNUMBER(S514),ISNUMBER(T514)),IF(R514&gt;T514,"boven UCL",IF(R514&lt;S514,"onder LCL","")),"")</f>
        <v/>
      </c>
    </row>
    <row r="515">
      <c r="A515" t="n">
        <v>409</v>
      </c>
      <c r="B515" s="7" t="n"/>
      <c r="C515" s="11">
        <f>IF(AND(ISNUMBER(B515),ISNUMBER(B514)),ABS(B515-B514),"")</f>
        <v/>
      </c>
      <c r="D515" s="13">
        <f>IF(AND(ISNUMBER(B515),ISNUMBER($B$88),ISNUMBER($D$88)),IF(B515&gt;$D$88,"boven UCL",IF(B515&lt;$B$88,"onder LCL","")),"")</f>
        <v/>
      </c>
      <c r="E515" s="13">
        <f>IF(AND(ISNUMBER(C515),ISNUMBER($B$89),ISNUMBER($D$89)),IF(C515&gt;$D$89,"boven UCL",IF(C515&lt;$B$89,"onder LCL","")),"")</f>
        <v/>
      </c>
      <c r="G515" t="n">
        <v>409</v>
      </c>
      <c r="H515" s="7" t="n"/>
      <c r="I515" s="7" t="n"/>
      <c r="J515" s="11">
        <f>IF(AND(ISNUMBER(H515),ISNUMBER(I515),H515&gt;0,ISNUMBER($B$94)),I515/H515,"")</f>
        <v/>
      </c>
      <c r="K515" s="11">
        <f>IF(AND(ISNUMBER(H515),ISNUMBER(I515),H515&gt;0,ISNUMBER($B$94)),MAX(0,$B$94-3*SQRT($B$94*(1-$B$94)/H515)),"")</f>
        <v/>
      </c>
      <c r="L515" s="11">
        <f>IF(AND(ISNUMBER(H515),ISNUMBER(I515),H515&gt;0,ISNUMBER($B$94)),$B$94+3*SQRT($B$94*(1-$B$94)/H515),"")</f>
        <v/>
      </c>
      <c r="M515" s="13">
        <f>IF(AND(ISNUMBER(J515),ISNUMBER(K515),ISNUMBER(L515)),IF(J515&gt;L515,"boven UCL",IF(J515&lt;K515,"onder LCL","")),"")</f>
        <v/>
      </c>
      <c r="O515" t="n">
        <v>409</v>
      </c>
      <c r="P515" s="7" t="n"/>
      <c r="Q515" s="7" t="n"/>
      <c r="R515" s="11">
        <f>IF(AND(ISNUMBER(P515),ISNUMBER(Q515),P515&gt;0,ISNUMBER($B$100)),Q515/P515,"")</f>
        <v/>
      </c>
      <c r="S515" s="11">
        <f>IF(AND(ISNUMBER(P515),ISNUMBER(Q515),P515&gt;0,ISNUMBER($B$100)),MAX(0,$B$100-3*SQRT($B$100/P515)),"")</f>
        <v/>
      </c>
      <c r="T515" s="11">
        <f>IF(AND(ISNUMBER(P515),ISNUMBER(Q515),P515&gt;0,ISNUMBER($B$100)),$B$100+3*SQRT($B$100/P515),"")</f>
        <v/>
      </c>
      <c r="U515" s="13">
        <f>IF(AND(ISNUMBER(R515),ISNUMBER(S515),ISNUMBER(T515)),IF(R515&gt;T515,"boven UCL",IF(R515&lt;S515,"onder LCL","")),"")</f>
        <v/>
      </c>
    </row>
    <row r="516">
      <c r="A516" t="n">
        <v>410</v>
      </c>
      <c r="B516" s="7" t="n"/>
      <c r="C516" s="11">
        <f>IF(AND(ISNUMBER(B516),ISNUMBER(B515)),ABS(B516-B515),"")</f>
        <v/>
      </c>
      <c r="D516" s="13">
        <f>IF(AND(ISNUMBER(B516),ISNUMBER($B$88),ISNUMBER($D$88)),IF(B516&gt;$D$88,"boven UCL",IF(B516&lt;$B$88,"onder LCL","")),"")</f>
        <v/>
      </c>
      <c r="E516" s="13">
        <f>IF(AND(ISNUMBER(C516),ISNUMBER($B$89),ISNUMBER($D$89)),IF(C516&gt;$D$89,"boven UCL",IF(C516&lt;$B$89,"onder LCL","")),"")</f>
        <v/>
      </c>
      <c r="G516" t="n">
        <v>410</v>
      </c>
      <c r="H516" s="7" t="n"/>
      <c r="I516" s="7" t="n"/>
      <c r="J516" s="11">
        <f>IF(AND(ISNUMBER(H516),ISNUMBER(I516),H516&gt;0,ISNUMBER($B$94)),I516/H516,"")</f>
        <v/>
      </c>
      <c r="K516" s="11">
        <f>IF(AND(ISNUMBER(H516),ISNUMBER(I516),H516&gt;0,ISNUMBER($B$94)),MAX(0,$B$94-3*SQRT($B$94*(1-$B$94)/H516)),"")</f>
        <v/>
      </c>
      <c r="L516" s="11">
        <f>IF(AND(ISNUMBER(H516),ISNUMBER(I516),H516&gt;0,ISNUMBER($B$94)),$B$94+3*SQRT($B$94*(1-$B$94)/H516),"")</f>
        <v/>
      </c>
      <c r="M516" s="13">
        <f>IF(AND(ISNUMBER(J516),ISNUMBER(K516),ISNUMBER(L516)),IF(J516&gt;L516,"boven UCL",IF(J516&lt;K516,"onder LCL","")),"")</f>
        <v/>
      </c>
      <c r="O516" t="n">
        <v>410</v>
      </c>
      <c r="P516" s="7" t="n"/>
      <c r="Q516" s="7" t="n"/>
      <c r="R516" s="11">
        <f>IF(AND(ISNUMBER(P516),ISNUMBER(Q516),P516&gt;0,ISNUMBER($B$100)),Q516/P516,"")</f>
        <v/>
      </c>
      <c r="S516" s="11">
        <f>IF(AND(ISNUMBER(P516),ISNUMBER(Q516),P516&gt;0,ISNUMBER($B$100)),MAX(0,$B$100-3*SQRT($B$100/P516)),"")</f>
        <v/>
      </c>
      <c r="T516" s="11">
        <f>IF(AND(ISNUMBER(P516),ISNUMBER(Q516),P516&gt;0,ISNUMBER($B$100)),$B$100+3*SQRT($B$100/P516),"")</f>
        <v/>
      </c>
      <c r="U516" s="13">
        <f>IF(AND(ISNUMBER(R516),ISNUMBER(S516),ISNUMBER(T516)),IF(R516&gt;T516,"boven UCL",IF(R516&lt;S516,"onder LCL","")),"")</f>
        <v/>
      </c>
    </row>
    <row r="517">
      <c r="A517" t="n">
        <v>411</v>
      </c>
      <c r="B517" s="7" t="n"/>
      <c r="C517" s="11">
        <f>IF(AND(ISNUMBER(B517),ISNUMBER(B516)),ABS(B517-B516),"")</f>
        <v/>
      </c>
      <c r="D517" s="13">
        <f>IF(AND(ISNUMBER(B517),ISNUMBER($B$88),ISNUMBER($D$88)),IF(B517&gt;$D$88,"boven UCL",IF(B517&lt;$B$88,"onder LCL","")),"")</f>
        <v/>
      </c>
      <c r="E517" s="13">
        <f>IF(AND(ISNUMBER(C517),ISNUMBER($B$89),ISNUMBER($D$89)),IF(C517&gt;$D$89,"boven UCL",IF(C517&lt;$B$89,"onder LCL","")),"")</f>
        <v/>
      </c>
      <c r="G517" t="n">
        <v>411</v>
      </c>
      <c r="H517" s="7" t="n"/>
      <c r="I517" s="7" t="n"/>
      <c r="J517" s="11">
        <f>IF(AND(ISNUMBER(H517),ISNUMBER(I517),H517&gt;0,ISNUMBER($B$94)),I517/H517,"")</f>
        <v/>
      </c>
      <c r="K517" s="11">
        <f>IF(AND(ISNUMBER(H517),ISNUMBER(I517),H517&gt;0,ISNUMBER($B$94)),MAX(0,$B$94-3*SQRT($B$94*(1-$B$94)/H517)),"")</f>
        <v/>
      </c>
      <c r="L517" s="11">
        <f>IF(AND(ISNUMBER(H517),ISNUMBER(I517),H517&gt;0,ISNUMBER($B$94)),$B$94+3*SQRT($B$94*(1-$B$94)/H517),"")</f>
        <v/>
      </c>
      <c r="M517" s="13">
        <f>IF(AND(ISNUMBER(J517),ISNUMBER(K517),ISNUMBER(L517)),IF(J517&gt;L517,"boven UCL",IF(J517&lt;K517,"onder LCL","")),"")</f>
        <v/>
      </c>
      <c r="O517" t="n">
        <v>411</v>
      </c>
      <c r="P517" s="7" t="n"/>
      <c r="Q517" s="7" t="n"/>
      <c r="R517" s="11">
        <f>IF(AND(ISNUMBER(P517),ISNUMBER(Q517),P517&gt;0,ISNUMBER($B$100)),Q517/P517,"")</f>
        <v/>
      </c>
      <c r="S517" s="11">
        <f>IF(AND(ISNUMBER(P517),ISNUMBER(Q517),P517&gt;0,ISNUMBER($B$100)),MAX(0,$B$100-3*SQRT($B$100/P517)),"")</f>
        <v/>
      </c>
      <c r="T517" s="11">
        <f>IF(AND(ISNUMBER(P517),ISNUMBER(Q517),P517&gt;0,ISNUMBER($B$100)),$B$100+3*SQRT($B$100/P517),"")</f>
        <v/>
      </c>
      <c r="U517" s="13">
        <f>IF(AND(ISNUMBER(R517),ISNUMBER(S517),ISNUMBER(T517)),IF(R517&gt;T517,"boven UCL",IF(R517&lt;S517,"onder LCL","")),"")</f>
        <v/>
      </c>
    </row>
    <row r="518">
      <c r="A518" t="n">
        <v>412</v>
      </c>
      <c r="B518" s="7" t="n"/>
      <c r="C518" s="11">
        <f>IF(AND(ISNUMBER(B518),ISNUMBER(B517)),ABS(B518-B517),"")</f>
        <v/>
      </c>
      <c r="D518" s="13">
        <f>IF(AND(ISNUMBER(B518),ISNUMBER($B$88),ISNUMBER($D$88)),IF(B518&gt;$D$88,"boven UCL",IF(B518&lt;$B$88,"onder LCL","")),"")</f>
        <v/>
      </c>
      <c r="E518" s="13">
        <f>IF(AND(ISNUMBER(C518),ISNUMBER($B$89),ISNUMBER($D$89)),IF(C518&gt;$D$89,"boven UCL",IF(C518&lt;$B$89,"onder LCL","")),"")</f>
        <v/>
      </c>
      <c r="G518" t="n">
        <v>412</v>
      </c>
      <c r="H518" s="7" t="n"/>
      <c r="I518" s="7" t="n"/>
      <c r="J518" s="11">
        <f>IF(AND(ISNUMBER(H518),ISNUMBER(I518),H518&gt;0,ISNUMBER($B$94)),I518/H518,"")</f>
        <v/>
      </c>
      <c r="K518" s="11">
        <f>IF(AND(ISNUMBER(H518),ISNUMBER(I518),H518&gt;0,ISNUMBER($B$94)),MAX(0,$B$94-3*SQRT($B$94*(1-$B$94)/H518)),"")</f>
        <v/>
      </c>
      <c r="L518" s="11">
        <f>IF(AND(ISNUMBER(H518),ISNUMBER(I518),H518&gt;0,ISNUMBER($B$94)),$B$94+3*SQRT($B$94*(1-$B$94)/H518),"")</f>
        <v/>
      </c>
      <c r="M518" s="13">
        <f>IF(AND(ISNUMBER(J518),ISNUMBER(K518),ISNUMBER(L518)),IF(J518&gt;L518,"boven UCL",IF(J518&lt;K518,"onder LCL","")),"")</f>
        <v/>
      </c>
      <c r="O518" t="n">
        <v>412</v>
      </c>
      <c r="P518" s="7" t="n"/>
      <c r="Q518" s="7" t="n"/>
      <c r="R518" s="11">
        <f>IF(AND(ISNUMBER(P518),ISNUMBER(Q518),P518&gt;0,ISNUMBER($B$100)),Q518/P518,"")</f>
        <v/>
      </c>
      <c r="S518" s="11">
        <f>IF(AND(ISNUMBER(P518),ISNUMBER(Q518),P518&gt;0,ISNUMBER($B$100)),MAX(0,$B$100-3*SQRT($B$100/P518)),"")</f>
        <v/>
      </c>
      <c r="T518" s="11">
        <f>IF(AND(ISNUMBER(P518),ISNUMBER(Q518),P518&gt;0,ISNUMBER($B$100)),$B$100+3*SQRT($B$100/P518),"")</f>
        <v/>
      </c>
      <c r="U518" s="13">
        <f>IF(AND(ISNUMBER(R518),ISNUMBER(S518),ISNUMBER(T518)),IF(R518&gt;T518,"boven UCL",IF(R518&lt;S518,"onder LCL","")),"")</f>
        <v/>
      </c>
    </row>
    <row r="519">
      <c r="A519" t="n">
        <v>413</v>
      </c>
      <c r="B519" s="7" t="n"/>
      <c r="C519" s="11">
        <f>IF(AND(ISNUMBER(B519),ISNUMBER(B518)),ABS(B519-B518),"")</f>
        <v/>
      </c>
      <c r="D519" s="13">
        <f>IF(AND(ISNUMBER(B519),ISNUMBER($B$88),ISNUMBER($D$88)),IF(B519&gt;$D$88,"boven UCL",IF(B519&lt;$B$88,"onder LCL","")),"")</f>
        <v/>
      </c>
      <c r="E519" s="13">
        <f>IF(AND(ISNUMBER(C519),ISNUMBER($B$89),ISNUMBER($D$89)),IF(C519&gt;$D$89,"boven UCL",IF(C519&lt;$B$89,"onder LCL","")),"")</f>
        <v/>
      </c>
      <c r="G519" t="n">
        <v>413</v>
      </c>
      <c r="H519" s="7" t="n"/>
      <c r="I519" s="7" t="n"/>
      <c r="J519" s="11">
        <f>IF(AND(ISNUMBER(H519),ISNUMBER(I519),H519&gt;0,ISNUMBER($B$94)),I519/H519,"")</f>
        <v/>
      </c>
      <c r="K519" s="11">
        <f>IF(AND(ISNUMBER(H519),ISNUMBER(I519),H519&gt;0,ISNUMBER($B$94)),MAX(0,$B$94-3*SQRT($B$94*(1-$B$94)/H519)),"")</f>
        <v/>
      </c>
      <c r="L519" s="11">
        <f>IF(AND(ISNUMBER(H519),ISNUMBER(I519),H519&gt;0,ISNUMBER($B$94)),$B$94+3*SQRT($B$94*(1-$B$94)/H519),"")</f>
        <v/>
      </c>
      <c r="M519" s="13">
        <f>IF(AND(ISNUMBER(J519),ISNUMBER(K519),ISNUMBER(L519)),IF(J519&gt;L519,"boven UCL",IF(J519&lt;K519,"onder LCL","")),"")</f>
        <v/>
      </c>
      <c r="O519" t="n">
        <v>413</v>
      </c>
      <c r="P519" s="7" t="n"/>
      <c r="Q519" s="7" t="n"/>
      <c r="R519" s="11">
        <f>IF(AND(ISNUMBER(P519),ISNUMBER(Q519),P519&gt;0,ISNUMBER($B$100)),Q519/P519,"")</f>
        <v/>
      </c>
      <c r="S519" s="11">
        <f>IF(AND(ISNUMBER(P519),ISNUMBER(Q519),P519&gt;0,ISNUMBER($B$100)),MAX(0,$B$100-3*SQRT($B$100/P519)),"")</f>
        <v/>
      </c>
      <c r="T519" s="11">
        <f>IF(AND(ISNUMBER(P519),ISNUMBER(Q519),P519&gt;0,ISNUMBER($B$100)),$B$100+3*SQRT($B$100/P519),"")</f>
        <v/>
      </c>
      <c r="U519" s="13">
        <f>IF(AND(ISNUMBER(R519),ISNUMBER(S519),ISNUMBER(T519)),IF(R519&gt;T519,"boven UCL",IF(R519&lt;S519,"onder LCL","")),"")</f>
        <v/>
      </c>
    </row>
    <row r="520">
      <c r="A520" t="n">
        <v>414</v>
      </c>
      <c r="B520" s="7" t="n"/>
      <c r="C520" s="11">
        <f>IF(AND(ISNUMBER(B520),ISNUMBER(B519)),ABS(B520-B519),"")</f>
        <v/>
      </c>
      <c r="D520" s="13">
        <f>IF(AND(ISNUMBER(B520),ISNUMBER($B$88),ISNUMBER($D$88)),IF(B520&gt;$D$88,"boven UCL",IF(B520&lt;$B$88,"onder LCL","")),"")</f>
        <v/>
      </c>
      <c r="E520" s="13">
        <f>IF(AND(ISNUMBER(C520),ISNUMBER($B$89),ISNUMBER($D$89)),IF(C520&gt;$D$89,"boven UCL",IF(C520&lt;$B$89,"onder LCL","")),"")</f>
        <v/>
      </c>
      <c r="G520" t="n">
        <v>414</v>
      </c>
      <c r="H520" s="7" t="n"/>
      <c r="I520" s="7" t="n"/>
      <c r="J520" s="11">
        <f>IF(AND(ISNUMBER(H520),ISNUMBER(I520),H520&gt;0,ISNUMBER($B$94)),I520/H520,"")</f>
        <v/>
      </c>
      <c r="K520" s="11">
        <f>IF(AND(ISNUMBER(H520),ISNUMBER(I520),H520&gt;0,ISNUMBER($B$94)),MAX(0,$B$94-3*SQRT($B$94*(1-$B$94)/H520)),"")</f>
        <v/>
      </c>
      <c r="L520" s="11">
        <f>IF(AND(ISNUMBER(H520),ISNUMBER(I520),H520&gt;0,ISNUMBER($B$94)),$B$94+3*SQRT($B$94*(1-$B$94)/H520),"")</f>
        <v/>
      </c>
      <c r="M520" s="13">
        <f>IF(AND(ISNUMBER(J520),ISNUMBER(K520),ISNUMBER(L520)),IF(J520&gt;L520,"boven UCL",IF(J520&lt;K520,"onder LCL","")),"")</f>
        <v/>
      </c>
      <c r="O520" t="n">
        <v>414</v>
      </c>
      <c r="P520" s="7" t="n"/>
      <c r="Q520" s="7" t="n"/>
      <c r="R520" s="11">
        <f>IF(AND(ISNUMBER(P520),ISNUMBER(Q520),P520&gt;0,ISNUMBER($B$100)),Q520/P520,"")</f>
        <v/>
      </c>
      <c r="S520" s="11">
        <f>IF(AND(ISNUMBER(P520),ISNUMBER(Q520),P520&gt;0,ISNUMBER($B$100)),MAX(0,$B$100-3*SQRT($B$100/P520)),"")</f>
        <v/>
      </c>
      <c r="T520" s="11">
        <f>IF(AND(ISNUMBER(P520),ISNUMBER(Q520),P520&gt;0,ISNUMBER($B$100)),$B$100+3*SQRT($B$100/P520),"")</f>
        <v/>
      </c>
      <c r="U520" s="13">
        <f>IF(AND(ISNUMBER(R520),ISNUMBER(S520),ISNUMBER(T520)),IF(R520&gt;T520,"boven UCL",IF(R520&lt;S520,"onder LCL","")),"")</f>
        <v/>
      </c>
    </row>
    <row r="521">
      <c r="A521" t="n">
        <v>415</v>
      </c>
      <c r="B521" s="7" t="n"/>
      <c r="C521" s="11">
        <f>IF(AND(ISNUMBER(B521),ISNUMBER(B520)),ABS(B521-B520),"")</f>
        <v/>
      </c>
      <c r="D521" s="13">
        <f>IF(AND(ISNUMBER(B521),ISNUMBER($B$88),ISNUMBER($D$88)),IF(B521&gt;$D$88,"boven UCL",IF(B521&lt;$B$88,"onder LCL","")),"")</f>
        <v/>
      </c>
      <c r="E521" s="13">
        <f>IF(AND(ISNUMBER(C521),ISNUMBER($B$89),ISNUMBER($D$89)),IF(C521&gt;$D$89,"boven UCL",IF(C521&lt;$B$89,"onder LCL","")),"")</f>
        <v/>
      </c>
      <c r="G521" t="n">
        <v>415</v>
      </c>
      <c r="H521" s="7" t="n"/>
      <c r="I521" s="7" t="n"/>
      <c r="J521" s="11">
        <f>IF(AND(ISNUMBER(H521),ISNUMBER(I521),H521&gt;0,ISNUMBER($B$94)),I521/H521,"")</f>
        <v/>
      </c>
      <c r="K521" s="11">
        <f>IF(AND(ISNUMBER(H521),ISNUMBER(I521),H521&gt;0,ISNUMBER($B$94)),MAX(0,$B$94-3*SQRT($B$94*(1-$B$94)/H521)),"")</f>
        <v/>
      </c>
      <c r="L521" s="11">
        <f>IF(AND(ISNUMBER(H521),ISNUMBER(I521),H521&gt;0,ISNUMBER($B$94)),$B$94+3*SQRT($B$94*(1-$B$94)/H521),"")</f>
        <v/>
      </c>
      <c r="M521" s="13">
        <f>IF(AND(ISNUMBER(J521),ISNUMBER(K521),ISNUMBER(L521)),IF(J521&gt;L521,"boven UCL",IF(J521&lt;K521,"onder LCL","")),"")</f>
        <v/>
      </c>
      <c r="O521" t="n">
        <v>415</v>
      </c>
      <c r="P521" s="7" t="n"/>
      <c r="Q521" s="7" t="n"/>
      <c r="R521" s="11">
        <f>IF(AND(ISNUMBER(P521),ISNUMBER(Q521),P521&gt;0,ISNUMBER($B$100)),Q521/P521,"")</f>
        <v/>
      </c>
      <c r="S521" s="11">
        <f>IF(AND(ISNUMBER(P521),ISNUMBER(Q521),P521&gt;0,ISNUMBER($B$100)),MAX(0,$B$100-3*SQRT($B$100/P521)),"")</f>
        <v/>
      </c>
      <c r="T521" s="11">
        <f>IF(AND(ISNUMBER(P521),ISNUMBER(Q521),P521&gt;0,ISNUMBER($B$100)),$B$100+3*SQRT($B$100/P521),"")</f>
        <v/>
      </c>
      <c r="U521" s="13">
        <f>IF(AND(ISNUMBER(R521),ISNUMBER(S521),ISNUMBER(T521)),IF(R521&gt;T521,"boven UCL",IF(R521&lt;S521,"onder LCL","")),"")</f>
        <v/>
      </c>
    </row>
    <row r="522">
      <c r="A522" t="n">
        <v>416</v>
      </c>
      <c r="B522" s="7" t="n"/>
      <c r="C522" s="11">
        <f>IF(AND(ISNUMBER(B522),ISNUMBER(B521)),ABS(B522-B521),"")</f>
        <v/>
      </c>
      <c r="D522" s="13">
        <f>IF(AND(ISNUMBER(B522),ISNUMBER($B$88),ISNUMBER($D$88)),IF(B522&gt;$D$88,"boven UCL",IF(B522&lt;$B$88,"onder LCL","")),"")</f>
        <v/>
      </c>
      <c r="E522" s="13">
        <f>IF(AND(ISNUMBER(C522),ISNUMBER($B$89),ISNUMBER($D$89)),IF(C522&gt;$D$89,"boven UCL",IF(C522&lt;$B$89,"onder LCL","")),"")</f>
        <v/>
      </c>
      <c r="G522" t="n">
        <v>416</v>
      </c>
      <c r="H522" s="7" t="n"/>
      <c r="I522" s="7" t="n"/>
      <c r="J522" s="11">
        <f>IF(AND(ISNUMBER(H522),ISNUMBER(I522),H522&gt;0,ISNUMBER($B$94)),I522/H522,"")</f>
        <v/>
      </c>
      <c r="K522" s="11">
        <f>IF(AND(ISNUMBER(H522),ISNUMBER(I522),H522&gt;0,ISNUMBER($B$94)),MAX(0,$B$94-3*SQRT($B$94*(1-$B$94)/H522)),"")</f>
        <v/>
      </c>
      <c r="L522" s="11">
        <f>IF(AND(ISNUMBER(H522),ISNUMBER(I522),H522&gt;0,ISNUMBER($B$94)),$B$94+3*SQRT($B$94*(1-$B$94)/H522),"")</f>
        <v/>
      </c>
      <c r="M522" s="13">
        <f>IF(AND(ISNUMBER(J522),ISNUMBER(K522),ISNUMBER(L522)),IF(J522&gt;L522,"boven UCL",IF(J522&lt;K522,"onder LCL","")),"")</f>
        <v/>
      </c>
      <c r="O522" t="n">
        <v>416</v>
      </c>
      <c r="P522" s="7" t="n"/>
      <c r="Q522" s="7" t="n"/>
      <c r="R522" s="11">
        <f>IF(AND(ISNUMBER(P522),ISNUMBER(Q522),P522&gt;0,ISNUMBER($B$100)),Q522/P522,"")</f>
        <v/>
      </c>
      <c r="S522" s="11">
        <f>IF(AND(ISNUMBER(P522),ISNUMBER(Q522),P522&gt;0,ISNUMBER($B$100)),MAX(0,$B$100-3*SQRT($B$100/P522)),"")</f>
        <v/>
      </c>
      <c r="T522" s="11">
        <f>IF(AND(ISNUMBER(P522),ISNUMBER(Q522),P522&gt;0,ISNUMBER($B$100)),$B$100+3*SQRT($B$100/P522),"")</f>
        <v/>
      </c>
      <c r="U522" s="13">
        <f>IF(AND(ISNUMBER(R522),ISNUMBER(S522),ISNUMBER(T522)),IF(R522&gt;T522,"boven UCL",IF(R522&lt;S522,"onder LCL","")),"")</f>
        <v/>
      </c>
    </row>
    <row r="523">
      <c r="A523" t="n">
        <v>417</v>
      </c>
      <c r="B523" s="7" t="n"/>
      <c r="C523" s="11">
        <f>IF(AND(ISNUMBER(B523),ISNUMBER(B522)),ABS(B523-B522),"")</f>
        <v/>
      </c>
      <c r="D523" s="13">
        <f>IF(AND(ISNUMBER(B523),ISNUMBER($B$88),ISNUMBER($D$88)),IF(B523&gt;$D$88,"boven UCL",IF(B523&lt;$B$88,"onder LCL","")),"")</f>
        <v/>
      </c>
      <c r="E523" s="13">
        <f>IF(AND(ISNUMBER(C523),ISNUMBER($B$89),ISNUMBER($D$89)),IF(C523&gt;$D$89,"boven UCL",IF(C523&lt;$B$89,"onder LCL","")),"")</f>
        <v/>
      </c>
      <c r="G523" t="n">
        <v>417</v>
      </c>
      <c r="H523" s="7" t="n"/>
      <c r="I523" s="7" t="n"/>
      <c r="J523" s="11">
        <f>IF(AND(ISNUMBER(H523),ISNUMBER(I523),H523&gt;0,ISNUMBER($B$94)),I523/H523,"")</f>
        <v/>
      </c>
      <c r="K523" s="11">
        <f>IF(AND(ISNUMBER(H523),ISNUMBER(I523),H523&gt;0,ISNUMBER($B$94)),MAX(0,$B$94-3*SQRT($B$94*(1-$B$94)/H523)),"")</f>
        <v/>
      </c>
      <c r="L523" s="11">
        <f>IF(AND(ISNUMBER(H523),ISNUMBER(I523),H523&gt;0,ISNUMBER($B$94)),$B$94+3*SQRT($B$94*(1-$B$94)/H523),"")</f>
        <v/>
      </c>
      <c r="M523" s="13">
        <f>IF(AND(ISNUMBER(J523),ISNUMBER(K523),ISNUMBER(L523)),IF(J523&gt;L523,"boven UCL",IF(J523&lt;K523,"onder LCL","")),"")</f>
        <v/>
      </c>
      <c r="O523" t="n">
        <v>417</v>
      </c>
      <c r="P523" s="7" t="n"/>
      <c r="Q523" s="7" t="n"/>
      <c r="R523" s="11">
        <f>IF(AND(ISNUMBER(P523),ISNUMBER(Q523),P523&gt;0,ISNUMBER($B$100)),Q523/P523,"")</f>
        <v/>
      </c>
      <c r="S523" s="11">
        <f>IF(AND(ISNUMBER(P523),ISNUMBER(Q523),P523&gt;0,ISNUMBER($B$100)),MAX(0,$B$100-3*SQRT($B$100/P523)),"")</f>
        <v/>
      </c>
      <c r="T523" s="11">
        <f>IF(AND(ISNUMBER(P523),ISNUMBER(Q523),P523&gt;0,ISNUMBER($B$100)),$B$100+3*SQRT($B$100/P523),"")</f>
        <v/>
      </c>
      <c r="U523" s="13">
        <f>IF(AND(ISNUMBER(R523),ISNUMBER(S523),ISNUMBER(T523)),IF(R523&gt;T523,"boven UCL",IF(R523&lt;S523,"onder LCL","")),"")</f>
        <v/>
      </c>
    </row>
    <row r="524">
      <c r="A524" t="n">
        <v>418</v>
      </c>
      <c r="B524" s="7" t="n"/>
      <c r="C524" s="11">
        <f>IF(AND(ISNUMBER(B524),ISNUMBER(B523)),ABS(B524-B523),"")</f>
        <v/>
      </c>
      <c r="D524" s="13">
        <f>IF(AND(ISNUMBER(B524),ISNUMBER($B$88),ISNUMBER($D$88)),IF(B524&gt;$D$88,"boven UCL",IF(B524&lt;$B$88,"onder LCL","")),"")</f>
        <v/>
      </c>
      <c r="E524" s="13">
        <f>IF(AND(ISNUMBER(C524),ISNUMBER($B$89),ISNUMBER($D$89)),IF(C524&gt;$D$89,"boven UCL",IF(C524&lt;$B$89,"onder LCL","")),"")</f>
        <v/>
      </c>
      <c r="G524" t="n">
        <v>418</v>
      </c>
      <c r="H524" s="7" t="n"/>
      <c r="I524" s="7" t="n"/>
      <c r="J524" s="11">
        <f>IF(AND(ISNUMBER(H524),ISNUMBER(I524),H524&gt;0,ISNUMBER($B$94)),I524/H524,"")</f>
        <v/>
      </c>
      <c r="K524" s="11">
        <f>IF(AND(ISNUMBER(H524),ISNUMBER(I524),H524&gt;0,ISNUMBER($B$94)),MAX(0,$B$94-3*SQRT($B$94*(1-$B$94)/H524)),"")</f>
        <v/>
      </c>
      <c r="L524" s="11">
        <f>IF(AND(ISNUMBER(H524),ISNUMBER(I524),H524&gt;0,ISNUMBER($B$94)),$B$94+3*SQRT($B$94*(1-$B$94)/H524),"")</f>
        <v/>
      </c>
      <c r="M524" s="13">
        <f>IF(AND(ISNUMBER(J524),ISNUMBER(K524),ISNUMBER(L524)),IF(J524&gt;L524,"boven UCL",IF(J524&lt;K524,"onder LCL","")),"")</f>
        <v/>
      </c>
      <c r="O524" t="n">
        <v>418</v>
      </c>
      <c r="P524" s="7" t="n"/>
      <c r="Q524" s="7" t="n"/>
      <c r="R524" s="11">
        <f>IF(AND(ISNUMBER(P524),ISNUMBER(Q524),P524&gt;0,ISNUMBER($B$100)),Q524/P524,"")</f>
        <v/>
      </c>
      <c r="S524" s="11">
        <f>IF(AND(ISNUMBER(P524),ISNUMBER(Q524),P524&gt;0,ISNUMBER($B$100)),MAX(0,$B$100-3*SQRT($B$100/P524)),"")</f>
        <v/>
      </c>
      <c r="T524" s="11">
        <f>IF(AND(ISNUMBER(P524),ISNUMBER(Q524),P524&gt;0,ISNUMBER($B$100)),$B$100+3*SQRT($B$100/P524),"")</f>
        <v/>
      </c>
      <c r="U524" s="13">
        <f>IF(AND(ISNUMBER(R524),ISNUMBER(S524),ISNUMBER(T524)),IF(R524&gt;T524,"boven UCL",IF(R524&lt;S524,"onder LCL","")),"")</f>
        <v/>
      </c>
    </row>
    <row r="525">
      <c r="A525" t="n">
        <v>419</v>
      </c>
      <c r="B525" s="7" t="n"/>
      <c r="C525" s="11">
        <f>IF(AND(ISNUMBER(B525),ISNUMBER(B524)),ABS(B525-B524),"")</f>
        <v/>
      </c>
      <c r="D525" s="13">
        <f>IF(AND(ISNUMBER(B525),ISNUMBER($B$88),ISNUMBER($D$88)),IF(B525&gt;$D$88,"boven UCL",IF(B525&lt;$B$88,"onder LCL","")),"")</f>
        <v/>
      </c>
      <c r="E525" s="13">
        <f>IF(AND(ISNUMBER(C525),ISNUMBER($B$89),ISNUMBER($D$89)),IF(C525&gt;$D$89,"boven UCL",IF(C525&lt;$B$89,"onder LCL","")),"")</f>
        <v/>
      </c>
      <c r="G525" t="n">
        <v>419</v>
      </c>
      <c r="H525" s="7" t="n"/>
      <c r="I525" s="7" t="n"/>
      <c r="J525" s="11">
        <f>IF(AND(ISNUMBER(H525),ISNUMBER(I525),H525&gt;0,ISNUMBER($B$94)),I525/H525,"")</f>
        <v/>
      </c>
      <c r="K525" s="11">
        <f>IF(AND(ISNUMBER(H525),ISNUMBER(I525),H525&gt;0,ISNUMBER($B$94)),MAX(0,$B$94-3*SQRT($B$94*(1-$B$94)/H525)),"")</f>
        <v/>
      </c>
      <c r="L525" s="11">
        <f>IF(AND(ISNUMBER(H525),ISNUMBER(I525),H525&gt;0,ISNUMBER($B$94)),$B$94+3*SQRT($B$94*(1-$B$94)/H525),"")</f>
        <v/>
      </c>
      <c r="M525" s="13">
        <f>IF(AND(ISNUMBER(J525),ISNUMBER(K525),ISNUMBER(L525)),IF(J525&gt;L525,"boven UCL",IF(J525&lt;K525,"onder LCL","")),"")</f>
        <v/>
      </c>
      <c r="O525" t="n">
        <v>419</v>
      </c>
      <c r="P525" s="7" t="n"/>
      <c r="Q525" s="7" t="n"/>
      <c r="R525" s="11">
        <f>IF(AND(ISNUMBER(P525),ISNUMBER(Q525),P525&gt;0,ISNUMBER($B$100)),Q525/P525,"")</f>
        <v/>
      </c>
      <c r="S525" s="11">
        <f>IF(AND(ISNUMBER(P525),ISNUMBER(Q525),P525&gt;0,ISNUMBER($B$100)),MAX(0,$B$100-3*SQRT($B$100/P525)),"")</f>
        <v/>
      </c>
      <c r="T525" s="11">
        <f>IF(AND(ISNUMBER(P525),ISNUMBER(Q525),P525&gt;0,ISNUMBER($B$100)),$B$100+3*SQRT($B$100/P525),"")</f>
        <v/>
      </c>
      <c r="U525" s="13">
        <f>IF(AND(ISNUMBER(R525),ISNUMBER(S525),ISNUMBER(T525)),IF(R525&gt;T525,"boven UCL",IF(R525&lt;S525,"onder LCL","")),"")</f>
        <v/>
      </c>
    </row>
    <row r="526">
      <c r="A526" t="n">
        <v>420</v>
      </c>
      <c r="B526" s="7" t="n"/>
      <c r="C526" s="11">
        <f>IF(AND(ISNUMBER(B526),ISNUMBER(B525)),ABS(B526-B525),"")</f>
        <v/>
      </c>
      <c r="D526" s="13">
        <f>IF(AND(ISNUMBER(B526),ISNUMBER($B$88),ISNUMBER($D$88)),IF(B526&gt;$D$88,"boven UCL",IF(B526&lt;$B$88,"onder LCL","")),"")</f>
        <v/>
      </c>
      <c r="E526" s="13">
        <f>IF(AND(ISNUMBER(C526),ISNUMBER($B$89),ISNUMBER($D$89)),IF(C526&gt;$D$89,"boven UCL",IF(C526&lt;$B$89,"onder LCL","")),"")</f>
        <v/>
      </c>
      <c r="G526" t="n">
        <v>420</v>
      </c>
      <c r="H526" s="7" t="n"/>
      <c r="I526" s="7" t="n"/>
      <c r="J526" s="11">
        <f>IF(AND(ISNUMBER(H526),ISNUMBER(I526),H526&gt;0,ISNUMBER($B$94)),I526/H526,"")</f>
        <v/>
      </c>
      <c r="K526" s="11">
        <f>IF(AND(ISNUMBER(H526),ISNUMBER(I526),H526&gt;0,ISNUMBER($B$94)),MAX(0,$B$94-3*SQRT($B$94*(1-$B$94)/H526)),"")</f>
        <v/>
      </c>
      <c r="L526" s="11">
        <f>IF(AND(ISNUMBER(H526),ISNUMBER(I526),H526&gt;0,ISNUMBER($B$94)),$B$94+3*SQRT($B$94*(1-$B$94)/H526),"")</f>
        <v/>
      </c>
      <c r="M526" s="13">
        <f>IF(AND(ISNUMBER(J526),ISNUMBER(K526),ISNUMBER(L526)),IF(J526&gt;L526,"boven UCL",IF(J526&lt;K526,"onder LCL","")),"")</f>
        <v/>
      </c>
      <c r="O526" t="n">
        <v>420</v>
      </c>
      <c r="P526" s="7" t="n"/>
      <c r="Q526" s="7" t="n"/>
      <c r="R526" s="11">
        <f>IF(AND(ISNUMBER(P526),ISNUMBER(Q526),P526&gt;0,ISNUMBER($B$100)),Q526/P526,"")</f>
        <v/>
      </c>
      <c r="S526" s="11">
        <f>IF(AND(ISNUMBER(P526),ISNUMBER(Q526),P526&gt;0,ISNUMBER($B$100)),MAX(0,$B$100-3*SQRT($B$100/P526)),"")</f>
        <v/>
      </c>
      <c r="T526" s="11">
        <f>IF(AND(ISNUMBER(P526),ISNUMBER(Q526),P526&gt;0,ISNUMBER($B$100)),$B$100+3*SQRT($B$100/P526),"")</f>
        <v/>
      </c>
      <c r="U526" s="13">
        <f>IF(AND(ISNUMBER(R526),ISNUMBER(S526),ISNUMBER(T526)),IF(R526&gt;T526,"boven UCL",IF(R526&lt;S526,"onder LCL","")),"")</f>
        <v/>
      </c>
    </row>
    <row r="527">
      <c r="A527" t="n">
        <v>421</v>
      </c>
      <c r="B527" s="7" t="n"/>
      <c r="C527" s="11">
        <f>IF(AND(ISNUMBER(B527),ISNUMBER(B526)),ABS(B527-B526),"")</f>
        <v/>
      </c>
      <c r="D527" s="13">
        <f>IF(AND(ISNUMBER(B527),ISNUMBER($B$88),ISNUMBER($D$88)),IF(B527&gt;$D$88,"boven UCL",IF(B527&lt;$B$88,"onder LCL","")),"")</f>
        <v/>
      </c>
      <c r="E527" s="13">
        <f>IF(AND(ISNUMBER(C527),ISNUMBER($B$89),ISNUMBER($D$89)),IF(C527&gt;$D$89,"boven UCL",IF(C527&lt;$B$89,"onder LCL","")),"")</f>
        <v/>
      </c>
      <c r="G527" t="n">
        <v>421</v>
      </c>
      <c r="H527" s="7" t="n"/>
      <c r="I527" s="7" t="n"/>
      <c r="J527" s="11">
        <f>IF(AND(ISNUMBER(H527),ISNUMBER(I527),H527&gt;0,ISNUMBER($B$94)),I527/H527,"")</f>
        <v/>
      </c>
      <c r="K527" s="11">
        <f>IF(AND(ISNUMBER(H527),ISNUMBER(I527),H527&gt;0,ISNUMBER($B$94)),MAX(0,$B$94-3*SQRT($B$94*(1-$B$94)/H527)),"")</f>
        <v/>
      </c>
      <c r="L527" s="11">
        <f>IF(AND(ISNUMBER(H527),ISNUMBER(I527),H527&gt;0,ISNUMBER($B$94)),$B$94+3*SQRT($B$94*(1-$B$94)/H527),"")</f>
        <v/>
      </c>
      <c r="M527" s="13">
        <f>IF(AND(ISNUMBER(J527),ISNUMBER(K527),ISNUMBER(L527)),IF(J527&gt;L527,"boven UCL",IF(J527&lt;K527,"onder LCL","")),"")</f>
        <v/>
      </c>
      <c r="O527" t="n">
        <v>421</v>
      </c>
      <c r="P527" s="7" t="n"/>
      <c r="Q527" s="7" t="n"/>
      <c r="R527" s="11">
        <f>IF(AND(ISNUMBER(P527),ISNUMBER(Q527),P527&gt;0,ISNUMBER($B$100)),Q527/P527,"")</f>
        <v/>
      </c>
      <c r="S527" s="11">
        <f>IF(AND(ISNUMBER(P527),ISNUMBER(Q527),P527&gt;0,ISNUMBER($B$100)),MAX(0,$B$100-3*SQRT($B$100/P527)),"")</f>
        <v/>
      </c>
      <c r="T527" s="11">
        <f>IF(AND(ISNUMBER(P527),ISNUMBER(Q527),P527&gt;0,ISNUMBER($B$100)),$B$100+3*SQRT($B$100/P527),"")</f>
        <v/>
      </c>
      <c r="U527" s="13">
        <f>IF(AND(ISNUMBER(R527),ISNUMBER(S527),ISNUMBER(T527)),IF(R527&gt;T527,"boven UCL",IF(R527&lt;S527,"onder LCL","")),"")</f>
        <v/>
      </c>
    </row>
    <row r="528">
      <c r="A528" t="n">
        <v>422</v>
      </c>
      <c r="B528" s="7" t="n"/>
      <c r="C528" s="11">
        <f>IF(AND(ISNUMBER(B528),ISNUMBER(B527)),ABS(B528-B527),"")</f>
        <v/>
      </c>
      <c r="D528" s="13">
        <f>IF(AND(ISNUMBER(B528),ISNUMBER($B$88),ISNUMBER($D$88)),IF(B528&gt;$D$88,"boven UCL",IF(B528&lt;$B$88,"onder LCL","")),"")</f>
        <v/>
      </c>
      <c r="E528" s="13">
        <f>IF(AND(ISNUMBER(C528),ISNUMBER($B$89),ISNUMBER($D$89)),IF(C528&gt;$D$89,"boven UCL",IF(C528&lt;$B$89,"onder LCL","")),"")</f>
        <v/>
      </c>
      <c r="G528" t="n">
        <v>422</v>
      </c>
      <c r="H528" s="7" t="n"/>
      <c r="I528" s="7" t="n"/>
      <c r="J528" s="11">
        <f>IF(AND(ISNUMBER(H528),ISNUMBER(I528),H528&gt;0,ISNUMBER($B$94)),I528/H528,"")</f>
        <v/>
      </c>
      <c r="K528" s="11">
        <f>IF(AND(ISNUMBER(H528),ISNUMBER(I528),H528&gt;0,ISNUMBER($B$94)),MAX(0,$B$94-3*SQRT($B$94*(1-$B$94)/H528)),"")</f>
        <v/>
      </c>
      <c r="L528" s="11">
        <f>IF(AND(ISNUMBER(H528),ISNUMBER(I528),H528&gt;0,ISNUMBER($B$94)),$B$94+3*SQRT($B$94*(1-$B$94)/H528),"")</f>
        <v/>
      </c>
      <c r="M528" s="13">
        <f>IF(AND(ISNUMBER(J528),ISNUMBER(K528),ISNUMBER(L528)),IF(J528&gt;L528,"boven UCL",IF(J528&lt;K528,"onder LCL","")),"")</f>
        <v/>
      </c>
      <c r="O528" t="n">
        <v>422</v>
      </c>
      <c r="P528" s="7" t="n"/>
      <c r="Q528" s="7" t="n"/>
      <c r="R528" s="11">
        <f>IF(AND(ISNUMBER(P528),ISNUMBER(Q528),P528&gt;0,ISNUMBER($B$100)),Q528/P528,"")</f>
        <v/>
      </c>
      <c r="S528" s="11">
        <f>IF(AND(ISNUMBER(P528),ISNUMBER(Q528),P528&gt;0,ISNUMBER($B$100)),MAX(0,$B$100-3*SQRT($B$100/P528)),"")</f>
        <v/>
      </c>
      <c r="T528" s="11">
        <f>IF(AND(ISNUMBER(P528),ISNUMBER(Q528),P528&gt;0,ISNUMBER($B$100)),$B$100+3*SQRT($B$100/P528),"")</f>
        <v/>
      </c>
      <c r="U528" s="13">
        <f>IF(AND(ISNUMBER(R528),ISNUMBER(S528),ISNUMBER(T528)),IF(R528&gt;T528,"boven UCL",IF(R528&lt;S528,"onder LCL","")),"")</f>
        <v/>
      </c>
    </row>
    <row r="529">
      <c r="A529" t="n">
        <v>423</v>
      </c>
      <c r="B529" s="7" t="n"/>
      <c r="C529" s="11">
        <f>IF(AND(ISNUMBER(B529),ISNUMBER(B528)),ABS(B529-B528),"")</f>
        <v/>
      </c>
      <c r="D529" s="13">
        <f>IF(AND(ISNUMBER(B529),ISNUMBER($B$88),ISNUMBER($D$88)),IF(B529&gt;$D$88,"boven UCL",IF(B529&lt;$B$88,"onder LCL","")),"")</f>
        <v/>
      </c>
      <c r="E529" s="13">
        <f>IF(AND(ISNUMBER(C529),ISNUMBER($B$89),ISNUMBER($D$89)),IF(C529&gt;$D$89,"boven UCL",IF(C529&lt;$B$89,"onder LCL","")),"")</f>
        <v/>
      </c>
      <c r="G529" t="n">
        <v>423</v>
      </c>
      <c r="H529" s="7" t="n"/>
      <c r="I529" s="7" t="n"/>
      <c r="J529" s="11">
        <f>IF(AND(ISNUMBER(H529),ISNUMBER(I529),H529&gt;0,ISNUMBER($B$94)),I529/H529,"")</f>
        <v/>
      </c>
      <c r="K529" s="11">
        <f>IF(AND(ISNUMBER(H529),ISNUMBER(I529),H529&gt;0,ISNUMBER($B$94)),MAX(0,$B$94-3*SQRT($B$94*(1-$B$94)/H529)),"")</f>
        <v/>
      </c>
      <c r="L529" s="11">
        <f>IF(AND(ISNUMBER(H529),ISNUMBER(I529),H529&gt;0,ISNUMBER($B$94)),$B$94+3*SQRT($B$94*(1-$B$94)/H529),"")</f>
        <v/>
      </c>
      <c r="M529" s="13">
        <f>IF(AND(ISNUMBER(J529),ISNUMBER(K529),ISNUMBER(L529)),IF(J529&gt;L529,"boven UCL",IF(J529&lt;K529,"onder LCL","")),"")</f>
        <v/>
      </c>
      <c r="O529" t="n">
        <v>423</v>
      </c>
      <c r="P529" s="7" t="n"/>
      <c r="Q529" s="7" t="n"/>
      <c r="R529" s="11">
        <f>IF(AND(ISNUMBER(P529),ISNUMBER(Q529),P529&gt;0,ISNUMBER($B$100)),Q529/P529,"")</f>
        <v/>
      </c>
      <c r="S529" s="11">
        <f>IF(AND(ISNUMBER(P529),ISNUMBER(Q529),P529&gt;0,ISNUMBER($B$100)),MAX(0,$B$100-3*SQRT($B$100/P529)),"")</f>
        <v/>
      </c>
      <c r="T529" s="11">
        <f>IF(AND(ISNUMBER(P529),ISNUMBER(Q529),P529&gt;0,ISNUMBER($B$100)),$B$100+3*SQRT($B$100/P529),"")</f>
        <v/>
      </c>
      <c r="U529" s="13">
        <f>IF(AND(ISNUMBER(R529),ISNUMBER(S529),ISNUMBER(T529)),IF(R529&gt;T529,"boven UCL",IF(R529&lt;S529,"onder LCL","")),"")</f>
        <v/>
      </c>
    </row>
    <row r="530">
      <c r="A530" t="n">
        <v>424</v>
      </c>
      <c r="B530" s="7" t="n"/>
      <c r="C530" s="11">
        <f>IF(AND(ISNUMBER(B530),ISNUMBER(B529)),ABS(B530-B529),"")</f>
        <v/>
      </c>
      <c r="D530" s="13">
        <f>IF(AND(ISNUMBER(B530),ISNUMBER($B$88),ISNUMBER($D$88)),IF(B530&gt;$D$88,"boven UCL",IF(B530&lt;$B$88,"onder LCL","")),"")</f>
        <v/>
      </c>
      <c r="E530" s="13">
        <f>IF(AND(ISNUMBER(C530),ISNUMBER($B$89),ISNUMBER($D$89)),IF(C530&gt;$D$89,"boven UCL",IF(C530&lt;$B$89,"onder LCL","")),"")</f>
        <v/>
      </c>
      <c r="G530" t="n">
        <v>424</v>
      </c>
      <c r="H530" s="7" t="n"/>
      <c r="I530" s="7" t="n"/>
      <c r="J530" s="11">
        <f>IF(AND(ISNUMBER(H530),ISNUMBER(I530),H530&gt;0,ISNUMBER($B$94)),I530/H530,"")</f>
        <v/>
      </c>
      <c r="K530" s="11">
        <f>IF(AND(ISNUMBER(H530),ISNUMBER(I530),H530&gt;0,ISNUMBER($B$94)),MAX(0,$B$94-3*SQRT($B$94*(1-$B$94)/H530)),"")</f>
        <v/>
      </c>
      <c r="L530" s="11">
        <f>IF(AND(ISNUMBER(H530),ISNUMBER(I530),H530&gt;0,ISNUMBER($B$94)),$B$94+3*SQRT($B$94*(1-$B$94)/H530),"")</f>
        <v/>
      </c>
      <c r="M530" s="13">
        <f>IF(AND(ISNUMBER(J530),ISNUMBER(K530),ISNUMBER(L530)),IF(J530&gt;L530,"boven UCL",IF(J530&lt;K530,"onder LCL","")),"")</f>
        <v/>
      </c>
      <c r="O530" t="n">
        <v>424</v>
      </c>
      <c r="P530" s="7" t="n"/>
      <c r="Q530" s="7" t="n"/>
      <c r="R530" s="11">
        <f>IF(AND(ISNUMBER(P530),ISNUMBER(Q530),P530&gt;0,ISNUMBER($B$100)),Q530/P530,"")</f>
        <v/>
      </c>
      <c r="S530" s="11">
        <f>IF(AND(ISNUMBER(P530),ISNUMBER(Q530),P530&gt;0,ISNUMBER($B$100)),MAX(0,$B$100-3*SQRT($B$100/P530)),"")</f>
        <v/>
      </c>
      <c r="T530" s="11">
        <f>IF(AND(ISNUMBER(P530),ISNUMBER(Q530),P530&gt;0,ISNUMBER($B$100)),$B$100+3*SQRT($B$100/P530),"")</f>
        <v/>
      </c>
      <c r="U530" s="13">
        <f>IF(AND(ISNUMBER(R530),ISNUMBER(S530),ISNUMBER(T530)),IF(R530&gt;T530,"boven UCL",IF(R530&lt;S530,"onder LCL","")),"")</f>
        <v/>
      </c>
    </row>
    <row r="531">
      <c r="A531" t="n">
        <v>425</v>
      </c>
      <c r="B531" s="7" t="n"/>
      <c r="C531" s="11">
        <f>IF(AND(ISNUMBER(B531),ISNUMBER(B530)),ABS(B531-B530),"")</f>
        <v/>
      </c>
      <c r="D531" s="13">
        <f>IF(AND(ISNUMBER(B531),ISNUMBER($B$88),ISNUMBER($D$88)),IF(B531&gt;$D$88,"boven UCL",IF(B531&lt;$B$88,"onder LCL","")),"")</f>
        <v/>
      </c>
      <c r="E531" s="13">
        <f>IF(AND(ISNUMBER(C531),ISNUMBER($B$89),ISNUMBER($D$89)),IF(C531&gt;$D$89,"boven UCL",IF(C531&lt;$B$89,"onder LCL","")),"")</f>
        <v/>
      </c>
      <c r="G531" t="n">
        <v>425</v>
      </c>
      <c r="H531" s="7" t="n"/>
      <c r="I531" s="7" t="n"/>
      <c r="J531" s="11">
        <f>IF(AND(ISNUMBER(H531),ISNUMBER(I531),H531&gt;0,ISNUMBER($B$94)),I531/H531,"")</f>
        <v/>
      </c>
      <c r="K531" s="11">
        <f>IF(AND(ISNUMBER(H531),ISNUMBER(I531),H531&gt;0,ISNUMBER($B$94)),MAX(0,$B$94-3*SQRT($B$94*(1-$B$94)/H531)),"")</f>
        <v/>
      </c>
      <c r="L531" s="11">
        <f>IF(AND(ISNUMBER(H531),ISNUMBER(I531),H531&gt;0,ISNUMBER($B$94)),$B$94+3*SQRT($B$94*(1-$B$94)/H531),"")</f>
        <v/>
      </c>
      <c r="M531" s="13">
        <f>IF(AND(ISNUMBER(J531),ISNUMBER(K531),ISNUMBER(L531)),IF(J531&gt;L531,"boven UCL",IF(J531&lt;K531,"onder LCL","")),"")</f>
        <v/>
      </c>
      <c r="O531" t="n">
        <v>425</v>
      </c>
      <c r="P531" s="7" t="n"/>
      <c r="Q531" s="7" t="n"/>
      <c r="R531" s="11">
        <f>IF(AND(ISNUMBER(P531),ISNUMBER(Q531),P531&gt;0,ISNUMBER($B$100)),Q531/P531,"")</f>
        <v/>
      </c>
      <c r="S531" s="11">
        <f>IF(AND(ISNUMBER(P531),ISNUMBER(Q531),P531&gt;0,ISNUMBER($B$100)),MAX(0,$B$100-3*SQRT($B$100/P531)),"")</f>
        <v/>
      </c>
      <c r="T531" s="11">
        <f>IF(AND(ISNUMBER(P531),ISNUMBER(Q531),P531&gt;0,ISNUMBER($B$100)),$B$100+3*SQRT($B$100/P531),"")</f>
        <v/>
      </c>
      <c r="U531" s="13">
        <f>IF(AND(ISNUMBER(R531),ISNUMBER(S531),ISNUMBER(T531)),IF(R531&gt;T531,"boven UCL",IF(R531&lt;S531,"onder LCL","")),"")</f>
        <v/>
      </c>
    </row>
    <row r="532">
      <c r="A532" t="n">
        <v>426</v>
      </c>
      <c r="B532" s="7" t="n"/>
      <c r="C532" s="11">
        <f>IF(AND(ISNUMBER(B532),ISNUMBER(B531)),ABS(B532-B531),"")</f>
        <v/>
      </c>
      <c r="D532" s="13">
        <f>IF(AND(ISNUMBER(B532),ISNUMBER($B$88),ISNUMBER($D$88)),IF(B532&gt;$D$88,"boven UCL",IF(B532&lt;$B$88,"onder LCL","")),"")</f>
        <v/>
      </c>
      <c r="E532" s="13">
        <f>IF(AND(ISNUMBER(C532),ISNUMBER($B$89),ISNUMBER($D$89)),IF(C532&gt;$D$89,"boven UCL",IF(C532&lt;$B$89,"onder LCL","")),"")</f>
        <v/>
      </c>
      <c r="G532" t="n">
        <v>426</v>
      </c>
      <c r="H532" s="7" t="n"/>
      <c r="I532" s="7" t="n"/>
      <c r="J532" s="11">
        <f>IF(AND(ISNUMBER(H532),ISNUMBER(I532),H532&gt;0,ISNUMBER($B$94)),I532/H532,"")</f>
        <v/>
      </c>
      <c r="K532" s="11">
        <f>IF(AND(ISNUMBER(H532),ISNUMBER(I532),H532&gt;0,ISNUMBER($B$94)),MAX(0,$B$94-3*SQRT($B$94*(1-$B$94)/H532)),"")</f>
        <v/>
      </c>
      <c r="L532" s="11">
        <f>IF(AND(ISNUMBER(H532),ISNUMBER(I532),H532&gt;0,ISNUMBER($B$94)),$B$94+3*SQRT($B$94*(1-$B$94)/H532),"")</f>
        <v/>
      </c>
      <c r="M532" s="13">
        <f>IF(AND(ISNUMBER(J532),ISNUMBER(K532),ISNUMBER(L532)),IF(J532&gt;L532,"boven UCL",IF(J532&lt;K532,"onder LCL","")),"")</f>
        <v/>
      </c>
      <c r="O532" t="n">
        <v>426</v>
      </c>
      <c r="P532" s="7" t="n"/>
      <c r="Q532" s="7" t="n"/>
      <c r="R532" s="11">
        <f>IF(AND(ISNUMBER(P532),ISNUMBER(Q532),P532&gt;0,ISNUMBER($B$100)),Q532/P532,"")</f>
        <v/>
      </c>
      <c r="S532" s="11">
        <f>IF(AND(ISNUMBER(P532),ISNUMBER(Q532),P532&gt;0,ISNUMBER($B$100)),MAX(0,$B$100-3*SQRT($B$100/P532)),"")</f>
        <v/>
      </c>
      <c r="T532" s="11">
        <f>IF(AND(ISNUMBER(P532),ISNUMBER(Q532),P532&gt;0,ISNUMBER($B$100)),$B$100+3*SQRT($B$100/P532),"")</f>
        <v/>
      </c>
      <c r="U532" s="13">
        <f>IF(AND(ISNUMBER(R532),ISNUMBER(S532),ISNUMBER(T532)),IF(R532&gt;T532,"boven UCL",IF(R532&lt;S532,"onder LCL","")),"")</f>
        <v/>
      </c>
    </row>
    <row r="533">
      <c r="A533" t="n">
        <v>427</v>
      </c>
      <c r="B533" s="7" t="n"/>
      <c r="C533" s="11">
        <f>IF(AND(ISNUMBER(B533),ISNUMBER(B532)),ABS(B533-B532),"")</f>
        <v/>
      </c>
      <c r="D533" s="13">
        <f>IF(AND(ISNUMBER(B533),ISNUMBER($B$88),ISNUMBER($D$88)),IF(B533&gt;$D$88,"boven UCL",IF(B533&lt;$B$88,"onder LCL","")),"")</f>
        <v/>
      </c>
      <c r="E533" s="13">
        <f>IF(AND(ISNUMBER(C533),ISNUMBER($B$89),ISNUMBER($D$89)),IF(C533&gt;$D$89,"boven UCL",IF(C533&lt;$B$89,"onder LCL","")),"")</f>
        <v/>
      </c>
      <c r="G533" t="n">
        <v>427</v>
      </c>
      <c r="H533" s="7" t="n"/>
      <c r="I533" s="7" t="n"/>
      <c r="J533" s="11">
        <f>IF(AND(ISNUMBER(H533),ISNUMBER(I533),H533&gt;0,ISNUMBER($B$94)),I533/H533,"")</f>
        <v/>
      </c>
      <c r="K533" s="11">
        <f>IF(AND(ISNUMBER(H533),ISNUMBER(I533),H533&gt;0,ISNUMBER($B$94)),MAX(0,$B$94-3*SQRT($B$94*(1-$B$94)/H533)),"")</f>
        <v/>
      </c>
      <c r="L533" s="11">
        <f>IF(AND(ISNUMBER(H533),ISNUMBER(I533),H533&gt;0,ISNUMBER($B$94)),$B$94+3*SQRT($B$94*(1-$B$94)/H533),"")</f>
        <v/>
      </c>
      <c r="M533" s="13">
        <f>IF(AND(ISNUMBER(J533),ISNUMBER(K533),ISNUMBER(L533)),IF(J533&gt;L533,"boven UCL",IF(J533&lt;K533,"onder LCL","")),"")</f>
        <v/>
      </c>
      <c r="O533" t="n">
        <v>427</v>
      </c>
      <c r="P533" s="7" t="n"/>
      <c r="Q533" s="7" t="n"/>
      <c r="R533" s="11">
        <f>IF(AND(ISNUMBER(P533),ISNUMBER(Q533),P533&gt;0,ISNUMBER($B$100)),Q533/P533,"")</f>
        <v/>
      </c>
      <c r="S533" s="11">
        <f>IF(AND(ISNUMBER(P533),ISNUMBER(Q533),P533&gt;0,ISNUMBER($B$100)),MAX(0,$B$100-3*SQRT($B$100/P533)),"")</f>
        <v/>
      </c>
      <c r="T533" s="11">
        <f>IF(AND(ISNUMBER(P533),ISNUMBER(Q533),P533&gt;0,ISNUMBER($B$100)),$B$100+3*SQRT($B$100/P533),"")</f>
        <v/>
      </c>
      <c r="U533" s="13">
        <f>IF(AND(ISNUMBER(R533),ISNUMBER(S533),ISNUMBER(T533)),IF(R533&gt;T533,"boven UCL",IF(R533&lt;S533,"onder LCL","")),"")</f>
        <v/>
      </c>
    </row>
    <row r="534">
      <c r="A534" t="n">
        <v>428</v>
      </c>
      <c r="B534" s="7" t="n"/>
      <c r="C534" s="11">
        <f>IF(AND(ISNUMBER(B534),ISNUMBER(B533)),ABS(B534-B533),"")</f>
        <v/>
      </c>
      <c r="D534" s="13">
        <f>IF(AND(ISNUMBER(B534),ISNUMBER($B$88),ISNUMBER($D$88)),IF(B534&gt;$D$88,"boven UCL",IF(B534&lt;$B$88,"onder LCL","")),"")</f>
        <v/>
      </c>
      <c r="E534" s="13">
        <f>IF(AND(ISNUMBER(C534),ISNUMBER($B$89),ISNUMBER($D$89)),IF(C534&gt;$D$89,"boven UCL",IF(C534&lt;$B$89,"onder LCL","")),"")</f>
        <v/>
      </c>
      <c r="G534" t="n">
        <v>428</v>
      </c>
      <c r="H534" s="7" t="n"/>
      <c r="I534" s="7" t="n"/>
      <c r="J534" s="11">
        <f>IF(AND(ISNUMBER(H534),ISNUMBER(I534),H534&gt;0,ISNUMBER($B$94)),I534/H534,"")</f>
        <v/>
      </c>
      <c r="K534" s="11">
        <f>IF(AND(ISNUMBER(H534),ISNUMBER(I534),H534&gt;0,ISNUMBER($B$94)),MAX(0,$B$94-3*SQRT($B$94*(1-$B$94)/H534)),"")</f>
        <v/>
      </c>
      <c r="L534" s="11">
        <f>IF(AND(ISNUMBER(H534),ISNUMBER(I534),H534&gt;0,ISNUMBER($B$94)),$B$94+3*SQRT($B$94*(1-$B$94)/H534),"")</f>
        <v/>
      </c>
      <c r="M534" s="13">
        <f>IF(AND(ISNUMBER(J534),ISNUMBER(K534),ISNUMBER(L534)),IF(J534&gt;L534,"boven UCL",IF(J534&lt;K534,"onder LCL","")),"")</f>
        <v/>
      </c>
      <c r="O534" t="n">
        <v>428</v>
      </c>
      <c r="P534" s="7" t="n"/>
      <c r="Q534" s="7" t="n"/>
      <c r="R534" s="11">
        <f>IF(AND(ISNUMBER(P534),ISNUMBER(Q534),P534&gt;0,ISNUMBER($B$100)),Q534/P534,"")</f>
        <v/>
      </c>
      <c r="S534" s="11">
        <f>IF(AND(ISNUMBER(P534),ISNUMBER(Q534),P534&gt;0,ISNUMBER($B$100)),MAX(0,$B$100-3*SQRT($B$100/P534)),"")</f>
        <v/>
      </c>
      <c r="T534" s="11">
        <f>IF(AND(ISNUMBER(P534),ISNUMBER(Q534),P534&gt;0,ISNUMBER($B$100)),$B$100+3*SQRT($B$100/P534),"")</f>
        <v/>
      </c>
      <c r="U534" s="13">
        <f>IF(AND(ISNUMBER(R534),ISNUMBER(S534),ISNUMBER(T534)),IF(R534&gt;T534,"boven UCL",IF(R534&lt;S534,"onder LCL","")),"")</f>
        <v/>
      </c>
    </row>
    <row r="535">
      <c r="A535" t="n">
        <v>429</v>
      </c>
      <c r="B535" s="7" t="n"/>
      <c r="C535" s="11">
        <f>IF(AND(ISNUMBER(B535),ISNUMBER(B534)),ABS(B535-B534),"")</f>
        <v/>
      </c>
      <c r="D535" s="13">
        <f>IF(AND(ISNUMBER(B535),ISNUMBER($B$88),ISNUMBER($D$88)),IF(B535&gt;$D$88,"boven UCL",IF(B535&lt;$B$88,"onder LCL","")),"")</f>
        <v/>
      </c>
      <c r="E535" s="13">
        <f>IF(AND(ISNUMBER(C535),ISNUMBER($B$89),ISNUMBER($D$89)),IF(C535&gt;$D$89,"boven UCL",IF(C535&lt;$B$89,"onder LCL","")),"")</f>
        <v/>
      </c>
      <c r="G535" t="n">
        <v>429</v>
      </c>
      <c r="H535" s="7" t="n"/>
      <c r="I535" s="7" t="n"/>
      <c r="J535" s="11">
        <f>IF(AND(ISNUMBER(H535),ISNUMBER(I535),H535&gt;0,ISNUMBER($B$94)),I535/H535,"")</f>
        <v/>
      </c>
      <c r="K535" s="11">
        <f>IF(AND(ISNUMBER(H535),ISNUMBER(I535),H535&gt;0,ISNUMBER($B$94)),MAX(0,$B$94-3*SQRT($B$94*(1-$B$94)/H535)),"")</f>
        <v/>
      </c>
      <c r="L535" s="11">
        <f>IF(AND(ISNUMBER(H535),ISNUMBER(I535),H535&gt;0,ISNUMBER($B$94)),$B$94+3*SQRT($B$94*(1-$B$94)/H535),"")</f>
        <v/>
      </c>
      <c r="M535" s="13">
        <f>IF(AND(ISNUMBER(J535),ISNUMBER(K535),ISNUMBER(L535)),IF(J535&gt;L535,"boven UCL",IF(J535&lt;K535,"onder LCL","")),"")</f>
        <v/>
      </c>
      <c r="O535" t="n">
        <v>429</v>
      </c>
      <c r="P535" s="7" t="n"/>
      <c r="Q535" s="7" t="n"/>
      <c r="R535" s="11">
        <f>IF(AND(ISNUMBER(P535),ISNUMBER(Q535),P535&gt;0,ISNUMBER($B$100)),Q535/P535,"")</f>
        <v/>
      </c>
      <c r="S535" s="11">
        <f>IF(AND(ISNUMBER(P535),ISNUMBER(Q535),P535&gt;0,ISNUMBER($B$100)),MAX(0,$B$100-3*SQRT($B$100/P535)),"")</f>
        <v/>
      </c>
      <c r="T535" s="11">
        <f>IF(AND(ISNUMBER(P535),ISNUMBER(Q535),P535&gt;0,ISNUMBER($B$100)),$B$100+3*SQRT($B$100/P535),"")</f>
        <v/>
      </c>
      <c r="U535" s="13">
        <f>IF(AND(ISNUMBER(R535),ISNUMBER(S535),ISNUMBER(T535)),IF(R535&gt;T535,"boven UCL",IF(R535&lt;S535,"onder LCL","")),"")</f>
        <v/>
      </c>
    </row>
    <row r="536">
      <c r="A536" t="n">
        <v>430</v>
      </c>
      <c r="B536" s="7" t="n"/>
      <c r="C536" s="11">
        <f>IF(AND(ISNUMBER(B536),ISNUMBER(B535)),ABS(B536-B535),"")</f>
        <v/>
      </c>
      <c r="D536" s="13">
        <f>IF(AND(ISNUMBER(B536),ISNUMBER($B$88),ISNUMBER($D$88)),IF(B536&gt;$D$88,"boven UCL",IF(B536&lt;$B$88,"onder LCL","")),"")</f>
        <v/>
      </c>
      <c r="E536" s="13">
        <f>IF(AND(ISNUMBER(C536),ISNUMBER($B$89),ISNUMBER($D$89)),IF(C536&gt;$D$89,"boven UCL",IF(C536&lt;$B$89,"onder LCL","")),"")</f>
        <v/>
      </c>
      <c r="G536" t="n">
        <v>430</v>
      </c>
      <c r="H536" s="7" t="n"/>
      <c r="I536" s="7" t="n"/>
      <c r="J536" s="11">
        <f>IF(AND(ISNUMBER(H536),ISNUMBER(I536),H536&gt;0,ISNUMBER($B$94)),I536/H536,"")</f>
        <v/>
      </c>
      <c r="K536" s="11">
        <f>IF(AND(ISNUMBER(H536),ISNUMBER(I536),H536&gt;0,ISNUMBER($B$94)),MAX(0,$B$94-3*SQRT($B$94*(1-$B$94)/H536)),"")</f>
        <v/>
      </c>
      <c r="L536" s="11">
        <f>IF(AND(ISNUMBER(H536),ISNUMBER(I536),H536&gt;0,ISNUMBER($B$94)),$B$94+3*SQRT($B$94*(1-$B$94)/H536),"")</f>
        <v/>
      </c>
      <c r="M536" s="13">
        <f>IF(AND(ISNUMBER(J536),ISNUMBER(K536),ISNUMBER(L536)),IF(J536&gt;L536,"boven UCL",IF(J536&lt;K536,"onder LCL","")),"")</f>
        <v/>
      </c>
      <c r="O536" t="n">
        <v>430</v>
      </c>
      <c r="P536" s="7" t="n"/>
      <c r="Q536" s="7" t="n"/>
      <c r="R536" s="11">
        <f>IF(AND(ISNUMBER(P536),ISNUMBER(Q536),P536&gt;0,ISNUMBER($B$100)),Q536/P536,"")</f>
        <v/>
      </c>
      <c r="S536" s="11">
        <f>IF(AND(ISNUMBER(P536),ISNUMBER(Q536),P536&gt;0,ISNUMBER($B$100)),MAX(0,$B$100-3*SQRT($B$100/P536)),"")</f>
        <v/>
      </c>
      <c r="T536" s="11">
        <f>IF(AND(ISNUMBER(P536),ISNUMBER(Q536),P536&gt;0,ISNUMBER($B$100)),$B$100+3*SQRT($B$100/P536),"")</f>
        <v/>
      </c>
      <c r="U536" s="13">
        <f>IF(AND(ISNUMBER(R536),ISNUMBER(S536),ISNUMBER(T536)),IF(R536&gt;T536,"boven UCL",IF(R536&lt;S536,"onder LCL","")),"")</f>
        <v/>
      </c>
    </row>
    <row r="537">
      <c r="A537" t="n">
        <v>431</v>
      </c>
      <c r="B537" s="7" t="n"/>
      <c r="C537" s="11">
        <f>IF(AND(ISNUMBER(B537),ISNUMBER(B536)),ABS(B537-B536),"")</f>
        <v/>
      </c>
      <c r="D537" s="13">
        <f>IF(AND(ISNUMBER(B537),ISNUMBER($B$88),ISNUMBER($D$88)),IF(B537&gt;$D$88,"boven UCL",IF(B537&lt;$B$88,"onder LCL","")),"")</f>
        <v/>
      </c>
      <c r="E537" s="13">
        <f>IF(AND(ISNUMBER(C537),ISNUMBER($B$89),ISNUMBER($D$89)),IF(C537&gt;$D$89,"boven UCL",IF(C537&lt;$B$89,"onder LCL","")),"")</f>
        <v/>
      </c>
      <c r="G537" t="n">
        <v>431</v>
      </c>
      <c r="H537" s="7" t="n"/>
      <c r="I537" s="7" t="n"/>
      <c r="J537" s="11">
        <f>IF(AND(ISNUMBER(H537),ISNUMBER(I537),H537&gt;0,ISNUMBER($B$94)),I537/H537,"")</f>
        <v/>
      </c>
      <c r="K537" s="11">
        <f>IF(AND(ISNUMBER(H537),ISNUMBER(I537),H537&gt;0,ISNUMBER($B$94)),MAX(0,$B$94-3*SQRT($B$94*(1-$B$94)/H537)),"")</f>
        <v/>
      </c>
      <c r="L537" s="11">
        <f>IF(AND(ISNUMBER(H537),ISNUMBER(I537),H537&gt;0,ISNUMBER($B$94)),$B$94+3*SQRT($B$94*(1-$B$94)/H537),"")</f>
        <v/>
      </c>
      <c r="M537" s="13">
        <f>IF(AND(ISNUMBER(J537),ISNUMBER(K537),ISNUMBER(L537)),IF(J537&gt;L537,"boven UCL",IF(J537&lt;K537,"onder LCL","")),"")</f>
        <v/>
      </c>
      <c r="O537" t="n">
        <v>431</v>
      </c>
      <c r="P537" s="7" t="n"/>
      <c r="Q537" s="7" t="n"/>
      <c r="R537" s="11">
        <f>IF(AND(ISNUMBER(P537),ISNUMBER(Q537),P537&gt;0,ISNUMBER($B$100)),Q537/P537,"")</f>
        <v/>
      </c>
      <c r="S537" s="11">
        <f>IF(AND(ISNUMBER(P537),ISNUMBER(Q537),P537&gt;0,ISNUMBER($B$100)),MAX(0,$B$100-3*SQRT($B$100/P537)),"")</f>
        <v/>
      </c>
      <c r="T537" s="11">
        <f>IF(AND(ISNUMBER(P537),ISNUMBER(Q537),P537&gt;0,ISNUMBER($B$100)),$B$100+3*SQRT($B$100/P537),"")</f>
        <v/>
      </c>
      <c r="U537" s="13">
        <f>IF(AND(ISNUMBER(R537),ISNUMBER(S537),ISNUMBER(T537)),IF(R537&gt;T537,"boven UCL",IF(R537&lt;S537,"onder LCL","")),"")</f>
        <v/>
      </c>
    </row>
    <row r="538">
      <c r="A538" t="n">
        <v>432</v>
      </c>
      <c r="B538" s="7" t="n"/>
      <c r="C538" s="11">
        <f>IF(AND(ISNUMBER(B538),ISNUMBER(B537)),ABS(B538-B537),"")</f>
        <v/>
      </c>
      <c r="D538" s="13">
        <f>IF(AND(ISNUMBER(B538),ISNUMBER($B$88),ISNUMBER($D$88)),IF(B538&gt;$D$88,"boven UCL",IF(B538&lt;$B$88,"onder LCL","")),"")</f>
        <v/>
      </c>
      <c r="E538" s="13">
        <f>IF(AND(ISNUMBER(C538),ISNUMBER($B$89),ISNUMBER($D$89)),IF(C538&gt;$D$89,"boven UCL",IF(C538&lt;$B$89,"onder LCL","")),"")</f>
        <v/>
      </c>
      <c r="G538" t="n">
        <v>432</v>
      </c>
      <c r="H538" s="7" t="n"/>
      <c r="I538" s="7" t="n"/>
      <c r="J538" s="11">
        <f>IF(AND(ISNUMBER(H538),ISNUMBER(I538),H538&gt;0,ISNUMBER($B$94)),I538/H538,"")</f>
        <v/>
      </c>
      <c r="K538" s="11">
        <f>IF(AND(ISNUMBER(H538),ISNUMBER(I538),H538&gt;0,ISNUMBER($B$94)),MAX(0,$B$94-3*SQRT($B$94*(1-$B$94)/H538)),"")</f>
        <v/>
      </c>
      <c r="L538" s="11">
        <f>IF(AND(ISNUMBER(H538),ISNUMBER(I538),H538&gt;0,ISNUMBER($B$94)),$B$94+3*SQRT($B$94*(1-$B$94)/H538),"")</f>
        <v/>
      </c>
      <c r="M538" s="13">
        <f>IF(AND(ISNUMBER(J538),ISNUMBER(K538),ISNUMBER(L538)),IF(J538&gt;L538,"boven UCL",IF(J538&lt;K538,"onder LCL","")),"")</f>
        <v/>
      </c>
      <c r="O538" t="n">
        <v>432</v>
      </c>
      <c r="P538" s="7" t="n"/>
      <c r="Q538" s="7" t="n"/>
      <c r="R538" s="11">
        <f>IF(AND(ISNUMBER(P538),ISNUMBER(Q538),P538&gt;0,ISNUMBER($B$100)),Q538/P538,"")</f>
        <v/>
      </c>
      <c r="S538" s="11">
        <f>IF(AND(ISNUMBER(P538),ISNUMBER(Q538),P538&gt;0,ISNUMBER($B$100)),MAX(0,$B$100-3*SQRT($B$100/P538)),"")</f>
        <v/>
      </c>
      <c r="T538" s="11">
        <f>IF(AND(ISNUMBER(P538),ISNUMBER(Q538),P538&gt;0,ISNUMBER($B$100)),$B$100+3*SQRT($B$100/P538),"")</f>
        <v/>
      </c>
      <c r="U538" s="13">
        <f>IF(AND(ISNUMBER(R538),ISNUMBER(S538),ISNUMBER(T538)),IF(R538&gt;T538,"boven UCL",IF(R538&lt;S538,"onder LCL","")),"")</f>
        <v/>
      </c>
    </row>
    <row r="539">
      <c r="A539" t="n">
        <v>433</v>
      </c>
      <c r="B539" s="7" t="n"/>
      <c r="C539" s="11">
        <f>IF(AND(ISNUMBER(B539),ISNUMBER(B538)),ABS(B539-B538),"")</f>
        <v/>
      </c>
      <c r="D539" s="13">
        <f>IF(AND(ISNUMBER(B539),ISNUMBER($B$88),ISNUMBER($D$88)),IF(B539&gt;$D$88,"boven UCL",IF(B539&lt;$B$88,"onder LCL","")),"")</f>
        <v/>
      </c>
      <c r="E539" s="13">
        <f>IF(AND(ISNUMBER(C539),ISNUMBER($B$89),ISNUMBER($D$89)),IF(C539&gt;$D$89,"boven UCL",IF(C539&lt;$B$89,"onder LCL","")),"")</f>
        <v/>
      </c>
      <c r="G539" t="n">
        <v>433</v>
      </c>
      <c r="H539" s="7" t="n"/>
      <c r="I539" s="7" t="n"/>
      <c r="J539" s="11">
        <f>IF(AND(ISNUMBER(H539),ISNUMBER(I539),H539&gt;0,ISNUMBER($B$94)),I539/H539,"")</f>
        <v/>
      </c>
      <c r="K539" s="11">
        <f>IF(AND(ISNUMBER(H539),ISNUMBER(I539),H539&gt;0,ISNUMBER($B$94)),MAX(0,$B$94-3*SQRT($B$94*(1-$B$94)/H539)),"")</f>
        <v/>
      </c>
      <c r="L539" s="11">
        <f>IF(AND(ISNUMBER(H539),ISNUMBER(I539),H539&gt;0,ISNUMBER($B$94)),$B$94+3*SQRT($B$94*(1-$B$94)/H539),"")</f>
        <v/>
      </c>
      <c r="M539" s="13">
        <f>IF(AND(ISNUMBER(J539),ISNUMBER(K539),ISNUMBER(L539)),IF(J539&gt;L539,"boven UCL",IF(J539&lt;K539,"onder LCL","")),"")</f>
        <v/>
      </c>
      <c r="O539" t="n">
        <v>433</v>
      </c>
      <c r="P539" s="7" t="n"/>
      <c r="Q539" s="7" t="n"/>
      <c r="R539" s="11">
        <f>IF(AND(ISNUMBER(P539),ISNUMBER(Q539),P539&gt;0,ISNUMBER($B$100)),Q539/P539,"")</f>
        <v/>
      </c>
      <c r="S539" s="11">
        <f>IF(AND(ISNUMBER(P539),ISNUMBER(Q539),P539&gt;0,ISNUMBER($B$100)),MAX(0,$B$100-3*SQRT($B$100/P539)),"")</f>
        <v/>
      </c>
      <c r="T539" s="11">
        <f>IF(AND(ISNUMBER(P539),ISNUMBER(Q539),P539&gt;0,ISNUMBER($B$100)),$B$100+3*SQRT($B$100/P539),"")</f>
        <v/>
      </c>
      <c r="U539" s="13">
        <f>IF(AND(ISNUMBER(R539),ISNUMBER(S539),ISNUMBER(T539)),IF(R539&gt;T539,"boven UCL",IF(R539&lt;S539,"onder LCL","")),"")</f>
        <v/>
      </c>
    </row>
    <row r="540">
      <c r="A540" t="n">
        <v>434</v>
      </c>
      <c r="B540" s="7" t="n"/>
      <c r="C540" s="11">
        <f>IF(AND(ISNUMBER(B540),ISNUMBER(B539)),ABS(B540-B539),"")</f>
        <v/>
      </c>
      <c r="D540" s="13">
        <f>IF(AND(ISNUMBER(B540),ISNUMBER($B$88),ISNUMBER($D$88)),IF(B540&gt;$D$88,"boven UCL",IF(B540&lt;$B$88,"onder LCL","")),"")</f>
        <v/>
      </c>
      <c r="E540" s="13">
        <f>IF(AND(ISNUMBER(C540),ISNUMBER($B$89),ISNUMBER($D$89)),IF(C540&gt;$D$89,"boven UCL",IF(C540&lt;$B$89,"onder LCL","")),"")</f>
        <v/>
      </c>
      <c r="G540" t="n">
        <v>434</v>
      </c>
      <c r="H540" s="7" t="n"/>
      <c r="I540" s="7" t="n"/>
      <c r="J540" s="11">
        <f>IF(AND(ISNUMBER(H540),ISNUMBER(I540),H540&gt;0,ISNUMBER($B$94)),I540/H540,"")</f>
        <v/>
      </c>
      <c r="K540" s="11">
        <f>IF(AND(ISNUMBER(H540),ISNUMBER(I540),H540&gt;0,ISNUMBER($B$94)),MAX(0,$B$94-3*SQRT($B$94*(1-$B$94)/H540)),"")</f>
        <v/>
      </c>
      <c r="L540" s="11">
        <f>IF(AND(ISNUMBER(H540),ISNUMBER(I540),H540&gt;0,ISNUMBER($B$94)),$B$94+3*SQRT($B$94*(1-$B$94)/H540),"")</f>
        <v/>
      </c>
      <c r="M540" s="13">
        <f>IF(AND(ISNUMBER(J540),ISNUMBER(K540),ISNUMBER(L540)),IF(J540&gt;L540,"boven UCL",IF(J540&lt;K540,"onder LCL","")),"")</f>
        <v/>
      </c>
      <c r="O540" t="n">
        <v>434</v>
      </c>
      <c r="P540" s="7" t="n"/>
      <c r="Q540" s="7" t="n"/>
      <c r="R540" s="11">
        <f>IF(AND(ISNUMBER(P540),ISNUMBER(Q540),P540&gt;0,ISNUMBER($B$100)),Q540/P540,"")</f>
        <v/>
      </c>
      <c r="S540" s="11">
        <f>IF(AND(ISNUMBER(P540),ISNUMBER(Q540),P540&gt;0,ISNUMBER($B$100)),MAX(0,$B$100-3*SQRT($B$100/P540)),"")</f>
        <v/>
      </c>
      <c r="T540" s="11">
        <f>IF(AND(ISNUMBER(P540),ISNUMBER(Q540),P540&gt;0,ISNUMBER($B$100)),$B$100+3*SQRT($B$100/P540),"")</f>
        <v/>
      </c>
      <c r="U540" s="13">
        <f>IF(AND(ISNUMBER(R540),ISNUMBER(S540),ISNUMBER(T540)),IF(R540&gt;T540,"boven UCL",IF(R540&lt;S540,"onder LCL","")),"")</f>
        <v/>
      </c>
    </row>
    <row r="541">
      <c r="A541" t="n">
        <v>435</v>
      </c>
      <c r="B541" s="7" t="n"/>
      <c r="C541" s="11">
        <f>IF(AND(ISNUMBER(B541),ISNUMBER(B540)),ABS(B541-B540),"")</f>
        <v/>
      </c>
      <c r="D541" s="13">
        <f>IF(AND(ISNUMBER(B541),ISNUMBER($B$88),ISNUMBER($D$88)),IF(B541&gt;$D$88,"boven UCL",IF(B541&lt;$B$88,"onder LCL","")),"")</f>
        <v/>
      </c>
      <c r="E541" s="13">
        <f>IF(AND(ISNUMBER(C541),ISNUMBER($B$89),ISNUMBER($D$89)),IF(C541&gt;$D$89,"boven UCL",IF(C541&lt;$B$89,"onder LCL","")),"")</f>
        <v/>
      </c>
      <c r="G541" t="n">
        <v>435</v>
      </c>
      <c r="H541" s="7" t="n"/>
      <c r="I541" s="7" t="n"/>
      <c r="J541" s="11">
        <f>IF(AND(ISNUMBER(H541),ISNUMBER(I541),H541&gt;0,ISNUMBER($B$94)),I541/H541,"")</f>
        <v/>
      </c>
      <c r="K541" s="11">
        <f>IF(AND(ISNUMBER(H541),ISNUMBER(I541),H541&gt;0,ISNUMBER($B$94)),MAX(0,$B$94-3*SQRT($B$94*(1-$B$94)/H541)),"")</f>
        <v/>
      </c>
      <c r="L541" s="11">
        <f>IF(AND(ISNUMBER(H541),ISNUMBER(I541),H541&gt;0,ISNUMBER($B$94)),$B$94+3*SQRT($B$94*(1-$B$94)/H541),"")</f>
        <v/>
      </c>
      <c r="M541" s="13">
        <f>IF(AND(ISNUMBER(J541),ISNUMBER(K541),ISNUMBER(L541)),IF(J541&gt;L541,"boven UCL",IF(J541&lt;K541,"onder LCL","")),"")</f>
        <v/>
      </c>
      <c r="O541" t="n">
        <v>435</v>
      </c>
      <c r="P541" s="7" t="n"/>
      <c r="Q541" s="7" t="n"/>
      <c r="R541" s="11">
        <f>IF(AND(ISNUMBER(P541),ISNUMBER(Q541),P541&gt;0,ISNUMBER($B$100)),Q541/P541,"")</f>
        <v/>
      </c>
      <c r="S541" s="11">
        <f>IF(AND(ISNUMBER(P541),ISNUMBER(Q541),P541&gt;0,ISNUMBER($B$100)),MAX(0,$B$100-3*SQRT($B$100/P541)),"")</f>
        <v/>
      </c>
      <c r="T541" s="11">
        <f>IF(AND(ISNUMBER(P541),ISNUMBER(Q541),P541&gt;0,ISNUMBER($B$100)),$B$100+3*SQRT($B$100/P541),"")</f>
        <v/>
      </c>
      <c r="U541" s="13">
        <f>IF(AND(ISNUMBER(R541),ISNUMBER(S541),ISNUMBER(T541)),IF(R541&gt;T541,"boven UCL",IF(R541&lt;S541,"onder LCL","")),"")</f>
        <v/>
      </c>
    </row>
    <row r="542">
      <c r="A542" t="n">
        <v>436</v>
      </c>
      <c r="B542" s="7" t="n"/>
      <c r="C542" s="11">
        <f>IF(AND(ISNUMBER(B542),ISNUMBER(B541)),ABS(B542-B541),"")</f>
        <v/>
      </c>
      <c r="D542" s="13">
        <f>IF(AND(ISNUMBER(B542),ISNUMBER($B$88),ISNUMBER($D$88)),IF(B542&gt;$D$88,"boven UCL",IF(B542&lt;$B$88,"onder LCL","")),"")</f>
        <v/>
      </c>
      <c r="E542" s="13">
        <f>IF(AND(ISNUMBER(C542),ISNUMBER($B$89),ISNUMBER($D$89)),IF(C542&gt;$D$89,"boven UCL",IF(C542&lt;$B$89,"onder LCL","")),"")</f>
        <v/>
      </c>
      <c r="G542" t="n">
        <v>436</v>
      </c>
      <c r="H542" s="7" t="n"/>
      <c r="I542" s="7" t="n"/>
      <c r="J542" s="11">
        <f>IF(AND(ISNUMBER(H542),ISNUMBER(I542),H542&gt;0,ISNUMBER($B$94)),I542/H542,"")</f>
        <v/>
      </c>
      <c r="K542" s="11">
        <f>IF(AND(ISNUMBER(H542),ISNUMBER(I542),H542&gt;0,ISNUMBER($B$94)),MAX(0,$B$94-3*SQRT($B$94*(1-$B$94)/H542)),"")</f>
        <v/>
      </c>
      <c r="L542" s="11">
        <f>IF(AND(ISNUMBER(H542),ISNUMBER(I542),H542&gt;0,ISNUMBER($B$94)),$B$94+3*SQRT($B$94*(1-$B$94)/H542),"")</f>
        <v/>
      </c>
      <c r="M542" s="13">
        <f>IF(AND(ISNUMBER(J542),ISNUMBER(K542),ISNUMBER(L542)),IF(J542&gt;L542,"boven UCL",IF(J542&lt;K542,"onder LCL","")),"")</f>
        <v/>
      </c>
      <c r="O542" t="n">
        <v>436</v>
      </c>
      <c r="P542" s="7" t="n"/>
      <c r="Q542" s="7" t="n"/>
      <c r="R542" s="11">
        <f>IF(AND(ISNUMBER(P542),ISNUMBER(Q542),P542&gt;0,ISNUMBER($B$100)),Q542/P542,"")</f>
        <v/>
      </c>
      <c r="S542" s="11">
        <f>IF(AND(ISNUMBER(P542),ISNUMBER(Q542),P542&gt;0,ISNUMBER($B$100)),MAX(0,$B$100-3*SQRT($B$100/P542)),"")</f>
        <v/>
      </c>
      <c r="T542" s="11">
        <f>IF(AND(ISNUMBER(P542),ISNUMBER(Q542),P542&gt;0,ISNUMBER($B$100)),$B$100+3*SQRT($B$100/P542),"")</f>
        <v/>
      </c>
      <c r="U542" s="13">
        <f>IF(AND(ISNUMBER(R542),ISNUMBER(S542),ISNUMBER(T542)),IF(R542&gt;T542,"boven UCL",IF(R542&lt;S542,"onder LCL","")),"")</f>
        <v/>
      </c>
    </row>
    <row r="543">
      <c r="A543" t="n">
        <v>437</v>
      </c>
      <c r="B543" s="7" t="n"/>
      <c r="C543" s="11">
        <f>IF(AND(ISNUMBER(B543),ISNUMBER(B542)),ABS(B543-B542),"")</f>
        <v/>
      </c>
      <c r="D543" s="13">
        <f>IF(AND(ISNUMBER(B543),ISNUMBER($B$88),ISNUMBER($D$88)),IF(B543&gt;$D$88,"boven UCL",IF(B543&lt;$B$88,"onder LCL","")),"")</f>
        <v/>
      </c>
      <c r="E543" s="13">
        <f>IF(AND(ISNUMBER(C543),ISNUMBER($B$89),ISNUMBER($D$89)),IF(C543&gt;$D$89,"boven UCL",IF(C543&lt;$B$89,"onder LCL","")),"")</f>
        <v/>
      </c>
      <c r="G543" t="n">
        <v>437</v>
      </c>
      <c r="H543" s="7" t="n"/>
      <c r="I543" s="7" t="n"/>
      <c r="J543" s="11">
        <f>IF(AND(ISNUMBER(H543),ISNUMBER(I543),H543&gt;0,ISNUMBER($B$94)),I543/H543,"")</f>
        <v/>
      </c>
      <c r="K543" s="11">
        <f>IF(AND(ISNUMBER(H543),ISNUMBER(I543),H543&gt;0,ISNUMBER($B$94)),MAX(0,$B$94-3*SQRT($B$94*(1-$B$94)/H543)),"")</f>
        <v/>
      </c>
      <c r="L543" s="11">
        <f>IF(AND(ISNUMBER(H543),ISNUMBER(I543),H543&gt;0,ISNUMBER($B$94)),$B$94+3*SQRT($B$94*(1-$B$94)/H543),"")</f>
        <v/>
      </c>
      <c r="M543" s="13">
        <f>IF(AND(ISNUMBER(J543),ISNUMBER(K543),ISNUMBER(L543)),IF(J543&gt;L543,"boven UCL",IF(J543&lt;K543,"onder LCL","")),"")</f>
        <v/>
      </c>
      <c r="O543" t="n">
        <v>437</v>
      </c>
      <c r="P543" s="7" t="n"/>
      <c r="Q543" s="7" t="n"/>
      <c r="R543" s="11">
        <f>IF(AND(ISNUMBER(P543),ISNUMBER(Q543),P543&gt;0,ISNUMBER($B$100)),Q543/P543,"")</f>
        <v/>
      </c>
      <c r="S543" s="11">
        <f>IF(AND(ISNUMBER(P543),ISNUMBER(Q543),P543&gt;0,ISNUMBER($B$100)),MAX(0,$B$100-3*SQRT($B$100/P543)),"")</f>
        <v/>
      </c>
      <c r="T543" s="11">
        <f>IF(AND(ISNUMBER(P543),ISNUMBER(Q543),P543&gt;0,ISNUMBER($B$100)),$B$100+3*SQRT($B$100/P543),"")</f>
        <v/>
      </c>
      <c r="U543" s="13">
        <f>IF(AND(ISNUMBER(R543),ISNUMBER(S543),ISNUMBER(T543)),IF(R543&gt;T543,"boven UCL",IF(R543&lt;S543,"onder LCL","")),"")</f>
        <v/>
      </c>
    </row>
    <row r="544">
      <c r="A544" t="n">
        <v>438</v>
      </c>
      <c r="B544" s="7" t="n"/>
      <c r="C544" s="11">
        <f>IF(AND(ISNUMBER(B544),ISNUMBER(B543)),ABS(B544-B543),"")</f>
        <v/>
      </c>
      <c r="D544" s="13">
        <f>IF(AND(ISNUMBER(B544),ISNUMBER($B$88),ISNUMBER($D$88)),IF(B544&gt;$D$88,"boven UCL",IF(B544&lt;$B$88,"onder LCL","")),"")</f>
        <v/>
      </c>
      <c r="E544" s="13">
        <f>IF(AND(ISNUMBER(C544),ISNUMBER($B$89),ISNUMBER($D$89)),IF(C544&gt;$D$89,"boven UCL",IF(C544&lt;$B$89,"onder LCL","")),"")</f>
        <v/>
      </c>
      <c r="G544" t="n">
        <v>438</v>
      </c>
      <c r="H544" s="7" t="n"/>
      <c r="I544" s="7" t="n"/>
      <c r="J544" s="11">
        <f>IF(AND(ISNUMBER(H544),ISNUMBER(I544),H544&gt;0,ISNUMBER($B$94)),I544/H544,"")</f>
        <v/>
      </c>
      <c r="K544" s="11">
        <f>IF(AND(ISNUMBER(H544),ISNUMBER(I544),H544&gt;0,ISNUMBER($B$94)),MAX(0,$B$94-3*SQRT($B$94*(1-$B$94)/H544)),"")</f>
        <v/>
      </c>
      <c r="L544" s="11">
        <f>IF(AND(ISNUMBER(H544),ISNUMBER(I544),H544&gt;0,ISNUMBER($B$94)),$B$94+3*SQRT($B$94*(1-$B$94)/H544),"")</f>
        <v/>
      </c>
      <c r="M544" s="13">
        <f>IF(AND(ISNUMBER(J544),ISNUMBER(K544),ISNUMBER(L544)),IF(J544&gt;L544,"boven UCL",IF(J544&lt;K544,"onder LCL","")),"")</f>
        <v/>
      </c>
      <c r="O544" t="n">
        <v>438</v>
      </c>
      <c r="P544" s="7" t="n"/>
      <c r="Q544" s="7" t="n"/>
      <c r="R544" s="11">
        <f>IF(AND(ISNUMBER(P544),ISNUMBER(Q544),P544&gt;0,ISNUMBER($B$100)),Q544/P544,"")</f>
        <v/>
      </c>
      <c r="S544" s="11">
        <f>IF(AND(ISNUMBER(P544),ISNUMBER(Q544),P544&gt;0,ISNUMBER($B$100)),MAX(0,$B$100-3*SQRT($B$100/P544)),"")</f>
        <v/>
      </c>
      <c r="T544" s="11">
        <f>IF(AND(ISNUMBER(P544),ISNUMBER(Q544),P544&gt;0,ISNUMBER($B$100)),$B$100+3*SQRT($B$100/P544),"")</f>
        <v/>
      </c>
      <c r="U544" s="13">
        <f>IF(AND(ISNUMBER(R544),ISNUMBER(S544),ISNUMBER(T544)),IF(R544&gt;T544,"boven UCL",IF(R544&lt;S544,"onder LCL","")),"")</f>
        <v/>
      </c>
    </row>
    <row r="545">
      <c r="A545" t="n">
        <v>439</v>
      </c>
      <c r="B545" s="7" t="n"/>
      <c r="C545" s="11">
        <f>IF(AND(ISNUMBER(B545),ISNUMBER(B544)),ABS(B545-B544),"")</f>
        <v/>
      </c>
      <c r="D545" s="13">
        <f>IF(AND(ISNUMBER(B545),ISNUMBER($B$88),ISNUMBER($D$88)),IF(B545&gt;$D$88,"boven UCL",IF(B545&lt;$B$88,"onder LCL","")),"")</f>
        <v/>
      </c>
      <c r="E545" s="13">
        <f>IF(AND(ISNUMBER(C545),ISNUMBER($B$89),ISNUMBER($D$89)),IF(C545&gt;$D$89,"boven UCL",IF(C545&lt;$B$89,"onder LCL","")),"")</f>
        <v/>
      </c>
      <c r="G545" t="n">
        <v>439</v>
      </c>
      <c r="H545" s="7" t="n"/>
      <c r="I545" s="7" t="n"/>
      <c r="J545" s="11">
        <f>IF(AND(ISNUMBER(H545),ISNUMBER(I545),H545&gt;0,ISNUMBER($B$94)),I545/H545,"")</f>
        <v/>
      </c>
      <c r="K545" s="11">
        <f>IF(AND(ISNUMBER(H545),ISNUMBER(I545),H545&gt;0,ISNUMBER($B$94)),MAX(0,$B$94-3*SQRT($B$94*(1-$B$94)/H545)),"")</f>
        <v/>
      </c>
      <c r="L545" s="11">
        <f>IF(AND(ISNUMBER(H545),ISNUMBER(I545),H545&gt;0,ISNUMBER($B$94)),$B$94+3*SQRT($B$94*(1-$B$94)/H545),"")</f>
        <v/>
      </c>
      <c r="M545" s="13">
        <f>IF(AND(ISNUMBER(J545),ISNUMBER(K545),ISNUMBER(L545)),IF(J545&gt;L545,"boven UCL",IF(J545&lt;K545,"onder LCL","")),"")</f>
        <v/>
      </c>
      <c r="O545" t="n">
        <v>439</v>
      </c>
      <c r="P545" s="7" t="n"/>
      <c r="Q545" s="7" t="n"/>
      <c r="R545" s="11">
        <f>IF(AND(ISNUMBER(P545),ISNUMBER(Q545),P545&gt;0,ISNUMBER($B$100)),Q545/P545,"")</f>
        <v/>
      </c>
      <c r="S545" s="11">
        <f>IF(AND(ISNUMBER(P545),ISNUMBER(Q545),P545&gt;0,ISNUMBER($B$100)),MAX(0,$B$100-3*SQRT($B$100/P545)),"")</f>
        <v/>
      </c>
      <c r="T545" s="11">
        <f>IF(AND(ISNUMBER(P545),ISNUMBER(Q545),P545&gt;0,ISNUMBER($B$100)),$B$100+3*SQRT($B$100/P545),"")</f>
        <v/>
      </c>
      <c r="U545" s="13">
        <f>IF(AND(ISNUMBER(R545),ISNUMBER(S545),ISNUMBER(T545)),IF(R545&gt;T545,"boven UCL",IF(R545&lt;S545,"onder LCL","")),"")</f>
        <v/>
      </c>
    </row>
    <row r="546">
      <c r="A546" t="n">
        <v>440</v>
      </c>
      <c r="B546" s="7" t="n"/>
      <c r="C546" s="11">
        <f>IF(AND(ISNUMBER(B546),ISNUMBER(B545)),ABS(B546-B545),"")</f>
        <v/>
      </c>
      <c r="D546" s="13">
        <f>IF(AND(ISNUMBER(B546),ISNUMBER($B$88),ISNUMBER($D$88)),IF(B546&gt;$D$88,"boven UCL",IF(B546&lt;$B$88,"onder LCL","")),"")</f>
        <v/>
      </c>
      <c r="E546" s="13">
        <f>IF(AND(ISNUMBER(C546),ISNUMBER($B$89),ISNUMBER($D$89)),IF(C546&gt;$D$89,"boven UCL",IF(C546&lt;$B$89,"onder LCL","")),"")</f>
        <v/>
      </c>
      <c r="G546" t="n">
        <v>440</v>
      </c>
      <c r="H546" s="7" t="n"/>
      <c r="I546" s="7" t="n"/>
      <c r="J546" s="11">
        <f>IF(AND(ISNUMBER(H546),ISNUMBER(I546),H546&gt;0,ISNUMBER($B$94)),I546/H546,"")</f>
        <v/>
      </c>
      <c r="K546" s="11">
        <f>IF(AND(ISNUMBER(H546),ISNUMBER(I546),H546&gt;0,ISNUMBER($B$94)),MAX(0,$B$94-3*SQRT($B$94*(1-$B$94)/H546)),"")</f>
        <v/>
      </c>
      <c r="L546" s="11">
        <f>IF(AND(ISNUMBER(H546),ISNUMBER(I546),H546&gt;0,ISNUMBER($B$94)),$B$94+3*SQRT($B$94*(1-$B$94)/H546),"")</f>
        <v/>
      </c>
      <c r="M546" s="13">
        <f>IF(AND(ISNUMBER(J546),ISNUMBER(K546),ISNUMBER(L546)),IF(J546&gt;L546,"boven UCL",IF(J546&lt;K546,"onder LCL","")),"")</f>
        <v/>
      </c>
      <c r="O546" t="n">
        <v>440</v>
      </c>
      <c r="P546" s="7" t="n"/>
      <c r="Q546" s="7" t="n"/>
      <c r="R546" s="11">
        <f>IF(AND(ISNUMBER(P546),ISNUMBER(Q546),P546&gt;0,ISNUMBER($B$100)),Q546/P546,"")</f>
        <v/>
      </c>
      <c r="S546" s="11">
        <f>IF(AND(ISNUMBER(P546),ISNUMBER(Q546),P546&gt;0,ISNUMBER($B$100)),MAX(0,$B$100-3*SQRT($B$100/P546)),"")</f>
        <v/>
      </c>
      <c r="T546" s="11">
        <f>IF(AND(ISNUMBER(P546),ISNUMBER(Q546),P546&gt;0,ISNUMBER($B$100)),$B$100+3*SQRT($B$100/P546),"")</f>
        <v/>
      </c>
      <c r="U546" s="13">
        <f>IF(AND(ISNUMBER(R546),ISNUMBER(S546),ISNUMBER(T546)),IF(R546&gt;T546,"boven UCL",IF(R546&lt;S546,"onder LCL","")),"")</f>
        <v/>
      </c>
    </row>
    <row r="547">
      <c r="A547" t="n">
        <v>441</v>
      </c>
      <c r="B547" s="7" t="n"/>
      <c r="C547" s="11">
        <f>IF(AND(ISNUMBER(B547),ISNUMBER(B546)),ABS(B547-B546),"")</f>
        <v/>
      </c>
      <c r="D547" s="13">
        <f>IF(AND(ISNUMBER(B547),ISNUMBER($B$88),ISNUMBER($D$88)),IF(B547&gt;$D$88,"boven UCL",IF(B547&lt;$B$88,"onder LCL","")),"")</f>
        <v/>
      </c>
      <c r="E547" s="13">
        <f>IF(AND(ISNUMBER(C547),ISNUMBER($B$89),ISNUMBER($D$89)),IF(C547&gt;$D$89,"boven UCL",IF(C547&lt;$B$89,"onder LCL","")),"")</f>
        <v/>
      </c>
      <c r="G547" t="n">
        <v>441</v>
      </c>
      <c r="H547" s="7" t="n"/>
      <c r="I547" s="7" t="n"/>
      <c r="J547" s="11">
        <f>IF(AND(ISNUMBER(H547),ISNUMBER(I547),H547&gt;0,ISNUMBER($B$94)),I547/H547,"")</f>
        <v/>
      </c>
      <c r="K547" s="11">
        <f>IF(AND(ISNUMBER(H547),ISNUMBER(I547),H547&gt;0,ISNUMBER($B$94)),MAX(0,$B$94-3*SQRT($B$94*(1-$B$94)/H547)),"")</f>
        <v/>
      </c>
      <c r="L547" s="11">
        <f>IF(AND(ISNUMBER(H547),ISNUMBER(I547),H547&gt;0,ISNUMBER($B$94)),$B$94+3*SQRT($B$94*(1-$B$94)/H547),"")</f>
        <v/>
      </c>
      <c r="M547" s="13">
        <f>IF(AND(ISNUMBER(J547),ISNUMBER(K547),ISNUMBER(L547)),IF(J547&gt;L547,"boven UCL",IF(J547&lt;K547,"onder LCL","")),"")</f>
        <v/>
      </c>
      <c r="O547" t="n">
        <v>441</v>
      </c>
      <c r="P547" s="7" t="n"/>
      <c r="Q547" s="7" t="n"/>
      <c r="R547" s="11">
        <f>IF(AND(ISNUMBER(P547),ISNUMBER(Q547),P547&gt;0,ISNUMBER($B$100)),Q547/P547,"")</f>
        <v/>
      </c>
      <c r="S547" s="11">
        <f>IF(AND(ISNUMBER(P547),ISNUMBER(Q547),P547&gt;0,ISNUMBER($B$100)),MAX(0,$B$100-3*SQRT($B$100/P547)),"")</f>
        <v/>
      </c>
      <c r="T547" s="11">
        <f>IF(AND(ISNUMBER(P547),ISNUMBER(Q547),P547&gt;0,ISNUMBER($B$100)),$B$100+3*SQRT($B$100/P547),"")</f>
        <v/>
      </c>
      <c r="U547" s="13">
        <f>IF(AND(ISNUMBER(R547),ISNUMBER(S547),ISNUMBER(T547)),IF(R547&gt;T547,"boven UCL",IF(R547&lt;S547,"onder LCL","")),"")</f>
        <v/>
      </c>
    </row>
    <row r="548">
      <c r="A548" t="n">
        <v>442</v>
      </c>
      <c r="B548" s="7" t="n"/>
      <c r="C548" s="11">
        <f>IF(AND(ISNUMBER(B548),ISNUMBER(B547)),ABS(B548-B547),"")</f>
        <v/>
      </c>
      <c r="D548" s="13">
        <f>IF(AND(ISNUMBER(B548),ISNUMBER($B$88),ISNUMBER($D$88)),IF(B548&gt;$D$88,"boven UCL",IF(B548&lt;$B$88,"onder LCL","")),"")</f>
        <v/>
      </c>
      <c r="E548" s="13">
        <f>IF(AND(ISNUMBER(C548),ISNUMBER($B$89),ISNUMBER($D$89)),IF(C548&gt;$D$89,"boven UCL",IF(C548&lt;$B$89,"onder LCL","")),"")</f>
        <v/>
      </c>
      <c r="G548" t="n">
        <v>442</v>
      </c>
      <c r="H548" s="7" t="n"/>
      <c r="I548" s="7" t="n"/>
      <c r="J548" s="11">
        <f>IF(AND(ISNUMBER(H548),ISNUMBER(I548),H548&gt;0,ISNUMBER($B$94)),I548/H548,"")</f>
        <v/>
      </c>
      <c r="K548" s="11">
        <f>IF(AND(ISNUMBER(H548),ISNUMBER(I548),H548&gt;0,ISNUMBER($B$94)),MAX(0,$B$94-3*SQRT($B$94*(1-$B$94)/H548)),"")</f>
        <v/>
      </c>
      <c r="L548" s="11">
        <f>IF(AND(ISNUMBER(H548),ISNUMBER(I548),H548&gt;0,ISNUMBER($B$94)),$B$94+3*SQRT($B$94*(1-$B$94)/H548),"")</f>
        <v/>
      </c>
      <c r="M548" s="13">
        <f>IF(AND(ISNUMBER(J548),ISNUMBER(K548),ISNUMBER(L548)),IF(J548&gt;L548,"boven UCL",IF(J548&lt;K548,"onder LCL","")),"")</f>
        <v/>
      </c>
      <c r="O548" t="n">
        <v>442</v>
      </c>
      <c r="P548" s="7" t="n"/>
      <c r="Q548" s="7" t="n"/>
      <c r="R548" s="11">
        <f>IF(AND(ISNUMBER(P548),ISNUMBER(Q548),P548&gt;0,ISNUMBER($B$100)),Q548/P548,"")</f>
        <v/>
      </c>
      <c r="S548" s="11">
        <f>IF(AND(ISNUMBER(P548),ISNUMBER(Q548),P548&gt;0,ISNUMBER($B$100)),MAX(0,$B$100-3*SQRT($B$100/P548)),"")</f>
        <v/>
      </c>
      <c r="T548" s="11">
        <f>IF(AND(ISNUMBER(P548),ISNUMBER(Q548),P548&gt;0,ISNUMBER($B$100)),$B$100+3*SQRT($B$100/P548),"")</f>
        <v/>
      </c>
      <c r="U548" s="13">
        <f>IF(AND(ISNUMBER(R548),ISNUMBER(S548),ISNUMBER(T548)),IF(R548&gt;T548,"boven UCL",IF(R548&lt;S548,"onder LCL","")),"")</f>
        <v/>
      </c>
    </row>
    <row r="549">
      <c r="A549" t="n">
        <v>443</v>
      </c>
      <c r="B549" s="7" t="n"/>
      <c r="C549" s="11">
        <f>IF(AND(ISNUMBER(B549),ISNUMBER(B548)),ABS(B549-B548),"")</f>
        <v/>
      </c>
      <c r="D549" s="13">
        <f>IF(AND(ISNUMBER(B549),ISNUMBER($B$88),ISNUMBER($D$88)),IF(B549&gt;$D$88,"boven UCL",IF(B549&lt;$B$88,"onder LCL","")),"")</f>
        <v/>
      </c>
      <c r="E549" s="13">
        <f>IF(AND(ISNUMBER(C549),ISNUMBER($B$89),ISNUMBER($D$89)),IF(C549&gt;$D$89,"boven UCL",IF(C549&lt;$B$89,"onder LCL","")),"")</f>
        <v/>
      </c>
      <c r="G549" t="n">
        <v>443</v>
      </c>
      <c r="H549" s="7" t="n"/>
      <c r="I549" s="7" t="n"/>
      <c r="J549" s="11">
        <f>IF(AND(ISNUMBER(H549),ISNUMBER(I549),H549&gt;0,ISNUMBER($B$94)),I549/H549,"")</f>
        <v/>
      </c>
      <c r="K549" s="11">
        <f>IF(AND(ISNUMBER(H549),ISNUMBER(I549),H549&gt;0,ISNUMBER($B$94)),MAX(0,$B$94-3*SQRT($B$94*(1-$B$94)/H549)),"")</f>
        <v/>
      </c>
      <c r="L549" s="11">
        <f>IF(AND(ISNUMBER(H549),ISNUMBER(I549),H549&gt;0,ISNUMBER($B$94)),$B$94+3*SQRT($B$94*(1-$B$94)/H549),"")</f>
        <v/>
      </c>
      <c r="M549" s="13">
        <f>IF(AND(ISNUMBER(J549),ISNUMBER(K549),ISNUMBER(L549)),IF(J549&gt;L549,"boven UCL",IF(J549&lt;K549,"onder LCL","")),"")</f>
        <v/>
      </c>
      <c r="O549" t="n">
        <v>443</v>
      </c>
      <c r="P549" s="7" t="n"/>
      <c r="Q549" s="7" t="n"/>
      <c r="R549" s="11">
        <f>IF(AND(ISNUMBER(P549),ISNUMBER(Q549),P549&gt;0,ISNUMBER($B$100)),Q549/P549,"")</f>
        <v/>
      </c>
      <c r="S549" s="11">
        <f>IF(AND(ISNUMBER(P549),ISNUMBER(Q549),P549&gt;0,ISNUMBER($B$100)),MAX(0,$B$100-3*SQRT($B$100/P549)),"")</f>
        <v/>
      </c>
      <c r="T549" s="11">
        <f>IF(AND(ISNUMBER(P549),ISNUMBER(Q549),P549&gt;0,ISNUMBER($B$100)),$B$100+3*SQRT($B$100/P549),"")</f>
        <v/>
      </c>
      <c r="U549" s="13">
        <f>IF(AND(ISNUMBER(R549),ISNUMBER(S549),ISNUMBER(T549)),IF(R549&gt;T549,"boven UCL",IF(R549&lt;S549,"onder LCL","")),"")</f>
        <v/>
      </c>
    </row>
    <row r="550">
      <c r="A550" t="n">
        <v>444</v>
      </c>
      <c r="B550" s="7" t="n"/>
      <c r="C550" s="11">
        <f>IF(AND(ISNUMBER(B550),ISNUMBER(B549)),ABS(B550-B549),"")</f>
        <v/>
      </c>
      <c r="D550" s="13">
        <f>IF(AND(ISNUMBER(B550),ISNUMBER($B$88),ISNUMBER($D$88)),IF(B550&gt;$D$88,"boven UCL",IF(B550&lt;$B$88,"onder LCL","")),"")</f>
        <v/>
      </c>
      <c r="E550" s="13">
        <f>IF(AND(ISNUMBER(C550),ISNUMBER($B$89),ISNUMBER($D$89)),IF(C550&gt;$D$89,"boven UCL",IF(C550&lt;$B$89,"onder LCL","")),"")</f>
        <v/>
      </c>
      <c r="G550" t="n">
        <v>444</v>
      </c>
      <c r="H550" s="7" t="n"/>
      <c r="I550" s="7" t="n"/>
      <c r="J550" s="11">
        <f>IF(AND(ISNUMBER(H550),ISNUMBER(I550),H550&gt;0,ISNUMBER($B$94)),I550/H550,"")</f>
        <v/>
      </c>
      <c r="K550" s="11">
        <f>IF(AND(ISNUMBER(H550),ISNUMBER(I550),H550&gt;0,ISNUMBER($B$94)),MAX(0,$B$94-3*SQRT($B$94*(1-$B$94)/H550)),"")</f>
        <v/>
      </c>
      <c r="L550" s="11">
        <f>IF(AND(ISNUMBER(H550),ISNUMBER(I550),H550&gt;0,ISNUMBER($B$94)),$B$94+3*SQRT($B$94*(1-$B$94)/H550),"")</f>
        <v/>
      </c>
      <c r="M550" s="13">
        <f>IF(AND(ISNUMBER(J550),ISNUMBER(K550),ISNUMBER(L550)),IF(J550&gt;L550,"boven UCL",IF(J550&lt;K550,"onder LCL","")),"")</f>
        <v/>
      </c>
      <c r="O550" t="n">
        <v>444</v>
      </c>
      <c r="P550" s="7" t="n"/>
      <c r="Q550" s="7" t="n"/>
      <c r="R550" s="11">
        <f>IF(AND(ISNUMBER(P550),ISNUMBER(Q550),P550&gt;0,ISNUMBER($B$100)),Q550/P550,"")</f>
        <v/>
      </c>
      <c r="S550" s="11">
        <f>IF(AND(ISNUMBER(P550),ISNUMBER(Q550),P550&gt;0,ISNUMBER($B$100)),MAX(0,$B$100-3*SQRT($B$100/P550)),"")</f>
        <v/>
      </c>
      <c r="T550" s="11">
        <f>IF(AND(ISNUMBER(P550),ISNUMBER(Q550),P550&gt;0,ISNUMBER($B$100)),$B$100+3*SQRT($B$100/P550),"")</f>
        <v/>
      </c>
      <c r="U550" s="13">
        <f>IF(AND(ISNUMBER(R550),ISNUMBER(S550),ISNUMBER(T550)),IF(R550&gt;T550,"boven UCL",IF(R550&lt;S550,"onder LCL","")),"")</f>
        <v/>
      </c>
    </row>
    <row r="551">
      <c r="A551" t="n">
        <v>445</v>
      </c>
      <c r="B551" s="7" t="n"/>
      <c r="C551" s="11">
        <f>IF(AND(ISNUMBER(B551),ISNUMBER(B550)),ABS(B551-B550),"")</f>
        <v/>
      </c>
      <c r="D551" s="13">
        <f>IF(AND(ISNUMBER(B551),ISNUMBER($B$88),ISNUMBER($D$88)),IF(B551&gt;$D$88,"boven UCL",IF(B551&lt;$B$88,"onder LCL","")),"")</f>
        <v/>
      </c>
      <c r="E551" s="13">
        <f>IF(AND(ISNUMBER(C551),ISNUMBER($B$89),ISNUMBER($D$89)),IF(C551&gt;$D$89,"boven UCL",IF(C551&lt;$B$89,"onder LCL","")),"")</f>
        <v/>
      </c>
      <c r="G551" t="n">
        <v>445</v>
      </c>
      <c r="H551" s="7" t="n"/>
      <c r="I551" s="7" t="n"/>
      <c r="J551" s="11">
        <f>IF(AND(ISNUMBER(H551),ISNUMBER(I551),H551&gt;0,ISNUMBER($B$94)),I551/H551,"")</f>
        <v/>
      </c>
      <c r="K551" s="11">
        <f>IF(AND(ISNUMBER(H551),ISNUMBER(I551),H551&gt;0,ISNUMBER($B$94)),MAX(0,$B$94-3*SQRT($B$94*(1-$B$94)/H551)),"")</f>
        <v/>
      </c>
      <c r="L551" s="11">
        <f>IF(AND(ISNUMBER(H551),ISNUMBER(I551),H551&gt;0,ISNUMBER($B$94)),$B$94+3*SQRT($B$94*(1-$B$94)/H551),"")</f>
        <v/>
      </c>
      <c r="M551" s="13">
        <f>IF(AND(ISNUMBER(J551),ISNUMBER(K551),ISNUMBER(L551)),IF(J551&gt;L551,"boven UCL",IF(J551&lt;K551,"onder LCL","")),"")</f>
        <v/>
      </c>
      <c r="O551" t="n">
        <v>445</v>
      </c>
      <c r="P551" s="7" t="n"/>
      <c r="Q551" s="7" t="n"/>
      <c r="R551" s="11">
        <f>IF(AND(ISNUMBER(P551),ISNUMBER(Q551),P551&gt;0,ISNUMBER($B$100)),Q551/P551,"")</f>
        <v/>
      </c>
      <c r="S551" s="11">
        <f>IF(AND(ISNUMBER(P551),ISNUMBER(Q551),P551&gt;0,ISNUMBER($B$100)),MAX(0,$B$100-3*SQRT($B$100/P551)),"")</f>
        <v/>
      </c>
      <c r="T551" s="11">
        <f>IF(AND(ISNUMBER(P551),ISNUMBER(Q551),P551&gt;0,ISNUMBER($B$100)),$B$100+3*SQRT($B$100/P551),"")</f>
        <v/>
      </c>
      <c r="U551" s="13">
        <f>IF(AND(ISNUMBER(R551),ISNUMBER(S551),ISNUMBER(T551)),IF(R551&gt;T551,"boven UCL",IF(R551&lt;S551,"onder LCL","")),"")</f>
        <v/>
      </c>
    </row>
    <row r="552">
      <c r="A552" t="n">
        <v>446</v>
      </c>
      <c r="B552" s="7" t="n"/>
      <c r="C552" s="11">
        <f>IF(AND(ISNUMBER(B552),ISNUMBER(B551)),ABS(B552-B551),"")</f>
        <v/>
      </c>
      <c r="D552" s="13">
        <f>IF(AND(ISNUMBER(B552),ISNUMBER($B$88),ISNUMBER($D$88)),IF(B552&gt;$D$88,"boven UCL",IF(B552&lt;$B$88,"onder LCL","")),"")</f>
        <v/>
      </c>
      <c r="E552" s="13">
        <f>IF(AND(ISNUMBER(C552),ISNUMBER($B$89),ISNUMBER($D$89)),IF(C552&gt;$D$89,"boven UCL",IF(C552&lt;$B$89,"onder LCL","")),"")</f>
        <v/>
      </c>
      <c r="G552" t="n">
        <v>446</v>
      </c>
      <c r="H552" s="7" t="n"/>
      <c r="I552" s="7" t="n"/>
      <c r="J552" s="11">
        <f>IF(AND(ISNUMBER(H552),ISNUMBER(I552),H552&gt;0,ISNUMBER($B$94)),I552/H552,"")</f>
        <v/>
      </c>
      <c r="K552" s="11">
        <f>IF(AND(ISNUMBER(H552),ISNUMBER(I552),H552&gt;0,ISNUMBER($B$94)),MAX(0,$B$94-3*SQRT($B$94*(1-$B$94)/H552)),"")</f>
        <v/>
      </c>
      <c r="L552" s="11">
        <f>IF(AND(ISNUMBER(H552),ISNUMBER(I552),H552&gt;0,ISNUMBER($B$94)),$B$94+3*SQRT($B$94*(1-$B$94)/H552),"")</f>
        <v/>
      </c>
      <c r="M552" s="13">
        <f>IF(AND(ISNUMBER(J552),ISNUMBER(K552),ISNUMBER(L552)),IF(J552&gt;L552,"boven UCL",IF(J552&lt;K552,"onder LCL","")),"")</f>
        <v/>
      </c>
      <c r="O552" t="n">
        <v>446</v>
      </c>
      <c r="P552" s="7" t="n"/>
      <c r="Q552" s="7" t="n"/>
      <c r="R552" s="11">
        <f>IF(AND(ISNUMBER(P552),ISNUMBER(Q552),P552&gt;0,ISNUMBER($B$100)),Q552/P552,"")</f>
        <v/>
      </c>
      <c r="S552" s="11">
        <f>IF(AND(ISNUMBER(P552),ISNUMBER(Q552),P552&gt;0,ISNUMBER($B$100)),MAX(0,$B$100-3*SQRT($B$100/P552)),"")</f>
        <v/>
      </c>
      <c r="T552" s="11">
        <f>IF(AND(ISNUMBER(P552),ISNUMBER(Q552),P552&gt;0,ISNUMBER($B$100)),$B$100+3*SQRT($B$100/P552),"")</f>
        <v/>
      </c>
      <c r="U552" s="13">
        <f>IF(AND(ISNUMBER(R552),ISNUMBER(S552),ISNUMBER(T552)),IF(R552&gt;T552,"boven UCL",IF(R552&lt;S552,"onder LCL","")),"")</f>
        <v/>
      </c>
    </row>
    <row r="553">
      <c r="A553" t="n">
        <v>447</v>
      </c>
      <c r="B553" s="7" t="n"/>
      <c r="C553" s="11">
        <f>IF(AND(ISNUMBER(B553),ISNUMBER(B552)),ABS(B553-B552),"")</f>
        <v/>
      </c>
      <c r="D553" s="13">
        <f>IF(AND(ISNUMBER(B553),ISNUMBER($B$88),ISNUMBER($D$88)),IF(B553&gt;$D$88,"boven UCL",IF(B553&lt;$B$88,"onder LCL","")),"")</f>
        <v/>
      </c>
      <c r="E553" s="13">
        <f>IF(AND(ISNUMBER(C553),ISNUMBER($B$89),ISNUMBER($D$89)),IF(C553&gt;$D$89,"boven UCL",IF(C553&lt;$B$89,"onder LCL","")),"")</f>
        <v/>
      </c>
      <c r="G553" t="n">
        <v>447</v>
      </c>
      <c r="H553" s="7" t="n"/>
      <c r="I553" s="7" t="n"/>
      <c r="J553" s="11">
        <f>IF(AND(ISNUMBER(H553),ISNUMBER(I553),H553&gt;0,ISNUMBER($B$94)),I553/H553,"")</f>
        <v/>
      </c>
      <c r="K553" s="11">
        <f>IF(AND(ISNUMBER(H553),ISNUMBER(I553),H553&gt;0,ISNUMBER($B$94)),MAX(0,$B$94-3*SQRT($B$94*(1-$B$94)/H553)),"")</f>
        <v/>
      </c>
      <c r="L553" s="11">
        <f>IF(AND(ISNUMBER(H553),ISNUMBER(I553),H553&gt;0,ISNUMBER($B$94)),$B$94+3*SQRT($B$94*(1-$B$94)/H553),"")</f>
        <v/>
      </c>
      <c r="M553" s="13">
        <f>IF(AND(ISNUMBER(J553),ISNUMBER(K553),ISNUMBER(L553)),IF(J553&gt;L553,"boven UCL",IF(J553&lt;K553,"onder LCL","")),"")</f>
        <v/>
      </c>
      <c r="O553" t="n">
        <v>447</v>
      </c>
      <c r="P553" s="7" t="n"/>
      <c r="Q553" s="7" t="n"/>
      <c r="R553" s="11">
        <f>IF(AND(ISNUMBER(P553),ISNUMBER(Q553),P553&gt;0,ISNUMBER($B$100)),Q553/P553,"")</f>
        <v/>
      </c>
      <c r="S553" s="11">
        <f>IF(AND(ISNUMBER(P553),ISNUMBER(Q553),P553&gt;0,ISNUMBER($B$100)),MAX(0,$B$100-3*SQRT($B$100/P553)),"")</f>
        <v/>
      </c>
      <c r="T553" s="11">
        <f>IF(AND(ISNUMBER(P553),ISNUMBER(Q553),P553&gt;0,ISNUMBER($B$100)),$B$100+3*SQRT($B$100/P553),"")</f>
        <v/>
      </c>
      <c r="U553" s="13">
        <f>IF(AND(ISNUMBER(R553),ISNUMBER(S553),ISNUMBER(T553)),IF(R553&gt;T553,"boven UCL",IF(R553&lt;S553,"onder LCL","")),"")</f>
        <v/>
      </c>
    </row>
    <row r="554">
      <c r="A554" t="n">
        <v>448</v>
      </c>
      <c r="B554" s="7" t="n"/>
      <c r="C554" s="11">
        <f>IF(AND(ISNUMBER(B554),ISNUMBER(B553)),ABS(B554-B553),"")</f>
        <v/>
      </c>
      <c r="D554" s="13">
        <f>IF(AND(ISNUMBER(B554),ISNUMBER($B$88),ISNUMBER($D$88)),IF(B554&gt;$D$88,"boven UCL",IF(B554&lt;$B$88,"onder LCL","")),"")</f>
        <v/>
      </c>
      <c r="E554" s="13">
        <f>IF(AND(ISNUMBER(C554),ISNUMBER($B$89),ISNUMBER($D$89)),IF(C554&gt;$D$89,"boven UCL",IF(C554&lt;$B$89,"onder LCL","")),"")</f>
        <v/>
      </c>
      <c r="G554" t="n">
        <v>448</v>
      </c>
      <c r="H554" s="7" t="n"/>
      <c r="I554" s="7" t="n"/>
      <c r="J554" s="11">
        <f>IF(AND(ISNUMBER(H554),ISNUMBER(I554),H554&gt;0,ISNUMBER($B$94)),I554/H554,"")</f>
        <v/>
      </c>
      <c r="K554" s="11">
        <f>IF(AND(ISNUMBER(H554),ISNUMBER(I554),H554&gt;0,ISNUMBER($B$94)),MAX(0,$B$94-3*SQRT($B$94*(1-$B$94)/H554)),"")</f>
        <v/>
      </c>
      <c r="L554" s="11">
        <f>IF(AND(ISNUMBER(H554),ISNUMBER(I554),H554&gt;0,ISNUMBER($B$94)),$B$94+3*SQRT($B$94*(1-$B$94)/H554),"")</f>
        <v/>
      </c>
      <c r="M554" s="13">
        <f>IF(AND(ISNUMBER(J554),ISNUMBER(K554),ISNUMBER(L554)),IF(J554&gt;L554,"boven UCL",IF(J554&lt;K554,"onder LCL","")),"")</f>
        <v/>
      </c>
      <c r="O554" t="n">
        <v>448</v>
      </c>
      <c r="P554" s="7" t="n"/>
      <c r="Q554" s="7" t="n"/>
      <c r="R554" s="11">
        <f>IF(AND(ISNUMBER(P554),ISNUMBER(Q554),P554&gt;0,ISNUMBER($B$100)),Q554/P554,"")</f>
        <v/>
      </c>
      <c r="S554" s="11">
        <f>IF(AND(ISNUMBER(P554),ISNUMBER(Q554),P554&gt;0,ISNUMBER($B$100)),MAX(0,$B$100-3*SQRT($B$100/P554)),"")</f>
        <v/>
      </c>
      <c r="T554" s="11">
        <f>IF(AND(ISNUMBER(P554),ISNUMBER(Q554),P554&gt;0,ISNUMBER($B$100)),$B$100+3*SQRT($B$100/P554),"")</f>
        <v/>
      </c>
      <c r="U554" s="13">
        <f>IF(AND(ISNUMBER(R554),ISNUMBER(S554),ISNUMBER(T554)),IF(R554&gt;T554,"boven UCL",IF(R554&lt;S554,"onder LCL","")),"")</f>
        <v/>
      </c>
    </row>
    <row r="555">
      <c r="A555" t="n">
        <v>449</v>
      </c>
      <c r="B555" s="7" t="n"/>
      <c r="C555" s="11">
        <f>IF(AND(ISNUMBER(B555),ISNUMBER(B554)),ABS(B555-B554),"")</f>
        <v/>
      </c>
      <c r="D555" s="13">
        <f>IF(AND(ISNUMBER(B555),ISNUMBER($B$88),ISNUMBER($D$88)),IF(B555&gt;$D$88,"boven UCL",IF(B555&lt;$B$88,"onder LCL","")),"")</f>
        <v/>
      </c>
      <c r="E555" s="13">
        <f>IF(AND(ISNUMBER(C555),ISNUMBER($B$89),ISNUMBER($D$89)),IF(C555&gt;$D$89,"boven UCL",IF(C555&lt;$B$89,"onder LCL","")),"")</f>
        <v/>
      </c>
      <c r="G555" t="n">
        <v>449</v>
      </c>
      <c r="H555" s="7" t="n"/>
      <c r="I555" s="7" t="n"/>
      <c r="J555" s="11">
        <f>IF(AND(ISNUMBER(H555),ISNUMBER(I555),H555&gt;0,ISNUMBER($B$94)),I555/H555,"")</f>
        <v/>
      </c>
      <c r="K555" s="11">
        <f>IF(AND(ISNUMBER(H555),ISNUMBER(I555),H555&gt;0,ISNUMBER($B$94)),MAX(0,$B$94-3*SQRT($B$94*(1-$B$94)/H555)),"")</f>
        <v/>
      </c>
      <c r="L555" s="11">
        <f>IF(AND(ISNUMBER(H555),ISNUMBER(I555),H555&gt;0,ISNUMBER($B$94)),$B$94+3*SQRT($B$94*(1-$B$94)/H555),"")</f>
        <v/>
      </c>
      <c r="M555" s="13">
        <f>IF(AND(ISNUMBER(J555),ISNUMBER(K555),ISNUMBER(L555)),IF(J555&gt;L555,"boven UCL",IF(J555&lt;K555,"onder LCL","")),"")</f>
        <v/>
      </c>
      <c r="O555" t="n">
        <v>449</v>
      </c>
      <c r="P555" s="7" t="n"/>
      <c r="Q555" s="7" t="n"/>
      <c r="R555" s="11">
        <f>IF(AND(ISNUMBER(P555),ISNUMBER(Q555),P555&gt;0,ISNUMBER($B$100)),Q555/P555,"")</f>
        <v/>
      </c>
      <c r="S555" s="11">
        <f>IF(AND(ISNUMBER(P555),ISNUMBER(Q555),P555&gt;0,ISNUMBER($B$100)),MAX(0,$B$100-3*SQRT($B$100/P555)),"")</f>
        <v/>
      </c>
      <c r="T555" s="11">
        <f>IF(AND(ISNUMBER(P555),ISNUMBER(Q555),P555&gt;0,ISNUMBER($B$100)),$B$100+3*SQRT($B$100/P555),"")</f>
        <v/>
      </c>
      <c r="U555" s="13">
        <f>IF(AND(ISNUMBER(R555),ISNUMBER(S555),ISNUMBER(T555)),IF(R555&gt;T555,"boven UCL",IF(R555&lt;S555,"onder LCL","")),"")</f>
        <v/>
      </c>
    </row>
    <row r="556">
      <c r="A556" t="n">
        <v>450</v>
      </c>
      <c r="B556" s="7" t="n"/>
      <c r="C556" s="11">
        <f>IF(AND(ISNUMBER(B556),ISNUMBER(B555)),ABS(B556-B555),"")</f>
        <v/>
      </c>
      <c r="D556" s="13">
        <f>IF(AND(ISNUMBER(B556),ISNUMBER($B$88),ISNUMBER($D$88)),IF(B556&gt;$D$88,"boven UCL",IF(B556&lt;$B$88,"onder LCL","")),"")</f>
        <v/>
      </c>
      <c r="E556" s="13">
        <f>IF(AND(ISNUMBER(C556),ISNUMBER($B$89),ISNUMBER($D$89)),IF(C556&gt;$D$89,"boven UCL",IF(C556&lt;$B$89,"onder LCL","")),"")</f>
        <v/>
      </c>
      <c r="G556" t="n">
        <v>450</v>
      </c>
      <c r="H556" s="7" t="n"/>
      <c r="I556" s="7" t="n"/>
      <c r="J556" s="11">
        <f>IF(AND(ISNUMBER(H556),ISNUMBER(I556),H556&gt;0,ISNUMBER($B$94)),I556/H556,"")</f>
        <v/>
      </c>
      <c r="K556" s="11">
        <f>IF(AND(ISNUMBER(H556),ISNUMBER(I556),H556&gt;0,ISNUMBER($B$94)),MAX(0,$B$94-3*SQRT($B$94*(1-$B$94)/H556)),"")</f>
        <v/>
      </c>
      <c r="L556" s="11">
        <f>IF(AND(ISNUMBER(H556),ISNUMBER(I556),H556&gt;0,ISNUMBER($B$94)),$B$94+3*SQRT($B$94*(1-$B$94)/H556),"")</f>
        <v/>
      </c>
      <c r="M556" s="13">
        <f>IF(AND(ISNUMBER(J556),ISNUMBER(K556),ISNUMBER(L556)),IF(J556&gt;L556,"boven UCL",IF(J556&lt;K556,"onder LCL","")),"")</f>
        <v/>
      </c>
      <c r="O556" t="n">
        <v>450</v>
      </c>
      <c r="P556" s="7" t="n"/>
      <c r="Q556" s="7" t="n"/>
      <c r="R556" s="11">
        <f>IF(AND(ISNUMBER(P556),ISNUMBER(Q556),P556&gt;0,ISNUMBER($B$100)),Q556/P556,"")</f>
        <v/>
      </c>
      <c r="S556" s="11">
        <f>IF(AND(ISNUMBER(P556),ISNUMBER(Q556),P556&gt;0,ISNUMBER($B$100)),MAX(0,$B$100-3*SQRT($B$100/P556)),"")</f>
        <v/>
      </c>
      <c r="T556" s="11">
        <f>IF(AND(ISNUMBER(P556),ISNUMBER(Q556),P556&gt;0,ISNUMBER($B$100)),$B$100+3*SQRT($B$100/P556),"")</f>
        <v/>
      </c>
      <c r="U556" s="13">
        <f>IF(AND(ISNUMBER(R556),ISNUMBER(S556),ISNUMBER(T556)),IF(R556&gt;T556,"boven UCL",IF(R556&lt;S556,"onder LCL","")),"")</f>
        <v/>
      </c>
    </row>
    <row r="557">
      <c r="A557" t="n">
        <v>451</v>
      </c>
      <c r="B557" s="7" t="n"/>
      <c r="C557" s="11">
        <f>IF(AND(ISNUMBER(B557),ISNUMBER(B556)),ABS(B557-B556),"")</f>
        <v/>
      </c>
      <c r="D557" s="13">
        <f>IF(AND(ISNUMBER(B557),ISNUMBER($B$88),ISNUMBER($D$88)),IF(B557&gt;$D$88,"boven UCL",IF(B557&lt;$B$88,"onder LCL","")),"")</f>
        <v/>
      </c>
      <c r="E557" s="13">
        <f>IF(AND(ISNUMBER(C557),ISNUMBER($B$89),ISNUMBER($D$89)),IF(C557&gt;$D$89,"boven UCL",IF(C557&lt;$B$89,"onder LCL","")),"")</f>
        <v/>
      </c>
      <c r="G557" t="n">
        <v>451</v>
      </c>
      <c r="H557" s="7" t="n"/>
      <c r="I557" s="7" t="n"/>
      <c r="J557" s="11">
        <f>IF(AND(ISNUMBER(H557),ISNUMBER(I557),H557&gt;0,ISNUMBER($B$94)),I557/H557,"")</f>
        <v/>
      </c>
      <c r="K557" s="11">
        <f>IF(AND(ISNUMBER(H557),ISNUMBER(I557),H557&gt;0,ISNUMBER($B$94)),MAX(0,$B$94-3*SQRT($B$94*(1-$B$94)/H557)),"")</f>
        <v/>
      </c>
      <c r="L557" s="11">
        <f>IF(AND(ISNUMBER(H557),ISNUMBER(I557),H557&gt;0,ISNUMBER($B$94)),$B$94+3*SQRT($B$94*(1-$B$94)/H557),"")</f>
        <v/>
      </c>
      <c r="M557" s="13">
        <f>IF(AND(ISNUMBER(J557),ISNUMBER(K557),ISNUMBER(L557)),IF(J557&gt;L557,"boven UCL",IF(J557&lt;K557,"onder LCL","")),"")</f>
        <v/>
      </c>
      <c r="O557" t="n">
        <v>451</v>
      </c>
      <c r="P557" s="7" t="n"/>
      <c r="Q557" s="7" t="n"/>
      <c r="R557" s="11">
        <f>IF(AND(ISNUMBER(P557),ISNUMBER(Q557),P557&gt;0,ISNUMBER($B$100)),Q557/P557,"")</f>
        <v/>
      </c>
      <c r="S557" s="11">
        <f>IF(AND(ISNUMBER(P557),ISNUMBER(Q557),P557&gt;0,ISNUMBER($B$100)),MAX(0,$B$100-3*SQRT($B$100/P557)),"")</f>
        <v/>
      </c>
      <c r="T557" s="11">
        <f>IF(AND(ISNUMBER(P557),ISNUMBER(Q557),P557&gt;0,ISNUMBER($B$100)),$B$100+3*SQRT($B$100/P557),"")</f>
        <v/>
      </c>
      <c r="U557" s="13">
        <f>IF(AND(ISNUMBER(R557),ISNUMBER(S557),ISNUMBER(T557)),IF(R557&gt;T557,"boven UCL",IF(R557&lt;S557,"onder LCL","")),"")</f>
        <v/>
      </c>
    </row>
    <row r="558">
      <c r="A558" t="n">
        <v>452</v>
      </c>
      <c r="B558" s="7" t="n"/>
      <c r="C558" s="11">
        <f>IF(AND(ISNUMBER(B558),ISNUMBER(B557)),ABS(B558-B557),"")</f>
        <v/>
      </c>
      <c r="D558" s="13">
        <f>IF(AND(ISNUMBER(B558),ISNUMBER($B$88),ISNUMBER($D$88)),IF(B558&gt;$D$88,"boven UCL",IF(B558&lt;$B$88,"onder LCL","")),"")</f>
        <v/>
      </c>
      <c r="E558" s="13">
        <f>IF(AND(ISNUMBER(C558),ISNUMBER($B$89),ISNUMBER($D$89)),IF(C558&gt;$D$89,"boven UCL",IF(C558&lt;$B$89,"onder LCL","")),"")</f>
        <v/>
      </c>
      <c r="G558" t="n">
        <v>452</v>
      </c>
      <c r="H558" s="7" t="n"/>
      <c r="I558" s="7" t="n"/>
      <c r="J558" s="11">
        <f>IF(AND(ISNUMBER(H558),ISNUMBER(I558),H558&gt;0,ISNUMBER($B$94)),I558/H558,"")</f>
        <v/>
      </c>
      <c r="K558" s="11">
        <f>IF(AND(ISNUMBER(H558),ISNUMBER(I558),H558&gt;0,ISNUMBER($B$94)),MAX(0,$B$94-3*SQRT($B$94*(1-$B$94)/H558)),"")</f>
        <v/>
      </c>
      <c r="L558" s="11">
        <f>IF(AND(ISNUMBER(H558),ISNUMBER(I558),H558&gt;0,ISNUMBER($B$94)),$B$94+3*SQRT($B$94*(1-$B$94)/H558),"")</f>
        <v/>
      </c>
      <c r="M558" s="13">
        <f>IF(AND(ISNUMBER(J558),ISNUMBER(K558),ISNUMBER(L558)),IF(J558&gt;L558,"boven UCL",IF(J558&lt;K558,"onder LCL","")),"")</f>
        <v/>
      </c>
      <c r="O558" t="n">
        <v>452</v>
      </c>
      <c r="P558" s="7" t="n"/>
      <c r="Q558" s="7" t="n"/>
      <c r="R558" s="11">
        <f>IF(AND(ISNUMBER(P558),ISNUMBER(Q558),P558&gt;0,ISNUMBER($B$100)),Q558/P558,"")</f>
        <v/>
      </c>
      <c r="S558" s="11">
        <f>IF(AND(ISNUMBER(P558),ISNUMBER(Q558),P558&gt;0,ISNUMBER($B$100)),MAX(0,$B$100-3*SQRT($B$100/P558)),"")</f>
        <v/>
      </c>
      <c r="T558" s="11">
        <f>IF(AND(ISNUMBER(P558),ISNUMBER(Q558),P558&gt;0,ISNUMBER($B$100)),$B$100+3*SQRT($B$100/P558),"")</f>
        <v/>
      </c>
      <c r="U558" s="13">
        <f>IF(AND(ISNUMBER(R558),ISNUMBER(S558),ISNUMBER(T558)),IF(R558&gt;T558,"boven UCL",IF(R558&lt;S558,"onder LCL","")),"")</f>
        <v/>
      </c>
    </row>
    <row r="559">
      <c r="A559" t="n">
        <v>453</v>
      </c>
      <c r="B559" s="7" t="n"/>
      <c r="C559" s="11">
        <f>IF(AND(ISNUMBER(B559),ISNUMBER(B558)),ABS(B559-B558),"")</f>
        <v/>
      </c>
      <c r="D559" s="13">
        <f>IF(AND(ISNUMBER(B559),ISNUMBER($B$88),ISNUMBER($D$88)),IF(B559&gt;$D$88,"boven UCL",IF(B559&lt;$B$88,"onder LCL","")),"")</f>
        <v/>
      </c>
      <c r="E559" s="13">
        <f>IF(AND(ISNUMBER(C559),ISNUMBER($B$89),ISNUMBER($D$89)),IF(C559&gt;$D$89,"boven UCL",IF(C559&lt;$B$89,"onder LCL","")),"")</f>
        <v/>
      </c>
      <c r="G559" t="n">
        <v>453</v>
      </c>
      <c r="H559" s="7" t="n"/>
      <c r="I559" s="7" t="n"/>
      <c r="J559" s="11">
        <f>IF(AND(ISNUMBER(H559),ISNUMBER(I559),H559&gt;0,ISNUMBER($B$94)),I559/H559,"")</f>
        <v/>
      </c>
      <c r="K559" s="11">
        <f>IF(AND(ISNUMBER(H559),ISNUMBER(I559),H559&gt;0,ISNUMBER($B$94)),MAX(0,$B$94-3*SQRT($B$94*(1-$B$94)/H559)),"")</f>
        <v/>
      </c>
      <c r="L559" s="11">
        <f>IF(AND(ISNUMBER(H559),ISNUMBER(I559),H559&gt;0,ISNUMBER($B$94)),$B$94+3*SQRT($B$94*(1-$B$94)/H559),"")</f>
        <v/>
      </c>
      <c r="M559" s="13">
        <f>IF(AND(ISNUMBER(J559),ISNUMBER(K559),ISNUMBER(L559)),IF(J559&gt;L559,"boven UCL",IF(J559&lt;K559,"onder LCL","")),"")</f>
        <v/>
      </c>
      <c r="O559" t="n">
        <v>453</v>
      </c>
      <c r="P559" s="7" t="n"/>
      <c r="Q559" s="7" t="n"/>
      <c r="R559" s="11">
        <f>IF(AND(ISNUMBER(P559),ISNUMBER(Q559),P559&gt;0,ISNUMBER($B$100)),Q559/P559,"")</f>
        <v/>
      </c>
      <c r="S559" s="11">
        <f>IF(AND(ISNUMBER(P559),ISNUMBER(Q559),P559&gt;0,ISNUMBER($B$100)),MAX(0,$B$100-3*SQRT($B$100/P559)),"")</f>
        <v/>
      </c>
      <c r="T559" s="11">
        <f>IF(AND(ISNUMBER(P559),ISNUMBER(Q559),P559&gt;0,ISNUMBER($B$100)),$B$100+3*SQRT($B$100/P559),"")</f>
        <v/>
      </c>
      <c r="U559" s="13">
        <f>IF(AND(ISNUMBER(R559),ISNUMBER(S559),ISNUMBER(T559)),IF(R559&gt;T559,"boven UCL",IF(R559&lt;S559,"onder LCL","")),"")</f>
        <v/>
      </c>
    </row>
    <row r="560">
      <c r="A560" t="n">
        <v>454</v>
      </c>
      <c r="B560" s="7" t="n"/>
      <c r="C560" s="11">
        <f>IF(AND(ISNUMBER(B560),ISNUMBER(B559)),ABS(B560-B559),"")</f>
        <v/>
      </c>
      <c r="D560" s="13">
        <f>IF(AND(ISNUMBER(B560),ISNUMBER($B$88),ISNUMBER($D$88)),IF(B560&gt;$D$88,"boven UCL",IF(B560&lt;$B$88,"onder LCL","")),"")</f>
        <v/>
      </c>
      <c r="E560" s="13">
        <f>IF(AND(ISNUMBER(C560),ISNUMBER($B$89),ISNUMBER($D$89)),IF(C560&gt;$D$89,"boven UCL",IF(C560&lt;$B$89,"onder LCL","")),"")</f>
        <v/>
      </c>
      <c r="G560" t="n">
        <v>454</v>
      </c>
      <c r="H560" s="7" t="n"/>
      <c r="I560" s="7" t="n"/>
      <c r="J560" s="11">
        <f>IF(AND(ISNUMBER(H560),ISNUMBER(I560),H560&gt;0,ISNUMBER($B$94)),I560/H560,"")</f>
        <v/>
      </c>
      <c r="K560" s="11">
        <f>IF(AND(ISNUMBER(H560),ISNUMBER(I560),H560&gt;0,ISNUMBER($B$94)),MAX(0,$B$94-3*SQRT($B$94*(1-$B$94)/H560)),"")</f>
        <v/>
      </c>
      <c r="L560" s="11">
        <f>IF(AND(ISNUMBER(H560),ISNUMBER(I560),H560&gt;0,ISNUMBER($B$94)),$B$94+3*SQRT($B$94*(1-$B$94)/H560),"")</f>
        <v/>
      </c>
      <c r="M560" s="13">
        <f>IF(AND(ISNUMBER(J560),ISNUMBER(K560),ISNUMBER(L560)),IF(J560&gt;L560,"boven UCL",IF(J560&lt;K560,"onder LCL","")),"")</f>
        <v/>
      </c>
      <c r="O560" t="n">
        <v>454</v>
      </c>
      <c r="P560" s="7" t="n"/>
      <c r="Q560" s="7" t="n"/>
      <c r="R560" s="11">
        <f>IF(AND(ISNUMBER(P560),ISNUMBER(Q560),P560&gt;0,ISNUMBER($B$100)),Q560/P560,"")</f>
        <v/>
      </c>
      <c r="S560" s="11">
        <f>IF(AND(ISNUMBER(P560),ISNUMBER(Q560),P560&gt;0,ISNUMBER($B$100)),MAX(0,$B$100-3*SQRT($B$100/P560)),"")</f>
        <v/>
      </c>
      <c r="T560" s="11">
        <f>IF(AND(ISNUMBER(P560),ISNUMBER(Q560),P560&gt;0,ISNUMBER($B$100)),$B$100+3*SQRT($B$100/P560),"")</f>
        <v/>
      </c>
      <c r="U560" s="13">
        <f>IF(AND(ISNUMBER(R560),ISNUMBER(S560),ISNUMBER(T560)),IF(R560&gt;T560,"boven UCL",IF(R560&lt;S560,"onder LCL","")),"")</f>
        <v/>
      </c>
    </row>
    <row r="561">
      <c r="A561" t="n">
        <v>455</v>
      </c>
      <c r="B561" s="7" t="n"/>
      <c r="C561" s="11">
        <f>IF(AND(ISNUMBER(B561),ISNUMBER(B560)),ABS(B561-B560),"")</f>
        <v/>
      </c>
      <c r="D561" s="13">
        <f>IF(AND(ISNUMBER(B561),ISNUMBER($B$88),ISNUMBER($D$88)),IF(B561&gt;$D$88,"boven UCL",IF(B561&lt;$B$88,"onder LCL","")),"")</f>
        <v/>
      </c>
      <c r="E561" s="13">
        <f>IF(AND(ISNUMBER(C561),ISNUMBER($B$89),ISNUMBER($D$89)),IF(C561&gt;$D$89,"boven UCL",IF(C561&lt;$B$89,"onder LCL","")),"")</f>
        <v/>
      </c>
      <c r="G561" t="n">
        <v>455</v>
      </c>
      <c r="H561" s="7" t="n"/>
      <c r="I561" s="7" t="n"/>
      <c r="J561" s="11">
        <f>IF(AND(ISNUMBER(H561),ISNUMBER(I561),H561&gt;0,ISNUMBER($B$94)),I561/H561,"")</f>
        <v/>
      </c>
      <c r="K561" s="11">
        <f>IF(AND(ISNUMBER(H561),ISNUMBER(I561),H561&gt;0,ISNUMBER($B$94)),MAX(0,$B$94-3*SQRT($B$94*(1-$B$94)/H561)),"")</f>
        <v/>
      </c>
      <c r="L561" s="11">
        <f>IF(AND(ISNUMBER(H561),ISNUMBER(I561),H561&gt;0,ISNUMBER($B$94)),$B$94+3*SQRT($B$94*(1-$B$94)/H561),"")</f>
        <v/>
      </c>
      <c r="M561" s="13">
        <f>IF(AND(ISNUMBER(J561),ISNUMBER(K561),ISNUMBER(L561)),IF(J561&gt;L561,"boven UCL",IF(J561&lt;K561,"onder LCL","")),"")</f>
        <v/>
      </c>
      <c r="O561" t="n">
        <v>455</v>
      </c>
      <c r="P561" s="7" t="n"/>
      <c r="Q561" s="7" t="n"/>
      <c r="R561" s="11">
        <f>IF(AND(ISNUMBER(P561),ISNUMBER(Q561),P561&gt;0,ISNUMBER($B$100)),Q561/P561,"")</f>
        <v/>
      </c>
      <c r="S561" s="11">
        <f>IF(AND(ISNUMBER(P561),ISNUMBER(Q561),P561&gt;0,ISNUMBER($B$100)),MAX(0,$B$100-3*SQRT($B$100/P561)),"")</f>
        <v/>
      </c>
      <c r="T561" s="11">
        <f>IF(AND(ISNUMBER(P561),ISNUMBER(Q561),P561&gt;0,ISNUMBER($B$100)),$B$100+3*SQRT($B$100/P561),"")</f>
        <v/>
      </c>
      <c r="U561" s="13">
        <f>IF(AND(ISNUMBER(R561),ISNUMBER(S561),ISNUMBER(T561)),IF(R561&gt;T561,"boven UCL",IF(R561&lt;S561,"onder LCL","")),"")</f>
        <v/>
      </c>
    </row>
    <row r="562">
      <c r="A562" t="n">
        <v>456</v>
      </c>
      <c r="B562" s="7" t="n"/>
      <c r="C562" s="11">
        <f>IF(AND(ISNUMBER(B562),ISNUMBER(B561)),ABS(B562-B561),"")</f>
        <v/>
      </c>
      <c r="D562" s="13">
        <f>IF(AND(ISNUMBER(B562),ISNUMBER($B$88),ISNUMBER($D$88)),IF(B562&gt;$D$88,"boven UCL",IF(B562&lt;$B$88,"onder LCL","")),"")</f>
        <v/>
      </c>
      <c r="E562" s="13">
        <f>IF(AND(ISNUMBER(C562),ISNUMBER($B$89),ISNUMBER($D$89)),IF(C562&gt;$D$89,"boven UCL",IF(C562&lt;$B$89,"onder LCL","")),"")</f>
        <v/>
      </c>
      <c r="G562" t="n">
        <v>456</v>
      </c>
      <c r="H562" s="7" t="n"/>
      <c r="I562" s="7" t="n"/>
      <c r="J562" s="11">
        <f>IF(AND(ISNUMBER(H562),ISNUMBER(I562),H562&gt;0,ISNUMBER($B$94)),I562/H562,"")</f>
        <v/>
      </c>
      <c r="K562" s="11">
        <f>IF(AND(ISNUMBER(H562),ISNUMBER(I562),H562&gt;0,ISNUMBER($B$94)),MAX(0,$B$94-3*SQRT($B$94*(1-$B$94)/H562)),"")</f>
        <v/>
      </c>
      <c r="L562" s="11">
        <f>IF(AND(ISNUMBER(H562),ISNUMBER(I562),H562&gt;0,ISNUMBER($B$94)),$B$94+3*SQRT($B$94*(1-$B$94)/H562),"")</f>
        <v/>
      </c>
      <c r="M562" s="13">
        <f>IF(AND(ISNUMBER(J562),ISNUMBER(K562),ISNUMBER(L562)),IF(J562&gt;L562,"boven UCL",IF(J562&lt;K562,"onder LCL","")),"")</f>
        <v/>
      </c>
      <c r="O562" t="n">
        <v>456</v>
      </c>
      <c r="P562" s="7" t="n"/>
      <c r="Q562" s="7" t="n"/>
      <c r="R562" s="11">
        <f>IF(AND(ISNUMBER(P562),ISNUMBER(Q562),P562&gt;0,ISNUMBER($B$100)),Q562/P562,"")</f>
        <v/>
      </c>
      <c r="S562" s="11">
        <f>IF(AND(ISNUMBER(P562),ISNUMBER(Q562),P562&gt;0,ISNUMBER($B$100)),MAX(0,$B$100-3*SQRT($B$100/P562)),"")</f>
        <v/>
      </c>
      <c r="T562" s="11">
        <f>IF(AND(ISNUMBER(P562),ISNUMBER(Q562),P562&gt;0,ISNUMBER($B$100)),$B$100+3*SQRT($B$100/P562),"")</f>
        <v/>
      </c>
      <c r="U562" s="13">
        <f>IF(AND(ISNUMBER(R562),ISNUMBER(S562),ISNUMBER(T562)),IF(R562&gt;T562,"boven UCL",IF(R562&lt;S562,"onder LCL","")),"")</f>
        <v/>
      </c>
    </row>
    <row r="563">
      <c r="A563" t="n">
        <v>457</v>
      </c>
      <c r="B563" s="7" t="n"/>
      <c r="C563" s="11">
        <f>IF(AND(ISNUMBER(B563),ISNUMBER(B562)),ABS(B563-B562),"")</f>
        <v/>
      </c>
      <c r="D563" s="13">
        <f>IF(AND(ISNUMBER(B563),ISNUMBER($B$88),ISNUMBER($D$88)),IF(B563&gt;$D$88,"boven UCL",IF(B563&lt;$B$88,"onder LCL","")),"")</f>
        <v/>
      </c>
      <c r="E563" s="13">
        <f>IF(AND(ISNUMBER(C563),ISNUMBER($B$89),ISNUMBER($D$89)),IF(C563&gt;$D$89,"boven UCL",IF(C563&lt;$B$89,"onder LCL","")),"")</f>
        <v/>
      </c>
      <c r="G563" t="n">
        <v>457</v>
      </c>
      <c r="H563" s="7" t="n"/>
      <c r="I563" s="7" t="n"/>
      <c r="J563" s="11">
        <f>IF(AND(ISNUMBER(H563),ISNUMBER(I563),H563&gt;0,ISNUMBER($B$94)),I563/H563,"")</f>
        <v/>
      </c>
      <c r="K563" s="11">
        <f>IF(AND(ISNUMBER(H563),ISNUMBER(I563),H563&gt;0,ISNUMBER($B$94)),MAX(0,$B$94-3*SQRT($B$94*(1-$B$94)/H563)),"")</f>
        <v/>
      </c>
      <c r="L563" s="11">
        <f>IF(AND(ISNUMBER(H563),ISNUMBER(I563),H563&gt;0,ISNUMBER($B$94)),$B$94+3*SQRT($B$94*(1-$B$94)/H563),"")</f>
        <v/>
      </c>
      <c r="M563" s="13">
        <f>IF(AND(ISNUMBER(J563),ISNUMBER(K563),ISNUMBER(L563)),IF(J563&gt;L563,"boven UCL",IF(J563&lt;K563,"onder LCL","")),"")</f>
        <v/>
      </c>
      <c r="O563" t="n">
        <v>457</v>
      </c>
      <c r="P563" s="7" t="n"/>
      <c r="Q563" s="7" t="n"/>
      <c r="R563" s="11">
        <f>IF(AND(ISNUMBER(P563),ISNUMBER(Q563),P563&gt;0,ISNUMBER($B$100)),Q563/P563,"")</f>
        <v/>
      </c>
      <c r="S563" s="11">
        <f>IF(AND(ISNUMBER(P563),ISNUMBER(Q563),P563&gt;0,ISNUMBER($B$100)),MAX(0,$B$100-3*SQRT($B$100/P563)),"")</f>
        <v/>
      </c>
      <c r="T563" s="11">
        <f>IF(AND(ISNUMBER(P563),ISNUMBER(Q563),P563&gt;0,ISNUMBER($B$100)),$B$100+3*SQRT($B$100/P563),"")</f>
        <v/>
      </c>
      <c r="U563" s="13">
        <f>IF(AND(ISNUMBER(R563),ISNUMBER(S563),ISNUMBER(T563)),IF(R563&gt;T563,"boven UCL",IF(R563&lt;S563,"onder LCL","")),"")</f>
        <v/>
      </c>
    </row>
    <row r="564">
      <c r="A564" t="n">
        <v>458</v>
      </c>
      <c r="B564" s="7" t="n"/>
      <c r="C564" s="11">
        <f>IF(AND(ISNUMBER(B564),ISNUMBER(B563)),ABS(B564-B563),"")</f>
        <v/>
      </c>
      <c r="D564" s="13">
        <f>IF(AND(ISNUMBER(B564),ISNUMBER($B$88),ISNUMBER($D$88)),IF(B564&gt;$D$88,"boven UCL",IF(B564&lt;$B$88,"onder LCL","")),"")</f>
        <v/>
      </c>
      <c r="E564" s="13">
        <f>IF(AND(ISNUMBER(C564),ISNUMBER($B$89),ISNUMBER($D$89)),IF(C564&gt;$D$89,"boven UCL",IF(C564&lt;$B$89,"onder LCL","")),"")</f>
        <v/>
      </c>
      <c r="G564" t="n">
        <v>458</v>
      </c>
      <c r="H564" s="7" t="n"/>
      <c r="I564" s="7" t="n"/>
      <c r="J564" s="11">
        <f>IF(AND(ISNUMBER(H564),ISNUMBER(I564),H564&gt;0,ISNUMBER($B$94)),I564/H564,"")</f>
        <v/>
      </c>
      <c r="K564" s="11">
        <f>IF(AND(ISNUMBER(H564),ISNUMBER(I564),H564&gt;0,ISNUMBER($B$94)),MAX(0,$B$94-3*SQRT($B$94*(1-$B$94)/H564)),"")</f>
        <v/>
      </c>
      <c r="L564" s="11">
        <f>IF(AND(ISNUMBER(H564),ISNUMBER(I564),H564&gt;0,ISNUMBER($B$94)),$B$94+3*SQRT($B$94*(1-$B$94)/H564),"")</f>
        <v/>
      </c>
      <c r="M564" s="13">
        <f>IF(AND(ISNUMBER(J564),ISNUMBER(K564),ISNUMBER(L564)),IF(J564&gt;L564,"boven UCL",IF(J564&lt;K564,"onder LCL","")),"")</f>
        <v/>
      </c>
      <c r="O564" t="n">
        <v>458</v>
      </c>
      <c r="P564" s="7" t="n"/>
      <c r="Q564" s="7" t="n"/>
      <c r="R564" s="11">
        <f>IF(AND(ISNUMBER(P564),ISNUMBER(Q564),P564&gt;0,ISNUMBER($B$100)),Q564/P564,"")</f>
        <v/>
      </c>
      <c r="S564" s="11">
        <f>IF(AND(ISNUMBER(P564),ISNUMBER(Q564),P564&gt;0,ISNUMBER($B$100)),MAX(0,$B$100-3*SQRT($B$100/P564)),"")</f>
        <v/>
      </c>
      <c r="T564" s="11">
        <f>IF(AND(ISNUMBER(P564),ISNUMBER(Q564),P564&gt;0,ISNUMBER($B$100)),$B$100+3*SQRT($B$100/P564),"")</f>
        <v/>
      </c>
      <c r="U564" s="13">
        <f>IF(AND(ISNUMBER(R564),ISNUMBER(S564),ISNUMBER(T564)),IF(R564&gt;T564,"boven UCL",IF(R564&lt;S564,"onder LCL","")),"")</f>
        <v/>
      </c>
    </row>
    <row r="565">
      <c r="A565" t="n">
        <v>459</v>
      </c>
      <c r="B565" s="7" t="n"/>
      <c r="C565" s="11">
        <f>IF(AND(ISNUMBER(B565),ISNUMBER(B564)),ABS(B565-B564),"")</f>
        <v/>
      </c>
      <c r="D565" s="13">
        <f>IF(AND(ISNUMBER(B565),ISNUMBER($B$88),ISNUMBER($D$88)),IF(B565&gt;$D$88,"boven UCL",IF(B565&lt;$B$88,"onder LCL","")),"")</f>
        <v/>
      </c>
      <c r="E565" s="13">
        <f>IF(AND(ISNUMBER(C565),ISNUMBER($B$89),ISNUMBER($D$89)),IF(C565&gt;$D$89,"boven UCL",IF(C565&lt;$B$89,"onder LCL","")),"")</f>
        <v/>
      </c>
      <c r="G565" t="n">
        <v>459</v>
      </c>
      <c r="H565" s="7" t="n"/>
      <c r="I565" s="7" t="n"/>
      <c r="J565" s="11">
        <f>IF(AND(ISNUMBER(H565),ISNUMBER(I565),H565&gt;0,ISNUMBER($B$94)),I565/H565,"")</f>
        <v/>
      </c>
      <c r="K565" s="11">
        <f>IF(AND(ISNUMBER(H565),ISNUMBER(I565),H565&gt;0,ISNUMBER($B$94)),MAX(0,$B$94-3*SQRT($B$94*(1-$B$94)/H565)),"")</f>
        <v/>
      </c>
      <c r="L565" s="11">
        <f>IF(AND(ISNUMBER(H565),ISNUMBER(I565),H565&gt;0,ISNUMBER($B$94)),$B$94+3*SQRT($B$94*(1-$B$94)/H565),"")</f>
        <v/>
      </c>
      <c r="M565" s="13">
        <f>IF(AND(ISNUMBER(J565),ISNUMBER(K565),ISNUMBER(L565)),IF(J565&gt;L565,"boven UCL",IF(J565&lt;K565,"onder LCL","")),"")</f>
        <v/>
      </c>
      <c r="O565" t="n">
        <v>459</v>
      </c>
      <c r="P565" s="7" t="n"/>
      <c r="Q565" s="7" t="n"/>
      <c r="R565" s="11">
        <f>IF(AND(ISNUMBER(P565),ISNUMBER(Q565),P565&gt;0,ISNUMBER($B$100)),Q565/P565,"")</f>
        <v/>
      </c>
      <c r="S565" s="11">
        <f>IF(AND(ISNUMBER(P565),ISNUMBER(Q565),P565&gt;0,ISNUMBER($B$100)),MAX(0,$B$100-3*SQRT($B$100/P565)),"")</f>
        <v/>
      </c>
      <c r="T565" s="11">
        <f>IF(AND(ISNUMBER(P565),ISNUMBER(Q565),P565&gt;0,ISNUMBER($B$100)),$B$100+3*SQRT($B$100/P565),"")</f>
        <v/>
      </c>
      <c r="U565" s="13">
        <f>IF(AND(ISNUMBER(R565),ISNUMBER(S565),ISNUMBER(T565)),IF(R565&gt;T565,"boven UCL",IF(R565&lt;S565,"onder LCL","")),"")</f>
        <v/>
      </c>
    </row>
    <row r="566">
      <c r="A566" t="n">
        <v>460</v>
      </c>
      <c r="B566" s="7" t="n"/>
      <c r="C566" s="11">
        <f>IF(AND(ISNUMBER(B566),ISNUMBER(B565)),ABS(B566-B565),"")</f>
        <v/>
      </c>
      <c r="D566" s="13">
        <f>IF(AND(ISNUMBER(B566),ISNUMBER($B$88),ISNUMBER($D$88)),IF(B566&gt;$D$88,"boven UCL",IF(B566&lt;$B$88,"onder LCL","")),"")</f>
        <v/>
      </c>
      <c r="E566" s="13">
        <f>IF(AND(ISNUMBER(C566),ISNUMBER($B$89),ISNUMBER($D$89)),IF(C566&gt;$D$89,"boven UCL",IF(C566&lt;$B$89,"onder LCL","")),"")</f>
        <v/>
      </c>
      <c r="G566" t="n">
        <v>460</v>
      </c>
      <c r="H566" s="7" t="n"/>
      <c r="I566" s="7" t="n"/>
      <c r="J566" s="11">
        <f>IF(AND(ISNUMBER(H566),ISNUMBER(I566),H566&gt;0,ISNUMBER($B$94)),I566/H566,"")</f>
        <v/>
      </c>
      <c r="K566" s="11">
        <f>IF(AND(ISNUMBER(H566),ISNUMBER(I566),H566&gt;0,ISNUMBER($B$94)),MAX(0,$B$94-3*SQRT($B$94*(1-$B$94)/H566)),"")</f>
        <v/>
      </c>
      <c r="L566" s="11">
        <f>IF(AND(ISNUMBER(H566),ISNUMBER(I566),H566&gt;0,ISNUMBER($B$94)),$B$94+3*SQRT($B$94*(1-$B$94)/H566),"")</f>
        <v/>
      </c>
      <c r="M566" s="13">
        <f>IF(AND(ISNUMBER(J566),ISNUMBER(K566),ISNUMBER(L566)),IF(J566&gt;L566,"boven UCL",IF(J566&lt;K566,"onder LCL","")),"")</f>
        <v/>
      </c>
      <c r="O566" t="n">
        <v>460</v>
      </c>
      <c r="P566" s="7" t="n"/>
      <c r="Q566" s="7" t="n"/>
      <c r="R566" s="11">
        <f>IF(AND(ISNUMBER(P566),ISNUMBER(Q566),P566&gt;0,ISNUMBER($B$100)),Q566/P566,"")</f>
        <v/>
      </c>
      <c r="S566" s="11">
        <f>IF(AND(ISNUMBER(P566),ISNUMBER(Q566),P566&gt;0,ISNUMBER($B$100)),MAX(0,$B$100-3*SQRT($B$100/P566)),"")</f>
        <v/>
      </c>
      <c r="T566" s="11">
        <f>IF(AND(ISNUMBER(P566),ISNUMBER(Q566),P566&gt;0,ISNUMBER($B$100)),$B$100+3*SQRT($B$100/P566),"")</f>
        <v/>
      </c>
      <c r="U566" s="13">
        <f>IF(AND(ISNUMBER(R566),ISNUMBER(S566),ISNUMBER(T566)),IF(R566&gt;T566,"boven UCL",IF(R566&lt;S566,"onder LCL","")),"")</f>
        <v/>
      </c>
    </row>
    <row r="567">
      <c r="A567" t="n">
        <v>461</v>
      </c>
      <c r="B567" s="7" t="n"/>
      <c r="C567" s="11">
        <f>IF(AND(ISNUMBER(B567),ISNUMBER(B566)),ABS(B567-B566),"")</f>
        <v/>
      </c>
      <c r="D567" s="13">
        <f>IF(AND(ISNUMBER(B567),ISNUMBER($B$88),ISNUMBER($D$88)),IF(B567&gt;$D$88,"boven UCL",IF(B567&lt;$B$88,"onder LCL","")),"")</f>
        <v/>
      </c>
      <c r="E567" s="13">
        <f>IF(AND(ISNUMBER(C567),ISNUMBER($B$89),ISNUMBER($D$89)),IF(C567&gt;$D$89,"boven UCL",IF(C567&lt;$B$89,"onder LCL","")),"")</f>
        <v/>
      </c>
      <c r="G567" t="n">
        <v>461</v>
      </c>
      <c r="H567" s="7" t="n"/>
      <c r="I567" s="7" t="n"/>
      <c r="J567" s="11">
        <f>IF(AND(ISNUMBER(H567),ISNUMBER(I567),H567&gt;0,ISNUMBER($B$94)),I567/H567,"")</f>
        <v/>
      </c>
      <c r="K567" s="11">
        <f>IF(AND(ISNUMBER(H567),ISNUMBER(I567),H567&gt;0,ISNUMBER($B$94)),MAX(0,$B$94-3*SQRT($B$94*(1-$B$94)/H567)),"")</f>
        <v/>
      </c>
      <c r="L567" s="11">
        <f>IF(AND(ISNUMBER(H567),ISNUMBER(I567),H567&gt;0,ISNUMBER($B$94)),$B$94+3*SQRT($B$94*(1-$B$94)/H567),"")</f>
        <v/>
      </c>
      <c r="M567" s="13">
        <f>IF(AND(ISNUMBER(J567),ISNUMBER(K567),ISNUMBER(L567)),IF(J567&gt;L567,"boven UCL",IF(J567&lt;K567,"onder LCL","")),"")</f>
        <v/>
      </c>
      <c r="O567" t="n">
        <v>461</v>
      </c>
      <c r="P567" s="7" t="n"/>
      <c r="Q567" s="7" t="n"/>
      <c r="R567" s="11">
        <f>IF(AND(ISNUMBER(P567),ISNUMBER(Q567),P567&gt;0,ISNUMBER($B$100)),Q567/P567,"")</f>
        <v/>
      </c>
      <c r="S567" s="11">
        <f>IF(AND(ISNUMBER(P567),ISNUMBER(Q567),P567&gt;0,ISNUMBER($B$100)),MAX(0,$B$100-3*SQRT($B$100/P567)),"")</f>
        <v/>
      </c>
      <c r="T567" s="11">
        <f>IF(AND(ISNUMBER(P567),ISNUMBER(Q567),P567&gt;0,ISNUMBER($B$100)),$B$100+3*SQRT($B$100/P567),"")</f>
        <v/>
      </c>
      <c r="U567" s="13">
        <f>IF(AND(ISNUMBER(R567),ISNUMBER(S567),ISNUMBER(T567)),IF(R567&gt;T567,"boven UCL",IF(R567&lt;S567,"onder LCL","")),"")</f>
        <v/>
      </c>
    </row>
    <row r="568">
      <c r="A568" t="n">
        <v>462</v>
      </c>
      <c r="B568" s="7" t="n"/>
      <c r="C568" s="11">
        <f>IF(AND(ISNUMBER(B568),ISNUMBER(B567)),ABS(B568-B567),"")</f>
        <v/>
      </c>
      <c r="D568" s="13">
        <f>IF(AND(ISNUMBER(B568),ISNUMBER($B$88),ISNUMBER($D$88)),IF(B568&gt;$D$88,"boven UCL",IF(B568&lt;$B$88,"onder LCL","")),"")</f>
        <v/>
      </c>
      <c r="E568" s="13">
        <f>IF(AND(ISNUMBER(C568),ISNUMBER($B$89),ISNUMBER($D$89)),IF(C568&gt;$D$89,"boven UCL",IF(C568&lt;$B$89,"onder LCL","")),"")</f>
        <v/>
      </c>
      <c r="G568" t="n">
        <v>462</v>
      </c>
      <c r="H568" s="7" t="n"/>
      <c r="I568" s="7" t="n"/>
      <c r="J568" s="11">
        <f>IF(AND(ISNUMBER(H568),ISNUMBER(I568),H568&gt;0,ISNUMBER($B$94)),I568/H568,"")</f>
        <v/>
      </c>
      <c r="K568" s="11">
        <f>IF(AND(ISNUMBER(H568),ISNUMBER(I568),H568&gt;0,ISNUMBER($B$94)),MAX(0,$B$94-3*SQRT($B$94*(1-$B$94)/H568)),"")</f>
        <v/>
      </c>
      <c r="L568" s="11">
        <f>IF(AND(ISNUMBER(H568),ISNUMBER(I568),H568&gt;0,ISNUMBER($B$94)),$B$94+3*SQRT($B$94*(1-$B$94)/H568),"")</f>
        <v/>
      </c>
      <c r="M568" s="13">
        <f>IF(AND(ISNUMBER(J568),ISNUMBER(K568),ISNUMBER(L568)),IF(J568&gt;L568,"boven UCL",IF(J568&lt;K568,"onder LCL","")),"")</f>
        <v/>
      </c>
      <c r="O568" t="n">
        <v>462</v>
      </c>
      <c r="P568" s="7" t="n"/>
      <c r="Q568" s="7" t="n"/>
      <c r="R568" s="11">
        <f>IF(AND(ISNUMBER(P568),ISNUMBER(Q568),P568&gt;0,ISNUMBER($B$100)),Q568/P568,"")</f>
        <v/>
      </c>
      <c r="S568" s="11">
        <f>IF(AND(ISNUMBER(P568),ISNUMBER(Q568),P568&gt;0,ISNUMBER($B$100)),MAX(0,$B$100-3*SQRT($B$100/P568)),"")</f>
        <v/>
      </c>
      <c r="T568" s="11">
        <f>IF(AND(ISNUMBER(P568),ISNUMBER(Q568),P568&gt;0,ISNUMBER($B$100)),$B$100+3*SQRT($B$100/P568),"")</f>
        <v/>
      </c>
      <c r="U568" s="13">
        <f>IF(AND(ISNUMBER(R568),ISNUMBER(S568),ISNUMBER(T568)),IF(R568&gt;T568,"boven UCL",IF(R568&lt;S568,"onder LCL","")),"")</f>
        <v/>
      </c>
    </row>
    <row r="569">
      <c r="A569" t="n">
        <v>463</v>
      </c>
      <c r="B569" s="7" t="n"/>
      <c r="C569" s="11">
        <f>IF(AND(ISNUMBER(B569),ISNUMBER(B568)),ABS(B569-B568),"")</f>
        <v/>
      </c>
      <c r="D569" s="13">
        <f>IF(AND(ISNUMBER(B569),ISNUMBER($B$88),ISNUMBER($D$88)),IF(B569&gt;$D$88,"boven UCL",IF(B569&lt;$B$88,"onder LCL","")),"")</f>
        <v/>
      </c>
      <c r="E569" s="13">
        <f>IF(AND(ISNUMBER(C569),ISNUMBER($B$89),ISNUMBER($D$89)),IF(C569&gt;$D$89,"boven UCL",IF(C569&lt;$B$89,"onder LCL","")),"")</f>
        <v/>
      </c>
      <c r="G569" t="n">
        <v>463</v>
      </c>
      <c r="H569" s="7" t="n"/>
      <c r="I569" s="7" t="n"/>
      <c r="J569" s="11">
        <f>IF(AND(ISNUMBER(H569),ISNUMBER(I569),H569&gt;0,ISNUMBER($B$94)),I569/H569,"")</f>
        <v/>
      </c>
      <c r="K569" s="11">
        <f>IF(AND(ISNUMBER(H569),ISNUMBER(I569),H569&gt;0,ISNUMBER($B$94)),MAX(0,$B$94-3*SQRT($B$94*(1-$B$94)/H569)),"")</f>
        <v/>
      </c>
      <c r="L569" s="11">
        <f>IF(AND(ISNUMBER(H569),ISNUMBER(I569),H569&gt;0,ISNUMBER($B$94)),$B$94+3*SQRT($B$94*(1-$B$94)/H569),"")</f>
        <v/>
      </c>
      <c r="M569" s="13">
        <f>IF(AND(ISNUMBER(J569),ISNUMBER(K569),ISNUMBER(L569)),IF(J569&gt;L569,"boven UCL",IF(J569&lt;K569,"onder LCL","")),"")</f>
        <v/>
      </c>
      <c r="O569" t="n">
        <v>463</v>
      </c>
      <c r="P569" s="7" t="n"/>
      <c r="Q569" s="7" t="n"/>
      <c r="R569" s="11">
        <f>IF(AND(ISNUMBER(P569),ISNUMBER(Q569),P569&gt;0,ISNUMBER($B$100)),Q569/P569,"")</f>
        <v/>
      </c>
      <c r="S569" s="11">
        <f>IF(AND(ISNUMBER(P569),ISNUMBER(Q569),P569&gt;0,ISNUMBER($B$100)),MAX(0,$B$100-3*SQRT($B$100/P569)),"")</f>
        <v/>
      </c>
      <c r="T569" s="11">
        <f>IF(AND(ISNUMBER(P569),ISNUMBER(Q569),P569&gt;0,ISNUMBER($B$100)),$B$100+3*SQRT($B$100/P569),"")</f>
        <v/>
      </c>
      <c r="U569" s="13">
        <f>IF(AND(ISNUMBER(R569),ISNUMBER(S569),ISNUMBER(T569)),IF(R569&gt;T569,"boven UCL",IF(R569&lt;S569,"onder LCL","")),"")</f>
        <v/>
      </c>
    </row>
    <row r="570">
      <c r="A570" t="n">
        <v>464</v>
      </c>
      <c r="B570" s="7" t="n"/>
      <c r="C570" s="11">
        <f>IF(AND(ISNUMBER(B570),ISNUMBER(B569)),ABS(B570-B569),"")</f>
        <v/>
      </c>
      <c r="D570" s="13">
        <f>IF(AND(ISNUMBER(B570),ISNUMBER($B$88),ISNUMBER($D$88)),IF(B570&gt;$D$88,"boven UCL",IF(B570&lt;$B$88,"onder LCL","")),"")</f>
        <v/>
      </c>
      <c r="E570" s="13">
        <f>IF(AND(ISNUMBER(C570),ISNUMBER($B$89),ISNUMBER($D$89)),IF(C570&gt;$D$89,"boven UCL",IF(C570&lt;$B$89,"onder LCL","")),"")</f>
        <v/>
      </c>
      <c r="G570" t="n">
        <v>464</v>
      </c>
      <c r="H570" s="7" t="n"/>
      <c r="I570" s="7" t="n"/>
      <c r="J570" s="11">
        <f>IF(AND(ISNUMBER(H570),ISNUMBER(I570),H570&gt;0,ISNUMBER($B$94)),I570/H570,"")</f>
        <v/>
      </c>
      <c r="K570" s="11">
        <f>IF(AND(ISNUMBER(H570),ISNUMBER(I570),H570&gt;0,ISNUMBER($B$94)),MAX(0,$B$94-3*SQRT($B$94*(1-$B$94)/H570)),"")</f>
        <v/>
      </c>
      <c r="L570" s="11">
        <f>IF(AND(ISNUMBER(H570),ISNUMBER(I570),H570&gt;0,ISNUMBER($B$94)),$B$94+3*SQRT($B$94*(1-$B$94)/H570),"")</f>
        <v/>
      </c>
      <c r="M570" s="13">
        <f>IF(AND(ISNUMBER(J570),ISNUMBER(K570),ISNUMBER(L570)),IF(J570&gt;L570,"boven UCL",IF(J570&lt;K570,"onder LCL","")),"")</f>
        <v/>
      </c>
      <c r="O570" t="n">
        <v>464</v>
      </c>
      <c r="P570" s="7" t="n"/>
      <c r="Q570" s="7" t="n"/>
      <c r="R570" s="11">
        <f>IF(AND(ISNUMBER(P570),ISNUMBER(Q570),P570&gt;0,ISNUMBER($B$100)),Q570/P570,"")</f>
        <v/>
      </c>
      <c r="S570" s="11">
        <f>IF(AND(ISNUMBER(P570),ISNUMBER(Q570),P570&gt;0,ISNUMBER($B$100)),MAX(0,$B$100-3*SQRT($B$100/P570)),"")</f>
        <v/>
      </c>
      <c r="T570" s="11">
        <f>IF(AND(ISNUMBER(P570),ISNUMBER(Q570),P570&gt;0,ISNUMBER($B$100)),$B$100+3*SQRT($B$100/P570),"")</f>
        <v/>
      </c>
      <c r="U570" s="13">
        <f>IF(AND(ISNUMBER(R570),ISNUMBER(S570),ISNUMBER(T570)),IF(R570&gt;T570,"boven UCL",IF(R570&lt;S570,"onder LCL","")),"")</f>
        <v/>
      </c>
    </row>
    <row r="571">
      <c r="A571" t="n">
        <v>465</v>
      </c>
      <c r="B571" s="7" t="n"/>
      <c r="C571" s="11">
        <f>IF(AND(ISNUMBER(B571),ISNUMBER(B570)),ABS(B571-B570),"")</f>
        <v/>
      </c>
      <c r="D571" s="13">
        <f>IF(AND(ISNUMBER(B571),ISNUMBER($B$88),ISNUMBER($D$88)),IF(B571&gt;$D$88,"boven UCL",IF(B571&lt;$B$88,"onder LCL","")),"")</f>
        <v/>
      </c>
      <c r="E571" s="13">
        <f>IF(AND(ISNUMBER(C571),ISNUMBER($B$89),ISNUMBER($D$89)),IF(C571&gt;$D$89,"boven UCL",IF(C571&lt;$B$89,"onder LCL","")),"")</f>
        <v/>
      </c>
      <c r="G571" t="n">
        <v>465</v>
      </c>
      <c r="H571" s="7" t="n"/>
      <c r="I571" s="7" t="n"/>
      <c r="J571" s="11">
        <f>IF(AND(ISNUMBER(H571),ISNUMBER(I571),H571&gt;0,ISNUMBER($B$94)),I571/H571,"")</f>
        <v/>
      </c>
      <c r="K571" s="11">
        <f>IF(AND(ISNUMBER(H571),ISNUMBER(I571),H571&gt;0,ISNUMBER($B$94)),MAX(0,$B$94-3*SQRT($B$94*(1-$B$94)/H571)),"")</f>
        <v/>
      </c>
      <c r="L571" s="11">
        <f>IF(AND(ISNUMBER(H571),ISNUMBER(I571),H571&gt;0,ISNUMBER($B$94)),$B$94+3*SQRT($B$94*(1-$B$94)/H571),"")</f>
        <v/>
      </c>
      <c r="M571" s="13">
        <f>IF(AND(ISNUMBER(J571),ISNUMBER(K571),ISNUMBER(L571)),IF(J571&gt;L571,"boven UCL",IF(J571&lt;K571,"onder LCL","")),"")</f>
        <v/>
      </c>
      <c r="O571" t="n">
        <v>465</v>
      </c>
      <c r="P571" s="7" t="n"/>
      <c r="Q571" s="7" t="n"/>
      <c r="R571" s="11">
        <f>IF(AND(ISNUMBER(P571),ISNUMBER(Q571),P571&gt;0,ISNUMBER($B$100)),Q571/P571,"")</f>
        <v/>
      </c>
      <c r="S571" s="11">
        <f>IF(AND(ISNUMBER(P571),ISNUMBER(Q571),P571&gt;0,ISNUMBER($B$100)),MAX(0,$B$100-3*SQRT($B$100/P571)),"")</f>
        <v/>
      </c>
      <c r="T571" s="11">
        <f>IF(AND(ISNUMBER(P571),ISNUMBER(Q571),P571&gt;0,ISNUMBER($B$100)),$B$100+3*SQRT($B$100/P571),"")</f>
        <v/>
      </c>
      <c r="U571" s="13">
        <f>IF(AND(ISNUMBER(R571),ISNUMBER(S571),ISNUMBER(T571)),IF(R571&gt;T571,"boven UCL",IF(R571&lt;S571,"onder LCL","")),"")</f>
        <v/>
      </c>
    </row>
    <row r="572">
      <c r="A572" t="n">
        <v>466</v>
      </c>
      <c r="B572" s="7" t="n"/>
      <c r="C572" s="11">
        <f>IF(AND(ISNUMBER(B572),ISNUMBER(B571)),ABS(B572-B571),"")</f>
        <v/>
      </c>
      <c r="D572" s="13">
        <f>IF(AND(ISNUMBER(B572),ISNUMBER($B$88),ISNUMBER($D$88)),IF(B572&gt;$D$88,"boven UCL",IF(B572&lt;$B$88,"onder LCL","")),"")</f>
        <v/>
      </c>
      <c r="E572" s="13">
        <f>IF(AND(ISNUMBER(C572),ISNUMBER($B$89),ISNUMBER($D$89)),IF(C572&gt;$D$89,"boven UCL",IF(C572&lt;$B$89,"onder LCL","")),"")</f>
        <v/>
      </c>
      <c r="G572" t="n">
        <v>466</v>
      </c>
      <c r="H572" s="7" t="n"/>
      <c r="I572" s="7" t="n"/>
      <c r="J572" s="11">
        <f>IF(AND(ISNUMBER(H572),ISNUMBER(I572),H572&gt;0,ISNUMBER($B$94)),I572/H572,"")</f>
        <v/>
      </c>
      <c r="K572" s="11">
        <f>IF(AND(ISNUMBER(H572),ISNUMBER(I572),H572&gt;0,ISNUMBER($B$94)),MAX(0,$B$94-3*SQRT($B$94*(1-$B$94)/H572)),"")</f>
        <v/>
      </c>
      <c r="L572" s="11">
        <f>IF(AND(ISNUMBER(H572),ISNUMBER(I572),H572&gt;0,ISNUMBER($B$94)),$B$94+3*SQRT($B$94*(1-$B$94)/H572),"")</f>
        <v/>
      </c>
      <c r="M572" s="13">
        <f>IF(AND(ISNUMBER(J572),ISNUMBER(K572),ISNUMBER(L572)),IF(J572&gt;L572,"boven UCL",IF(J572&lt;K572,"onder LCL","")),"")</f>
        <v/>
      </c>
      <c r="O572" t="n">
        <v>466</v>
      </c>
      <c r="P572" s="7" t="n"/>
      <c r="Q572" s="7" t="n"/>
      <c r="R572" s="11">
        <f>IF(AND(ISNUMBER(P572),ISNUMBER(Q572),P572&gt;0,ISNUMBER($B$100)),Q572/P572,"")</f>
        <v/>
      </c>
      <c r="S572" s="11">
        <f>IF(AND(ISNUMBER(P572),ISNUMBER(Q572),P572&gt;0,ISNUMBER($B$100)),MAX(0,$B$100-3*SQRT($B$100/P572)),"")</f>
        <v/>
      </c>
      <c r="T572" s="11">
        <f>IF(AND(ISNUMBER(P572),ISNUMBER(Q572),P572&gt;0,ISNUMBER($B$100)),$B$100+3*SQRT($B$100/P572),"")</f>
        <v/>
      </c>
      <c r="U572" s="13">
        <f>IF(AND(ISNUMBER(R572),ISNUMBER(S572),ISNUMBER(T572)),IF(R572&gt;T572,"boven UCL",IF(R572&lt;S572,"onder LCL","")),"")</f>
        <v/>
      </c>
    </row>
    <row r="573">
      <c r="A573" t="n">
        <v>467</v>
      </c>
      <c r="B573" s="7" t="n"/>
      <c r="C573" s="11">
        <f>IF(AND(ISNUMBER(B573),ISNUMBER(B572)),ABS(B573-B572),"")</f>
        <v/>
      </c>
      <c r="D573" s="13">
        <f>IF(AND(ISNUMBER(B573),ISNUMBER($B$88),ISNUMBER($D$88)),IF(B573&gt;$D$88,"boven UCL",IF(B573&lt;$B$88,"onder LCL","")),"")</f>
        <v/>
      </c>
      <c r="E573" s="13">
        <f>IF(AND(ISNUMBER(C573),ISNUMBER($B$89),ISNUMBER($D$89)),IF(C573&gt;$D$89,"boven UCL",IF(C573&lt;$B$89,"onder LCL","")),"")</f>
        <v/>
      </c>
      <c r="G573" t="n">
        <v>467</v>
      </c>
      <c r="H573" s="7" t="n"/>
      <c r="I573" s="7" t="n"/>
      <c r="J573" s="11">
        <f>IF(AND(ISNUMBER(H573),ISNUMBER(I573),H573&gt;0,ISNUMBER($B$94)),I573/H573,"")</f>
        <v/>
      </c>
      <c r="K573" s="11">
        <f>IF(AND(ISNUMBER(H573),ISNUMBER(I573),H573&gt;0,ISNUMBER($B$94)),MAX(0,$B$94-3*SQRT($B$94*(1-$B$94)/H573)),"")</f>
        <v/>
      </c>
      <c r="L573" s="11">
        <f>IF(AND(ISNUMBER(H573),ISNUMBER(I573),H573&gt;0,ISNUMBER($B$94)),$B$94+3*SQRT($B$94*(1-$B$94)/H573),"")</f>
        <v/>
      </c>
      <c r="M573" s="13">
        <f>IF(AND(ISNUMBER(J573),ISNUMBER(K573),ISNUMBER(L573)),IF(J573&gt;L573,"boven UCL",IF(J573&lt;K573,"onder LCL","")),"")</f>
        <v/>
      </c>
      <c r="O573" t="n">
        <v>467</v>
      </c>
      <c r="P573" s="7" t="n"/>
      <c r="Q573" s="7" t="n"/>
      <c r="R573" s="11">
        <f>IF(AND(ISNUMBER(P573),ISNUMBER(Q573),P573&gt;0,ISNUMBER($B$100)),Q573/P573,"")</f>
        <v/>
      </c>
      <c r="S573" s="11">
        <f>IF(AND(ISNUMBER(P573),ISNUMBER(Q573),P573&gt;0,ISNUMBER($B$100)),MAX(0,$B$100-3*SQRT($B$100/P573)),"")</f>
        <v/>
      </c>
      <c r="T573" s="11">
        <f>IF(AND(ISNUMBER(P573),ISNUMBER(Q573),P573&gt;0,ISNUMBER($B$100)),$B$100+3*SQRT($B$100/P573),"")</f>
        <v/>
      </c>
      <c r="U573" s="13">
        <f>IF(AND(ISNUMBER(R573),ISNUMBER(S573),ISNUMBER(T573)),IF(R573&gt;T573,"boven UCL",IF(R573&lt;S573,"onder LCL","")),"")</f>
        <v/>
      </c>
    </row>
    <row r="574">
      <c r="A574" t="n">
        <v>468</v>
      </c>
      <c r="B574" s="7" t="n"/>
      <c r="C574" s="11">
        <f>IF(AND(ISNUMBER(B574),ISNUMBER(B573)),ABS(B574-B573),"")</f>
        <v/>
      </c>
      <c r="D574" s="13">
        <f>IF(AND(ISNUMBER(B574),ISNUMBER($B$88),ISNUMBER($D$88)),IF(B574&gt;$D$88,"boven UCL",IF(B574&lt;$B$88,"onder LCL","")),"")</f>
        <v/>
      </c>
      <c r="E574" s="13">
        <f>IF(AND(ISNUMBER(C574),ISNUMBER($B$89),ISNUMBER($D$89)),IF(C574&gt;$D$89,"boven UCL",IF(C574&lt;$B$89,"onder LCL","")),"")</f>
        <v/>
      </c>
      <c r="G574" t="n">
        <v>468</v>
      </c>
      <c r="H574" s="7" t="n"/>
      <c r="I574" s="7" t="n"/>
      <c r="J574" s="11">
        <f>IF(AND(ISNUMBER(H574),ISNUMBER(I574),H574&gt;0,ISNUMBER($B$94)),I574/H574,"")</f>
        <v/>
      </c>
      <c r="K574" s="11">
        <f>IF(AND(ISNUMBER(H574),ISNUMBER(I574),H574&gt;0,ISNUMBER($B$94)),MAX(0,$B$94-3*SQRT($B$94*(1-$B$94)/H574)),"")</f>
        <v/>
      </c>
      <c r="L574" s="11">
        <f>IF(AND(ISNUMBER(H574),ISNUMBER(I574),H574&gt;0,ISNUMBER($B$94)),$B$94+3*SQRT($B$94*(1-$B$94)/H574),"")</f>
        <v/>
      </c>
      <c r="M574" s="13">
        <f>IF(AND(ISNUMBER(J574),ISNUMBER(K574),ISNUMBER(L574)),IF(J574&gt;L574,"boven UCL",IF(J574&lt;K574,"onder LCL","")),"")</f>
        <v/>
      </c>
      <c r="O574" t="n">
        <v>468</v>
      </c>
      <c r="P574" s="7" t="n"/>
      <c r="Q574" s="7" t="n"/>
      <c r="R574" s="11">
        <f>IF(AND(ISNUMBER(P574),ISNUMBER(Q574),P574&gt;0,ISNUMBER($B$100)),Q574/P574,"")</f>
        <v/>
      </c>
      <c r="S574" s="11">
        <f>IF(AND(ISNUMBER(P574),ISNUMBER(Q574),P574&gt;0,ISNUMBER($B$100)),MAX(0,$B$100-3*SQRT($B$100/P574)),"")</f>
        <v/>
      </c>
      <c r="T574" s="11">
        <f>IF(AND(ISNUMBER(P574),ISNUMBER(Q574),P574&gt;0,ISNUMBER($B$100)),$B$100+3*SQRT($B$100/P574),"")</f>
        <v/>
      </c>
      <c r="U574" s="13">
        <f>IF(AND(ISNUMBER(R574),ISNUMBER(S574),ISNUMBER(T574)),IF(R574&gt;T574,"boven UCL",IF(R574&lt;S574,"onder LCL","")),"")</f>
        <v/>
      </c>
    </row>
    <row r="575">
      <c r="A575" t="n">
        <v>469</v>
      </c>
      <c r="B575" s="7" t="n"/>
      <c r="C575" s="11">
        <f>IF(AND(ISNUMBER(B575),ISNUMBER(B574)),ABS(B575-B574),"")</f>
        <v/>
      </c>
      <c r="D575" s="13">
        <f>IF(AND(ISNUMBER(B575),ISNUMBER($B$88),ISNUMBER($D$88)),IF(B575&gt;$D$88,"boven UCL",IF(B575&lt;$B$88,"onder LCL","")),"")</f>
        <v/>
      </c>
      <c r="E575" s="13">
        <f>IF(AND(ISNUMBER(C575),ISNUMBER($B$89),ISNUMBER($D$89)),IF(C575&gt;$D$89,"boven UCL",IF(C575&lt;$B$89,"onder LCL","")),"")</f>
        <v/>
      </c>
      <c r="G575" t="n">
        <v>469</v>
      </c>
      <c r="H575" s="7" t="n"/>
      <c r="I575" s="7" t="n"/>
      <c r="J575" s="11">
        <f>IF(AND(ISNUMBER(H575),ISNUMBER(I575),H575&gt;0,ISNUMBER($B$94)),I575/H575,"")</f>
        <v/>
      </c>
      <c r="K575" s="11">
        <f>IF(AND(ISNUMBER(H575),ISNUMBER(I575),H575&gt;0,ISNUMBER($B$94)),MAX(0,$B$94-3*SQRT($B$94*(1-$B$94)/H575)),"")</f>
        <v/>
      </c>
      <c r="L575" s="11">
        <f>IF(AND(ISNUMBER(H575),ISNUMBER(I575),H575&gt;0,ISNUMBER($B$94)),$B$94+3*SQRT($B$94*(1-$B$94)/H575),"")</f>
        <v/>
      </c>
      <c r="M575" s="13">
        <f>IF(AND(ISNUMBER(J575),ISNUMBER(K575),ISNUMBER(L575)),IF(J575&gt;L575,"boven UCL",IF(J575&lt;K575,"onder LCL","")),"")</f>
        <v/>
      </c>
      <c r="O575" t="n">
        <v>469</v>
      </c>
      <c r="P575" s="7" t="n"/>
      <c r="Q575" s="7" t="n"/>
      <c r="R575" s="11">
        <f>IF(AND(ISNUMBER(P575),ISNUMBER(Q575),P575&gt;0,ISNUMBER($B$100)),Q575/P575,"")</f>
        <v/>
      </c>
      <c r="S575" s="11">
        <f>IF(AND(ISNUMBER(P575),ISNUMBER(Q575),P575&gt;0,ISNUMBER($B$100)),MAX(0,$B$100-3*SQRT($B$100/P575)),"")</f>
        <v/>
      </c>
      <c r="T575" s="11">
        <f>IF(AND(ISNUMBER(P575),ISNUMBER(Q575),P575&gt;0,ISNUMBER($B$100)),$B$100+3*SQRT($B$100/P575),"")</f>
        <v/>
      </c>
      <c r="U575" s="13">
        <f>IF(AND(ISNUMBER(R575),ISNUMBER(S575),ISNUMBER(T575)),IF(R575&gt;T575,"boven UCL",IF(R575&lt;S575,"onder LCL","")),"")</f>
        <v/>
      </c>
    </row>
    <row r="576">
      <c r="A576" t="n">
        <v>470</v>
      </c>
      <c r="B576" s="7" t="n"/>
      <c r="C576" s="11">
        <f>IF(AND(ISNUMBER(B576),ISNUMBER(B575)),ABS(B576-B575),"")</f>
        <v/>
      </c>
      <c r="D576" s="13">
        <f>IF(AND(ISNUMBER(B576),ISNUMBER($B$88),ISNUMBER($D$88)),IF(B576&gt;$D$88,"boven UCL",IF(B576&lt;$B$88,"onder LCL","")),"")</f>
        <v/>
      </c>
      <c r="E576" s="13">
        <f>IF(AND(ISNUMBER(C576),ISNUMBER($B$89),ISNUMBER($D$89)),IF(C576&gt;$D$89,"boven UCL",IF(C576&lt;$B$89,"onder LCL","")),"")</f>
        <v/>
      </c>
      <c r="G576" t="n">
        <v>470</v>
      </c>
      <c r="H576" s="7" t="n"/>
      <c r="I576" s="7" t="n"/>
      <c r="J576" s="11">
        <f>IF(AND(ISNUMBER(H576),ISNUMBER(I576),H576&gt;0,ISNUMBER($B$94)),I576/H576,"")</f>
        <v/>
      </c>
      <c r="K576" s="11">
        <f>IF(AND(ISNUMBER(H576),ISNUMBER(I576),H576&gt;0,ISNUMBER($B$94)),MAX(0,$B$94-3*SQRT($B$94*(1-$B$94)/H576)),"")</f>
        <v/>
      </c>
      <c r="L576" s="11">
        <f>IF(AND(ISNUMBER(H576),ISNUMBER(I576),H576&gt;0,ISNUMBER($B$94)),$B$94+3*SQRT($B$94*(1-$B$94)/H576),"")</f>
        <v/>
      </c>
      <c r="M576" s="13">
        <f>IF(AND(ISNUMBER(J576),ISNUMBER(K576),ISNUMBER(L576)),IF(J576&gt;L576,"boven UCL",IF(J576&lt;K576,"onder LCL","")),"")</f>
        <v/>
      </c>
      <c r="O576" t="n">
        <v>470</v>
      </c>
      <c r="P576" s="7" t="n"/>
      <c r="Q576" s="7" t="n"/>
      <c r="R576" s="11">
        <f>IF(AND(ISNUMBER(P576),ISNUMBER(Q576),P576&gt;0,ISNUMBER($B$100)),Q576/P576,"")</f>
        <v/>
      </c>
      <c r="S576" s="11">
        <f>IF(AND(ISNUMBER(P576),ISNUMBER(Q576),P576&gt;0,ISNUMBER($B$100)),MAX(0,$B$100-3*SQRT($B$100/P576)),"")</f>
        <v/>
      </c>
      <c r="T576" s="11">
        <f>IF(AND(ISNUMBER(P576),ISNUMBER(Q576),P576&gt;0,ISNUMBER($B$100)),$B$100+3*SQRT($B$100/P576),"")</f>
        <v/>
      </c>
      <c r="U576" s="13">
        <f>IF(AND(ISNUMBER(R576),ISNUMBER(S576),ISNUMBER(T576)),IF(R576&gt;T576,"boven UCL",IF(R576&lt;S576,"onder LCL","")),"")</f>
        <v/>
      </c>
    </row>
    <row r="577">
      <c r="A577" t="n">
        <v>471</v>
      </c>
      <c r="B577" s="7" t="n"/>
      <c r="C577" s="11">
        <f>IF(AND(ISNUMBER(B577),ISNUMBER(B576)),ABS(B577-B576),"")</f>
        <v/>
      </c>
      <c r="D577" s="13">
        <f>IF(AND(ISNUMBER(B577),ISNUMBER($B$88),ISNUMBER($D$88)),IF(B577&gt;$D$88,"boven UCL",IF(B577&lt;$B$88,"onder LCL","")),"")</f>
        <v/>
      </c>
      <c r="E577" s="13">
        <f>IF(AND(ISNUMBER(C577),ISNUMBER($B$89),ISNUMBER($D$89)),IF(C577&gt;$D$89,"boven UCL",IF(C577&lt;$B$89,"onder LCL","")),"")</f>
        <v/>
      </c>
      <c r="G577" t="n">
        <v>471</v>
      </c>
      <c r="H577" s="7" t="n"/>
      <c r="I577" s="7" t="n"/>
      <c r="J577" s="11">
        <f>IF(AND(ISNUMBER(H577),ISNUMBER(I577),H577&gt;0,ISNUMBER($B$94)),I577/H577,"")</f>
        <v/>
      </c>
      <c r="K577" s="11">
        <f>IF(AND(ISNUMBER(H577),ISNUMBER(I577),H577&gt;0,ISNUMBER($B$94)),MAX(0,$B$94-3*SQRT($B$94*(1-$B$94)/H577)),"")</f>
        <v/>
      </c>
      <c r="L577" s="11">
        <f>IF(AND(ISNUMBER(H577),ISNUMBER(I577),H577&gt;0,ISNUMBER($B$94)),$B$94+3*SQRT($B$94*(1-$B$94)/H577),"")</f>
        <v/>
      </c>
      <c r="M577" s="13">
        <f>IF(AND(ISNUMBER(J577),ISNUMBER(K577),ISNUMBER(L577)),IF(J577&gt;L577,"boven UCL",IF(J577&lt;K577,"onder LCL","")),"")</f>
        <v/>
      </c>
      <c r="O577" t="n">
        <v>471</v>
      </c>
      <c r="P577" s="7" t="n"/>
      <c r="Q577" s="7" t="n"/>
      <c r="R577" s="11">
        <f>IF(AND(ISNUMBER(P577),ISNUMBER(Q577),P577&gt;0,ISNUMBER($B$100)),Q577/P577,"")</f>
        <v/>
      </c>
      <c r="S577" s="11">
        <f>IF(AND(ISNUMBER(P577),ISNUMBER(Q577),P577&gt;0,ISNUMBER($B$100)),MAX(0,$B$100-3*SQRT($B$100/P577)),"")</f>
        <v/>
      </c>
      <c r="T577" s="11">
        <f>IF(AND(ISNUMBER(P577),ISNUMBER(Q577),P577&gt;0,ISNUMBER($B$100)),$B$100+3*SQRT($B$100/P577),"")</f>
        <v/>
      </c>
      <c r="U577" s="13">
        <f>IF(AND(ISNUMBER(R577),ISNUMBER(S577),ISNUMBER(T577)),IF(R577&gt;T577,"boven UCL",IF(R577&lt;S577,"onder LCL","")),"")</f>
        <v/>
      </c>
    </row>
    <row r="578">
      <c r="A578" t="n">
        <v>472</v>
      </c>
      <c r="B578" s="7" t="n"/>
      <c r="C578" s="11">
        <f>IF(AND(ISNUMBER(B578),ISNUMBER(B577)),ABS(B578-B577),"")</f>
        <v/>
      </c>
      <c r="D578" s="13">
        <f>IF(AND(ISNUMBER(B578),ISNUMBER($B$88),ISNUMBER($D$88)),IF(B578&gt;$D$88,"boven UCL",IF(B578&lt;$B$88,"onder LCL","")),"")</f>
        <v/>
      </c>
      <c r="E578" s="13">
        <f>IF(AND(ISNUMBER(C578),ISNUMBER($B$89),ISNUMBER($D$89)),IF(C578&gt;$D$89,"boven UCL",IF(C578&lt;$B$89,"onder LCL","")),"")</f>
        <v/>
      </c>
      <c r="G578" t="n">
        <v>472</v>
      </c>
      <c r="H578" s="7" t="n"/>
      <c r="I578" s="7" t="n"/>
      <c r="J578" s="11">
        <f>IF(AND(ISNUMBER(H578),ISNUMBER(I578),H578&gt;0,ISNUMBER($B$94)),I578/H578,"")</f>
        <v/>
      </c>
      <c r="K578" s="11">
        <f>IF(AND(ISNUMBER(H578),ISNUMBER(I578),H578&gt;0,ISNUMBER($B$94)),MAX(0,$B$94-3*SQRT($B$94*(1-$B$94)/H578)),"")</f>
        <v/>
      </c>
      <c r="L578" s="11">
        <f>IF(AND(ISNUMBER(H578),ISNUMBER(I578),H578&gt;0,ISNUMBER($B$94)),$B$94+3*SQRT($B$94*(1-$B$94)/H578),"")</f>
        <v/>
      </c>
      <c r="M578" s="13">
        <f>IF(AND(ISNUMBER(J578),ISNUMBER(K578),ISNUMBER(L578)),IF(J578&gt;L578,"boven UCL",IF(J578&lt;K578,"onder LCL","")),"")</f>
        <v/>
      </c>
      <c r="O578" t="n">
        <v>472</v>
      </c>
      <c r="P578" s="7" t="n"/>
      <c r="Q578" s="7" t="n"/>
      <c r="R578" s="11">
        <f>IF(AND(ISNUMBER(P578),ISNUMBER(Q578),P578&gt;0,ISNUMBER($B$100)),Q578/P578,"")</f>
        <v/>
      </c>
      <c r="S578" s="11">
        <f>IF(AND(ISNUMBER(P578),ISNUMBER(Q578),P578&gt;0,ISNUMBER($B$100)),MAX(0,$B$100-3*SQRT($B$100/P578)),"")</f>
        <v/>
      </c>
      <c r="T578" s="11">
        <f>IF(AND(ISNUMBER(P578),ISNUMBER(Q578),P578&gt;0,ISNUMBER($B$100)),$B$100+3*SQRT($B$100/P578),"")</f>
        <v/>
      </c>
      <c r="U578" s="13">
        <f>IF(AND(ISNUMBER(R578),ISNUMBER(S578),ISNUMBER(T578)),IF(R578&gt;T578,"boven UCL",IF(R578&lt;S578,"onder LCL","")),"")</f>
        <v/>
      </c>
    </row>
    <row r="579">
      <c r="A579" t="n">
        <v>473</v>
      </c>
      <c r="B579" s="7" t="n"/>
      <c r="C579" s="11">
        <f>IF(AND(ISNUMBER(B579),ISNUMBER(B578)),ABS(B579-B578),"")</f>
        <v/>
      </c>
      <c r="D579" s="13">
        <f>IF(AND(ISNUMBER(B579),ISNUMBER($B$88),ISNUMBER($D$88)),IF(B579&gt;$D$88,"boven UCL",IF(B579&lt;$B$88,"onder LCL","")),"")</f>
        <v/>
      </c>
      <c r="E579" s="13">
        <f>IF(AND(ISNUMBER(C579),ISNUMBER($B$89),ISNUMBER($D$89)),IF(C579&gt;$D$89,"boven UCL",IF(C579&lt;$B$89,"onder LCL","")),"")</f>
        <v/>
      </c>
      <c r="G579" t="n">
        <v>473</v>
      </c>
      <c r="H579" s="7" t="n"/>
      <c r="I579" s="7" t="n"/>
      <c r="J579" s="11">
        <f>IF(AND(ISNUMBER(H579),ISNUMBER(I579),H579&gt;0,ISNUMBER($B$94)),I579/H579,"")</f>
        <v/>
      </c>
      <c r="K579" s="11">
        <f>IF(AND(ISNUMBER(H579),ISNUMBER(I579),H579&gt;0,ISNUMBER($B$94)),MAX(0,$B$94-3*SQRT($B$94*(1-$B$94)/H579)),"")</f>
        <v/>
      </c>
      <c r="L579" s="11">
        <f>IF(AND(ISNUMBER(H579),ISNUMBER(I579),H579&gt;0,ISNUMBER($B$94)),$B$94+3*SQRT($B$94*(1-$B$94)/H579),"")</f>
        <v/>
      </c>
      <c r="M579" s="13">
        <f>IF(AND(ISNUMBER(J579),ISNUMBER(K579),ISNUMBER(L579)),IF(J579&gt;L579,"boven UCL",IF(J579&lt;K579,"onder LCL","")),"")</f>
        <v/>
      </c>
      <c r="O579" t="n">
        <v>473</v>
      </c>
      <c r="P579" s="7" t="n"/>
      <c r="Q579" s="7" t="n"/>
      <c r="R579" s="11">
        <f>IF(AND(ISNUMBER(P579),ISNUMBER(Q579),P579&gt;0,ISNUMBER($B$100)),Q579/P579,"")</f>
        <v/>
      </c>
      <c r="S579" s="11">
        <f>IF(AND(ISNUMBER(P579),ISNUMBER(Q579),P579&gt;0,ISNUMBER($B$100)),MAX(0,$B$100-3*SQRT($B$100/P579)),"")</f>
        <v/>
      </c>
      <c r="T579" s="11">
        <f>IF(AND(ISNUMBER(P579),ISNUMBER(Q579),P579&gt;0,ISNUMBER($B$100)),$B$100+3*SQRT($B$100/P579),"")</f>
        <v/>
      </c>
      <c r="U579" s="13">
        <f>IF(AND(ISNUMBER(R579),ISNUMBER(S579),ISNUMBER(T579)),IF(R579&gt;T579,"boven UCL",IF(R579&lt;S579,"onder LCL","")),"")</f>
        <v/>
      </c>
    </row>
    <row r="580">
      <c r="A580" t="n">
        <v>474</v>
      </c>
      <c r="B580" s="7" t="n"/>
      <c r="C580" s="11">
        <f>IF(AND(ISNUMBER(B580),ISNUMBER(B579)),ABS(B580-B579),"")</f>
        <v/>
      </c>
      <c r="D580" s="13">
        <f>IF(AND(ISNUMBER(B580),ISNUMBER($B$88),ISNUMBER($D$88)),IF(B580&gt;$D$88,"boven UCL",IF(B580&lt;$B$88,"onder LCL","")),"")</f>
        <v/>
      </c>
      <c r="E580" s="13">
        <f>IF(AND(ISNUMBER(C580),ISNUMBER($B$89),ISNUMBER($D$89)),IF(C580&gt;$D$89,"boven UCL",IF(C580&lt;$B$89,"onder LCL","")),"")</f>
        <v/>
      </c>
      <c r="G580" t="n">
        <v>474</v>
      </c>
      <c r="H580" s="7" t="n"/>
      <c r="I580" s="7" t="n"/>
      <c r="J580" s="11">
        <f>IF(AND(ISNUMBER(H580),ISNUMBER(I580),H580&gt;0,ISNUMBER($B$94)),I580/H580,"")</f>
        <v/>
      </c>
      <c r="K580" s="11">
        <f>IF(AND(ISNUMBER(H580),ISNUMBER(I580),H580&gt;0,ISNUMBER($B$94)),MAX(0,$B$94-3*SQRT($B$94*(1-$B$94)/H580)),"")</f>
        <v/>
      </c>
      <c r="L580" s="11">
        <f>IF(AND(ISNUMBER(H580),ISNUMBER(I580),H580&gt;0,ISNUMBER($B$94)),$B$94+3*SQRT($B$94*(1-$B$94)/H580),"")</f>
        <v/>
      </c>
      <c r="M580" s="13">
        <f>IF(AND(ISNUMBER(J580),ISNUMBER(K580),ISNUMBER(L580)),IF(J580&gt;L580,"boven UCL",IF(J580&lt;K580,"onder LCL","")),"")</f>
        <v/>
      </c>
      <c r="O580" t="n">
        <v>474</v>
      </c>
      <c r="P580" s="7" t="n"/>
      <c r="Q580" s="7" t="n"/>
      <c r="R580" s="11">
        <f>IF(AND(ISNUMBER(P580),ISNUMBER(Q580),P580&gt;0,ISNUMBER($B$100)),Q580/P580,"")</f>
        <v/>
      </c>
      <c r="S580" s="11">
        <f>IF(AND(ISNUMBER(P580),ISNUMBER(Q580),P580&gt;0,ISNUMBER($B$100)),MAX(0,$B$100-3*SQRT($B$100/P580)),"")</f>
        <v/>
      </c>
      <c r="T580" s="11">
        <f>IF(AND(ISNUMBER(P580),ISNUMBER(Q580),P580&gt;0,ISNUMBER($B$100)),$B$100+3*SQRT($B$100/P580),"")</f>
        <v/>
      </c>
      <c r="U580" s="13">
        <f>IF(AND(ISNUMBER(R580),ISNUMBER(S580),ISNUMBER(T580)),IF(R580&gt;T580,"boven UCL",IF(R580&lt;S580,"onder LCL","")),"")</f>
        <v/>
      </c>
    </row>
    <row r="581">
      <c r="A581" t="n">
        <v>475</v>
      </c>
      <c r="B581" s="7" t="n"/>
      <c r="C581" s="11">
        <f>IF(AND(ISNUMBER(B581),ISNUMBER(B580)),ABS(B581-B580),"")</f>
        <v/>
      </c>
      <c r="D581" s="13">
        <f>IF(AND(ISNUMBER(B581),ISNUMBER($B$88),ISNUMBER($D$88)),IF(B581&gt;$D$88,"boven UCL",IF(B581&lt;$B$88,"onder LCL","")),"")</f>
        <v/>
      </c>
      <c r="E581" s="13">
        <f>IF(AND(ISNUMBER(C581),ISNUMBER($B$89),ISNUMBER($D$89)),IF(C581&gt;$D$89,"boven UCL",IF(C581&lt;$B$89,"onder LCL","")),"")</f>
        <v/>
      </c>
      <c r="G581" t="n">
        <v>475</v>
      </c>
      <c r="H581" s="7" t="n"/>
      <c r="I581" s="7" t="n"/>
      <c r="J581" s="11">
        <f>IF(AND(ISNUMBER(H581),ISNUMBER(I581),H581&gt;0,ISNUMBER($B$94)),I581/H581,"")</f>
        <v/>
      </c>
      <c r="K581" s="11">
        <f>IF(AND(ISNUMBER(H581),ISNUMBER(I581),H581&gt;0,ISNUMBER($B$94)),MAX(0,$B$94-3*SQRT($B$94*(1-$B$94)/H581)),"")</f>
        <v/>
      </c>
      <c r="L581" s="11">
        <f>IF(AND(ISNUMBER(H581),ISNUMBER(I581),H581&gt;0,ISNUMBER($B$94)),$B$94+3*SQRT($B$94*(1-$B$94)/H581),"")</f>
        <v/>
      </c>
      <c r="M581" s="13">
        <f>IF(AND(ISNUMBER(J581),ISNUMBER(K581),ISNUMBER(L581)),IF(J581&gt;L581,"boven UCL",IF(J581&lt;K581,"onder LCL","")),"")</f>
        <v/>
      </c>
      <c r="O581" t="n">
        <v>475</v>
      </c>
      <c r="P581" s="7" t="n"/>
      <c r="Q581" s="7" t="n"/>
      <c r="R581" s="11">
        <f>IF(AND(ISNUMBER(P581),ISNUMBER(Q581),P581&gt;0,ISNUMBER($B$100)),Q581/P581,"")</f>
        <v/>
      </c>
      <c r="S581" s="11">
        <f>IF(AND(ISNUMBER(P581),ISNUMBER(Q581),P581&gt;0,ISNUMBER($B$100)),MAX(0,$B$100-3*SQRT($B$100/P581)),"")</f>
        <v/>
      </c>
      <c r="T581" s="11">
        <f>IF(AND(ISNUMBER(P581),ISNUMBER(Q581),P581&gt;0,ISNUMBER($B$100)),$B$100+3*SQRT($B$100/P581),"")</f>
        <v/>
      </c>
      <c r="U581" s="13">
        <f>IF(AND(ISNUMBER(R581),ISNUMBER(S581),ISNUMBER(T581)),IF(R581&gt;T581,"boven UCL",IF(R581&lt;S581,"onder LCL","")),"")</f>
        <v/>
      </c>
    </row>
    <row r="582">
      <c r="A582" t="n">
        <v>476</v>
      </c>
      <c r="B582" s="7" t="n"/>
      <c r="C582" s="11">
        <f>IF(AND(ISNUMBER(B582),ISNUMBER(B581)),ABS(B582-B581),"")</f>
        <v/>
      </c>
      <c r="D582" s="13">
        <f>IF(AND(ISNUMBER(B582),ISNUMBER($B$88),ISNUMBER($D$88)),IF(B582&gt;$D$88,"boven UCL",IF(B582&lt;$B$88,"onder LCL","")),"")</f>
        <v/>
      </c>
      <c r="E582" s="13">
        <f>IF(AND(ISNUMBER(C582),ISNUMBER($B$89),ISNUMBER($D$89)),IF(C582&gt;$D$89,"boven UCL",IF(C582&lt;$B$89,"onder LCL","")),"")</f>
        <v/>
      </c>
      <c r="G582" t="n">
        <v>476</v>
      </c>
      <c r="H582" s="7" t="n"/>
      <c r="I582" s="7" t="n"/>
      <c r="J582" s="11">
        <f>IF(AND(ISNUMBER(H582),ISNUMBER(I582),H582&gt;0,ISNUMBER($B$94)),I582/H582,"")</f>
        <v/>
      </c>
      <c r="K582" s="11">
        <f>IF(AND(ISNUMBER(H582),ISNUMBER(I582),H582&gt;0,ISNUMBER($B$94)),MAX(0,$B$94-3*SQRT($B$94*(1-$B$94)/H582)),"")</f>
        <v/>
      </c>
      <c r="L582" s="11">
        <f>IF(AND(ISNUMBER(H582),ISNUMBER(I582),H582&gt;0,ISNUMBER($B$94)),$B$94+3*SQRT($B$94*(1-$B$94)/H582),"")</f>
        <v/>
      </c>
      <c r="M582" s="13">
        <f>IF(AND(ISNUMBER(J582),ISNUMBER(K582),ISNUMBER(L582)),IF(J582&gt;L582,"boven UCL",IF(J582&lt;K582,"onder LCL","")),"")</f>
        <v/>
      </c>
      <c r="O582" t="n">
        <v>476</v>
      </c>
      <c r="P582" s="7" t="n"/>
      <c r="Q582" s="7" t="n"/>
      <c r="R582" s="11">
        <f>IF(AND(ISNUMBER(P582),ISNUMBER(Q582),P582&gt;0,ISNUMBER($B$100)),Q582/P582,"")</f>
        <v/>
      </c>
      <c r="S582" s="11">
        <f>IF(AND(ISNUMBER(P582),ISNUMBER(Q582),P582&gt;0,ISNUMBER($B$100)),MAX(0,$B$100-3*SQRT($B$100/P582)),"")</f>
        <v/>
      </c>
      <c r="T582" s="11">
        <f>IF(AND(ISNUMBER(P582),ISNUMBER(Q582),P582&gt;0,ISNUMBER($B$100)),$B$100+3*SQRT($B$100/P582),"")</f>
        <v/>
      </c>
      <c r="U582" s="13">
        <f>IF(AND(ISNUMBER(R582),ISNUMBER(S582),ISNUMBER(T582)),IF(R582&gt;T582,"boven UCL",IF(R582&lt;S582,"onder LCL","")),"")</f>
        <v/>
      </c>
    </row>
    <row r="583">
      <c r="A583" t="n">
        <v>477</v>
      </c>
      <c r="B583" s="7" t="n"/>
      <c r="C583" s="11">
        <f>IF(AND(ISNUMBER(B583),ISNUMBER(B582)),ABS(B583-B582),"")</f>
        <v/>
      </c>
      <c r="D583" s="13">
        <f>IF(AND(ISNUMBER(B583),ISNUMBER($B$88),ISNUMBER($D$88)),IF(B583&gt;$D$88,"boven UCL",IF(B583&lt;$B$88,"onder LCL","")),"")</f>
        <v/>
      </c>
      <c r="E583" s="13">
        <f>IF(AND(ISNUMBER(C583),ISNUMBER($B$89),ISNUMBER($D$89)),IF(C583&gt;$D$89,"boven UCL",IF(C583&lt;$B$89,"onder LCL","")),"")</f>
        <v/>
      </c>
      <c r="G583" t="n">
        <v>477</v>
      </c>
      <c r="H583" s="7" t="n"/>
      <c r="I583" s="7" t="n"/>
      <c r="J583" s="11">
        <f>IF(AND(ISNUMBER(H583),ISNUMBER(I583),H583&gt;0,ISNUMBER($B$94)),I583/H583,"")</f>
        <v/>
      </c>
      <c r="K583" s="11">
        <f>IF(AND(ISNUMBER(H583),ISNUMBER(I583),H583&gt;0,ISNUMBER($B$94)),MAX(0,$B$94-3*SQRT($B$94*(1-$B$94)/H583)),"")</f>
        <v/>
      </c>
      <c r="L583" s="11">
        <f>IF(AND(ISNUMBER(H583),ISNUMBER(I583),H583&gt;0,ISNUMBER($B$94)),$B$94+3*SQRT($B$94*(1-$B$94)/H583),"")</f>
        <v/>
      </c>
      <c r="M583" s="13">
        <f>IF(AND(ISNUMBER(J583),ISNUMBER(K583),ISNUMBER(L583)),IF(J583&gt;L583,"boven UCL",IF(J583&lt;K583,"onder LCL","")),"")</f>
        <v/>
      </c>
      <c r="O583" t="n">
        <v>477</v>
      </c>
      <c r="P583" s="7" t="n"/>
      <c r="Q583" s="7" t="n"/>
      <c r="R583" s="11">
        <f>IF(AND(ISNUMBER(P583),ISNUMBER(Q583),P583&gt;0,ISNUMBER($B$100)),Q583/P583,"")</f>
        <v/>
      </c>
      <c r="S583" s="11">
        <f>IF(AND(ISNUMBER(P583),ISNUMBER(Q583),P583&gt;0,ISNUMBER($B$100)),MAX(0,$B$100-3*SQRT($B$100/P583)),"")</f>
        <v/>
      </c>
      <c r="T583" s="11">
        <f>IF(AND(ISNUMBER(P583),ISNUMBER(Q583),P583&gt;0,ISNUMBER($B$100)),$B$100+3*SQRT($B$100/P583),"")</f>
        <v/>
      </c>
      <c r="U583" s="13">
        <f>IF(AND(ISNUMBER(R583),ISNUMBER(S583),ISNUMBER(T583)),IF(R583&gt;T583,"boven UCL",IF(R583&lt;S583,"onder LCL","")),"")</f>
        <v/>
      </c>
    </row>
    <row r="584">
      <c r="A584" t="n">
        <v>478</v>
      </c>
      <c r="B584" s="7" t="n"/>
      <c r="C584" s="11">
        <f>IF(AND(ISNUMBER(B584),ISNUMBER(B583)),ABS(B584-B583),"")</f>
        <v/>
      </c>
      <c r="D584" s="13">
        <f>IF(AND(ISNUMBER(B584),ISNUMBER($B$88),ISNUMBER($D$88)),IF(B584&gt;$D$88,"boven UCL",IF(B584&lt;$B$88,"onder LCL","")),"")</f>
        <v/>
      </c>
      <c r="E584" s="13">
        <f>IF(AND(ISNUMBER(C584),ISNUMBER($B$89),ISNUMBER($D$89)),IF(C584&gt;$D$89,"boven UCL",IF(C584&lt;$B$89,"onder LCL","")),"")</f>
        <v/>
      </c>
      <c r="G584" t="n">
        <v>478</v>
      </c>
      <c r="H584" s="7" t="n"/>
      <c r="I584" s="7" t="n"/>
      <c r="J584" s="11">
        <f>IF(AND(ISNUMBER(H584),ISNUMBER(I584),H584&gt;0,ISNUMBER($B$94)),I584/H584,"")</f>
        <v/>
      </c>
      <c r="K584" s="11">
        <f>IF(AND(ISNUMBER(H584),ISNUMBER(I584),H584&gt;0,ISNUMBER($B$94)),MAX(0,$B$94-3*SQRT($B$94*(1-$B$94)/H584)),"")</f>
        <v/>
      </c>
      <c r="L584" s="11">
        <f>IF(AND(ISNUMBER(H584),ISNUMBER(I584),H584&gt;0,ISNUMBER($B$94)),$B$94+3*SQRT($B$94*(1-$B$94)/H584),"")</f>
        <v/>
      </c>
      <c r="M584" s="13">
        <f>IF(AND(ISNUMBER(J584),ISNUMBER(K584),ISNUMBER(L584)),IF(J584&gt;L584,"boven UCL",IF(J584&lt;K584,"onder LCL","")),"")</f>
        <v/>
      </c>
      <c r="O584" t="n">
        <v>478</v>
      </c>
      <c r="P584" s="7" t="n"/>
      <c r="Q584" s="7" t="n"/>
      <c r="R584" s="11">
        <f>IF(AND(ISNUMBER(P584),ISNUMBER(Q584),P584&gt;0,ISNUMBER($B$100)),Q584/P584,"")</f>
        <v/>
      </c>
      <c r="S584" s="11">
        <f>IF(AND(ISNUMBER(P584),ISNUMBER(Q584),P584&gt;0,ISNUMBER($B$100)),MAX(0,$B$100-3*SQRT($B$100/P584)),"")</f>
        <v/>
      </c>
      <c r="T584" s="11">
        <f>IF(AND(ISNUMBER(P584),ISNUMBER(Q584),P584&gt;0,ISNUMBER($B$100)),$B$100+3*SQRT($B$100/P584),"")</f>
        <v/>
      </c>
      <c r="U584" s="13">
        <f>IF(AND(ISNUMBER(R584),ISNUMBER(S584),ISNUMBER(T584)),IF(R584&gt;T584,"boven UCL",IF(R584&lt;S584,"onder LCL","")),"")</f>
        <v/>
      </c>
    </row>
    <row r="585">
      <c r="A585" t="n">
        <v>479</v>
      </c>
      <c r="B585" s="7" t="n"/>
      <c r="C585" s="11">
        <f>IF(AND(ISNUMBER(B585),ISNUMBER(B584)),ABS(B585-B584),"")</f>
        <v/>
      </c>
      <c r="D585" s="13">
        <f>IF(AND(ISNUMBER(B585),ISNUMBER($B$88),ISNUMBER($D$88)),IF(B585&gt;$D$88,"boven UCL",IF(B585&lt;$B$88,"onder LCL","")),"")</f>
        <v/>
      </c>
      <c r="E585" s="13">
        <f>IF(AND(ISNUMBER(C585),ISNUMBER($B$89),ISNUMBER($D$89)),IF(C585&gt;$D$89,"boven UCL",IF(C585&lt;$B$89,"onder LCL","")),"")</f>
        <v/>
      </c>
      <c r="G585" t="n">
        <v>479</v>
      </c>
      <c r="H585" s="7" t="n"/>
      <c r="I585" s="7" t="n"/>
      <c r="J585" s="11">
        <f>IF(AND(ISNUMBER(H585),ISNUMBER(I585),H585&gt;0,ISNUMBER($B$94)),I585/H585,"")</f>
        <v/>
      </c>
      <c r="K585" s="11">
        <f>IF(AND(ISNUMBER(H585),ISNUMBER(I585),H585&gt;0,ISNUMBER($B$94)),MAX(0,$B$94-3*SQRT($B$94*(1-$B$94)/H585)),"")</f>
        <v/>
      </c>
      <c r="L585" s="11">
        <f>IF(AND(ISNUMBER(H585),ISNUMBER(I585),H585&gt;0,ISNUMBER($B$94)),$B$94+3*SQRT($B$94*(1-$B$94)/H585),"")</f>
        <v/>
      </c>
      <c r="M585" s="13">
        <f>IF(AND(ISNUMBER(J585),ISNUMBER(K585),ISNUMBER(L585)),IF(J585&gt;L585,"boven UCL",IF(J585&lt;K585,"onder LCL","")),"")</f>
        <v/>
      </c>
      <c r="O585" t="n">
        <v>479</v>
      </c>
      <c r="P585" s="7" t="n"/>
      <c r="Q585" s="7" t="n"/>
      <c r="R585" s="11">
        <f>IF(AND(ISNUMBER(P585),ISNUMBER(Q585),P585&gt;0,ISNUMBER($B$100)),Q585/P585,"")</f>
        <v/>
      </c>
      <c r="S585" s="11">
        <f>IF(AND(ISNUMBER(P585),ISNUMBER(Q585),P585&gt;0,ISNUMBER($B$100)),MAX(0,$B$100-3*SQRT($B$100/P585)),"")</f>
        <v/>
      </c>
      <c r="T585" s="11">
        <f>IF(AND(ISNUMBER(P585),ISNUMBER(Q585),P585&gt;0,ISNUMBER($B$100)),$B$100+3*SQRT($B$100/P585),"")</f>
        <v/>
      </c>
      <c r="U585" s="13">
        <f>IF(AND(ISNUMBER(R585),ISNUMBER(S585),ISNUMBER(T585)),IF(R585&gt;T585,"boven UCL",IF(R585&lt;S585,"onder LCL","")),"")</f>
        <v/>
      </c>
    </row>
    <row r="586">
      <c r="A586" t="n">
        <v>480</v>
      </c>
      <c r="B586" s="7" t="n"/>
      <c r="C586" s="11">
        <f>IF(AND(ISNUMBER(B586),ISNUMBER(B585)),ABS(B586-B585),"")</f>
        <v/>
      </c>
      <c r="D586" s="13">
        <f>IF(AND(ISNUMBER(B586),ISNUMBER($B$88),ISNUMBER($D$88)),IF(B586&gt;$D$88,"boven UCL",IF(B586&lt;$B$88,"onder LCL","")),"")</f>
        <v/>
      </c>
      <c r="E586" s="13">
        <f>IF(AND(ISNUMBER(C586),ISNUMBER($B$89),ISNUMBER($D$89)),IF(C586&gt;$D$89,"boven UCL",IF(C586&lt;$B$89,"onder LCL","")),"")</f>
        <v/>
      </c>
      <c r="G586" t="n">
        <v>480</v>
      </c>
      <c r="H586" s="7" t="n"/>
      <c r="I586" s="7" t="n"/>
      <c r="J586" s="11">
        <f>IF(AND(ISNUMBER(H586),ISNUMBER(I586),H586&gt;0,ISNUMBER($B$94)),I586/H586,"")</f>
        <v/>
      </c>
      <c r="K586" s="11">
        <f>IF(AND(ISNUMBER(H586),ISNUMBER(I586),H586&gt;0,ISNUMBER($B$94)),MAX(0,$B$94-3*SQRT($B$94*(1-$B$94)/H586)),"")</f>
        <v/>
      </c>
      <c r="L586" s="11">
        <f>IF(AND(ISNUMBER(H586),ISNUMBER(I586),H586&gt;0,ISNUMBER($B$94)),$B$94+3*SQRT($B$94*(1-$B$94)/H586),"")</f>
        <v/>
      </c>
      <c r="M586" s="13">
        <f>IF(AND(ISNUMBER(J586),ISNUMBER(K586),ISNUMBER(L586)),IF(J586&gt;L586,"boven UCL",IF(J586&lt;K586,"onder LCL","")),"")</f>
        <v/>
      </c>
      <c r="O586" t="n">
        <v>480</v>
      </c>
      <c r="P586" s="7" t="n"/>
      <c r="Q586" s="7" t="n"/>
      <c r="R586" s="11">
        <f>IF(AND(ISNUMBER(P586),ISNUMBER(Q586),P586&gt;0,ISNUMBER($B$100)),Q586/P586,"")</f>
        <v/>
      </c>
      <c r="S586" s="11">
        <f>IF(AND(ISNUMBER(P586),ISNUMBER(Q586),P586&gt;0,ISNUMBER($B$100)),MAX(0,$B$100-3*SQRT($B$100/P586)),"")</f>
        <v/>
      </c>
      <c r="T586" s="11">
        <f>IF(AND(ISNUMBER(P586),ISNUMBER(Q586),P586&gt;0,ISNUMBER($B$100)),$B$100+3*SQRT($B$100/P586),"")</f>
        <v/>
      </c>
      <c r="U586" s="13">
        <f>IF(AND(ISNUMBER(R586),ISNUMBER(S586),ISNUMBER(T586)),IF(R586&gt;T586,"boven UCL",IF(R586&lt;S586,"onder LCL","")),"")</f>
        <v/>
      </c>
    </row>
    <row r="587">
      <c r="A587" t="n">
        <v>481</v>
      </c>
      <c r="B587" s="7" t="n"/>
      <c r="C587" s="11">
        <f>IF(AND(ISNUMBER(B587),ISNUMBER(B586)),ABS(B587-B586),"")</f>
        <v/>
      </c>
      <c r="D587" s="13">
        <f>IF(AND(ISNUMBER(B587),ISNUMBER($B$88),ISNUMBER($D$88)),IF(B587&gt;$D$88,"boven UCL",IF(B587&lt;$B$88,"onder LCL","")),"")</f>
        <v/>
      </c>
      <c r="E587" s="13">
        <f>IF(AND(ISNUMBER(C587),ISNUMBER($B$89),ISNUMBER($D$89)),IF(C587&gt;$D$89,"boven UCL",IF(C587&lt;$B$89,"onder LCL","")),"")</f>
        <v/>
      </c>
      <c r="G587" t="n">
        <v>481</v>
      </c>
      <c r="H587" s="7" t="n"/>
      <c r="I587" s="7" t="n"/>
      <c r="J587" s="11">
        <f>IF(AND(ISNUMBER(H587),ISNUMBER(I587),H587&gt;0,ISNUMBER($B$94)),I587/H587,"")</f>
        <v/>
      </c>
      <c r="K587" s="11">
        <f>IF(AND(ISNUMBER(H587),ISNUMBER(I587),H587&gt;0,ISNUMBER($B$94)),MAX(0,$B$94-3*SQRT($B$94*(1-$B$94)/H587)),"")</f>
        <v/>
      </c>
      <c r="L587" s="11">
        <f>IF(AND(ISNUMBER(H587),ISNUMBER(I587),H587&gt;0,ISNUMBER($B$94)),$B$94+3*SQRT($B$94*(1-$B$94)/H587),"")</f>
        <v/>
      </c>
      <c r="M587" s="13">
        <f>IF(AND(ISNUMBER(J587),ISNUMBER(K587),ISNUMBER(L587)),IF(J587&gt;L587,"boven UCL",IF(J587&lt;K587,"onder LCL","")),"")</f>
        <v/>
      </c>
      <c r="O587" t="n">
        <v>481</v>
      </c>
      <c r="P587" s="7" t="n"/>
      <c r="Q587" s="7" t="n"/>
      <c r="R587" s="11">
        <f>IF(AND(ISNUMBER(P587),ISNUMBER(Q587),P587&gt;0,ISNUMBER($B$100)),Q587/P587,"")</f>
        <v/>
      </c>
      <c r="S587" s="11">
        <f>IF(AND(ISNUMBER(P587),ISNUMBER(Q587),P587&gt;0,ISNUMBER($B$100)),MAX(0,$B$100-3*SQRT($B$100/P587)),"")</f>
        <v/>
      </c>
      <c r="T587" s="11">
        <f>IF(AND(ISNUMBER(P587),ISNUMBER(Q587),P587&gt;0,ISNUMBER($B$100)),$B$100+3*SQRT($B$100/P587),"")</f>
        <v/>
      </c>
      <c r="U587" s="13">
        <f>IF(AND(ISNUMBER(R587),ISNUMBER(S587),ISNUMBER(T587)),IF(R587&gt;T587,"boven UCL",IF(R587&lt;S587,"onder LCL","")),"")</f>
        <v/>
      </c>
    </row>
    <row r="588">
      <c r="A588" t="n">
        <v>482</v>
      </c>
      <c r="B588" s="7" t="n"/>
      <c r="C588" s="11">
        <f>IF(AND(ISNUMBER(B588),ISNUMBER(B587)),ABS(B588-B587),"")</f>
        <v/>
      </c>
      <c r="D588" s="13">
        <f>IF(AND(ISNUMBER(B588),ISNUMBER($B$88),ISNUMBER($D$88)),IF(B588&gt;$D$88,"boven UCL",IF(B588&lt;$B$88,"onder LCL","")),"")</f>
        <v/>
      </c>
      <c r="E588" s="13">
        <f>IF(AND(ISNUMBER(C588),ISNUMBER($B$89),ISNUMBER($D$89)),IF(C588&gt;$D$89,"boven UCL",IF(C588&lt;$B$89,"onder LCL","")),"")</f>
        <v/>
      </c>
      <c r="G588" t="n">
        <v>482</v>
      </c>
      <c r="H588" s="7" t="n"/>
      <c r="I588" s="7" t="n"/>
      <c r="J588" s="11">
        <f>IF(AND(ISNUMBER(H588),ISNUMBER(I588),H588&gt;0,ISNUMBER($B$94)),I588/H588,"")</f>
        <v/>
      </c>
      <c r="K588" s="11">
        <f>IF(AND(ISNUMBER(H588),ISNUMBER(I588),H588&gt;0,ISNUMBER($B$94)),MAX(0,$B$94-3*SQRT($B$94*(1-$B$94)/H588)),"")</f>
        <v/>
      </c>
      <c r="L588" s="11">
        <f>IF(AND(ISNUMBER(H588),ISNUMBER(I588),H588&gt;0,ISNUMBER($B$94)),$B$94+3*SQRT($B$94*(1-$B$94)/H588),"")</f>
        <v/>
      </c>
      <c r="M588" s="13">
        <f>IF(AND(ISNUMBER(J588),ISNUMBER(K588),ISNUMBER(L588)),IF(J588&gt;L588,"boven UCL",IF(J588&lt;K588,"onder LCL","")),"")</f>
        <v/>
      </c>
      <c r="O588" t="n">
        <v>482</v>
      </c>
      <c r="P588" s="7" t="n"/>
      <c r="Q588" s="7" t="n"/>
      <c r="R588" s="11">
        <f>IF(AND(ISNUMBER(P588),ISNUMBER(Q588),P588&gt;0,ISNUMBER($B$100)),Q588/P588,"")</f>
        <v/>
      </c>
      <c r="S588" s="11">
        <f>IF(AND(ISNUMBER(P588),ISNUMBER(Q588),P588&gt;0,ISNUMBER($B$100)),MAX(0,$B$100-3*SQRT($B$100/P588)),"")</f>
        <v/>
      </c>
      <c r="T588" s="11">
        <f>IF(AND(ISNUMBER(P588),ISNUMBER(Q588),P588&gt;0,ISNUMBER($B$100)),$B$100+3*SQRT($B$100/P588),"")</f>
        <v/>
      </c>
      <c r="U588" s="13">
        <f>IF(AND(ISNUMBER(R588),ISNUMBER(S588),ISNUMBER(T588)),IF(R588&gt;T588,"boven UCL",IF(R588&lt;S588,"onder LCL","")),"")</f>
        <v/>
      </c>
    </row>
    <row r="589">
      <c r="A589" t="n">
        <v>483</v>
      </c>
      <c r="B589" s="7" t="n"/>
      <c r="C589" s="11">
        <f>IF(AND(ISNUMBER(B589),ISNUMBER(B588)),ABS(B589-B588),"")</f>
        <v/>
      </c>
      <c r="D589" s="13">
        <f>IF(AND(ISNUMBER(B589),ISNUMBER($B$88),ISNUMBER($D$88)),IF(B589&gt;$D$88,"boven UCL",IF(B589&lt;$B$88,"onder LCL","")),"")</f>
        <v/>
      </c>
      <c r="E589" s="13">
        <f>IF(AND(ISNUMBER(C589),ISNUMBER($B$89),ISNUMBER($D$89)),IF(C589&gt;$D$89,"boven UCL",IF(C589&lt;$B$89,"onder LCL","")),"")</f>
        <v/>
      </c>
      <c r="G589" t="n">
        <v>483</v>
      </c>
      <c r="H589" s="7" t="n"/>
      <c r="I589" s="7" t="n"/>
      <c r="J589" s="11">
        <f>IF(AND(ISNUMBER(H589),ISNUMBER(I589),H589&gt;0,ISNUMBER($B$94)),I589/H589,"")</f>
        <v/>
      </c>
      <c r="K589" s="11">
        <f>IF(AND(ISNUMBER(H589),ISNUMBER(I589),H589&gt;0,ISNUMBER($B$94)),MAX(0,$B$94-3*SQRT($B$94*(1-$B$94)/H589)),"")</f>
        <v/>
      </c>
      <c r="L589" s="11">
        <f>IF(AND(ISNUMBER(H589),ISNUMBER(I589),H589&gt;0,ISNUMBER($B$94)),$B$94+3*SQRT($B$94*(1-$B$94)/H589),"")</f>
        <v/>
      </c>
      <c r="M589" s="13">
        <f>IF(AND(ISNUMBER(J589),ISNUMBER(K589),ISNUMBER(L589)),IF(J589&gt;L589,"boven UCL",IF(J589&lt;K589,"onder LCL","")),"")</f>
        <v/>
      </c>
      <c r="O589" t="n">
        <v>483</v>
      </c>
      <c r="P589" s="7" t="n"/>
      <c r="Q589" s="7" t="n"/>
      <c r="R589" s="11">
        <f>IF(AND(ISNUMBER(P589),ISNUMBER(Q589),P589&gt;0,ISNUMBER($B$100)),Q589/P589,"")</f>
        <v/>
      </c>
      <c r="S589" s="11">
        <f>IF(AND(ISNUMBER(P589),ISNUMBER(Q589),P589&gt;0,ISNUMBER($B$100)),MAX(0,$B$100-3*SQRT($B$100/P589)),"")</f>
        <v/>
      </c>
      <c r="T589" s="11">
        <f>IF(AND(ISNUMBER(P589),ISNUMBER(Q589),P589&gt;0,ISNUMBER($B$100)),$B$100+3*SQRT($B$100/P589),"")</f>
        <v/>
      </c>
      <c r="U589" s="13">
        <f>IF(AND(ISNUMBER(R589),ISNUMBER(S589),ISNUMBER(T589)),IF(R589&gt;T589,"boven UCL",IF(R589&lt;S589,"onder LCL","")),"")</f>
        <v/>
      </c>
    </row>
    <row r="590">
      <c r="A590" t="n">
        <v>484</v>
      </c>
      <c r="B590" s="7" t="n"/>
      <c r="C590" s="11">
        <f>IF(AND(ISNUMBER(B590),ISNUMBER(B589)),ABS(B590-B589),"")</f>
        <v/>
      </c>
      <c r="D590" s="13">
        <f>IF(AND(ISNUMBER(B590),ISNUMBER($B$88),ISNUMBER($D$88)),IF(B590&gt;$D$88,"boven UCL",IF(B590&lt;$B$88,"onder LCL","")),"")</f>
        <v/>
      </c>
      <c r="E590" s="13">
        <f>IF(AND(ISNUMBER(C590),ISNUMBER($B$89),ISNUMBER($D$89)),IF(C590&gt;$D$89,"boven UCL",IF(C590&lt;$B$89,"onder LCL","")),"")</f>
        <v/>
      </c>
      <c r="G590" t="n">
        <v>484</v>
      </c>
      <c r="H590" s="7" t="n"/>
      <c r="I590" s="7" t="n"/>
      <c r="J590" s="11">
        <f>IF(AND(ISNUMBER(H590),ISNUMBER(I590),H590&gt;0,ISNUMBER($B$94)),I590/H590,"")</f>
        <v/>
      </c>
      <c r="K590" s="11">
        <f>IF(AND(ISNUMBER(H590),ISNUMBER(I590),H590&gt;0,ISNUMBER($B$94)),MAX(0,$B$94-3*SQRT($B$94*(1-$B$94)/H590)),"")</f>
        <v/>
      </c>
      <c r="L590" s="11">
        <f>IF(AND(ISNUMBER(H590),ISNUMBER(I590),H590&gt;0,ISNUMBER($B$94)),$B$94+3*SQRT($B$94*(1-$B$94)/H590),"")</f>
        <v/>
      </c>
      <c r="M590" s="13">
        <f>IF(AND(ISNUMBER(J590),ISNUMBER(K590),ISNUMBER(L590)),IF(J590&gt;L590,"boven UCL",IF(J590&lt;K590,"onder LCL","")),"")</f>
        <v/>
      </c>
      <c r="O590" t="n">
        <v>484</v>
      </c>
      <c r="P590" s="7" t="n"/>
      <c r="Q590" s="7" t="n"/>
      <c r="R590" s="11">
        <f>IF(AND(ISNUMBER(P590),ISNUMBER(Q590),P590&gt;0,ISNUMBER($B$100)),Q590/P590,"")</f>
        <v/>
      </c>
      <c r="S590" s="11">
        <f>IF(AND(ISNUMBER(P590),ISNUMBER(Q590),P590&gt;0,ISNUMBER($B$100)),MAX(0,$B$100-3*SQRT($B$100/P590)),"")</f>
        <v/>
      </c>
      <c r="T590" s="11">
        <f>IF(AND(ISNUMBER(P590),ISNUMBER(Q590),P590&gt;0,ISNUMBER($B$100)),$B$100+3*SQRT($B$100/P590),"")</f>
        <v/>
      </c>
      <c r="U590" s="13">
        <f>IF(AND(ISNUMBER(R590),ISNUMBER(S590),ISNUMBER(T590)),IF(R590&gt;T590,"boven UCL",IF(R590&lt;S590,"onder LCL","")),"")</f>
        <v/>
      </c>
    </row>
    <row r="591">
      <c r="A591" t="n">
        <v>485</v>
      </c>
      <c r="B591" s="7" t="n"/>
      <c r="C591" s="11">
        <f>IF(AND(ISNUMBER(B591),ISNUMBER(B590)),ABS(B591-B590),"")</f>
        <v/>
      </c>
      <c r="D591" s="13">
        <f>IF(AND(ISNUMBER(B591),ISNUMBER($B$88),ISNUMBER($D$88)),IF(B591&gt;$D$88,"boven UCL",IF(B591&lt;$B$88,"onder LCL","")),"")</f>
        <v/>
      </c>
      <c r="E591" s="13">
        <f>IF(AND(ISNUMBER(C591),ISNUMBER($B$89),ISNUMBER($D$89)),IF(C591&gt;$D$89,"boven UCL",IF(C591&lt;$B$89,"onder LCL","")),"")</f>
        <v/>
      </c>
      <c r="G591" t="n">
        <v>485</v>
      </c>
      <c r="H591" s="7" t="n"/>
      <c r="I591" s="7" t="n"/>
      <c r="J591" s="11">
        <f>IF(AND(ISNUMBER(H591),ISNUMBER(I591),H591&gt;0,ISNUMBER($B$94)),I591/H591,"")</f>
        <v/>
      </c>
      <c r="K591" s="11">
        <f>IF(AND(ISNUMBER(H591),ISNUMBER(I591),H591&gt;0,ISNUMBER($B$94)),MAX(0,$B$94-3*SQRT($B$94*(1-$B$94)/H591)),"")</f>
        <v/>
      </c>
      <c r="L591" s="11">
        <f>IF(AND(ISNUMBER(H591),ISNUMBER(I591),H591&gt;0,ISNUMBER($B$94)),$B$94+3*SQRT($B$94*(1-$B$94)/H591),"")</f>
        <v/>
      </c>
      <c r="M591" s="13">
        <f>IF(AND(ISNUMBER(J591),ISNUMBER(K591),ISNUMBER(L591)),IF(J591&gt;L591,"boven UCL",IF(J591&lt;K591,"onder LCL","")),"")</f>
        <v/>
      </c>
      <c r="O591" t="n">
        <v>485</v>
      </c>
      <c r="P591" s="7" t="n"/>
      <c r="Q591" s="7" t="n"/>
      <c r="R591" s="11">
        <f>IF(AND(ISNUMBER(P591),ISNUMBER(Q591),P591&gt;0,ISNUMBER($B$100)),Q591/P591,"")</f>
        <v/>
      </c>
      <c r="S591" s="11">
        <f>IF(AND(ISNUMBER(P591),ISNUMBER(Q591),P591&gt;0,ISNUMBER($B$100)),MAX(0,$B$100-3*SQRT($B$100/P591)),"")</f>
        <v/>
      </c>
      <c r="T591" s="11">
        <f>IF(AND(ISNUMBER(P591),ISNUMBER(Q591),P591&gt;0,ISNUMBER($B$100)),$B$100+3*SQRT($B$100/P591),"")</f>
        <v/>
      </c>
      <c r="U591" s="13">
        <f>IF(AND(ISNUMBER(R591),ISNUMBER(S591),ISNUMBER(T591)),IF(R591&gt;T591,"boven UCL",IF(R591&lt;S591,"onder LCL","")),"")</f>
        <v/>
      </c>
    </row>
    <row r="592">
      <c r="A592" t="n">
        <v>486</v>
      </c>
      <c r="B592" s="7" t="n"/>
      <c r="C592" s="11">
        <f>IF(AND(ISNUMBER(B592),ISNUMBER(B591)),ABS(B592-B591),"")</f>
        <v/>
      </c>
      <c r="D592" s="13">
        <f>IF(AND(ISNUMBER(B592),ISNUMBER($B$88),ISNUMBER($D$88)),IF(B592&gt;$D$88,"boven UCL",IF(B592&lt;$B$88,"onder LCL","")),"")</f>
        <v/>
      </c>
      <c r="E592" s="13">
        <f>IF(AND(ISNUMBER(C592),ISNUMBER($B$89),ISNUMBER($D$89)),IF(C592&gt;$D$89,"boven UCL",IF(C592&lt;$B$89,"onder LCL","")),"")</f>
        <v/>
      </c>
      <c r="G592" t="n">
        <v>486</v>
      </c>
      <c r="H592" s="7" t="n"/>
      <c r="I592" s="7" t="n"/>
      <c r="J592" s="11">
        <f>IF(AND(ISNUMBER(H592),ISNUMBER(I592),H592&gt;0,ISNUMBER($B$94)),I592/H592,"")</f>
        <v/>
      </c>
      <c r="K592" s="11">
        <f>IF(AND(ISNUMBER(H592),ISNUMBER(I592),H592&gt;0,ISNUMBER($B$94)),MAX(0,$B$94-3*SQRT($B$94*(1-$B$94)/H592)),"")</f>
        <v/>
      </c>
      <c r="L592" s="11">
        <f>IF(AND(ISNUMBER(H592),ISNUMBER(I592),H592&gt;0,ISNUMBER($B$94)),$B$94+3*SQRT($B$94*(1-$B$94)/H592),"")</f>
        <v/>
      </c>
      <c r="M592" s="13">
        <f>IF(AND(ISNUMBER(J592),ISNUMBER(K592),ISNUMBER(L592)),IF(J592&gt;L592,"boven UCL",IF(J592&lt;K592,"onder LCL","")),"")</f>
        <v/>
      </c>
      <c r="O592" t="n">
        <v>486</v>
      </c>
      <c r="P592" s="7" t="n"/>
      <c r="Q592" s="7" t="n"/>
      <c r="R592" s="11">
        <f>IF(AND(ISNUMBER(P592),ISNUMBER(Q592),P592&gt;0,ISNUMBER($B$100)),Q592/P592,"")</f>
        <v/>
      </c>
      <c r="S592" s="11">
        <f>IF(AND(ISNUMBER(P592),ISNUMBER(Q592),P592&gt;0,ISNUMBER($B$100)),MAX(0,$B$100-3*SQRT($B$100/P592)),"")</f>
        <v/>
      </c>
      <c r="T592" s="11">
        <f>IF(AND(ISNUMBER(P592),ISNUMBER(Q592),P592&gt;0,ISNUMBER($B$100)),$B$100+3*SQRT($B$100/P592),"")</f>
        <v/>
      </c>
      <c r="U592" s="13">
        <f>IF(AND(ISNUMBER(R592),ISNUMBER(S592),ISNUMBER(T592)),IF(R592&gt;T592,"boven UCL",IF(R592&lt;S592,"onder LCL","")),"")</f>
        <v/>
      </c>
    </row>
    <row r="593">
      <c r="A593" t="n">
        <v>487</v>
      </c>
      <c r="B593" s="7" t="n"/>
      <c r="C593" s="11">
        <f>IF(AND(ISNUMBER(B593),ISNUMBER(B592)),ABS(B593-B592),"")</f>
        <v/>
      </c>
      <c r="D593" s="13">
        <f>IF(AND(ISNUMBER(B593),ISNUMBER($B$88),ISNUMBER($D$88)),IF(B593&gt;$D$88,"boven UCL",IF(B593&lt;$B$88,"onder LCL","")),"")</f>
        <v/>
      </c>
      <c r="E593" s="13">
        <f>IF(AND(ISNUMBER(C593),ISNUMBER($B$89),ISNUMBER($D$89)),IF(C593&gt;$D$89,"boven UCL",IF(C593&lt;$B$89,"onder LCL","")),"")</f>
        <v/>
      </c>
      <c r="G593" t="n">
        <v>487</v>
      </c>
      <c r="H593" s="7" t="n"/>
      <c r="I593" s="7" t="n"/>
      <c r="J593" s="11">
        <f>IF(AND(ISNUMBER(H593),ISNUMBER(I593),H593&gt;0,ISNUMBER($B$94)),I593/H593,"")</f>
        <v/>
      </c>
      <c r="K593" s="11">
        <f>IF(AND(ISNUMBER(H593),ISNUMBER(I593),H593&gt;0,ISNUMBER($B$94)),MAX(0,$B$94-3*SQRT($B$94*(1-$B$94)/H593)),"")</f>
        <v/>
      </c>
      <c r="L593" s="11">
        <f>IF(AND(ISNUMBER(H593),ISNUMBER(I593),H593&gt;0,ISNUMBER($B$94)),$B$94+3*SQRT($B$94*(1-$B$94)/H593),"")</f>
        <v/>
      </c>
      <c r="M593" s="13">
        <f>IF(AND(ISNUMBER(J593),ISNUMBER(K593),ISNUMBER(L593)),IF(J593&gt;L593,"boven UCL",IF(J593&lt;K593,"onder LCL","")),"")</f>
        <v/>
      </c>
      <c r="O593" t="n">
        <v>487</v>
      </c>
      <c r="P593" s="7" t="n"/>
      <c r="Q593" s="7" t="n"/>
      <c r="R593" s="11">
        <f>IF(AND(ISNUMBER(P593),ISNUMBER(Q593),P593&gt;0,ISNUMBER($B$100)),Q593/P593,"")</f>
        <v/>
      </c>
      <c r="S593" s="11">
        <f>IF(AND(ISNUMBER(P593),ISNUMBER(Q593),P593&gt;0,ISNUMBER($B$100)),MAX(0,$B$100-3*SQRT($B$100/P593)),"")</f>
        <v/>
      </c>
      <c r="T593" s="11">
        <f>IF(AND(ISNUMBER(P593),ISNUMBER(Q593),P593&gt;0,ISNUMBER($B$100)),$B$100+3*SQRT($B$100/P593),"")</f>
        <v/>
      </c>
      <c r="U593" s="13">
        <f>IF(AND(ISNUMBER(R593),ISNUMBER(S593),ISNUMBER(T593)),IF(R593&gt;T593,"boven UCL",IF(R593&lt;S593,"onder LCL","")),"")</f>
        <v/>
      </c>
    </row>
    <row r="594">
      <c r="A594" t="n">
        <v>488</v>
      </c>
      <c r="B594" s="7" t="n"/>
      <c r="C594" s="11">
        <f>IF(AND(ISNUMBER(B594),ISNUMBER(B593)),ABS(B594-B593),"")</f>
        <v/>
      </c>
      <c r="D594" s="13">
        <f>IF(AND(ISNUMBER(B594),ISNUMBER($B$88),ISNUMBER($D$88)),IF(B594&gt;$D$88,"boven UCL",IF(B594&lt;$B$88,"onder LCL","")),"")</f>
        <v/>
      </c>
      <c r="E594" s="13">
        <f>IF(AND(ISNUMBER(C594),ISNUMBER($B$89),ISNUMBER($D$89)),IF(C594&gt;$D$89,"boven UCL",IF(C594&lt;$B$89,"onder LCL","")),"")</f>
        <v/>
      </c>
      <c r="G594" t="n">
        <v>488</v>
      </c>
      <c r="H594" s="7" t="n"/>
      <c r="I594" s="7" t="n"/>
      <c r="J594" s="11">
        <f>IF(AND(ISNUMBER(H594),ISNUMBER(I594),H594&gt;0,ISNUMBER($B$94)),I594/H594,"")</f>
        <v/>
      </c>
      <c r="K594" s="11">
        <f>IF(AND(ISNUMBER(H594),ISNUMBER(I594),H594&gt;0,ISNUMBER($B$94)),MAX(0,$B$94-3*SQRT($B$94*(1-$B$94)/H594)),"")</f>
        <v/>
      </c>
      <c r="L594" s="11">
        <f>IF(AND(ISNUMBER(H594),ISNUMBER(I594),H594&gt;0,ISNUMBER($B$94)),$B$94+3*SQRT($B$94*(1-$B$94)/H594),"")</f>
        <v/>
      </c>
      <c r="M594" s="13">
        <f>IF(AND(ISNUMBER(J594),ISNUMBER(K594),ISNUMBER(L594)),IF(J594&gt;L594,"boven UCL",IF(J594&lt;K594,"onder LCL","")),"")</f>
        <v/>
      </c>
      <c r="O594" t="n">
        <v>488</v>
      </c>
      <c r="P594" s="7" t="n"/>
      <c r="Q594" s="7" t="n"/>
      <c r="R594" s="11">
        <f>IF(AND(ISNUMBER(P594),ISNUMBER(Q594),P594&gt;0,ISNUMBER($B$100)),Q594/P594,"")</f>
        <v/>
      </c>
      <c r="S594" s="11">
        <f>IF(AND(ISNUMBER(P594),ISNUMBER(Q594),P594&gt;0,ISNUMBER($B$100)),MAX(0,$B$100-3*SQRT($B$100/P594)),"")</f>
        <v/>
      </c>
      <c r="T594" s="11">
        <f>IF(AND(ISNUMBER(P594),ISNUMBER(Q594),P594&gt;0,ISNUMBER($B$100)),$B$100+3*SQRT($B$100/P594),"")</f>
        <v/>
      </c>
      <c r="U594" s="13">
        <f>IF(AND(ISNUMBER(R594),ISNUMBER(S594),ISNUMBER(T594)),IF(R594&gt;T594,"boven UCL",IF(R594&lt;S594,"onder LCL","")),"")</f>
        <v/>
      </c>
    </row>
    <row r="595">
      <c r="A595" t="n">
        <v>489</v>
      </c>
      <c r="B595" s="7" t="n"/>
      <c r="C595" s="11">
        <f>IF(AND(ISNUMBER(B595),ISNUMBER(B594)),ABS(B595-B594),"")</f>
        <v/>
      </c>
      <c r="D595" s="13">
        <f>IF(AND(ISNUMBER(B595),ISNUMBER($B$88),ISNUMBER($D$88)),IF(B595&gt;$D$88,"boven UCL",IF(B595&lt;$B$88,"onder LCL","")),"")</f>
        <v/>
      </c>
      <c r="E595" s="13">
        <f>IF(AND(ISNUMBER(C595),ISNUMBER($B$89),ISNUMBER($D$89)),IF(C595&gt;$D$89,"boven UCL",IF(C595&lt;$B$89,"onder LCL","")),"")</f>
        <v/>
      </c>
      <c r="G595" t="n">
        <v>489</v>
      </c>
      <c r="H595" s="7" t="n"/>
      <c r="I595" s="7" t="n"/>
      <c r="J595" s="11">
        <f>IF(AND(ISNUMBER(H595),ISNUMBER(I595),H595&gt;0,ISNUMBER($B$94)),I595/H595,"")</f>
        <v/>
      </c>
      <c r="K595" s="11">
        <f>IF(AND(ISNUMBER(H595),ISNUMBER(I595),H595&gt;0,ISNUMBER($B$94)),MAX(0,$B$94-3*SQRT($B$94*(1-$B$94)/H595)),"")</f>
        <v/>
      </c>
      <c r="L595" s="11">
        <f>IF(AND(ISNUMBER(H595),ISNUMBER(I595),H595&gt;0,ISNUMBER($B$94)),$B$94+3*SQRT($B$94*(1-$B$94)/H595),"")</f>
        <v/>
      </c>
      <c r="M595" s="13">
        <f>IF(AND(ISNUMBER(J595),ISNUMBER(K595),ISNUMBER(L595)),IF(J595&gt;L595,"boven UCL",IF(J595&lt;K595,"onder LCL","")),"")</f>
        <v/>
      </c>
      <c r="O595" t="n">
        <v>489</v>
      </c>
      <c r="P595" s="7" t="n"/>
      <c r="Q595" s="7" t="n"/>
      <c r="R595" s="11">
        <f>IF(AND(ISNUMBER(P595),ISNUMBER(Q595),P595&gt;0,ISNUMBER($B$100)),Q595/P595,"")</f>
        <v/>
      </c>
      <c r="S595" s="11">
        <f>IF(AND(ISNUMBER(P595),ISNUMBER(Q595),P595&gt;0,ISNUMBER($B$100)),MAX(0,$B$100-3*SQRT($B$100/P595)),"")</f>
        <v/>
      </c>
      <c r="T595" s="11">
        <f>IF(AND(ISNUMBER(P595),ISNUMBER(Q595),P595&gt;0,ISNUMBER($B$100)),$B$100+3*SQRT($B$100/P595),"")</f>
        <v/>
      </c>
      <c r="U595" s="13">
        <f>IF(AND(ISNUMBER(R595),ISNUMBER(S595),ISNUMBER(T595)),IF(R595&gt;T595,"boven UCL",IF(R595&lt;S595,"onder LCL","")),"")</f>
        <v/>
      </c>
    </row>
    <row r="596">
      <c r="A596" t="n">
        <v>490</v>
      </c>
      <c r="B596" s="7" t="n"/>
      <c r="C596" s="11">
        <f>IF(AND(ISNUMBER(B596),ISNUMBER(B595)),ABS(B596-B595),"")</f>
        <v/>
      </c>
      <c r="D596" s="13">
        <f>IF(AND(ISNUMBER(B596),ISNUMBER($B$88),ISNUMBER($D$88)),IF(B596&gt;$D$88,"boven UCL",IF(B596&lt;$B$88,"onder LCL","")),"")</f>
        <v/>
      </c>
      <c r="E596" s="13">
        <f>IF(AND(ISNUMBER(C596),ISNUMBER($B$89),ISNUMBER($D$89)),IF(C596&gt;$D$89,"boven UCL",IF(C596&lt;$B$89,"onder LCL","")),"")</f>
        <v/>
      </c>
      <c r="G596" t="n">
        <v>490</v>
      </c>
      <c r="H596" s="7" t="n"/>
      <c r="I596" s="7" t="n"/>
      <c r="J596" s="11">
        <f>IF(AND(ISNUMBER(H596),ISNUMBER(I596),H596&gt;0,ISNUMBER($B$94)),I596/H596,"")</f>
        <v/>
      </c>
      <c r="K596" s="11">
        <f>IF(AND(ISNUMBER(H596),ISNUMBER(I596),H596&gt;0,ISNUMBER($B$94)),MAX(0,$B$94-3*SQRT($B$94*(1-$B$94)/H596)),"")</f>
        <v/>
      </c>
      <c r="L596" s="11">
        <f>IF(AND(ISNUMBER(H596),ISNUMBER(I596),H596&gt;0,ISNUMBER($B$94)),$B$94+3*SQRT($B$94*(1-$B$94)/H596),"")</f>
        <v/>
      </c>
      <c r="M596" s="13">
        <f>IF(AND(ISNUMBER(J596),ISNUMBER(K596),ISNUMBER(L596)),IF(J596&gt;L596,"boven UCL",IF(J596&lt;K596,"onder LCL","")),"")</f>
        <v/>
      </c>
      <c r="O596" t="n">
        <v>490</v>
      </c>
      <c r="P596" s="7" t="n"/>
      <c r="Q596" s="7" t="n"/>
      <c r="R596" s="11">
        <f>IF(AND(ISNUMBER(P596),ISNUMBER(Q596),P596&gt;0,ISNUMBER($B$100)),Q596/P596,"")</f>
        <v/>
      </c>
      <c r="S596" s="11">
        <f>IF(AND(ISNUMBER(P596),ISNUMBER(Q596),P596&gt;0,ISNUMBER($B$100)),MAX(0,$B$100-3*SQRT($B$100/P596)),"")</f>
        <v/>
      </c>
      <c r="T596" s="11">
        <f>IF(AND(ISNUMBER(P596),ISNUMBER(Q596),P596&gt;0,ISNUMBER($B$100)),$B$100+3*SQRT($B$100/P596),"")</f>
        <v/>
      </c>
      <c r="U596" s="13">
        <f>IF(AND(ISNUMBER(R596),ISNUMBER(S596),ISNUMBER(T596)),IF(R596&gt;T596,"boven UCL",IF(R596&lt;S596,"onder LCL","")),"")</f>
        <v/>
      </c>
    </row>
    <row r="597">
      <c r="A597" t="n">
        <v>491</v>
      </c>
      <c r="B597" s="7" t="n"/>
      <c r="C597" s="11">
        <f>IF(AND(ISNUMBER(B597),ISNUMBER(B596)),ABS(B597-B596),"")</f>
        <v/>
      </c>
      <c r="D597" s="13">
        <f>IF(AND(ISNUMBER(B597),ISNUMBER($B$88),ISNUMBER($D$88)),IF(B597&gt;$D$88,"boven UCL",IF(B597&lt;$B$88,"onder LCL","")),"")</f>
        <v/>
      </c>
      <c r="E597" s="13">
        <f>IF(AND(ISNUMBER(C597),ISNUMBER($B$89),ISNUMBER($D$89)),IF(C597&gt;$D$89,"boven UCL",IF(C597&lt;$B$89,"onder LCL","")),"")</f>
        <v/>
      </c>
      <c r="G597" t="n">
        <v>491</v>
      </c>
      <c r="H597" s="7" t="n"/>
      <c r="I597" s="7" t="n"/>
      <c r="J597" s="11">
        <f>IF(AND(ISNUMBER(H597),ISNUMBER(I597),H597&gt;0,ISNUMBER($B$94)),I597/H597,"")</f>
        <v/>
      </c>
      <c r="K597" s="11">
        <f>IF(AND(ISNUMBER(H597),ISNUMBER(I597),H597&gt;0,ISNUMBER($B$94)),MAX(0,$B$94-3*SQRT($B$94*(1-$B$94)/H597)),"")</f>
        <v/>
      </c>
      <c r="L597" s="11">
        <f>IF(AND(ISNUMBER(H597),ISNUMBER(I597),H597&gt;0,ISNUMBER($B$94)),$B$94+3*SQRT($B$94*(1-$B$94)/H597),"")</f>
        <v/>
      </c>
      <c r="M597" s="13">
        <f>IF(AND(ISNUMBER(J597),ISNUMBER(K597),ISNUMBER(L597)),IF(J597&gt;L597,"boven UCL",IF(J597&lt;K597,"onder LCL","")),"")</f>
        <v/>
      </c>
      <c r="O597" t="n">
        <v>491</v>
      </c>
      <c r="P597" s="7" t="n"/>
      <c r="Q597" s="7" t="n"/>
      <c r="R597" s="11">
        <f>IF(AND(ISNUMBER(P597),ISNUMBER(Q597),P597&gt;0,ISNUMBER($B$100)),Q597/P597,"")</f>
        <v/>
      </c>
      <c r="S597" s="11">
        <f>IF(AND(ISNUMBER(P597),ISNUMBER(Q597),P597&gt;0,ISNUMBER($B$100)),MAX(0,$B$100-3*SQRT($B$100/P597)),"")</f>
        <v/>
      </c>
      <c r="T597" s="11">
        <f>IF(AND(ISNUMBER(P597),ISNUMBER(Q597),P597&gt;0,ISNUMBER($B$100)),$B$100+3*SQRT($B$100/P597),"")</f>
        <v/>
      </c>
      <c r="U597" s="13">
        <f>IF(AND(ISNUMBER(R597),ISNUMBER(S597),ISNUMBER(T597)),IF(R597&gt;T597,"boven UCL",IF(R597&lt;S597,"onder LCL","")),"")</f>
        <v/>
      </c>
    </row>
    <row r="598">
      <c r="A598" t="n">
        <v>492</v>
      </c>
      <c r="B598" s="7" t="n"/>
      <c r="C598" s="11">
        <f>IF(AND(ISNUMBER(B598),ISNUMBER(B597)),ABS(B598-B597),"")</f>
        <v/>
      </c>
      <c r="D598" s="13">
        <f>IF(AND(ISNUMBER(B598),ISNUMBER($B$88),ISNUMBER($D$88)),IF(B598&gt;$D$88,"boven UCL",IF(B598&lt;$B$88,"onder LCL","")),"")</f>
        <v/>
      </c>
      <c r="E598" s="13">
        <f>IF(AND(ISNUMBER(C598),ISNUMBER($B$89),ISNUMBER($D$89)),IF(C598&gt;$D$89,"boven UCL",IF(C598&lt;$B$89,"onder LCL","")),"")</f>
        <v/>
      </c>
      <c r="G598" t="n">
        <v>492</v>
      </c>
      <c r="H598" s="7" t="n"/>
      <c r="I598" s="7" t="n"/>
      <c r="J598" s="11">
        <f>IF(AND(ISNUMBER(H598),ISNUMBER(I598),H598&gt;0,ISNUMBER($B$94)),I598/H598,"")</f>
        <v/>
      </c>
      <c r="K598" s="11">
        <f>IF(AND(ISNUMBER(H598),ISNUMBER(I598),H598&gt;0,ISNUMBER($B$94)),MAX(0,$B$94-3*SQRT($B$94*(1-$B$94)/H598)),"")</f>
        <v/>
      </c>
      <c r="L598" s="11">
        <f>IF(AND(ISNUMBER(H598),ISNUMBER(I598),H598&gt;0,ISNUMBER($B$94)),$B$94+3*SQRT($B$94*(1-$B$94)/H598),"")</f>
        <v/>
      </c>
      <c r="M598" s="13">
        <f>IF(AND(ISNUMBER(J598),ISNUMBER(K598),ISNUMBER(L598)),IF(J598&gt;L598,"boven UCL",IF(J598&lt;K598,"onder LCL","")),"")</f>
        <v/>
      </c>
      <c r="O598" t="n">
        <v>492</v>
      </c>
      <c r="P598" s="7" t="n"/>
      <c r="Q598" s="7" t="n"/>
      <c r="R598" s="11">
        <f>IF(AND(ISNUMBER(P598),ISNUMBER(Q598),P598&gt;0,ISNUMBER($B$100)),Q598/P598,"")</f>
        <v/>
      </c>
      <c r="S598" s="11">
        <f>IF(AND(ISNUMBER(P598),ISNUMBER(Q598),P598&gt;0,ISNUMBER($B$100)),MAX(0,$B$100-3*SQRT($B$100/P598)),"")</f>
        <v/>
      </c>
      <c r="T598" s="11">
        <f>IF(AND(ISNUMBER(P598),ISNUMBER(Q598),P598&gt;0,ISNUMBER($B$100)),$B$100+3*SQRT($B$100/P598),"")</f>
        <v/>
      </c>
      <c r="U598" s="13">
        <f>IF(AND(ISNUMBER(R598),ISNUMBER(S598),ISNUMBER(T598)),IF(R598&gt;T598,"boven UCL",IF(R598&lt;S598,"onder LCL","")),"")</f>
        <v/>
      </c>
    </row>
    <row r="599">
      <c r="A599" t="n">
        <v>493</v>
      </c>
      <c r="B599" s="7" t="n"/>
      <c r="C599" s="11">
        <f>IF(AND(ISNUMBER(B599),ISNUMBER(B598)),ABS(B599-B598),"")</f>
        <v/>
      </c>
      <c r="D599" s="13">
        <f>IF(AND(ISNUMBER(B599),ISNUMBER($B$88),ISNUMBER($D$88)),IF(B599&gt;$D$88,"boven UCL",IF(B599&lt;$B$88,"onder LCL","")),"")</f>
        <v/>
      </c>
      <c r="E599" s="13">
        <f>IF(AND(ISNUMBER(C599),ISNUMBER($B$89),ISNUMBER($D$89)),IF(C599&gt;$D$89,"boven UCL",IF(C599&lt;$B$89,"onder LCL","")),"")</f>
        <v/>
      </c>
      <c r="G599" t="n">
        <v>493</v>
      </c>
      <c r="H599" s="7" t="n"/>
      <c r="I599" s="7" t="n"/>
      <c r="J599" s="11">
        <f>IF(AND(ISNUMBER(H599),ISNUMBER(I599),H599&gt;0,ISNUMBER($B$94)),I599/H599,"")</f>
        <v/>
      </c>
      <c r="K599" s="11">
        <f>IF(AND(ISNUMBER(H599),ISNUMBER(I599),H599&gt;0,ISNUMBER($B$94)),MAX(0,$B$94-3*SQRT($B$94*(1-$B$94)/H599)),"")</f>
        <v/>
      </c>
      <c r="L599" s="11">
        <f>IF(AND(ISNUMBER(H599),ISNUMBER(I599),H599&gt;0,ISNUMBER($B$94)),$B$94+3*SQRT($B$94*(1-$B$94)/H599),"")</f>
        <v/>
      </c>
      <c r="M599" s="13">
        <f>IF(AND(ISNUMBER(J599),ISNUMBER(K599),ISNUMBER(L599)),IF(J599&gt;L599,"boven UCL",IF(J599&lt;K599,"onder LCL","")),"")</f>
        <v/>
      </c>
      <c r="O599" t="n">
        <v>493</v>
      </c>
      <c r="P599" s="7" t="n"/>
      <c r="Q599" s="7" t="n"/>
      <c r="R599" s="11">
        <f>IF(AND(ISNUMBER(P599),ISNUMBER(Q599),P599&gt;0,ISNUMBER($B$100)),Q599/P599,"")</f>
        <v/>
      </c>
      <c r="S599" s="11">
        <f>IF(AND(ISNUMBER(P599),ISNUMBER(Q599),P599&gt;0,ISNUMBER($B$100)),MAX(0,$B$100-3*SQRT($B$100/P599)),"")</f>
        <v/>
      </c>
      <c r="T599" s="11">
        <f>IF(AND(ISNUMBER(P599),ISNUMBER(Q599),P599&gt;0,ISNUMBER($B$100)),$B$100+3*SQRT($B$100/P599),"")</f>
        <v/>
      </c>
      <c r="U599" s="13">
        <f>IF(AND(ISNUMBER(R599),ISNUMBER(S599),ISNUMBER(T599)),IF(R599&gt;T599,"boven UCL",IF(R599&lt;S599,"onder LCL","")),"")</f>
        <v/>
      </c>
    </row>
    <row r="600">
      <c r="A600" t="n">
        <v>494</v>
      </c>
      <c r="B600" s="7" t="n"/>
      <c r="C600" s="11">
        <f>IF(AND(ISNUMBER(B600),ISNUMBER(B599)),ABS(B600-B599),"")</f>
        <v/>
      </c>
      <c r="D600" s="13">
        <f>IF(AND(ISNUMBER(B600),ISNUMBER($B$88),ISNUMBER($D$88)),IF(B600&gt;$D$88,"boven UCL",IF(B600&lt;$B$88,"onder LCL","")),"")</f>
        <v/>
      </c>
      <c r="E600" s="13">
        <f>IF(AND(ISNUMBER(C600),ISNUMBER($B$89),ISNUMBER($D$89)),IF(C600&gt;$D$89,"boven UCL",IF(C600&lt;$B$89,"onder LCL","")),"")</f>
        <v/>
      </c>
      <c r="G600" t="n">
        <v>494</v>
      </c>
      <c r="H600" s="7" t="n"/>
      <c r="I600" s="7" t="n"/>
      <c r="J600" s="11">
        <f>IF(AND(ISNUMBER(H600),ISNUMBER(I600),H600&gt;0,ISNUMBER($B$94)),I600/H600,"")</f>
        <v/>
      </c>
      <c r="K600" s="11">
        <f>IF(AND(ISNUMBER(H600),ISNUMBER(I600),H600&gt;0,ISNUMBER($B$94)),MAX(0,$B$94-3*SQRT($B$94*(1-$B$94)/H600)),"")</f>
        <v/>
      </c>
      <c r="L600" s="11">
        <f>IF(AND(ISNUMBER(H600),ISNUMBER(I600),H600&gt;0,ISNUMBER($B$94)),$B$94+3*SQRT($B$94*(1-$B$94)/H600),"")</f>
        <v/>
      </c>
      <c r="M600" s="13">
        <f>IF(AND(ISNUMBER(J600),ISNUMBER(K600),ISNUMBER(L600)),IF(J600&gt;L600,"boven UCL",IF(J600&lt;K600,"onder LCL","")),"")</f>
        <v/>
      </c>
      <c r="O600" t="n">
        <v>494</v>
      </c>
      <c r="P600" s="7" t="n"/>
      <c r="Q600" s="7" t="n"/>
      <c r="R600" s="11">
        <f>IF(AND(ISNUMBER(P600),ISNUMBER(Q600),P600&gt;0,ISNUMBER($B$100)),Q600/P600,"")</f>
        <v/>
      </c>
      <c r="S600" s="11">
        <f>IF(AND(ISNUMBER(P600),ISNUMBER(Q600),P600&gt;0,ISNUMBER($B$100)),MAX(0,$B$100-3*SQRT($B$100/P600)),"")</f>
        <v/>
      </c>
      <c r="T600" s="11">
        <f>IF(AND(ISNUMBER(P600),ISNUMBER(Q600),P600&gt;0,ISNUMBER($B$100)),$B$100+3*SQRT($B$100/P600),"")</f>
        <v/>
      </c>
      <c r="U600" s="13">
        <f>IF(AND(ISNUMBER(R600),ISNUMBER(S600),ISNUMBER(T600)),IF(R600&gt;T600,"boven UCL",IF(R600&lt;S600,"onder LCL","")),"")</f>
        <v/>
      </c>
    </row>
    <row r="601">
      <c r="A601" t="n">
        <v>495</v>
      </c>
      <c r="B601" s="7" t="n"/>
      <c r="C601" s="11">
        <f>IF(AND(ISNUMBER(B601),ISNUMBER(B600)),ABS(B601-B600),"")</f>
        <v/>
      </c>
      <c r="D601" s="13">
        <f>IF(AND(ISNUMBER(B601),ISNUMBER($B$88),ISNUMBER($D$88)),IF(B601&gt;$D$88,"boven UCL",IF(B601&lt;$B$88,"onder LCL","")),"")</f>
        <v/>
      </c>
      <c r="E601" s="13">
        <f>IF(AND(ISNUMBER(C601),ISNUMBER($B$89),ISNUMBER($D$89)),IF(C601&gt;$D$89,"boven UCL",IF(C601&lt;$B$89,"onder LCL","")),"")</f>
        <v/>
      </c>
      <c r="G601" t="n">
        <v>495</v>
      </c>
      <c r="H601" s="7" t="n"/>
      <c r="I601" s="7" t="n"/>
      <c r="J601" s="11">
        <f>IF(AND(ISNUMBER(H601),ISNUMBER(I601),H601&gt;0,ISNUMBER($B$94)),I601/H601,"")</f>
        <v/>
      </c>
      <c r="K601" s="11">
        <f>IF(AND(ISNUMBER(H601),ISNUMBER(I601),H601&gt;0,ISNUMBER($B$94)),MAX(0,$B$94-3*SQRT($B$94*(1-$B$94)/H601)),"")</f>
        <v/>
      </c>
      <c r="L601" s="11">
        <f>IF(AND(ISNUMBER(H601),ISNUMBER(I601),H601&gt;0,ISNUMBER($B$94)),$B$94+3*SQRT($B$94*(1-$B$94)/H601),"")</f>
        <v/>
      </c>
      <c r="M601" s="13">
        <f>IF(AND(ISNUMBER(J601),ISNUMBER(K601),ISNUMBER(L601)),IF(J601&gt;L601,"boven UCL",IF(J601&lt;K601,"onder LCL","")),"")</f>
        <v/>
      </c>
      <c r="O601" t="n">
        <v>495</v>
      </c>
      <c r="P601" s="7" t="n"/>
      <c r="Q601" s="7" t="n"/>
      <c r="R601" s="11">
        <f>IF(AND(ISNUMBER(P601),ISNUMBER(Q601),P601&gt;0,ISNUMBER($B$100)),Q601/P601,"")</f>
        <v/>
      </c>
      <c r="S601" s="11">
        <f>IF(AND(ISNUMBER(P601),ISNUMBER(Q601),P601&gt;0,ISNUMBER($B$100)),MAX(0,$B$100-3*SQRT($B$100/P601)),"")</f>
        <v/>
      </c>
      <c r="T601" s="11">
        <f>IF(AND(ISNUMBER(P601),ISNUMBER(Q601),P601&gt;0,ISNUMBER($B$100)),$B$100+3*SQRT($B$100/P601),"")</f>
        <v/>
      </c>
      <c r="U601" s="13">
        <f>IF(AND(ISNUMBER(R601),ISNUMBER(S601),ISNUMBER(T601)),IF(R601&gt;T601,"boven UCL",IF(R601&lt;S601,"onder LCL","")),"")</f>
        <v/>
      </c>
    </row>
    <row r="602">
      <c r="A602" t="n">
        <v>496</v>
      </c>
      <c r="B602" s="7" t="n"/>
      <c r="C602" s="11">
        <f>IF(AND(ISNUMBER(B602),ISNUMBER(B601)),ABS(B602-B601),"")</f>
        <v/>
      </c>
      <c r="D602" s="13">
        <f>IF(AND(ISNUMBER(B602),ISNUMBER($B$88),ISNUMBER($D$88)),IF(B602&gt;$D$88,"boven UCL",IF(B602&lt;$B$88,"onder LCL","")),"")</f>
        <v/>
      </c>
      <c r="E602" s="13">
        <f>IF(AND(ISNUMBER(C602),ISNUMBER($B$89),ISNUMBER($D$89)),IF(C602&gt;$D$89,"boven UCL",IF(C602&lt;$B$89,"onder LCL","")),"")</f>
        <v/>
      </c>
      <c r="G602" t="n">
        <v>496</v>
      </c>
      <c r="H602" s="7" t="n"/>
      <c r="I602" s="7" t="n"/>
      <c r="J602" s="11">
        <f>IF(AND(ISNUMBER(H602),ISNUMBER(I602),H602&gt;0,ISNUMBER($B$94)),I602/H602,"")</f>
        <v/>
      </c>
      <c r="K602" s="11">
        <f>IF(AND(ISNUMBER(H602),ISNUMBER(I602),H602&gt;0,ISNUMBER($B$94)),MAX(0,$B$94-3*SQRT($B$94*(1-$B$94)/H602)),"")</f>
        <v/>
      </c>
      <c r="L602" s="11">
        <f>IF(AND(ISNUMBER(H602),ISNUMBER(I602),H602&gt;0,ISNUMBER($B$94)),$B$94+3*SQRT($B$94*(1-$B$94)/H602),"")</f>
        <v/>
      </c>
      <c r="M602" s="13">
        <f>IF(AND(ISNUMBER(J602),ISNUMBER(K602),ISNUMBER(L602)),IF(J602&gt;L602,"boven UCL",IF(J602&lt;K602,"onder LCL","")),"")</f>
        <v/>
      </c>
      <c r="O602" t="n">
        <v>496</v>
      </c>
      <c r="P602" s="7" t="n"/>
      <c r="Q602" s="7" t="n"/>
      <c r="R602" s="11">
        <f>IF(AND(ISNUMBER(P602),ISNUMBER(Q602),P602&gt;0,ISNUMBER($B$100)),Q602/P602,"")</f>
        <v/>
      </c>
      <c r="S602" s="11">
        <f>IF(AND(ISNUMBER(P602),ISNUMBER(Q602),P602&gt;0,ISNUMBER($B$100)),MAX(0,$B$100-3*SQRT($B$100/P602)),"")</f>
        <v/>
      </c>
      <c r="T602" s="11">
        <f>IF(AND(ISNUMBER(P602),ISNUMBER(Q602),P602&gt;0,ISNUMBER($B$100)),$B$100+3*SQRT($B$100/P602),"")</f>
        <v/>
      </c>
      <c r="U602" s="13">
        <f>IF(AND(ISNUMBER(R602),ISNUMBER(S602),ISNUMBER(T602)),IF(R602&gt;T602,"boven UCL",IF(R602&lt;S602,"onder LCL","")),"")</f>
        <v/>
      </c>
    </row>
    <row r="603">
      <c r="A603" t="n">
        <v>497</v>
      </c>
      <c r="B603" s="7" t="n"/>
      <c r="C603" s="11">
        <f>IF(AND(ISNUMBER(B603),ISNUMBER(B602)),ABS(B603-B602),"")</f>
        <v/>
      </c>
      <c r="D603" s="13">
        <f>IF(AND(ISNUMBER(B603),ISNUMBER($B$88),ISNUMBER($D$88)),IF(B603&gt;$D$88,"boven UCL",IF(B603&lt;$B$88,"onder LCL","")),"")</f>
        <v/>
      </c>
      <c r="E603" s="13">
        <f>IF(AND(ISNUMBER(C603),ISNUMBER($B$89),ISNUMBER($D$89)),IF(C603&gt;$D$89,"boven UCL",IF(C603&lt;$B$89,"onder LCL","")),"")</f>
        <v/>
      </c>
      <c r="G603" t="n">
        <v>497</v>
      </c>
      <c r="H603" s="7" t="n"/>
      <c r="I603" s="7" t="n"/>
      <c r="J603" s="11">
        <f>IF(AND(ISNUMBER(H603),ISNUMBER(I603),H603&gt;0,ISNUMBER($B$94)),I603/H603,"")</f>
        <v/>
      </c>
      <c r="K603" s="11">
        <f>IF(AND(ISNUMBER(H603),ISNUMBER(I603),H603&gt;0,ISNUMBER($B$94)),MAX(0,$B$94-3*SQRT($B$94*(1-$B$94)/H603)),"")</f>
        <v/>
      </c>
      <c r="L603" s="11">
        <f>IF(AND(ISNUMBER(H603),ISNUMBER(I603),H603&gt;0,ISNUMBER($B$94)),$B$94+3*SQRT($B$94*(1-$B$94)/H603),"")</f>
        <v/>
      </c>
      <c r="M603" s="13">
        <f>IF(AND(ISNUMBER(J603),ISNUMBER(K603),ISNUMBER(L603)),IF(J603&gt;L603,"boven UCL",IF(J603&lt;K603,"onder LCL","")),"")</f>
        <v/>
      </c>
      <c r="O603" t="n">
        <v>497</v>
      </c>
      <c r="P603" s="7" t="n"/>
      <c r="Q603" s="7" t="n"/>
      <c r="R603" s="11">
        <f>IF(AND(ISNUMBER(P603),ISNUMBER(Q603),P603&gt;0,ISNUMBER($B$100)),Q603/P603,"")</f>
        <v/>
      </c>
      <c r="S603" s="11">
        <f>IF(AND(ISNUMBER(P603),ISNUMBER(Q603),P603&gt;0,ISNUMBER($B$100)),MAX(0,$B$100-3*SQRT($B$100/P603)),"")</f>
        <v/>
      </c>
      <c r="T603" s="11">
        <f>IF(AND(ISNUMBER(P603),ISNUMBER(Q603),P603&gt;0,ISNUMBER($B$100)),$B$100+3*SQRT($B$100/P603),"")</f>
        <v/>
      </c>
      <c r="U603" s="13">
        <f>IF(AND(ISNUMBER(R603),ISNUMBER(S603),ISNUMBER(T603)),IF(R603&gt;T603,"boven UCL",IF(R603&lt;S603,"onder LCL","")),"")</f>
        <v/>
      </c>
    </row>
    <row r="604">
      <c r="A604" t="n">
        <v>498</v>
      </c>
      <c r="B604" s="7" t="n"/>
      <c r="C604" s="11">
        <f>IF(AND(ISNUMBER(B604),ISNUMBER(B603)),ABS(B604-B603),"")</f>
        <v/>
      </c>
      <c r="D604" s="13">
        <f>IF(AND(ISNUMBER(B604),ISNUMBER($B$88),ISNUMBER($D$88)),IF(B604&gt;$D$88,"boven UCL",IF(B604&lt;$B$88,"onder LCL","")),"")</f>
        <v/>
      </c>
      <c r="E604" s="13">
        <f>IF(AND(ISNUMBER(C604),ISNUMBER($B$89),ISNUMBER($D$89)),IF(C604&gt;$D$89,"boven UCL",IF(C604&lt;$B$89,"onder LCL","")),"")</f>
        <v/>
      </c>
      <c r="G604" t="n">
        <v>498</v>
      </c>
      <c r="H604" s="7" t="n"/>
      <c r="I604" s="7" t="n"/>
      <c r="J604" s="11">
        <f>IF(AND(ISNUMBER(H604),ISNUMBER(I604),H604&gt;0,ISNUMBER($B$94)),I604/H604,"")</f>
        <v/>
      </c>
      <c r="K604" s="11">
        <f>IF(AND(ISNUMBER(H604),ISNUMBER(I604),H604&gt;0,ISNUMBER($B$94)),MAX(0,$B$94-3*SQRT($B$94*(1-$B$94)/H604)),"")</f>
        <v/>
      </c>
      <c r="L604" s="11">
        <f>IF(AND(ISNUMBER(H604),ISNUMBER(I604),H604&gt;0,ISNUMBER($B$94)),$B$94+3*SQRT($B$94*(1-$B$94)/H604),"")</f>
        <v/>
      </c>
      <c r="M604" s="13">
        <f>IF(AND(ISNUMBER(J604),ISNUMBER(K604),ISNUMBER(L604)),IF(J604&gt;L604,"boven UCL",IF(J604&lt;K604,"onder LCL","")),"")</f>
        <v/>
      </c>
      <c r="O604" t="n">
        <v>498</v>
      </c>
      <c r="P604" s="7" t="n"/>
      <c r="Q604" s="7" t="n"/>
      <c r="R604" s="11">
        <f>IF(AND(ISNUMBER(P604),ISNUMBER(Q604),P604&gt;0,ISNUMBER($B$100)),Q604/P604,"")</f>
        <v/>
      </c>
      <c r="S604" s="11">
        <f>IF(AND(ISNUMBER(P604),ISNUMBER(Q604),P604&gt;0,ISNUMBER($B$100)),MAX(0,$B$100-3*SQRT($B$100/P604)),"")</f>
        <v/>
      </c>
      <c r="T604" s="11">
        <f>IF(AND(ISNUMBER(P604),ISNUMBER(Q604),P604&gt;0,ISNUMBER($B$100)),$B$100+3*SQRT($B$100/P604),"")</f>
        <v/>
      </c>
      <c r="U604" s="13">
        <f>IF(AND(ISNUMBER(R604),ISNUMBER(S604),ISNUMBER(T604)),IF(R604&gt;T604,"boven UCL",IF(R604&lt;S604,"onder LCL","")),"")</f>
        <v/>
      </c>
    </row>
    <row r="605">
      <c r="A605" t="n">
        <v>499</v>
      </c>
      <c r="B605" s="7" t="n"/>
      <c r="C605" s="11">
        <f>IF(AND(ISNUMBER(B605),ISNUMBER(B604)),ABS(B605-B604),"")</f>
        <v/>
      </c>
      <c r="D605" s="13">
        <f>IF(AND(ISNUMBER(B605),ISNUMBER($B$88),ISNUMBER($D$88)),IF(B605&gt;$D$88,"boven UCL",IF(B605&lt;$B$88,"onder LCL","")),"")</f>
        <v/>
      </c>
      <c r="E605" s="13">
        <f>IF(AND(ISNUMBER(C605),ISNUMBER($B$89),ISNUMBER($D$89)),IF(C605&gt;$D$89,"boven UCL",IF(C605&lt;$B$89,"onder LCL","")),"")</f>
        <v/>
      </c>
      <c r="G605" t="n">
        <v>499</v>
      </c>
      <c r="H605" s="7" t="n"/>
      <c r="I605" s="7" t="n"/>
      <c r="J605" s="11">
        <f>IF(AND(ISNUMBER(H605),ISNUMBER(I605),H605&gt;0,ISNUMBER($B$94)),I605/H605,"")</f>
        <v/>
      </c>
      <c r="K605" s="11">
        <f>IF(AND(ISNUMBER(H605),ISNUMBER(I605),H605&gt;0,ISNUMBER($B$94)),MAX(0,$B$94-3*SQRT($B$94*(1-$B$94)/H605)),"")</f>
        <v/>
      </c>
      <c r="L605" s="11">
        <f>IF(AND(ISNUMBER(H605),ISNUMBER(I605),H605&gt;0,ISNUMBER($B$94)),$B$94+3*SQRT($B$94*(1-$B$94)/H605),"")</f>
        <v/>
      </c>
      <c r="M605" s="13">
        <f>IF(AND(ISNUMBER(J605),ISNUMBER(K605),ISNUMBER(L605)),IF(J605&gt;L605,"boven UCL",IF(J605&lt;K605,"onder LCL","")),"")</f>
        <v/>
      </c>
      <c r="O605" t="n">
        <v>499</v>
      </c>
      <c r="P605" s="7" t="n"/>
      <c r="Q605" s="7" t="n"/>
      <c r="R605" s="11">
        <f>IF(AND(ISNUMBER(P605),ISNUMBER(Q605),P605&gt;0,ISNUMBER($B$100)),Q605/P605,"")</f>
        <v/>
      </c>
      <c r="S605" s="11">
        <f>IF(AND(ISNUMBER(P605),ISNUMBER(Q605),P605&gt;0,ISNUMBER($B$100)),MAX(0,$B$100-3*SQRT($B$100/P605)),"")</f>
        <v/>
      </c>
      <c r="T605" s="11">
        <f>IF(AND(ISNUMBER(P605),ISNUMBER(Q605),P605&gt;0,ISNUMBER($B$100)),$B$100+3*SQRT($B$100/P605),"")</f>
        <v/>
      </c>
      <c r="U605" s="13">
        <f>IF(AND(ISNUMBER(R605),ISNUMBER(S605),ISNUMBER(T605)),IF(R605&gt;T605,"boven UCL",IF(R605&lt;S605,"onder LCL","")),"")</f>
        <v/>
      </c>
    </row>
    <row r="606">
      <c r="A606" t="n">
        <v>500</v>
      </c>
      <c r="B606" s="7" t="n"/>
      <c r="C606" s="11">
        <f>IF(AND(ISNUMBER(B606),ISNUMBER(B605)),ABS(B606-B605),"")</f>
        <v/>
      </c>
      <c r="D606" s="13">
        <f>IF(AND(ISNUMBER(B606),ISNUMBER($B$88),ISNUMBER($D$88)),IF(B606&gt;$D$88,"boven UCL",IF(B606&lt;$B$88,"onder LCL","")),"")</f>
        <v/>
      </c>
      <c r="E606" s="13">
        <f>IF(AND(ISNUMBER(C606),ISNUMBER($B$89),ISNUMBER($D$89)),IF(C606&gt;$D$89,"boven UCL",IF(C606&lt;$B$89,"onder LCL","")),"")</f>
        <v/>
      </c>
      <c r="G606" t="n">
        <v>500</v>
      </c>
      <c r="H606" s="7" t="n"/>
      <c r="I606" s="7" t="n"/>
      <c r="J606" s="11">
        <f>IF(AND(ISNUMBER(H606),ISNUMBER(I606),H606&gt;0,ISNUMBER($B$94)),I606/H606,"")</f>
        <v/>
      </c>
      <c r="K606" s="11">
        <f>IF(AND(ISNUMBER(H606),ISNUMBER(I606),H606&gt;0,ISNUMBER($B$94)),MAX(0,$B$94-3*SQRT($B$94*(1-$B$94)/H606)),"")</f>
        <v/>
      </c>
      <c r="L606" s="11">
        <f>IF(AND(ISNUMBER(H606),ISNUMBER(I606),H606&gt;0,ISNUMBER($B$94)),$B$94+3*SQRT($B$94*(1-$B$94)/H606),"")</f>
        <v/>
      </c>
      <c r="M606" s="13">
        <f>IF(AND(ISNUMBER(J606),ISNUMBER(K606),ISNUMBER(L606)),IF(J606&gt;L606,"boven UCL",IF(J606&lt;K606,"onder LCL","")),"")</f>
        <v/>
      </c>
      <c r="O606" t="n">
        <v>500</v>
      </c>
      <c r="P606" s="7" t="n"/>
      <c r="Q606" s="7" t="n"/>
      <c r="R606" s="11">
        <f>IF(AND(ISNUMBER(P606),ISNUMBER(Q606),P606&gt;0,ISNUMBER($B$100)),Q606/P606,"")</f>
        <v/>
      </c>
      <c r="S606" s="11">
        <f>IF(AND(ISNUMBER(P606),ISNUMBER(Q606),P606&gt;0,ISNUMBER($B$100)),MAX(0,$B$100-3*SQRT($B$100/P606)),"")</f>
        <v/>
      </c>
      <c r="T606" s="11">
        <f>IF(AND(ISNUMBER(P606),ISNUMBER(Q606),P606&gt;0,ISNUMBER($B$100)),$B$100+3*SQRT($B$100/P606),"")</f>
        <v/>
      </c>
      <c r="U606" s="13">
        <f>IF(AND(ISNUMBER(R606),ISNUMBER(S606),ISNUMBER(T606)),IF(R606&gt;T606,"boven UCL",IF(R606&lt;S606,"onder LCL","")),"")</f>
        <v/>
      </c>
    </row>
    <row r="607">
      <c r="A607" t="n">
        <v>501</v>
      </c>
      <c r="B607" s="7" t="n"/>
      <c r="C607" s="11">
        <f>IF(AND(ISNUMBER(B607),ISNUMBER(B606)),ABS(B607-B606),"")</f>
        <v/>
      </c>
      <c r="D607" s="13">
        <f>IF(AND(ISNUMBER(B607),ISNUMBER($B$88),ISNUMBER($D$88)),IF(B607&gt;$D$88,"boven UCL",IF(B607&lt;$B$88,"onder LCL","")),"")</f>
        <v/>
      </c>
      <c r="E607" s="13">
        <f>IF(AND(ISNUMBER(C607),ISNUMBER($B$89),ISNUMBER($D$89)),IF(C607&gt;$D$89,"boven UCL",IF(C607&lt;$B$89,"onder LCL","")),"")</f>
        <v/>
      </c>
      <c r="G607" t="n">
        <v>501</v>
      </c>
      <c r="H607" s="7" t="n"/>
      <c r="I607" s="7" t="n"/>
      <c r="J607" s="11">
        <f>IF(AND(ISNUMBER(H607),ISNUMBER(I607),H607&gt;0,ISNUMBER($B$94)),I607/H607,"")</f>
        <v/>
      </c>
      <c r="K607" s="11">
        <f>IF(AND(ISNUMBER(H607),ISNUMBER(I607),H607&gt;0,ISNUMBER($B$94)),MAX(0,$B$94-3*SQRT($B$94*(1-$B$94)/H607)),"")</f>
        <v/>
      </c>
      <c r="L607" s="11">
        <f>IF(AND(ISNUMBER(H607),ISNUMBER(I607),H607&gt;0,ISNUMBER($B$94)),$B$94+3*SQRT($B$94*(1-$B$94)/H607),"")</f>
        <v/>
      </c>
      <c r="M607" s="13">
        <f>IF(AND(ISNUMBER(J607),ISNUMBER(K607),ISNUMBER(L607)),IF(J607&gt;L607,"boven UCL",IF(J607&lt;K607,"onder LCL","")),"")</f>
        <v/>
      </c>
      <c r="O607" t="n">
        <v>501</v>
      </c>
      <c r="P607" s="7" t="n"/>
      <c r="Q607" s="7" t="n"/>
      <c r="R607" s="11">
        <f>IF(AND(ISNUMBER(P607),ISNUMBER(Q607),P607&gt;0,ISNUMBER($B$100)),Q607/P607,"")</f>
        <v/>
      </c>
      <c r="S607" s="11">
        <f>IF(AND(ISNUMBER(P607),ISNUMBER(Q607),P607&gt;0,ISNUMBER($B$100)),MAX(0,$B$100-3*SQRT($B$100/P607)),"")</f>
        <v/>
      </c>
      <c r="T607" s="11">
        <f>IF(AND(ISNUMBER(P607),ISNUMBER(Q607),P607&gt;0,ISNUMBER($B$100)),$B$100+3*SQRT($B$100/P607),"")</f>
        <v/>
      </c>
      <c r="U607" s="13">
        <f>IF(AND(ISNUMBER(R607),ISNUMBER(S607),ISNUMBER(T607)),IF(R607&gt;T607,"boven UCL",IF(R607&lt;S607,"onder LCL","")),"")</f>
        <v/>
      </c>
    </row>
    <row r="608">
      <c r="A608" t="n">
        <v>502</v>
      </c>
      <c r="B608" s="7" t="n"/>
      <c r="C608" s="11">
        <f>IF(AND(ISNUMBER(B608),ISNUMBER(B607)),ABS(B608-B607),"")</f>
        <v/>
      </c>
      <c r="D608" s="13">
        <f>IF(AND(ISNUMBER(B608),ISNUMBER($B$88),ISNUMBER($D$88)),IF(B608&gt;$D$88,"boven UCL",IF(B608&lt;$B$88,"onder LCL","")),"")</f>
        <v/>
      </c>
      <c r="E608" s="13">
        <f>IF(AND(ISNUMBER(C608),ISNUMBER($B$89),ISNUMBER($D$89)),IF(C608&gt;$D$89,"boven UCL",IF(C608&lt;$B$89,"onder LCL","")),"")</f>
        <v/>
      </c>
      <c r="G608" t="n">
        <v>502</v>
      </c>
      <c r="H608" s="7" t="n"/>
      <c r="I608" s="7" t="n"/>
      <c r="J608" s="11">
        <f>IF(AND(ISNUMBER(H608),ISNUMBER(I608),H608&gt;0,ISNUMBER($B$94)),I608/H608,"")</f>
        <v/>
      </c>
      <c r="K608" s="11">
        <f>IF(AND(ISNUMBER(H608),ISNUMBER(I608),H608&gt;0,ISNUMBER($B$94)),MAX(0,$B$94-3*SQRT($B$94*(1-$B$94)/H608)),"")</f>
        <v/>
      </c>
      <c r="L608" s="11">
        <f>IF(AND(ISNUMBER(H608),ISNUMBER(I608),H608&gt;0,ISNUMBER($B$94)),$B$94+3*SQRT($B$94*(1-$B$94)/H608),"")</f>
        <v/>
      </c>
      <c r="M608" s="13">
        <f>IF(AND(ISNUMBER(J608),ISNUMBER(K608),ISNUMBER(L608)),IF(J608&gt;L608,"boven UCL",IF(J608&lt;K608,"onder LCL","")),"")</f>
        <v/>
      </c>
      <c r="O608" t="n">
        <v>502</v>
      </c>
      <c r="P608" s="7" t="n"/>
      <c r="Q608" s="7" t="n"/>
      <c r="R608" s="11">
        <f>IF(AND(ISNUMBER(P608),ISNUMBER(Q608),P608&gt;0,ISNUMBER($B$100)),Q608/P608,"")</f>
        <v/>
      </c>
      <c r="S608" s="11">
        <f>IF(AND(ISNUMBER(P608),ISNUMBER(Q608),P608&gt;0,ISNUMBER($B$100)),MAX(0,$B$100-3*SQRT($B$100/P608)),"")</f>
        <v/>
      </c>
      <c r="T608" s="11">
        <f>IF(AND(ISNUMBER(P608),ISNUMBER(Q608),P608&gt;0,ISNUMBER($B$100)),$B$100+3*SQRT($B$100/P608),"")</f>
        <v/>
      </c>
      <c r="U608" s="13">
        <f>IF(AND(ISNUMBER(R608),ISNUMBER(S608),ISNUMBER(T608)),IF(R608&gt;T608,"boven UCL",IF(R608&lt;S608,"onder LCL","")),"")</f>
        <v/>
      </c>
    </row>
    <row r="609">
      <c r="A609" t="n">
        <v>503</v>
      </c>
      <c r="B609" s="7" t="n"/>
      <c r="C609" s="11">
        <f>IF(AND(ISNUMBER(B609),ISNUMBER(B608)),ABS(B609-B608),"")</f>
        <v/>
      </c>
      <c r="D609" s="13">
        <f>IF(AND(ISNUMBER(B609),ISNUMBER($B$88),ISNUMBER($D$88)),IF(B609&gt;$D$88,"boven UCL",IF(B609&lt;$B$88,"onder LCL","")),"")</f>
        <v/>
      </c>
      <c r="E609" s="13">
        <f>IF(AND(ISNUMBER(C609),ISNUMBER($B$89),ISNUMBER($D$89)),IF(C609&gt;$D$89,"boven UCL",IF(C609&lt;$B$89,"onder LCL","")),"")</f>
        <v/>
      </c>
      <c r="G609" t="n">
        <v>503</v>
      </c>
      <c r="H609" s="7" t="n"/>
      <c r="I609" s="7" t="n"/>
      <c r="J609" s="11">
        <f>IF(AND(ISNUMBER(H609),ISNUMBER(I609),H609&gt;0,ISNUMBER($B$94)),I609/H609,"")</f>
        <v/>
      </c>
      <c r="K609" s="11">
        <f>IF(AND(ISNUMBER(H609),ISNUMBER(I609),H609&gt;0,ISNUMBER($B$94)),MAX(0,$B$94-3*SQRT($B$94*(1-$B$94)/H609)),"")</f>
        <v/>
      </c>
      <c r="L609" s="11">
        <f>IF(AND(ISNUMBER(H609),ISNUMBER(I609),H609&gt;0,ISNUMBER($B$94)),$B$94+3*SQRT($B$94*(1-$B$94)/H609),"")</f>
        <v/>
      </c>
      <c r="M609" s="13">
        <f>IF(AND(ISNUMBER(J609),ISNUMBER(K609),ISNUMBER(L609)),IF(J609&gt;L609,"boven UCL",IF(J609&lt;K609,"onder LCL","")),"")</f>
        <v/>
      </c>
      <c r="O609" t="n">
        <v>503</v>
      </c>
      <c r="P609" s="7" t="n"/>
      <c r="Q609" s="7" t="n"/>
      <c r="R609" s="11">
        <f>IF(AND(ISNUMBER(P609),ISNUMBER(Q609),P609&gt;0,ISNUMBER($B$100)),Q609/P609,"")</f>
        <v/>
      </c>
      <c r="S609" s="11">
        <f>IF(AND(ISNUMBER(P609),ISNUMBER(Q609),P609&gt;0,ISNUMBER($B$100)),MAX(0,$B$100-3*SQRT($B$100/P609)),"")</f>
        <v/>
      </c>
      <c r="T609" s="11">
        <f>IF(AND(ISNUMBER(P609),ISNUMBER(Q609),P609&gt;0,ISNUMBER($B$100)),$B$100+3*SQRT($B$100/P609),"")</f>
        <v/>
      </c>
      <c r="U609" s="13">
        <f>IF(AND(ISNUMBER(R609),ISNUMBER(S609),ISNUMBER(T609)),IF(R609&gt;T609,"boven UCL",IF(R609&lt;S609,"onder LCL","")),"")</f>
        <v/>
      </c>
    </row>
    <row r="610">
      <c r="A610" t="n">
        <v>504</v>
      </c>
      <c r="B610" s="7" t="n"/>
      <c r="C610" s="11">
        <f>IF(AND(ISNUMBER(B610),ISNUMBER(B609)),ABS(B610-B609),"")</f>
        <v/>
      </c>
      <c r="D610" s="13">
        <f>IF(AND(ISNUMBER(B610),ISNUMBER($B$88),ISNUMBER($D$88)),IF(B610&gt;$D$88,"boven UCL",IF(B610&lt;$B$88,"onder LCL","")),"")</f>
        <v/>
      </c>
      <c r="E610" s="13">
        <f>IF(AND(ISNUMBER(C610),ISNUMBER($B$89),ISNUMBER($D$89)),IF(C610&gt;$D$89,"boven UCL",IF(C610&lt;$B$89,"onder LCL","")),"")</f>
        <v/>
      </c>
      <c r="G610" t="n">
        <v>504</v>
      </c>
      <c r="H610" s="7" t="n"/>
      <c r="I610" s="7" t="n"/>
      <c r="J610" s="11">
        <f>IF(AND(ISNUMBER(H610),ISNUMBER(I610),H610&gt;0,ISNUMBER($B$94)),I610/H610,"")</f>
        <v/>
      </c>
      <c r="K610" s="11">
        <f>IF(AND(ISNUMBER(H610),ISNUMBER(I610),H610&gt;0,ISNUMBER($B$94)),MAX(0,$B$94-3*SQRT($B$94*(1-$B$94)/H610)),"")</f>
        <v/>
      </c>
      <c r="L610" s="11">
        <f>IF(AND(ISNUMBER(H610),ISNUMBER(I610),H610&gt;0,ISNUMBER($B$94)),$B$94+3*SQRT($B$94*(1-$B$94)/H610),"")</f>
        <v/>
      </c>
      <c r="M610" s="13">
        <f>IF(AND(ISNUMBER(J610),ISNUMBER(K610),ISNUMBER(L610)),IF(J610&gt;L610,"boven UCL",IF(J610&lt;K610,"onder LCL","")),"")</f>
        <v/>
      </c>
      <c r="O610" t="n">
        <v>504</v>
      </c>
      <c r="P610" s="7" t="n"/>
      <c r="Q610" s="7" t="n"/>
      <c r="R610" s="11">
        <f>IF(AND(ISNUMBER(P610),ISNUMBER(Q610),P610&gt;0,ISNUMBER($B$100)),Q610/P610,"")</f>
        <v/>
      </c>
      <c r="S610" s="11">
        <f>IF(AND(ISNUMBER(P610),ISNUMBER(Q610),P610&gt;0,ISNUMBER($B$100)),MAX(0,$B$100-3*SQRT($B$100/P610)),"")</f>
        <v/>
      </c>
      <c r="T610" s="11">
        <f>IF(AND(ISNUMBER(P610),ISNUMBER(Q610),P610&gt;0,ISNUMBER($B$100)),$B$100+3*SQRT($B$100/P610),"")</f>
        <v/>
      </c>
      <c r="U610" s="13">
        <f>IF(AND(ISNUMBER(R610),ISNUMBER(S610),ISNUMBER(T610)),IF(R610&gt;T610,"boven UCL",IF(R610&lt;S610,"onder LCL","")),"")</f>
        <v/>
      </c>
    </row>
    <row r="611">
      <c r="A611" t="n">
        <v>505</v>
      </c>
      <c r="B611" s="7" t="n"/>
      <c r="C611" s="11">
        <f>IF(AND(ISNUMBER(B611),ISNUMBER(B610)),ABS(B611-B610),"")</f>
        <v/>
      </c>
      <c r="D611" s="13">
        <f>IF(AND(ISNUMBER(B611),ISNUMBER($B$88),ISNUMBER($D$88)),IF(B611&gt;$D$88,"boven UCL",IF(B611&lt;$B$88,"onder LCL","")),"")</f>
        <v/>
      </c>
      <c r="E611" s="13">
        <f>IF(AND(ISNUMBER(C611),ISNUMBER($B$89),ISNUMBER($D$89)),IF(C611&gt;$D$89,"boven UCL",IF(C611&lt;$B$89,"onder LCL","")),"")</f>
        <v/>
      </c>
      <c r="G611" t="n">
        <v>505</v>
      </c>
      <c r="H611" s="7" t="n"/>
      <c r="I611" s="7" t="n"/>
      <c r="J611" s="11">
        <f>IF(AND(ISNUMBER(H611),ISNUMBER(I611),H611&gt;0,ISNUMBER($B$94)),I611/H611,"")</f>
        <v/>
      </c>
      <c r="K611" s="11">
        <f>IF(AND(ISNUMBER(H611),ISNUMBER(I611),H611&gt;0,ISNUMBER($B$94)),MAX(0,$B$94-3*SQRT($B$94*(1-$B$94)/H611)),"")</f>
        <v/>
      </c>
      <c r="L611" s="11">
        <f>IF(AND(ISNUMBER(H611),ISNUMBER(I611),H611&gt;0,ISNUMBER($B$94)),$B$94+3*SQRT($B$94*(1-$B$94)/H611),"")</f>
        <v/>
      </c>
      <c r="M611" s="13">
        <f>IF(AND(ISNUMBER(J611),ISNUMBER(K611),ISNUMBER(L611)),IF(J611&gt;L611,"boven UCL",IF(J611&lt;K611,"onder LCL","")),"")</f>
        <v/>
      </c>
      <c r="O611" t="n">
        <v>505</v>
      </c>
      <c r="P611" s="7" t="n"/>
      <c r="Q611" s="7" t="n"/>
      <c r="R611" s="11">
        <f>IF(AND(ISNUMBER(P611),ISNUMBER(Q611),P611&gt;0,ISNUMBER($B$100)),Q611/P611,"")</f>
        <v/>
      </c>
      <c r="S611" s="11">
        <f>IF(AND(ISNUMBER(P611),ISNUMBER(Q611),P611&gt;0,ISNUMBER($B$100)),MAX(0,$B$100-3*SQRT($B$100/P611)),"")</f>
        <v/>
      </c>
      <c r="T611" s="11">
        <f>IF(AND(ISNUMBER(P611),ISNUMBER(Q611),P611&gt;0,ISNUMBER($B$100)),$B$100+3*SQRT($B$100/P611),"")</f>
        <v/>
      </c>
      <c r="U611" s="13">
        <f>IF(AND(ISNUMBER(R611),ISNUMBER(S611),ISNUMBER(T611)),IF(R611&gt;T611,"boven UCL",IF(R611&lt;S611,"onder LCL","")),"")</f>
        <v/>
      </c>
    </row>
    <row r="612">
      <c r="A612" t="n">
        <v>506</v>
      </c>
      <c r="B612" s="7" t="n"/>
      <c r="C612" s="11">
        <f>IF(AND(ISNUMBER(B612),ISNUMBER(B611)),ABS(B612-B611),"")</f>
        <v/>
      </c>
      <c r="D612" s="13">
        <f>IF(AND(ISNUMBER(B612),ISNUMBER($B$88),ISNUMBER($D$88)),IF(B612&gt;$D$88,"boven UCL",IF(B612&lt;$B$88,"onder LCL","")),"")</f>
        <v/>
      </c>
      <c r="E612" s="13">
        <f>IF(AND(ISNUMBER(C612),ISNUMBER($B$89),ISNUMBER($D$89)),IF(C612&gt;$D$89,"boven UCL",IF(C612&lt;$B$89,"onder LCL","")),"")</f>
        <v/>
      </c>
      <c r="G612" t="n">
        <v>506</v>
      </c>
      <c r="H612" s="7" t="n"/>
      <c r="I612" s="7" t="n"/>
      <c r="J612" s="11">
        <f>IF(AND(ISNUMBER(H612),ISNUMBER(I612),H612&gt;0,ISNUMBER($B$94)),I612/H612,"")</f>
        <v/>
      </c>
      <c r="K612" s="11">
        <f>IF(AND(ISNUMBER(H612),ISNUMBER(I612),H612&gt;0,ISNUMBER($B$94)),MAX(0,$B$94-3*SQRT($B$94*(1-$B$94)/H612)),"")</f>
        <v/>
      </c>
      <c r="L612" s="11">
        <f>IF(AND(ISNUMBER(H612),ISNUMBER(I612),H612&gt;0,ISNUMBER($B$94)),$B$94+3*SQRT($B$94*(1-$B$94)/H612),"")</f>
        <v/>
      </c>
      <c r="M612" s="13">
        <f>IF(AND(ISNUMBER(J612),ISNUMBER(K612),ISNUMBER(L612)),IF(J612&gt;L612,"boven UCL",IF(J612&lt;K612,"onder LCL","")),"")</f>
        <v/>
      </c>
      <c r="O612" t="n">
        <v>506</v>
      </c>
      <c r="P612" s="7" t="n"/>
      <c r="Q612" s="7" t="n"/>
      <c r="R612" s="11">
        <f>IF(AND(ISNUMBER(P612),ISNUMBER(Q612),P612&gt;0,ISNUMBER($B$100)),Q612/P612,"")</f>
        <v/>
      </c>
      <c r="S612" s="11">
        <f>IF(AND(ISNUMBER(P612),ISNUMBER(Q612),P612&gt;0,ISNUMBER($B$100)),MAX(0,$B$100-3*SQRT($B$100/P612)),"")</f>
        <v/>
      </c>
      <c r="T612" s="11">
        <f>IF(AND(ISNUMBER(P612),ISNUMBER(Q612),P612&gt;0,ISNUMBER($B$100)),$B$100+3*SQRT($B$100/P612),"")</f>
        <v/>
      </c>
      <c r="U612" s="13">
        <f>IF(AND(ISNUMBER(R612),ISNUMBER(S612),ISNUMBER(T612)),IF(R612&gt;T612,"boven UCL",IF(R612&lt;S612,"onder LCL","")),"")</f>
        <v/>
      </c>
    </row>
    <row r="613">
      <c r="A613" t="n">
        <v>507</v>
      </c>
      <c r="B613" s="7" t="n"/>
      <c r="C613" s="11">
        <f>IF(AND(ISNUMBER(B613),ISNUMBER(B612)),ABS(B613-B612),"")</f>
        <v/>
      </c>
      <c r="D613" s="13">
        <f>IF(AND(ISNUMBER(B613),ISNUMBER($B$88),ISNUMBER($D$88)),IF(B613&gt;$D$88,"boven UCL",IF(B613&lt;$B$88,"onder LCL","")),"")</f>
        <v/>
      </c>
      <c r="E613" s="13">
        <f>IF(AND(ISNUMBER(C613),ISNUMBER($B$89),ISNUMBER($D$89)),IF(C613&gt;$D$89,"boven UCL",IF(C613&lt;$B$89,"onder LCL","")),"")</f>
        <v/>
      </c>
      <c r="G613" t="n">
        <v>507</v>
      </c>
      <c r="H613" s="7" t="n"/>
      <c r="I613" s="7" t="n"/>
      <c r="J613" s="11">
        <f>IF(AND(ISNUMBER(H613),ISNUMBER(I613),H613&gt;0,ISNUMBER($B$94)),I613/H613,"")</f>
        <v/>
      </c>
      <c r="K613" s="11">
        <f>IF(AND(ISNUMBER(H613),ISNUMBER(I613),H613&gt;0,ISNUMBER($B$94)),MAX(0,$B$94-3*SQRT($B$94*(1-$B$94)/H613)),"")</f>
        <v/>
      </c>
      <c r="L613" s="11">
        <f>IF(AND(ISNUMBER(H613),ISNUMBER(I613),H613&gt;0,ISNUMBER($B$94)),$B$94+3*SQRT($B$94*(1-$B$94)/H613),"")</f>
        <v/>
      </c>
      <c r="M613" s="13">
        <f>IF(AND(ISNUMBER(J613),ISNUMBER(K613),ISNUMBER(L613)),IF(J613&gt;L613,"boven UCL",IF(J613&lt;K613,"onder LCL","")),"")</f>
        <v/>
      </c>
      <c r="O613" t="n">
        <v>507</v>
      </c>
      <c r="P613" s="7" t="n"/>
      <c r="Q613" s="7" t="n"/>
      <c r="R613" s="11">
        <f>IF(AND(ISNUMBER(P613),ISNUMBER(Q613),P613&gt;0,ISNUMBER($B$100)),Q613/P613,"")</f>
        <v/>
      </c>
      <c r="S613" s="11">
        <f>IF(AND(ISNUMBER(P613),ISNUMBER(Q613),P613&gt;0,ISNUMBER($B$100)),MAX(0,$B$100-3*SQRT($B$100/P613)),"")</f>
        <v/>
      </c>
      <c r="T613" s="11">
        <f>IF(AND(ISNUMBER(P613),ISNUMBER(Q613),P613&gt;0,ISNUMBER($B$100)),$B$100+3*SQRT($B$100/P613),"")</f>
        <v/>
      </c>
      <c r="U613" s="13">
        <f>IF(AND(ISNUMBER(R613),ISNUMBER(S613),ISNUMBER(T613)),IF(R613&gt;T613,"boven UCL",IF(R613&lt;S613,"onder LCL","")),"")</f>
        <v/>
      </c>
    </row>
    <row r="614">
      <c r="A614" t="n">
        <v>508</v>
      </c>
      <c r="B614" s="7" t="n"/>
      <c r="C614" s="11">
        <f>IF(AND(ISNUMBER(B614),ISNUMBER(B613)),ABS(B614-B613),"")</f>
        <v/>
      </c>
      <c r="D614" s="13">
        <f>IF(AND(ISNUMBER(B614),ISNUMBER($B$88),ISNUMBER($D$88)),IF(B614&gt;$D$88,"boven UCL",IF(B614&lt;$B$88,"onder LCL","")),"")</f>
        <v/>
      </c>
      <c r="E614" s="13">
        <f>IF(AND(ISNUMBER(C614),ISNUMBER($B$89),ISNUMBER($D$89)),IF(C614&gt;$D$89,"boven UCL",IF(C614&lt;$B$89,"onder LCL","")),"")</f>
        <v/>
      </c>
      <c r="G614" t="n">
        <v>508</v>
      </c>
      <c r="H614" s="7" t="n"/>
      <c r="I614" s="7" t="n"/>
      <c r="J614" s="11">
        <f>IF(AND(ISNUMBER(H614),ISNUMBER(I614),H614&gt;0,ISNUMBER($B$94)),I614/H614,"")</f>
        <v/>
      </c>
      <c r="K614" s="11">
        <f>IF(AND(ISNUMBER(H614),ISNUMBER(I614),H614&gt;0,ISNUMBER($B$94)),MAX(0,$B$94-3*SQRT($B$94*(1-$B$94)/H614)),"")</f>
        <v/>
      </c>
      <c r="L614" s="11">
        <f>IF(AND(ISNUMBER(H614),ISNUMBER(I614),H614&gt;0,ISNUMBER($B$94)),$B$94+3*SQRT($B$94*(1-$B$94)/H614),"")</f>
        <v/>
      </c>
      <c r="M614" s="13">
        <f>IF(AND(ISNUMBER(J614),ISNUMBER(K614),ISNUMBER(L614)),IF(J614&gt;L614,"boven UCL",IF(J614&lt;K614,"onder LCL","")),"")</f>
        <v/>
      </c>
      <c r="O614" t="n">
        <v>508</v>
      </c>
      <c r="P614" s="7" t="n"/>
      <c r="Q614" s="7" t="n"/>
      <c r="R614" s="11">
        <f>IF(AND(ISNUMBER(P614),ISNUMBER(Q614),P614&gt;0,ISNUMBER($B$100)),Q614/P614,"")</f>
        <v/>
      </c>
      <c r="S614" s="11">
        <f>IF(AND(ISNUMBER(P614),ISNUMBER(Q614),P614&gt;0,ISNUMBER($B$100)),MAX(0,$B$100-3*SQRT($B$100/P614)),"")</f>
        <v/>
      </c>
      <c r="T614" s="11">
        <f>IF(AND(ISNUMBER(P614),ISNUMBER(Q614),P614&gt;0,ISNUMBER($B$100)),$B$100+3*SQRT($B$100/P614),"")</f>
        <v/>
      </c>
      <c r="U614" s="13">
        <f>IF(AND(ISNUMBER(R614),ISNUMBER(S614),ISNUMBER(T614)),IF(R614&gt;T614,"boven UCL",IF(R614&lt;S614,"onder LCL","")),"")</f>
        <v/>
      </c>
    </row>
    <row r="615">
      <c r="A615" t="n">
        <v>509</v>
      </c>
      <c r="B615" s="7" t="n"/>
      <c r="C615" s="11">
        <f>IF(AND(ISNUMBER(B615),ISNUMBER(B614)),ABS(B615-B614),"")</f>
        <v/>
      </c>
      <c r="D615" s="13">
        <f>IF(AND(ISNUMBER(B615),ISNUMBER($B$88),ISNUMBER($D$88)),IF(B615&gt;$D$88,"boven UCL",IF(B615&lt;$B$88,"onder LCL","")),"")</f>
        <v/>
      </c>
      <c r="E615" s="13">
        <f>IF(AND(ISNUMBER(C615),ISNUMBER($B$89),ISNUMBER($D$89)),IF(C615&gt;$D$89,"boven UCL",IF(C615&lt;$B$89,"onder LCL","")),"")</f>
        <v/>
      </c>
      <c r="G615" t="n">
        <v>509</v>
      </c>
      <c r="H615" s="7" t="n"/>
      <c r="I615" s="7" t="n"/>
      <c r="J615" s="11">
        <f>IF(AND(ISNUMBER(H615),ISNUMBER(I615),H615&gt;0,ISNUMBER($B$94)),I615/H615,"")</f>
        <v/>
      </c>
      <c r="K615" s="11">
        <f>IF(AND(ISNUMBER(H615),ISNUMBER(I615),H615&gt;0,ISNUMBER($B$94)),MAX(0,$B$94-3*SQRT($B$94*(1-$B$94)/H615)),"")</f>
        <v/>
      </c>
      <c r="L615" s="11">
        <f>IF(AND(ISNUMBER(H615),ISNUMBER(I615),H615&gt;0,ISNUMBER($B$94)),$B$94+3*SQRT($B$94*(1-$B$94)/H615),"")</f>
        <v/>
      </c>
      <c r="M615" s="13">
        <f>IF(AND(ISNUMBER(J615),ISNUMBER(K615),ISNUMBER(L615)),IF(J615&gt;L615,"boven UCL",IF(J615&lt;K615,"onder LCL","")),"")</f>
        <v/>
      </c>
      <c r="O615" t="n">
        <v>509</v>
      </c>
      <c r="P615" s="7" t="n"/>
      <c r="Q615" s="7" t="n"/>
      <c r="R615" s="11">
        <f>IF(AND(ISNUMBER(P615),ISNUMBER(Q615),P615&gt;0,ISNUMBER($B$100)),Q615/P615,"")</f>
        <v/>
      </c>
      <c r="S615" s="11">
        <f>IF(AND(ISNUMBER(P615),ISNUMBER(Q615),P615&gt;0,ISNUMBER($B$100)),MAX(0,$B$100-3*SQRT($B$100/P615)),"")</f>
        <v/>
      </c>
      <c r="T615" s="11">
        <f>IF(AND(ISNUMBER(P615),ISNUMBER(Q615),P615&gt;0,ISNUMBER($B$100)),$B$100+3*SQRT($B$100/P615),"")</f>
        <v/>
      </c>
      <c r="U615" s="13">
        <f>IF(AND(ISNUMBER(R615),ISNUMBER(S615),ISNUMBER(T615)),IF(R615&gt;T615,"boven UCL",IF(R615&lt;S615,"onder LCL","")),"")</f>
        <v/>
      </c>
    </row>
    <row r="616">
      <c r="A616" t="n">
        <v>510</v>
      </c>
      <c r="B616" s="7" t="n"/>
      <c r="C616" s="11">
        <f>IF(AND(ISNUMBER(B616),ISNUMBER(B615)),ABS(B616-B615),"")</f>
        <v/>
      </c>
      <c r="D616" s="13">
        <f>IF(AND(ISNUMBER(B616),ISNUMBER($B$88),ISNUMBER($D$88)),IF(B616&gt;$D$88,"boven UCL",IF(B616&lt;$B$88,"onder LCL","")),"")</f>
        <v/>
      </c>
      <c r="E616" s="13">
        <f>IF(AND(ISNUMBER(C616),ISNUMBER($B$89),ISNUMBER($D$89)),IF(C616&gt;$D$89,"boven UCL",IF(C616&lt;$B$89,"onder LCL","")),"")</f>
        <v/>
      </c>
      <c r="G616" t="n">
        <v>510</v>
      </c>
      <c r="H616" s="7" t="n"/>
      <c r="I616" s="7" t="n"/>
      <c r="J616" s="11">
        <f>IF(AND(ISNUMBER(H616),ISNUMBER(I616),H616&gt;0,ISNUMBER($B$94)),I616/H616,"")</f>
        <v/>
      </c>
      <c r="K616" s="11">
        <f>IF(AND(ISNUMBER(H616),ISNUMBER(I616),H616&gt;0,ISNUMBER($B$94)),MAX(0,$B$94-3*SQRT($B$94*(1-$B$94)/H616)),"")</f>
        <v/>
      </c>
      <c r="L616" s="11">
        <f>IF(AND(ISNUMBER(H616),ISNUMBER(I616),H616&gt;0,ISNUMBER($B$94)),$B$94+3*SQRT($B$94*(1-$B$94)/H616),"")</f>
        <v/>
      </c>
      <c r="M616" s="13">
        <f>IF(AND(ISNUMBER(J616),ISNUMBER(K616),ISNUMBER(L616)),IF(J616&gt;L616,"boven UCL",IF(J616&lt;K616,"onder LCL","")),"")</f>
        <v/>
      </c>
      <c r="O616" t="n">
        <v>510</v>
      </c>
      <c r="P616" s="7" t="n"/>
      <c r="Q616" s="7" t="n"/>
      <c r="R616" s="11">
        <f>IF(AND(ISNUMBER(P616),ISNUMBER(Q616),P616&gt;0,ISNUMBER($B$100)),Q616/P616,"")</f>
        <v/>
      </c>
      <c r="S616" s="11">
        <f>IF(AND(ISNUMBER(P616),ISNUMBER(Q616),P616&gt;0,ISNUMBER($B$100)),MAX(0,$B$100-3*SQRT($B$100/P616)),"")</f>
        <v/>
      </c>
      <c r="T616" s="11">
        <f>IF(AND(ISNUMBER(P616),ISNUMBER(Q616),P616&gt;0,ISNUMBER($B$100)),$B$100+3*SQRT($B$100/P616),"")</f>
        <v/>
      </c>
      <c r="U616" s="13">
        <f>IF(AND(ISNUMBER(R616),ISNUMBER(S616),ISNUMBER(T616)),IF(R616&gt;T616,"boven UCL",IF(R616&lt;S616,"onder LCL","")),"")</f>
        <v/>
      </c>
    </row>
    <row r="617">
      <c r="A617" t="n">
        <v>511</v>
      </c>
      <c r="B617" s="7" t="n"/>
      <c r="C617" s="11">
        <f>IF(AND(ISNUMBER(B617),ISNUMBER(B616)),ABS(B617-B616),"")</f>
        <v/>
      </c>
      <c r="D617" s="13">
        <f>IF(AND(ISNUMBER(B617),ISNUMBER($B$88),ISNUMBER($D$88)),IF(B617&gt;$D$88,"boven UCL",IF(B617&lt;$B$88,"onder LCL","")),"")</f>
        <v/>
      </c>
      <c r="E617" s="13">
        <f>IF(AND(ISNUMBER(C617),ISNUMBER($B$89),ISNUMBER($D$89)),IF(C617&gt;$D$89,"boven UCL",IF(C617&lt;$B$89,"onder LCL","")),"")</f>
        <v/>
      </c>
      <c r="G617" t="n">
        <v>511</v>
      </c>
      <c r="H617" s="7" t="n"/>
      <c r="I617" s="7" t="n"/>
      <c r="J617" s="11">
        <f>IF(AND(ISNUMBER(H617),ISNUMBER(I617),H617&gt;0,ISNUMBER($B$94)),I617/H617,"")</f>
        <v/>
      </c>
      <c r="K617" s="11">
        <f>IF(AND(ISNUMBER(H617),ISNUMBER(I617),H617&gt;0,ISNUMBER($B$94)),MAX(0,$B$94-3*SQRT($B$94*(1-$B$94)/H617)),"")</f>
        <v/>
      </c>
      <c r="L617" s="11">
        <f>IF(AND(ISNUMBER(H617),ISNUMBER(I617),H617&gt;0,ISNUMBER($B$94)),$B$94+3*SQRT($B$94*(1-$B$94)/H617),"")</f>
        <v/>
      </c>
      <c r="M617" s="13">
        <f>IF(AND(ISNUMBER(J617),ISNUMBER(K617),ISNUMBER(L617)),IF(J617&gt;L617,"boven UCL",IF(J617&lt;K617,"onder LCL","")),"")</f>
        <v/>
      </c>
      <c r="O617" t="n">
        <v>511</v>
      </c>
      <c r="P617" s="7" t="n"/>
      <c r="Q617" s="7" t="n"/>
      <c r="R617" s="11">
        <f>IF(AND(ISNUMBER(P617),ISNUMBER(Q617),P617&gt;0,ISNUMBER($B$100)),Q617/P617,"")</f>
        <v/>
      </c>
      <c r="S617" s="11">
        <f>IF(AND(ISNUMBER(P617),ISNUMBER(Q617),P617&gt;0,ISNUMBER($B$100)),MAX(0,$B$100-3*SQRT($B$100/P617)),"")</f>
        <v/>
      </c>
      <c r="T617" s="11">
        <f>IF(AND(ISNUMBER(P617),ISNUMBER(Q617),P617&gt;0,ISNUMBER($B$100)),$B$100+3*SQRT($B$100/P617),"")</f>
        <v/>
      </c>
      <c r="U617" s="13">
        <f>IF(AND(ISNUMBER(R617),ISNUMBER(S617),ISNUMBER(T617)),IF(R617&gt;T617,"boven UCL",IF(R617&lt;S617,"onder LCL","")),"")</f>
        <v/>
      </c>
    </row>
    <row r="618">
      <c r="A618" t="n">
        <v>512</v>
      </c>
      <c r="B618" s="7" t="n"/>
      <c r="C618" s="11">
        <f>IF(AND(ISNUMBER(B618),ISNUMBER(B617)),ABS(B618-B617),"")</f>
        <v/>
      </c>
      <c r="D618" s="13">
        <f>IF(AND(ISNUMBER(B618),ISNUMBER($B$88),ISNUMBER($D$88)),IF(B618&gt;$D$88,"boven UCL",IF(B618&lt;$B$88,"onder LCL","")),"")</f>
        <v/>
      </c>
      <c r="E618" s="13">
        <f>IF(AND(ISNUMBER(C618),ISNUMBER($B$89),ISNUMBER($D$89)),IF(C618&gt;$D$89,"boven UCL",IF(C618&lt;$B$89,"onder LCL","")),"")</f>
        <v/>
      </c>
      <c r="G618" t="n">
        <v>512</v>
      </c>
      <c r="H618" s="7" t="n"/>
      <c r="I618" s="7" t="n"/>
      <c r="J618" s="11">
        <f>IF(AND(ISNUMBER(H618),ISNUMBER(I618),H618&gt;0,ISNUMBER($B$94)),I618/H618,"")</f>
        <v/>
      </c>
      <c r="K618" s="11">
        <f>IF(AND(ISNUMBER(H618),ISNUMBER(I618),H618&gt;0,ISNUMBER($B$94)),MAX(0,$B$94-3*SQRT($B$94*(1-$B$94)/H618)),"")</f>
        <v/>
      </c>
      <c r="L618" s="11">
        <f>IF(AND(ISNUMBER(H618),ISNUMBER(I618),H618&gt;0,ISNUMBER($B$94)),$B$94+3*SQRT($B$94*(1-$B$94)/H618),"")</f>
        <v/>
      </c>
      <c r="M618" s="13">
        <f>IF(AND(ISNUMBER(J618),ISNUMBER(K618),ISNUMBER(L618)),IF(J618&gt;L618,"boven UCL",IF(J618&lt;K618,"onder LCL","")),"")</f>
        <v/>
      </c>
      <c r="O618" t="n">
        <v>512</v>
      </c>
      <c r="P618" s="7" t="n"/>
      <c r="Q618" s="7" t="n"/>
      <c r="R618" s="11">
        <f>IF(AND(ISNUMBER(P618),ISNUMBER(Q618),P618&gt;0,ISNUMBER($B$100)),Q618/P618,"")</f>
        <v/>
      </c>
      <c r="S618" s="11">
        <f>IF(AND(ISNUMBER(P618),ISNUMBER(Q618),P618&gt;0,ISNUMBER($B$100)),MAX(0,$B$100-3*SQRT($B$100/P618)),"")</f>
        <v/>
      </c>
      <c r="T618" s="11">
        <f>IF(AND(ISNUMBER(P618),ISNUMBER(Q618),P618&gt;0,ISNUMBER($B$100)),$B$100+3*SQRT($B$100/P618),"")</f>
        <v/>
      </c>
      <c r="U618" s="13">
        <f>IF(AND(ISNUMBER(R618),ISNUMBER(S618),ISNUMBER(T618)),IF(R618&gt;T618,"boven UCL",IF(R618&lt;S618,"onder LCL","")),"")</f>
        <v/>
      </c>
    </row>
    <row r="619">
      <c r="A619" t="n">
        <v>513</v>
      </c>
      <c r="B619" s="7" t="n"/>
      <c r="C619" s="11">
        <f>IF(AND(ISNUMBER(B619),ISNUMBER(B618)),ABS(B619-B618),"")</f>
        <v/>
      </c>
      <c r="D619" s="13">
        <f>IF(AND(ISNUMBER(B619),ISNUMBER($B$88),ISNUMBER($D$88)),IF(B619&gt;$D$88,"boven UCL",IF(B619&lt;$B$88,"onder LCL","")),"")</f>
        <v/>
      </c>
      <c r="E619" s="13">
        <f>IF(AND(ISNUMBER(C619),ISNUMBER($B$89),ISNUMBER($D$89)),IF(C619&gt;$D$89,"boven UCL",IF(C619&lt;$B$89,"onder LCL","")),"")</f>
        <v/>
      </c>
      <c r="G619" t="n">
        <v>513</v>
      </c>
      <c r="H619" s="7" t="n"/>
      <c r="I619" s="7" t="n"/>
      <c r="J619" s="11">
        <f>IF(AND(ISNUMBER(H619),ISNUMBER(I619),H619&gt;0,ISNUMBER($B$94)),I619/H619,"")</f>
        <v/>
      </c>
      <c r="K619" s="11">
        <f>IF(AND(ISNUMBER(H619),ISNUMBER(I619),H619&gt;0,ISNUMBER($B$94)),MAX(0,$B$94-3*SQRT($B$94*(1-$B$94)/H619)),"")</f>
        <v/>
      </c>
      <c r="L619" s="11">
        <f>IF(AND(ISNUMBER(H619),ISNUMBER(I619),H619&gt;0,ISNUMBER($B$94)),$B$94+3*SQRT($B$94*(1-$B$94)/H619),"")</f>
        <v/>
      </c>
      <c r="M619" s="13">
        <f>IF(AND(ISNUMBER(J619),ISNUMBER(K619),ISNUMBER(L619)),IF(J619&gt;L619,"boven UCL",IF(J619&lt;K619,"onder LCL","")),"")</f>
        <v/>
      </c>
      <c r="O619" t="n">
        <v>513</v>
      </c>
      <c r="P619" s="7" t="n"/>
      <c r="Q619" s="7" t="n"/>
      <c r="R619" s="11">
        <f>IF(AND(ISNUMBER(P619),ISNUMBER(Q619),P619&gt;0,ISNUMBER($B$100)),Q619/P619,"")</f>
        <v/>
      </c>
      <c r="S619" s="11">
        <f>IF(AND(ISNUMBER(P619),ISNUMBER(Q619),P619&gt;0,ISNUMBER($B$100)),MAX(0,$B$100-3*SQRT($B$100/P619)),"")</f>
        <v/>
      </c>
      <c r="T619" s="11">
        <f>IF(AND(ISNUMBER(P619),ISNUMBER(Q619),P619&gt;0,ISNUMBER($B$100)),$B$100+3*SQRT($B$100/P619),"")</f>
        <v/>
      </c>
      <c r="U619" s="13">
        <f>IF(AND(ISNUMBER(R619),ISNUMBER(S619),ISNUMBER(T619)),IF(R619&gt;T619,"boven UCL",IF(R619&lt;S619,"onder LCL","")),"")</f>
        <v/>
      </c>
    </row>
    <row r="620">
      <c r="A620" t="n">
        <v>514</v>
      </c>
      <c r="B620" s="7" t="n"/>
      <c r="C620" s="11">
        <f>IF(AND(ISNUMBER(B620),ISNUMBER(B619)),ABS(B620-B619),"")</f>
        <v/>
      </c>
      <c r="D620" s="13">
        <f>IF(AND(ISNUMBER(B620),ISNUMBER($B$88),ISNUMBER($D$88)),IF(B620&gt;$D$88,"boven UCL",IF(B620&lt;$B$88,"onder LCL","")),"")</f>
        <v/>
      </c>
      <c r="E620" s="13">
        <f>IF(AND(ISNUMBER(C620),ISNUMBER($B$89),ISNUMBER($D$89)),IF(C620&gt;$D$89,"boven UCL",IF(C620&lt;$B$89,"onder LCL","")),"")</f>
        <v/>
      </c>
      <c r="G620" t="n">
        <v>514</v>
      </c>
      <c r="H620" s="7" t="n"/>
      <c r="I620" s="7" t="n"/>
      <c r="J620" s="11">
        <f>IF(AND(ISNUMBER(H620),ISNUMBER(I620),H620&gt;0,ISNUMBER($B$94)),I620/H620,"")</f>
        <v/>
      </c>
      <c r="K620" s="11">
        <f>IF(AND(ISNUMBER(H620),ISNUMBER(I620),H620&gt;0,ISNUMBER($B$94)),MAX(0,$B$94-3*SQRT($B$94*(1-$B$94)/H620)),"")</f>
        <v/>
      </c>
      <c r="L620" s="11">
        <f>IF(AND(ISNUMBER(H620),ISNUMBER(I620),H620&gt;0,ISNUMBER($B$94)),$B$94+3*SQRT($B$94*(1-$B$94)/H620),"")</f>
        <v/>
      </c>
      <c r="M620" s="13">
        <f>IF(AND(ISNUMBER(J620),ISNUMBER(K620),ISNUMBER(L620)),IF(J620&gt;L620,"boven UCL",IF(J620&lt;K620,"onder LCL","")),"")</f>
        <v/>
      </c>
      <c r="O620" t="n">
        <v>514</v>
      </c>
      <c r="P620" s="7" t="n"/>
      <c r="Q620" s="7" t="n"/>
      <c r="R620" s="11">
        <f>IF(AND(ISNUMBER(P620),ISNUMBER(Q620),P620&gt;0,ISNUMBER($B$100)),Q620/P620,"")</f>
        <v/>
      </c>
      <c r="S620" s="11">
        <f>IF(AND(ISNUMBER(P620),ISNUMBER(Q620),P620&gt;0,ISNUMBER($B$100)),MAX(0,$B$100-3*SQRT($B$100/P620)),"")</f>
        <v/>
      </c>
      <c r="T620" s="11">
        <f>IF(AND(ISNUMBER(P620),ISNUMBER(Q620),P620&gt;0,ISNUMBER($B$100)),$B$100+3*SQRT($B$100/P620),"")</f>
        <v/>
      </c>
      <c r="U620" s="13">
        <f>IF(AND(ISNUMBER(R620),ISNUMBER(S620),ISNUMBER(T620)),IF(R620&gt;T620,"boven UCL",IF(R620&lt;S620,"onder LCL","")),"")</f>
        <v/>
      </c>
    </row>
    <row r="621">
      <c r="A621" t="n">
        <v>515</v>
      </c>
      <c r="B621" s="7" t="n"/>
      <c r="C621" s="11">
        <f>IF(AND(ISNUMBER(B621),ISNUMBER(B620)),ABS(B621-B620),"")</f>
        <v/>
      </c>
      <c r="D621" s="13">
        <f>IF(AND(ISNUMBER(B621),ISNUMBER($B$88),ISNUMBER($D$88)),IF(B621&gt;$D$88,"boven UCL",IF(B621&lt;$B$88,"onder LCL","")),"")</f>
        <v/>
      </c>
      <c r="E621" s="13">
        <f>IF(AND(ISNUMBER(C621),ISNUMBER($B$89),ISNUMBER($D$89)),IF(C621&gt;$D$89,"boven UCL",IF(C621&lt;$B$89,"onder LCL","")),"")</f>
        <v/>
      </c>
      <c r="G621" t="n">
        <v>515</v>
      </c>
      <c r="H621" s="7" t="n"/>
      <c r="I621" s="7" t="n"/>
      <c r="J621" s="11">
        <f>IF(AND(ISNUMBER(H621),ISNUMBER(I621),H621&gt;0,ISNUMBER($B$94)),I621/H621,"")</f>
        <v/>
      </c>
      <c r="K621" s="11">
        <f>IF(AND(ISNUMBER(H621),ISNUMBER(I621),H621&gt;0,ISNUMBER($B$94)),MAX(0,$B$94-3*SQRT($B$94*(1-$B$94)/H621)),"")</f>
        <v/>
      </c>
      <c r="L621" s="11">
        <f>IF(AND(ISNUMBER(H621),ISNUMBER(I621),H621&gt;0,ISNUMBER($B$94)),$B$94+3*SQRT($B$94*(1-$B$94)/H621),"")</f>
        <v/>
      </c>
      <c r="M621" s="13">
        <f>IF(AND(ISNUMBER(J621),ISNUMBER(K621),ISNUMBER(L621)),IF(J621&gt;L621,"boven UCL",IF(J621&lt;K621,"onder LCL","")),"")</f>
        <v/>
      </c>
      <c r="O621" t="n">
        <v>515</v>
      </c>
      <c r="P621" s="7" t="n"/>
      <c r="Q621" s="7" t="n"/>
      <c r="R621" s="11">
        <f>IF(AND(ISNUMBER(P621),ISNUMBER(Q621),P621&gt;0,ISNUMBER($B$100)),Q621/P621,"")</f>
        <v/>
      </c>
      <c r="S621" s="11">
        <f>IF(AND(ISNUMBER(P621),ISNUMBER(Q621),P621&gt;0,ISNUMBER($B$100)),MAX(0,$B$100-3*SQRT($B$100/P621)),"")</f>
        <v/>
      </c>
      <c r="T621" s="11">
        <f>IF(AND(ISNUMBER(P621),ISNUMBER(Q621),P621&gt;0,ISNUMBER($B$100)),$B$100+3*SQRT($B$100/P621),"")</f>
        <v/>
      </c>
      <c r="U621" s="13">
        <f>IF(AND(ISNUMBER(R621),ISNUMBER(S621),ISNUMBER(T621)),IF(R621&gt;T621,"boven UCL",IF(R621&lt;S621,"onder LCL","")),"")</f>
        <v/>
      </c>
    </row>
    <row r="622">
      <c r="A622" t="n">
        <v>516</v>
      </c>
      <c r="B622" s="7" t="n"/>
      <c r="C622" s="11">
        <f>IF(AND(ISNUMBER(B622),ISNUMBER(B621)),ABS(B622-B621),"")</f>
        <v/>
      </c>
      <c r="D622" s="13">
        <f>IF(AND(ISNUMBER(B622),ISNUMBER($B$88),ISNUMBER($D$88)),IF(B622&gt;$D$88,"boven UCL",IF(B622&lt;$B$88,"onder LCL","")),"")</f>
        <v/>
      </c>
      <c r="E622" s="13">
        <f>IF(AND(ISNUMBER(C622),ISNUMBER($B$89),ISNUMBER($D$89)),IF(C622&gt;$D$89,"boven UCL",IF(C622&lt;$B$89,"onder LCL","")),"")</f>
        <v/>
      </c>
      <c r="G622" t="n">
        <v>516</v>
      </c>
      <c r="H622" s="7" t="n"/>
      <c r="I622" s="7" t="n"/>
      <c r="J622" s="11">
        <f>IF(AND(ISNUMBER(H622),ISNUMBER(I622),H622&gt;0,ISNUMBER($B$94)),I622/H622,"")</f>
        <v/>
      </c>
      <c r="K622" s="11">
        <f>IF(AND(ISNUMBER(H622),ISNUMBER(I622),H622&gt;0,ISNUMBER($B$94)),MAX(0,$B$94-3*SQRT($B$94*(1-$B$94)/H622)),"")</f>
        <v/>
      </c>
      <c r="L622" s="11">
        <f>IF(AND(ISNUMBER(H622),ISNUMBER(I622),H622&gt;0,ISNUMBER($B$94)),$B$94+3*SQRT($B$94*(1-$B$94)/H622),"")</f>
        <v/>
      </c>
      <c r="M622" s="13">
        <f>IF(AND(ISNUMBER(J622),ISNUMBER(K622),ISNUMBER(L622)),IF(J622&gt;L622,"boven UCL",IF(J622&lt;K622,"onder LCL","")),"")</f>
        <v/>
      </c>
      <c r="O622" t="n">
        <v>516</v>
      </c>
      <c r="P622" s="7" t="n"/>
      <c r="Q622" s="7" t="n"/>
      <c r="R622" s="11">
        <f>IF(AND(ISNUMBER(P622),ISNUMBER(Q622),P622&gt;0,ISNUMBER($B$100)),Q622/P622,"")</f>
        <v/>
      </c>
      <c r="S622" s="11">
        <f>IF(AND(ISNUMBER(P622),ISNUMBER(Q622),P622&gt;0,ISNUMBER($B$100)),MAX(0,$B$100-3*SQRT($B$100/P622)),"")</f>
        <v/>
      </c>
      <c r="T622" s="11">
        <f>IF(AND(ISNUMBER(P622),ISNUMBER(Q622),P622&gt;0,ISNUMBER($B$100)),$B$100+3*SQRT($B$100/P622),"")</f>
        <v/>
      </c>
      <c r="U622" s="13">
        <f>IF(AND(ISNUMBER(R622),ISNUMBER(S622),ISNUMBER(T622)),IF(R622&gt;T622,"boven UCL",IF(R622&lt;S622,"onder LCL","")),"")</f>
        <v/>
      </c>
    </row>
    <row r="623">
      <c r="A623" t="n">
        <v>517</v>
      </c>
      <c r="B623" s="7" t="n"/>
      <c r="C623" s="11">
        <f>IF(AND(ISNUMBER(B623),ISNUMBER(B622)),ABS(B623-B622),"")</f>
        <v/>
      </c>
      <c r="D623" s="13">
        <f>IF(AND(ISNUMBER(B623),ISNUMBER($B$88),ISNUMBER($D$88)),IF(B623&gt;$D$88,"boven UCL",IF(B623&lt;$B$88,"onder LCL","")),"")</f>
        <v/>
      </c>
      <c r="E623" s="13">
        <f>IF(AND(ISNUMBER(C623),ISNUMBER($B$89),ISNUMBER($D$89)),IF(C623&gt;$D$89,"boven UCL",IF(C623&lt;$B$89,"onder LCL","")),"")</f>
        <v/>
      </c>
      <c r="G623" t="n">
        <v>517</v>
      </c>
      <c r="H623" s="7" t="n"/>
      <c r="I623" s="7" t="n"/>
      <c r="J623" s="11">
        <f>IF(AND(ISNUMBER(H623),ISNUMBER(I623),H623&gt;0,ISNUMBER($B$94)),I623/H623,"")</f>
        <v/>
      </c>
      <c r="K623" s="11">
        <f>IF(AND(ISNUMBER(H623),ISNUMBER(I623),H623&gt;0,ISNUMBER($B$94)),MAX(0,$B$94-3*SQRT($B$94*(1-$B$94)/H623)),"")</f>
        <v/>
      </c>
      <c r="L623" s="11">
        <f>IF(AND(ISNUMBER(H623),ISNUMBER(I623),H623&gt;0,ISNUMBER($B$94)),$B$94+3*SQRT($B$94*(1-$B$94)/H623),"")</f>
        <v/>
      </c>
      <c r="M623" s="13">
        <f>IF(AND(ISNUMBER(J623),ISNUMBER(K623),ISNUMBER(L623)),IF(J623&gt;L623,"boven UCL",IF(J623&lt;K623,"onder LCL","")),"")</f>
        <v/>
      </c>
      <c r="O623" t="n">
        <v>517</v>
      </c>
      <c r="P623" s="7" t="n"/>
      <c r="Q623" s="7" t="n"/>
      <c r="R623" s="11">
        <f>IF(AND(ISNUMBER(P623),ISNUMBER(Q623),P623&gt;0,ISNUMBER($B$100)),Q623/P623,"")</f>
        <v/>
      </c>
      <c r="S623" s="11">
        <f>IF(AND(ISNUMBER(P623),ISNUMBER(Q623),P623&gt;0,ISNUMBER($B$100)),MAX(0,$B$100-3*SQRT($B$100/P623)),"")</f>
        <v/>
      </c>
      <c r="T623" s="11">
        <f>IF(AND(ISNUMBER(P623),ISNUMBER(Q623),P623&gt;0,ISNUMBER($B$100)),$B$100+3*SQRT($B$100/P623),"")</f>
        <v/>
      </c>
      <c r="U623" s="13">
        <f>IF(AND(ISNUMBER(R623),ISNUMBER(S623),ISNUMBER(T623)),IF(R623&gt;T623,"boven UCL",IF(R623&lt;S623,"onder LCL","")),"")</f>
        <v/>
      </c>
    </row>
    <row r="624">
      <c r="A624" t="n">
        <v>518</v>
      </c>
      <c r="B624" s="7" t="n"/>
      <c r="C624" s="11">
        <f>IF(AND(ISNUMBER(B624),ISNUMBER(B623)),ABS(B624-B623),"")</f>
        <v/>
      </c>
      <c r="D624" s="13">
        <f>IF(AND(ISNUMBER(B624),ISNUMBER($B$88),ISNUMBER($D$88)),IF(B624&gt;$D$88,"boven UCL",IF(B624&lt;$B$88,"onder LCL","")),"")</f>
        <v/>
      </c>
      <c r="E624" s="13">
        <f>IF(AND(ISNUMBER(C624),ISNUMBER($B$89),ISNUMBER($D$89)),IF(C624&gt;$D$89,"boven UCL",IF(C624&lt;$B$89,"onder LCL","")),"")</f>
        <v/>
      </c>
      <c r="G624" t="n">
        <v>518</v>
      </c>
      <c r="H624" s="7" t="n"/>
      <c r="I624" s="7" t="n"/>
      <c r="J624" s="11">
        <f>IF(AND(ISNUMBER(H624),ISNUMBER(I624),H624&gt;0,ISNUMBER($B$94)),I624/H624,"")</f>
        <v/>
      </c>
      <c r="K624" s="11">
        <f>IF(AND(ISNUMBER(H624),ISNUMBER(I624),H624&gt;0,ISNUMBER($B$94)),MAX(0,$B$94-3*SQRT($B$94*(1-$B$94)/H624)),"")</f>
        <v/>
      </c>
      <c r="L624" s="11">
        <f>IF(AND(ISNUMBER(H624),ISNUMBER(I624),H624&gt;0,ISNUMBER($B$94)),$B$94+3*SQRT($B$94*(1-$B$94)/H624),"")</f>
        <v/>
      </c>
      <c r="M624" s="13">
        <f>IF(AND(ISNUMBER(J624),ISNUMBER(K624),ISNUMBER(L624)),IF(J624&gt;L624,"boven UCL",IF(J624&lt;K624,"onder LCL","")),"")</f>
        <v/>
      </c>
      <c r="O624" t="n">
        <v>518</v>
      </c>
      <c r="P624" s="7" t="n"/>
      <c r="Q624" s="7" t="n"/>
      <c r="R624" s="11">
        <f>IF(AND(ISNUMBER(P624),ISNUMBER(Q624),P624&gt;0,ISNUMBER($B$100)),Q624/P624,"")</f>
        <v/>
      </c>
      <c r="S624" s="11">
        <f>IF(AND(ISNUMBER(P624),ISNUMBER(Q624),P624&gt;0,ISNUMBER($B$100)),MAX(0,$B$100-3*SQRT($B$100/P624)),"")</f>
        <v/>
      </c>
      <c r="T624" s="11">
        <f>IF(AND(ISNUMBER(P624),ISNUMBER(Q624),P624&gt;0,ISNUMBER($B$100)),$B$100+3*SQRT($B$100/P624),"")</f>
        <v/>
      </c>
      <c r="U624" s="13">
        <f>IF(AND(ISNUMBER(R624),ISNUMBER(S624),ISNUMBER(T624)),IF(R624&gt;T624,"boven UCL",IF(R624&lt;S624,"onder LCL","")),"")</f>
        <v/>
      </c>
    </row>
    <row r="625">
      <c r="A625" t="n">
        <v>519</v>
      </c>
      <c r="B625" s="7" t="n"/>
      <c r="C625" s="11">
        <f>IF(AND(ISNUMBER(B625),ISNUMBER(B624)),ABS(B625-B624),"")</f>
        <v/>
      </c>
      <c r="D625" s="13">
        <f>IF(AND(ISNUMBER(B625),ISNUMBER($B$88),ISNUMBER($D$88)),IF(B625&gt;$D$88,"boven UCL",IF(B625&lt;$B$88,"onder LCL","")),"")</f>
        <v/>
      </c>
      <c r="E625" s="13">
        <f>IF(AND(ISNUMBER(C625),ISNUMBER($B$89),ISNUMBER($D$89)),IF(C625&gt;$D$89,"boven UCL",IF(C625&lt;$B$89,"onder LCL","")),"")</f>
        <v/>
      </c>
      <c r="G625" t="n">
        <v>519</v>
      </c>
      <c r="H625" s="7" t="n"/>
      <c r="I625" s="7" t="n"/>
      <c r="J625" s="11">
        <f>IF(AND(ISNUMBER(H625),ISNUMBER(I625),H625&gt;0,ISNUMBER($B$94)),I625/H625,"")</f>
        <v/>
      </c>
      <c r="K625" s="11">
        <f>IF(AND(ISNUMBER(H625),ISNUMBER(I625),H625&gt;0,ISNUMBER($B$94)),MAX(0,$B$94-3*SQRT($B$94*(1-$B$94)/H625)),"")</f>
        <v/>
      </c>
      <c r="L625" s="11">
        <f>IF(AND(ISNUMBER(H625),ISNUMBER(I625),H625&gt;0,ISNUMBER($B$94)),$B$94+3*SQRT($B$94*(1-$B$94)/H625),"")</f>
        <v/>
      </c>
      <c r="M625" s="13">
        <f>IF(AND(ISNUMBER(J625),ISNUMBER(K625),ISNUMBER(L625)),IF(J625&gt;L625,"boven UCL",IF(J625&lt;K625,"onder LCL","")),"")</f>
        <v/>
      </c>
      <c r="O625" t="n">
        <v>519</v>
      </c>
      <c r="P625" s="7" t="n"/>
      <c r="Q625" s="7" t="n"/>
      <c r="R625" s="11">
        <f>IF(AND(ISNUMBER(P625),ISNUMBER(Q625),P625&gt;0,ISNUMBER($B$100)),Q625/P625,"")</f>
        <v/>
      </c>
      <c r="S625" s="11">
        <f>IF(AND(ISNUMBER(P625),ISNUMBER(Q625),P625&gt;0,ISNUMBER($B$100)),MAX(0,$B$100-3*SQRT($B$100/P625)),"")</f>
        <v/>
      </c>
      <c r="T625" s="11">
        <f>IF(AND(ISNUMBER(P625),ISNUMBER(Q625),P625&gt;0,ISNUMBER($B$100)),$B$100+3*SQRT($B$100/P625),"")</f>
        <v/>
      </c>
      <c r="U625" s="13">
        <f>IF(AND(ISNUMBER(R625),ISNUMBER(S625),ISNUMBER(T625)),IF(R625&gt;T625,"boven UCL",IF(R625&lt;S625,"onder LCL","")),"")</f>
        <v/>
      </c>
    </row>
    <row r="626">
      <c r="A626" t="n">
        <v>520</v>
      </c>
      <c r="B626" s="7" t="n"/>
      <c r="C626" s="11">
        <f>IF(AND(ISNUMBER(B626),ISNUMBER(B625)),ABS(B626-B625),"")</f>
        <v/>
      </c>
      <c r="D626" s="13">
        <f>IF(AND(ISNUMBER(B626),ISNUMBER($B$88),ISNUMBER($D$88)),IF(B626&gt;$D$88,"boven UCL",IF(B626&lt;$B$88,"onder LCL","")),"")</f>
        <v/>
      </c>
      <c r="E626" s="13">
        <f>IF(AND(ISNUMBER(C626),ISNUMBER($B$89),ISNUMBER($D$89)),IF(C626&gt;$D$89,"boven UCL",IF(C626&lt;$B$89,"onder LCL","")),"")</f>
        <v/>
      </c>
      <c r="G626" t="n">
        <v>520</v>
      </c>
      <c r="H626" s="7" t="n"/>
      <c r="I626" s="7" t="n"/>
      <c r="J626" s="11">
        <f>IF(AND(ISNUMBER(H626),ISNUMBER(I626),H626&gt;0,ISNUMBER($B$94)),I626/H626,"")</f>
        <v/>
      </c>
      <c r="K626" s="11">
        <f>IF(AND(ISNUMBER(H626),ISNUMBER(I626),H626&gt;0,ISNUMBER($B$94)),MAX(0,$B$94-3*SQRT($B$94*(1-$B$94)/H626)),"")</f>
        <v/>
      </c>
      <c r="L626" s="11">
        <f>IF(AND(ISNUMBER(H626),ISNUMBER(I626),H626&gt;0,ISNUMBER($B$94)),$B$94+3*SQRT($B$94*(1-$B$94)/H626),"")</f>
        <v/>
      </c>
      <c r="M626" s="13">
        <f>IF(AND(ISNUMBER(J626),ISNUMBER(K626),ISNUMBER(L626)),IF(J626&gt;L626,"boven UCL",IF(J626&lt;K626,"onder LCL","")),"")</f>
        <v/>
      </c>
      <c r="O626" t="n">
        <v>520</v>
      </c>
      <c r="P626" s="7" t="n"/>
      <c r="Q626" s="7" t="n"/>
      <c r="R626" s="11">
        <f>IF(AND(ISNUMBER(P626),ISNUMBER(Q626),P626&gt;0,ISNUMBER($B$100)),Q626/P626,"")</f>
        <v/>
      </c>
      <c r="S626" s="11">
        <f>IF(AND(ISNUMBER(P626),ISNUMBER(Q626),P626&gt;0,ISNUMBER($B$100)),MAX(0,$B$100-3*SQRT($B$100/P626)),"")</f>
        <v/>
      </c>
      <c r="T626" s="11">
        <f>IF(AND(ISNUMBER(P626),ISNUMBER(Q626),P626&gt;0,ISNUMBER($B$100)),$B$100+3*SQRT($B$100/P626),"")</f>
        <v/>
      </c>
      <c r="U626" s="13">
        <f>IF(AND(ISNUMBER(R626),ISNUMBER(S626),ISNUMBER(T626)),IF(R626&gt;T626,"boven UCL",IF(R626&lt;S626,"onder LCL","")),"")</f>
        <v/>
      </c>
    </row>
    <row r="627">
      <c r="A627" t="n">
        <v>521</v>
      </c>
      <c r="B627" s="7" t="n"/>
      <c r="C627" s="11">
        <f>IF(AND(ISNUMBER(B627),ISNUMBER(B626)),ABS(B627-B626),"")</f>
        <v/>
      </c>
      <c r="D627" s="13">
        <f>IF(AND(ISNUMBER(B627),ISNUMBER($B$88),ISNUMBER($D$88)),IF(B627&gt;$D$88,"boven UCL",IF(B627&lt;$B$88,"onder LCL","")),"")</f>
        <v/>
      </c>
      <c r="E627" s="13">
        <f>IF(AND(ISNUMBER(C627),ISNUMBER($B$89),ISNUMBER($D$89)),IF(C627&gt;$D$89,"boven UCL",IF(C627&lt;$B$89,"onder LCL","")),"")</f>
        <v/>
      </c>
      <c r="G627" t="n">
        <v>521</v>
      </c>
      <c r="H627" s="7" t="n"/>
      <c r="I627" s="7" t="n"/>
      <c r="J627" s="11">
        <f>IF(AND(ISNUMBER(H627),ISNUMBER(I627),H627&gt;0,ISNUMBER($B$94)),I627/H627,"")</f>
        <v/>
      </c>
      <c r="K627" s="11">
        <f>IF(AND(ISNUMBER(H627),ISNUMBER(I627),H627&gt;0,ISNUMBER($B$94)),MAX(0,$B$94-3*SQRT($B$94*(1-$B$94)/H627)),"")</f>
        <v/>
      </c>
      <c r="L627" s="11">
        <f>IF(AND(ISNUMBER(H627),ISNUMBER(I627),H627&gt;0,ISNUMBER($B$94)),$B$94+3*SQRT($B$94*(1-$B$94)/H627),"")</f>
        <v/>
      </c>
      <c r="M627" s="13">
        <f>IF(AND(ISNUMBER(J627),ISNUMBER(K627),ISNUMBER(L627)),IF(J627&gt;L627,"boven UCL",IF(J627&lt;K627,"onder LCL","")),"")</f>
        <v/>
      </c>
      <c r="O627" t="n">
        <v>521</v>
      </c>
      <c r="P627" s="7" t="n"/>
      <c r="Q627" s="7" t="n"/>
      <c r="R627" s="11">
        <f>IF(AND(ISNUMBER(P627),ISNUMBER(Q627),P627&gt;0,ISNUMBER($B$100)),Q627/P627,"")</f>
        <v/>
      </c>
      <c r="S627" s="11">
        <f>IF(AND(ISNUMBER(P627),ISNUMBER(Q627),P627&gt;0,ISNUMBER($B$100)),MAX(0,$B$100-3*SQRT($B$100/P627)),"")</f>
        <v/>
      </c>
      <c r="T627" s="11">
        <f>IF(AND(ISNUMBER(P627),ISNUMBER(Q627),P627&gt;0,ISNUMBER($B$100)),$B$100+3*SQRT($B$100/P627),"")</f>
        <v/>
      </c>
      <c r="U627" s="13">
        <f>IF(AND(ISNUMBER(R627),ISNUMBER(S627),ISNUMBER(T627)),IF(R627&gt;T627,"boven UCL",IF(R627&lt;S627,"onder LCL","")),"")</f>
        <v/>
      </c>
    </row>
    <row r="628">
      <c r="A628" t="n">
        <v>522</v>
      </c>
      <c r="B628" s="7" t="n"/>
      <c r="C628" s="11">
        <f>IF(AND(ISNUMBER(B628),ISNUMBER(B627)),ABS(B628-B627),"")</f>
        <v/>
      </c>
      <c r="D628" s="13">
        <f>IF(AND(ISNUMBER(B628),ISNUMBER($B$88),ISNUMBER($D$88)),IF(B628&gt;$D$88,"boven UCL",IF(B628&lt;$B$88,"onder LCL","")),"")</f>
        <v/>
      </c>
      <c r="E628" s="13">
        <f>IF(AND(ISNUMBER(C628),ISNUMBER($B$89),ISNUMBER($D$89)),IF(C628&gt;$D$89,"boven UCL",IF(C628&lt;$B$89,"onder LCL","")),"")</f>
        <v/>
      </c>
      <c r="G628" t="n">
        <v>522</v>
      </c>
      <c r="H628" s="7" t="n"/>
      <c r="I628" s="7" t="n"/>
      <c r="J628" s="11">
        <f>IF(AND(ISNUMBER(H628),ISNUMBER(I628),H628&gt;0,ISNUMBER($B$94)),I628/H628,"")</f>
        <v/>
      </c>
      <c r="K628" s="11">
        <f>IF(AND(ISNUMBER(H628),ISNUMBER(I628),H628&gt;0,ISNUMBER($B$94)),MAX(0,$B$94-3*SQRT($B$94*(1-$B$94)/H628)),"")</f>
        <v/>
      </c>
      <c r="L628" s="11">
        <f>IF(AND(ISNUMBER(H628),ISNUMBER(I628),H628&gt;0,ISNUMBER($B$94)),$B$94+3*SQRT($B$94*(1-$B$94)/H628),"")</f>
        <v/>
      </c>
      <c r="M628" s="13">
        <f>IF(AND(ISNUMBER(J628),ISNUMBER(K628),ISNUMBER(L628)),IF(J628&gt;L628,"boven UCL",IF(J628&lt;K628,"onder LCL","")),"")</f>
        <v/>
      </c>
      <c r="O628" t="n">
        <v>522</v>
      </c>
      <c r="P628" s="7" t="n"/>
      <c r="Q628" s="7" t="n"/>
      <c r="R628" s="11">
        <f>IF(AND(ISNUMBER(P628),ISNUMBER(Q628),P628&gt;0,ISNUMBER($B$100)),Q628/P628,"")</f>
        <v/>
      </c>
      <c r="S628" s="11">
        <f>IF(AND(ISNUMBER(P628),ISNUMBER(Q628),P628&gt;0,ISNUMBER($B$100)),MAX(0,$B$100-3*SQRT($B$100/P628)),"")</f>
        <v/>
      </c>
      <c r="T628" s="11">
        <f>IF(AND(ISNUMBER(P628),ISNUMBER(Q628),P628&gt;0,ISNUMBER($B$100)),$B$100+3*SQRT($B$100/P628),"")</f>
        <v/>
      </c>
      <c r="U628" s="13">
        <f>IF(AND(ISNUMBER(R628),ISNUMBER(S628),ISNUMBER(T628)),IF(R628&gt;T628,"boven UCL",IF(R628&lt;S628,"onder LCL","")),"")</f>
        <v/>
      </c>
    </row>
    <row r="629">
      <c r="A629" t="n">
        <v>523</v>
      </c>
      <c r="B629" s="7" t="n"/>
      <c r="C629" s="11">
        <f>IF(AND(ISNUMBER(B629),ISNUMBER(B628)),ABS(B629-B628),"")</f>
        <v/>
      </c>
      <c r="D629" s="13">
        <f>IF(AND(ISNUMBER(B629),ISNUMBER($B$88),ISNUMBER($D$88)),IF(B629&gt;$D$88,"boven UCL",IF(B629&lt;$B$88,"onder LCL","")),"")</f>
        <v/>
      </c>
      <c r="E629" s="13">
        <f>IF(AND(ISNUMBER(C629),ISNUMBER($B$89),ISNUMBER($D$89)),IF(C629&gt;$D$89,"boven UCL",IF(C629&lt;$B$89,"onder LCL","")),"")</f>
        <v/>
      </c>
      <c r="G629" t="n">
        <v>523</v>
      </c>
      <c r="H629" s="7" t="n"/>
      <c r="I629" s="7" t="n"/>
      <c r="J629" s="11">
        <f>IF(AND(ISNUMBER(H629),ISNUMBER(I629),H629&gt;0,ISNUMBER($B$94)),I629/H629,"")</f>
        <v/>
      </c>
      <c r="K629" s="11">
        <f>IF(AND(ISNUMBER(H629),ISNUMBER(I629),H629&gt;0,ISNUMBER($B$94)),MAX(0,$B$94-3*SQRT($B$94*(1-$B$94)/H629)),"")</f>
        <v/>
      </c>
      <c r="L629" s="11">
        <f>IF(AND(ISNUMBER(H629),ISNUMBER(I629),H629&gt;0,ISNUMBER($B$94)),$B$94+3*SQRT($B$94*(1-$B$94)/H629),"")</f>
        <v/>
      </c>
      <c r="M629" s="13">
        <f>IF(AND(ISNUMBER(J629),ISNUMBER(K629),ISNUMBER(L629)),IF(J629&gt;L629,"boven UCL",IF(J629&lt;K629,"onder LCL","")),"")</f>
        <v/>
      </c>
      <c r="O629" t="n">
        <v>523</v>
      </c>
      <c r="P629" s="7" t="n"/>
      <c r="Q629" s="7" t="n"/>
      <c r="R629" s="11">
        <f>IF(AND(ISNUMBER(P629),ISNUMBER(Q629),P629&gt;0,ISNUMBER($B$100)),Q629/P629,"")</f>
        <v/>
      </c>
      <c r="S629" s="11">
        <f>IF(AND(ISNUMBER(P629),ISNUMBER(Q629),P629&gt;0,ISNUMBER($B$100)),MAX(0,$B$100-3*SQRT($B$100/P629)),"")</f>
        <v/>
      </c>
      <c r="T629" s="11">
        <f>IF(AND(ISNUMBER(P629),ISNUMBER(Q629),P629&gt;0,ISNUMBER($B$100)),$B$100+3*SQRT($B$100/P629),"")</f>
        <v/>
      </c>
      <c r="U629" s="13">
        <f>IF(AND(ISNUMBER(R629),ISNUMBER(S629),ISNUMBER(T629)),IF(R629&gt;T629,"boven UCL",IF(R629&lt;S629,"onder LCL","")),"")</f>
        <v/>
      </c>
    </row>
    <row r="630">
      <c r="A630" t="n">
        <v>524</v>
      </c>
      <c r="B630" s="7" t="n"/>
      <c r="C630" s="11">
        <f>IF(AND(ISNUMBER(B630),ISNUMBER(B629)),ABS(B630-B629),"")</f>
        <v/>
      </c>
      <c r="D630" s="13">
        <f>IF(AND(ISNUMBER(B630),ISNUMBER($B$88),ISNUMBER($D$88)),IF(B630&gt;$D$88,"boven UCL",IF(B630&lt;$B$88,"onder LCL","")),"")</f>
        <v/>
      </c>
      <c r="E630" s="13">
        <f>IF(AND(ISNUMBER(C630),ISNUMBER($B$89),ISNUMBER($D$89)),IF(C630&gt;$D$89,"boven UCL",IF(C630&lt;$B$89,"onder LCL","")),"")</f>
        <v/>
      </c>
      <c r="G630" t="n">
        <v>524</v>
      </c>
      <c r="H630" s="7" t="n"/>
      <c r="I630" s="7" t="n"/>
      <c r="J630" s="11">
        <f>IF(AND(ISNUMBER(H630),ISNUMBER(I630),H630&gt;0,ISNUMBER($B$94)),I630/H630,"")</f>
        <v/>
      </c>
      <c r="K630" s="11">
        <f>IF(AND(ISNUMBER(H630),ISNUMBER(I630),H630&gt;0,ISNUMBER($B$94)),MAX(0,$B$94-3*SQRT($B$94*(1-$B$94)/H630)),"")</f>
        <v/>
      </c>
      <c r="L630" s="11">
        <f>IF(AND(ISNUMBER(H630),ISNUMBER(I630),H630&gt;0,ISNUMBER($B$94)),$B$94+3*SQRT($B$94*(1-$B$94)/H630),"")</f>
        <v/>
      </c>
      <c r="M630" s="13">
        <f>IF(AND(ISNUMBER(J630),ISNUMBER(K630),ISNUMBER(L630)),IF(J630&gt;L630,"boven UCL",IF(J630&lt;K630,"onder LCL","")),"")</f>
        <v/>
      </c>
      <c r="O630" t="n">
        <v>524</v>
      </c>
      <c r="P630" s="7" t="n"/>
      <c r="Q630" s="7" t="n"/>
      <c r="R630" s="11">
        <f>IF(AND(ISNUMBER(P630),ISNUMBER(Q630),P630&gt;0,ISNUMBER($B$100)),Q630/P630,"")</f>
        <v/>
      </c>
      <c r="S630" s="11">
        <f>IF(AND(ISNUMBER(P630),ISNUMBER(Q630),P630&gt;0,ISNUMBER($B$100)),MAX(0,$B$100-3*SQRT($B$100/P630)),"")</f>
        <v/>
      </c>
      <c r="T630" s="11">
        <f>IF(AND(ISNUMBER(P630),ISNUMBER(Q630),P630&gt;0,ISNUMBER($B$100)),$B$100+3*SQRT($B$100/P630),"")</f>
        <v/>
      </c>
      <c r="U630" s="13">
        <f>IF(AND(ISNUMBER(R630),ISNUMBER(S630),ISNUMBER(T630)),IF(R630&gt;T630,"boven UCL",IF(R630&lt;S630,"onder LCL","")),"")</f>
        <v/>
      </c>
    </row>
    <row r="631">
      <c r="A631" t="n">
        <v>525</v>
      </c>
      <c r="B631" s="7" t="n"/>
      <c r="C631" s="11">
        <f>IF(AND(ISNUMBER(B631),ISNUMBER(B630)),ABS(B631-B630),"")</f>
        <v/>
      </c>
      <c r="D631" s="13">
        <f>IF(AND(ISNUMBER(B631),ISNUMBER($B$88),ISNUMBER($D$88)),IF(B631&gt;$D$88,"boven UCL",IF(B631&lt;$B$88,"onder LCL","")),"")</f>
        <v/>
      </c>
      <c r="E631" s="13">
        <f>IF(AND(ISNUMBER(C631),ISNUMBER($B$89),ISNUMBER($D$89)),IF(C631&gt;$D$89,"boven UCL",IF(C631&lt;$B$89,"onder LCL","")),"")</f>
        <v/>
      </c>
      <c r="G631" t="n">
        <v>525</v>
      </c>
      <c r="H631" s="7" t="n"/>
      <c r="I631" s="7" t="n"/>
      <c r="J631" s="11">
        <f>IF(AND(ISNUMBER(H631),ISNUMBER(I631),H631&gt;0,ISNUMBER($B$94)),I631/H631,"")</f>
        <v/>
      </c>
      <c r="K631" s="11">
        <f>IF(AND(ISNUMBER(H631),ISNUMBER(I631),H631&gt;0,ISNUMBER($B$94)),MAX(0,$B$94-3*SQRT($B$94*(1-$B$94)/H631)),"")</f>
        <v/>
      </c>
      <c r="L631" s="11">
        <f>IF(AND(ISNUMBER(H631),ISNUMBER(I631),H631&gt;0,ISNUMBER($B$94)),$B$94+3*SQRT($B$94*(1-$B$94)/H631),"")</f>
        <v/>
      </c>
      <c r="M631" s="13">
        <f>IF(AND(ISNUMBER(J631),ISNUMBER(K631),ISNUMBER(L631)),IF(J631&gt;L631,"boven UCL",IF(J631&lt;K631,"onder LCL","")),"")</f>
        <v/>
      </c>
      <c r="O631" t="n">
        <v>525</v>
      </c>
      <c r="P631" s="7" t="n"/>
      <c r="Q631" s="7" t="n"/>
      <c r="R631" s="11">
        <f>IF(AND(ISNUMBER(P631),ISNUMBER(Q631),P631&gt;0,ISNUMBER($B$100)),Q631/P631,"")</f>
        <v/>
      </c>
      <c r="S631" s="11">
        <f>IF(AND(ISNUMBER(P631),ISNUMBER(Q631),P631&gt;0,ISNUMBER($B$100)),MAX(0,$B$100-3*SQRT($B$100/P631)),"")</f>
        <v/>
      </c>
      <c r="T631" s="11">
        <f>IF(AND(ISNUMBER(P631),ISNUMBER(Q631),P631&gt;0,ISNUMBER($B$100)),$B$100+3*SQRT($B$100/P631),"")</f>
        <v/>
      </c>
      <c r="U631" s="13">
        <f>IF(AND(ISNUMBER(R631),ISNUMBER(S631),ISNUMBER(T631)),IF(R631&gt;T631,"boven UCL",IF(R631&lt;S631,"onder LCL","")),"")</f>
        <v/>
      </c>
    </row>
    <row r="632">
      <c r="A632" t="n">
        <v>526</v>
      </c>
      <c r="B632" s="7" t="n"/>
      <c r="C632" s="11">
        <f>IF(AND(ISNUMBER(B632),ISNUMBER(B631)),ABS(B632-B631),"")</f>
        <v/>
      </c>
      <c r="D632" s="13">
        <f>IF(AND(ISNUMBER(B632),ISNUMBER($B$88),ISNUMBER($D$88)),IF(B632&gt;$D$88,"boven UCL",IF(B632&lt;$B$88,"onder LCL","")),"")</f>
        <v/>
      </c>
      <c r="E632" s="13">
        <f>IF(AND(ISNUMBER(C632),ISNUMBER($B$89),ISNUMBER($D$89)),IF(C632&gt;$D$89,"boven UCL",IF(C632&lt;$B$89,"onder LCL","")),"")</f>
        <v/>
      </c>
      <c r="G632" t="n">
        <v>526</v>
      </c>
      <c r="H632" s="7" t="n"/>
      <c r="I632" s="7" t="n"/>
      <c r="J632" s="11">
        <f>IF(AND(ISNUMBER(H632),ISNUMBER(I632),H632&gt;0,ISNUMBER($B$94)),I632/H632,"")</f>
        <v/>
      </c>
      <c r="K632" s="11">
        <f>IF(AND(ISNUMBER(H632),ISNUMBER(I632),H632&gt;0,ISNUMBER($B$94)),MAX(0,$B$94-3*SQRT($B$94*(1-$B$94)/H632)),"")</f>
        <v/>
      </c>
      <c r="L632" s="11">
        <f>IF(AND(ISNUMBER(H632),ISNUMBER(I632),H632&gt;0,ISNUMBER($B$94)),$B$94+3*SQRT($B$94*(1-$B$94)/H632),"")</f>
        <v/>
      </c>
      <c r="M632" s="13">
        <f>IF(AND(ISNUMBER(J632),ISNUMBER(K632),ISNUMBER(L632)),IF(J632&gt;L632,"boven UCL",IF(J632&lt;K632,"onder LCL","")),"")</f>
        <v/>
      </c>
      <c r="O632" t="n">
        <v>526</v>
      </c>
      <c r="P632" s="7" t="n"/>
      <c r="Q632" s="7" t="n"/>
      <c r="R632" s="11">
        <f>IF(AND(ISNUMBER(P632),ISNUMBER(Q632),P632&gt;0,ISNUMBER($B$100)),Q632/P632,"")</f>
        <v/>
      </c>
      <c r="S632" s="11">
        <f>IF(AND(ISNUMBER(P632),ISNUMBER(Q632),P632&gt;0,ISNUMBER($B$100)),MAX(0,$B$100-3*SQRT($B$100/P632)),"")</f>
        <v/>
      </c>
      <c r="T632" s="11">
        <f>IF(AND(ISNUMBER(P632),ISNUMBER(Q632),P632&gt;0,ISNUMBER($B$100)),$B$100+3*SQRT($B$100/P632),"")</f>
        <v/>
      </c>
      <c r="U632" s="13">
        <f>IF(AND(ISNUMBER(R632),ISNUMBER(S632),ISNUMBER(T632)),IF(R632&gt;T632,"boven UCL",IF(R632&lt;S632,"onder LCL","")),"")</f>
        <v/>
      </c>
    </row>
    <row r="633">
      <c r="A633" t="n">
        <v>527</v>
      </c>
      <c r="B633" s="7" t="n"/>
      <c r="C633" s="11">
        <f>IF(AND(ISNUMBER(B633),ISNUMBER(B632)),ABS(B633-B632),"")</f>
        <v/>
      </c>
      <c r="D633" s="13">
        <f>IF(AND(ISNUMBER(B633),ISNUMBER($B$88),ISNUMBER($D$88)),IF(B633&gt;$D$88,"boven UCL",IF(B633&lt;$B$88,"onder LCL","")),"")</f>
        <v/>
      </c>
      <c r="E633" s="13">
        <f>IF(AND(ISNUMBER(C633),ISNUMBER($B$89),ISNUMBER($D$89)),IF(C633&gt;$D$89,"boven UCL",IF(C633&lt;$B$89,"onder LCL","")),"")</f>
        <v/>
      </c>
      <c r="G633" t="n">
        <v>527</v>
      </c>
      <c r="H633" s="7" t="n"/>
      <c r="I633" s="7" t="n"/>
      <c r="J633" s="11">
        <f>IF(AND(ISNUMBER(H633),ISNUMBER(I633),H633&gt;0,ISNUMBER($B$94)),I633/H633,"")</f>
        <v/>
      </c>
      <c r="K633" s="11">
        <f>IF(AND(ISNUMBER(H633),ISNUMBER(I633),H633&gt;0,ISNUMBER($B$94)),MAX(0,$B$94-3*SQRT($B$94*(1-$B$94)/H633)),"")</f>
        <v/>
      </c>
      <c r="L633" s="11">
        <f>IF(AND(ISNUMBER(H633),ISNUMBER(I633),H633&gt;0,ISNUMBER($B$94)),$B$94+3*SQRT($B$94*(1-$B$94)/H633),"")</f>
        <v/>
      </c>
      <c r="M633" s="13">
        <f>IF(AND(ISNUMBER(J633),ISNUMBER(K633),ISNUMBER(L633)),IF(J633&gt;L633,"boven UCL",IF(J633&lt;K633,"onder LCL","")),"")</f>
        <v/>
      </c>
      <c r="O633" t="n">
        <v>527</v>
      </c>
      <c r="P633" s="7" t="n"/>
      <c r="Q633" s="7" t="n"/>
      <c r="R633" s="11">
        <f>IF(AND(ISNUMBER(P633),ISNUMBER(Q633),P633&gt;0,ISNUMBER($B$100)),Q633/P633,"")</f>
        <v/>
      </c>
      <c r="S633" s="11">
        <f>IF(AND(ISNUMBER(P633),ISNUMBER(Q633),P633&gt;0,ISNUMBER($B$100)),MAX(0,$B$100-3*SQRT($B$100/P633)),"")</f>
        <v/>
      </c>
      <c r="T633" s="11">
        <f>IF(AND(ISNUMBER(P633),ISNUMBER(Q633),P633&gt;0,ISNUMBER($B$100)),$B$100+3*SQRT($B$100/P633),"")</f>
        <v/>
      </c>
      <c r="U633" s="13">
        <f>IF(AND(ISNUMBER(R633),ISNUMBER(S633),ISNUMBER(T633)),IF(R633&gt;T633,"boven UCL",IF(R633&lt;S633,"onder LCL","")),"")</f>
        <v/>
      </c>
    </row>
    <row r="634">
      <c r="A634" t="n">
        <v>528</v>
      </c>
      <c r="B634" s="7" t="n"/>
      <c r="C634" s="11">
        <f>IF(AND(ISNUMBER(B634),ISNUMBER(B633)),ABS(B634-B633),"")</f>
        <v/>
      </c>
      <c r="D634" s="13">
        <f>IF(AND(ISNUMBER(B634),ISNUMBER($B$88),ISNUMBER($D$88)),IF(B634&gt;$D$88,"boven UCL",IF(B634&lt;$B$88,"onder LCL","")),"")</f>
        <v/>
      </c>
      <c r="E634" s="13">
        <f>IF(AND(ISNUMBER(C634),ISNUMBER($B$89),ISNUMBER($D$89)),IF(C634&gt;$D$89,"boven UCL",IF(C634&lt;$B$89,"onder LCL","")),"")</f>
        <v/>
      </c>
      <c r="G634" t="n">
        <v>528</v>
      </c>
      <c r="H634" s="7" t="n"/>
      <c r="I634" s="7" t="n"/>
      <c r="J634" s="11">
        <f>IF(AND(ISNUMBER(H634),ISNUMBER(I634),H634&gt;0,ISNUMBER($B$94)),I634/H634,"")</f>
        <v/>
      </c>
      <c r="K634" s="11">
        <f>IF(AND(ISNUMBER(H634),ISNUMBER(I634),H634&gt;0,ISNUMBER($B$94)),MAX(0,$B$94-3*SQRT($B$94*(1-$B$94)/H634)),"")</f>
        <v/>
      </c>
      <c r="L634" s="11">
        <f>IF(AND(ISNUMBER(H634),ISNUMBER(I634),H634&gt;0,ISNUMBER($B$94)),$B$94+3*SQRT($B$94*(1-$B$94)/H634),"")</f>
        <v/>
      </c>
      <c r="M634" s="13">
        <f>IF(AND(ISNUMBER(J634),ISNUMBER(K634),ISNUMBER(L634)),IF(J634&gt;L634,"boven UCL",IF(J634&lt;K634,"onder LCL","")),"")</f>
        <v/>
      </c>
      <c r="O634" t="n">
        <v>528</v>
      </c>
      <c r="P634" s="7" t="n"/>
      <c r="Q634" s="7" t="n"/>
      <c r="R634" s="11">
        <f>IF(AND(ISNUMBER(P634),ISNUMBER(Q634),P634&gt;0,ISNUMBER($B$100)),Q634/P634,"")</f>
        <v/>
      </c>
      <c r="S634" s="11">
        <f>IF(AND(ISNUMBER(P634),ISNUMBER(Q634),P634&gt;0,ISNUMBER($B$100)),MAX(0,$B$100-3*SQRT($B$100/P634)),"")</f>
        <v/>
      </c>
      <c r="T634" s="11">
        <f>IF(AND(ISNUMBER(P634),ISNUMBER(Q634),P634&gt;0,ISNUMBER($B$100)),$B$100+3*SQRT($B$100/P634),"")</f>
        <v/>
      </c>
      <c r="U634" s="13">
        <f>IF(AND(ISNUMBER(R634),ISNUMBER(S634),ISNUMBER(T634)),IF(R634&gt;T634,"boven UCL",IF(R634&lt;S634,"onder LCL","")),"")</f>
        <v/>
      </c>
    </row>
    <row r="635">
      <c r="A635" t="n">
        <v>529</v>
      </c>
      <c r="B635" s="7" t="n"/>
      <c r="C635" s="11">
        <f>IF(AND(ISNUMBER(B635),ISNUMBER(B634)),ABS(B635-B634),"")</f>
        <v/>
      </c>
      <c r="D635" s="13">
        <f>IF(AND(ISNUMBER(B635),ISNUMBER($B$88),ISNUMBER($D$88)),IF(B635&gt;$D$88,"boven UCL",IF(B635&lt;$B$88,"onder LCL","")),"")</f>
        <v/>
      </c>
      <c r="E635" s="13">
        <f>IF(AND(ISNUMBER(C635),ISNUMBER($B$89),ISNUMBER($D$89)),IF(C635&gt;$D$89,"boven UCL",IF(C635&lt;$B$89,"onder LCL","")),"")</f>
        <v/>
      </c>
      <c r="G635" t="n">
        <v>529</v>
      </c>
      <c r="H635" s="7" t="n"/>
      <c r="I635" s="7" t="n"/>
      <c r="J635" s="11">
        <f>IF(AND(ISNUMBER(H635),ISNUMBER(I635),H635&gt;0,ISNUMBER($B$94)),I635/H635,"")</f>
        <v/>
      </c>
      <c r="K635" s="11">
        <f>IF(AND(ISNUMBER(H635),ISNUMBER(I635),H635&gt;0,ISNUMBER($B$94)),MAX(0,$B$94-3*SQRT($B$94*(1-$B$94)/H635)),"")</f>
        <v/>
      </c>
      <c r="L635" s="11">
        <f>IF(AND(ISNUMBER(H635),ISNUMBER(I635),H635&gt;0,ISNUMBER($B$94)),$B$94+3*SQRT($B$94*(1-$B$94)/H635),"")</f>
        <v/>
      </c>
      <c r="M635" s="13">
        <f>IF(AND(ISNUMBER(J635),ISNUMBER(K635),ISNUMBER(L635)),IF(J635&gt;L635,"boven UCL",IF(J635&lt;K635,"onder LCL","")),"")</f>
        <v/>
      </c>
      <c r="O635" t="n">
        <v>529</v>
      </c>
      <c r="P635" s="7" t="n"/>
      <c r="Q635" s="7" t="n"/>
      <c r="R635" s="11">
        <f>IF(AND(ISNUMBER(P635),ISNUMBER(Q635),P635&gt;0,ISNUMBER($B$100)),Q635/P635,"")</f>
        <v/>
      </c>
      <c r="S635" s="11">
        <f>IF(AND(ISNUMBER(P635),ISNUMBER(Q635),P635&gt;0,ISNUMBER($B$100)),MAX(0,$B$100-3*SQRT($B$100/P635)),"")</f>
        <v/>
      </c>
      <c r="T635" s="11">
        <f>IF(AND(ISNUMBER(P635),ISNUMBER(Q635),P635&gt;0,ISNUMBER($B$100)),$B$100+3*SQRT($B$100/P635),"")</f>
        <v/>
      </c>
      <c r="U635" s="13">
        <f>IF(AND(ISNUMBER(R635),ISNUMBER(S635),ISNUMBER(T635)),IF(R635&gt;T635,"boven UCL",IF(R635&lt;S635,"onder LCL","")),"")</f>
        <v/>
      </c>
    </row>
    <row r="636">
      <c r="A636" t="n">
        <v>530</v>
      </c>
      <c r="B636" s="7" t="n"/>
      <c r="C636" s="11">
        <f>IF(AND(ISNUMBER(B636),ISNUMBER(B635)),ABS(B636-B635),"")</f>
        <v/>
      </c>
      <c r="D636" s="13">
        <f>IF(AND(ISNUMBER(B636),ISNUMBER($B$88),ISNUMBER($D$88)),IF(B636&gt;$D$88,"boven UCL",IF(B636&lt;$B$88,"onder LCL","")),"")</f>
        <v/>
      </c>
      <c r="E636" s="13">
        <f>IF(AND(ISNUMBER(C636),ISNUMBER($B$89),ISNUMBER($D$89)),IF(C636&gt;$D$89,"boven UCL",IF(C636&lt;$B$89,"onder LCL","")),"")</f>
        <v/>
      </c>
      <c r="G636" t="n">
        <v>530</v>
      </c>
      <c r="H636" s="7" t="n"/>
      <c r="I636" s="7" t="n"/>
      <c r="J636" s="11">
        <f>IF(AND(ISNUMBER(H636),ISNUMBER(I636),H636&gt;0,ISNUMBER($B$94)),I636/H636,"")</f>
        <v/>
      </c>
      <c r="K636" s="11">
        <f>IF(AND(ISNUMBER(H636),ISNUMBER(I636),H636&gt;0,ISNUMBER($B$94)),MAX(0,$B$94-3*SQRT($B$94*(1-$B$94)/H636)),"")</f>
        <v/>
      </c>
      <c r="L636" s="11">
        <f>IF(AND(ISNUMBER(H636),ISNUMBER(I636),H636&gt;0,ISNUMBER($B$94)),$B$94+3*SQRT($B$94*(1-$B$94)/H636),"")</f>
        <v/>
      </c>
      <c r="M636" s="13">
        <f>IF(AND(ISNUMBER(J636),ISNUMBER(K636),ISNUMBER(L636)),IF(J636&gt;L636,"boven UCL",IF(J636&lt;K636,"onder LCL","")),"")</f>
        <v/>
      </c>
      <c r="O636" t="n">
        <v>530</v>
      </c>
      <c r="P636" s="7" t="n"/>
      <c r="Q636" s="7" t="n"/>
      <c r="R636" s="11">
        <f>IF(AND(ISNUMBER(P636),ISNUMBER(Q636),P636&gt;0,ISNUMBER($B$100)),Q636/P636,"")</f>
        <v/>
      </c>
      <c r="S636" s="11">
        <f>IF(AND(ISNUMBER(P636),ISNUMBER(Q636),P636&gt;0,ISNUMBER($B$100)),MAX(0,$B$100-3*SQRT($B$100/P636)),"")</f>
        <v/>
      </c>
      <c r="T636" s="11">
        <f>IF(AND(ISNUMBER(P636),ISNUMBER(Q636),P636&gt;0,ISNUMBER($B$100)),$B$100+3*SQRT($B$100/P636),"")</f>
        <v/>
      </c>
      <c r="U636" s="13">
        <f>IF(AND(ISNUMBER(R636),ISNUMBER(S636),ISNUMBER(T636)),IF(R636&gt;T636,"boven UCL",IF(R636&lt;S636,"onder LCL","")),"")</f>
        <v/>
      </c>
    </row>
    <row r="637">
      <c r="A637" t="n">
        <v>531</v>
      </c>
      <c r="B637" s="7" t="n"/>
      <c r="C637" s="11">
        <f>IF(AND(ISNUMBER(B637),ISNUMBER(B636)),ABS(B637-B636),"")</f>
        <v/>
      </c>
      <c r="D637" s="13">
        <f>IF(AND(ISNUMBER(B637),ISNUMBER($B$88),ISNUMBER($D$88)),IF(B637&gt;$D$88,"boven UCL",IF(B637&lt;$B$88,"onder LCL","")),"")</f>
        <v/>
      </c>
      <c r="E637" s="13">
        <f>IF(AND(ISNUMBER(C637),ISNUMBER($B$89),ISNUMBER($D$89)),IF(C637&gt;$D$89,"boven UCL",IF(C637&lt;$B$89,"onder LCL","")),"")</f>
        <v/>
      </c>
      <c r="G637" t="n">
        <v>531</v>
      </c>
      <c r="H637" s="7" t="n"/>
      <c r="I637" s="7" t="n"/>
      <c r="J637" s="11">
        <f>IF(AND(ISNUMBER(H637),ISNUMBER(I637),H637&gt;0,ISNUMBER($B$94)),I637/H637,"")</f>
        <v/>
      </c>
      <c r="K637" s="11">
        <f>IF(AND(ISNUMBER(H637),ISNUMBER(I637),H637&gt;0,ISNUMBER($B$94)),MAX(0,$B$94-3*SQRT($B$94*(1-$B$94)/H637)),"")</f>
        <v/>
      </c>
      <c r="L637" s="11">
        <f>IF(AND(ISNUMBER(H637),ISNUMBER(I637),H637&gt;0,ISNUMBER($B$94)),$B$94+3*SQRT($B$94*(1-$B$94)/H637),"")</f>
        <v/>
      </c>
      <c r="M637" s="13">
        <f>IF(AND(ISNUMBER(J637),ISNUMBER(K637),ISNUMBER(L637)),IF(J637&gt;L637,"boven UCL",IF(J637&lt;K637,"onder LCL","")),"")</f>
        <v/>
      </c>
      <c r="O637" t="n">
        <v>531</v>
      </c>
      <c r="P637" s="7" t="n"/>
      <c r="Q637" s="7" t="n"/>
      <c r="R637" s="11">
        <f>IF(AND(ISNUMBER(P637),ISNUMBER(Q637),P637&gt;0,ISNUMBER($B$100)),Q637/P637,"")</f>
        <v/>
      </c>
      <c r="S637" s="11">
        <f>IF(AND(ISNUMBER(P637),ISNUMBER(Q637),P637&gt;0,ISNUMBER($B$100)),MAX(0,$B$100-3*SQRT($B$100/P637)),"")</f>
        <v/>
      </c>
      <c r="T637" s="11">
        <f>IF(AND(ISNUMBER(P637),ISNUMBER(Q637),P637&gt;0,ISNUMBER($B$100)),$B$100+3*SQRT($B$100/P637),"")</f>
        <v/>
      </c>
      <c r="U637" s="13">
        <f>IF(AND(ISNUMBER(R637),ISNUMBER(S637),ISNUMBER(T637)),IF(R637&gt;T637,"boven UCL",IF(R637&lt;S637,"onder LCL","")),"")</f>
        <v/>
      </c>
    </row>
    <row r="638">
      <c r="A638" t="n">
        <v>532</v>
      </c>
      <c r="B638" s="7" t="n"/>
      <c r="C638" s="11">
        <f>IF(AND(ISNUMBER(B638),ISNUMBER(B637)),ABS(B638-B637),"")</f>
        <v/>
      </c>
      <c r="D638" s="13">
        <f>IF(AND(ISNUMBER(B638),ISNUMBER($B$88),ISNUMBER($D$88)),IF(B638&gt;$D$88,"boven UCL",IF(B638&lt;$B$88,"onder LCL","")),"")</f>
        <v/>
      </c>
      <c r="E638" s="13">
        <f>IF(AND(ISNUMBER(C638),ISNUMBER($B$89),ISNUMBER($D$89)),IF(C638&gt;$D$89,"boven UCL",IF(C638&lt;$B$89,"onder LCL","")),"")</f>
        <v/>
      </c>
      <c r="G638" t="n">
        <v>532</v>
      </c>
      <c r="H638" s="7" t="n"/>
      <c r="I638" s="7" t="n"/>
      <c r="J638" s="11">
        <f>IF(AND(ISNUMBER(H638),ISNUMBER(I638),H638&gt;0,ISNUMBER($B$94)),I638/H638,"")</f>
        <v/>
      </c>
      <c r="K638" s="11">
        <f>IF(AND(ISNUMBER(H638),ISNUMBER(I638),H638&gt;0,ISNUMBER($B$94)),MAX(0,$B$94-3*SQRT($B$94*(1-$B$94)/H638)),"")</f>
        <v/>
      </c>
      <c r="L638" s="11">
        <f>IF(AND(ISNUMBER(H638),ISNUMBER(I638),H638&gt;0,ISNUMBER($B$94)),$B$94+3*SQRT($B$94*(1-$B$94)/H638),"")</f>
        <v/>
      </c>
      <c r="M638" s="13">
        <f>IF(AND(ISNUMBER(J638),ISNUMBER(K638),ISNUMBER(L638)),IF(J638&gt;L638,"boven UCL",IF(J638&lt;K638,"onder LCL","")),"")</f>
        <v/>
      </c>
      <c r="O638" t="n">
        <v>532</v>
      </c>
      <c r="P638" s="7" t="n"/>
      <c r="Q638" s="7" t="n"/>
      <c r="R638" s="11">
        <f>IF(AND(ISNUMBER(P638),ISNUMBER(Q638),P638&gt;0,ISNUMBER($B$100)),Q638/P638,"")</f>
        <v/>
      </c>
      <c r="S638" s="11">
        <f>IF(AND(ISNUMBER(P638),ISNUMBER(Q638),P638&gt;0,ISNUMBER($B$100)),MAX(0,$B$100-3*SQRT($B$100/P638)),"")</f>
        <v/>
      </c>
      <c r="T638" s="11">
        <f>IF(AND(ISNUMBER(P638),ISNUMBER(Q638),P638&gt;0,ISNUMBER($B$100)),$B$100+3*SQRT($B$100/P638),"")</f>
        <v/>
      </c>
      <c r="U638" s="13">
        <f>IF(AND(ISNUMBER(R638),ISNUMBER(S638),ISNUMBER(T638)),IF(R638&gt;T638,"boven UCL",IF(R638&lt;S638,"onder LCL","")),"")</f>
        <v/>
      </c>
    </row>
    <row r="639">
      <c r="A639" t="n">
        <v>533</v>
      </c>
      <c r="B639" s="7" t="n"/>
      <c r="C639" s="11">
        <f>IF(AND(ISNUMBER(B639),ISNUMBER(B638)),ABS(B639-B638),"")</f>
        <v/>
      </c>
      <c r="D639" s="13">
        <f>IF(AND(ISNUMBER(B639),ISNUMBER($B$88),ISNUMBER($D$88)),IF(B639&gt;$D$88,"boven UCL",IF(B639&lt;$B$88,"onder LCL","")),"")</f>
        <v/>
      </c>
      <c r="E639" s="13">
        <f>IF(AND(ISNUMBER(C639),ISNUMBER($B$89),ISNUMBER($D$89)),IF(C639&gt;$D$89,"boven UCL",IF(C639&lt;$B$89,"onder LCL","")),"")</f>
        <v/>
      </c>
      <c r="G639" t="n">
        <v>533</v>
      </c>
      <c r="H639" s="7" t="n"/>
      <c r="I639" s="7" t="n"/>
      <c r="J639" s="11">
        <f>IF(AND(ISNUMBER(H639),ISNUMBER(I639),H639&gt;0,ISNUMBER($B$94)),I639/H639,"")</f>
        <v/>
      </c>
      <c r="K639" s="11">
        <f>IF(AND(ISNUMBER(H639),ISNUMBER(I639),H639&gt;0,ISNUMBER($B$94)),MAX(0,$B$94-3*SQRT($B$94*(1-$B$94)/H639)),"")</f>
        <v/>
      </c>
      <c r="L639" s="11">
        <f>IF(AND(ISNUMBER(H639),ISNUMBER(I639),H639&gt;0,ISNUMBER($B$94)),$B$94+3*SQRT($B$94*(1-$B$94)/H639),"")</f>
        <v/>
      </c>
      <c r="M639" s="13">
        <f>IF(AND(ISNUMBER(J639),ISNUMBER(K639),ISNUMBER(L639)),IF(J639&gt;L639,"boven UCL",IF(J639&lt;K639,"onder LCL","")),"")</f>
        <v/>
      </c>
      <c r="O639" t="n">
        <v>533</v>
      </c>
      <c r="P639" s="7" t="n"/>
      <c r="Q639" s="7" t="n"/>
      <c r="R639" s="11">
        <f>IF(AND(ISNUMBER(P639),ISNUMBER(Q639),P639&gt;0,ISNUMBER($B$100)),Q639/P639,"")</f>
        <v/>
      </c>
      <c r="S639" s="11">
        <f>IF(AND(ISNUMBER(P639),ISNUMBER(Q639),P639&gt;0,ISNUMBER($B$100)),MAX(0,$B$100-3*SQRT($B$100/P639)),"")</f>
        <v/>
      </c>
      <c r="T639" s="11">
        <f>IF(AND(ISNUMBER(P639),ISNUMBER(Q639),P639&gt;0,ISNUMBER($B$100)),$B$100+3*SQRT($B$100/P639),"")</f>
        <v/>
      </c>
      <c r="U639" s="13">
        <f>IF(AND(ISNUMBER(R639),ISNUMBER(S639),ISNUMBER(T639)),IF(R639&gt;T639,"boven UCL",IF(R639&lt;S639,"onder LCL","")),"")</f>
        <v/>
      </c>
    </row>
    <row r="640">
      <c r="A640" t="n">
        <v>534</v>
      </c>
      <c r="B640" s="7" t="n"/>
      <c r="C640" s="11">
        <f>IF(AND(ISNUMBER(B640),ISNUMBER(B639)),ABS(B640-B639),"")</f>
        <v/>
      </c>
      <c r="D640" s="13">
        <f>IF(AND(ISNUMBER(B640),ISNUMBER($B$88),ISNUMBER($D$88)),IF(B640&gt;$D$88,"boven UCL",IF(B640&lt;$B$88,"onder LCL","")),"")</f>
        <v/>
      </c>
      <c r="E640" s="13">
        <f>IF(AND(ISNUMBER(C640),ISNUMBER($B$89),ISNUMBER($D$89)),IF(C640&gt;$D$89,"boven UCL",IF(C640&lt;$B$89,"onder LCL","")),"")</f>
        <v/>
      </c>
      <c r="G640" t="n">
        <v>534</v>
      </c>
      <c r="H640" s="7" t="n"/>
      <c r="I640" s="7" t="n"/>
      <c r="J640" s="11">
        <f>IF(AND(ISNUMBER(H640),ISNUMBER(I640),H640&gt;0,ISNUMBER($B$94)),I640/H640,"")</f>
        <v/>
      </c>
      <c r="K640" s="11">
        <f>IF(AND(ISNUMBER(H640),ISNUMBER(I640),H640&gt;0,ISNUMBER($B$94)),MAX(0,$B$94-3*SQRT($B$94*(1-$B$94)/H640)),"")</f>
        <v/>
      </c>
      <c r="L640" s="11">
        <f>IF(AND(ISNUMBER(H640),ISNUMBER(I640),H640&gt;0,ISNUMBER($B$94)),$B$94+3*SQRT($B$94*(1-$B$94)/H640),"")</f>
        <v/>
      </c>
      <c r="M640" s="13">
        <f>IF(AND(ISNUMBER(J640),ISNUMBER(K640),ISNUMBER(L640)),IF(J640&gt;L640,"boven UCL",IF(J640&lt;K640,"onder LCL","")),"")</f>
        <v/>
      </c>
      <c r="O640" t="n">
        <v>534</v>
      </c>
      <c r="P640" s="7" t="n"/>
      <c r="Q640" s="7" t="n"/>
      <c r="R640" s="11">
        <f>IF(AND(ISNUMBER(P640),ISNUMBER(Q640),P640&gt;0,ISNUMBER($B$100)),Q640/P640,"")</f>
        <v/>
      </c>
      <c r="S640" s="11">
        <f>IF(AND(ISNUMBER(P640),ISNUMBER(Q640),P640&gt;0,ISNUMBER($B$100)),MAX(0,$B$100-3*SQRT($B$100/P640)),"")</f>
        <v/>
      </c>
      <c r="T640" s="11">
        <f>IF(AND(ISNUMBER(P640),ISNUMBER(Q640),P640&gt;0,ISNUMBER($B$100)),$B$100+3*SQRT($B$100/P640),"")</f>
        <v/>
      </c>
      <c r="U640" s="13">
        <f>IF(AND(ISNUMBER(R640),ISNUMBER(S640),ISNUMBER(T640)),IF(R640&gt;T640,"boven UCL",IF(R640&lt;S640,"onder LCL","")),"")</f>
        <v/>
      </c>
    </row>
    <row r="641">
      <c r="A641" t="n">
        <v>535</v>
      </c>
      <c r="B641" s="7" t="n"/>
      <c r="C641" s="11">
        <f>IF(AND(ISNUMBER(B641),ISNUMBER(B640)),ABS(B641-B640),"")</f>
        <v/>
      </c>
      <c r="D641" s="13">
        <f>IF(AND(ISNUMBER(B641),ISNUMBER($B$88),ISNUMBER($D$88)),IF(B641&gt;$D$88,"boven UCL",IF(B641&lt;$B$88,"onder LCL","")),"")</f>
        <v/>
      </c>
      <c r="E641" s="13">
        <f>IF(AND(ISNUMBER(C641),ISNUMBER($B$89),ISNUMBER($D$89)),IF(C641&gt;$D$89,"boven UCL",IF(C641&lt;$B$89,"onder LCL","")),"")</f>
        <v/>
      </c>
      <c r="G641" t="n">
        <v>535</v>
      </c>
      <c r="H641" s="7" t="n"/>
      <c r="I641" s="7" t="n"/>
      <c r="J641" s="11">
        <f>IF(AND(ISNUMBER(H641),ISNUMBER(I641),H641&gt;0,ISNUMBER($B$94)),I641/H641,"")</f>
        <v/>
      </c>
      <c r="K641" s="11">
        <f>IF(AND(ISNUMBER(H641),ISNUMBER(I641),H641&gt;0,ISNUMBER($B$94)),MAX(0,$B$94-3*SQRT($B$94*(1-$B$94)/H641)),"")</f>
        <v/>
      </c>
      <c r="L641" s="11">
        <f>IF(AND(ISNUMBER(H641),ISNUMBER(I641),H641&gt;0,ISNUMBER($B$94)),$B$94+3*SQRT($B$94*(1-$B$94)/H641),"")</f>
        <v/>
      </c>
      <c r="M641" s="13">
        <f>IF(AND(ISNUMBER(J641),ISNUMBER(K641),ISNUMBER(L641)),IF(J641&gt;L641,"boven UCL",IF(J641&lt;K641,"onder LCL","")),"")</f>
        <v/>
      </c>
      <c r="O641" t="n">
        <v>535</v>
      </c>
      <c r="P641" s="7" t="n"/>
      <c r="Q641" s="7" t="n"/>
      <c r="R641" s="11">
        <f>IF(AND(ISNUMBER(P641),ISNUMBER(Q641),P641&gt;0,ISNUMBER($B$100)),Q641/P641,"")</f>
        <v/>
      </c>
      <c r="S641" s="11">
        <f>IF(AND(ISNUMBER(P641),ISNUMBER(Q641),P641&gt;0,ISNUMBER($B$100)),MAX(0,$B$100-3*SQRT($B$100/P641)),"")</f>
        <v/>
      </c>
      <c r="T641" s="11">
        <f>IF(AND(ISNUMBER(P641),ISNUMBER(Q641),P641&gt;0,ISNUMBER($B$100)),$B$100+3*SQRT($B$100/P641),"")</f>
        <v/>
      </c>
      <c r="U641" s="13">
        <f>IF(AND(ISNUMBER(R641),ISNUMBER(S641),ISNUMBER(T641)),IF(R641&gt;T641,"boven UCL",IF(R641&lt;S641,"onder LCL","")),"")</f>
        <v/>
      </c>
    </row>
    <row r="642">
      <c r="A642" t="n">
        <v>536</v>
      </c>
      <c r="B642" s="7" t="n"/>
      <c r="C642" s="11">
        <f>IF(AND(ISNUMBER(B642),ISNUMBER(B641)),ABS(B642-B641),"")</f>
        <v/>
      </c>
      <c r="D642" s="13">
        <f>IF(AND(ISNUMBER(B642),ISNUMBER($B$88),ISNUMBER($D$88)),IF(B642&gt;$D$88,"boven UCL",IF(B642&lt;$B$88,"onder LCL","")),"")</f>
        <v/>
      </c>
      <c r="E642" s="13">
        <f>IF(AND(ISNUMBER(C642),ISNUMBER($B$89),ISNUMBER($D$89)),IF(C642&gt;$D$89,"boven UCL",IF(C642&lt;$B$89,"onder LCL","")),"")</f>
        <v/>
      </c>
      <c r="G642" t="n">
        <v>536</v>
      </c>
      <c r="H642" s="7" t="n"/>
      <c r="I642" s="7" t="n"/>
      <c r="J642" s="11">
        <f>IF(AND(ISNUMBER(H642),ISNUMBER(I642),H642&gt;0,ISNUMBER($B$94)),I642/H642,"")</f>
        <v/>
      </c>
      <c r="K642" s="11">
        <f>IF(AND(ISNUMBER(H642),ISNUMBER(I642),H642&gt;0,ISNUMBER($B$94)),MAX(0,$B$94-3*SQRT($B$94*(1-$B$94)/H642)),"")</f>
        <v/>
      </c>
      <c r="L642" s="11">
        <f>IF(AND(ISNUMBER(H642),ISNUMBER(I642),H642&gt;0,ISNUMBER($B$94)),$B$94+3*SQRT($B$94*(1-$B$94)/H642),"")</f>
        <v/>
      </c>
      <c r="M642" s="13">
        <f>IF(AND(ISNUMBER(J642),ISNUMBER(K642),ISNUMBER(L642)),IF(J642&gt;L642,"boven UCL",IF(J642&lt;K642,"onder LCL","")),"")</f>
        <v/>
      </c>
      <c r="O642" t="n">
        <v>536</v>
      </c>
      <c r="P642" s="7" t="n"/>
      <c r="Q642" s="7" t="n"/>
      <c r="R642" s="11">
        <f>IF(AND(ISNUMBER(P642),ISNUMBER(Q642),P642&gt;0,ISNUMBER($B$100)),Q642/P642,"")</f>
        <v/>
      </c>
      <c r="S642" s="11">
        <f>IF(AND(ISNUMBER(P642),ISNUMBER(Q642),P642&gt;0,ISNUMBER($B$100)),MAX(0,$B$100-3*SQRT($B$100/P642)),"")</f>
        <v/>
      </c>
      <c r="T642" s="11">
        <f>IF(AND(ISNUMBER(P642),ISNUMBER(Q642),P642&gt;0,ISNUMBER($B$100)),$B$100+3*SQRT($B$100/P642),"")</f>
        <v/>
      </c>
      <c r="U642" s="13">
        <f>IF(AND(ISNUMBER(R642),ISNUMBER(S642),ISNUMBER(T642)),IF(R642&gt;T642,"boven UCL",IF(R642&lt;S642,"onder LCL","")),"")</f>
        <v/>
      </c>
    </row>
    <row r="643">
      <c r="A643" t="n">
        <v>537</v>
      </c>
      <c r="B643" s="7" t="n"/>
      <c r="C643" s="11">
        <f>IF(AND(ISNUMBER(B643),ISNUMBER(B642)),ABS(B643-B642),"")</f>
        <v/>
      </c>
      <c r="D643" s="13">
        <f>IF(AND(ISNUMBER(B643),ISNUMBER($B$88),ISNUMBER($D$88)),IF(B643&gt;$D$88,"boven UCL",IF(B643&lt;$B$88,"onder LCL","")),"")</f>
        <v/>
      </c>
      <c r="E643" s="13">
        <f>IF(AND(ISNUMBER(C643),ISNUMBER($B$89),ISNUMBER($D$89)),IF(C643&gt;$D$89,"boven UCL",IF(C643&lt;$B$89,"onder LCL","")),"")</f>
        <v/>
      </c>
      <c r="G643" t="n">
        <v>537</v>
      </c>
      <c r="H643" s="7" t="n"/>
      <c r="I643" s="7" t="n"/>
      <c r="J643" s="11">
        <f>IF(AND(ISNUMBER(H643),ISNUMBER(I643),H643&gt;0,ISNUMBER($B$94)),I643/H643,"")</f>
        <v/>
      </c>
      <c r="K643" s="11">
        <f>IF(AND(ISNUMBER(H643),ISNUMBER(I643),H643&gt;0,ISNUMBER($B$94)),MAX(0,$B$94-3*SQRT($B$94*(1-$B$94)/H643)),"")</f>
        <v/>
      </c>
      <c r="L643" s="11">
        <f>IF(AND(ISNUMBER(H643),ISNUMBER(I643),H643&gt;0,ISNUMBER($B$94)),$B$94+3*SQRT($B$94*(1-$B$94)/H643),"")</f>
        <v/>
      </c>
      <c r="M643" s="13">
        <f>IF(AND(ISNUMBER(J643),ISNUMBER(K643),ISNUMBER(L643)),IF(J643&gt;L643,"boven UCL",IF(J643&lt;K643,"onder LCL","")),"")</f>
        <v/>
      </c>
      <c r="O643" t="n">
        <v>537</v>
      </c>
      <c r="P643" s="7" t="n"/>
      <c r="Q643" s="7" t="n"/>
      <c r="R643" s="11">
        <f>IF(AND(ISNUMBER(P643),ISNUMBER(Q643),P643&gt;0,ISNUMBER($B$100)),Q643/P643,"")</f>
        <v/>
      </c>
      <c r="S643" s="11">
        <f>IF(AND(ISNUMBER(P643),ISNUMBER(Q643),P643&gt;0,ISNUMBER($B$100)),MAX(0,$B$100-3*SQRT($B$100/P643)),"")</f>
        <v/>
      </c>
      <c r="T643" s="11">
        <f>IF(AND(ISNUMBER(P643),ISNUMBER(Q643),P643&gt;0,ISNUMBER($B$100)),$B$100+3*SQRT($B$100/P643),"")</f>
        <v/>
      </c>
      <c r="U643" s="13">
        <f>IF(AND(ISNUMBER(R643),ISNUMBER(S643),ISNUMBER(T643)),IF(R643&gt;T643,"boven UCL",IF(R643&lt;S643,"onder LCL","")),"")</f>
        <v/>
      </c>
    </row>
    <row r="644">
      <c r="A644" t="n">
        <v>538</v>
      </c>
      <c r="B644" s="7" t="n"/>
      <c r="C644" s="11">
        <f>IF(AND(ISNUMBER(B644),ISNUMBER(B643)),ABS(B644-B643),"")</f>
        <v/>
      </c>
      <c r="D644" s="13">
        <f>IF(AND(ISNUMBER(B644),ISNUMBER($B$88),ISNUMBER($D$88)),IF(B644&gt;$D$88,"boven UCL",IF(B644&lt;$B$88,"onder LCL","")),"")</f>
        <v/>
      </c>
      <c r="E644" s="13">
        <f>IF(AND(ISNUMBER(C644),ISNUMBER($B$89),ISNUMBER($D$89)),IF(C644&gt;$D$89,"boven UCL",IF(C644&lt;$B$89,"onder LCL","")),"")</f>
        <v/>
      </c>
      <c r="G644" t="n">
        <v>538</v>
      </c>
      <c r="H644" s="7" t="n"/>
      <c r="I644" s="7" t="n"/>
      <c r="J644" s="11">
        <f>IF(AND(ISNUMBER(H644),ISNUMBER(I644),H644&gt;0,ISNUMBER($B$94)),I644/H644,"")</f>
        <v/>
      </c>
      <c r="K644" s="11">
        <f>IF(AND(ISNUMBER(H644),ISNUMBER(I644),H644&gt;0,ISNUMBER($B$94)),MAX(0,$B$94-3*SQRT($B$94*(1-$B$94)/H644)),"")</f>
        <v/>
      </c>
      <c r="L644" s="11">
        <f>IF(AND(ISNUMBER(H644),ISNUMBER(I644),H644&gt;0,ISNUMBER($B$94)),$B$94+3*SQRT($B$94*(1-$B$94)/H644),"")</f>
        <v/>
      </c>
      <c r="M644" s="13">
        <f>IF(AND(ISNUMBER(J644),ISNUMBER(K644),ISNUMBER(L644)),IF(J644&gt;L644,"boven UCL",IF(J644&lt;K644,"onder LCL","")),"")</f>
        <v/>
      </c>
      <c r="O644" t="n">
        <v>538</v>
      </c>
      <c r="P644" s="7" t="n"/>
      <c r="Q644" s="7" t="n"/>
      <c r="R644" s="11">
        <f>IF(AND(ISNUMBER(P644),ISNUMBER(Q644),P644&gt;0,ISNUMBER($B$100)),Q644/P644,"")</f>
        <v/>
      </c>
      <c r="S644" s="11">
        <f>IF(AND(ISNUMBER(P644),ISNUMBER(Q644),P644&gt;0,ISNUMBER($B$100)),MAX(0,$B$100-3*SQRT($B$100/P644)),"")</f>
        <v/>
      </c>
      <c r="T644" s="11">
        <f>IF(AND(ISNUMBER(P644),ISNUMBER(Q644),P644&gt;0,ISNUMBER($B$100)),$B$100+3*SQRT($B$100/P644),"")</f>
        <v/>
      </c>
      <c r="U644" s="13">
        <f>IF(AND(ISNUMBER(R644),ISNUMBER(S644),ISNUMBER(T644)),IF(R644&gt;T644,"boven UCL",IF(R644&lt;S644,"onder LCL","")),"")</f>
        <v/>
      </c>
    </row>
    <row r="645">
      <c r="A645" t="n">
        <v>539</v>
      </c>
      <c r="B645" s="7" t="n"/>
      <c r="C645" s="11">
        <f>IF(AND(ISNUMBER(B645),ISNUMBER(B644)),ABS(B645-B644),"")</f>
        <v/>
      </c>
      <c r="D645" s="13">
        <f>IF(AND(ISNUMBER(B645),ISNUMBER($B$88),ISNUMBER($D$88)),IF(B645&gt;$D$88,"boven UCL",IF(B645&lt;$B$88,"onder LCL","")),"")</f>
        <v/>
      </c>
      <c r="E645" s="13">
        <f>IF(AND(ISNUMBER(C645),ISNUMBER($B$89),ISNUMBER($D$89)),IF(C645&gt;$D$89,"boven UCL",IF(C645&lt;$B$89,"onder LCL","")),"")</f>
        <v/>
      </c>
      <c r="G645" t="n">
        <v>539</v>
      </c>
      <c r="H645" s="7" t="n"/>
      <c r="I645" s="7" t="n"/>
      <c r="J645" s="11">
        <f>IF(AND(ISNUMBER(H645),ISNUMBER(I645),H645&gt;0,ISNUMBER($B$94)),I645/H645,"")</f>
        <v/>
      </c>
      <c r="K645" s="11">
        <f>IF(AND(ISNUMBER(H645),ISNUMBER(I645),H645&gt;0,ISNUMBER($B$94)),MAX(0,$B$94-3*SQRT($B$94*(1-$B$94)/H645)),"")</f>
        <v/>
      </c>
      <c r="L645" s="11">
        <f>IF(AND(ISNUMBER(H645),ISNUMBER(I645),H645&gt;0,ISNUMBER($B$94)),$B$94+3*SQRT($B$94*(1-$B$94)/H645),"")</f>
        <v/>
      </c>
      <c r="M645" s="13">
        <f>IF(AND(ISNUMBER(J645),ISNUMBER(K645),ISNUMBER(L645)),IF(J645&gt;L645,"boven UCL",IF(J645&lt;K645,"onder LCL","")),"")</f>
        <v/>
      </c>
      <c r="O645" t="n">
        <v>539</v>
      </c>
      <c r="P645" s="7" t="n"/>
      <c r="Q645" s="7" t="n"/>
      <c r="R645" s="11">
        <f>IF(AND(ISNUMBER(P645),ISNUMBER(Q645),P645&gt;0,ISNUMBER($B$100)),Q645/P645,"")</f>
        <v/>
      </c>
      <c r="S645" s="11">
        <f>IF(AND(ISNUMBER(P645),ISNUMBER(Q645),P645&gt;0,ISNUMBER($B$100)),MAX(0,$B$100-3*SQRT($B$100/P645)),"")</f>
        <v/>
      </c>
      <c r="T645" s="11">
        <f>IF(AND(ISNUMBER(P645),ISNUMBER(Q645),P645&gt;0,ISNUMBER($B$100)),$B$100+3*SQRT($B$100/P645),"")</f>
        <v/>
      </c>
      <c r="U645" s="13">
        <f>IF(AND(ISNUMBER(R645),ISNUMBER(S645),ISNUMBER(T645)),IF(R645&gt;T645,"boven UCL",IF(R645&lt;S645,"onder LCL","")),"")</f>
        <v/>
      </c>
    </row>
    <row r="646">
      <c r="A646" t="n">
        <v>540</v>
      </c>
      <c r="B646" s="7" t="n"/>
      <c r="C646" s="11">
        <f>IF(AND(ISNUMBER(B646),ISNUMBER(B645)),ABS(B646-B645),"")</f>
        <v/>
      </c>
      <c r="D646" s="13">
        <f>IF(AND(ISNUMBER(B646),ISNUMBER($B$88),ISNUMBER($D$88)),IF(B646&gt;$D$88,"boven UCL",IF(B646&lt;$B$88,"onder LCL","")),"")</f>
        <v/>
      </c>
      <c r="E646" s="13">
        <f>IF(AND(ISNUMBER(C646),ISNUMBER($B$89),ISNUMBER($D$89)),IF(C646&gt;$D$89,"boven UCL",IF(C646&lt;$B$89,"onder LCL","")),"")</f>
        <v/>
      </c>
      <c r="G646" t="n">
        <v>540</v>
      </c>
      <c r="H646" s="7" t="n"/>
      <c r="I646" s="7" t="n"/>
      <c r="J646" s="11">
        <f>IF(AND(ISNUMBER(H646),ISNUMBER(I646),H646&gt;0,ISNUMBER($B$94)),I646/H646,"")</f>
        <v/>
      </c>
      <c r="K646" s="11">
        <f>IF(AND(ISNUMBER(H646),ISNUMBER(I646),H646&gt;0,ISNUMBER($B$94)),MAX(0,$B$94-3*SQRT($B$94*(1-$B$94)/H646)),"")</f>
        <v/>
      </c>
      <c r="L646" s="11">
        <f>IF(AND(ISNUMBER(H646),ISNUMBER(I646),H646&gt;0,ISNUMBER($B$94)),$B$94+3*SQRT($B$94*(1-$B$94)/H646),"")</f>
        <v/>
      </c>
      <c r="M646" s="13">
        <f>IF(AND(ISNUMBER(J646),ISNUMBER(K646),ISNUMBER(L646)),IF(J646&gt;L646,"boven UCL",IF(J646&lt;K646,"onder LCL","")),"")</f>
        <v/>
      </c>
      <c r="O646" t="n">
        <v>540</v>
      </c>
      <c r="P646" s="7" t="n"/>
      <c r="Q646" s="7" t="n"/>
      <c r="R646" s="11">
        <f>IF(AND(ISNUMBER(P646),ISNUMBER(Q646),P646&gt;0,ISNUMBER($B$100)),Q646/P646,"")</f>
        <v/>
      </c>
      <c r="S646" s="11">
        <f>IF(AND(ISNUMBER(P646),ISNUMBER(Q646),P646&gt;0,ISNUMBER($B$100)),MAX(0,$B$100-3*SQRT($B$100/P646)),"")</f>
        <v/>
      </c>
      <c r="T646" s="11">
        <f>IF(AND(ISNUMBER(P646),ISNUMBER(Q646),P646&gt;0,ISNUMBER($B$100)),$B$100+3*SQRT($B$100/P646),"")</f>
        <v/>
      </c>
      <c r="U646" s="13">
        <f>IF(AND(ISNUMBER(R646),ISNUMBER(S646),ISNUMBER(T646)),IF(R646&gt;T646,"boven UCL",IF(R646&lt;S646,"onder LCL","")),"")</f>
        <v/>
      </c>
    </row>
    <row r="647">
      <c r="A647" t="n">
        <v>541</v>
      </c>
      <c r="B647" s="7" t="n"/>
      <c r="C647" s="11">
        <f>IF(AND(ISNUMBER(B647),ISNUMBER(B646)),ABS(B647-B646),"")</f>
        <v/>
      </c>
      <c r="D647" s="13">
        <f>IF(AND(ISNUMBER(B647),ISNUMBER($B$88),ISNUMBER($D$88)),IF(B647&gt;$D$88,"boven UCL",IF(B647&lt;$B$88,"onder LCL","")),"")</f>
        <v/>
      </c>
      <c r="E647" s="13">
        <f>IF(AND(ISNUMBER(C647),ISNUMBER($B$89),ISNUMBER($D$89)),IF(C647&gt;$D$89,"boven UCL",IF(C647&lt;$B$89,"onder LCL","")),"")</f>
        <v/>
      </c>
      <c r="G647" t="n">
        <v>541</v>
      </c>
      <c r="H647" s="7" t="n"/>
      <c r="I647" s="7" t="n"/>
      <c r="J647" s="11">
        <f>IF(AND(ISNUMBER(H647),ISNUMBER(I647),H647&gt;0,ISNUMBER($B$94)),I647/H647,"")</f>
        <v/>
      </c>
      <c r="K647" s="11">
        <f>IF(AND(ISNUMBER(H647),ISNUMBER(I647),H647&gt;0,ISNUMBER($B$94)),MAX(0,$B$94-3*SQRT($B$94*(1-$B$94)/H647)),"")</f>
        <v/>
      </c>
      <c r="L647" s="11">
        <f>IF(AND(ISNUMBER(H647),ISNUMBER(I647),H647&gt;0,ISNUMBER($B$94)),$B$94+3*SQRT($B$94*(1-$B$94)/H647),"")</f>
        <v/>
      </c>
      <c r="M647" s="13">
        <f>IF(AND(ISNUMBER(J647),ISNUMBER(K647),ISNUMBER(L647)),IF(J647&gt;L647,"boven UCL",IF(J647&lt;K647,"onder LCL","")),"")</f>
        <v/>
      </c>
      <c r="O647" t="n">
        <v>541</v>
      </c>
      <c r="P647" s="7" t="n"/>
      <c r="Q647" s="7" t="n"/>
      <c r="R647" s="11">
        <f>IF(AND(ISNUMBER(P647),ISNUMBER(Q647),P647&gt;0,ISNUMBER($B$100)),Q647/P647,"")</f>
        <v/>
      </c>
      <c r="S647" s="11">
        <f>IF(AND(ISNUMBER(P647),ISNUMBER(Q647),P647&gt;0,ISNUMBER($B$100)),MAX(0,$B$100-3*SQRT($B$100/P647)),"")</f>
        <v/>
      </c>
      <c r="T647" s="11">
        <f>IF(AND(ISNUMBER(P647),ISNUMBER(Q647),P647&gt;0,ISNUMBER($B$100)),$B$100+3*SQRT($B$100/P647),"")</f>
        <v/>
      </c>
      <c r="U647" s="13">
        <f>IF(AND(ISNUMBER(R647),ISNUMBER(S647),ISNUMBER(T647)),IF(R647&gt;T647,"boven UCL",IF(R647&lt;S647,"onder LCL","")),"")</f>
        <v/>
      </c>
    </row>
    <row r="648">
      <c r="A648" t="n">
        <v>542</v>
      </c>
      <c r="B648" s="7" t="n"/>
      <c r="C648" s="11">
        <f>IF(AND(ISNUMBER(B648),ISNUMBER(B647)),ABS(B648-B647),"")</f>
        <v/>
      </c>
      <c r="D648" s="13">
        <f>IF(AND(ISNUMBER(B648),ISNUMBER($B$88),ISNUMBER($D$88)),IF(B648&gt;$D$88,"boven UCL",IF(B648&lt;$B$88,"onder LCL","")),"")</f>
        <v/>
      </c>
      <c r="E648" s="13">
        <f>IF(AND(ISNUMBER(C648),ISNUMBER($B$89),ISNUMBER($D$89)),IF(C648&gt;$D$89,"boven UCL",IF(C648&lt;$B$89,"onder LCL","")),"")</f>
        <v/>
      </c>
      <c r="G648" t="n">
        <v>542</v>
      </c>
      <c r="H648" s="7" t="n"/>
      <c r="I648" s="7" t="n"/>
      <c r="J648" s="11">
        <f>IF(AND(ISNUMBER(H648),ISNUMBER(I648),H648&gt;0,ISNUMBER($B$94)),I648/H648,"")</f>
        <v/>
      </c>
      <c r="K648" s="11">
        <f>IF(AND(ISNUMBER(H648),ISNUMBER(I648),H648&gt;0,ISNUMBER($B$94)),MAX(0,$B$94-3*SQRT($B$94*(1-$B$94)/H648)),"")</f>
        <v/>
      </c>
      <c r="L648" s="11">
        <f>IF(AND(ISNUMBER(H648),ISNUMBER(I648),H648&gt;0,ISNUMBER($B$94)),$B$94+3*SQRT($B$94*(1-$B$94)/H648),"")</f>
        <v/>
      </c>
      <c r="M648" s="13">
        <f>IF(AND(ISNUMBER(J648),ISNUMBER(K648),ISNUMBER(L648)),IF(J648&gt;L648,"boven UCL",IF(J648&lt;K648,"onder LCL","")),"")</f>
        <v/>
      </c>
      <c r="O648" t="n">
        <v>542</v>
      </c>
      <c r="P648" s="7" t="n"/>
      <c r="Q648" s="7" t="n"/>
      <c r="R648" s="11">
        <f>IF(AND(ISNUMBER(P648),ISNUMBER(Q648),P648&gt;0,ISNUMBER($B$100)),Q648/P648,"")</f>
        <v/>
      </c>
      <c r="S648" s="11">
        <f>IF(AND(ISNUMBER(P648),ISNUMBER(Q648),P648&gt;0,ISNUMBER($B$100)),MAX(0,$B$100-3*SQRT($B$100/P648)),"")</f>
        <v/>
      </c>
      <c r="T648" s="11">
        <f>IF(AND(ISNUMBER(P648),ISNUMBER(Q648),P648&gt;0,ISNUMBER($B$100)),$B$100+3*SQRT($B$100/P648),"")</f>
        <v/>
      </c>
      <c r="U648" s="13">
        <f>IF(AND(ISNUMBER(R648),ISNUMBER(S648),ISNUMBER(T648)),IF(R648&gt;T648,"boven UCL",IF(R648&lt;S648,"onder LCL","")),"")</f>
        <v/>
      </c>
    </row>
    <row r="649">
      <c r="A649" t="n">
        <v>543</v>
      </c>
      <c r="B649" s="7" t="n"/>
      <c r="C649" s="11">
        <f>IF(AND(ISNUMBER(B649),ISNUMBER(B648)),ABS(B649-B648),"")</f>
        <v/>
      </c>
      <c r="D649" s="13">
        <f>IF(AND(ISNUMBER(B649),ISNUMBER($B$88),ISNUMBER($D$88)),IF(B649&gt;$D$88,"boven UCL",IF(B649&lt;$B$88,"onder LCL","")),"")</f>
        <v/>
      </c>
      <c r="E649" s="13">
        <f>IF(AND(ISNUMBER(C649),ISNUMBER($B$89),ISNUMBER($D$89)),IF(C649&gt;$D$89,"boven UCL",IF(C649&lt;$B$89,"onder LCL","")),"")</f>
        <v/>
      </c>
      <c r="G649" t="n">
        <v>543</v>
      </c>
      <c r="H649" s="7" t="n"/>
      <c r="I649" s="7" t="n"/>
      <c r="J649" s="11">
        <f>IF(AND(ISNUMBER(H649),ISNUMBER(I649),H649&gt;0,ISNUMBER($B$94)),I649/H649,"")</f>
        <v/>
      </c>
      <c r="K649" s="11">
        <f>IF(AND(ISNUMBER(H649),ISNUMBER(I649),H649&gt;0,ISNUMBER($B$94)),MAX(0,$B$94-3*SQRT($B$94*(1-$B$94)/H649)),"")</f>
        <v/>
      </c>
      <c r="L649" s="11">
        <f>IF(AND(ISNUMBER(H649),ISNUMBER(I649),H649&gt;0,ISNUMBER($B$94)),$B$94+3*SQRT($B$94*(1-$B$94)/H649),"")</f>
        <v/>
      </c>
      <c r="M649" s="13">
        <f>IF(AND(ISNUMBER(J649),ISNUMBER(K649),ISNUMBER(L649)),IF(J649&gt;L649,"boven UCL",IF(J649&lt;K649,"onder LCL","")),"")</f>
        <v/>
      </c>
      <c r="O649" t="n">
        <v>543</v>
      </c>
      <c r="P649" s="7" t="n"/>
      <c r="Q649" s="7" t="n"/>
      <c r="R649" s="11">
        <f>IF(AND(ISNUMBER(P649),ISNUMBER(Q649),P649&gt;0,ISNUMBER($B$100)),Q649/P649,"")</f>
        <v/>
      </c>
      <c r="S649" s="11">
        <f>IF(AND(ISNUMBER(P649),ISNUMBER(Q649),P649&gt;0,ISNUMBER($B$100)),MAX(0,$B$100-3*SQRT($B$100/P649)),"")</f>
        <v/>
      </c>
      <c r="T649" s="11">
        <f>IF(AND(ISNUMBER(P649),ISNUMBER(Q649),P649&gt;0,ISNUMBER($B$100)),$B$100+3*SQRT($B$100/P649),"")</f>
        <v/>
      </c>
      <c r="U649" s="13">
        <f>IF(AND(ISNUMBER(R649),ISNUMBER(S649),ISNUMBER(T649)),IF(R649&gt;T649,"boven UCL",IF(R649&lt;S649,"onder LCL","")),"")</f>
        <v/>
      </c>
    </row>
    <row r="650">
      <c r="A650" t="n">
        <v>544</v>
      </c>
      <c r="B650" s="7" t="n"/>
      <c r="C650" s="11">
        <f>IF(AND(ISNUMBER(B650),ISNUMBER(B649)),ABS(B650-B649),"")</f>
        <v/>
      </c>
      <c r="D650" s="13">
        <f>IF(AND(ISNUMBER(B650),ISNUMBER($B$88),ISNUMBER($D$88)),IF(B650&gt;$D$88,"boven UCL",IF(B650&lt;$B$88,"onder LCL","")),"")</f>
        <v/>
      </c>
      <c r="E650" s="13">
        <f>IF(AND(ISNUMBER(C650),ISNUMBER($B$89),ISNUMBER($D$89)),IF(C650&gt;$D$89,"boven UCL",IF(C650&lt;$B$89,"onder LCL","")),"")</f>
        <v/>
      </c>
      <c r="G650" t="n">
        <v>544</v>
      </c>
      <c r="H650" s="7" t="n"/>
      <c r="I650" s="7" t="n"/>
      <c r="J650" s="11">
        <f>IF(AND(ISNUMBER(H650),ISNUMBER(I650),H650&gt;0,ISNUMBER($B$94)),I650/H650,"")</f>
        <v/>
      </c>
      <c r="K650" s="11">
        <f>IF(AND(ISNUMBER(H650),ISNUMBER(I650),H650&gt;0,ISNUMBER($B$94)),MAX(0,$B$94-3*SQRT($B$94*(1-$B$94)/H650)),"")</f>
        <v/>
      </c>
      <c r="L650" s="11">
        <f>IF(AND(ISNUMBER(H650),ISNUMBER(I650),H650&gt;0,ISNUMBER($B$94)),$B$94+3*SQRT($B$94*(1-$B$94)/H650),"")</f>
        <v/>
      </c>
      <c r="M650" s="13">
        <f>IF(AND(ISNUMBER(J650),ISNUMBER(K650),ISNUMBER(L650)),IF(J650&gt;L650,"boven UCL",IF(J650&lt;K650,"onder LCL","")),"")</f>
        <v/>
      </c>
      <c r="O650" t="n">
        <v>544</v>
      </c>
      <c r="P650" s="7" t="n"/>
      <c r="Q650" s="7" t="n"/>
      <c r="R650" s="11">
        <f>IF(AND(ISNUMBER(P650),ISNUMBER(Q650),P650&gt;0,ISNUMBER($B$100)),Q650/P650,"")</f>
        <v/>
      </c>
      <c r="S650" s="11">
        <f>IF(AND(ISNUMBER(P650),ISNUMBER(Q650),P650&gt;0,ISNUMBER($B$100)),MAX(0,$B$100-3*SQRT($B$100/P650)),"")</f>
        <v/>
      </c>
      <c r="T650" s="11">
        <f>IF(AND(ISNUMBER(P650),ISNUMBER(Q650),P650&gt;0,ISNUMBER($B$100)),$B$100+3*SQRT($B$100/P650),"")</f>
        <v/>
      </c>
      <c r="U650" s="13">
        <f>IF(AND(ISNUMBER(R650),ISNUMBER(S650),ISNUMBER(T650)),IF(R650&gt;T650,"boven UCL",IF(R650&lt;S650,"onder LCL","")),"")</f>
        <v/>
      </c>
    </row>
    <row r="651">
      <c r="A651" t="n">
        <v>545</v>
      </c>
      <c r="B651" s="7" t="n"/>
      <c r="C651" s="11">
        <f>IF(AND(ISNUMBER(B651),ISNUMBER(B650)),ABS(B651-B650),"")</f>
        <v/>
      </c>
      <c r="D651" s="13">
        <f>IF(AND(ISNUMBER(B651),ISNUMBER($B$88),ISNUMBER($D$88)),IF(B651&gt;$D$88,"boven UCL",IF(B651&lt;$B$88,"onder LCL","")),"")</f>
        <v/>
      </c>
      <c r="E651" s="13">
        <f>IF(AND(ISNUMBER(C651),ISNUMBER($B$89),ISNUMBER($D$89)),IF(C651&gt;$D$89,"boven UCL",IF(C651&lt;$B$89,"onder LCL","")),"")</f>
        <v/>
      </c>
      <c r="G651" t="n">
        <v>545</v>
      </c>
      <c r="H651" s="7" t="n"/>
      <c r="I651" s="7" t="n"/>
      <c r="J651" s="11">
        <f>IF(AND(ISNUMBER(H651),ISNUMBER(I651),H651&gt;0,ISNUMBER($B$94)),I651/H651,"")</f>
        <v/>
      </c>
      <c r="K651" s="11">
        <f>IF(AND(ISNUMBER(H651),ISNUMBER(I651),H651&gt;0,ISNUMBER($B$94)),MAX(0,$B$94-3*SQRT($B$94*(1-$B$94)/H651)),"")</f>
        <v/>
      </c>
      <c r="L651" s="11">
        <f>IF(AND(ISNUMBER(H651),ISNUMBER(I651),H651&gt;0,ISNUMBER($B$94)),$B$94+3*SQRT($B$94*(1-$B$94)/H651),"")</f>
        <v/>
      </c>
      <c r="M651" s="13">
        <f>IF(AND(ISNUMBER(J651),ISNUMBER(K651),ISNUMBER(L651)),IF(J651&gt;L651,"boven UCL",IF(J651&lt;K651,"onder LCL","")),"")</f>
        <v/>
      </c>
      <c r="O651" t="n">
        <v>545</v>
      </c>
      <c r="P651" s="7" t="n"/>
      <c r="Q651" s="7" t="n"/>
      <c r="R651" s="11">
        <f>IF(AND(ISNUMBER(P651),ISNUMBER(Q651),P651&gt;0,ISNUMBER($B$100)),Q651/P651,"")</f>
        <v/>
      </c>
      <c r="S651" s="11">
        <f>IF(AND(ISNUMBER(P651),ISNUMBER(Q651),P651&gt;0,ISNUMBER($B$100)),MAX(0,$B$100-3*SQRT($B$100/P651)),"")</f>
        <v/>
      </c>
      <c r="T651" s="11">
        <f>IF(AND(ISNUMBER(P651),ISNUMBER(Q651),P651&gt;0,ISNUMBER($B$100)),$B$100+3*SQRT($B$100/P651),"")</f>
        <v/>
      </c>
      <c r="U651" s="13">
        <f>IF(AND(ISNUMBER(R651),ISNUMBER(S651),ISNUMBER(T651)),IF(R651&gt;T651,"boven UCL",IF(R651&lt;S651,"onder LCL","")),"")</f>
        <v/>
      </c>
    </row>
    <row r="652">
      <c r="A652" t="n">
        <v>546</v>
      </c>
      <c r="B652" s="7" t="n"/>
      <c r="C652" s="11">
        <f>IF(AND(ISNUMBER(B652),ISNUMBER(B651)),ABS(B652-B651),"")</f>
        <v/>
      </c>
      <c r="D652" s="13">
        <f>IF(AND(ISNUMBER(B652),ISNUMBER($B$88),ISNUMBER($D$88)),IF(B652&gt;$D$88,"boven UCL",IF(B652&lt;$B$88,"onder LCL","")),"")</f>
        <v/>
      </c>
      <c r="E652" s="13">
        <f>IF(AND(ISNUMBER(C652),ISNUMBER($B$89),ISNUMBER($D$89)),IF(C652&gt;$D$89,"boven UCL",IF(C652&lt;$B$89,"onder LCL","")),"")</f>
        <v/>
      </c>
      <c r="G652" t="n">
        <v>546</v>
      </c>
      <c r="H652" s="7" t="n"/>
      <c r="I652" s="7" t="n"/>
      <c r="J652" s="11">
        <f>IF(AND(ISNUMBER(H652),ISNUMBER(I652),H652&gt;0,ISNUMBER($B$94)),I652/H652,"")</f>
        <v/>
      </c>
      <c r="K652" s="11">
        <f>IF(AND(ISNUMBER(H652),ISNUMBER(I652),H652&gt;0,ISNUMBER($B$94)),MAX(0,$B$94-3*SQRT($B$94*(1-$B$94)/H652)),"")</f>
        <v/>
      </c>
      <c r="L652" s="11">
        <f>IF(AND(ISNUMBER(H652),ISNUMBER(I652),H652&gt;0,ISNUMBER($B$94)),$B$94+3*SQRT($B$94*(1-$B$94)/H652),"")</f>
        <v/>
      </c>
      <c r="M652" s="13">
        <f>IF(AND(ISNUMBER(J652),ISNUMBER(K652),ISNUMBER(L652)),IF(J652&gt;L652,"boven UCL",IF(J652&lt;K652,"onder LCL","")),"")</f>
        <v/>
      </c>
      <c r="O652" t="n">
        <v>546</v>
      </c>
      <c r="P652" s="7" t="n"/>
      <c r="Q652" s="7" t="n"/>
      <c r="R652" s="11">
        <f>IF(AND(ISNUMBER(P652),ISNUMBER(Q652),P652&gt;0,ISNUMBER($B$100)),Q652/P652,"")</f>
        <v/>
      </c>
      <c r="S652" s="11">
        <f>IF(AND(ISNUMBER(P652),ISNUMBER(Q652),P652&gt;0,ISNUMBER($B$100)),MAX(0,$B$100-3*SQRT($B$100/P652)),"")</f>
        <v/>
      </c>
      <c r="T652" s="11">
        <f>IF(AND(ISNUMBER(P652),ISNUMBER(Q652),P652&gt;0,ISNUMBER($B$100)),$B$100+3*SQRT($B$100/P652),"")</f>
        <v/>
      </c>
      <c r="U652" s="13">
        <f>IF(AND(ISNUMBER(R652),ISNUMBER(S652),ISNUMBER(T652)),IF(R652&gt;T652,"boven UCL",IF(R652&lt;S652,"onder LCL","")),"")</f>
        <v/>
      </c>
    </row>
    <row r="653">
      <c r="A653" t="n">
        <v>547</v>
      </c>
      <c r="B653" s="7" t="n"/>
      <c r="C653" s="11">
        <f>IF(AND(ISNUMBER(B653),ISNUMBER(B652)),ABS(B653-B652),"")</f>
        <v/>
      </c>
      <c r="D653" s="13">
        <f>IF(AND(ISNUMBER(B653),ISNUMBER($B$88),ISNUMBER($D$88)),IF(B653&gt;$D$88,"boven UCL",IF(B653&lt;$B$88,"onder LCL","")),"")</f>
        <v/>
      </c>
      <c r="E653" s="13">
        <f>IF(AND(ISNUMBER(C653),ISNUMBER($B$89),ISNUMBER($D$89)),IF(C653&gt;$D$89,"boven UCL",IF(C653&lt;$B$89,"onder LCL","")),"")</f>
        <v/>
      </c>
      <c r="G653" t="n">
        <v>547</v>
      </c>
      <c r="H653" s="7" t="n"/>
      <c r="I653" s="7" t="n"/>
      <c r="J653" s="11">
        <f>IF(AND(ISNUMBER(H653),ISNUMBER(I653),H653&gt;0,ISNUMBER($B$94)),I653/H653,"")</f>
        <v/>
      </c>
      <c r="K653" s="11">
        <f>IF(AND(ISNUMBER(H653),ISNUMBER(I653),H653&gt;0,ISNUMBER($B$94)),MAX(0,$B$94-3*SQRT($B$94*(1-$B$94)/H653)),"")</f>
        <v/>
      </c>
      <c r="L653" s="11">
        <f>IF(AND(ISNUMBER(H653),ISNUMBER(I653),H653&gt;0,ISNUMBER($B$94)),$B$94+3*SQRT($B$94*(1-$B$94)/H653),"")</f>
        <v/>
      </c>
      <c r="M653" s="13">
        <f>IF(AND(ISNUMBER(J653),ISNUMBER(K653),ISNUMBER(L653)),IF(J653&gt;L653,"boven UCL",IF(J653&lt;K653,"onder LCL","")),"")</f>
        <v/>
      </c>
      <c r="O653" t="n">
        <v>547</v>
      </c>
      <c r="P653" s="7" t="n"/>
      <c r="Q653" s="7" t="n"/>
      <c r="R653" s="11">
        <f>IF(AND(ISNUMBER(P653),ISNUMBER(Q653),P653&gt;0,ISNUMBER($B$100)),Q653/P653,"")</f>
        <v/>
      </c>
      <c r="S653" s="11">
        <f>IF(AND(ISNUMBER(P653),ISNUMBER(Q653),P653&gt;0,ISNUMBER($B$100)),MAX(0,$B$100-3*SQRT($B$100/P653)),"")</f>
        <v/>
      </c>
      <c r="T653" s="11">
        <f>IF(AND(ISNUMBER(P653),ISNUMBER(Q653),P653&gt;0,ISNUMBER($B$100)),$B$100+3*SQRT($B$100/P653),"")</f>
        <v/>
      </c>
      <c r="U653" s="13">
        <f>IF(AND(ISNUMBER(R653),ISNUMBER(S653),ISNUMBER(T653)),IF(R653&gt;T653,"boven UCL",IF(R653&lt;S653,"onder LCL","")),"")</f>
        <v/>
      </c>
    </row>
    <row r="654">
      <c r="A654" t="n">
        <v>548</v>
      </c>
      <c r="B654" s="7" t="n"/>
      <c r="C654" s="11">
        <f>IF(AND(ISNUMBER(B654),ISNUMBER(B653)),ABS(B654-B653),"")</f>
        <v/>
      </c>
      <c r="D654" s="13">
        <f>IF(AND(ISNUMBER(B654),ISNUMBER($B$88),ISNUMBER($D$88)),IF(B654&gt;$D$88,"boven UCL",IF(B654&lt;$B$88,"onder LCL","")),"")</f>
        <v/>
      </c>
      <c r="E654" s="13">
        <f>IF(AND(ISNUMBER(C654),ISNUMBER($B$89),ISNUMBER($D$89)),IF(C654&gt;$D$89,"boven UCL",IF(C654&lt;$B$89,"onder LCL","")),"")</f>
        <v/>
      </c>
      <c r="G654" t="n">
        <v>548</v>
      </c>
      <c r="H654" s="7" t="n"/>
      <c r="I654" s="7" t="n"/>
      <c r="J654" s="11">
        <f>IF(AND(ISNUMBER(H654),ISNUMBER(I654),H654&gt;0,ISNUMBER($B$94)),I654/H654,"")</f>
        <v/>
      </c>
      <c r="K654" s="11">
        <f>IF(AND(ISNUMBER(H654),ISNUMBER(I654),H654&gt;0,ISNUMBER($B$94)),MAX(0,$B$94-3*SQRT($B$94*(1-$B$94)/H654)),"")</f>
        <v/>
      </c>
      <c r="L654" s="11">
        <f>IF(AND(ISNUMBER(H654),ISNUMBER(I654),H654&gt;0,ISNUMBER($B$94)),$B$94+3*SQRT($B$94*(1-$B$94)/H654),"")</f>
        <v/>
      </c>
      <c r="M654" s="13">
        <f>IF(AND(ISNUMBER(J654),ISNUMBER(K654),ISNUMBER(L654)),IF(J654&gt;L654,"boven UCL",IF(J654&lt;K654,"onder LCL","")),"")</f>
        <v/>
      </c>
      <c r="O654" t="n">
        <v>548</v>
      </c>
      <c r="P654" s="7" t="n"/>
      <c r="Q654" s="7" t="n"/>
      <c r="R654" s="11">
        <f>IF(AND(ISNUMBER(P654),ISNUMBER(Q654),P654&gt;0,ISNUMBER($B$100)),Q654/P654,"")</f>
        <v/>
      </c>
      <c r="S654" s="11">
        <f>IF(AND(ISNUMBER(P654),ISNUMBER(Q654),P654&gt;0,ISNUMBER($B$100)),MAX(0,$B$100-3*SQRT($B$100/P654)),"")</f>
        <v/>
      </c>
      <c r="T654" s="11">
        <f>IF(AND(ISNUMBER(P654),ISNUMBER(Q654),P654&gt;0,ISNUMBER($B$100)),$B$100+3*SQRT($B$100/P654),"")</f>
        <v/>
      </c>
      <c r="U654" s="13">
        <f>IF(AND(ISNUMBER(R654),ISNUMBER(S654),ISNUMBER(T654)),IF(R654&gt;T654,"boven UCL",IF(R654&lt;S654,"onder LCL","")),"")</f>
        <v/>
      </c>
    </row>
    <row r="655">
      <c r="A655" t="n">
        <v>549</v>
      </c>
      <c r="B655" s="7" t="n"/>
      <c r="C655" s="11">
        <f>IF(AND(ISNUMBER(B655),ISNUMBER(B654)),ABS(B655-B654),"")</f>
        <v/>
      </c>
      <c r="D655" s="13">
        <f>IF(AND(ISNUMBER(B655),ISNUMBER($B$88),ISNUMBER($D$88)),IF(B655&gt;$D$88,"boven UCL",IF(B655&lt;$B$88,"onder LCL","")),"")</f>
        <v/>
      </c>
      <c r="E655" s="13">
        <f>IF(AND(ISNUMBER(C655),ISNUMBER($B$89),ISNUMBER($D$89)),IF(C655&gt;$D$89,"boven UCL",IF(C655&lt;$B$89,"onder LCL","")),"")</f>
        <v/>
      </c>
      <c r="G655" t="n">
        <v>549</v>
      </c>
      <c r="H655" s="7" t="n"/>
      <c r="I655" s="7" t="n"/>
      <c r="J655" s="11">
        <f>IF(AND(ISNUMBER(H655),ISNUMBER(I655),H655&gt;0,ISNUMBER($B$94)),I655/H655,"")</f>
        <v/>
      </c>
      <c r="K655" s="11">
        <f>IF(AND(ISNUMBER(H655),ISNUMBER(I655),H655&gt;0,ISNUMBER($B$94)),MAX(0,$B$94-3*SQRT($B$94*(1-$B$94)/H655)),"")</f>
        <v/>
      </c>
      <c r="L655" s="11">
        <f>IF(AND(ISNUMBER(H655),ISNUMBER(I655),H655&gt;0,ISNUMBER($B$94)),$B$94+3*SQRT($B$94*(1-$B$94)/H655),"")</f>
        <v/>
      </c>
      <c r="M655" s="13">
        <f>IF(AND(ISNUMBER(J655),ISNUMBER(K655),ISNUMBER(L655)),IF(J655&gt;L655,"boven UCL",IF(J655&lt;K655,"onder LCL","")),"")</f>
        <v/>
      </c>
      <c r="O655" t="n">
        <v>549</v>
      </c>
      <c r="P655" s="7" t="n"/>
      <c r="Q655" s="7" t="n"/>
      <c r="R655" s="11">
        <f>IF(AND(ISNUMBER(P655),ISNUMBER(Q655),P655&gt;0,ISNUMBER($B$100)),Q655/P655,"")</f>
        <v/>
      </c>
      <c r="S655" s="11">
        <f>IF(AND(ISNUMBER(P655),ISNUMBER(Q655),P655&gt;0,ISNUMBER($B$100)),MAX(0,$B$100-3*SQRT($B$100/P655)),"")</f>
        <v/>
      </c>
      <c r="T655" s="11">
        <f>IF(AND(ISNUMBER(P655),ISNUMBER(Q655),P655&gt;0,ISNUMBER($B$100)),$B$100+3*SQRT($B$100/P655),"")</f>
        <v/>
      </c>
      <c r="U655" s="13">
        <f>IF(AND(ISNUMBER(R655),ISNUMBER(S655),ISNUMBER(T655)),IF(R655&gt;T655,"boven UCL",IF(R655&lt;S655,"onder LCL","")),"")</f>
        <v/>
      </c>
    </row>
    <row r="656">
      <c r="A656" t="n">
        <v>550</v>
      </c>
      <c r="B656" s="7" t="n"/>
      <c r="C656" s="11">
        <f>IF(AND(ISNUMBER(B656),ISNUMBER(B655)),ABS(B656-B655),"")</f>
        <v/>
      </c>
      <c r="D656" s="13">
        <f>IF(AND(ISNUMBER(B656),ISNUMBER($B$88),ISNUMBER($D$88)),IF(B656&gt;$D$88,"boven UCL",IF(B656&lt;$B$88,"onder LCL","")),"")</f>
        <v/>
      </c>
      <c r="E656" s="13">
        <f>IF(AND(ISNUMBER(C656),ISNUMBER($B$89),ISNUMBER($D$89)),IF(C656&gt;$D$89,"boven UCL",IF(C656&lt;$B$89,"onder LCL","")),"")</f>
        <v/>
      </c>
      <c r="G656" t="n">
        <v>550</v>
      </c>
      <c r="H656" s="7" t="n"/>
      <c r="I656" s="7" t="n"/>
      <c r="J656" s="11">
        <f>IF(AND(ISNUMBER(H656),ISNUMBER(I656),H656&gt;0,ISNUMBER($B$94)),I656/H656,"")</f>
        <v/>
      </c>
      <c r="K656" s="11">
        <f>IF(AND(ISNUMBER(H656),ISNUMBER(I656),H656&gt;0,ISNUMBER($B$94)),MAX(0,$B$94-3*SQRT($B$94*(1-$B$94)/H656)),"")</f>
        <v/>
      </c>
      <c r="L656" s="11">
        <f>IF(AND(ISNUMBER(H656),ISNUMBER(I656),H656&gt;0,ISNUMBER($B$94)),$B$94+3*SQRT($B$94*(1-$B$94)/H656),"")</f>
        <v/>
      </c>
      <c r="M656" s="13">
        <f>IF(AND(ISNUMBER(J656),ISNUMBER(K656),ISNUMBER(L656)),IF(J656&gt;L656,"boven UCL",IF(J656&lt;K656,"onder LCL","")),"")</f>
        <v/>
      </c>
      <c r="O656" t="n">
        <v>550</v>
      </c>
      <c r="P656" s="7" t="n"/>
      <c r="Q656" s="7" t="n"/>
      <c r="R656" s="11">
        <f>IF(AND(ISNUMBER(P656),ISNUMBER(Q656),P656&gt;0,ISNUMBER($B$100)),Q656/P656,"")</f>
        <v/>
      </c>
      <c r="S656" s="11">
        <f>IF(AND(ISNUMBER(P656),ISNUMBER(Q656),P656&gt;0,ISNUMBER($B$100)),MAX(0,$B$100-3*SQRT($B$100/P656)),"")</f>
        <v/>
      </c>
      <c r="T656" s="11">
        <f>IF(AND(ISNUMBER(P656),ISNUMBER(Q656),P656&gt;0,ISNUMBER($B$100)),$B$100+3*SQRT($B$100/P656),"")</f>
        <v/>
      </c>
      <c r="U656" s="13">
        <f>IF(AND(ISNUMBER(R656),ISNUMBER(S656),ISNUMBER(T656)),IF(R656&gt;T656,"boven UCL",IF(R656&lt;S656,"onder LCL","")),"")</f>
        <v/>
      </c>
    </row>
    <row r="657">
      <c r="A657" t="n">
        <v>551</v>
      </c>
      <c r="B657" s="7" t="n"/>
      <c r="C657" s="11">
        <f>IF(AND(ISNUMBER(B657),ISNUMBER(B656)),ABS(B657-B656),"")</f>
        <v/>
      </c>
      <c r="D657" s="13">
        <f>IF(AND(ISNUMBER(B657),ISNUMBER($B$88),ISNUMBER($D$88)),IF(B657&gt;$D$88,"boven UCL",IF(B657&lt;$B$88,"onder LCL","")),"")</f>
        <v/>
      </c>
      <c r="E657" s="13">
        <f>IF(AND(ISNUMBER(C657),ISNUMBER($B$89),ISNUMBER($D$89)),IF(C657&gt;$D$89,"boven UCL",IF(C657&lt;$B$89,"onder LCL","")),"")</f>
        <v/>
      </c>
      <c r="G657" t="n">
        <v>551</v>
      </c>
      <c r="H657" s="7" t="n"/>
      <c r="I657" s="7" t="n"/>
      <c r="J657" s="11">
        <f>IF(AND(ISNUMBER(H657),ISNUMBER(I657),H657&gt;0,ISNUMBER($B$94)),I657/H657,"")</f>
        <v/>
      </c>
      <c r="K657" s="11">
        <f>IF(AND(ISNUMBER(H657),ISNUMBER(I657),H657&gt;0,ISNUMBER($B$94)),MAX(0,$B$94-3*SQRT($B$94*(1-$B$94)/H657)),"")</f>
        <v/>
      </c>
      <c r="L657" s="11">
        <f>IF(AND(ISNUMBER(H657),ISNUMBER(I657),H657&gt;0,ISNUMBER($B$94)),$B$94+3*SQRT($B$94*(1-$B$94)/H657),"")</f>
        <v/>
      </c>
      <c r="M657" s="13">
        <f>IF(AND(ISNUMBER(J657),ISNUMBER(K657),ISNUMBER(L657)),IF(J657&gt;L657,"boven UCL",IF(J657&lt;K657,"onder LCL","")),"")</f>
        <v/>
      </c>
      <c r="O657" t="n">
        <v>551</v>
      </c>
      <c r="P657" s="7" t="n"/>
      <c r="Q657" s="7" t="n"/>
      <c r="R657" s="11">
        <f>IF(AND(ISNUMBER(P657),ISNUMBER(Q657),P657&gt;0,ISNUMBER($B$100)),Q657/P657,"")</f>
        <v/>
      </c>
      <c r="S657" s="11">
        <f>IF(AND(ISNUMBER(P657),ISNUMBER(Q657),P657&gt;0,ISNUMBER($B$100)),MAX(0,$B$100-3*SQRT($B$100/P657)),"")</f>
        <v/>
      </c>
      <c r="T657" s="11">
        <f>IF(AND(ISNUMBER(P657),ISNUMBER(Q657),P657&gt;0,ISNUMBER($B$100)),$B$100+3*SQRT($B$100/P657),"")</f>
        <v/>
      </c>
      <c r="U657" s="13">
        <f>IF(AND(ISNUMBER(R657),ISNUMBER(S657),ISNUMBER(T657)),IF(R657&gt;T657,"boven UCL",IF(R657&lt;S657,"onder LCL","")),"")</f>
        <v/>
      </c>
    </row>
    <row r="658">
      <c r="A658" t="n">
        <v>552</v>
      </c>
      <c r="B658" s="7" t="n"/>
      <c r="C658" s="11">
        <f>IF(AND(ISNUMBER(B658),ISNUMBER(B657)),ABS(B658-B657),"")</f>
        <v/>
      </c>
      <c r="D658" s="13">
        <f>IF(AND(ISNUMBER(B658),ISNUMBER($B$88),ISNUMBER($D$88)),IF(B658&gt;$D$88,"boven UCL",IF(B658&lt;$B$88,"onder LCL","")),"")</f>
        <v/>
      </c>
      <c r="E658" s="13">
        <f>IF(AND(ISNUMBER(C658),ISNUMBER($B$89),ISNUMBER($D$89)),IF(C658&gt;$D$89,"boven UCL",IF(C658&lt;$B$89,"onder LCL","")),"")</f>
        <v/>
      </c>
      <c r="G658" t="n">
        <v>552</v>
      </c>
      <c r="H658" s="7" t="n"/>
      <c r="I658" s="7" t="n"/>
      <c r="J658" s="11">
        <f>IF(AND(ISNUMBER(H658),ISNUMBER(I658),H658&gt;0,ISNUMBER($B$94)),I658/H658,"")</f>
        <v/>
      </c>
      <c r="K658" s="11">
        <f>IF(AND(ISNUMBER(H658),ISNUMBER(I658),H658&gt;0,ISNUMBER($B$94)),MAX(0,$B$94-3*SQRT($B$94*(1-$B$94)/H658)),"")</f>
        <v/>
      </c>
      <c r="L658" s="11">
        <f>IF(AND(ISNUMBER(H658),ISNUMBER(I658),H658&gt;0,ISNUMBER($B$94)),$B$94+3*SQRT($B$94*(1-$B$94)/H658),"")</f>
        <v/>
      </c>
      <c r="M658" s="13">
        <f>IF(AND(ISNUMBER(J658),ISNUMBER(K658),ISNUMBER(L658)),IF(J658&gt;L658,"boven UCL",IF(J658&lt;K658,"onder LCL","")),"")</f>
        <v/>
      </c>
      <c r="O658" t="n">
        <v>552</v>
      </c>
      <c r="P658" s="7" t="n"/>
      <c r="Q658" s="7" t="n"/>
      <c r="R658" s="11">
        <f>IF(AND(ISNUMBER(P658),ISNUMBER(Q658),P658&gt;0,ISNUMBER($B$100)),Q658/P658,"")</f>
        <v/>
      </c>
      <c r="S658" s="11">
        <f>IF(AND(ISNUMBER(P658),ISNUMBER(Q658),P658&gt;0,ISNUMBER($B$100)),MAX(0,$B$100-3*SQRT($B$100/P658)),"")</f>
        <v/>
      </c>
      <c r="T658" s="11">
        <f>IF(AND(ISNUMBER(P658),ISNUMBER(Q658),P658&gt;0,ISNUMBER($B$100)),$B$100+3*SQRT($B$100/P658),"")</f>
        <v/>
      </c>
      <c r="U658" s="13">
        <f>IF(AND(ISNUMBER(R658),ISNUMBER(S658),ISNUMBER(T658)),IF(R658&gt;T658,"boven UCL",IF(R658&lt;S658,"onder LCL","")),"")</f>
        <v/>
      </c>
    </row>
    <row r="659">
      <c r="A659" t="n">
        <v>553</v>
      </c>
      <c r="B659" s="7" t="n"/>
      <c r="C659" s="11">
        <f>IF(AND(ISNUMBER(B659),ISNUMBER(B658)),ABS(B659-B658),"")</f>
        <v/>
      </c>
      <c r="D659" s="13">
        <f>IF(AND(ISNUMBER(B659),ISNUMBER($B$88),ISNUMBER($D$88)),IF(B659&gt;$D$88,"boven UCL",IF(B659&lt;$B$88,"onder LCL","")),"")</f>
        <v/>
      </c>
      <c r="E659" s="13">
        <f>IF(AND(ISNUMBER(C659),ISNUMBER($B$89),ISNUMBER($D$89)),IF(C659&gt;$D$89,"boven UCL",IF(C659&lt;$B$89,"onder LCL","")),"")</f>
        <v/>
      </c>
      <c r="G659" t="n">
        <v>553</v>
      </c>
      <c r="H659" s="7" t="n"/>
      <c r="I659" s="7" t="n"/>
      <c r="J659" s="11">
        <f>IF(AND(ISNUMBER(H659),ISNUMBER(I659),H659&gt;0,ISNUMBER($B$94)),I659/H659,"")</f>
        <v/>
      </c>
      <c r="K659" s="11">
        <f>IF(AND(ISNUMBER(H659),ISNUMBER(I659),H659&gt;0,ISNUMBER($B$94)),MAX(0,$B$94-3*SQRT($B$94*(1-$B$94)/H659)),"")</f>
        <v/>
      </c>
      <c r="L659" s="11">
        <f>IF(AND(ISNUMBER(H659),ISNUMBER(I659),H659&gt;0,ISNUMBER($B$94)),$B$94+3*SQRT($B$94*(1-$B$94)/H659),"")</f>
        <v/>
      </c>
      <c r="M659" s="13">
        <f>IF(AND(ISNUMBER(J659),ISNUMBER(K659),ISNUMBER(L659)),IF(J659&gt;L659,"boven UCL",IF(J659&lt;K659,"onder LCL","")),"")</f>
        <v/>
      </c>
      <c r="O659" t="n">
        <v>553</v>
      </c>
      <c r="P659" s="7" t="n"/>
      <c r="Q659" s="7" t="n"/>
      <c r="R659" s="11">
        <f>IF(AND(ISNUMBER(P659),ISNUMBER(Q659),P659&gt;0,ISNUMBER($B$100)),Q659/P659,"")</f>
        <v/>
      </c>
      <c r="S659" s="11">
        <f>IF(AND(ISNUMBER(P659),ISNUMBER(Q659),P659&gt;0,ISNUMBER($B$100)),MAX(0,$B$100-3*SQRT($B$100/P659)),"")</f>
        <v/>
      </c>
      <c r="T659" s="11">
        <f>IF(AND(ISNUMBER(P659),ISNUMBER(Q659),P659&gt;0,ISNUMBER($B$100)),$B$100+3*SQRT($B$100/P659),"")</f>
        <v/>
      </c>
      <c r="U659" s="13">
        <f>IF(AND(ISNUMBER(R659),ISNUMBER(S659),ISNUMBER(T659)),IF(R659&gt;T659,"boven UCL",IF(R659&lt;S659,"onder LCL","")),"")</f>
        <v/>
      </c>
    </row>
    <row r="660">
      <c r="A660" t="n">
        <v>554</v>
      </c>
      <c r="B660" s="7" t="n"/>
      <c r="C660" s="11">
        <f>IF(AND(ISNUMBER(B660),ISNUMBER(B659)),ABS(B660-B659),"")</f>
        <v/>
      </c>
      <c r="D660" s="13">
        <f>IF(AND(ISNUMBER(B660),ISNUMBER($B$88),ISNUMBER($D$88)),IF(B660&gt;$D$88,"boven UCL",IF(B660&lt;$B$88,"onder LCL","")),"")</f>
        <v/>
      </c>
      <c r="E660" s="13">
        <f>IF(AND(ISNUMBER(C660),ISNUMBER($B$89),ISNUMBER($D$89)),IF(C660&gt;$D$89,"boven UCL",IF(C660&lt;$B$89,"onder LCL","")),"")</f>
        <v/>
      </c>
      <c r="G660" t="n">
        <v>554</v>
      </c>
      <c r="H660" s="7" t="n"/>
      <c r="I660" s="7" t="n"/>
      <c r="J660" s="11">
        <f>IF(AND(ISNUMBER(H660),ISNUMBER(I660),H660&gt;0,ISNUMBER($B$94)),I660/H660,"")</f>
        <v/>
      </c>
      <c r="K660" s="11">
        <f>IF(AND(ISNUMBER(H660),ISNUMBER(I660),H660&gt;0,ISNUMBER($B$94)),MAX(0,$B$94-3*SQRT($B$94*(1-$B$94)/H660)),"")</f>
        <v/>
      </c>
      <c r="L660" s="11">
        <f>IF(AND(ISNUMBER(H660),ISNUMBER(I660),H660&gt;0,ISNUMBER($B$94)),$B$94+3*SQRT($B$94*(1-$B$94)/H660),"")</f>
        <v/>
      </c>
      <c r="M660" s="13">
        <f>IF(AND(ISNUMBER(J660),ISNUMBER(K660),ISNUMBER(L660)),IF(J660&gt;L660,"boven UCL",IF(J660&lt;K660,"onder LCL","")),"")</f>
        <v/>
      </c>
      <c r="O660" t="n">
        <v>554</v>
      </c>
      <c r="P660" s="7" t="n"/>
      <c r="Q660" s="7" t="n"/>
      <c r="R660" s="11">
        <f>IF(AND(ISNUMBER(P660),ISNUMBER(Q660),P660&gt;0,ISNUMBER($B$100)),Q660/P660,"")</f>
        <v/>
      </c>
      <c r="S660" s="11">
        <f>IF(AND(ISNUMBER(P660),ISNUMBER(Q660),P660&gt;0,ISNUMBER($B$100)),MAX(0,$B$100-3*SQRT($B$100/P660)),"")</f>
        <v/>
      </c>
      <c r="T660" s="11">
        <f>IF(AND(ISNUMBER(P660),ISNUMBER(Q660),P660&gt;0,ISNUMBER($B$100)),$B$100+3*SQRT($B$100/P660),"")</f>
        <v/>
      </c>
      <c r="U660" s="13">
        <f>IF(AND(ISNUMBER(R660),ISNUMBER(S660),ISNUMBER(T660)),IF(R660&gt;T660,"boven UCL",IF(R660&lt;S660,"onder LCL","")),"")</f>
        <v/>
      </c>
    </row>
    <row r="661">
      <c r="A661" t="n">
        <v>555</v>
      </c>
      <c r="B661" s="7" t="n"/>
      <c r="C661" s="11">
        <f>IF(AND(ISNUMBER(B661),ISNUMBER(B660)),ABS(B661-B660),"")</f>
        <v/>
      </c>
      <c r="D661" s="13">
        <f>IF(AND(ISNUMBER(B661),ISNUMBER($B$88),ISNUMBER($D$88)),IF(B661&gt;$D$88,"boven UCL",IF(B661&lt;$B$88,"onder LCL","")),"")</f>
        <v/>
      </c>
      <c r="E661" s="13">
        <f>IF(AND(ISNUMBER(C661),ISNUMBER($B$89),ISNUMBER($D$89)),IF(C661&gt;$D$89,"boven UCL",IF(C661&lt;$B$89,"onder LCL","")),"")</f>
        <v/>
      </c>
      <c r="G661" t="n">
        <v>555</v>
      </c>
      <c r="H661" s="7" t="n"/>
      <c r="I661" s="7" t="n"/>
      <c r="J661" s="11">
        <f>IF(AND(ISNUMBER(H661),ISNUMBER(I661),H661&gt;0,ISNUMBER($B$94)),I661/H661,"")</f>
        <v/>
      </c>
      <c r="K661" s="11">
        <f>IF(AND(ISNUMBER(H661),ISNUMBER(I661),H661&gt;0,ISNUMBER($B$94)),MAX(0,$B$94-3*SQRT($B$94*(1-$B$94)/H661)),"")</f>
        <v/>
      </c>
      <c r="L661" s="11">
        <f>IF(AND(ISNUMBER(H661),ISNUMBER(I661),H661&gt;0,ISNUMBER($B$94)),$B$94+3*SQRT($B$94*(1-$B$94)/H661),"")</f>
        <v/>
      </c>
      <c r="M661" s="13">
        <f>IF(AND(ISNUMBER(J661),ISNUMBER(K661),ISNUMBER(L661)),IF(J661&gt;L661,"boven UCL",IF(J661&lt;K661,"onder LCL","")),"")</f>
        <v/>
      </c>
      <c r="O661" t="n">
        <v>555</v>
      </c>
      <c r="P661" s="7" t="n"/>
      <c r="Q661" s="7" t="n"/>
      <c r="R661" s="11">
        <f>IF(AND(ISNUMBER(P661),ISNUMBER(Q661),P661&gt;0,ISNUMBER($B$100)),Q661/P661,"")</f>
        <v/>
      </c>
      <c r="S661" s="11">
        <f>IF(AND(ISNUMBER(P661),ISNUMBER(Q661),P661&gt;0,ISNUMBER($B$100)),MAX(0,$B$100-3*SQRT($B$100/P661)),"")</f>
        <v/>
      </c>
      <c r="T661" s="11">
        <f>IF(AND(ISNUMBER(P661),ISNUMBER(Q661),P661&gt;0,ISNUMBER($B$100)),$B$100+3*SQRT($B$100/P661),"")</f>
        <v/>
      </c>
      <c r="U661" s="13">
        <f>IF(AND(ISNUMBER(R661),ISNUMBER(S661),ISNUMBER(T661)),IF(R661&gt;T661,"boven UCL",IF(R661&lt;S661,"onder LCL","")),"")</f>
        <v/>
      </c>
    </row>
    <row r="662">
      <c r="A662" t="n">
        <v>556</v>
      </c>
      <c r="B662" s="7" t="n"/>
      <c r="C662" s="11">
        <f>IF(AND(ISNUMBER(B662),ISNUMBER(B661)),ABS(B662-B661),"")</f>
        <v/>
      </c>
      <c r="D662" s="13">
        <f>IF(AND(ISNUMBER(B662),ISNUMBER($B$88),ISNUMBER($D$88)),IF(B662&gt;$D$88,"boven UCL",IF(B662&lt;$B$88,"onder LCL","")),"")</f>
        <v/>
      </c>
      <c r="E662" s="13">
        <f>IF(AND(ISNUMBER(C662),ISNUMBER($B$89),ISNUMBER($D$89)),IF(C662&gt;$D$89,"boven UCL",IF(C662&lt;$B$89,"onder LCL","")),"")</f>
        <v/>
      </c>
      <c r="G662" t="n">
        <v>556</v>
      </c>
      <c r="H662" s="7" t="n"/>
      <c r="I662" s="7" t="n"/>
      <c r="J662" s="11">
        <f>IF(AND(ISNUMBER(H662),ISNUMBER(I662),H662&gt;0,ISNUMBER($B$94)),I662/H662,"")</f>
        <v/>
      </c>
      <c r="K662" s="11">
        <f>IF(AND(ISNUMBER(H662),ISNUMBER(I662),H662&gt;0,ISNUMBER($B$94)),MAX(0,$B$94-3*SQRT($B$94*(1-$B$94)/H662)),"")</f>
        <v/>
      </c>
      <c r="L662" s="11">
        <f>IF(AND(ISNUMBER(H662),ISNUMBER(I662),H662&gt;0,ISNUMBER($B$94)),$B$94+3*SQRT($B$94*(1-$B$94)/H662),"")</f>
        <v/>
      </c>
      <c r="M662" s="13">
        <f>IF(AND(ISNUMBER(J662),ISNUMBER(K662),ISNUMBER(L662)),IF(J662&gt;L662,"boven UCL",IF(J662&lt;K662,"onder LCL","")),"")</f>
        <v/>
      </c>
      <c r="O662" t="n">
        <v>556</v>
      </c>
      <c r="P662" s="7" t="n"/>
      <c r="Q662" s="7" t="n"/>
      <c r="R662" s="11">
        <f>IF(AND(ISNUMBER(P662),ISNUMBER(Q662),P662&gt;0,ISNUMBER($B$100)),Q662/P662,"")</f>
        <v/>
      </c>
      <c r="S662" s="11">
        <f>IF(AND(ISNUMBER(P662),ISNUMBER(Q662),P662&gt;0,ISNUMBER($B$100)),MAX(0,$B$100-3*SQRT($B$100/P662)),"")</f>
        <v/>
      </c>
      <c r="T662" s="11">
        <f>IF(AND(ISNUMBER(P662),ISNUMBER(Q662),P662&gt;0,ISNUMBER($B$100)),$B$100+3*SQRT($B$100/P662),"")</f>
        <v/>
      </c>
      <c r="U662" s="13">
        <f>IF(AND(ISNUMBER(R662),ISNUMBER(S662),ISNUMBER(T662)),IF(R662&gt;T662,"boven UCL",IF(R662&lt;S662,"onder LCL","")),"")</f>
        <v/>
      </c>
    </row>
    <row r="663">
      <c r="A663" t="n">
        <v>557</v>
      </c>
      <c r="B663" s="7" t="n"/>
      <c r="C663" s="11">
        <f>IF(AND(ISNUMBER(B663),ISNUMBER(B662)),ABS(B663-B662),"")</f>
        <v/>
      </c>
      <c r="D663" s="13">
        <f>IF(AND(ISNUMBER(B663),ISNUMBER($B$88),ISNUMBER($D$88)),IF(B663&gt;$D$88,"boven UCL",IF(B663&lt;$B$88,"onder LCL","")),"")</f>
        <v/>
      </c>
      <c r="E663" s="13">
        <f>IF(AND(ISNUMBER(C663),ISNUMBER($B$89),ISNUMBER($D$89)),IF(C663&gt;$D$89,"boven UCL",IF(C663&lt;$B$89,"onder LCL","")),"")</f>
        <v/>
      </c>
      <c r="G663" t="n">
        <v>557</v>
      </c>
      <c r="H663" s="7" t="n"/>
      <c r="I663" s="7" t="n"/>
      <c r="J663" s="11">
        <f>IF(AND(ISNUMBER(H663),ISNUMBER(I663),H663&gt;0,ISNUMBER($B$94)),I663/H663,"")</f>
        <v/>
      </c>
      <c r="K663" s="11">
        <f>IF(AND(ISNUMBER(H663),ISNUMBER(I663),H663&gt;0,ISNUMBER($B$94)),MAX(0,$B$94-3*SQRT($B$94*(1-$B$94)/H663)),"")</f>
        <v/>
      </c>
      <c r="L663" s="11">
        <f>IF(AND(ISNUMBER(H663),ISNUMBER(I663),H663&gt;0,ISNUMBER($B$94)),$B$94+3*SQRT($B$94*(1-$B$94)/H663),"")</f>
        <v/>
      </c>
      <c r="M663" s="13">
        <f>IF(AND(ISNUMBER(J663),ISNUMBER(K663),ISNUMBER(L663)),IF(J663&gt;L663,"boven UCL",IF(J663&lt;K663,"onder LCL","")),"")</f>
        <v/>
      </c>
      <c r="O663" t="n">
        <v>557</v>
      </c>
      <c r="P663" s="7" t="n"/>
      <c r="Q663" s="7" t="n"/>
      <c r="R663" s="11">
        <f>IF(AND(ISNUMBER(P663),ISNUMBER(Q663),P663&gt;0,ISNUMBER($B$100)),Q663/P663,"")</f>
        <v/>
      </c>
      <c r="S663" s="11">
        <f>IF(AND(ISNUMBER(P663),ISNUMBER(Q663),P663&gt;0,ISNUMBER($B$100)),MAX(0,$B$100-3*SQRT($B$100/P663)),"")</f>
        <v/>
      </c>
      <c r="T663" s="11">
        <f>IF(AND(ISNUMBER(P663),ISNUMBER(Q663),P663&gt;0,ISNUMBER($B$100)),$B$100+3*SQRT($B$100/P663),"")</f>
        <v/>
      </c>
      <c r="U663" s="13">
        <f>IF(AND(ISNUMBER(R663),ISNUMBER(S663),ISNUMBER(T663)),IF(R663&gt;T663,"boven UCL",IF(R663&lt;S663,"onder LCL","")),"")</f>
        <v/>
      </c>
    </row>
    <row r="664">
      <c r="A664" t="n">
        <v>558</v>
      </c>
      <c r="B664" s="7" t="n"/>
      <c r="C664" s="11">
        <f>IF(AND(ISNUMBER(B664),ISNUMBER(B663)),ABS(B664-B663),"")</f>
        <v/>
      </c>
      <c r="D664" s="13">
        <f>IF(AND(ISNUMBER(B664),ISNUMBER($B$88),ISNUMBER($D$88)),IF(B664&gt;$D$88,"boven UCL",IF(B664&lt;$B$88,"onder LCL","")),"")</f>
        <v/>
      </c>
      <c r="E664" s="13">
        <f>IF(AND(ISNUMBER(C664),ISNUMBER($B$89),ISNUMBER($D$89)),IF(C664&gt;$D$89,"boven UCL",IF(C664&lt;$B$89,"onder LCL","")),"")</f>
        <v/>
      </c>
      <c r="G664" t="n">
        <v>558</v>
      </c>
      <c r="H664" s="7" t="n"/>
      <c r="I664" s="7" t="n"/>
      <c r="J664" s="11">
        <f>IF(AND(ISNUMBER(H664),ISNUMBER(I664),H664&gt;0,ISNUMBER($B$94)),I664/H664,"")</f>
        <v/>
      </c>
      <c r="K664" s="11">
        <f>IF(AND(ISNUMBER(H664),ISNUMBER(I664),H664&gt;0,ISNUMBER($B$94)),MAX(0,$B$94-3*SQRT($B$94*(1-$B$94)/H664)),"")</f>
        <v/>
      </c>
      <c r="L664" s="11">
        <f>IF(AND(ISNUMBER(H664),ISNUMBER(I664),H664&gt;0,ISNUMBER($B$94)),$B$94+3*SQRT($B$94*(1-$B$94)/H664),"")</f>
        <v/>
      </c>
      <c r="M664" s="13">
        <f>IF(AND(ISNUMBER(J664),ISNUMBER(K664),ISNUMBER(L664)),IF(J664&gt;L664,"boven UCL",IF(J664&lt;K664,"onder LCL","")),"")</f>
        <v/>
      </c>
      <c r="O664" t="n">
        <v>558</v>
      </c>
      <c r="P664" s="7" t="n"/>
      <c r="Q664" s="7" t="n"/>
      <c r="R664" s="11">
        <f>IF(AND(ISNUMBER(P664),ISNUMBER(Q664),P664&gt;0,ISNUMBER($B$100)),Q664/P664,"")</f>
        <v/>
      </c>
      <c r="S664" s="11">
        <f>IF(AND(ISNUMBER(P664),ISNUMBER(Q664),P664&gt;0,ISNUMBER($B$100)),MAX(0,$B$100-3*SQRT($B$100/P664)),"")</f>
        <v/>
      </c>
      <c r="T664" s="11">
        <f>IF(AND(ISNUMBER(P664),ISNUMBER(Q664),P664&gt;0,ISNUMBER($B$100)),$B$100+3*SQRT($B$100/P664),"")</f>
        <v/>
      </c>
      <c r="U664" s="13">
        <f>IF(AND(ISNUMBER(R664),ISNUMBER(S664),ISNUMBER(T664)),IF(R664&gt;T664,"boven UCL",IF(R664&lt;S664,"onder LCL","")),"")</f>
        <v/>
      </c>
    </row>
    <row r="665">
      <c r="A665" t="n">
        <v>559</v>
      </c>
      <c r="B665" s="7" t="n"/>
      <c r="C665" s="11">
        <f>IF(AND(ISNUMBER(B665),ISNUMBER(B664)),ABS(B665-B664),"")</f>
        <v/>
      </c>
      <c r="D665" s="13">
        <f>IF(AND(ISNUMBER(B665),ISNUMBER($B$88),ISNUMBER($D$88)),IF(B665&gt;$D$88,"boven UCL",IF(B665&lt;$B$88,"onder LCL","")),"")</f>
        <v/>
      </c>
      <c r="E665" s="13">
        <f>IF(AND(ISNUMBER(C665),ISNUMBER($B$89),ISNUMBER($D$89)),IF(C665&gt;$D$89,"boven UCL",IF(C665&lt;$B$89,"onder LCL","")),"")</f>
        <v/>
      </c>
      <c r="G665" t="n">
        <v>559</v>
      </c>
      <c r="H665" s="7" t="n"/>
      <c r="I665" s="7" t="n"/>
      <c r="J665" s="11">
        <f>IF(AND(ISNUMBER(H665),ISNUMBER(I665),H665&gt;0,ISNUMBER($B$94)),I665/H665,"")</f>
        <v/>
      </c>
      <c r="K665" s="11">
        <f>IF(AND(ISNUMBER(H665),ISNUMBER(I665),H665&gt;0,ISNUMBER($B$94)),MAX(0,$B$94-3*SQRT($B$94*(1-$B$94)/H665)),"")</f>
        <v/>
      </c>
      <c r="L665" s="11">
        <f>IF(AND(ISNUMBER(H665),ISNUMBER(I665),H665&gt;0,ISNUMBER($B$94)),$B$94+3*SQRT($B$94*(1-$B$94)/H665),"")</f>
        <v/>
      </c>
      <c r="M665" s="13">
        <f>IF(AND(ISNUMBER(J665),ISNUMBER(K665),ISNUMBER(L665)),IF(J665&gt;L665,"boven UCL",IF(J665&lt;K665,"onder LCL","")),"")</f>
        <v/>
      </c>
      <c r="O665" t="n">
        <v>559</v>
      </c>
      <c r="P665" s="7" t="n"/>
      <c r="Q665" s="7" t="n"/>
      <c r="R665" s="11">
        <f>IF(AND(ISNUMBER(P665),ISNUMBER(Q665),P665&gt;0,ISNUMBER($B$100)),Q665/P665,"")</f>
        <v/>
      </c>
      <c r="S665" s="11">
        <f>IF(AND(ISNUMBER(P665),ISNUMBER(Q665),P665&gt;0,ISNUMBER($B$100)),MAX(0,$B$100-3*SQRT($B$100/P665)),"")</f>
        <v/>
      </c>
      <c r="T665" s="11">
        <f>IF(AND(ISNUMBER(P665),ISNUMBER(Q665),P665&gt;0,ISNUMBER($B$100)),$B$100+3*SQRT($B$100/P665),"")</f>
        <v/>
      </c>
      <c r="U665" s="13">
        <f>IF(AND(ISNUMBER(R665),ISNUMBER(S665),ISNUMBER(T665)),IF(R665&gt;T665,"boven UCL",IF(R665&lt;S665,"onder LCL","")),"")</f>
        <v/>
      </c>
    </row>
    <row r="666">
      <c r="A666" t="n">
        <v>560</v>
      </c>
      <c r="B666" s="7" t="n"/>
      <c r="C666" s="11">
        <f>IF(AND(ISNUMBER(B666),ISNUMBER(B665)),ABS(B666-B665),"")</f>
        <v/>
      </c>
      <c r="D666" s="13">
        <f>IF(AND(ISNUMBER(B666),ISNUMBER($B$88),ISNUMBER($D$88)),IF(B666&gt;$D$88,"boven UCL",IF(B666&lt;$B$88,"onder LCL","")),"")</f>
        <v/>
      </c>
      <c r="E666" s="13">
        <f>IF(AND(ISNUMBER(C666),ISNUMBER($B$89),ISNUMBER($D$89)),IF(C666&gt;$D$89,"boven UCL",IF(C666&lt;$B$89,"onder LCL","")),"")</f>
        <v/>
      </c>
      <c r="G666" t="n">
        <v>560</v>
      </c>
      <c r="H666" s="7" t="n"/>
      <c r="I666" s="7" t="n"/>
      <c r="J666" s="11">
        <f>IF(AND(ISNUMBER(H666),ISNUMBER(I666),H666&gt;0,ISNUMBER($B$94)),I666/H666,"")</f>
        <v/>
      </c>
      <c r="K666" s="11">
        <f>IF(AND(ISNUMBER(H666),ISNUMBER(I666),H666&gt;0,ISNUMBER($B$94)),MAX(0,$B$94-3*SQRT($B$94*(1-$B$94)/H666)),"")</f>
        <v/>
      </c>
      <c r="L666" s="11">
        <f>IF(AND(ISNUMBER(H666),ISNUMBER(I666),H666&gt;0,ISNUMBER($B$94)),$B$94+3*SQRT($B$94*(1-$B$94)/H666),"")</f>
        <v/>
      </c>
      <c r="M666" s="13">
        <f>IF(AND(ISNUMBER(J666),ISNUMBER(K666),ISNUMBER(L666)),IF(J666&gt;L666,"boven UCL",IF(J666&lt;K666,"onder LCL","")),"")</f>
        <v/>
      </c>
      <c r="O666" t="n">
        <v>560</v>
      </c>
      <c r="P666" s="7" t="n"/>
      <c r="Q666" s="7" t="n"/>
      <c r="R666" s="11">
        <f>IF(AND(ISNUMBER(P666),ISNUMBER(Q666),P666&gt;0,ISNUMBER($B$100)),Q666/P666,"")</f>
        <v/>
      </c>
      <c r="S666" s="11">
        <f>IF(AND(ISNUMBER(P666),ISNUMBER(Q666),P666&gt;0,ISNUMBER($B$100)),MAX(0,$B$100-3*SQRT($B$100/P666)),"")</f>
        <v/>
      </c>
      <c r="T666" s="11">
        <f>IF(AND(ISNUMBER(P666),ISNUMBER(Q666),P666&gt;0,ISNUMBER($B$100)),$B$100+3*SQRT($B$100/P666),"")</f>
        <v/>
      </c>
      <c r="U666" s="13">
        <f>IF(AND(ISNUMBER(R666),ISNUMBER(S666),ISNUMBER(T666)),IF(R666&gt;T666,"boven UCL",IF(R666&lt;S666,"onder LCL","")),"")</f>
        <v/>
      </c>
    </row>
    <row r="667">
      <c r="A667" t="n">
        <v>561</v>
      </c>
      <c r="B667" s="7" t="n"/>
      <c r="C667" s="11">
        <f>IF(AND(ISNUMBER(B667),ISNUMBER(B666)),ABS(B667-B666),"")</f>
        <v/>
      </c>
      <c r="D667" s="13">
        <f>IF(AND(ISNUMBER(B667),ISNUMBER($B$88),ISNUMBER($D$88)),IF(B667&gt;$D$88,"boven UCL",IF(B667&lt;$B$88,"onder LCL","")),"")</f>
        <v/>
      </c>
      <c r="E667" s="13">
        <f>IF(AND(ISNUMBER(C667),ISNUMBER($B$89),ISNUMBER($D$89)),IF(C667&gt;$D$89,"boven UCL",IF(C667&lt;$B$89,"onder LCL","")),"")</f>
        <v/>
      </c>
      <c r="G667" t="n">
        <v>561</v>
      </c>
      <c r="H667" s="7" t="n"/>
      <c r="I667" s="7" t="n"/>
      <c r="J667" s="11">
        <f>IF(AND(ISNUMBER(H667),ISNUMBER(I667),H667&gt;0,ISNUMBER($B$94)),I667/H667,"")</f>
        <v/>
      </c>
      <c r="K667" s="11">
        <f>IF(AND(ISNUMBER(H667),ISNUMBER(I667),H667&gt;0,ISNUMBER($B$94)),MAX(0,$B$94-3*SQRT($B$94*(1-$B$94)/H667)),"")</f>
        <v/>
      </c>
      <c r="L667" s="11">
        <f>IF(AND(ISNUMBER(H667),ISNUMBER(I667),H667&gt;0,ISNUMBER($B$94)),$B$94+3*SQRT($B$94*(1-$B$94)/H667),"")</f>
        <v/>
      </c>
      <c r="M667" s="13">
        <f>IF(AND(ISNUMBER(J667),ISNUMBER(K667),ISNUMBER(L667)),IF(J667&gt;L667,"boven UCL",IF(J667&lt;K667,"onder LCL","")),"")</f>
        <v/>
      </c>
      <c r="O667" t="n">
        <v>561</v>
      </c>
      <c r="P667" s="7" t="n"/>
      <c r="Q667" s="7" t="n"/>
      <c r="R667" s="11">
        <f>IF(AND(ISNUMBER(P667),ISNUMBER(Q667),P667&gt;0,ISNUMBER($B$100)),Q667/P667,"")</f>
        <v/>
      </c>
      <c r="S667" s="11">
        <f>IF(AND(ISNUMBER(P667),ISNUMBER(Q667),P667&gt;0,ISNUMBER($B$100)),MAX(0,$B$100-3*SQRT($B$100/P667)),"")</f>
        <v/>
      </c>
      <c r="T667" s="11">
        <f>IF(AND(ISNUMBER(P667),ISNUMBER(Q667),P667&gt;0,ISNUMBER($B$100)),$B$100+3*SQRT($B$100/P667),"")</f>
        <v/>
      </c>
      <c r="U667" s="13">
        <f>IF(AND(ISNUMBER(R667),ISNUMBER(S667),ISNUMBER(T667)),IF(R667&gt;T667,"boven UCL",IF(R667&lt;S667,"onder LCL","")),"")</f>
        <v/>
      </c>
    </row>
    <row r="668">
      <c r="A668" t="n">
        <v>562</v>
      </c>
      <c r="B668" s="7" t="n"/>
      <c r="C668" s="11">
        <f>IF(AND(ISNUMBER(B668),ISNUMBER(B667)),ABS(B668-B667),"")</f>
        <v/>
      </c>
      <c r="D668" s="13">
        <f>IF(AND(ISNUMBER(B668),ISNUMBER($B$88),ISNUMBER($D$88)),IF(B668&gt;$D$88,"boven UCL",IF(B668&lt;$B$88,"onder LCL","")),"")</f>
        <v/>
      </c>
      <c r="E668" s="13">
        <f>IF(AND(ISNUMBER(C668),ISNUMBER($B$89),ISNUMBER($D$89)),IF(C668&gt;$D$89,"boven UCL",IF(C668&lt;$B$89,"onder LCL","")),"")</f>
        <v/>
      </c>
      <c r="G668" t="n">
        <v>562</v>
      </c>
      <c r="H668" s="7" t="n"/>
      <c r="I668" s="7" t="n"/>
      <c r="J668" s="11">
        <f>IF(AND(ISNUMBER(H668),ISNUMBER(I668),H668&gt;0,ISNUMBER($B$94)),I668/H668,"")</f>
        <v/>
      </c>
      <c r="K668" s="11">
        <f>IF(AND(ISNUMBER(H668),ISNUMBER(I668),H668&gt;0,ISNUMBER($B$94)),MAX(0,$B$94-3*SQRT($B$94*(1-$B$94)/H668)),"")</f>
        <v/>
      </c>
      <c r="L668" s="11">
        <f>IF(AND(ISNUMBER(H668),ISNUMBER(I668),H668&gt;0,ISNUMBER($B$94)),$B$94+3*SQRT($B$94*(1-$B$94)/H668),"")</f>
        <v/>
      </c>
      <c r="M668" s="13">
        <f>IF(AND(ISNUMBER(J668),ISNUMBER(K668),ISNUMBER(L668)),IF(J668&gt;L668,"boven UCL",IF(J668&lt;K668,"onder LCL","")),"")</f>
        <v/>
      </c>
      <c r="O668" t="n">
        <v>562</v>
      </c>
      <c r="P668" s="7" t="n"/>
      <c r="Q668" s="7" t="n"/>
      <c r="R668" s="11">
        <f>IF(AND(ISNUMBER(P668),ISNUMBER(Q668),P668&gt;0,ISNUMBER($B$100)),Q668/P668,"")</f>
        <v/>
      </c>
      <c r="S668" s="11">
        <f>IF(AND(ISNUMBER(P668),ISNUMBER(Q668),P668&gt;0,ISNUMBER($B$100)),MAX(0,$B$100-3*SQRT($B$100/P668)),"")</f>
        <v/>
      </c>
      <c r="T668" s="11">
        <f>IF(AND(ISNUMBER(P668),ISNUMBER(Q668),P668&gt;0,ISNUMBER($B$100)),$B$100+3*SQRT($B$100/P668),"")</f>
        <v/>
      </c>
      <c r="U668" s="13">
        <f>IF(AND(ISNUMBER(R668),ISNUMBER(S668),ISNUMBER(T668)),IF(R668&gt;T668,"boven UCL",IF(R668&lt;S668,"onder LCL","")),"")</f>
        <v/>
      </c>
    </row>
    <row r="669">
      <c r="A669" t="n">
        <v>563</v>
      </c>
      <c r="B669" s="7" t="n"/>
      <c r="C669" s="11">
        <f>IF(AND(ISNUMBER(B669),ISNUMBER(B668)),ABS(B669-B668),"")</f>
        <v/>
      </c>
      <c r="D669" s="13">
        <f>IF(AND(ISNUMBER(B669),ISNUMBER($B$88),ISNUMBER($D$88)),IF(B669&gt;$D$88,"boven UCL",IF(B669&lt;$B$88,"onder LCL","")),"")</f>
        <v/>
      </c>
      <c r="E669" s="13">
        <f>IF(AND(ISNUMBER(C669),ISNUMBER($B$89),ISNUMBER($D$89)),IF(C669&gt;$D$89,"boven UCL",IF(C669&lt;$B$89,"onder LCL","")),"")</f>
        <v/>
      </c>
      <c r="G669" t="n">
        <v>563</v>
      </c>
      <c r="H669" s="7" t="n"/>
      <c r="I669" s="7" t="n"/>
      <c r="J669" s="11">
        <f>IF(AND(ISNUMBER(H669),ISNUMBER(I669),H669&gt;0,ISNUMBER($B$94)),I669/H669,"")</f>
        <v/>
      </c>
      <c r="K669" s="11">
        <f>IF(AND(ISNUMBER(H669),ISNUMBER(I669),H669&gt;0,ISNUMBER($B$94)),MAX(0,$B$94-3*SQRT($B$94*(1-$B$94)/H669)),"")</f>
        <v/>
      </c>
      <c r="L669" s="11">
        <f>IF(AND(ISNUMBER(H669),ISNUMBER(I669),H669&gt;0,ISNUMBER($B$94)),$B$94+3*SQRT($B$94*(1-$B$94)/H669),"")</f>
        <v/>
      </c>
      <c r="M669" s="13">
        <f>IF(AND(ISNUMBER(J669),ISNUMBER(K669),ISNUMBER(L669)),IF(J669&gt;L669,"boven UCL",IF(J669&lt;K669,"onder LCL","")),"")</f>
        <v/>
      </c>
      <c r="O669" t="n">
        <v>563</v>
      </c>
      <c r="P669" s="7" t="n"/>
      <c r="Q669" s="7" t="n"/>
      <c r="R669" s="11">
        <f>IF(AND(ISNUMBER(P669),ISNUMBER(Q669),P669&gt;0,ISNUMBER($B$100)),Q669/P669,"")</f>
        <v/>
      </c>
      <c r="S669" s="11">
        <f>IF(AND(ISNUMBER(P669),ISNUMBER(Q669),P669&gt;0,ISNUMBER($B$100)),MAX(0,$B$100-3*SQRT($B$100/P669)),"")</f>
        <v/>
      </c>
      <c r="T669" s="11">
        <f>IF(AND(ISNUMBER(P669),ISNUMBER(Q669),P669&gt;0,ISNUMBER($B$100)),$B$100+3*SQRT($B$100/P669),"")</f>
        <v/>
      </c>
      <c r="U669" s="13">
        <f>IF(AND(ISNUMBER(R669),ISNUMBER(S669),ISNUMBER(T669)),IF(R669&gt;T669,"boven UCL",IF(R669&lt;S669,"onder LCL","")),"")</f>
        <v/>
      </c>
    </row>
    <row r="670">
      <c r="A670" t="n">
        <v>564</v>
      </c>
      <c r="B670" s="7" t="n"/>
      <c r="C670" s="11">
        <f>IF(AND(ISNUMBER(B670),ISNUMBER(B669)),ABS(B670-B669),"")</f>
        <v/>
      </c>
      <c r="D670" s="13">
        <f>IF(AND(ISNUMBER(B670),ISNUMBER($B$88),ISNUMBER($D$88)),IF(B670&gt;$D$88,"boven UCL",IF(B670&lt;$B$88,"onder LCL","")),"")</f>
        <v/>
      </c>
      <c r="E670" s="13">
        <f>IF(AND(ISNUMBER(C670),ISNUMBER($B$89),ISNUMBER($D$89)),IF(C670&gt;$D$89,"boven UCL",IF(C670&lt;$B$89,"onder LCL","")),"")</f>
        <v/>
      </c>
      <c r="G670" t="n">
        <v>564</v>
      </c>
      <c r="H670" s="7" t="n"/>
      <c r="I670" s="7" t="n"/>
      <c r="J670" s="11">
        <f>IF(AND(ISNUMBER(H670),ISNUMBER(I670),H670&gt;0,ISNUMBER($B$94)),I670/H670,"")</f>
        <v/>
      </c>
      <c r="K670" s="11">
        <f>IF(AND(ISNUMBER(H670),ISNUMBER(I670),H670&gt;0,ISNUMBER($B$94)),MAX(0,$B$94-3*SQRT($B$94*(1-$B$94)/H670)),"")</f>
        <v/>
      </c>
      <c r="L670" s="11">
        <f>IF(AND(ISNUMBER(H670),ISNUMBER(I670),H670&gt;0,ISNUMBER($B$94)),$B$94+3*SQRT($B$94*(1-$B$94)/H670),"")</f>
        <v/>
      </c>
      <c r="M670" s="13">
        <f>IF(AND(ISNUMBER(J670),ISNUMBER(K670),ISNUMBER(L670)),IF(J670&gt;L670,"boven UCL",IF(J670&lt;K670,"onder LCL","")),"")</f>
        <v/>
      </c>
      <c r="O670" t="n">
        <v>564</v>
      </c>
      <c r="P670" s="7" t="n"/>
      <c r="Q670" s="7" t="n"/>
      <c r="R670" s="11">
        <f>IF(AND(ISNUMBER(P670),ISNUMBER(Q670),P670&gt;0,ISNUMBER($B$100)),Q670/P670,"")</f>
        <v/>
      </c>
      <c r="S670" s="11">
        <f>IF(AND(ISNUMBER(P670),ISNUMBER(Q670),P670&gt;0,ISNUMBER($B$100)),MAX(0,$B$100-3*SQRT($B$100/P670)),"")</f>
        <v/>
      </c>
      <c r="T670" s="11">
        <f>IF(AND(ISNUMBER(P670),ISNUMBER(Q670),P670&gt;0,ISNUMBER($B$100)),$B$100+3*SQRT($B$100/P670),"")</f>
        <v/>
      </c>
      <c r="U670" s="13">
        <f>IF(AND(ISNUMBER(R670),ISNUMBER(S670),ISNUMBER(T670)),IF(R670&gt;T670,"boven UCL",IF(R670&lt;S670,"onder LCL","")),"")</f>
        <v/>
      </c>
    </row>
    <row r="671">
      <c r="A671" t="n">
        <v>565</v>
      </c>
      <c r="B671" s="7" t="n"/>
      <c r="C671" s="11">
        <f>IF(AND(ISNUMBER(B671),ISNUMBER(B670)),ABS(B671-B670),"")</f>
        <v/>
      </c>
      <c r="D671" s="13">
        <f>IF(AND(ISNUMBER(B671),ISNUMBER($B$88),ISNUMBER($D$88)),IF(B671&gt;$D$88,"boven UCL",IF(B671&lt;$B$88,"onder LCL","")),"")</f>
        <v/>
      </c>
      <c r="E671" s="13">
        <f>IF(AND(ISNUMBER(C671),ISNUMBER($B$89),ISNUMBER($D$89)),IF(C671&gt;$D$89,"boven UCL",IF(C671&lt;$B$89,"onder LCL","")),"")</f>
        <v/>
      </c>
      <c r="G671" t="n">
        <v>565</v>
      </c>
      <c r="H671" s="7" t="n"/>
      <c r="I671" s="7" t="n"/>
      <c r="J671" s="11">
        <f>IF(AND(ISNUMBER(H671),ISNUMBER(I671),H671&gt;0,ISNUMBER($B$94)),I671/H671,"")</f>
        <v/>
      </c>
      <c r="K671" s="11">
        <f>IF(AND(ISNUMBER(H671),ISNUMBER(I671),H671&gt;0,ISNUMBER($B$94)),MAX(0,$B$94-3*SQRT($B$94*(1-$B$94)/H671)),"")</f>
        <v/>
      </c>
      <c r="L671" s="11">
        <f>IF(AND(ISNUMBER(H671),ISNUMBER(I671),H671&gt;0,ISNUMBER($B$94)),$B$94+3*SQRT($B$94*(1-$B$94)/H671),"")</f>
        <v/>
      </c>
      <c r="M671" s="13">
        <f>IF(AND(ISNUMBER(J671),ISNUMBER(K671),ISNUMBER(L671)),IF(J671&gt;L671,"boven UCL",IF(J671&lt;K671,"onder LCL","")),"")</f>
        <v/>
      </c>
      <c r="O671" t="n">
        <v>565</v>
      </c>
      <c r="P671" s="7" t="n"/>
      <c r="Q671" s="7" t="n"/>
      <c r="R671" s="11">
        <f>IF(AND(ISNUMBER(P671),ISNUMBER(Q671),P671&gt;0,ISNUMBER($B$100)),Q671/P671,"")</f>
        <v/>
      </c>
      <c r="S671" s="11">
        <f>IF(AND(ISNUMBER(P671),ISNUMBER(Q671),P671&gt;0,ISNUMBER($B$100)),MAX(0,$B$100-3*SQRT($B$100/P671)),"")</f>
        <v/>
      </c>
      <c r="T671" s="11">
        <f>IF(AND(ISNUMBER(P671),ISNUMBER(Q671),P671&gt;0,ISNUMBER($B$100)),$B$100+3*SQRT($B$100/P671),"")</f>
        <v/>
      </c>
      <c r="U671" s="13">
        <f>IF(AND(ISNUMBER(R671),ISNUMBER(S671),ISNUMBER(T671)),IF(R671&gt;T671,"boven UCL",IF(R671&lt;S671,"onder LCL","")),"")</f>
        <v/>
      </c>
    </row>
    <row r="672">
      <c r="A672" t="n">
        <v>566</v>
      </c>
      <c r="B672" s="7" t="n"/>
      <c r="C672" s="11">
        <f>IF(AND(ISNUMBER(B672),ISNUMBER(B671)),ABS(B672-B671),"")</f>
        <v/>
      </c>
      <c r="D672" s="13">
        <f>IF(AND(ISNUMBER(B672),ISNUMBER($B$88),ISNUMBER($D$88)),IF(B672&gt;$D$88,"boven UCL",IF(B672&lt;$B$88,"onder LCL","")),"")</f>
        <v/>
      </c>
      <c r="E672" s="13">
        <f>IF(AND(ISNUMBER(C672),ISNUMBER($B$89),ISNUMBER($D$89)),IF(C672&gt;$D$89,"boven UCL",IF(C672&lt;$B$89,"onder LCL","")),"")</f>
        <v/>
      </c>
      <c r="G672" t="n">
        <v>566</v>
      </c>
      <c r="H672" s="7" t="n"/>
      <c r="I672" s="7" t="n"/>
      <c r="J672" s="11">
        <f>IF(AND(ISNUMBER(H672),ISNUMBER(I672),H672&gt;0,ISNUMBER($B$94)),I672/H672,"")</f>
        <v/>
      </c>
      <c r="K672" s="11">
        <f>IF(AND(ISNUMBER(H672),ISNUMBER(I672),H672&gt;0,ISNUMBER($B$94)),MAX(0,$B$94-3*SQRT($B$94*(1-$B$94)/H672)),"")</f>
        <v/>
      </c>
      <c r="L672" s="11">
        <f>IF(AND(ISNUMBER(H672),ISNUMBER(I672),H672&gt;0,ISNUMBER($B$94)),$B$94+3*SQRT($B$94*(1-$B$94)/H672),"")</f>
        <v/>
      </c>
      <c r="M672" s="13">
        <f>IF(AND(ISNUMBER(J672),ISNUMBER(K672),ISNUMBER(L672)),IF(J672&gt;L672,"boven UCL",IF(J672&lt;K672,"onder LCL","")),"")</f>
        <v/>
      </c>
      <c r="O672" t="n">
        <v>566</v>
      </c>
      <c r="P672" s="7" t="n"/>
      <c r="Q672" s="7" t="n"/>
      <c r="R672" s="11">
        <f>IF(AND(ISNUMBER(P672),ISNUMBER(Q672),P672&gt;0,ISNUMBER($B$100)),Q672/P672,"")</f>
        <v/>
      </c>
      <c r="S672" s="11">
        <f>IF(AND(ISNUMBER(P672),ISNUMBER(Q672),P672&gt;0,ISNUMBER($B$100)),MAX(0,$B$100-3*SQRT($B$100/P672)),"")</f>
        <v/>
      </c>
      <c r="T672" s="11">
        <f>IF(AND(ISNUMBER(P672),ISNUMBER(Q672),P672&gt;0,ISNUMBER($B$100)),$B$100+3*SQRT($B$100/P672),"")</f>
        <v/>
      </c>
      <c r="U672" s="13">
        <f>IF(AND(ISNUMBER(R672),ISNUMBER(S672),ISNUMBER(T672)),IF(R672&gt;T672,"boven UCL",IF(R672&lt;S672,"onder LCL","")),"")</f>
        <v/>
      </c>
    </row>
    <row r="673">
      <c r="A673" t="n">
        <v>567</v>
      </c>
      <c r="B673" s="7" t="n"/>
      <c r="C673" s="11">
        <f>IF(AND(ISNUMBER(B673),ISNUMBER(B672)),ABS(B673-B672),"")</f>
        <v/>
      </c>
      <c r="D673" s="13">
        <f>IF(AND(ISNUMBER(B673),ISNUMBER($B$88),ISNUMBER($D$88)),IF(B673&gt;$D$88,"boven UCL",IF(B673&lt;$B$88,"onder LCL","")),"")</f>
        <v/>
      </c>
      <c r="E673" s="13">
        <f>IF(AND(ISNUMBER(C673),ISNUMBER($B$89),ISNUMBER($D$89)),IF(C673&gt;$D$89,"boven UCL",IF(C673&lt;$B$89,"onder LCL","")),"")</f>
        <v/>
      </c>
      <c r="G673" t="n">
        <v>567</v>
      </c>
      <c r="H673" s="7" t="n"/>
      <c r="I673" s="7" t="n"/>
      <c r="J673" s="11">
        <f>IF(AND(ISNUMBER(H673),ISNUMBER(I673),H673&gt;0,ISNUMBER($B$94)),I673/H673,"")</f>
        <v/>
      </c>
      <c r="K673" s="11">
        <f>IF(AND(ISNUMBER(H673),ISNUMBER(I673),H673&gt;0,ISNUMBER($B$94)),MAX(0,$B$94-3*SQRT($B$94*(1-$B$94)/H673)),"")</f>
        <v/>
      </c>
      <c r="L673" s="11">
        <f>IF(AND(ISNUMBER(H673),ISNUMBER(I673),H673&gt;0,ISNUMBER($B$94)),$B$94+3*SQRT($B$94*(1-$B$94)/H673),"")</f>
        <v/>
      </c>
      <c r="M673" s="13">
        <f>IF(AND(ISNUMBER(J673),ISNUMBER(K673),ISNUMBER(L673)),IF(J673&gt;L673,"boven UCL",IF(J673&lt;K673,"onder LCL","")),"")</f>
        <v/>
      </c>
      <c r="O673" t="n">
        <v>567</v>
      </c>
      <c r="P673" s="7" t="n"/>
      <c r="Q673" s="7" t="n"/>
      <c r="R673" s="11">
        <f>IF(AND(ISNUMBER(P673),ISNUMBER(Q673),P673&gt;0,ISNUMBER($B$100)),Q673/P673,"")</f>
        <v/>
      </c>
      <c r="S673" s="11">
        <f>IF(AND(ISNUMBER(P673),ISNUMBER(Q673),P673&gt;0,ISNUMBER($B$100)),MAX(0,$B$100-3*SQRT($B$100/P673)),"")</f>
        <v/>
      </c>
      <c r="T673" s="11">
        <f>IF(AND(ISNUMBER(P673),ISNUMBER(Q673),P673&gt;0,ISNUMBER($B$100)),$B$100+3*SQRT($B$100/P673),"")</f>
        <v/>
      </c>
      <c r="U673" s="13">
        <f>IF(AND(ISNUMBER(R673),ISNUMBER(S673),ISNUMBER(T673)),IF(R673&gt;T673,"boven UCL",IF(R673&lt;S673,"onder LCL","")),"")</f>
        <v/>
      </c>
    </row>
    <row r="674">
      <c r="A674" t="n">
        <v>568</v>
      </c>
      <c r="B674" s="7" t="n"/>
      <c r="C674" s="11">
        <f>IF(AND(ISNUMBER(B674),ISNUMBER(B673)),ABS(B674-B673),"")</f>
        <v/>
      </c>
      <c r="D674" s="13">
        <f>IF(AND(ISNUMBER(B674),ISNUMBER($B$88),ISNUMBER($D$88)),IF(B674&gt;$D$88,"boven UCL",IF(B674&lt;$B$88,"onder LCL","")),"")</f>
        <v/>
      </c>
      <c r="E674" s="13">
        <f>IF(AND(ISNUMBER(C674),ISNUMBER($B$89),ISNUMBER($D$89)),IF(C674&gt;$D$89,"boven UCL",IF(C674&lt;$B$89,"onder LCL","")),"")</f>
        <v/>
      </c>
      <c r="G674" t="n">
        <v>568</v>
      </c>
      <c r="H674" s="7" t="n"/>
      <c r="I674" s="7" t="n"/>
      <c r="J674" s="11">
        <f>IF(AND(ISNUMBER(H674),ISNUMBER(I674),H674&gt;0,ISNUMBER($B$94)),I674/H674,"")</f>
        <v/>
      </c>
      <c r="K674" s="11">
        <f>IF(AND(ISNUMBER(H674),ISNUMBER(I674),H674&gt;0,ISNUMBER($B$94)),MAX(0,$B$94-3*SQRT($B$94*(1-$B$94)/H674)),"")</f>
        <v/>
      </c>
      <c r="L674" s="11">
        <f>IF(AND(ISNUMBER(H674),ISNUMBER(I674),H674&gt;0,ISNUMBER($B$94)),$B$94+3*SQRT($B$94*(1-$B$94)/H674),"")</f>
        <v/>
      </c>
      <c r="M674" s="13">
        <f>IF(AND(ISNUMBER(J674),ISNUMBER(K674),ISNUMBER(L674)),IF(J674&gt;L674,"boven UCL",IF(J674&lt;K674,"onder LCL","")),"")</f>
        <v/>
      </c>
      <c r="O674" t="n">
        <v>568</v>
      </c>
      <c r="P674" s="7" t="n"/>
      <c r="Q674" s="7" t="n"/>
      <c r="R674" s="11">
        <f>IF(AND(ISNUMBER(P674),ISNUMBER(Q674),P674&gt;0,ISNUMBER($B$100)),Q674/P674,"")</f>
        <v/>
      </c>
      <c r="S674" s="11">
        <f>IF(AND(ISNUMBER(P674),ISNUMBER(Q674),P674&gt;0,ISNUMBER($B$100)),MAX(0,$B$100-3*SQRT($B$100/P674)),"")</f>
        <v/>
      </c>
      <c r="T674" s="11">
        <f>IF(AND(ISNUMBER(P674),ISNUMBER(Q674),P674&gt;0,ISNUMBER($B$100)),$B$100+3*SQRT($B$100/P674),"")</f>
        <v/>
      </c>
      <c r="U674" s="13">
        <f>IF(AND(ISNUMBER(R674),ISNUMBER(S674),ISNUMBER(T674)),IF(R674&gt;T674,"boven UCL",IF(R674&lt;S674,"onder LCL","")),"")</f>
        <v/>
      </c>
    </row>
    <row r="675">
      <c r="A675" t="n">
        <v>569</v>
      </c>
      <c r="B675" s="7" t="n"/>
      <c r="C675" s="11">
        <f>IF(AND(ISNUMBER(B675),ISNUMBER(B674)),ABS(B675-B674),"")</f>
        <v/>
      </c>
      <c r="D675" s="13">
        <f>IF(AND(ISNUMBER(B675),ISNUMBER($B$88),ISNUMBER($D$88)),IF(B675&gt;$D$88,"boven UCL",IF(B675&lt;$B$88,"onder LCL","")),"")</f>
        <v/>
      </c>
      <c r="E675" s="13">
        <f>IF(AND(ISNUMBER(C675),ISNUMBER($B$89),ISNUMBER($D$89)),IF(C675&gt;$D$89,"boven UCL",IF(C675&lt;$B$89,"onder LCL","")),"")</f>
        <v/>
      </c>
      <c r="G675" t="n">
        <v>569</v>
      </c>
      <c r="H675" s="7" t="n"/>
      <c r="I675" s="7" t="n"/>
      <c r="J675" s="11">
        <f>IF(AND(ISNUMBER(H675),ISNUMBER(I675),H675&gt;0,ISNUMBER($B$94)),I675/H675,"")</f>
        <v/>
      </c>
      <c r="K675" s="11">
        <f>IF(AND(ISNUMBER(H675),ISNUMBER(I675),H675&gt;0,ISNUMBER($B$94)),MAX(0,$B$94-3*SQRT($B$94*(1-$B$94)/H675)),"")</f>
        <v/>
      </c>
      <c r="L675" s="11">
        <f>IF(AND(ISNUMBER(H675),ISNUMBER(I675),H675&gt;0,ISNUMBER($B$94)),$B$94+3*SQRT($B$94*(1-$B$94)/H675),"")</f>
        <v/>
      </c>
      <c r="M675" s="13">
        <f>IF(AND(ISNUMBER(J675),ISNUMBER(K675),ISNUMBER(L675)),IF(J675&gt;L675,"boven UCL",IF(J675&lt;K675,"onder LCL","")),"")</f>
        <v/>
      </c>
      <c r="O675" t="n">
        <v>569</v>
      </c>
      <c r="P675" s="7" t="n"/>
      <c r="Q675" s="7" t="n"/>
      <c r="R675" s="11">
        <f>IF(AND(ISNUMBER(P675),ISNUMBER(Q675),P675&gt;0,ISNUMBER($B$100)),Q675/P675,"")</f>
        <v/>
      </c>
      <c r="S675" s="11">
        <f>IF(AND(ISNUMBER(P675),ISNUMBER(Q675),P675&gt;0,ISNUMBER($B$100)),MAX(0,$B$100-3*SQRT($B$100/P675)),"")</f>
        <v/>
      </c>
      <c r="T675" s="11">
        <f>IF(AND(ISNUMBER(P675),ISNUMBER(Q675),P675&gt;0,ISNUMBER($B$100)),$B$100+3*SQRT($B$100/P675),"")</f>
        <v/>
      </c>
      <c r="U675" s="13">
        <f>IF(AND(ISNUMBER(R675),ISNUMBER(S675),ISNUMBER(T675)),IF(R675&gt;T675,"boven UCL",IF(R675&lt;S675,"onder LCL","")),"")</f>
        <v/>
      </c>
    </row>
    <row r="676">
      <c r="A676" t="n">
        <v>570</v>
      </c>
      <c r="B676" s="7" t="n"/>
      <c r="C676" s="11">
        <f>IF(AND(ISNUMBER(B676),ISNUMBER(B675)),ABS(B676-B675),"")</f>
        <v/>
      </c>
      <c r="D676" s="13">
        <f>IF(AND(ISNUMBER(B676),ISNUMBER($B$88),ISNUMBER($D$88)),IF(B676&gt;$D$88,"boven UCL",IF(B676&lt;$B$88,"onder LCL","")),"")</f>
        <v/>
      </c>
      <c r="E676" s="13">
        <f>IF(AND(ISNUMBER(C676),ISNUMBER($B$89),ISNUMBER($D$89)),IF(C676&gt;$D$89,"boven UCL",IF(C676&lt;$B$89,"onder LCL","")),"")</f>
        <v/>
      </c>
      <c r="G676" t="n">
        <v>570</v>
      </c>
      <c r="H676" s="7" t="n"/>
      <c r="I676" s="7" t="n"/>
      <c r="J676" s="11">
        <f>IF(AND(ISNUMBER(H676),ISNUMBER(I676),H676&gt;0,ISNUMBER($B$94)),I676/H676,"")</f>
        <v/>
      </c>
      <c r="K676" s="11">
        <f>IF(AND(ISNUMBER(H676),ISNUMBER(I676),H676&gt;0,ISNUMBER($B$94)),MAX(0,$B$94-3*SQRT($B$94*(1-$B$94)/H676)),"")</f>
        <v/>
      </c>
      <c r="L676" s="11">
        <f>IF(AND(ISNUMBER(H676),ISNUMBER(I676),H676&gt;0,ISNUMBER($B$94)),$B$94+3*SQRT($B$94*(1-$B$94)/H676),"")</f>
        <v/>
      </c>
      <c r="M676" s="13">
        <f>IF(AND(ISNUMBER(J676),ISNUMBER(K676),ISNUMBER(L676)),IF(J676&gt;L676,"boven UCL",IF(J676&lt;K676,"onder LCL","")),"")</f>
        <v/>
      </c>
      <c r="O676" t="n">
        <v>570</v>
      </c>
      <c r="P676" s="7" t="n"/>
      <c r="Q676" s="7" t="n"/>
      <c r="R676" s="11">
        <f>IF(AND(ISNUMBER(P676),ISNUMBER(Q676),P676&gt;0,ISNUMBER($B$100)),Q676/P676,"")</f>
        <v/>
      </c>
      <c r="S676" s="11">
        <f>IF(AND(ISNUMBER(P676),ISNUMBER(Q676),P676&gt;0,ISNUMBER($B$100)),MAX(0,$B$100-3*SQRT($B$100/P676)),"")</f>
        <v/>
      </c>
      <c r="T676" s="11">
        <f>IF(AND(ISNUMBER(P676),ISNUMBER(Q676),P676&gt;0,ISNUMBER($B$100)),$B$100+3*SQRT($B$100/P676),"")</f>
        <v/>
      </c>
      <c r="U676" s="13">
        <f>IF(AND(ISNUMBER(R676),ISNUMBER(S676),ISNUMBER(T676)),IF(R676&gt;T676,"boven UCL",IF(R676&lt;S676,"onder LCL","")),"")</f>
        <v/>
      </c>
    </row>
    <row r="677">
      <c r="A677" t="n">
        <v>571</v>
      </c>
      <c r="B677" s="7" t="n"/>
      <c r="C677" s="11">
        <f>IF(AND(ISNUMBER(B677),ISNUMBER(B676)),ABS(B677-B676),"")</f>
        <v/>
      </c>
      <c r="D677" s="13">
        <f>IF(AND(ISNUMBER(B677),ISNUMBER($B$88),ISNUMBER($D$88)),IF(B677&gt;$D$88,"boven UCL",IF(B677&lt;$B$88,"onder LCL","")),"")</f>
        <v/>
      </c>
      <c r="E677" s="13">
        <f>IF(AND(ISNUMBER(C677),ISNUMBER($B$89),ISNUMBER($D$89)),IF(C677&gt;$D$89,"boven UCL",IF(C677&lt;$B$89,"onder LCL","")),"")</f>
        <v/>
      </c>
      <c r="G677" t="n">
        <v>571</v>
      </c>
      <c r="H677" s="7" t="n"/>
      <c r="I677" s="7" t="n"/>
      <c r="J677" s="11">
        <f>IF(AND(ISNUMBER(H677),ISNUMBER(I677),H677&gt;0,ISNUMBER($B$94)),I677/H677,"")</f>
        <v/>
      </c>
      <c r="K677" s="11">
        <f>IF(AND(ISNUMBER(H677),ISNUMBER(I677),H677&gt;0,ISNUMBER($B$94)),MAX(0,$B$94-3*SQRT($B$94*(1-$B$94)/H677)),"")</f>
        <v/>
      </c>
      <c r="L677" s="11">
        <f>IF(AND(ISNUMBER(H677),ISNUMBER(I677),H677&gt;0,ISNUMBER($B$94)),$B$94+3*SQRT($B$94*(1-$B$94)/H677),"")</f>
        <v/>
      </c>
      <c r="M677" s="13">
        <f>IF(AND(ISNUMBER(J677),ISNUMBER(K677),ISNUMBER(L677)),IF(J677&gt;L677,"boven UCL",IF(J677&lt;K677,"onder LCL","")),"")</f>
        <v/>
      </c>
      <c r="O677" t="n">
        <v>571</v>
      </c>
      <c r="P677" s="7" t="n"/>
      <c r="Q677" s="7" t="n"/>
      <c r="R677" s="11">
        <f>IF(AND(ISNUMBER(P677),ISNUMBER(Q677),P677&gt;0,ISNUMBER($B$100)),Q677/P677,"")</f>
        <v/>
      </c>
      <c r="S677" s="11">
        <f>IF(AND(ISNUMBER(P677),ISNUMBER(Q677),P677&gt;0,ISNUMBER($B$100)),MAX(0,$B$100-3*SQRT($B$100/P677)),"")</f>
        <v/>
      </c>
      <c r="T677" s="11">
        <f>IF(AND(ISNUMBER(P677),ISNUMBER(Q677),P677&gt;0,ISNUMBER($B$100)),$B$100+3*SQRT($B$100/P677),"")</f>
        <v/>
      </c>
      <c r="U677" s="13">
        <f>IF(AND(ISNUMBER(R677),ISNUMBER(S677),ISNUMBER(T677)),IF(R677&gt;T677,"boven UCL",IF(R677&lt;S677,"onder LCL","")),"")</f>
        <v/>
      </c>
    </row>
    <row r="678">
      <c r="A678" t="n">
        <v>572</v>
      </c>
      <c r="B678" s="7" t="n"/>
      <c r="C678" s="11">
        <f>IF(AND(ISNUMBER(B678),ISNUMBER(B677)),ABS(B678-B677),"")</f>
        <v/>
      </c>
      <c r="D678" s="13">
        <f>IF(AND(ISNUMBER(B678),ISNUMBER($B$88),ISNUMBER($D$88)),IF(B678&gt;$D$88,"boven UCL",IF(B678&lt;$B$88,"onder LCL","")),"")</f>
        <v/>
      </c>
      <c r="E678" s="13">
        <f>IF(AND(ISNUMBER(C678),ISNUMBER($B$89),ISNUMBER($D$89)),IF(C678&gt;$D$89,"boven UCL",IF(C678&lt;$B$89,"onder LCL","")),"")</f>
        <v/>
      </c>
      <c r="G678" t="n">
        <v>572</v>
      </c>
      <c r="H678" s="7" t="n"/>
      <c r="I678" s="7" t="n"/>
      <c r="J678" s="11">
        <f>IF(AND(ISNUMBER(H678),ISNUMBER(I678),H678&gt;0,ISNUMBER($B$94)),I678/H678,"")</f>
        <v/>
      </c>
      <c r="K678" s="11">
        <f>IF(AND(ISNUMBER(H678),ISNUMBER(I678),H678&gt;0,ISNUMBER($B$94)),MAX(0,$B$94-3*SQRT($B$94*(1-$B$94)/H678)),"")</f>
        <v/>
      </c>
      <c r="L678" s="11">
        <f>IF(AND(ISNUMBER(H678),ISNUMBER(I678),H678&gt;0,ISNUMBER($B$94)),$B$94+3*SQRT($B$94*(1-$B$94)/H678),"")</f>
        <v/>
      </c>
      <c r="M678" s="13">
        <f>IF(AND(ISNUMBER(J678),ISNUMBER(K678),ISNUMBER(L678)),IF(J678&gt;L678,"boven UCL",IF(J678&lt;K678,"onder LCL","")),"")</f>
        <v/>
      </c>
      <c r="O678" t="n">
        <v>572</v>
      </c>
      <c r="P678" s="7" t="n"/>
      <c r="Q678" s="7" t="n"/>
      <c r="R678" s="11">
        <f>IF(AND(ISNUMBER(P678),ISNUMBER(Q678),P678&gt;0,ISNUMBER($B$100)),Q678/P678,"")</f>
        <v/>
      </c>
      <c r="S678" s="11">
        <f>IF(AND(ISNUMBER(P678),ISNUMBER(Q678),P678&gt;0,ISNUMBER($B$100)),MAX(0,$B$100-3*SQRT($B$100/P678)),"")</f>
        <v/>
      </c>
      <c r="T678" s="11">
        <f>IF(AND(ISNUMBER(P678),ISNUMBER(Q678),P678&gt;0,ISNUMBER($B$100)),$B$100+3*SQRT($B$100/P678),"")</f>
        <v/>
      </c>
      <c r="U678" s="13">
        <f>IF(AND(ISNUMBER(R678),ISNUMBER(S678),ISNUMBER(T678)),IF(R678&gt;T678,"boven UCL",IF(R678&lt;S678,"onder LCL","")),"")</f>
        <v/>
      </c>
    </row>
    <row r="679">
      <c r="A679" t="n">
        <v>573</v>
      </c>
      <c r="B679" s="7" t="n"/>
      <c r="C679" s="11">
        <f>IF(AND(ISNUMBER(B679),ISNUMBER(B678)),ABS(B679-B678),"")</f>
        <v/>
      </c>
      <c r="D679" s="13">
        <f>IF(AND(ISNUMBER(B679),ISNUMBER($B$88),ISNUMBER($D$88)),IF(B679&gt;$D$88,"boven UCL",IF(B679&lt;$B$88,"onder LCL","")),"")</f>
        <v/>
      </c>
      <c r="E679" s="13">
        <f>IF(AND(ISNUMBER(C679),ISNUMBER($B$89),ISNUMBER($D$89)),IF(C679&gt;$D$89,"boven UCL",IF(C679&lt;$B$89,"onder LCL","")),"")</f>
        <v/>
      </c>
      <c r="G679" t="n">
        <v>573</v>
      </c>
      <c r="H679" s="7" t="n"/>
      <c r="I679" s="7" t="n"/>
      <c r="J679" s="11">
        <f>IF(AND(ISNUMBER(H679),ISNUMBER(I679),H679&gt;0,ISNUMBER($B$94)),I679/H679,"")</f>
        <v/>
      </c>
      <c r="K679" s="11">
        <f>IF(AND(ISNUMBER(H679),ISNUMBER(I679),H679&gt;0,ISNUMBER($B$94)),MAX(0,$B$94-3*SQRT($B$94*(1-$B$94)/H679)),"")</f>
        <v/>
      </c>
      <c r="L679" s="11">
        <f>IF(AND(ISNUMBER(H679),ISNUMBER(I679),H679&gt;0,ISNUMBER($B$94)),$B$94+3*SQRT($B$94*(1-$B$94)/H679),"")</f>
        <v/>
      </c>
      <c r="M679" s="13">
        <f>IF(AND(ISNUMBER(J679),ISNUMBER(K679),ISNUMBER(L679)),IF(J679&gt;L679,"boven UCL",IF(J679&lt;K679,"onder LCL","")),"")</f>
        <v/>
      </c>
      <c r="O679" t="n">
        <v>573</v>
      </c>
      <c r="P679" s="7" t="n"/>
      <c r="Q679" s="7" t="n"/>
      <c r="R679" s="11">
        <f>IF(AND(ISNUMBER(P679),ISNUMBER(Q679),P679&gt;0,ISNUMBER($B$100)),Q679/P679,"")</f>
        <v/>
      </c>
      <c r="S679" s="11">
        <f>IF(AND(ISNUMBER(P679),ISNUMBER(Q679),P679&gt;0,ISNUMBER($B$100)),MAX(0,$B$100-3*SQRT($B$100/P679)),"")</f>
        <v/>
      </c>
      <c r="T679" s="11">
        <f>IF(AND(ISNUMBER(P679),ISNUMBER(Q679),P679&gt;0,ISNUMBER($B$100)),$B$100+3*SQRT($B$100/P679),"")</f>
        <v/>
      </c>
      <c r="U679" s="13">
        <f>IF(AND(ISNUMBER(R679),ISNUMBER(S679),ISNUMBER(T679)),IF(R679&gt;T679,"boven UCL",IF(R679&lt;S679,"onder LCL","")),"")</f>
        <v/>
      </c>
    </row>
    <row r="680">
      <c r="A680" t="n">
        <v>574</v>
      </c>
      <c r="B680" s="7" t="n"/>
      <c r="C680" s="11">
        <f>IF(AND(ISNUMBER(B680),ISNUMBER(B679)),ABS(B680-B679),"")</f>
        <v/>
      </c>
      <c r="D680" s="13">
        <f>IF(AND(ISNUMBER(B680),ISNUMBER($B$88),ISNUMBER($D$88)),IF(B680&gt;$D$88,"boven UCL",IF(B680&lt;$B$88,"onder LCL","")),"")</f>
        <v/>
      </c>
      <c r="E680" s="13">
        <f>IF(AND(ISNUMBER(C680),ISNUMBER($B$89),ISNUMBER($D$89)),IF(C680&gt;$D$89,"boven UCL",IF(C680&lt;$B$89,"onder LCL","")),"")</f>
        <v/>
      </c>
      <c r="G680" t="n">
        <v>574</v>
      </c>
      <c r="H680" s="7" t="n"/>
      <c r="I680" s="7" t="n"/>
      <c r="J680" s="11">
        <f>IF(AND(ISNUMBER(H680),ISNUMBER(I680),H680&gt;0,ISNUMBER($B$94)),I680/H680,"")</f>
        <v/>
      </c>
      <c r="K680" s="11">
        <f>IF(AND(ISNUMBER(H680),ISNUMBER(I680),H680&gt;0,ISNUMBER($B$94)),MAX(0,$B$94-3*SQRT($B$94*(1-$B$94)/H680)),"")</f>
        <v/>
      </c>
      <c r="L680" s="11">
        <f>IF(AND(ISNUMBER(H680),ISNUMBER(I680),H680&gt;0,ISNUMBER($B$94)),$B$94+3*SQRT($B$94*(1-$B$94)/H680),"")</f>
        <v/>
      </c>
      <c r="M680" s="13">
        <f>IF(AND(ISNUMBER(J680),ISNUMBER(K680),ISNUMBER(L680)),IF(J680&gt;L680,"boven UCL",IF(J680&lt;K680,"onder LCL","")),"")</f>
        <v/>
      </c>
      <c r="O680" t="n">
        <v>574</v>
      </c>
      <c r="P680" s="7" t="n"/>
      <c r="Q680" s="7" t="n"/>
      <c r="R680" s="11">
        <f>IF(AND(ISNUMBER(P680),ISNUMBER(Q680),P680&gt;0,ISNUMBER($B$100)),Q680/P680,"")</f>
        <v/>
      </c>
      <c r="S680" s="11">
        <f>IF(AND(ISNUMBER(P680),ISNUMBER(Q680),P680&gt;0,ISNUMBER($B$100)),MAX(0,$B$100-3*SQRT($B$100/P680)),"")</f>
        <v/>
      </c>
      <c r="T680" s="11">
        <f>IF(AND(ISNUMBER(P680),ISNUMBER(Q680),P680&gt;0,ISNUMBER($B$100)),$B$100+3*SQRT($B$100/P680),"")</f>
        <v/>
      </c>
      <c r="U680" s="13">
        <f>IF(AND(ISNUMBER(R680),ISNUMBER(S680),ISNUMBER(T680)),IF(R680&gt;T680,"boven UCL",IF(R680&lt;S680,"onder LCL","")),"")</f>
        <v/>
      </c>
    </row>
    <row r="681">
      <c r="A681" t="n">
        <v>575</v>
      </c>
      <c r="B681" s="7" t="n"/>
      <c r="C681" s="11">
        <f>IF(AND(ISNUMBER(B681),ISNUMBER(B680)),ABS(B681-B680),"")</f>
        <v/>
      </c>
      <c r="D681" s="13">
        <f>IF(AND(ISNUMBER(B681),ISNUMBER($B$88),ISNUMBER($D$88)),IF(B681&gt;$D$88,"boven UCL",IF(B681&lt;$B$88,"onder LCL","")),"")</f>
        <v/>
      </c>
      <c r="E681" s="13">
        <f>IF(AND(ISNUMBER(C681),ISNUMBER($B$89),ISNUMBER($D$89)),IF(C681&gt;$D$89,"boven UCL",IF(C681&lt;$B$89,"onder LCL","")),"")</f>
        <v/>
      </c>
      <c r="G681" t="n">
        <v>575</v>
      </c>
      <c r="H681" s="7" t="n"/>
      <c r="I681" s="7" t="n"/>
      <c r="J681" s="11">
        <f>IF(AND(ISNUMBER(H681),ISNUMBER(I681),H681&gt;0,ISNUMBER($B$94)),I681/H681,"")</f>
        <v/>
      </c>
      <c r="K681" s="11">
        <f>IF(AND(ISNUMBER(H681),ISNUMBER(I681),H681&gt;0,ISNUMBER($B$94)),MAX(0,$B$94-3*SQRT($B$94*(1-$B$94)/H681)),"")</f>
        <v/>
      </c>
      <c r="L681" s="11">
        <f>IF(AND(ISNUMBER(H681),ISNUMBER(I681),H681&gt;0,ISNUMBER($B$94)),$B$94+3*SQRT($B$94*(1-$B$94)/H681),"")</f>
        <v/>
      </c>
      <c r="M681" s="13">
        <f>IF(AND(ISNUMBER(J681),ISNUMBER(K681),ISNUMBER(L681)),IF(J681&gt;L681,"boven UCL",IF(J681&lt;K681,"onder LCL","")),"")</f>
        <v/>
      </c>
      <c r="O681" t="n">
        <v>575</v>
      </c>
      <c r="P681" s="7" t="n"/>
      <c r="Q681" s="7" t="n"/>
      <c r="R681" s="11">
        <f>IF(AND(ISNUMBER(P681),ISNUMBER(Q681),P681&gt;0,ISNUMBER($B$100)),Q681/P681,"")</f>
        <v/>
      </c>
      <c r="S681" s="11">
        <f>IF(AND(ISNUMBER(P681),ISNUMBER(Q681),P681&gt;0,ISNUMBER($B$100)),MAX(0,$B$100-3*SQRT($B$100/P681)),"")</f>
        <v/>
      </c>
      <c r="T681" s="11">
        <f>IF(AND(ISNUMBER(P681),ISNUMBER(Q681),P681&gt;0,ISNUMBER($B$100)),$B$100+3*SQRT($B$100/P681),"")</f>
        <v/>
      </c>
      <c r="U681" s="13">
        <f>IF(AND(ISNUMBER(R681),ISNUMBER(S681),ISNUMBER(T681)),IF(R681&gt;T681,"boven UCL",IF(R681&lt;S681,"onder LCL","")),"")</f>
        <v/>
      </c>
    </row>
    <row r="682">
      <c r="A682" t="n">
        <v>576</v>
      </c>
      <c r="B682" s="7" t="n"/>
      <c r="C682" s="11">
        <f>IF(AND(ISNUMBER(B682),ISNUMBER(B681)),ABS(B682-B681),"")</f>
        <v/>
      </c>
      <c r="D682" s="13">
        <f>IF(AND(ISNUMBER(B682),ISNUMBER($B$88),ISNUMBER($D$88)),IF(B682&gt;$D$88,"boven UCL",IF(B682&lt;$B$88,"onder LCL","")),"")</f>
        <v/>
      </c>
      <c r="E682" s="13">
        <f>IF(AND(ISNUMBER(C682),ISNUMBER($B$89),ISNUMBER($D$89)),IF(C682&gt;$D$89,"boven UCL",IF(C682&lt;$B$89,"onder LCL","")),"")</f>
        <v/>
      </c>
      <c r="G682" t="n">
        <v>576</v>
      </c>
      <c r="H682" s="7" t="n"/>
      <c r="I682" s="7" t="n"/>
      <c r="J682" s="11">
        <f>IF(AND(ISNUMBER(H682),ISNUMBER(I682),H682&gt;0,ISNUMBER($B$94)),I682/H682,"")</f>
        <v/>
      </c>
      <c r="K682" s="11">
        <f>IF(AND(ISNUMBER(H682),ISNUMBER(I682),H682&gt;0,ISNUMBER($B$94)),MAX(0,$B$94-3*SQRT($B$94*(1-$B$94)/H682)),"")</f>
        <v/>
      </c>
      <c r="L682" s="11">
        <f>IF(AND(ISNUMBER(H682),ISNUMBER(I682),H682&gt;0,ISNUMBER($B$94)),$B$94+3*SQRT($B$94*(1-$B$94)/H682),"")</f>
        <v/>
      </c>
      <c r="M682" s="13">
        <f>IF(AND(ISNUMBER(J682),ISNUMBER(K682),ISNUMBER(L682)),IF(J682&gt;L682,"boven UCL",IF(J682&lt;K682,"onder LCL","")),"")</f>
        <v/>
      </c>
      <c r="O682" t="n">
        <v>576</v>
      </c>
      <c r="P682" s="7" t="n"/>
      <c r="Q682" s="7" t="n"/>
      <c r="R682" s="11">
        <f>IF(AND(ISNUMBER(P682),ISNUMBER(Q682),P682&gt;0,ISNUMBER($B$100)),Q682/P682,"")</f>
        <v/>
      </c>
      <c r="S682" s="11">
        <f>IF(AND(ISNUMBER(P682),ISNUMBER(Q682),P682&gt;0,ISNUMBER($B$100)),MAX(0,$B$100-3*SQRT($B$100/P682)),"")</f>
        <v/>
      </c>
      <c r="T682" s="11">
        <f>IF(AND(ISNUMBER(P682),ISNUMBER(Q682),P682&gt;0,ISNUMBER($B$100)),$B$100+3*SQRT($B$100/P682),"")</f>
        <v/>
      </c>
      <c r="U682" s="13">
        <f>IF(AND(ISNUMBER(R682),ISNUMBER(S682),ISNUMBER(T682)),IF(R682&gt;T682,"boven UCL",IF(R682&lt;S682,"onder LCL","")),"")</f>
        <v/>
      </c>
    </row>
    <row r="683">
      <c r="A683" t="n">
        <v>577</v>
      </c>
      <c r="B683" s="7" t="n"/>
      <c r="C683" s="11">
        <f>IF(AND(ISNUMBER(B683),ISNUMBER(B682)),ABS(B683-B682),"")</f>
        <v/>
      </c>
      <c r="D683" s="13">
        <f>IF(AND(ISNUMBER(B683),ISNUMBER($B$88),ISNUMBER($D$88)),IF(B683&gt;$D$88,"boven UCL",IF(B683&lt;$B$88,"onder LCL","")),"")</f>
        <v/>
      </c>
      <c r="E683" s="13">
        <f>IF(AND(ISNUMBER(C683),ISNUMBER($B$89),ISNUMBER($D$89)),IF(C683&gt;$D$89,"boven UCL",IF(C683&lt;$B$89,"onder LCL","")),"")</f>
        <v/>
      </c>
      <c r="G683" t="n">
        <v>577</v>
      </c>
      <c r="H683" s="7" t="n"/>
      <c r="I683" s="7" t="n"/>
      <c r="J683" s="11">
        <f>IF(AND(ISNUMBER(H683),ISNUMBER(I683),H683&gt;0,ISNUMBER($B$94)),I683/H683,"")</f>
        <v/>
      </c>
      <c r="K683" s="11">
        <f>IF(AND(ISNUMBER(H683),ISNUMBER(I683),H683&gt;0,ISNUMBER($B$94)),MAX(0,$B$94-3*SQRT($B$94*(1-$B$94)/H683)),"")</f>
        <v/>
      </c>
      <c r="L683" s="11">
        <f>IF(AND(ISNUMBER(H683),ISNUMBER(I683),H683&gt;0,ISNUMBER($B$94)),$B$94+3*SQRT($B$94*(1-$B$94)/H683),"")</f>
        <v/>
      </c>
      <c r="M683" s="13">
        <f>IF(AND(ISNUMBER(J683),ISNUMBER(K683),ISNUMBER(L683)),IF(J683&gt;L683,"boven UCL",IF(J683&lt;K683,"onder LCL","")),"")</f>
        <v/>
      </c>
      <c r="O683" t="n">
        <v>577</v>
      </c>
      <c r="P683" s="7" t="n"/>
      <c r="Q683" s="7" t="n"/>
      <c r="R683" s="11">
        <f>IF(AND(ISNUMBER(P683),ISNUMBER(Q683),P683&gt;0,ISNUMBER($B$100)),Q683/P683,"")</f>
        <v/>
      </c>
      <c r="S683" s="11">
        <f>IF(AND(ISNUMBER(P683),ISNUMBER(Q683),P683&gt;0,ISNUMBER($B$100)),MAX(0,$B$100-3*SQRT($B$100/P683)),"")</f>
        <v/>
      </c>
      <c r="T683" s="11">
        <f>IF(AND(ISNUMBER(P683),ISNUMBER(Q683),P683&gt;0,ISNUMBER($B$100)),$B$100+3*SQRT($B$100/P683),"")</f>
        <v/>
      </c>
      <c r="U683" s="13">
        <f>IF(AND(ISNUMBER(R683),ISNUMBER(S683),ISNUMBER(T683)),IF(R683&gt;T683,"boven UCL",IF(R683&lt;S683,"onder LCL","")),"")</f>
        <v/>
      </c>
    </row>
    <row r="684">
      <c r="A684" t="n">
        <v>578</v>
      </c>
      <c r="B684" s="7" t="n"/>
      <c r="C684" s="11">
        <f>IF(AND(ISNUMBER(B684),ISNUMBER(B683)),ABS(B684-B683),"")</f>
        <v/>
      </c>
      <c r="D684" s="13">
        <f>IF(AND(ISNUMBER(B684),ISNUMBER($B$88),ISNUMBER($D$88)),IF(B684&gt;$D$88,"boven UCL",IF(B684&lt;$B$88,"onder LCL","")),"")</f>
        <v/>
      </c>
      <c r="E684" s="13">
        <f>IF(AND(ISNUMBER(C684),ISNUMBER($B$89),ISNUMBER($D$89)),IF(C684&gt;$D$89,"boven UCL",IF(C684&lt;$B$89,"onder LCL","")),"")</f>
        <v/>
      </c>
      <c r="G684" t="n">
        <v>578</v>
      </c>
      <c r="H684" s="7" t="n"/>
      <c r="I684" s="7" t="n"/>
      <c r="J684" s="11">
        <f>IF(AND(ISNUMBER(H684),ISNUMBER(I684),H684&gt;0,ISNUMBER($B$94)),I684/H684,"")</f>
        <v/>
      </c>
      <c r="K684" s="11">
        <f>IF(AND(ISNUMBER(H684),ISNUMBER(I684),H684&gt;0,ISNUMBER($B$94)),MAX(0,$B$94-3*SQRT($B$94*(1-$B$94)/H684)),"")</f>
        <v/>
      </c>
      <c r="L684" s="11">
        <f>IF(AND(ISNUMBER(H684),ISNUMBER(I684),H684&gt;0,ISNUMBER($B$94)),$B$94+3*SQRT($B$94*(1-$B$94)/H684),"")</f>
        <v/>
      </c>
      <c r="M684" s="13">
        <f>IF(AND(ISNUMBER(J684),ISNUMBER(K684),ISNUMBER(L684)),IF(J684&gt;L684,"boven UCL",IF(J684&lt;K684,"onder LCL","")),"")</f>
        <v/>
      </c>
      <c r="O684" t="n">
        <v>578</v>
      </c>
      <c r="P684" s="7" t="n"/>
      <c r="Q684" s="7" t="n"/>
      <c r="R684" s="11">
        <f>IF(AND(ISNUMBER(P684),ISNUMBER(Q684),P684&gt;0,ISNUMBER($B$100)),Q684/P684,"")</f>
        <v/>
      </c>
      <c r="S684" s="11">
        <f>IF(AND(ISNUMBER(P684),ISNUMBER(Q684),P684&gt;0,ISNUMBER($B$100)),MAX(0,$B$100-3*SQRT($B$100/P684)),"")</f>
        <v/>
      </c>
      <c r="T684" s="11">
        <f>IF(AND(ISNUMBER(P684),ISNUMBER(Q684),P684&gt;0,ISNUMBER($B$100)),$B$100+3*SQRT($B$100/P684),"")</f>
        <v/>
      </c>
      <c r="U684" s="13">
        <f>IF(AND(ISNUMBER(R684),ISNUMBER(S684),ISNUMBER(T684)),IF(R684&gt;T684,"boven UCL",IF(R684&lt;S684,"onder LCL","")),"")</f>
        <v/>
      </c>
    </row>
    <row r="685">
      <c r="A685" t="n">
        <v>579</v>
      </c>
      <c r="B685" s="7" t="n"/>
      <c r="C685" s="11">
        <f>IF(AND(ISNUMBER(B685),ISNUMBER(B684)),ABS(B685-B684),"")</f>
        <v/>
      </c>
      <c r="D685" s="13">
        <f>IF(AND(ISNUMBER(B685),ISNUMBER($B$88),ISNUMBER($D$88)),IF(B685&gt;$D$88,"boven UCL",IF(B685&lt;$B$88,"onder LCL","")),"")</f>
        <v/>
      </c>
      <c r="E685" s="13">
        <f>IF(AND(ISNUMBER(C685),ISNUMBER($B$89),ISNUMBER($D$89)),IF(C685&gt;$D$89,"boven UCL",IF(C685&lt;$B$89,"onder LCL","")),"")</f>
        <v/>
      </c>
      <c r="G685" t="n">
        <v>579</v>
      </c>
      <c r="H685" s="7" t="n"/>
      <c r="I685" s="7" t="n"/>
      <c r="J685" s="11">
        <f>IF(AND(ISNUMBER(H685),ISNUMBER(I685),H685&gt;0,ISNUMBER($B$94)),I685/H685,"")</f>
        <v/>
      </c>
      <c r="K685" s="11">
        <f>IF(AND(ISNUMBER(H685),ISNUMBER(I685),H685&gt;0,ISNUMBER($B$94)),MAX(0,$B$94-3*SQRT($B$94*(1-$B$94)/H685)),"")</f>
        <v/>
      </c>
      <c r="L685" s="11">
        <f>IF(AND(ISNUMBER(H685),ISNUMBER(I685),H685&gt;0,ISNUMBER($B$94)),$B$94+3*SQRT($B$94*(1-$B$94)/H685),"")</f>
        <v/>
      </c>
      <c r="M685" s="13">
        <f>IF(AND(ISNUMBER(J685),ISNUMBER(K685),ISNUMBER(L685)),IF(J685&gt;L685,"boven UCL",IF(J685&lt;K685,"onder LCL","")),"")</f>
        <v/>
      </c>
      <c r="O685" t="n">
        <v>579</v>
      </c>
      <c r="P685" s="7" t="n"/>
      <c r="Q685" s="7" t="n"/>
      <c r="R685" s="11">
        <f>IF(AND(ISNUMBER(P685),ISNUMBER(Q685),P685&gt;0,ISNUMBER($B$100)),Q685/P685,"")</f>
        <v/>
      </c>
      <c r="S685" s="11">
        <f>IF(AND(ISNUMBER(P685),ISNUMBER(Q685),P685&gt;0,ISNUMBER($B$100)),MAX(0,$B$100-3*SQRT($B$100/P685)),"")</f>
        <v/>
      </c>
      <c r="T685" s="11">
        <f>IF(AND(ISNUMBER(P685),ISNUMBER(Q685),P685&gt;0,ISNUMBER($B$100)),$B$100+3*SQRT($B$100/P685),"")</f>
        <v/>
      </c>
      <c r="U685" s="13">
        <f>IF(AND(ISNUMBER(R685),ISNUMBER(S685),ISNUMBER(T685)),IF(R685&gt;T685,"boven UCL",IF(R685&lt;S685,"onder LCL","")),"")</f>
        <v/>
      </c>
    </row>
    <row r="686">
      <c r="A686" t="n">
        <v>580</v>
      </c>
      <c r="B686" s="7" t="n"/>
      <c r="C686" s="11">
        <f>IF(AND(ISNUMBER(B686),ISNUMBER(B685)),ABS(B686-B685),"")</f>
        <v/>
      </c>
      <c r="D686" s="13">
        <f>IF(AND(ISNUMBER(B686),ISNUMBER($B$88),ISNUMBER($D$88)),IF(B686&gt;$D$88,"boven UCL",IF(B686&lt;$B$88,"onder LCL","")),"")</f>
        <v/>
      </c>
      <c r="E686" s="13">
        <f>IF(AND(ISNUMBER(C686),ISNUMBER($B$89),ISNUMBER($D$89)),IF(C686&gt;$D$89,"boven UCL",IF(C686&lt;$B$89,"onder LCL","")),"")</f>
        <v/>
      </c>
      <c r="G686" t="n">
        <v>580</v>
      </c>
      <c r="H686" s="7" t="n"/>
      <c r="I686" s="7" t="n"/>
      <c r="J686" s="11">
        <f>IF(AND(ISNUMBER(H686),ISNUMBER(I686),H686&gt;0,ISNUMBER($B$94)),I686/H686,"")</f>
        <v/>
      </c>
      <c r="K686" s="11">
        <f>IF(AND(ISNUMBER(H686),ISNUMBER(I686),H686&gt;0,ISNUMBER($B$94)),MAX(0,$B$94-3*SQRT($B$94*(1-$B$94)/H686)),"")</f>
        <v/>
      </c>
      <c r="L686" s="11">
        <f>IF(AND(ISNUMBER(H686),ISNUMBER(I686),H686&gt;0,ISNUMBER($B$94)),$B$94+3*SQRT($B$94*(1-$B$94)/H686),"")</f>
        <v/>
      </c>
      <c r="M686" s="13">
        <f>IF(AND(ISNUMBER(J686),ISNUMBER(K686),ISNUMBER(L686)),IF(J686&gt;L686,"boven UCL",IF(J686&lt;K686,"onder LCL","")),"")</f>
        <v/>
      </c>
      <c r="O686" t="n">
        <v>580</v>
      </c>
      <c r="P686" s="7" t="n"/>
      <c r="Q686" s="7" t="n"/>
      <c r="R686" s="11">
        <f>IF(AND(ISNUMBER(P686),ISNUMBER(Q686),P686&gt;0,ISNUMBER($B$100)),Q686/P686,"")</f>
        <v/>
      </c>
      <c r="S686" s="11">
        <f>IF(AND(ISNUMBER(P686),ISNUMBER(Q686),P686&gt;0,ISNUMBER($B$100)),MAX(0,$B$100-3*SQRT($B$100/P686)),"")</f>
        <v/>
      </c>
      <c r="T686" s="11">
        <f>IF(AND(ISNUMBER(P686),ISNUMBER(Q686),P686&gt;0,ISNUMBER($B$100)),$B$100+3*SQRT($B$100/P686),"")</f>
        <v/>
      </c>
      <c r="U686" s="13">
        <f>IF(AND(ISNUMBER(R686),ISNUMBER(S686),ISNUMBER(T686)),IF(R686&gt;T686,"boven UCL",IF(R686&lt;S686,"onder LCL","")),"")</f>
        <v/>
      </c>
    </row>
    <row r="687">
      <c r="A687" t="n">
        <v>581</v>
      </c>
      <c r="B687" s="7" t="n"/>
      <c r="C687" s="11">
        <f>IF(AND(ISNUMBER(B687),ISNUMBER(B686)),ABS(B687-B686),"")</f>
        <v/>
      </c>
      <c r="D687" s="13">
        <f>IF(AND(ISNUMBER(B687),ISNUMBER($B$88),ISNUMBER($D$88)),IF(B687&gt;$D$88,"boven UCL",IF(B687&lt;$B$88,"onder LCL","")),"")</f>
        <v/>
      </c>
      <c r="E687" s="13">
        <f>IF(AND(ISNUMBER(C687),ISNUMBER($B$89),ISNUMBER($D$89)),IF(C687&gt;$D$89,"boven UCL",IF(C687&lt;$B$89,"onder LCL","")),"")</f>
        <v/>
      </c>
      <c r="G687" t="n">
        <v>581</v>
      </c>
      <c r="H687" s="7" t="n"/>
      <c r="I687" s="7" t="n"/>
      <c r="J687" s="11">
        <f>IF(AND(ISNUMBER(H687),ISNUMBER(I687),H687&gt;0,ISNUMBER($B$94)),I687/H687,"")</f>
        <v/>
      </c>
      <c r="K687" s="11">
        <f>IF(AND(ISNUMBER(H687),ISNUMBER(I687),H687&gt;0,ISNUMBER($B$94)),MAX(0,$B$94-3*SQRT($B$94*(1-$B$94)/H687)),"")</f>
        <v/>
      </c>
      <c r="L687" s="11">
        <f>IF(AND(ISNUMBER(H687),ISNUMBER(I687),H687&gt;0,ISNUMBER($B$94)),$B$94+3*SQRT($B$94*(1-$B$94)/H687),"")</f>
        <v/>
      </c>
      <c r="M687" s="13">
        <f>IF(AND(ISNUMBER(J687),ISNUMBER(K687),ISNUMBER(L687)),IF(J687&gt;L687,"boven UCL",IF(J687&lt;K687,"onder LCL","")),"")</f>
        <v/>
      </c>
      <c r="O687" t="n">
        <v>581</v>
      </c>
      <c r="P687" s="7" t="n"/>
      <c r="Q687" s="7" t="n"/>
      <c r="R687" s="11">
        <f>IF(AND(ISNUMBER(P687),ISNUMBER(Q687),P687&gt;0,ISNUMBER($B$100)),Q687/P687,"")</f>
        <v/>
      </c>
      <c r="S687" s="11">
        <f>IF(AND(ISNUMBER(P687),ISNUMBER(Q687),P687&gt;0,ISNUMBER($B$100)),MAX(0,$B$100-3*SQRT($B$100/P687)),"")</f>
        <v/>
      </c>
      <c r="T687" s="11">
        <f>IF(AND(ISNUMBER(P687),ISNUMBER(Q687),P687&gt;0,ISNUMBER($B$100)),$B$100+3*SQRT($B$100/P687),"")</f>
        <v/>
      </c>
      <c r="U687" s="13">
        <f>IF(AND(ISNUMBER(R687),ISNUMBER(S687),ISNUMBER(T687)),IF(R687&gt;T687,"boven UCL",IF(R687&lt;S687,"onder LCL","")),"")</f>
        <v/>
      </c>
    </row>
    <row r="688">
      <c r="A688" t="n">
        <v>582</v>
      </c>
      <c r="B688" s="7" t="n"/>
      <c r="C688" s="11">
        <f>IF(AND(ISNUMBER(B688),ISNUMBER(B687)),ABS(B688-B687),"")</f>
        <v/>
      </c>
      <c r="D688" s="13">
        <f>IF(AND(ISNUMBER(B688),ISNUMBER($B$88),ISNUMBER($D$88)),IF(B688&gt;$D$88,"boven UCL",IF(B688&lt;$B$88,"onder LCL","")),"")</f>
        <v/>
      </c>
      <c r="E688" s="13">
        <f>IF(AND(ISNUMBER(C688),ISNUMBER($B$89),ISNUMBER($D$89)),IF(C688&gt;$D$89,"boven UCL",IF(C688&lt;$B$89,"onder LCL","")),"")</f>
        <v/>
      </c>
      <c r="G688" t="n">
        <v>582</v>
      </c>
      <c r="H688" s="7" t="n"/>
      <c r="I688" s="7" t="n"/>
      <c r="J688" s="11">
        <f>IF(AND(ISNUMBER(H688),ISNUMBER(I688),H688&gt;0,ISNUMBER($B$94)),I688/H688,"")</f>
        <v/>
      </c>
      <c r="K688" s="11">
        <f>IF(AND(ISNUMBER(H688),ISNUMBER(I688),H688&gt;0,ISNUMBER($B$94)),MAX(0,$B$94-3*SQRT($B$94*(1-$B$94)/H688)),"")</f>
        <v/>
      </c>
      <c r="L688" s="11">
        <f>IF(AND(ISNUMBER(H688),ISNUMBER(I688),H688&gt;0,ISNUMBER($B$94)),$B$94+3*SQRT($B$94*(1-$B$94)/H688),"")</f>
        <v/>
      </c>
      <c r="M688" s="13">
        <f>IF(AND(ISNUMBER(J688),ISNUMBER(K688),ISNUMBER(L688)),IF(J688&gt;L688,"boven UCL",IF(J688&lt;K688,"onder LCL","")),"")</f>
        <v/>
      </c>
      <c r="O688" t="n">
        <v>582</v>
      </c>
      <c r="P688" s="7" t="n"/>
      <c r="Q688" s="7" t="n"/>
      <c r="R688" s="11">
        <f>IF(AND(ISNUMBER(P688),ISNUMBER(Q688),P688&gt;0,ISNUMBER($B$100)),Q688/P688,"")</f>
        <v/>
      </c>
      <c r="S688" s="11">
        <f>IF(AND(ISNUMBER(P688),ISNUMBER(Q688),P688&gt;0,ISNUMBER($B$100)),MAX(0,$B$100-3*SQRT($B$100/P688)),"")</f>
        <v/>
      </c>
      <c r="T688" s="11">
        <f>IF(AND(ISNUMBER(P688),ISNUMBER(Q688),P688&gt;0,ISNUMBER($B$100)),$B$100+3*SQRT($B$100/P688),"")</f>
        <v/>
      </c>
      <c r="U688" s="13">
        <f>IF(AND(ISNUMBER(R688),ISNUMBER(S688),ISNUMBER(T688)),IF(R688&gt;T688,"boven UCL",IF(R688&lt;S688,"onder LCL","")),"")</f>
        <v/>
      </c>
    </row>
    <row r="689">
      <c r="A689" t="n">
        <v>583</v>
      </c>
      <c r="B689" s="7" t="n"/>
      <c r="C689" s="11">
        <f>IF(AND(ISNUMBER(B689),ISNUMBER(B688)),ABS(B689-B688),"")</f>
        <v/>
      </c>
      <c r="D689" s="13">
        <f>IF(AND(ISNUMBER(B689),ISNUMBER($B$88),ISNUMBER($D$88)),IF(B689&gt;$D$88,"boven UCL",IF(B689&lt;$B$88,"onder LCL","")),"")</f>
        <v/>
      </c>
      <c r="E689" s="13">
        <f>IF(AND(ISNUMBER(C689),ISNUMBER($B$89),ISNUMBER($D$89)),IF(C689&gt;$D$89,"boven UCL",IF(C689&lt;$B$89,"onder LCL","")),"")</f>
        <v/>
      </c>
      <c r="G689" t="n">
        <v>583</v>
      </c>
      <c r="H689" s="7" t="n"/>
      <c r="I689" s="7" t="n"/>
      <c r="J689" s="11">
        <f>IF(AND(ISNUMBER(H689),ISNUMBER(I689),H689&gt;0,ISNUMBER($B$94)),I689/H689,"")</f>
        <v/>
      </c>
      <c r="K689" s="11">
        <f>IF(AND(ISNUMBER(H689),ISNUMBER(I689),H689&gt;0,ISNUMBER($B$94)),MAX(0,$B$94-3*SQRT($B$94*(1-$B$94)/H689)),"")</f>
        <v/>
      </c>
      <c r="L689" s="11">
        <f>IF(AND(ISNUMBER(H689),ISNUMBER(I689),H689&gt;0,ISNUMBER($B$94)),$B$94+3*SQRT($B$94*(1-$B$94)/H689),"")</f>
        <v/>
      </c>
      <c r="M689" s="13">
        <f>IF(AND(ISNUMBER(J689),ISNUMBER(K689),ISNUMBER(L689)),IF(J689&gt;L689,"boven UCL",IF(J689&lt;K689,"onder LCL","")),"")</f>
        <v/>
      </c>
      <c r="O689" t="n">
        <v>583</v>
      </c>
      <c r="P689" s="7" t="n"/>
      <c r="Q689" s="7" t="n"/>
      <c r="R689" s="11">
        <f>IF(AND(ISNUMBER(P689),ISNUMBER(Q689),P689&gt;0,ISNUMBER($B$100)),Q689/P689,"")</f>
        <v/>
      </c>
      <c r="S689" s="11">
        <f>IF(AND(ISNUMBER(P689),ISNUMBER(Q689),P689&gt;0,ISNUMBER($B$100)),MAX(0,$B$100-3*SQRT($B$100/P689)),"")</f>
        <v/>
      </c>
      <c r="T689" s="11">
        <f>IF(AND(ISNUMBER(P689),ISNUMBER(Q689),P689&gt;0,ISNUMBER($B$100)),$B$100+3*SQRT($B$100/P689),"")</f>
        <v/>
      </c>
      <c r="U689" s="13">
        <f>IF(AND(ISNUMBER(R689),ISNUMBER(S689),ISNUMBER(T689)),IF(R689&gt;T689,"boven UCL",IF(R689&lt;S689,"onder LCL","")),"")</f>
        <v/>
      </c>
    </row>
    <row r="690">
      <c r="A690" t="n">
        <v>584</v>
      </c>
      <c r="B690" s="7" t="n"/>
      <c r="C690" s="11">
        <f>IF(AND(ISNUMBER(B690),ISNUMBER(B689)),ABS(B690-B689),"")</f>
        <v/>
      </c>
      <c r="D690" s="13">
        <f>IF(AND(ISNUMBER(B690),ISNUMBER($B$88),ISNUMBER($D$88)),IF(B690&gt;$D$88,"boven UCL",IF(B690&lt;$B$88,"onder LCL","")),"")</f>
        <v/>
      </c>
      <c r="E690" s="13">
        <f>IF(AND(ISNUMBER(C690),ISNUMBER($B$89),ISNUMBER($D$89)),IF(C690&gt;$D$89,"boven UCL",IF(C690&lt;$B$89,"onder LCL","")),"")</f>
        <v/>
      </c>
      <c r="G690" t="n">
        <v>584</v>
      </c>
      <c r="H690" s="7" t="n"/>
      <c r="I690" s="7" t="n"/>
      <c r="J690" s="11">
        <f>IF(AND(ISNUMBER(H690),ISNUMBER(I690),H690&gt;0,ISNUMBER($B$94)),I690/H690,"")</f>
        <v/>
      </c>
      <c r="K690" s="11">
        <f>IF(AND(ISNUMBER(H690),ISNUMBER(I690),H690&gt;0,ISNUMBER($B$94)),MAX(0,$B$94-3*SQRT($B$94*(1-$B$94)/H690)),"")</f>
        <v/>
      </c>
      <c r="L690" s="11">
        <f>IF(AND(ISNUMBER(H690),ISNUMBER(I690),H690&gt;0,ISNUMBER($B$94)),$B$94+3*SQRT($B$94*(1-$B$94)/H690),"")</f>
        <v/>
      </c>
      <c r="M690" s="13">
        <f>IF(AND(ISNUMBER(J690),ISNUMBER(K690),ISNUMBER(L690)),IF(J690&gt;L690,"boven UCL",IF(J690&lt;K690,"onder LCL","")),"")</f>
        <v/>
      </c>
      <c r="O690" t="n">
        <v>584</v>
      </c>
      <c r="P690" s="7" t="n"/>
      <c r="Q690" s="7" t="n"/>
      <c r="R690" s="11">
        <f>IF(AND(ISNUMBER(P690),ISNUMBER(Q690),P690&gt;0,ISNUMBER($B$100)),Q690/P690,"")</f>
        <v/>
      </c>
      <c r="S690" s="11">
        <f>IF(AND(ISNUMBER(P690),ISNUMBER(Q690),P690&gt;0,ISNUMBER($B$100)),MAX(0,$B$100-3*SQRT($B$100/P690)),"")</f>
        <v/>
      </c>
      <c r="T690" s="11">
        <f>IF(AND(ISNUMBER(P690),ISNUMBER(Q690),P690&gt;0,ISNUMBER($B$100)),$B$100+3*SQRT($B$100/P690),"")</f>
        <v/>
      </c>
      <c r="U690" s="13">
        <f>IF(AND(ISNUMBER(R690),ISNUMBER(S690),ISNUMBER(T690)),IF(R690&gt;T690,"boven UCL",IF(R690&lt;S690,"onder LCL","")),"")</f>
        <v/>
      </c>
    </row>
    <row r="691">
      <c r="A691" t="n">
        <v>585</v>
      </c>
      <c r="B691" s="7" t="n"/>
      <c r="C691" s="11">
        <f>IF(AND(ISNUMBER(B691),ISNUMBER(B690)),ABS(B691-B690),"")</f>
        <v/>
      </c>
      <c r="D691" s="13">
        <f>IF(AND(ISNUMBER(B691),ISNUMBER($B$88),ISNUMBER($D$88)),IF(B691&gt;$D$88,"boven UCL",IF(B691&lt;$B$88,"onder LCL","")),"")</f>
        <v/>
      </c>
      <c r="E691" s="13">
        <f>IF(AND(ISNUMBER(C691),ISNUMBER($B$89),ISNUMBER($D$89)),IF(C691&gt;$D$89,"boven UCL",IF(C691&lt;$B$89,"onder LCL","")),"")</f>
        <v/>
      </c>
      <c r="G691" t="n">
        <v>585</v>
      </c>
      <c r="H691" s="7" t="n"/>
      <c r="I691" s="7" t="n"/>
      <c r="J691" s="11">
        <f>IF(AND(ISNUMBER(H691),ISNUMBER(I691),H691&gt;0,ISNUMBER($B$94)),I691/H691,"")</f>
        <v/>
      </c>
      <c r="K691" s="11">
        <f>IF(AND(ISNUMBER(H691),ISNUMBER(I691),H691&gt;0,ISNUMBER($B$94)),MAX(0,$B$94-3*SQRT($B$94*(1-$B$94)/H691)),"")</f>
        <v/>
      </c>
      <c r="L691" s="11">
        <f>IF(AND(ISNUMBER(H691),ISNUMBER(I691),H691&gt;0,ISNUMBER($B$94)),$B$94+3*SQRT($B$94*(1-$B$94)/H691),"")</f>
        <v/>
      </c>
      <c r="M691" s="13">
        <f>IF(AND(ISNUMBER(J691),ISNUMBER(K691),ISNUMBER(L691)),IF(J691&gt;L691,"boven UCL",IF(J691&lt;K691,"onder LCL","")),"")</f>
        <v/>
      </c>
      <c r="O691" t="n">
        <v>585</v>
      </c>
      <c r="P691" s="7" t="n"/>
      <c r="Q691" s="7" t="n"/>
      <c r="R691" s="11">
        <f>IF(AND(ISNUMBER(P691),ISNUMBER(Q691),P691&gt;0,ISNUMBER($B$100)),Q691/P691,"")</f>
        <v/>
      </c>
      <c r="S691" s="11">
        <f>IF(AND(ISNUMBER(P691),ISNUMBER(Q691),P691&gt;0,ISNUMBER($B$100)),MAX(0,$B$100-3*SQRT($B$100/P691)),"")</f>
        <v/>
      </c>
      <c r="T691" s="11">
        <f>IF(AND(ISNUMBER(P691),ISNUMBER(Q691),P691&gt;0,ISNUMBER($B$100)),$B$100+3*SQRT($B$100/P691),"")</f>
        <v/>
      </c>
      <c r="U691" s="13">
        <f>IF(AND(ISNUMBER(R691),ISNUMBER(S691),ISNUMBER(T691)),IF(R691&gt;T691,"boven UCL",IF(R691&lt;S691,"onder LCL","")),"")</f>
        <v/>
      </c>
    </row>
    <row r="692">
      <c r="A692" t="n">
        <v>586</v>
      </c>
      <c r="B692" s="7" t="n"/>
      <c r="C692" s="11">
        <f>IF(AND(ISNUMBER(B692),ISNUMBER(B691)),ABS(B692-B691),"")</f>
        <v/>
      </c>
      <c r="D692" s="13">
        <f>IF(AND(ISNUMBER(B692),ISNUMBER($B$88),ISNUMBER($D$88)),IF(B692&gt;$D$88,"boven UCL",IF(B692&lt;$B$88,"onder LCL","")),"")</f>
        <v/>
      </c>
      <c r="E692" s="13">
        <f>IF(AND(ISNUMBER(C692),ISNUMBER($B$89),ISNUMBER($D$89)),IF(C692&gt;$D$89,"boven UCL",IF(C692&lt;$B$89,"onder LCL","")),"")</f>
        <v/>
      </c>
      <c r="G692" t="n">
        <v>586</v>
      </c>
      <c r="H692" s="7" t="n"/>
      <c r="I692" s="7" t="n"/>
      <c r="J692" s="11">
        <f>IF(AND(ISNUMBER(H692),ISNUMBER(I692),H692&gt;0,ISNUMBER($B$94)),I692/H692,"")</f>
        <v/>
      </c>
      <c r="K692" s="11">
        <f>IF(AND(ISNUMBER(H692),ISNUMBER(I692),H692&gt;0,ISNUMBER($B$94)),MAX(0,$B$94-3*SQRT($B$94*(1-$B$94)/H692)),"")</f>
        <v/>
      </c>
      <c r="L692" s="11">
        <f>IF(AND(ISNUMBER(H692),ISNUMBER(I692),H692&gt;0,ISNUMBER($B$94)),$B$94+3*SQRT($B$94*(1-$B$94)/H692),"")</f>
        <v/>
      </c>
      <c r="M692" s="13">
        <f>IF(AND(ISNUMBER(J692),ISNUMBER(K692),ISNUMBER(L692)),IF(J692&gt;L692,"boven UCL",IF(J692&lt;K692,"onder LCL","")),"")</f>
        <v/>
      </c>
      <c r="O692" t="n">
        <v>586</v>
      </c>
      <c r="P692" s="7" t="n"/>
      <c r="Q692" s="7" t="n"/>
      <c r="R692" s="11">
        <f>IF(AND(ISNUMBER(P692),ISNUMBER(Q692),P692&gt;0,ISNUMBER($B$100)),Q692/P692,"")</f>
        <v/>
      </c>
      <c r="S692" s="11">
        <f>IF(AND(ISNUMBER(P692),ISNUMBER(Q692),P692&gt;0,ISNUMBER($B$100)),MAX(0,$B$100-3*SQRT($B$100/P692)),"")</f>
        <v/>
      </c>
      <c r="T692" s="11">
        <f>IF(AND(ISNUMBER(P692),ISNUMBER(Q692),P692&gt;0,ISNUMBER($B$100)),$B$100+3*SQRT($B$100/P692),"")</f>
        <v/>
      </c>
      <c r="U692" s="13">
        <f>IF(AND(ISNUMBER(R692),ISNUMBER(S692),ISNUMBER(T692)),IF(R692&gt;T692,"boven UCL",IF(R692&lt;S692,"onder LCL","")),"")</f>
        <v/>
      </c>
    </row>
    <row r="693">
      <c r="A693" t="n">
        <v>587</v>
      </c>
      <c r="B693" s="7" t="n"/>
      <c r="C693" s="11">
        <f>IF(AND(ISNUMBER(B693),ISNUMBER(B692)),ABS(B693-B692),"")</f>
        <v/>
      </c>
      <c r="D693" s="13">
        <f>IF(AND(ISNUMBER(B693),ISNUMBER($B$88),ISNUMBER($D$88)),IF(B693&gt;$D$88,"boven UCL",IF(B693&lt;$B$88,"onder LCL","")),"")</f>
        <v/>
      </c>
      <c r="E693" s="13">
        <f>IF(AND(ISNUMBER(C693),ISNUMBER($B$89),ISNUMBER($D$89)),IF(C693&gt;$D$89,"boven UCL",IF(C693&lt;$B$89,"onder LCL","")),"")</f>
        <v/>
      </c>
      <c r="G693" t="n">
        <v>587</v>
      </c>
      <c r="H693" s="7" t="n"/>
      <c r="I693" s="7" t="n"/>
      <c r="J693" s="11">
        <f>IF(AND(ISNUMBER(H693),ISNUMBER(I693),H693&gt;0,ISNUMBER($B$94)),I693/H693,"")</f>
        <v/>
      </c>
      <c r="K693" s="11">
        <f>IF(AND(ISNUMBER(H693),ISNUMBER(I693),H693&gt;0,ISNUMBER($B$94)),MAX(0,$B$94-3*SQRT($B$94*(1-$B$94)/H693)),"")</f>
        <v/>
      </c>
      <c r="L693" s="11">
        <f>IF(AND(ISNUMBER(H693),ISNUMBER(I693),H693&gt;0,ISNUMBER($B$94)),$B$94+3*SQRT($B$94*(1-$B$94)/H693),"")</f>
        <v/>
      </c>
      <c r="M693" s="13">
        <f>IF(AND(ISNUMBER(J693),ISNUMBER(K693),ISNUMBER(L693)),IF(J693&gt;L693,"boven UCL",IF(J693&lt;K693,"onder LCL","")),"")</f>
        <v/>
      </c>
      <c r="O693" t="n">
        <v>587</v>
      </c>
      <c r="P693" s="7" t="n"/>
      <c r="Q693" s="7" t="n"/>
      <c r="R693" s="11">
        <f>IF(AND(ISNUMBER(P693),ISNUMBER(Q693),P693&gt;0,ISNUMBER($B$100)),Q693/P693,"")</f>
        <v/>
      </c>
      <c r="S693" s="11">
        <f>IF(AND(ISNUMBER(P693),ISNUMBER(Q693),P693&gt;0,ISNUMBER($B$100)),MAX(0,$B$100-3*SQRT($B$100/P693)),"")</f>
        <v/>
      </c>
      <c r="T693" s="11">
        <f>IF(AND(ISNUMBER(P693),ISNUMBER(Q693),P693&gt;0,ISNUMBER($B$100)),$B$100+3*SQRT($B$100/P693),"")</f>
        <v/>
      </c>
      <c r="U693" s="13">
        <f>IF(AND(ISNUMBER(R693),ISNUMBER(S693),ISNUMBER(T693)),IF(R693&gt;T693,"boven UCL",IF(R693&lt;S693,"onder LCL","")),"")</f>
        <v/>
      </c>
    </row>
    <row r="694">
      <c r="A694" t="n">
        <v>588</v>
      </c>
      <c r="B694" s="7" t="n"/>
      <c r="C694" s="11">
        <f>IF(AND(ISNUMBER(B694),ISNUMBER(B693)),ABS(B694-B693),"")</f>
        <v/>
      </c>
      <c r="D694" s="13">
        <f>IF(AND(ISNUMBER(B694),ISNUMBER($B$88),ISNUMBER($D$88)),IF(B694&gt;$D$88,"boven UCL",IF(B694&lt;$B$88,"onder LCL","")),"")</f>
        <v/>
      </c>
      <c r="E694" s="13">
        <f>IF(AND(ISNUMBER(C694),ISNUMBER($B$89),ISNUMBER($D$89)),IF(C694&gt;$D$89,"boven UCL",IF(C694&lt;$B$89,"onder LCL","")),"")</f>
        <v/>
      </c>
      <c r="G694" t="n">
        <v>588</v>
      </c>
      <c r="H694" s="7" t="n"/>
      <c r="I694" s="7" t="n"/>
      <c r="J694" s="11">
        <f>IF(AND(ISNUMBER(H694),ISNUMBER(I694),H694&gt;0,ISNUMBER($B$94)),I694/H694,"")</f>
        <v/>
      </c>
      <c r="K694" s="11">
        <f>IF(AND(ISNUMBER(H694),ISNUMBER(I694),H694&gt;0,ISNUMBER($B$94)),MAX(0,$B$94-3*SQRT($B$94*(1-$B$94)/H694)),"")</f>
        <v/>
      </c>
      <c r="L694" s="11">
        <f>IF(AND(ISNUMBER(H694),ISNUMBER(I694),H694&gt;0,ISNUMBER($B$94)),$B$94+3*SQRT($B$94*(1-$B$94)/H694),"")</f>
        <v/>
      </c>
      <c r="M694" s="13">
        <f>IF(AND(ISNUMBER(J694),ISNUMBER(K694),ISNUMBER(L694)),IF(J694&gt;L694,"boven UCL",IF(J694&lt;K694,"onder LCL","")),"")</f>
        <v/>
      </c>
      <c r="O694" t="n">
        <v>588</v>
      </c>
      <c r="P694" s="7" t="n"/>
      <c r="Q694" s="7" t="n"/>
      <c r="R694" s="11">
        <f>IF(AND(ISNUMBER(P694),ISNUMBER(Q694),P694&gt;0,ISNUMBER($B$100)),Q694/P694,"")</f>
        <v/>
      </c>
      <c r="S694" s="11">
        <f>IF(AND(ISNUMBER(P694),ISNUMBER(Q694),P694&gt;0,ISNUMBER($B$100)),MAX(0,$B$100-3*SQRT($B$100/P694)),"")</f>
        <v/>
      </c>
      <c r="T694" s="11">
        <f>IF(AND(ISNUMBER(P694),ISNUMBER(Q694),P694&gt;0,ISNUMBER($B$100)),$B$100+3*SQRT($B$100/P694),"")</f>
        <v/>
      </c>
      <c r="U694" s="13">
        <f>IF(AND(ISNUMBER(R694),ISNUMBER(S694),ISNUMBER(T694)),IF(R694&gt;T694,"boven UCL",IF(R694&lt;S694,"onder LCL","")),"")</f>
        <v/>
      </c>
    </row>
    <row r="695">
      <c r="A695" t="n">
        <v>589</v>
      </c>
      <c r="B695" s="7" t="n"/>
      <c r="C695" s="11">
        <f>IF(AND(ISNUMBER(B695),ISNUMBER(B694)),ABS(B695-B694),"")</f>
        <v/>
      </c>
      <c r="D695" s="13">
        <f>IF(AND(ISNUMBER(B695),ISNUMBER($B$88),ISNUMBER($D$88)),IF(B695&gt;$D$88,"boven UCL",IF(B695&lt;$B$88,"onder LCL","")),"")</f>
        <v/>
      </c>
      <c r="E695" s="13">
        <f>IF(AND(ISNUMBER(C695),ISNUMBER($B$89),ISNUMBER($D$89)),IF(C695&gt;$D$89,"boven UCL",IF(C695&lt;$B$89,"onder LCL","")),"")</f>
        <v/>
      </c>
      <c r="G695" t="n">
        <v>589</v>
      </c>
      <c r="H695" s="7" t="n"/>
      <c r="I695" s="7" t="n"/>
      <c r="J695" s="11">
        <f>IF(AND(ISNUMBER(H695),ISNUMBER(I695),H695&gt;0,ISNUMBER($B$94)),I695/H695,"")</f>
        <v/>
      </c>
      <c r="K695" s="11">
        <f>IF(AND(ISNUMBER(H695),ISNUMBER(I695),H695&gt;0,ISNUMBER($B$94)),MAX(0,$B$94-3*SQRT($B$94*(1-$B$94)/H695)),"")</f>
        <v/>
      </c>
      <c r="L695" s="11">
        <f>IF(AND(ISNUMBER(H695),ISNUMBER(I695),H695&gt;0,ISNUMBER($B$94)),$B$94+3*SQRT($B$94*(1-$B$94)/H695),"")</f>
        <v/>
      </c>
      <c r="M695" s="13">
        <f>IF(AND(ISNUMBER(J695),ISNUMBER(K695),ISNUMBER(L695)),IF(J695&gt;L695,"boven UCL",IF(J695&lt;K695,"onder LCL","")),"")</f>
        <v/>
      </c>
      <c r="O695" t="n">
        <v>589</v>
      </c>
      <c r="P695" s="7" t="n"/>
      <c r="Q695" s="7" t="n"/>
      <c r="R695" s="11">
        <f>IF(AND(ISNUMBER(P695),ISNUMBER(Q695),P695&gt;0,ISNUMBER($B$100)),Q695/P695,"")</f>
        <v/>
      </c>
      <c r="S695" s="11">
        <f>IF(AND(ISNUMBER(P695),ISNUMBER(Q695),P695&gt;0,ISNUMBER($B$100)),MAX(0,$B$100-3*SQRT($B$100/P695)),"")</f>
        <v/>
      </c>
      <c r="T695" s="11">
        <f>IF(AND(ISNUMBER(P695),ISNUMBER(Q695),P695&gt;0,ISNUMBER($B$100)),$B$100+3*SQRT($B$100/P695),"")</f>
        <v/>
      </c>
      <c r="U695" s="13">
        <f>IF(AND(ISNUMBER(R695),ISNUMBER(S695),ISNUMBER(T695)),IF(R695&gt;T695,"boven UCL",IF(R695&lt;S695,"onder LCL","")),"")</f>
        <v/>
      </c>
    </row>
    <row r="696">
      <c r="A696" t="n">
        <v>590</v>
      </c>
      <c r="B696" s="7" t="n"/>
      <c r="C696" s="11">
        <f>IF(AND(ISNUMBER(B696),ISNUMBER(B695)),ABS(B696-B695),"")</f>
        <v/>
      </c>
      <c r="D696" s="13">
        <f>IF(AND(ISNUMBER(B696),ISNUMBER($B$88),ISNUMBER($D$88)),IF(B696&gt;$D$88,"boven UCL",IF(B696&lt;$B$88,"onder LCL","")),"")</f>
        <v/>
      </c>
      <c r="E696" s="13">
        <f>IF(AND(ISNUMBER(C696),ISNUMBER($B$89),ISNUMBER($D$89)),IF(C696&gt;$D$89,"boven UCL",IF(C696&lt;$B$89,"onder LCL","")),"")</f>
        <v/>
      </c>
      <c r="G696" t="n">
        <v>590</v>
      </c>
      <c r="H696" s="7" t="n"/>
      <c r="I696" s="7" t="n"/>
      <c r="J696" s="11">
        <f>IF(AND(ISNUMBER(H696),ISNUMBER(I696),H696&gt;0,ISNUMBER($B$94)),I696/H696,"")</f>
        <v/>
      </c>
      <c r="K696" s="11">
        <f>IF(AND(ISNUMBER(H696),ISNUMBER(I696),H696&gt;0,ISNUMBER($B$94)),MAX(0,$B$94-3*SQRT($B$94*(1-$B$94)/H696)),"")</f>
        <v/>
      </c>
      <c r="L696" s="11">
        <f>IF(AND(ISNUMBER(H696),ISNUMBER(I696),H696&gt;0,ISNUMBER($B$94)),$B$94+3*SQRT($B$94*(1-$B$94)/H696),"")</f>
        <v/>
      </c>
      <c r="M696" s="13">
        <f>IF(AND(ISNUMBER(J696),ISNUMBER(K696),ISNUMBER(L696)),IF(J696&gt;L696,"boven UCL",IF(J696&lt;K696,"onder LCL","")),"")</f>
        <v/>
      </c>
      <c r="O696" t="n">
        <v>590</v>
      </c>
      <c r="P696" s="7" t="n"/>
      <c r="Q696" s="7" t="n"/>
      <c r="R696" s="11">
        <f>IF(AND(ISNUMBER(P696),ISNUMBER(Q696),P696&gt;0,ISNUMBER($B$100)),Q696/P696,"")</f>
        <v/>
      </c>
      <c r="S696" s="11">
        <f>IF(AND(ISNUMBER(P696),ISNUMBER(Q696),P696&gt;0,ISNUMBER($B$100)),MAX(0,$B$100-3*SQRT($B$100/P696)),"")</f>
        <v/>
      </c>
      <c r="T696" s="11">
        <f>IF(AND(ISNUMBER(P696),ISNUMBER(Q696),P696&gt;0,ISNUMBER($B$100)),$B$100+3*SQRT($B$100/P696),"")</f>
        <v/>
      </c>
      <c r="U696" s="13">
        <f>IF(AND(ISNUMBER(R696),ISNUMBER(S696),ISNUMBER(T696)),IF(R696&gt;T696,"boven UCL",IF(R696&lt;S696,"onder LCL","")),"")</f>
        <v/>
      </c>
    </row>
    <row r="697">
      <c r="A697" t="n">
        <v>591</v>
      </c>
      <c r="B697" s="7" t="n"/>
      <c r="C697" s="11">
        <f>IF(AND(ISNUMBER(B697),ISNUMBER(B696)),ABS(B697-B696),"")</f>
        <v/>
      </c>
      <c r="D697" s="13">
        <f>IF(AND(ISNUMBER(B697),ISNUMBER($B$88),ISNUMBER($D$88)),IF(B697&gt;$D$88,"boven UCL",IF(B697&lt;$B$88,"onder LCL","")),"")</f>
        <v/>
      </c>
      <c r="E697" s="13">
        <f>IF(AND(ISNUMBER(C697),ISNUMBER($B$89),ISNUMBER($D$89)),IF(C697&gt;$D$89,"boven UCL",IF(C697&lt;$B$89,"onder LCL","")),"")</f>
        <v/>
      </c>
      <c r="G697" t="n">
        <v>591</v>
      </c>
      <c r="H697" s="7" t="n"/>
      <c r="I697" s="7" t="n"/>
      <c r="J697" s="11">
        <f>IF(AND(ISNUMBER(H697),ISNUMBER(I697),H697&gt;0,ISNUMBER($B$94)),I697/H697,"")</f>
        <v/>
      </c>
      <c r="K697" s="11">
        <f>IF(AND(ISNUMBER(H697),ISNUMBER(I697),H697&gt;0,ISNUMBER($B$94)),MAX(0,$B$94-3*SQRT($B$94*(1-$B$94)/H697)),"")</f>
        <v/>
      </c>
      <c r="L697" s="11">
        <f>IF(AND(ISNUMBER(H697),ISNUMBER(I697),H697&gt;0,ISNUMBER($B$94)),$B$94+3*SQRT($B$94*(1-$B$94)/H697),"")</f>
        <v/>
      </c>
      <c r="M697" s="13">
        <f>IF(AND(ISNUMBER(J697),ISNUMBER(K697),ISNUMBER(L697)),IF(J697&gt;L697,"boven UCL",IF(J697&lt;K697,"onder LCL","")),"")</f>
        <v/>
      </c>
      <c r="O697" t="n">
        <v>591</v>
      </c>
      <c r="P697" s="7" t="n"/>
      <c r="Q697" s="7" t="n"/>
      <c r="R697" s="11">
        <f>IF(AND(ISNUMBER(P697),ISNUMBER(Q697),P697&gt;0,ISNUMBER($B$100)),Q697/P697,"")</f>
        <v/>
      </c>
      <c r="S697" s="11">
        <f>IF(AND(ISNUMBER(P697),ISNUMBER(Q697),P697&gt;0,ISNUMBER($B$100)),MAX(0,$B$100-3*SQRT($B$100/P697)),"")</f>
        <v/>
      </c>
      <c r="T697" s="11">
        <f>IF(AND(ISNUMBER(P697),ISNUMBER(Q697),P697&gt;0,ISNUMBER($B$100)),$B$100+3*SQRT($B$100/P697),"")</f>
        <v/>
      </c>
      <c r="U697" s="13">
        <f>IF(AND(ISNUMBER(R697),ISNUMBER(S697),ISNUMBER(T697)),IF(R697&gt;T697,"boven UCL",IF(R697&lt;S697,"onder LCL","")),"")</f>
        <v/>
      </c>
    </row>
    <row r="698">
      <c r="A698" t="n">
        <v>592</v>
      </c>
      <c r="B698" s="7" t="n"/>
      <c r="C698" s="11">
        <f>IF(AND(ISNUMBER(B698),ISNUMBER(B697)),ABS(B698-B697),"")</f>
        <v/>
      </c>
      <c r="D698" s="13">
        <f>IF(AND(ISNUMBER(B698),ISNUMBER($B$88),ISNUMBER($D$88)),IF(B698&gt;$D$88,"boven UCL",IF(B698&lt;$B$88,"onder LCL","")),"")</f>
        <v/>
      </c>
      <c r="E698" s="13">
        <f>IF(AND(ISNUMBER(C698),ISNUMBER($B$89),ISNUMBER($D$89)),IF(C698&gt;$D$89,"boven UCL",IF(C698&lt;$B$89,"onder LCL","")),"")</f>
        <v/>
      </c>
      <c r="G698" t="n">
        <v>592</v>
      </c>
      <c r="H698" s="7" t="n"/>
      <c r="I698" s="7" t="n"/>
      <c r="J698" s="11">
        <f>IF(AND(ISNUMBER(H698),ISNUMBER(I698),H698&gt;0,ISNUMBER($B$94)),I698/H698,"")</f>
        <v/>
      </c>
      <c r="K698" s="11">
        <f>IF(AND(ISNUMBER(H698),ISNUMBER(I698),H698&gt;0,ISNUMBER($B$94)),MAX(0,$B$94-3*SQRT($B$94*(1-$B$94)/H698)),"")</f>
        <v/>
      </c>
      <c r="L698" s="11">
        <f>IF(AND(ISNUMBER(H698),ISNUMBER(I698),H698&gt;0,ISNUMBER($B$94)),$B$94+3*SQRT($B$94*(1-$B$94)/H698),"")</f>
        <v/>
      </c>
      <c r="M698" s="13">
        <f>IF(AND(ISNUMBER(J698),ISNUMBER(K698),ISNUMBER(L698)),IF(J698&gt;L698,"boven UCL",IF(J698&lt;K698,"onder LCL","")),"")</f>
        <v/>
      </c>
      <c r="O698" t="n">
        <v>592</v>
      </c>
      <c r="P698" s="7" t="n"/>
      <c r="Q698" s="7" t="n"/>
      <c r="R698" s="11">
        <f>IF(AND(ISNUMBER(P698),ISNUMBER(Q698),P698&gt;0,ISNUMBER($B$100)),Q698/P698,"")</f>
        <v/>
      </c>
      <c r="S698" s="11">
        <f>IF(AND(ISNUMBER(P698),ISNUMBER(Q698),P698&gt;0,ISNUMBER($B$100)),MAX(0,$B$100-3*SQRT($B$100/P698)),"")</f>
        <v/>
      </c>
      <c r="T698" s="11">
        <f>IF(AND(ISNUMBER(P698),ISNUMBER(Q698),P698&gt;0,ISNUMBER($B$100)),$B$100+3*SQRT($B$100/P698),"")</f>
        <v/>
      </c>
      <c r="U698" s="13">
        <f>IF(AND(ISNUMBER(R698),ISNUMBER(S698),ISNUMBER(T698)),IF(R698&gt;T698,"boven UCL",IF(R698&lt;S698,"onder LCL","")),"")</f>
        <v/>
      </c>
    </row>
    <row r="699">
      <c r="A699" t="n">
        <v>593</v>
      </c>
      <c r="B699" s="7" t="n"/>
      <c r="C699" s="11">
        <f>IF(AND(ISNUMBER(B699),ISNUMBER(B698)),ABS(B699-B698),"")</f>
        <v/>
      </c>
      <c r="D699" s="13">
        <f>IF(AND(ISNUMBER(B699),ISNUMBER($B$88),ISNUMBER($D$88)),IF(B699&gt;$D$88,"boven UCL",IF(B699&lt;$B$88,"onder LCL","")),"")</f>
        <v/>
      </c>
      <c r="E699" s="13">
        <f>IF(AND(ISNUMBER(C699),ISNUMBER($B$89),ISNUMBER($D$89)),IF(C699&gt;$D$89,"boven UCL",IF(C699&lt;$B$89,"onder LCL","")),"")</f>
        <v/>
      </c>
      <c r="G699" t="n">
        <v>593</v>
      </c>
      <c r="H699" s="7" t="n"/>
      <c r="I699" s="7" t="n"/>
      <c r="J699" s="11">
        <f>IF(AND(ISNUMBER(H699),ISNUMBER(I699),H699&gt;0,ISNUMBER($B$94)),I699/H699,"")</f>
        <v/>
      </c>
      <c r="K699" s="11">
        <f>IF(AND(ISNUMBER(H699),ISNUMBER(I699),H699&gt;0,ISNUMBER($B$94)),MAX(0,$B$94-3*SQRT($B$94*(1-$B$94)/H699)),"")</f>
        <v/>
      </c>
      <c r="L699" s="11">
        <f>IF(AND(ISNUMBER(H699),ISNUMBER(I699),H699&gt;0,ISNUMBER($B$94)),$B$94+3*SQRT($B$94*(1-$B$94)/H699),"")</f>
        <v/>
      </c>
      <c r="M699" s="13">
        <f>IF(AND(ISNUMBER(J699),ISNUMBER(K699),ISNUMBER(L699)),IF(J699&gt;L699,"boven UCL",IF(J699&lt;K699,"onder LCL","")),"")</f>
        <v/>
      </c>
      <c r="O699" t="n">
        <v>593</v>
      </c>
      <c r="P699" s="7" t="n"/>
      <c r="Q699" s="7" t="n"/>
      <c r="R699" s="11">
        <f>IF(AND(ISNUMBER(P699),ISNUMBER(Q699),P699&gt;0,ISNUMBER($B$100)),Q699/P699,"")</f>
        <v/>
      </c>
      <c r="S699" s="11">
        <f>IF(AND(ISNUMBER(P699),ISNUMBER(Q699),P699&gt;0,ISNUMBER($B$100)),MAX(0,$B$100-3*SQRT($B$100/P699)),"")</f>
        <v/>
      </c>
      <c r="T699" s="11">
        <f>IF(AND(ISNUMBER(P699),ISNUMBER(Q699),P699&gt;0,ISNUMBER($B$100)),$B$100+3*SQRT($B$100/P699),"")</f>
        <v/>
      </c>
      <c r="U699" s="13">
        <f>IF(AND(ISNUMBER(R699),ISNUMBER(S699),ISNUMBER(T699)),IF(R699&gt;T699,"boven UCL",IF(R699&lt;S699,"onder LCL","")),"")</f>
        <v/>
      </c>
    </row>
    <row r="700">
      <c r="A700" t="n">
        <v>594</v>
      </c>
      <c r="B700" s="7" t="n"/>
      <c r="C700" s="11">
        <f>IF(AND(ISNUMBER(B700),ISNUMBER(B699)),ABS(B700-B699),"")</f>
        <v/>
      </c>
      <c r="D700" s="13">
        <f>IF(AND(ISNUMBER(B700),ISNUMBER($B$88),ISNUMBER($D$88)),IF(B700&gt;$D$88,"boven UCL",IF(B700&lt;$B$88,"onder LCL","")),"")</f>
        <v/>
      </c>
      <c r="E700" s="13">
        <f>IF(AND(ISNUMBER(C700),ISNUMBER($B$89),ISNUMBER($D$89)),IF(C700&gt;$D$89,"boven UCL",IF(C700&lt;$B$89,"onder LCL","")),"")</f>
        <v/>
      </c>
      <c r="G700" t="n">
        <v>594</v>
      </c>
      <c r="H700" s="7" t="n"/>
      <c r="I700" s="7" t="n"/>
      <c r="J700" s="11">
        <f>IF(AND(ISNUMBER(H700),ISNUMBER(I700),H700&gt;0,ISNUMBER($B$94)),I700/H700,"")</f>
        <v/>
      </c>
      <c r="K700" s="11">
        <f>IF(AND(ISNUMBER(H700),ISNUMBER(I700),H700&gt;0,ISNUMBER($B$94)),MAX(0,$B$94-3*SQRT($B$94*(1-$B$94)/H700)),"")</f>
        <v/>
      </c>
      <c r="L700" s="11">
        <f>IF(AND(ISNUMBER(H700),ISNUMBER(I700),H700&gt;0,ISNUMBER($B$94)),$B$94+3*SQRT($B$94*(1-$B$94)/H700),"")</f>
        <v/>
      </c>
      <c r="M700" s="13">
        <f>IF(AND(ISNUMBER(J700),ISNUMBER(K700),ISNUMBER(L700)),IF(J700&gt;L700,"boven UCL",IF(J700&lt;K700,"onder LCL","")),"")</f>
        <v/>
      </c>
      <c r="O700" t="n">
        <v>594</v>
      </c>
      <c r="P700" s="7" t="n"/>
      <c r="Q700" s="7" t="n"/>
      <c r="R700" s="11">
        <f>IF(AND(ISNUMBER(P700),ISNUMBER(Q700),P700&gt;0,ISNUMBER($B$100)),Q700/P700,"")</f>
        <v/>
      </c>
      <c r="S700" s="11">
        <f>IF(AND(ISNUMBER(P700),ISNUMBER(Q700),P700&gt;0,ISNUMBER($B$100)),MAX(0,$B$100-3*SQRT($B$100/P700)),"")</f>
        <v/>
      </c>
      <c r="T700" s="11">
        <f>IF(AND(ISNUMBER(P700),ISNUMBER(Q700),P700&gt;0,ISNUMBER($B$100)),$B$100+3*SQRT($B$100/P700),"")</f>
        <v/>
      </c>
      <c r="U700" s="13">
        <f>IF(AND(ISNUMBER(R700),ISNUMBER(S700),ISNUMBER(T700)),IF(R700&gt;T700,"boven UCL",IF(R700&lt;S700,"onder LCL","")),"")</f>
        <v/>
      </c>
    </row>
    <row r="701">
      <c r="A701" t="n">
        <v>595</v>
      </c>
      <c r="B701" s="7" t="n"/>
      <c r="C701" s="11">
        <f>IF(AND(ISNUMBER(B701),ISNUMBER(B700)),ABS(B701-B700),"")</f>
        <v/>
      </c>
      <c r="D701" s="13">
        <f>IF(AND(ISNUMBER(B701),ISNUMBER($B$88),ISNUMBER($D$88)),IF(B701&gt;$D$88,"boven UCL",IF(B701&lt;$B$88,"onder LCL","")),"")</f>
        <v/>
      </c>
      <c r="E701" s="13">
        <f>IF(AND(ISNUMBER(C701),ISNUMBER($B$89),ISNUMBER($D$89)),IF(C701&gt;$D$89,"boven UCL",IF(C701&lt;$B$89,"onder LCL","")),"")</f>
        <v/>
      </c>
      <c r="G701" t="n">
        <v>595</v>
      </c>
      <c r="H701" s="7" t="n"/>
      <c r="I701" s="7" t="n"/>
      <c r="J701" s="11">
        <f>IF(AND(ISNUMBER(H701),ISNUMBER(I701),H701&gt;0,ISNUMBER($B$94)),I701/H701,"")</f>
        <v/>
      </c>
      <c r="K701" s="11">
        <f>IF(AND(ISNUMBER(H701),ISNUMBER(I701),H701&gt;0,ISNUMBER($B$94)),MAX(0,$B$94-3*SQRT($B$94*(1-$B$94)/H701)),"")</f>
        <v/>
      </c>
      <c r="L701" s="11">
        <f>IF(AND(ISNUMBER(H701),ISNUMBER(I701),H701&gt;0,ISNUMBER($B$94)),$B$94+3*SQRT($B$94*(1-$B$94)/H701),"")</f>
        <v/>
      </c>
      <c r="M701" s="13">
        <f>IF(AND(ISNUMBER(J701),ISNUMBER(K701),ISNUMBER(L701)),IF(J701&gt;L701,"boven UCL",IF(J701&lt;K701,"onder LCL","")),"")</f>
        <v/>
      </c>
      <c r="O701" t="n">
        <v>595</v>
      </c>
      <c r="P701" s="7" t="n"/>
      <c r="Q701" s="7" t="n"/>
      <c r="R701" s="11">
        <f>IF(AND(ISNUMBER(P701),ISNUMBER(Q701),P701&gt;0,ISNUMBER($B$100)),Q701/P701,"")</f>
        <v/>
      </c>
      <c r="S701" s="11">
        <f>IF(AND(ISNUMBER(P701),ISNUMBER(Q701),P701&gt;0,ISNUMBER($B$100)),MAX(0,$B$100-3*SQRT($B$100/P701)),"")</f>
        <v/>
      </c>
      <c r="T701" s="11">
        <f>IF(AND(ISNUMBER(P701),ISNUMBER(Q701),P701&gt;0,ISNUMBER($B$100)),$B$100+3*SQRT($B$100/P701),"")</f>
        <v/>
      </c>
      <c r="U701" s="13">
        <f>IF(AND(ISNUMBER(R701),ISNUMBER(S701),ISNUMBER(T701)),IF(R701&gt;T701,"boven UCL",IF(R701&lt;S701,"onder LCL","")),"")</f>
        <v/>
      </c>
    </row>
    <row r="702">
      <c r="A702" t="n">
        <v>596</v>
      </c>
      <c r="B702" s="7" t="n"/>
      <c r="C702" s="11">
        <f>IF(AND(ISNUMBER(B702),ISNUMBER(B701)),ABS(B702-B701),"")</f>
        <v/>
      </c>
      <c r="D702" s="13">
        <f>IF(AND(ISNUMBER(B702),ISNUMBER($B$88),ISNUMBER($D$88)),IF(B702&gt;$D$88,"boven UCL",IF(B702&lt;$B$88,"onder LCL","")),"")</f>
        <v/>
      </c>
      <c r="E702" s="13">
        <f>IF(AND(ISNUMBER(C702),ISNUMBER($B$89),ISNUMBER($D$89)),IF(C702&gt;$D$89,"boven UCL",IF(C702&lt;$B$89,"onder LCL","")),"")</f>
        <v/>
      </c>
      <c r="G702" t="n">
        <v>596</v>
      </c>
      <c r="H702" s="7" t="n"/>
      <c r="I702" s="7" t="n"/>
      <c r="J702" s="11">
        <f>IF(AND(ISNUMBER(H702),ISNUMBER(I702),H702&gt;0,ISNUMBER($B$94)),I702/H702,"")</f>
        <v/>
      </c>
      <c r="K702" s="11">
        <f>IF(AND(ISNUMBER(H702),ISNUMBER(I702),H702&gt;0,ISNUMBER($B$94)),MAX(0,$B$94-3*SQRT($B$94*(1-$B$94)/H702)),"")</f>
        <v/>
      </c>
      <c r="L702" s="11">
        <f>IF(AND(ISNUMBER(H702),ISNUMBER(I702),H702&gt;0,ISNUMBER($B$94)),$B$94+3*SQRT($B$94*(1-$B$94)/H702),"")</f>
        <v/>
      </c>
      <c r="M702" s="13">
        <f>IF(AND(ISNUMBER(J702),ISNUMBER(K702),ISNUMBER(L702)),IF(J702&gt;L702,"boven UCL",IF(J702&lt;K702,"onder LCL","")),"")</f>
        <v/>
      </c>
      <c r="O702" t="n">
        <v>596</v>
      </c>
      <c r="P702" s="7" t="n"/>
      <c r="Q702" s="7" t="n"/>
      <c r="R702" s="11">
        <f>IF(AND(ISNUMBER(P702),ISNUMBER(Q702),P702&gt;0,ISNUMBER($B$100)),Q702/P702,"")</f>
        <v/>
      </c>
      <c r="S702" s="11">
        <f>IF(AND(ISNUMBER(P702),ISNUMBER(Q702),P702&gt;0,ISNUMBER($B$100)),MAX(0,$B$100-3*SQRT($B$100/P702)),"")</f>
        <v/>
      </c>
      <c r="T702" s="11">
        <f>IF(AND(ISNUMBER(P702),ISNUMBER(Q702),P702&gt;0,ISNUMBER($B$100)),$B$100+3*SQRT($B$100/P702),"")</f>
        <v/>
      </c>
      <c r="U702" s="13">
        <f>IF(AND(ISNUMBER(R702),ISNUMBER(S702),ISNUMBER(T702)),IF(R702&gt;T702,"boven UCL",IF(R702&lt;S702,"onder LCL","")),"")</f>
        <v/>
      </c>
    </row>
    <row r="703">
      <c r="A703" t="n">
        <v>597</v>
      </c>
      <c r="B703" s="7" t="n"/>
      <c r="C703" s="11">
        <f>IF(AND(ISNUMBER(B703),ISNUMBER(B702)),ABS(B703-B702),"")</f>
        <v/>
      </c>
      <c r="D703" s="13">
        <f>IF(AND(ISNUMBER(B703),ISNUMBER($B$88),ISNUMBER($D$88)),IF(B703&gt;$D$88,"boven UCL",IF(B703&lt;$B$88,"onder LCL","")),"")</f>
        <v/>
      </c>
      <c r="E703" s="13">
        <f>IF(AND(ISNUMBER(C703),ISNUMBER($B$89),ISNUMBER($D$89)),IF(C703&gt;$D$89,"boven UCL",IF(C703&lt;$B$89,"onder LCL","")),"")</f>
        <v/>
      </c>
      <c r="G703" t="n">
        <v>597</v>
      </c>
      <c r="H703" s="7" t="n"/>
      <c r="I703" s="7" t="n"/>
      <c r="J703" s="11">
        <f>IF(AND(ISNUMBER(H703),ISNUMBER(I703),H703&gt;0,ISNUMBER($B$94)),I703/H703,"")</f>
        <v/>
      </c>
      <c r="K703" s="11">
        <f>IF(AND(ISNUMBER(H703),ISNUMBER(I703),H703&gt;0,ISNUMBER($B$94)),MAX(0,$B$94-3*SQRT($B$94*(1-$B$94)/H703)),"")</f>
        <v/>
      </c>
      <c r="L703" s="11">
        <f>IF(AND(ISNUMBER(H703),ISNUMBER(I703),H703&gt;0,ISNUMBER($B$94)),$B$94+3*SQRT($B$94*(1-$B$94)/H703),"")</f>
        <v/>
      </c>
      <c r="M703" s="13">
        <f>IF(AND(ISNUMBER(J703),ISNUMBER(K703),ISNUMBER(L703)),IF(J703&gt;L703,"boven UCL",IF(J703&lt;K703,"onder LCL","")),"")</f>
        <v/>
      </c>
      <c r="O703" t="n">
        <v>597</v>
      </c>
      <c r="P703" s="7" t="n"/>
      <c r="Q703" s="7" t="n"/>
      <c r="R703" s="11">
        <f>IF(AND(ISNUMBER(P703),ISNUMBER(Q703),P703&gt;0,ISNUMBER($B$100)),Q703/P703,"")</f>
        <v/>
      </c>
      <c r="S703" s="11">
        <f>IF(AND(ISNUMBER(P703),ISNUMBER(Q703),P703&gt;0,ISNUMBER($B$100)),MAX(0,$B$100-3*SQRT($B$100/P703)),"")</f>
        <v/>
      </c>
      <c r="T703" s="11">
        <f>IF(AND(ISNUMBER(P703),ISNUMBER(Q703),P703&gt;0,ISNUMBER($B$100)),$B$100+3*SQRT($B$100/P703),"")</f>
        <v/>
      </c>
      <c r="U703" s="13">
        <f>IF(AND(ISNUMBER(R703),ISNUMBER(S703),ISNUMBER(T703)),IF(R703&gt;T703,"boven UCL",IF(R703&lt;S703,"onder LCL","")),"")</f>
        <v/>
      </c>
    </row>
    <row r="704">
      <c r="A704" t="n">
        <v>598</v>
      </c>
      <c r="B704" s="7" t="n"/>
      <c r="C704" s="11">
        <f>IF(AND(ISNUMBER(B704),ISNUMBER(B703)),ABS(B704-B703),"")</f>
        <v/>
      </c>
      <c r="D704" s="13">
        <f>IF(AND(ISNUMBER(B704),ISNUMBER($B$88),ISNUMBER($D$88)),IF(B704&gt;$D$88,"boven UCL",IF(B704&lt;$B$88,"onder LCL","")),"")</f>
        <v/>
      </c>
      <c r="E704" s="13">
        <f>IF(AND(ISNUMBER(C704),ISNUMBER($B$89),ISNUMBER($D$89)),IF(C704&gt;$D$89,"boven UCL",IF(C704&lt;$B$89,"onder LCL","")),"")</f>
        <v/>
      </c>
      <c r="G704" t="n">
        <v>598</v>
      </c>
      <c r="H704" s="7" t="n"/>
      <c r="I704" s="7" t="n"/>
      <c r="J704" s="11">
        <f>IF(AND(ISNUMBER(H704),ISNUMBER(I704),H704&gt;0,ISNUMBER($B$94)),I704/H704,"")</f>
        <v/>
      </c>
      <c r="K704" s="11">
        <f>IF(AND(ISNUMBER(H704),ISNUMBER(I704),H704&gt;0,ISNUMBER($B$94)),MAX(0,$B$94-3*SQRT($B$94*(1-$B$94)/H704)),"")</f>
        <v/>
      </c>
      <c r="L704" s="11">
        <f>IF(AND(ISNUMBER(H704),ISNUMBER(I704),H704&gt;0,ISNUMBER($B$94)),$B$94+3*SQRT($B$94*(1-$B$94)/H704),"")</f>
        <v/>
      </c>
      <c r="M704" s="13">
        <f>IF(AND(ISNUMBER(J704),ISNUMBER(K704),ISNUMBER(L704)),IF(J704&gt;L704,"boven UCL",IF(J704&lt;K704,"onder LCL","")),"")</f>
        <v/>
      </c>
      <c r="O704" t="n">
        <v>598</v>
      </c>
      <c r="P704" s="7" t="n"/>
      <c r="Q704" s="7" t="n"/>
      <c r="R704" s="11">
        <f>IF(AND(ISNUMBER(P704),ISNUMBER(Q704),P704&gt;0,ISNUMBER($B$100)),Q704/P704,"")</f>
        <v/>
      </c>
      <c r="S704" s="11">
        <f>IF(AND(ISNUMBER(P704),ISNUMBER(Q704),P704&gt;0,ISNUMBER($B$100)),MAX(0,$B$100-3*SQRT($B$100/P704)),"")</f>
        <v/>
      </c>
      <c r="T704" s="11">
        <f>IF(AND(ISNUMBER(P704),ISNUMBER(Q704),P704&gt;0,ISNUMBER($B$100)),$B$100+3*SQRT($B$100/P704),"")</f>
        <v/>
      </c>
      <c r="U704" s="13">
        <f>IF(AND(ISNUMBER(R704),ISNUMBER(S704),ISNUMBER(T704)),IF(R704&gt;T704,"boven UCL",IF(R704&lt;S704,"onder LCL","")),"")</f>
        <v/>
      </c>
    </row>
    <row r="705">
      <c r="A705" t="n">
        <v>599</v>
      </c>
      <c r="B705" s="7" t="n"/>
      <c r="C705" s="11">
        <f>IF(AND(ISNUMBER(B705),ISNUMBER(B704)),ABS(B705-B704),"")</f>
        <v/>
      </c>
      <c r="D705" s="13">
        <f>IF(AND(ISNUMBER(B705),ISNUMBER($B$88),ISNUMBER($D$88)),IF(B705&gt;$D$88,"boven UCL",IF(B705&lt;$B$88,"onder LCL","")),"")</f>
        <v/>
      </c>
      <c r="E705" s="13">
        <f>IF(AND(ISNUMBER(C705),ISNUMBER($B$89),ISNUMBER($D$89)),IF(C705&gt;$D$89,"boven UCL",IF(C705&lt;$B$89,"onder LCL","")),"")</f>
        <v/>
      </c>
      <c r="G705" t="n">
        <v>599</v>
      </c>
      <c r="H705" s="7" t="n"/>
      <c r="I705" s="7" t="n"/>
      <c r="J705" s="11">
        <f>IF(AND(ISNUMBER(H705),ISNUMBER(I705),H705&gt;0,ISNUMBER($B$94)),I705/H705,"")</f>
        <v/>
      </c>
      <c r="K705" s="11">
        <f>IF(AND(ISNUMBER(H705),ISNUMBER(I705),H705&gt;0,ISNUMBER($B$94)),MAX(0,$B$94-3*SQRT($B$94*(1-$B$94)/H705)),"")</f>
        <v/>
      </c>
      <c r="L705" s="11">
        <f>IF(AND(ISNUMBER(H705),ISNUMBER(I705),H705&gt;0,ISNUMBER($B$94)),$B$94+3*SQRT($B$94*(1-$B$94)/H705),"")</f>
        <v/>
      </c>
      <c r="M705" s="13">
        <f>IF(AND(ISNUMBER(J705),ISNUMBER(K705),ISNUMBER(L705)),IF(J705&gt;L705,"boven UCL",IF(J705&lt;K705,"onder LCL","")),"")</f>
        <v/>
      </c>
      <c r="O705" t="n">
        <v>599</v>
      </c>
      <c r="P705" s="7" t="n"/>
      <c r="Q705" s="7" t="n"/>
      <c r="R705" s="11">
        <f>IF(AND(ISNUMBER(P705),ISNUMBER(Q705),P705&gt;0,ISNUMBER($B$100)),Q705/P705,"")</f>
        <v/>
      </c>
      <c r="S705" s="11">
        <f>IF(AND(ISNUMBER(P705),ISNUMBER(Q705),P705&gt;0,ISNUMBER($B$100)),MAX(0,$B$100-3*SQRT($B$100/P705)),"")</f>
        <v/>
      </c>
      <c r="T705" s="11">
        <f>IF(AND(ISNUMBER(P705),ISNUMBER(Q705),P705&gt;0,ISNUMBER($B$100)),$B$100+3*SQRT($B$100/P705),"")</f>
        <v/>
      </c>
      <c r="U705" s="13">
        <f>IF(AND(ISNUMBER(R705),ISNUMBER(S705),ISNUMBER(T705)),IF(R705&gt;T705,"boven UCL",IF(R705&lt;S705,"onder LCL","")),"")</f>
        <v/>
      </c>
    </row>
    <row r="706">
      <c r="A706" t="n">
        <v>600</v>
      </c>
      <c r="B706" s="7" t="n"/>
      <c r="C706" s="11">
        <f>IF(AND(ISNUMBER(B706),ISNUMBER(B705)),ABS(B706-B705),"")</f>
        <v/>
      </c>
      <c r="D706" s="13">
        <f>IF(AND(ISNUMBER(B706),ISNUMBER($B$88),ISNUMBER($D$88)),IF(B706&gt;$D$88,"boven UCL",IF(B706&lt;$B$88,"onder LCL","")),"")</f>
        <v/>
      </c>
      <c r="E706" s="13">
        <f>IF(AND(ISNUMBER(C706),ISNUMBER($B$89),ISNUMBER($D$89)),IF(C706&gt;$D$89,"boven UCL",IF(C706&lt;$B$89,"onder LCL","")),"")</f>
        <v/>
      </c>
      <c r="G706" t="n">
        <v>600</v>
      </c>
      <c r="H706" s="7" t="n"/>
      <c r="I706" s="7" t="n"/>
      <c r="J706" s="11">
        <f>IF(AND(ISNUMBER(H706),ISNUMBER(I706),H706&gt;0,ISNUMBER($B$94)),I706/H706,"")</f>
        <v/>
      </c>
      <c r="K706" s="11">
        <f>IF(AND(ISNUMBER(H706),ISNUMBER(I706),H706&gt;0,ISNUMBER($B$94)),MAX(0,$B$94-3*SQRT($B$94*(1-$B$94)/H706)),"")</f>
        <v/>
      </c>
      <c r="L706" s="11">
        <f>IF(AND(ISNUMBER(H706),ISNUMBER(I706),H706&gt;0,ISNUMBER($B$94)),$B$94+3*SQRT($B$94*(1-$B$94)/H706),"")</f>
        <v/>
      </c>
      <c r="M706" s="13">
        <f>IF(AND(ISNUMBER(J706),ISNUMBER(K706),ISNUMBER(L706)),IF(J706&gt;L706,"boven UCL",IF(J706&lt;K706,"onder LCL","")),"")</f>
        <v/>
      </c>
      <c r="O706" t="n">
        <v>600</v>
      </c>
      <c r="P706" s="7" t="n"/>
      <c r="Q706" s="7" t="n"/>
      <c r="R706" s="11">
        <f>IF(AND(ISNUMBER(P706),ISNUMBER(Q706),P706&gt;0,ISNUMBER($B$100)),Q706/P706,"")</f>
        <v/>
      </c>
      <c r="S706" s="11">
        <f>IF(AND(ISNUMBER(P706),ISNUMBER(Q706),P706&gt;0,ISNUMBER($B$100)),MAX(0,$B$100-3*SQRT($B$100/P706)),"")</f>
        <v/>
      </c>
      <c r="T706" s="11">
        <f>IF(AND(ISNUMBER(P706),ISNUMBER(Q706),P706&gt;0,ISNUMBER($B$100)),$B$100+3*SQRT($B$100/P706),"")</f>
        <v/>
      </c>
      <c r="U706" s="13">
        <f>IF(AND(ISNUMBER(R706),ISNUMBER(S706),ISNUMBER(T706)),IF(R706&gt;T706,"boven UCL",IF(R706&lt;S706,"onder LCL","")),"")</f>
        <v/>
      </c>
    </row>
    <row r="707">
      <c r="A707" t="n">
        <v>601</v>
      </c>
      <c r="B707" s="7" t="n"/>
      <c r="C707" s="11">
        <f>IF(AND(ISNUMBER(B707),ISNUMBER(B706)),ABS(B707-B706),"")</f>
        <v/>
      </c>
      <c r="D707" s="13">
        <f>IF(AND(ISNUMBER(B707),ISNUMBER($B$88),ISNUMBER($D$88)),IF(B707&gt;$D$88,"boven UCL",IF(B707&lt;$B$88,"onder LCL","")),"")</f>
        <v/>
      </c>
      <c r="E707" s="13">
        <f>IF(AND(ISNUMBER(C707),ISNUMBER($B$89),ISNUMBER($D$89)),IF(C707&gt;$D$89,"boven UCL",IF(C707&lt;$B$89,"onder LCL","")),"")</f>
        <v/>
      </c>
      <c r="G707" t="n">
        <v>601</v>
      </c>
      <c r="H707" s="7" t="n"/>
      <c r="I707" s="7" t="n"/>
      <c r="J707" s="11">
        <f>IF(AND(ISNUMBER(H707),ISNUMBER(I707),H707&gt;0,ISNUMBER($B$94)),I707/H707,"")</f>
        <v/>
      </c>
      <c r="K707" s="11">
        <f>IF(AND(ISNUMBER(H707),ISNUMBER(I707),H707&gt;0,ISNUMBER($B$94)),MAX(0,$B$94-3*SQRT($B$94*(1-$B$94)/H707)),"")</f>
        <v/>
      </c>
      <c r="L707" s="11">
        <f>IF(AND(ISNUMBER(H707),ISNUMBER(I707),H707&gt;0,ISNUMBER($B$94)),$B$94+3*SQRT($B$94*(1-$B$94)/H707),"")</f>
        <v/>
      </c>
      <c r="M707" s="13">
        <f>IF(AND(ISNUMBER(J707),ISNUMBER(K707),ISNUMBER(L707)),IF(J707&gt;L707,"boven UCL",IF(J707&lt;K707,"onder LCL","")),"")</f>
        <v/>
      </c>
      <c r="O707" t="n">
        <v>601</v>
      </c>
      <c r="P707" s="7" t="n"/>
      <c r="Q707" s="7" t="n"/>
      <c r="R707" s="11">
        <f>IF(AND(ISNUMBER(P707),ISNUMBER(Q707),P707&gt;0,ISNUMBER($B$100)),Q707/P707,"")</f>
        <v/>
      </c>
      <c r="S707" s="11">
        <f>IF(AND(ISNUMBER(P707),ISNUMBER(Q707),P707&gt;0,ISNUMBER($B$100)),MAX(0,$B$100-3*SQRT($B$100/P707)),"")</f>
        <v/>
      </c>
      <c r="T707" s="11">
        <f>IF(AND(ISNUMBER(P707),ISNUMBER(Q707),P707&gt;0,ISNUMBER($B$100)),$B$100+3*SQRT($B$100/P707),"")</f>
        <v/>
      </c>
      <c r="U707" s="13">
        <f>IF(AND(ISNUMBER(R707),ISNUMBER(S707),ISNUMBER(T707)),IF(R707&gt;T707,"boven UCL",IF(R707&lt;S707,"onder LCL","")),"")</f>
        <v/>
      </c>
    </row>
    <row r="708">
      <c r="A708" t="n">
        <v>602</v>
      </c>
      <c r="B708" s="7" t="n"/>
      <c r="C708" s="11">
        <f>IF(AND(ISNUMBER(B708),ISNUMBER(B707)),ABS(B708-B707),"")</f>
        <v/>
      </c>
      <c r="D708" s="13">
        <f>IF(AND(ISNUMBER(B708),ISNUMBER($B$88),ISNUMBER($D$88)),IF(B708&gt;$D$88,"boven UCL",IF(B708&lt;$B$88,"onder LCL","")),"")</f>
        <v/>
      </c>
      <c r="E708" s="13">
        <f>IF(AND(ISNUMBER(C708),ISNUMBER($B$89),ISNUMBER($D$89)),IF(C708&gt;$D$89,"boven UCL",IF(C708&lt;$B$89,"onder LCL","")),"")</f>
        <v/>
      </c>
      <c r="G708" t="n">
        <v>602</v>
      </c>
      <c r="H708" s="7" t="n"/>
      <c r="I708" s="7" t="n"/>
      <c r="J708" s="11">
        <f>IF(AND(ISNUMBER(H708),ISNUMBER(I708),H708&gt;0,ISNUMBER($B$94)),I708/H708,"")</f>
        <v/>
      </c>
      <c r="K708" s="11">
        <f>IF(AND(ISNUMBER(H708),ISNUMBER(I708),H708&gt;0,ISNUMBER($B$94)),MAX(0,$B$94-3*SQRT($B$94*(1-$B$94)/H708)),"")</f>
        <v/>
      </c>
      <c r="L708" s="11">
        <f>IF(AND(ISNUMBER(H708),ISNUMBER(I708),H708&gt;0,ISNUMBER($B$94)),$B$94+3*SQRT($B$94*(1-$B$94)/H708),"")</f>
        <v/>
      </c>
      <c r="M708" s="13">
        <f>IF(AND(ISNUMBER(J708),ISNUMBER(K708),ISNUMBER(L708)),IF(J708&gt;L708,"boven UCL",IF(J708&lt;K708,"onder LCL","")),"")</f>
        <v/>
      </c>
      <c r="O708" t="n">
        <v>602</v>
      </c>
      <c r="P708" s="7" t="n"/>
      <c r="Q708" s="7" t="n"/>
      <c r="R708" s="11">
        <f>IF(AND(ISNUMBER(P708),ISNUMBER(Q708),P708&gt;0,ISNUMBER($B$100)),Q708/P708,"")</f>
        <v/>
      </c>
      <c r="S708" s="11">
        <f>IF(AND(ISNUMBER(P708),ISNUMBER(Q708),P708&gt;0,ISNUMBER($B$100)),MAX(0,$B$100-3*SQRT($B$100/P708)),"")</f>
        <v/>
      </c>
      <c r="T708" s="11">
        <f>IF(AND(ISNUMBER(P708),ISNUMBER(Q708),P708&gt;0,ISNUMBER($B$100)),$B$100+3*SQRT($B$100/P708),"")</f>
        <v/>
      </c>
      <c r="U708" s="13">
        <f>IF(AND(ISNUMBER(R708),ISNUMBER(S708),ISNUMBER(T708)),IF(R708&gt;T708,"boven UCL",IF(R708&lt;S708,"onder LCL","")),"")</f>
        <v/>
      </c>
    </row>
    <row r="709">
      <c r="A709" t="n">
        <v>603</v>
      </c>
      <c r="B709" s="7" t="n"/>
      <c r="C709" s="11">
        <f>IF(AND(ISNUMBER(B709),ISNUMBER(B708)),ABS(B709-B708),"")</f>
        <v/>
      </c>
      <c r="D709" s="13">
        <f>IF(AND(ISNUMBER(B709),ISNUMBER($B$88),ISNUMBER($D$88)),IF(B709&gt;$D$88,"boven UCL",IF(B709&lt;$B$88,"onder LCL","")),"")</f>
        <v/>
      </c>
      <c r="E709" s="13">
        <f>IF(AND(ISNUMBER(C709),ISNUMBER($B$89),ISNUMBER($D$89)),IF(C709&gt;$D$89,"boven UCL",IF(C709&lt;$B$89,"onder LCL","")),"")</f>
        <v/>
      </c>
      <c r="G709" t="n">
        <v>603</v>
      </c>
      <c r="H709" s="7" t="n"/>
      <c r="I709" s="7" t="n"/>
      <c r="J709" s="11">
        <f>IF(AND(ISNUMBER(H709),ISNUMBER(I709),H709&gt;0,ISNUMBER($B$94)),I709/H709,"")</f>
        <v/>
      </c>
      <c r="K709" s="11">
        <f>IF(AND(ISNUMBER(H709),ISNUMBER(I709),H709&gt;0,ISNUMBER($B$94)),MAX(0,$B$94-3*SQRT($B$94*(1-$B$94)/H709)),"")</f>
        <v/>
      </c>
      <c r="L709" s="11">
        <f>IF(AND(ISNUMBER(H709),ISNUMBER(I709),H709&gt;0,ISNUMBER($B$94)),$B$94+3*SQRT($B$94*(1-$B$94)/H709),"")</f>
        <v/>
      </c>
      <c r="M709" s="13">
        <f>IF(AND(ISNUMBER(J709),ISNUMBER(K709),ISNUMBER(L709)),IF(J709&gt;L709,"boven UCL",IF(J709&lt;K709,"onder LCL","")),"")</f>
        <v/>
      </c>
      <c r="O709" t="n">
        <v>603</v>
      </c>
      <c r="P709" s="7" t="n"/>
      <c r="Q709" s="7" t="n"/>
      <c r="R709" s="11">
        <f>IF(AND(ISNUMBER(P709),ISNUMBER(Q709),P709&gt;0,ISNUMBER($B$100)),Q709/P709,"")</f>
        <v/>
      </c>
      <c r="S709" s="11">
        <f>IF(AND(ISNUMBER(P709),ISNUMBER(Q709),P709&gt;0,ISNUMBER($B$100)),MAX(0,$B$100-3*SQRT($B$100/P709)),"")</f>
        <v/>
      </c>
      <c r="T709" s="11">
        <f>IF(AND(ISNUMBER(P709),ISNUMBER(Q709),P709&gt;0,ISNUMBER($B$100)),$B$100+3*SQRT($B$100/P709),"")</f>
        <v/>
      </c>
      <c r="U709" s="13">
        <f>IF(AND(ISNUMBER(R709),ISNUMBER(S709),ISNUMBER(T709)),IF(R709&gt;T709,"boven UCL",IF(R709&lt;S709,"onder LCL","")),"")</f>
        <v/>
      </c>
    </row>
    <row r="710">
      <c r="A710" t="n">
        <v>604</v>
      </c>
      <c r="B710" s="7" t="n"/>
      <c r="C710" s="11">
        <f>IF(AND(ISNUMBER(B710),ISNUMBER(B709)),ABS(B710-B709),"")</f>
        <v/>
      </c>
      <c r="D710" s="13">
        <f>IF(AND(ISNUMBER(B710),ISNUMBER($B$88),ISNUMBER($D$88)),IF(B710&gt;$D$88,"boven UCL",IF(B710&lt;$B$88,"onder LCL","")),"")</f>
        <v/>
      </c>
      <c r="E710" s="13">
        <f>IF(AND(ISNUMBER(C710),ISNUMBER($B$89),ISNUMBER($D$89)),IF(C710&gt;$D$89,"boven UCL",IF(C710&lt;$B$89,"onder LCL","")),"")</f>
        <v/>
      </c>
      <c r="G710" t="n">
        <v>604</v>
      </c>
      <c r="H710" s="7" t="n"/>
      <c r="I710" s="7" t="n"/>
      <c r="J710" s="11">
        <f>IF(AND(ISNUMBER(H710),ISNUMBER(I710),H710&gt;0,ISNUMBER($B$94)),I710/H710,"")</f>
        <v/>
      </c>
      <c r="K710" s="11">
        <f>IF(AND(ISNUMBER(H710),ISNUMBER(I710),H710&gt;0,ISNUMBER($B$94)),MAX(0,$B$94-3*SQRT($B$94*(1-$B$94)/H710)),"")</f>
        <v/>
      </c>
      <c r="L710" s="11">
        <f>IF(AND(ISNUMBER(H710),ISNUMBER(I710),H710&gt;0,ISNUMBER($B$94)),$B$94+3*SQRT($B$94*(1-$B$94)/H710),"")</f>
        <v/>
      </c>
      <c r="M710" s="13">
        <f>IF(AND(ISNUMBER(J710),ISNUMBER(K710),ISNUMBER(L710)),IF(J710&gt;L710,"boven UCL",IF(J710&lt;K710,"onder LCL","")),"")</f>
        <v/>
      </c>
      <c r="O710" t="n">
        <v>604</v>
      </c>
      <c r="P710" s="7" t="n"/>
      <c r="Q710" s="7" t="n"/>
      <c r="R710" s="11">
        <f>IF(AND(ISNUMBER(P710),ISNUMBER(Q710),P710&gt;0,ISNUMBER($B$100)),Q710/P710,"")</f>
        <v/>
      </c>
      <c r="S710" s="11">
        <f>IF(AND(ISNUMBER(P710),ISNUMBER(Q710),P710&gt;0,ISNUMBER($B$100)),MAX(0,$B$100-3*SQRT($B$100/P710)),"")</f>
        <v/>
      </c>
      <c r="T710" s="11">
        <f>IF(AND(ISNUMBER(P710),ISNUMBER(Q710),P710&gt;0,ISNUMBER($B$100)),$B$100+3*SQRT($B$100/P710),"")</f>
        <v/>
      </c>
      <c r="U710" s="13">
        <f>IF(AND(ISNUMBER(R710),ISNUMBER(S710),ISNUMBER(T710)),IF(R710&gt;T710,"boven UCL",IF(R710&lt;S710,"onder LCL","")),"")</f>
        <v/>
      </c>
    </row>
    <row r="711">
      <c r="A711" t="n">
        <v>605</v>
      </c>
      <c r="B711" s="7" t="n"/>
      <c r="C711" s="11">
        <f>IF(AND(ISNUMBER(B711),ISNUMBER(B710)),ABS(B711-B710),"")</f>
        <v/>
      </c>
      <c r="D711" s="13">
        <f>IF(AND(ISNUMBER(B711),ISNUMBER($B$88),ISNUMBER($D$88)),IF(B711&gt;$D$88,"boven UCL",IF(B711&lt;$B$88,"onder LCL","")),"")</f>
        <v/>
      </c>
      <c r="E711" s="13">
        <f>IF(AND(ISNUMBER(C711),ISNUMBER($B$89),ISNUMBER($D$89)),IF(C711&gt;$D$89,"boven UCL",IF(C711&lt;$B$89,"onder LCL","")),"")</f>
        <v/>
      </c>
      <c r="G711" t="n">
        <v>605</v>
      </c>
      <c r="H711" s="7" t="n"/>
      <c r="I711" s="7" t="n"/>
      <c r="J711" s="11">
        <f>IF(AND(ISNUMBER(H711),ISNUMBER(I711),H711&gt;0,ISNUMBER($B$94)),I711/H711,"")</f>
        <v/>
      </c>
      <c r="K711" s="11">
        <f>IF(AND(ISNUMBER(H711),ISNUMBER(I711),H711&gt;0,ISNUMBER($B$94)),MAX(0,$B$94-3*SQRT($B$94*(1-$B$94)/H711)),"")</f>
        <v/>
      </c>
      <c r="L711" s="11">
        <f>IF(AND(ISNUMBER(H711),ISNUMBER(I711),H711&gt;0,ISNUMBER($B$94)),$B$94+3*SQRT($B$94*(1-$B$94)/H711),"")</f>
        <v/>
      </c>
      <c r="M711" s="13">
        <f>IF(AND(ISNUMBER(J711),ISNUMBER(K711),ISNUMBER(L711)),IF(J711&gt;L711,"boven UCL",IF(J711&lt;K711,"onder LCL","")),"")</f>
        <v/>
      </c>
      <c r="O711" t="n">
        <v>605</v>
      </c>
      <c r="P711" s="7" t="n"/>
      <c r="Q711" s="7" t="n"/>
      <c r="R711" s="11">
        <f>IF(AND(ISNUMBER(P711),ISNUMBER(Q711),P711&gt;0,ISNUMBER($B$100)),Q711/P711,"")</f>
        <v/>
      </c>
      <c r="S711" s="11">
        <f>IF(AND(ISNUMBER(P711),ISNUMBER(Q711),P711&gt;0,ISNUMBER($B$100)),MAX(0,$B$100-3*SQRT($B$100/P711)),"")</f>
        <v/>
      </c>
      <c r="T711" s="11">
        <f>IF(AND(ISNUMBER(P711),ISNUMBER(Q711),P711&gt;0,ISNUMBER($B$100)),$B$100+3*SQRT($B$100/P711),"")</f>
        <v/>
      </c>
      <c r="U711" s="13">
        <f>IF(AND(ISNUMBER(R711),ISNUMBER(S711),ISNUMBER(T711)),IF(R711&gt;T711,"boven UCL",IF(R711&lt;S711,"onder LCL","")),"")</f>
        <v/>
      </c>
    </row>
    <row r="712">
      <c r="A712" t="n">
        <v>606</v>
      </c>
      <c r="B712" s="7" t="n"/>
      <c r="C712" s="11">
        <f>IF(AND(ISNUMBER(B712),ISNUMBER(B711)),ABS(B712-B711),"")</f>
        <v/>
      </c>
      <c r="D712" s="13">
        <f>IF(AND(ISNUMBER(B712),ISNUMBER($B$88),ISNUMBER($D$88)),IF(B712&gt;$D$88,"boven UCL",IF(B712&lt;$B$88,"onder LCL","")),"")</f>
        <v/>
      </c>
      <c r="E712" s="13">
        <f>IF(AND(ISNUMBER(C712),ISNUMBER($B$89),ISNUMBER($D$89)),IF(C712&gt;$D$89,"boven UCL",IF(C712&lt;$B$89,"onder LCL","")),"")</f>
        <v/>
      </c>
      <c r="G712" t="n">
        <v>606</v>
      </c>
      <c r="H712" s="7" t="n"/>
      <c r="I712" s="7" t="n"/>
      <c r="J712" s="11">
        <f>IF(AND(ISNUMBER(H712),ISNUMBER(I712),H712&gt;0,ISNUMBER($B$94)),I712/H712,"")</f>
        <v/>
      </c>
      <c r="K712" s="11">
        <f>IF(AND(ISNUMBER(H712),ISNUMBER(I712),H712&gt;0,ISNUMBER($B$94)),MAX(0,$B$94-3*SQRT($B$94*(1-$B$94)/H712)),"")</f>
        <v/>
      </c>
      <c r="L712" s="11">
        <f>IF(AND(ISNUMBER(H712),ISNUMBER(I712),H712&gt;0,ISNUMBER($B$94)),$B$94+3*SQRT($B$94*(1-$B$94)/H712),"")</f>
        <v/>
      </c>
      <c r="M712" s="13">
        <f>IF(AND(ISNUMBER(J712),ISNUMBER(K712),ISNUMBER(L712)),IF(J712&gt;L712,"boven UCL",IF(J712&lt;K712,"onder LCL","")),"")</f>
        <v/>
      </c>
      <c r="O712" t="n">
        <v>606</v>
      </c>
      <c r="P712" s="7" t="n"/>
      <c r="Q712" s="7" t="n"/>
      <c r="R712" s="11">
        <f>IF(AND(ISNUMBER(P712),ISNUMBER(Q712),P712&gt;0,ISNUMBER($B$100)),Q712/P712,"")</f>
        <v/>
      </c>
      <c r="S712" s="11">
        <f>IF(AND(ISNUMBER(P712),ISNUMBER(Q712),P712&gt;0,ISNUMBER($B$100)),MAX(0,$B$100-3*SQRT($B$100/P712)),"")</f>
        <v/>
      </c>
      <c r="T712" s="11">
        <f>IF(AND(ISNUMBER(P712),ISNUMBER(Q712),P712&gt;0,ISNUMBER($B$100)),$B$100+3*SQRT($B$100/P712),"")</f>
        <v/>
      </c>
      <c r="U712" s="13">
        <f>IF(AND(ISNUMBER(R712),ISNUMBER(S712),ISNUMBER(T712)),IF(R712&gt;T712,"boven UCL",IF(R712&lt;S712,"onder LCL","")),"")</f>
        <v/>
      </c>
    </row>
    <row r="713">
      <c r="A713" t="n">
        <v>607</v>
      </c>
      <c r="B713" s="7" t="n"/>
      <c r="C713" s="11">
        <f>IF(AND(ISNUMBER(B713),ISNUMBER(B712)),ABS(B713-B712),"")</f>
        <v/>
      </c>
      <c r="D713" s="13">
        <f>IF(AND(ISNUMBER(B713),ISNUMBER($B$88),ISNUMBER($D$88)),IF(B713&gt;$D$88,"boven UCL",IF(B713&lt;$B$88,"onder LCL","")),"")</f>
        <v/>
      </c>
      <c r="E713" s="13">
        <f>IF(AND(ISNUMBER(C713),ISNUMBER($B$89),ISNUMBER($D$89)),IF(C713&gt;$D$89,"boven UCL",IF(C713&lt;$B$89,"onder LCL","")),"")</f>
        <v/>
      </c>
      <c r="G713" t="n">
        <v>607</v>
      </c>
      <c r="H713" s="7" t="n"/>
      <c r="I713" s="7" t="n"/>
      <c r="J713" s="11">
        <f>IF(AND(ISNUMBER(H713),ISNUMBER(I713),H713&gt;0,ISNUMBER($B$94)),I713/H713,"")</f>
        <v/>
      </c>
      <c r="K713" s="11">
        <f>IF(AND(ISNUMBER(H713),ISNUMBER(I713),H713&gt;0,ISNUMBER($B$94)),MAX(0,$B$94-3*SQRT($B$94*(1-$B$94)/H713)),"")</f>
        <v/>
      </c>
      <c r="L713" s="11">
        <f>IF(AND(ISNUMBER(H713),ISNUMBER(I713),H713&gt;0,ISNUMBER($B$94)),$B$94+3*SQRT($B$94*(1-$B$94)/H713),"")</f>
        <v/>
      </c>
      <c r="M713" s="13">
        <f>IF(AND(ISNUMBER(J713),ISNUMBER(K713),ISNUMBER(L713)),IF(J713&gt;L713,"boven UCL",IF(J713&lt;K713,"onder LCL","")),"")</f>
        <v/>
      </c>
      <c r="O713" t="n">
        <v>607</v>
      </c>
      <c r="P713" s="7" t="n"/>
      <c r="Q713" s="7" t="n"/>
      <c r="R713" s="11">
        <f>IF(AND(ISNUMBER(P713),ISNUMBER(Q713),P713&gt;0,ISNUMBER($B$100)),Q713/P713,"")</f>
        <v/>
      </c>
      <c r="S713" s="11">
        <f>IF(AND(ISNUMBER(P713),ISNUMBER(Q713),P713&gt;0,ISNUMBER($B$100)),MAX(0,$B$100-3*SQRT($B$100/P713)),"")</f>
        <v/>
      </c>
      <c r="T713" s="11">
        <f>IF(AND(ISNUMBER(P713),ISNUMBER(Q713),P713&gt;0,ISNUMBER($B$100)),$B$100+3*SQRT($B$100/P713),"")</f>
        <v/>
      </c>
      <c r="U713" s="13">
        <f>IF(AND(ISNUMBER(R713),ISNUMBER(S713),ISNUMBER(T713)),IF(R713&gt;T713,"boven UCL",IF(R713&lt;S713,"onder LCL","")),"")</f>
        <v/>
      </c>
    </row>
    <row r="714">
      <c r="A714" t="n">
        <v>608</v>
      </c>
      <c r="B714" s="7" t="n"/>
      <c r="C714" s="11">
        <f>IF(AND(ISNUMBER(B714),ISNUMBER(B713)),ABS(B714-B713),"")</f>
        <v/>
      </c>
      <c r="D714" s="13">
        <f>IF(AND(ISNUMBER(B714),ISNUMBER($B$88),ISNUMBER($D$88)),IF(B714&gt;$D$88,"boven UCL",IF(B714&lt;$B$88,"onder LCL","")),"")</f>
        <v/>
      </c>
      <c r="E714" s="13">
        <f>IF(AND(ISNUMBER(C714),ISNUMBER($B$89),ISNUMBER($D$89)),IF(C714&gt;$D$89,"boven UCL",IF(C714&lt;$B$89,"onder LCL","")),"")</f>
        <v/>
      </c>
      <c r="G714" t="n">
        <v>608</v>
      </c>
      <c r="H714" s="7" t="n"/>
      <c r="I714" s="7" t="n"/>
      <c r="J714" s="11">
        <f>IF(AND(ISNUMBER(H714),ISNUMBER(I714),H714&gt;0,ISNUMBER($B$94)),I714/H714,"")</f>
        <v/>
      </c>
      <c r="K714" s="11">
        <f>IF(AND(ISNUMBER(H714),ISNUMBER(I714),H714&gt;0,ISNUMBER($B$94)),MAX(0,$B$94-3*SQRT($B$94*(1-$B$94)/H714)),"")</f>
        <v/>
      </c>
      <c r="L714" s="11">
        <f>IF(AND(ISNUMBER(H714),ISNUMBER(I714),H714&gt;0,ISNUMBER($B$94)),$B$94+3*SQRT($B$94*(1-$B$94)/H714),"")</f>
        <v/>
      </c>
      <c r="M714" s="13">
        <f>IF(AND(ISNUMBER(J714),ISNUMBER(K714),ISNUMBER(L714)),IF(J714&gt;L714,"boven UCL",IF(J714&lt;K714,"onder LCL","")),"")</f>
        <v/>
      </c>
      <c r="O714" t="n">
        <v>608</v>
      </c>
      <c r="P714" s="7" t="n"/>
      <c r="Q714" s="7" t="n"/>
      <c r="R714" s="11">
        <f>IF(AND(ISNUMBER(P714),ISNUMBER(Q714),P714&gt;0,ISNUMBER($B$100)),Q714/P714,"")</f>
        <v/>
      </c>
      <c r="S714" s="11">
        <f>IF(AND(ISNUMBER(P714),ISNUMBER(Q714),P714&gt;0,ISNUMBER($B$100)),MAX(0,$B$100-3*SQRT($B$100/P714)),"")</f>
        <v/>
      </c>
      <c r="T714" s="11">
        <f>IF(AND(ISNUMBER(P714),ISNUMBER(Q714),P714&gt;0,ISNUMBER($B$100)),$B$100+3*SQRT($B$100/P714),"")</f>
        <v/>
      </c>
      <c r="U714" s="13">
        <f>IF(AND(ISNUMBER(R714),ISNUMBER(S714),ISNUMBER(T714)),IF(R714&gt;T714,"boven UCL",IF(R714&lt;S714,"onder LCL","")),"")</f>
        <v/>
      </c>
    </row>
    <row r="715">
      <c r="A715" t="n">
        <v>609</v>
      </c>
      <c r="B715" s="7" t="n"/>
      <c r="C715" s="11">
        <f>IF(AND(ISNUMBER(B715),ISNUMBER(B714)),ABS(B715-B714),"")</f>
        <v/>
      </c>
      <c r="D715" s="13">
        <f>IF(AND(ISNUMBER(B715),ISNUMBER($B$88),ISNUMBER($D$88)),IF(B715&gt;$D$88,"boven UCL",IF(B715&lt;$B$88,"onder LCL","")),"")</f>
        <v/>
      </c>
      <c r="E715" s="13">
        <f>IF(AND(ISNUMBER(C715),ISNUMBER($B$89),ISNUMBER($D$89)),IF(C715&gt;$D$89,"boven UCL",IF(C715&lt;$B$89,"onder LCL","")),"")</f>
        <v/>
      </c>
      <c r="G715" t="n">
        <v>609</v>
      </c>
      <c r="H715" s="7" t="n"/>
      <c r="I715" s="7" t="n"/>
      <c r="J715" s="11">
        <f>IF(AND(ISNUMBER(H715),ISNUMBER(I715),H715&gt;0,ISNUMBER($B$94)),I715/H715,"")</f>
        <v/>
      </c>
      <c r="K715" s="11">
        <f>IF(AND(ISNUMBER(H715),ISNUMBER(I715),H715&gt;0,ISNUMBER($B$94)),MAX(0,$B$94-3*SQRT($B$94*(1-$B$94)/H715)),"")</f>
        <v/>
      </c>
      <c r="L715" s="11">
        <f>IF(AND(ISNUMBER(H715),ISNUMBER(I715),H715&gt;0,ISNUMBER($B$94)),$B$94+3*SQRT($B$94*(1-$B$94)/H715),"")</f>
        <v/>
      </c>
      <c r="M715" s="13">
        <f>IF(AND(ISNUMBER(J715),ISNUMBER(K715),ISNUMBER(L715)),IF(J715&gt;L715,"boven UCL",IF(J715&lt;K715,"onder LCL","")),"")</f>
        <v/>
      </c>
      <c r="O715" t="n">
        <v>609</v>
      </c>
      <c r="P715" s="7" t="n"/>
      <c r="Q715" s="7" t="n"/>
      <c r="R715" s="11">
        <f>IF(AND(ISNUMBER(P715),ISNUMBER(Q715),P715&gt;0,ISNUMBER($B$100)),Q715/P715,"")</f>
        <v/>
      </c>
      <c r="S715" s="11">
        <f>IF(AND(ISNUMBER(P715),ISNUMBER(Q715),P715&gt;0,ISNUMBER($B$100)),MAX(0,$B$100-3*SQRT($B$100/P715)),"")</f>
        <v/>
      </c>
      <c r="T715" s="11">
        <f>IF(AND(ISNUMBER(P715),ISNUMBER(Q715),P715&gt;0,ISNUMBER($B$100)),$B$100+3*SQRT($B$100/P715),"")</f>
        <v/>
      </c>
      <c r="U715" s="13">
        <f>IF(AND(ISNUMBER(R715),ISNUMBER(S715),ISNUMBER(T715)),IF(R715&gt;T715,"boven UCL",IF(R715&lt;S715,"onder LCL","")),"")</f>
        <v/>
      </c>
    </row>
    <row r="716">
      <c r="A716" t="n">
        <v>610</v>
      </c>
      <c r="B716" s="7" t="n"/>
      <c r="C716" s="11">
        <f>IF(AND(ISNUMBER(B716),ISNUMBER(B715)),ABS(B716-B715),"")</f>
        <v/>
      </c>
      <c r="D716" s="13">
        <f>IF(AND(ISNUMBER(B716),ISNUMBER($B$88),ISNUMBER($D$88)),IF(B716&gt;$D$88,"boven UCL",IF(B716&lt;$B$88,"onder LCL","")),"")</f>
        <v/>
      </c>
      <c r="E716" s="13">
        <f>IF(AND(ISNUMBER(C716),ISNUMBER($B$89),ISNUMBER($D$89)),IF(C716&gt;$D$89,"boven UCL",IF(C716&lt;$B$89,"onder LCL","")),"")</f>
        <v/>
      </c>
      <c r="G716" t="n">
        <v>610</v>
      </c>
      <c r="H716" s="7" t="n"/>
      <c r="I716" s="7" t="n"/>
      <c r="J716" s="11">
        <f>IF(AND(ISNUMBER(H716),ISNUMBER(I716),H716&gt;0,ISNUMBER($B$94)),I716/H716,"")</f>
        <v/>
      </c>
      <c r="K716" s="11">
        <f>IF(AND(ISNUMBER(H716),ISNUMBER(I716),H716&gt;0,ISNUMBER($B$94)),MAX(0,$B$94-3*SQRT($B$94*(1-$B$94)/H716)),"")</f>
        <v/>
      </c>
      <c r="L716" s="11">
        <f>IF(AND(ISNUMBER(H716),ISNUMBER(I716),H716&gt;0,ISNUMBER($B$94)),$B$94+3*SQRT($B$94*(1-$B$94)/H716),"")</f>
        <v/>
      </c>
      <c r="M716" s="13">
        <f>IF(AND(ISNUMBER(J716),ISNUMBER(K716),ISNUMBER(L716)),IF(J716&gt;L716,"boven UCL",IF(J716&lt;K716,"onder LCL","")),"")</f>
        <v/>
      </c>
      <c r="O716" t="n">
        <v>610</v>
      </c>
      <c r="P716" s="7" t="n"/>
      <c r="Q716" s="7" t="n"/>
      <c r="R716" s="11">
        <f>IF(AND(ISNUMBER(P716),ISNUMBER(Q716),P716&gt;0,ISNUMBER($B$100)),Q716/P716,"")</f>
        <v/>
      </c>
      <c r="S716" s="11">
        <f>IF(AND(ISNUMBER(P716),ISNUMBER(Q716),P716&gt;0,ISNUMBER($B$100)),MAX(0,$B$100-3*SQRT($B$100/P716)),"")</f>
        <v/>
      </c>
      <c r="T716" s="11">
        <f>IF(AND(ISNUMBER(P716),ISNUMBER(Q716),P716&gt;0,ISNUMBER($B$100)),$B$100+3*SQRT($B$100/P716),"")</f>
        <v/>
      </c>
      <c r="U716" s="13">
        <f>IF(AND(ISNUMBER(R716),ISNUMBER(S716),ISNUMBER(T716)),IF(R716&gt;T716,"boven UCL",IF(R716&lt;S716,"onder LCL","")),"")</f>
        <v/>
      </c>
    </row>
    <row r="717">
      <c r="A717" t="n">
        <v>611</v>
      </c>
      <c r="B717" s="7" t="n"/>
      <c r="C717" s="11">
        <f>IF(AND(ISNUMBER(B717),ISNUMBER(B716)),ABS(B717-B716),"")</f>
        <v/>
      </c>
      <c r="D717" s="13">
        <f>IF(AND(ISNUMBER(B717),ISNUMBER($B$88),ISNUMBER($D$88)),IF(B717&gt;$D$88,"boven UCL",IF(B717&lt;$B$88,"onder LCL","")),"")</f>
        <v/>
      </c>
      <c r="E717" s="13">
        <f>IF(AND(ISNUMBER(C717),ISNUMBER($B$89),ISNUMBER($D$89)),IF(C717&gt;$D$89,"boven UCL",IF(C717&lt;$B$89,"onder LCL","")),"")</f>
        <v/>
      </c>
      <c r="G717" t="n">
        <v>611</v>
      </c>
      <c r="H717" s="7" t="n"/>
      <c r="I717" s="7" t="n"/>
      <c r="J717" s="11">
        <f>IF(AND(ISNUMBER(H717),ISNUMBER(I717),H717&gt;0,ISNUMBER($B$94)),I717/H717,"")</f>
        <v/>
      </c>
      <c r="K717" s="11">
        <f>IF(AND(ISNUMBER(H717),ISNUMBER(I717),H717&gt;0,ISNUMBER($B$94)),MAX(0,$B$94-3*SQRT($B$94*(1-$B$94)/H717)),"")</f>
        <v/>
      </c>
      <c r="L717" s="11">
        <f>IF(AND(ISNUMBER(H717),ISNUMBER(I717),H717&gt;0,ISNUMBER($B$94)),$B$94+3*SQRT($B$94*(1-$B$94)/H717),"")</f>
        <v/>
      </c>
      <c r="M717" s="13">
        <f>IF(AND(ISNUMBER(J717),ISNUMBER(K717),ISNUMBER(L717)),IF(J717&gt;L717,"boven UCL",IF(J717&lt;K717,"onder LCL","")),"")</f>
        <v/>
      </c>
      <c r="O717" t="n">
        <v>611</v>
      </c>
      <c r="P717" s="7" t="n"/>
      <c r="Q717" s="7" t="n"/>
      <c r="R717" s="11">
        <f>IF(AND(ISNUMBER(P717),ISNUMBER(Q717),P717&gt;0,ISNUMBER($B$100)),Q717/P717,"")</f>
        <v/>
      </c>
      <c r="S717" s="11">
        <f>IF(AND(ISNUMBER(P717),ISNUMBER(Q717),P717&gt;0,ISNUMBER($B$100)),MAX(0,$B$100-3*SQRT($B$100/P717)),"")</f>
        <v/>
      </c>
      <c r="T717" s="11">
        <f>IF(AND(ISNUMBER(P717),ISNUMBER(Q717),P717&gt;0,ISNUMBER($B$100)),$B$100+3*SQRT($B$100/P717),"")</f>
        <v/>
      </c>
      <c r="U717" s="13">
        <f>IF(AND(ISNUMBER(R717),ISNUMBER(S717),ISNUMBER(T717)),IF(R717&gt;T717,"boven UCL",IF(R717&lt;S717,"onder LCL","")),"")</f>
        <v/>
      </c>
    </row>
    <row r="718">
      <c r="A718" t="n">
        <v>612</v>
      </c>
      <c r="B718" s="7" t="n"/>
      <c r="C718" s="11">
        <f>IF(AND(ISNUMBER(B718),ISNUMBER(B717)),ABS(B718-B717),"")</f>
        <v/>
      </c>
      <c r="D718" s="13">
        <f>IF(AND(ISNUMBER(B718),ISNUMBER($B$88),ISNUMBER($D$88)),IF(B718&gt;$D$88,"boven UCL",IF(B718&lt;$B$88,"onder LCL","")),"")</f>
        <v/>
      </c>
      <c r="E718" s="13">
        <f>IF(AND(ISNUMBER(C718),ISNUMBER($B$89),ISNUMBER($D$89)),IF(C718&gt;$D$89,"boven UCL",IF(C718&lt;$B$89,"onder LCL","")),"")</f>
        <v/>
      </c>
      <c r="G718" t="n">
        <v>612</v>
      </c>
      <c r="H718" s="7" t="n"/>
      <c r="I718" s="7" t="n"/>
      <c r="J718" s="11">
        <f>IF(AND(ISNUMBER(H718),ISNUMBER(I718),H718&gt;0,ISNUMBER($B$94)),I718/H718,"")</f>
        <v/>
      </c>
      <c r="K718" s="11">
        <f>IF(AND(ISNUMBER(H718),ISNUMBER(I718),H718&gt;0,ISNUMBER($B$94)),MAX(0,$B$94-3*SQRT($B$94*(1-$B$94)/H718)),"")</f>
        <v/>
      </c>
      <c r="L718" s="11">
        <f>IF(AND(ISNUMBER(H718),ISNUMBER(I718),H718&gt;0,ISNUMBER($B$94)),$B$94+3*SQRT($B$94*(1-$B$94)/H718),"")</f>
        <v/>
      </c>
      <c r="M718" s="13">
        <f>IF(AND(ISNUMBER(J718),ISNUMBER(K718),ISNUMBER(L718)),IF(J718&gt;L718,"boven UCL",IF(J718&lt;K718,"onder LCL","")),"")</f>
        <v/>
      </c>
      <c r="O718" t="n">
        <v>612</v>
      </c>
      <c r="P718" s="7" t="n"/>
      <c r="Q718" s="7" t="n"/>
      <c r="R718" s="11">
        <f>IF(AND(ISNUMBER(P718),ISNUMBER(Q718),P718&gt;0,ISNUMBER($B$100)),Q718/P718,"")</f>
        <v/>
      </c>
      <c r="S718" s="11">
        <f>IF(AND(ISNUMBER(P718),ISNUMBER(Q718),P718&gt;0,ISNUMBER($B$100)),MAX(0,$B$100-3*SQRT($B$100/P718)),"")</f>
        <v/>
      </c>
      <c r="T718" s="11">
        <f>IF(AND(ISNUMBER(P718),ISNUMBER(Q718),P718&gt;0,ISNUMBER($B$100)),$B$100+3*SQRT($B$100/P718),"")</f>
        <v/>
      </c>
      <c r="U718" s="13">
        <f>IF(AND(ISNUMBER(R718),ISNUMBER(S718),ISNUMBER(T718)),IF(R718&gt;T718,"boven UCL",IF(R718&lt;S718,"onder LCL","")),"")</f>
        <v/>
      </c>
    </row>
    <row r="719">
      <c r="A719" t="n">
        <v>613</v>
      </c>
      <c r="B719" s="7" t="n"/>
      <c r="C719" s="11">
        <f>IF(AND(ISNUMBER(B719),ISNUMBER(B718)),ABS(B719-B718),"")</f>
        <v/>
      </c>
      <c r="D719" s="13">
        <f>IF(AND(ISNUMBER(B719),ISNUMBER($B$88),ISNUMBER($D$88)),IF(B719&gt;$D$88,"boven UCL",IF(B719&lt;$B$88,"onder LCL","")),"")</f>
        <v/>
      </c>
      <c r="E719" s="13">
        <f>IF(AND(ISNUMBER(C719),ISNUMBER($B$89),ISNUMBER($D$89)),IF(C719&gt;$D$89,"boven UCL",IF(C719&lt;$B$89,"onder LCL","")),"")</f>
        <v/>
      </c>
      <c r="G719" t="n">
        <v>613</v>
      </c>
      <c r="H719" s="7" t="n"/>
      <c r="I719" s="7" t="n"/>
      <c r="J719" s="11">
        <f>IF(AND(ISNUMBER(H719),ISNUMBER(I719),H719&gt;0,ISNUMBER($B$94)),I719/H719,"")</f>
        <v/>
      </c>
      <c r="K719" s="11">
        <f>IF(AND(ISNUMBER(H719),ISNUMBER(I719),H719&gt;0,ISNUMBER($B$94)),MAX(0,$B$94-3*SQRT($B$94*(1-$B$94)/H719)),"")</f>
        <v/>
      </c>
      <c r="L719" s="11">
        <f>IF(AND(ISNUMBER(H719),ISNUMBER(I719),H719&gt;0,ISNUMBER($B$94)),$B$94+3*SQRT($B$94*(1-$B$94)/H719),"")</f>
        <v/>
      </c>
      <c r="M719" s="13">
        <f>IF(AND(ISNUMBER(J719),ISNUMBER(K719),ISNUMBER(L719)),IF(J719&gt;L719,"boven UCL",IF(J719&lt;K719,"onder LCL","")),"")</f>
        <v/>
      </c>
      <c r="O719" t="n">
        <v>613</v>
      </c>
      <c r="P719" s="7" t="n"/>
      <c r="Q719" s="7" t="n"/>
      <c r="R719" s="11">
        <f>IF(AND(ISNUMBER(P719),ISNUMBER(Q719),P719&gt;0,ISNUMBER($B$100)),Q719/P719,"")</f>
        <v/>
      </c>
      <c r="S719" s="11">
        <f>IF(AND(ISNUMBER(P719),ISNUMBER(Q719),P719&gt;0,ISNUMBER($B$100)),MAX(0,$B$100-3*SQRT($B$100/P719)),"")</f>
        <v/>
      </c>
      <c r="T719" s="11">
        <f>IF(AND(ISNUMBER(P719),ISNUMBER(Q719),P719&gt;0,ISNUMBER($B$100)),$B$100+3*SQRT($B$100/P719),"")</f>
        <v/>
      </c>
      <c r="U719" s="13">
        <f>IF(AND(ISNUMBER(R719),ISNUMBER(S719),ISNUMBER(T719)),IF(R719&gt;T719,"boven UCL",IF(R719&lt;S719,"onder LCL","")),"")</f>
        <v/>
      </c>
    </row>
    <row r="720">
      <c r="A720" t="n">
        <v>614</v>
      </c>
      <c r="B720" s="7" t="n"/>
      <c r="C720" s="11">
        <f>IF(AND(ISNUMBER(B720),ISNUMBER(B719)),ABS(B720-B719),"")</f>
        <v/>
      </c>
      <c r="D720" s="13">
        <f>IF(AND(ISNUMBER(B720),ISNUMBER($B$88),ISNUMBER($D$88)),IF(B720&gt;$D$88,"boven UCL",IF(B720&lt;$B$88,"onder LCL","")),"")</f>
        <v/>
      </c>
      <c r="E720" s="13">
        <f>IF(AND(ISNUMBER(C720),ISNUMBER($B$89),ISNUMBER($D$89)),IF(C720&gt;$D$89,"boven UCL",IF(C720&lt;$B$89,"onder LCL","")),"")</f>
        <v/>
      </c>
      <c r="G720" t="n">
        <v>614</v>
      </c>
      <c r="H720" s="7" t="n"/>
      <c r="I720" s="7" t="n"/>
      <c r="J720" s="11">
        <f>IF(AND(ISNUMBER(H720),ISNUMBER(I720),H720&gt;0,ISNUMBER($B$94)),I720/H720,"")</f>
        <v/>
      </c>
      <c r="K720" s="11">
        <f>IF(AND(ISNUMBER(H720),ISNUMBER(I720),H720&gt;0,ISNUMBER($B$94)),MAX(0,$B$94-3*SQRT($B$94*(1-$B$94)/H720)),"")</f>
        <v/>
      </c>
      <c r="L720" s="11">
        <f>IF(AND(ISNUMBER(H720),ISNUMBER(I720),H720&gt;0,ISNUMBER($B$94)),$B$94+3*SQRT($B$94*(1-$B$94)/H720),"")</f>
        <v/>
      </c>
      <c r="M720" s="13">
        <f>IF(AND(ISNUMBER(J720),ISNUMBER(K720),ISNUMBER(L720)),IF(J720&gt;L720,"boven UCL",IF(J720&lt;K720,"onder LCL","")),"")</f>
        <v/>
      </c>
      <c r="O720" t="n">
        <v>614</v>
      </c>
      <c r="P720" s="7" t="n"/>
      <c r="Q720" s="7" t="n"/>
      <c r="R720" s="11">
        <f>IF(AND(ISNUMBER(P720),ISNUMBER(Q720),P720&gt;0,ISNUMBER($B$100)),Q720/P720,"")</f>
        <v/>
      </c>
      <c r="S720" s="11">
        <f>IF(AND(ISNUMBER(P720),ISNUMBER(Q720),P720&gt;0,ISNUMBER($B$100)),MAX(0,$B$100-3*SQRT($B$100/P720)),"")</f>
        <v/>
      </c>
      <c r="T720" s="11">
        <f>IF(AND(ISNUMBER(P720),ISNUMBER(Q720),P720&gt;0,ISNUMBER($B$100)),$B$100+3*SQRT($B$100/P720),"")</f>
        <v/>
      </c>
      <c r="U720" s="13">
        <f>IF(AND(ISNUMBER(R720),ISNUMBER(S720),ISNUMBER(T720)),IF(R720&gt;T720,"boven UCL",IF(R720&lt;S720,"onder LCL","")),"")</f>
        <v/>
      </c>
    </row>
    <row r="721">
      <c r="A721" t="n">
        <v>615</v>
      </c>
      <c r="B721" s="7" t="n"/>
      <c r="C721" s="11">
        <f>IF(AND(ISNUMBER(B721),ISNUMBER(B720)),ABS(B721-B720),"")</f>
        <v/>
      </c>
      <c r="D721" s="13">
        <f>IF(AND(ISNUMBER(B721),ISNUMBER($B$88),ISNUMBER($D$88)),IF(B721&gt;$D$88,"boven UCL",IF(B721&lt;$B$88,"onder LCL","")),"")</f>
        <v/>
      </c>
      <c r="E721" s="13">
        <f>IF(AND(ISNUMBER(C721),ISNUMBER($B$89),ISNUMBER($D$89)),IF(C721&gt;$D$89,"boven UCL",IF(C721&lt;$B$89,"onder LCL","")),"")</f>
        <v/>
      </c>
      <c r="G721" t="n">
        <v>615</v>
      </c>
      <c r="H721" s="7" t="n"/>
      <c r="I721" s="7" t="n"/>
      <c r="J721" s="11">
        <f>IF(AND(ISNUMBER(H721),ISNUMBER(I721),H721&gt;0,ISNUMBER($B$94)),I721/H721,"")</f>
        <v/>
      </c>
      <c r="K721" s="11">
        <f>IF(AND(ISNUMBER(H721),ISNUMBER(I721),H721&gt;0,ISNUMBER($B$94)),MAX(0,$B$94-3*SQRT($B$94*(1-$B$94)/H721)),"")</f>
        <v/>
      </c>
      <c r="L721" s="11">
        <f>IF(AND(ISNUMBER(H721),ISNUMBER(I721),H721&gt;0,ISNUMBER($B$94)),$B$94+3*SQRT($B$94*(1-$B$94)/H721),"")</f>
        <v/>
      </c>
      <c r="M721" s="13">
        <f>IF(AND(ISNUMBER(J721),ISNUMBER(K721),ISNUMBER(L721)),IF(J721&gt;L721,"boven UCL",IF(J721&lt;K721,"onder LCL","")),"")</f>
        <v/>
      </c>
      <c r="O721" t="n">
        <v>615</v>
      </c>
      <c r="P721" s="7" t="n"/>
      <c r="Q721" s="7" t="n"/>
      <c r="R721" s="11">
        <f>IF(AND(ISNUMBER(P721),ISNUMBER(Q721),P721&gt;0,ISNUMBER($B$100)),Q721/P721,"")</f>
        <v/>
      </c>
      <c r="S721" s="11">
        <f>IF(AND(ISNUMBER(P721),ISNUMBER(Q721),P721&gt;0,ISNUMBER($B$100)),MAX(0,$B$100-3*SQRT($B$100/P721)),"")</f>
        <v/>
      </c>
      <c r="T721" s="11">
        <f>IF(AND(ISNUMBER(P721),ISNUMBER(Q721),P721&gt;0,ISNUMBER($B$100)),$B$100+3*SQRT($B$100/P721),"")</f>
        <v/>
      </c>
      <c r="U721" s="13">
        <f>IF(AND(ISNUMBER(R721),ISNUMBER(S721),ISNUMBER(T721)),IF(R721&gt;T721,"boven UCL",IF(R721&lt;S721,"onder LCL","")),"")</f>
        <v/>
      </c>
    </row>
    <row r="722">
      <c r="A722" t="n">
        <v>616</v>
      </c>
      <c r="B722" s="7" t="n"/>
      <c r="C722" s="11">
        <f>IF(AND(ISNUMBER(B722),ISNUMBER(B721)),ABS(B722-B721),"")</f>
        <v/>
      </c>
      <c r="D722" s="13">
        <f>IF(AND(ISNUMBER(B722),ISNUMBER($B$88),ISNUMBER($D$88)),IF(B722&gt;$D$88,"boven UCL",IF(B722&lt;$B$88,"onder LCL","")),"")</f>
        <v/>
      </c>
      <c r="E722" s="13">
        <f>IF(AND(ISNUMBER(C722),ISNUMBER($B$89),ISNUMBER($D$89)),IF(C722&gt;$D$89,"boven UCL",IF(C722&lt;$B$89,"onder LCL","")),"")</f>
        <v/>
      </c>
      <c r="G722" t="n">
        <v>616</v>
      </c>
      <c r="H722" s="7" t="n"/>
      <c r="I722" s="7" t="n"/>
      <c r="J722" s="11">
        <f>IF(AND(ISNUMBER(H722),ISNUMBER(I722),H722&gt;0,ISNUMBER($B$94)),I722/H722,"")</f>
        <v/>
      </c>
      <c r="K722" s="11">
        <f>IF(AND(ISNUMBER(H722),ISNUMBER(I722),H722&gt;0,ISNUMBER($B$94)),MAX(0,$B$94-3*SQRT($B$94*(1-$B$94)/H722)),"")</f>
        <v/>
      </c>
      <c r="L722" s="11">
        <f>IF(AND(ISNUMBER(H722),ISNUMBER(I722),H722&gt;0,ISNUMBER($B$94)),$B$94+3*SQRT($B$94*(1-$B$94)/H722),"")</f>
        <v/>
      </c>
      <c r="M722" s="13">
        <f>IF(AND(ISNUMBER(J722),ISNUMBER(K722),ISNUMBER(L722)),IF(J722&gt;L722,"boven UCL",IF(J722&lt;K722,"onder LCL","")),"")</f>
        <v/>
      </c>
      <c r="O722" t="n">
        <v>616</v>
      </c>
      <c r="P722" s="7" t="n"/>
      <c r="Q722" s="7" t="n"/>
      <c r="R722" s="11">
        <f>IF(AND(ISNUMBER(P722),ISNUMBER(Q722),P722&gt;0,ISNUMBER($B$100)),Q722/P722,"")</f>
        <v/>
      </c>
      <c r="S722" s="11">
        <f>IF(AND(ISNUMBER(P722),ISNUMBER(Q722),P722&gt;0,ISNUMBER($B$100)),MAX(0,$B$100-3*SQRT($B$100/P722)),"")</f>
        <v/>
      </c>
      <c r="T722" s="11">
        <f>IF(AND(ISNUMBER(P722),ISNUMBER(Q722),P722&gt;0,ISNUMBER($B$100)),$B$100+3*SQRT($B$100/P722),"")</f>
        <v/>
      </c>
      <c r="U722" s="13">
        <f>IF(AND(ISNUMBER(R722),ISNUMBER(S722),ISNUMBER(T722)),IF(R722&gt;T722,"boven UCL",IF(R722&lt;S722,"onder LCL","")),"")</f>
        <v/>
      </c>
    </row>
    <row r="723">
      <c r="A723" t="n">
        <v>617</v>
      </c>
      <c r="B723" s="7" t="n"/>
      <c r="C723" s="11">
        <f>IF(AND(ISNUMBER(B723),ISNUMBER(B722)),ABS(B723-B722),"")</f>
        <v/>
      </c>
      <c r="D723" s="13">
        <f>IF(AND(ISNUMBER(B723),ISNUMBER($B$88),ISNUMBER($D$88)),IF(B723&gt;$D$88,"boven UCL",IF(B723&lt;$B$88,"onder LCL","")),"")</f>
        <v/>
      </c>
      <c r="E723" s="13">
        <f>IF(AND(ISNUMBER(C723),ISNUMBER($B$89),ISNUMBER($D$89)),IF(C723&gt;$D$89,"boven UCL",IF(C723&lt;$B$89,"onder LCL","")),"")</f>
        <v/>
      </c>
      <c r="G723" t="n">
        <v>617</v>
      </c>
      <c r="H723" s="7" t="n"/>
      <c r="I723" s="7" t="n"/>
      <c r="J723" s="11">
        <f>IF(AND(ISNUMBER(H723),ISNUMBER(I723),H723&gt;0,ISNUMBER($B$94)),I723/H723,"")</f>
        <v/>
      </c>
      <c r="K723" s="11">
        <f>IF(AND(ISNUMBER(H723),ISNUMBER(I723),H723&gt;0,ISNUMBER($B$94)),MAX(0,$B$94-3*SQRT($B$94*(1-$B$94)/H723)),"")</f>
        <v/>
      </c>
      <c r="L723" s="11">
        <f>IF(AND(ISNUMBER(H723),ISNUMBER(I723),H723&gt;0,ISNUMBER($B$94)),$B$94+3*SQRT($B$94*(1-$B$94)/H723),"")</f>
        <v/>
      </c>
      <c r="M723" s="13">
        <f>IF(AND(ISNUMBER(J723),ISNUMBER(K723),ISNUMBER(L723)),IF(J723&gt;L723,"boven UCL",IF(J723&lt;K723,"onder LCL","")),"")</f>
        <v/>
      </c>
      <c r="O723" t="n">
        <v>617</v>
      </c>
      <c r="P723" s="7" t="n"/>
      <c r="Q723" s="7" t="n"/>
      <c r="R723" s="11">
        <f>IF(AND(ISNUMBER(P723),ISNUMBER(Q723),P723&gt;0,ISNUMBER($B$100)),Q723/P723,"")</f>
        <v/>
      </c>
      <c r="S723" s="11">
        <f>IF(AND(ISNUMBER(P723),ISNUMBER(Q723),P723&gt;0,ISNUMBER($B$100)),MAX(0,$B$100-3*SQRT($B$100/P723)),"")</f>
        <v/>
      </c>
      <c r="T723" s="11">
        <f>IF(AND(ISNUMBER(P723),ISNUMBER(Q723),P723&gt;0,ISNUMBER($B$100)),$B$100+3*SQRT($B$100/P723),"")</f>
        <v/>
      </c>
      <c r="U723" s="13">
        <f>IF(AND(ISNUMBER(R723),ISNUMBER(S723),ISNUMBER(T723)),IF(R723&gt;T723,"boven UCL",IF(R723&lt;S723,"onder LCL","")),"")</f>
        <v/>
      </c>
    </row>
    <row r="724">
      <c r="A724" t="n">
        <v>618</v>
      </c>
      <c r="B724" s="7" t="n"/>
      <c r="C724" s="11">
        <f>IF(AND(ISNUMBER(B724),ISNUMBER(B723)),ABS(B724-B723),"")</f>
        <v/>
      </c>
      <c r="D724" s="13">
        <f>IF(AND(ISNUMBER(B724),ISNUMBER($B$88),ISNUMBER($D$88)),IF(B724&gt;$D$88,"boven UCL",IF(B724&lt;$B$88,"onder LCL","")),"")</f>
        <v/>
      </c>
      <c r="E724" s="13">
        <f>IF(AND(ISNUMBER(C724),ISNUMBER($B$89),ISNUMBER($D$89)),IF(C724&gt;$D$89,"boven UCL",IF(C724&lt;$B$89,"onder LCL","")),"")</f>
        <v/>
      </c>
      <c r="G724" t="n">
        <v>618</v>
      </c>
      <c r="H724" s="7" t="n"/>
      <c r="I724" s="7" t="n"/>
      <c r="J724" s="11">
        <f>IF(AND(ISNUMBER(H724),ISNUMBER(I724),H724&gt;0,ISNUMBER($B$94)),I724/H724,"")</f>
        <v/>
      </c>
      <c r="K724" s="11">
        <f>IF(AND(ISNUMBER(H724),ISNUMBER(I724),H724&gt;0,ISNUMBER($B$94)),MAX(0,$B$94-3*SQRT($B$94*(1-$B$94)/H724)),"")</f>
        <v/>
      </c>
      <c r="L724" s="11">
        <f>IF(AND(ISNUMBER(H724),ISNUMBER(I724),H724&gt;0,ISNUMBER($B$94)),$B$94+3*SQRT($B$94*(1-$B$94)/H724),"")</f>
        <v/>
      </c>
      <c r="M724" s="13">
        <f>IF(AND(ISNUMBER(J724),ISNUMBER(K724),ISNUMBER(L724)),IF(J724&gt;L724,"boven UCL",IF(J724&lt;K724,"onder LCL","")),"")</f>
        <v/>
      </c>
      <c r="O724" t="n">
        <v>618</v>
      </c>
      <c r="P724" s="7" t="n"/>
      <c r="Q724" s="7" t="n"/>
      <c r="R724" s="11">
        <f>IF(AND(ISNUMBER(P724),ISNUMBER(Q724),P724&gt;0,ISNUMBER($B$100)),Q724/P724,"")</f>
        <v/>
      </c>
      <c r="S724" s="11">
        <f>IF(AND(ISNUMBER(P724),ISNUMBER(Q724),P724&gt;0,ISNUMBER($B$100)),MAX(0,$B$100-3*SQRT($B$100/P724)),"")</f>
        <v/>
      </c>
      <c r="T724" s="11">
        <f>IF(AND(ISNUMBER(P724),ISNUMBER(Q724),P724&gt;0,ISNUMBER($B$100)),$B$100+3*SQRT($B$100/P724),"")</f>
        <v/>
      </c>
      <c r="U724" s="13">
        <f>IF(AND(ISNUMBER(R724),ISNUMBER(S724),ISNUMBER(T724)),IF(R724&gt;T724,"boven UCL",IF(R724&lt;S724,"onder LCL","")),"")</f>
        <v/>
      </c>
    </row>
    <row r="725">
      <c r="A725" t="n">
        <v>619</v>
      </c>
      <c r="B725" s="7" t="n"/>
      <c r="C725" s="11">
        <f>IF(AND(ISNUMBER(B725),ISNUMBER(B724)),ABS(B725-B724),"")</f>
        <v/>
      </c>
      <c r="D725" s="13">
        <f>IF(AND(ISNUMBER(B725),ISNUMBER($B$88),ISNUMBER($D$88)),IF(B725&gt;$D$88,"boven UCL",IF(B725&lt;$B$88,"onder LCL","")),"")</f>
        <v/>
      </c>
      <c r="E725" s="13">
        <f>IF(AND(ISNUMBER(C725),ISNUMBER($B$89),ISNUMBER($D$89)),IF(C725&gt;$D$89,"boven UCL",IF(C725&lt;$B$89,"onder LCL","")),"")</f>
        <v/>
      </c>
      <c r="G725" t="n">
        <v>619</v>
      </c>
      <c r="H725" s="7" t="n"/>
      <c r="I725" s="7" t="n"/>
      <c r="J725" s="11">
        <f>IF(AND(ISNUMBER(H725),ISNUMBER(I725),H725&gt;0,ISNUMBER($B$94)),I725/H725,"")</f>
        <v/>
      </c>
      <c r="K725" s="11">
        <f>IF(AND(ISNUMBER(H725),ISNUMBER(I725),H725&gt;0,ISNUMBER($B$94)),MAX(0,$B$94-3*SQRT($B$94*(1-$B$94)/H725)),"")</f>
        <v/>
      </c>
      <c r="L725" s="11">
        <f>IF(AND(ISNUMBER(H725),ISNUMBER(I725),H725&gt;0,ISNUMBER($B$94)),$B$94+3*SQRT($B$94*(1-$B$94)/H725),"")</f>
        <v/>
      </c>
      <c r="M725" s="13">
        <f>IF(AND(ISNUMBER(J725),ISNUMBER(K725),ISNUMBER(L725)),IF(J725&gt;L725,"boven UCL",IF(J725&lt;K725,"onder LCL","")),"")</f>
        <v/>
      </c>
      <c r="O725" t="n">
        <v>619</v>
      </c>
      <c r="P725" s="7" t="n"/>
      <c r="Q725" s="7" t="n"/>
      <c r="R725" s="11">
        <f>IF(AND(ISNUMBER(P725),ISNUMBER(Q725),P725&gt;0,ISNUMBER($B$100)),Q725/P725,"")</f>
        <v/>
      </c>
      <c r="S725" s="11">
        <f>IF(AND(ISNUMBER(P725),ISNUMBER(Q725),P725&gt;0,ISNUMBER($B$100)),MAX(0,$B$100-3*SQRT($B$100/P725)),"")</f>
        <v/>
      </c>
      <c r="T725" s="11">
        <f>IF(AND(ISNUMBER(P725),ISNUMBER(Q725),P725&gt;0,ISNUMBER($B$100)),$B$100+3*SQRT($B$100/P725),"")</f>
        <v/>
      </c>
      <c r="U725" s="13">
        <f>IF(AND(ISNUMBER(R725),ISNUMBER(S725),ISNUMBER(T725)),IF(R725&gt;T725,"boven UCL",IF(R725&lt;S725,"onder LCL","")),"")</f>
        <v/>
      </c>
    </row>
    <row r="726">
      <c r="A726" t="n">
        <v>620</v>
      </c>
      <c r="B726" s="7" t="n"/>
      <c r="C726" s="11">
        <f>IF(AND(ISNUMBER(B726),ISNUMBER(B725)),ABS(B726-B725),"")</f>
        <v/>
      </c>
      <c r="D726" s="13">
        <f>IF(AND(ISNUMBER(B726),ISNUMBER($B$88),ISNUMBER($D$88)),IF(B726&gt;$D$88,"boven UCL",IF(B726&lt;$B$88,"onder LCL","")),"")</f>
        <v/>
      </c>
      <c r="E726" s="13">
        <f>IF(AND(ISNUMBER(C726),ISNUMBER($B$89),ISNUMBER($D$89)),IF(C726&gt;$D$89,"boven UCL",IF(C726&lt;$B$89,"onder LCL","")),"")</f>
        <v/>
      </c>
      <c r="G726" t="n">
        <v>620</v>
      </c>
      <c r="H726" s="7" t="n"/>
      <c r="I726" s="7" t="n"/>
      <c r="J726" s="11">
        <f>IF(AND(ISNUMBER(H726),ISNUMBER(I726),H726&gt;0,ISNUMBER($B$94)),I726/H726,"")</f>
        <v/>
      </c>
      <c r="K726" s="11">
        <f>IF(AND(ISNUMBER(H726),ISNUMBER(I726),H726&gt;0,ISNUMBER($B$94)),MAX(0,$B$94-3*SQRT($B$94*(1-$B$94)/H726)),"")</f>
        <v/>
      </c>
      <c r="L726" s="11">
        <f>IF(AND(ISNUMBER(H726),ISNUMBER(I726),H726&gt;0,ISNUMBER($B$94)),$B$94+3*SQRT($B$94*(1-$B$94)/H726),"")</f>
        <v/>
      </c>
      <c r="M726" s="13">
        <f>IF(AND(ISNUMBER(J726),ISNUMBER(K726),ISNUMBER(L726)),IF(J726&gt;L726,"boven UCL",IF(J726&lt;K726,"onder LCL","")),"")</f>
        <v/>
      </c>
      <c r="O726" t="n">
        <v>620</v>
      </c>
      <c r="P726" s="7" t="n"/>
      <c r="Q726" s="7" t="n"/>
      <c r="R726" s="11">
        <f>IF(AND(ISNUMBER(P726),ISNUMBER(Q726),P726&gt;0,ISNUMBER($B$100)),Q726/P726,"")</f>
        <v/>
      </c>
      <c r="S726" s="11">
        <f>IF(AND(ISNUMBER(P726),ISNUMBER(Q726),P726&gt;0,ISNUMBER($B$100)),MAX(0,$B$100-3*SQRT($B$100/P726)),"")</f>
        <v/>
      </c>
      <c r="T726" s="11">
        <f>IF(AND(ISNUMBER(P726),ISNUMBER(Q726),P726&gt;0,ISNUMBER($B$100)),$B$100+3*SQRT($B$100/P726),"")</f>
        <v/>
      </c>
      <c r="U726" s="13">
        <f>IF(AND(ISNUMBER(R726),ISNUMBER(S726),ISNUMBER(T726)),IF(R726&gt;T726,"boven UCL",IF(R726&lt;S726,"onder LCL","")),"")</f>
        <v/>
      </c>
    </row>
    <row r="727">
      <c r="A727" t="n">
        <v>621</v>
      </c>
      <c r="B727" s="7" t="n"/>
      <c r="C727" s="11">
        <f>IF(AND(ISNUMBER(B727),ISNUMBER(B726)),ABS(B727-B726),"")</f>
        <v/>
      </c>
      <c r="D727" s="13">
        <f>IF(AND(ISNUMBER(B727),ISNUMBER($B$88),ISNUMBER($D$88)),IF(B727&gt;$D$88,"boven UCL",IF(B727&lt;$B$88,"onder LCL","")),"")</f>
        <v/>
      </c>
      <c r="E727" s="13">
        <f>IF(AND(ISNUMBER(C727),ISNUMBER($B$89),ISNUMBER($D$89)),IF(C727&gt;$D$89,"boven UCL",IF(C727&lt;$B$89,"onder LCL","")),"")</f>
        <v/>
      </c>
      <c r="G727" t="n">
        <v>621</v>
      </c>
      <c r="H727" s="7" t="n"/>
      <c r="I727" s="7" t="n"/>
      <c r="J727" s="11">
        <f>IF(AND(ISNUMBER(H727),ISNUMBER(I727),H727&gt;0,ISNUMBER($B$94)),I727/H727,"")</f>
        <v/>
      </c>
      <c r="K727" s="11">
        <f>IF(AND(ISNUMBER(H727),ISNUMBER(I727),H727&gt;0,ISNUMBER($B$94)),MAX(0,$B$94-3*SQRT($B$94*(1-$B$94)/H727)),"")</f>
        <v/>
      </c>
      <c r="L727" s="11">
        <f>IF(AND(ISNUMBER(H727),ISNUMBER(I727),H727&gt;0,ISNUMBER($B$94)),$B$94+3*SQRT($B$94*(1-$B$94)/H727),"")</f>
        <v/>
      </c>
      <c r="M727" s="13">
        <f>IF(AND(ISNUMBER(J727),ISNUMBER(K727),ISNUMBER(L727)),IF(J727&gt;L727,"boven UCL",IF(J727&lt;K727,"onder LCL","")),"")</f>
        <v/>
      </c>
      <c r="O727" t="n">
        <v>621</v>
      </c>
      <c r="P727" s="7" t="n"/>
      <c r="Q727" s="7" t="n"/>
      <c r="R727" s="11">
        <f>IF(AND(ISNUMBER(P727),ISNUMBER(Q727),P727&gt;0,ISNUMBER($B$100)),Q727/P727,"")</f>
        <v/>
      </c>
      <c r="S727" s="11">
        <f>IF(AND(ISNUMBER(P727),ISNUMBER(Q727),P727&gt;0,ISNUMBER($B$100)),MAX(0,$B$100-3*SQRT($B$100/P727)),"")</f>
        <v/>
      </c>
      <c r="T727" s="11">
        <f>IF(AND(ISNUMBER(P727),ISNUMBER(Q727),P727&gt;0,ISNUMBER($B$100)),$B$100+3*SQRT($B$100/P727),"")</f>
        <v/>
      </c>
      <c r="U727" s="13">
        <f>IF(AND(ISNUMBER(R727),ISNUMBER(S727),ISNUMBER(T727)),IF(R727&gt;T727,"boven UCL",IF(R727&lt;S727,"onder LCL","")),"")</f>
        <v/>
      </c>
    </row>
    <row r="728">
      <c r="A728" t="n">
        <v>622</v>
      </c>
      <c r="B728" s="7" t="n"/>
      <c r="C728" s="11">
        <f>IF(AND(ISNUMBER(B728),ISNUMBER(B727)),ABS(B728-B727),"")</f>
        <v/>
      </c>
      <c r="D728" s="13">
        <f>IF(AND(ISNUMBER(B728),ISNUMBER($B$88),ISNUMBER($D$88)),IF(B728&gt;$D$88,"boven UCL",IF(B728&lt;$B$88,"onder LCL","")),"")</f>
        <v/>
      </c>
      <c r="E728" s="13">
        <f>IF(AND(ISNUMBER(C728),ISNUMBER($B$89),ISNUMBER($D$89)),IF(C728&gt;$D$89,"boven UCL",IF(C728&lt;$B$89,"onder LCL","")),"")</f>
        <v/>
      </c>
      <c r="G728" t="n">
        <v>622</v>
      </c>
      <c r="H728" s="7" t="n"/>
      <c r="I728" s="7" t="n"/>
      <c r="J728" s="11">
        <f>IF(AND(ISNUMBER(H728),ISNUMBER(I728),H728&gt;0,ISNUMBER($B$94)),I728/H728,"")</f>
        <v/>
      </c>
      <c r="K728" s="11">
        <f>IF(AND(ISNUMBER(H728),ISNUMBER(I728),H728&gt;0,ISNUMBER($B$94)),MAX(0,$B$94-3*SQRT($B$94*(1-$B$94)/H728)),"")</f>
        <v/>
      </c>
      <c r="L728" s="11">
        <f>IF(AND(ISNUMBER(H728),ISNUMBER(I728),H728&gt;0,ISNUMBER($B$94)),$B$94+3*SQRT($B$94*(1-$B$94)/H728),"")</f>
        <v/>
      </c>
      <c r="M728" s="13">
        <f>IF(AND(ISNUMBER(J728),ISNUMBER(K728),ISNUMBER(L728)),IF(J728&gt;L728,"boven UCL",IF(J728&lt;K728,"onder LCL","")),"")</f>
        <v/>
      </c>
      <c r="O728" t="n">
        <v>622</v>
      </c>
      <c r="P728" s="7" t="n"/>
      <c r="Q728" s="7" t="n"/>
      <c r="R728" s="11">
        <f>IF(AND(ISNUMBER(P728),ISNUMBER(Q728),P728&gt;0,ISNUMBER($B$100)),Q728/P728,"")</f>
        <v/>
      </c>
      <c r="S728" s="11">
        <f>IF(AND(ISNUMBER(P728),ISNUMBER(Q728),P728&gt;0,ISNUMBER($B$100)),MAX(0,$B$100-3*SQRT($B$100/P728)),"")</f>
        <v/>
      </c>
      <c r="T728" s="11">
        <f>IF(AND(ISNUMBER(P728),ISNUMBER(Q728),P728&gt;0,ISNUMBER($B$100)),$B$100+3*SQRT($B$100/P728),"")</f>
        <v/>
      </c>
      <c r="U728" s="13">
        <f>IF(AND(ISNUMBER(R728),ISNUMBER(S728),ISNUMBER(T728)),IF(R728&gt;T728,"boven UCL",IF(R728&lt;S728,"onder LCL","")),"")</f>
        <v/>
      </c>
    </row>
    <row r="729">
      <c r="A729" t="n">
        <v>623</v>
      </c>
      <c r="B729" s="7" t="n"/>
      <c r="C729" s="11">
        <f>IF(AND(ISNUMBER(B729),ISNUMBER(B728)),ABS(B729-B728),"")</f>
        <v/>
      </c>
      <c r="D729" s="13">
        <f>IF(AND(ISNUMBER(B729),ISNUMBER($B$88),ISNUMBER($D$88)),IF(B729&gt;$D$88,"boven UCL",IF(B729&lt;$B$88,"onder LCL","")),"")</f>
        <v/>
      </c>
      <c r="E729" s="13">
        <f>IF(AND(ISNUMBER(C729),ISNUMBER($B$89),ISNUMBER($D$89)),IF(C729&gt;$D$89,"boven UCL",IF(C729&lt;$B$89,"onder LCL","")),"")</f>
        <v/>
      </c>
      <c r="G729" t="n">
        <v>623</v>
      </c>
      <c r="H729" s="7" t="n"/>
      <c r="I729" s="7" t="n"/>
      <c r="J729" s="11">
        <f>IF(AND(ISNUMBER(H729),ISNUMBER(I729),H729&gt;0,ISNUMBER($B$94)),I729/H729,"")</f>
        <v/>
      </c>
      <c r="K729" s="11">
        <f>IF(AND(ISNUMBER(H729),ISNUMBER(I729),H729&gt;0,ISNUMBER($B$94)),MAX(0,$B$94-3*SQRT($B$94*(1-$B$94)/H729)),"")</f>
        <v/>
      </c>
      <c r="L729" s="11">
        <f>IF(AND(ISNUMBER(H729),ISNUMBER(I729),H729&gt;0,ISNUMBER($B$94)),$B$94+3*SQRT($B$94*(1-$B$94)/H729),"")</f>
        <v/>
      </c>
      <c r="M729" s="13">
        <f>IF(AND(ISNUMBER(J729),ISNUMBER(K729),ISNUMBER(L729)),IF(J729&gt;L729,"boven UCL",IF(J729&lt;K729,"onder LCL","")),"")</f>
        <v/>
      </c>
      <c r="O729" t="n">
        <v>623</v>
      </c>
      <c r="P729" s="7" t="n"/>
      <c r="Q729" s="7" t="n"/>
      <c r="R729" s="11">
        <f>IF(AND(ISNUMBER(P729),ISNUMBER(Q729),P729&gt;0,ISNUMBER($B$100)),Q729/P729,"")</f>
        <v/>
      </c>
      <c r="S729" s="11">
        <f>IF(AND(ISNUMBER(P729),ISNUMBER(Q729),P729&gt;0,ISNUMBER($B$100)),MAX(0,$B$100-3*SQRT($B$100/P729)),"")</f>
        <v/>
      </c>
      <c r="T729" s="11">
        <f>IF(AND(ISNUMBER(P729),ISNUMBER(Q729),P729&gt;0,ISNUMBER($B$100)),$B$100+3*SQRT($B$100/P729),"")</f>
        <v/>
      </c>
      <c r="U729" s="13">
        <f>IF(AND(ISNUMBER(R729),ISNUMBER(S729),ISNUMBER(T729)),IF(R729&gt;T729,"boven UCL",IF(R729&lt;S729,"onder LCL","")),"")</f>
        <v/>
      </c>
    </row>
    <row r="730">
      <c r="A730" t="n">
        <v>624</v>
      </c>
      <c r="B730" s="7" t="n"/>
      <c r="C730" s="11">
        <f>IF(AND(ISNUMBER(B730),ISNUMBER(B729)),ABS(B730-B729),"")</f>
        <v/>
      </c>
      <c r="D730" s="13">
        <f>IF(AND(ISNUMBER(B730),ISNUMBER($B$88),ISNUMBER($D$88)),IF(B730&gt;$D$88,"boven UCL",IF(B730&lt;$B$88,"onder LCL","")),"")</f>
        <v/>
      </c>
      <c r="E730" s="13">
        <f>IF(AND(ISNUMBER(C730),ISNUMBER($B$89),ISNUMBER($D$89)),IF(C730&gt;$D$89,"boven UCL",IF(C730&lt;$B$89,"onder LCL","")),"")</f>
        <v/>
      </c>
      <c r="G730" t="n">
        <v>624</v>
      </c>
      <c r="H730" s="7" t="n"/>
      <c r="I730" s="7" t="n"/>
      <c r="J730" s="11">
        <f>IF(AND(ISNUMBER(H730),ISNUMBER(I730),H730&gt;0,ISNUMBER($B$94)),I730/H730,"")</f>
        <v/>
      </c>
      <c r="K730" s="11">
        <f>IF(AND(ISNUMBER(H730),ISNUMBER(I730),H730&gt;0,ISNUMBER($B$94)),MAX(0,$B$94-3*SQRT($B$94*(1-$B$94)/H730)),"")</f>
        <v/>
      </c>
      <c r="L730" s="11">
        <f>IF(AND(ISNUMBER(H730),ISNUMBER(I730),H730&gt;0,ISNUMBER($B$94)),$B$94+3*SQRT($B$94*(1-$B$94)/H730),"")</f>
        <v/>
      </c>
      <c r="M730" s="13">
        <f>IF(AND(ISNUMBER(J730),ISNUMBER(K730),ISNUMBER(L730)),IF(J730&gt;L730,"boven UCL",IF(J730&lt;K730,"onder LCL","")),"")</f>
        <v/>
      </c>
      <c r="O730" t="n">
        <v>624</v>
      </c>
      <c r="P730" s="7" t="n"/>
      <c r="Q730" s="7" t="n"/>
      <c r="R730" s="11">
        <f>IF(AND(ISNUMBER(P730),ISNUMBER(Q730),P730&gt;0,ISNUMBER($B$100)),Q730/P730,"")</f>
        <v/>
      </c>
      <c r="S730" s="11">
        <f>IF(AND(ISNUMBER(P730),ISNUMBER(Q730),P730&gt;0,ISNUMBER($B$100)),MAX(0,$B$100-3*SQRT($B$100/P730)),"")</f>
        <v/>
      </c>
      <c r="T730" s="11">
        <f>IF(AND(ISNUMBER(P730),ISNUMBER(Q730),P730&gt;0,ISNUMBER($B$100)),$B$100+3*SQRT($B$100/P730),"")</f>
        <v/>
      </c>
      <c r="U730" s="13">
        <f>IF(AND(ISNUMBER(R730),ISNUMBER(S730),ISNUMBER(T730)),IF(R730&gt;T730,"boven UCL",IF(R730&lt;S730,"onder LCL","")),"")</f>
        <v/>
      </c>
    </row>
    <row r="731">
      <c r="A731" t="n">
        <v>625</v>
      </c>
      <c r="B731" s="7" t="n"/>
      <c r="C731" s="11">
        <f>IF(AND(ISNUMBER(B731),ISNUMBER(B730)),ABS(B731-B730),"")</f>
        <v/>
      </c>
      <c r="D731" s="13">
        <f>IF(AND(ISNUMBER(B731),ISNUMBER($B$88),ISNUMBER($D$88)),IF(B731&gt;$D$88,"boven UCL",IF(B731&lt;$B$88,"onder LCL","")),"")</f>
        <v/>
      </c>
      <c r="E731" s="13">
        <f>IF(AND(ISNUMBER(C731),ISNUMBER($B$89),ISNUMBER($D$89)),IF(C731&gt;$D$89,"boven UCL",IF(C731&lt;$B$89,"onder LCL","")),"")</f>
        <v/>
      </c>
      <c r="G731" t="n">
        <v>625</v>
      </c>
      <c r="H731" s="7" t="n"/>
      <c r="I731" s="7" t="n"/>
      <c r="J731" s="11">
        <f>IF(AND(ISNUMBER(H731),ISNUMBER(I731),H731&gt;0,ISNUMBER($B$94)),I731/H731,"")</f>
        <v/>
      </c>
      <c r="K731" s="11">
        <f>IF(AND(ISNUMBER(H731),ISNUMBER(I731),H731&gt;0,ISNUMBER($B$94)),MAX(0,$B$94-3*SQRT($B$94*(1-$B$94)/H731)),"")</f>
        <v/>
      </c>
      <c r="L731" s="11">
        <f>IF(AND(ISNUMBER(H731),ISNUMBER(I731),H731&gt;0,ISNUMBER($B$94)),$B$94+3*SQRT($B$94*(1-$B$94)/H731),"")</f>
        <v/>
      </c>
      <c r="M731" s="13">
        <f>IF(AND(ISNUMBER(J731),ISNUMBER(K731),ISNUMBER(L731)),IF(J731&gt;L731,"boven UCL",IF(J731&lt;K731,"onder LCL","")),"")</f>
        <v/>
      </c>
      <c r="O731" t="n">
        <v>625</v>
      </c>
      <c r="P731" s="7" t="n"/>
      <c r="Q731" s="7" t="n"/>
      <c r="R731" s="11">
        <f>IF(AND(ISNUMBER(P731),ISNUMBER(Q731),P731&gt;0,ISNUMBER($B$100)),Q731/P731,"")</f>
        <v/>
      </c>
      <c r="S731" s="11">
        <f>IF(AND(ISNUMBER(P731),ISNUMBER(Q731),P731&gt;0,ISNUMBER($B$100)),MAX(0,$B$100-3*SQRT($B$100/P731)),"")</f>
        <v/>
      </c>
      <c r="T731" s="11">
        <f>IF(AND(ISNUMBER(P731),ISNUMBER(Q731),P731&gt;0,ISNUMBER($B$100)),$B$100+3*SQRT($B$100/P731),"")</f>
        <v/>
      </c>
      <c r="U731" s="13">
        <f>IF(AND(ISNUMBER(R731),ISNUMBER(S731),ISNUMBER(T731)),IF(R731&gt;T731,"boven UCL",IF(R731&lt;S731,"onder LCL","")),"")</f>
        <v/>
      </c>
    </row>
    <row r="732">
      <c r="A732" t="n">
        <v>626</v>
      </c>
      <c r="B732" s="7" t="n"/>
      <c r="C732" s="11">
        <f>IF(AND(ISNUMBER(B732),ISNUMBER(B731)),ABS(B732-B731),"")</f>
        <v/>
      </c>
      <c r="D732" s="13">
        <f>IF(AND(ISNUMBER(B732),ISNUMBER($B$88),ISNUMBER($D$88)),IF(B732&gt;$D$88,"boven UCL",IF(B732&lt;$B$88,"onder LCL","")),"")</f>
        <v/>
      </c>
      <c r="E732" s="13">
        <f>IF(AND(ISNUMBER(C732),ISNUMBER($B$89),ISNUMBER($D$89)),IF(C732&gt;$D$89,"boven UCL",IF(C732&lt;$B$89,"onder LCL","")),"")</f>
        <v/>
      </c>
      <c r="G732" t="n">
        <v>626</v>
      </c>
      <c r="H732" s="7" t="n"/>
      <c r="I732" s="7" t="n"/>
      <c r="J732" s="11">
        <f>IF(AND(ISNUMBER(H732),ISNUMBER(I732),H732&gt;0,ISNUMBER($B$94)),I732/H732,"")</f>
        <v/>
      </c>
      <c r="K732" s="11">
        <f>IF(AND(ISNUMBER(H732),ISNUMBER(I732),H732&gt;0,ISNUMBER($B$94)),MAX(0,$B$94-3*SQRT($B$94*(1-$B$94)/H732)),"")</f>
        <v/>
      </c>
      <c r="L732" s="11">
        <f>IF(AND(ISNUMBER(H732),ISNUMBER(I732),H732&gt;0,ISNUMBER($B$94)),$B$94+3*SQRT($B$94*(1-$B$94)/H732),"")</f>
        <v/>
      </c>
      <c r="M732" s="13">
        <f>IF(AND(ISNUMBER(J732),ISNUMBER(K732),ISNUMBER(L732)),IF(J732&gt;L732,"boven UCL",IF(J732&lt;K732,"onder LCL","")),"")</f>
        <v/>
      </c>
      <c r="O732" t="n">
        <v>626</v>
      </c>
      <c r="P732" s="7" t="n"/>
      <c r="Q732" s="7" t="n"/>
      <c r="R732" s="11">
        <f>IF(AND(ISNUMBER(P732),ISNUMBER(Q732),P732&gt;0,ISNUMBER($B$100)),Q732/P732,"")</f>
        <v/>
      </c>
      <c r="S732" s="11">
        <f>IF(AND(ISNUMBER(P732),ISNUMBER(Q732),P732&gt;0,ISNUMBER($B$100)),MAX(0,$B$100-3*SQRT($B$100/P732)),"")</f>
        <v/>
      </c>
      <c r="T732" s="11">
        <f>IF(AND(ISNUMBER(P732),ISNUMBER(Q732),P732&gt;0,ISNUMBER($B$100)),$B$100+3*SQRT($B$100/P732),"")</f>
        <v/>
      </c>
      <c r="U732" s="13">
        <f>IF(AND(ISNUMBER(R732),ISNUMBER(S732),ISNUMBER(T732)),IF(R732&gt;T732,"boven UCL",IF(R732&lt;S732,"onder LCL","")),"")</f>
        <v/>
      </c>
    </row>
    <row r="733">
      <c r="A733" t="n">
        <v>627</v>
      </c>
      <c r="B733" s="7" t="n"/>
      <c r="C733" s="11">
        <f>IF(AND(ISNUMBER(B733),ISNUMBER(B732)),ABS(B733-B732),"")</f>
        <v/>
      </c>
      <c r="D733" s="13">
        <f>IF(AND(ISNUMBER(B733),ISNUMBER($B$88),ISNUMBER($D$88)),IF(B733&gt;$D$88,"boven UCL",IF(B733&lt;$B$88,"onder LCL","")),"")</f>
        <v/>
      </c>
      <c r="E733" s="13">
        <f>IF(AND(ISNUMBER(C733),ISNUMBER($B$89),ISNUMBER($D$89)),IF(C733&gt;$D$89,"boven UCL",IF(C733&lt;$B$89,"onder LCL","")),"")</f>
        <v/>
      </c>
      <c r="G733" t="n">
        <v>627</v>
      </c>
      <c r="H733" s="7" t="n"/>
      <c r="I733" s="7" t="n"/>
      <c r="J733" s="11">
        <f>IF(AND(ISNUMBER(H733),ISNUMBER(I733),H733&gt;0,ISNUMBER($B$94)),I733/H733,"")</f>
        <v/>
      </c>
      <c r="K733" s="11">
        <f>IF(AND(ISNUMBER(H733),ISNUMBER(I733),H733&gt;0,ISNUMBER($B$94)),MAX(0,$B$94-3*SQRT($B$94*(1-$B$94)/H733)),"")</f>
        <v/>
      </c>
      <c r="L733" s="11">
        <f>IF(AND(ISNUMBER(H733),ISNUMBER(I733),H733&gt;0,ISNUMBER($B$94)),$B$94+3*SQRT($B$94*(1-$B$94)/H733),"")</f>
        <v/>
      </c>
      <c r="M733" s="13">
        <f>IF(AND(ISNUMBER(J733),ISNUMBER(K733),ISNUMBER(L733)),IF(J733&gt;L733,"boven UCL",IF(J733&lt;K733,"onder LCL","")),"")</f>
        <v/>
      </c>
      <c r="O733" t="n">
        <v>627</v>
      </c>
      <c r="P733" s="7" t="n"/>
      <c r="Q733" s="7" t="n"/>
      <c r="R733" s="11">
        <f>IF(AND(ISNUMBER(P733),ISNUMBER(Q733),P733&gt;0,ISNUMBER($B$100)),Q733/P733,"")</f>
        <v/>
      </c>
      <c r="S733" s="11">
        <f>IF(AND(ISNUMBER(P733),ISNUMBER(Q733),P733&gt;0,ISNUMBER($B$100)),MAX(0,$B$100-3*SQRT($B$100/P733)),"")</f>
        <v/>
      </c>
      <c r="T733" s="11">
        <f>IF(AND(ISNUMBER(P733),ISNUMBER(Q733),P733&gt;0,ISNUMBER($B$100)),$B$100+3*SQRT($B$100/P733),"")</f>
        <v/>
      </c>
      <c r="U733" s="13">
        <f>IF(AND(ISNUMBER(R733),ISNUMBER(S733),ISNUMBER(T733)),IF(R733&gt;T733,"boven UCL",IF(R733&lt;S733,"onder LCL","")),"")</f>
        <v/>
      </c>
    </row>
    <row r="734">
      <c r="A734" t="n">
        <v>628</v>
      </c>
      <c r="B734" s="7" t="n"/>
      <c r="C734" s="11">
        <f>IF(AND(ISNUMBER(B734),ISNUMBER(B733)),ABS(B734-B733),"")</f>
        <v/>
      </c>
      <c r="D734" s="13">
        <f>IF(AND(ISNUMBER(B734),ISNUMBER($B$88),ISNUMBER($D$88)),IF(B734&gt;$D$88,"boven UCL",IF(B734&lt;$B$88,"onder LCL","")),"")</f>
        <v/>
      </c>
      <c r="E734" s="13">
        <f>IF(AND(ISNUMBER(C734),ISNUMBER($B$89),ISNUMBER($D$89)),IF(C734&gt;$D$89,"boven UCL",IF(C734&lt;$B$89,"onder LCL","")),"")</f>
        <v/>
      </c>
      <c r="G734" t="n">
        <v>628</v>
      </c>
      <c r="H734" s="7" t="n"/>
      <c r="I734" s="7" t="n"/>
      <c r="J734" s="11">
        <f>IF(AND(ISNUMBER(H734),ISNUMBER(I734),H734&gt;0,ISNUMBER($B$94)),I734/H734,"")</f>
        <v/>
      </c>
      <c r="K734" s="11">
        <f>IF(AND(ISNUMBER(H734),ISNUMBER(I734),H734&gt;0,ISNUMBER($B$94)),MAX(0,$B$94-3*SQRT($B$94*(1-$B$94)/H734)),"")</f>
        <v/>
      </c>
      <c r="L734" s="11">
        <f>IF(AND(ISNUMBER(H734),ISNUMBER(I734),H734&gt;0,ISNUMBER($B$94)),$B$94+3*SQRT($B$94*(1-$B$94)/H734),"")</f>
        <v/>
      </c>
      <c r="M734" s="13">
        <f>IF(AND(ISNUMBER(J734),ISNUMBER(K734),ISNUMBER(L734)),IF(J734&gt;L734,"boven UCL",IF(J734&lt;K734,"onder LCL","")),"")</f>
        <v/>
      </c>
      <c r="O734" t="n">
        <v>628</v>
      </c>
      <c r="P734" s="7" t="n"/>
      <c r="Q734" s="7" t="n"/>
      <c r="R734" s="11">
        <f>IF(AND(ISNUMBER(P734),ISNUMBER(Q734),P734&gt;0,ISNUMBER($B$100)),Q734/P734,"")</f>
        <v/>
      </c>
      <c r="S734" s="11">
        <f>IF(AND(ISNUMBER(P734),ISNUMBER(Q734),P734&gt;0,ISNUMBER($B$100)),MAX(0,$B$100-3*SQRT($B$100/P734)),"")</f>
        <v/>
      </c>
      <c r="T734" s="11">
        <f>IF(AND(ISNUMBER(P734),ISNUMBER(Q734),P734&gt;0,ISNUMBER($B$100)),$B$100+3*SQRT($B$100/P734),"")</f>
        <v/>
      </c>
      <c r="U734" s="13">
        <f>IF(AND(ISNUMBER(R734),ISNUMBER(S734),ISNUMBER(T734)),IF(R734&gt;T734,"boven UCL",IF(R734&lt;S734,"onder LCL","")),"")</f>
        <v/>
      </c>
    </row>
    <row r="735">
      <c r="A735" t="n">
        <v>629</v>
      </c>
      <c r="B735" s="7" t="n"/>
      <c r="C735" s="11">
        <f>IF(AND(ISNUMBER(B735),ISNUMBER(B734)),ABS(B735-B734),"")</f>
        <v/>
      </c>
      <c r="D735" s="13">
        <f>IF(AND(ISNUMBER(B735),ISNUMBER($B$88),ISNUMBER($D$88)),IF(B735&gt;$D$88,"boven UCL",IF(B735&lt;$B$88,"onder LCL","")),"")</f>
        <v/>
      </c>
      <c r="E735" s="13">
        <f>IF(AND(ISNUMBER(C735),ISNUMBER($B$89),ISNUMBER($D$89)),IF(C735&gt;$D$89,"boven UCL",IF(C735&lt;$B$89,"onder LCL","")),"")</f>
        <v/>
      </c>
      <c r="G735" t="n">
        <v>629</v>
      </c>
      <c r="H735" s="7" t="n"/>
      <c r="I735" s="7" t="n"/>
      <c r="J735" s="11">
        <f>IF(AND(ISNUMBER(H735),ISNUMBER(I735),H735&gt;0,ISNUMBER($B$94)),I735/H735,"")</f>
        <v/>
      </c>
      <c r="K735" s="11">
        <f>IF(AND(ISNUMBER(H735),ISNUMBER(I735),H735&gt;0,ISNUMBER($B$94)),MAX(0,$B$94-3*SQRT($B$94*(1-$B$94)/H735)),"")</f>
        <v/>
      </c>
      <c r="L735" s="11">
        <f>IF(AND(ISNUMBER(H735),ISNUMBER(I735),H735&gt;0,ISNUMBER($B$94)),$B$94+3*SQRT($B$94*(1-$B$94)/H735),"")</f>
        <v/>
      </c>
      <c r="M735" s="13">
        <f>IF(AND(ISNUMBER(J735),ISNUMBER(K735),ISNUMBER(L735)),IF(J735&gt;L735,"boven UCL",IF(J735&lt;K735,"onder LCL","")),"")</f>
        <v/>
      </c>
      <c r="O735" t="n">
        <v>629</v>
      </c>
      <c r="P735" s="7" t="n"/>
      <c r="Q735" s="7" t="n"/>
      <c r="R735" s="11">
        <f>IF(AND(ISNUMBER(P735),ISNUMBER(Q735),P735&gt;0,ISNUMBER($B$100)),Q735/P735,"")</f>
        <v/>
      </c>
      <c r="S735" s="11">
        <f>IF(AND(ISNUMBER(P735),ISNUMBER(Q735),P735&gt;0,ISNUMBER($B$100)),MAX(0,$B$100-3*SQRT($B$100/P735)),"")</f>
        <v/>
      </c>
      <c r="T735" s="11">
        <f>IF(AND(ISNUMBER(P735),ISNUMBER(Q735),P735&gt;0,ISNUMBER($B$100)),$B$100+3*SQRT($B$100/P735),"")</f>
        <v/>
      </c>
      <c r="U735" s="13">
        <f>IF(AND(ISNUMBER(R735),ISNUMBER(S735),ISNUMBER(T735)),IF(R735&gt;T735,"boven UCL",IF(R735&lt;S735,"onder LCL","")),"")</f>
        <v/>
      </c>
    </row>
    <row r="736">
      <c r="A736" t="n">
        <v>630</v>
      </c>
      <c r="B736" s="7" t="n"/>
      <c r="C736" s="11">
        <f>IF(AND(ISNUMBER(B736),ISNUMBER(B735)),ABS(B736-B735),"")</f>
        <v/>
      </c>
      <c r="D736" s="13">
        <f>IF(AND(ISNUMBER(B736),ISNUMBER($B$88),ISNUMBER($D$88)),IF(B736&gt;$D$88,"boven UCL",IF(B736&lt;$B$88,"onder LCL","")),"")</f>
        <v/>
      </c>
      <c r="E736" s="13">
        <f>IF(AND(ISNUMBER(C736),ISNUMBER($B$89),ISNUMBER($D$89)),IF(C736&gt;$D$89,"boven UCL",IF(C736&lt;$B$89,"onder LCL","")),"")</f>
        <v/>
      </c>
      <c r="G736" t="n">
        <v>630</v>
      </c>
      <c r="H736" s="7" t="n"/>
      <c r="I736" s="7" t="n"/>
      <c r="J736" s="11">
        <f>IF(AND(ISNUMBER(H736),ISNUMBER(I736),H736&gt;0,ISNUMBER($B$94)),I736/H736,"")</f>
        <v/>
      </c>
      <c r="K736" s="11">
        <f>IF(AND(ISNUMBER(H736),ISNUMBER(I736),H736&gt;0,ISNUMBER($B$94)),MAX(0,$B$94-3*SQRT($B$94*(1-$B$94)/H736)),"")</f>
        <v/>
      </c>
      <c r="L736" s="11">
        <f>IF(AND(ISNUMBER(H736),ISNUMBER(I736),H736&gt;0,ISNUMBER($B$94)),$B$94+3*SQRT($B$94*(1-$B$94)/H736),"")</f>
        <v/>
      </c>
      <c r="M736" s="13">
        <f>IF(AND(ISNUMBER(J736),ISNUMBER(K736),ISNUMBER(L736)),IF(J736&gt;L736,"boven UCL",IF(J736&lt;K736,"onder LCL","")),"")</f>
        <v/>
      </c>
      <c r="O736" t="n">
        <v>630</v>
      </c>
      <c r="P736" s="7" t="n"/>
      <c r="Q736" s="7" t="n"/>
      <c r="R736" s="11">
        <f>IF(AND(ISNUMBER(P736),ISNUMBER(Q736),P736&gt;0,ISNUMBER($B$100)),Q736/P736,"")</f>
        <v/>
      </c>
      <c r="S736" s="11">
        <f>IF(AND(ISNUMBER(P736),ISNUMBER(Q736),P736&gt;0,ISNUMBER($B$100)),MAX(0,$B$100-3*SQRT($B$100/P736)),"")</f>
        <v/>
      </c>
      <c r="T736" s="11">
        <f>IF(AND(ISNUMBER(P736),ISNUMBER(Q736),P736&gt;0,ISNUMBER($B$100)),$B$100+3*SQRT($B$100/P736),"")</f>
        <v/>
      </c>
      <c r="U736" s="13">
        <f>IF(AND(ISNUMBER(R736),ISNUMBER(S736),ISNUMBER(T736)),IF(R736&gt;T736,"boven UCL",IF(R736&lt;S736,"onder LCL","")),"")</f>
        <v/>
      </c>
    </row>
    <row r="737">
      <c r="A737" t="n">
        <v>631</v>
      </c>
      <c r="B737" s="7" t="n"/>
      <c r="C737" s="11">
        <f>IF(AND(ISNUMBER(B737),ISNUMBER(B736)),ABS(B737-B736),"")</f>
        <v/>
      </c>
      <c r="D737" s="13">
        <f>IF(AND(ISNUMBER(B737),ISNUMBER($B$88),ISNUMBER($D$88)),IF(B737&gt;$D$88,"boven UCL",IF(B737&lt;$B$88,"onder LCL","")),"")</f>
        <v/>
      </c>
      <c r="E737" s="13">
        <f>IF(AND(ISNUMBER(C737),ISNUMBER($B$89),ISNUMBER($D$89)),IF(C737&gt;$D$89,"boven UCL",IF(C737&lt;$B$89,"onder LCL","")),"")</f>
        <v/>
      </c>
      <c r="G737" t="n">
        <v>631</v>
      </c>
      <c r="H737" s="7" t="n"/>
      <c r="I737" s="7" t="n"/>
      <c r="J737" s="11">
        <f>IF(AND(ISNUMBER(H737),ISNUMBER(I737),H737&gt;0,ISNUMBER($B$94)),I737/H737,"")</f>
        <v/>
      </c>
      <c r="K737" s="11">
        <f>IF(AND(ISNUMBER(H737),ISNUMBER(I737),H737&gt;0,ISNUMBER($B$94)),MAX(0,$B$94-3*SQRT($B$94*(1-$B$94)/H737)),"")</f>
        <v/>
      </c>
      <c r="L737" s="11">
        <f>IF(AND(ISNUMBER(H737),ISNUMBER(I737),H737&gt;0,ISNUMBER($B$94)),$B$94+3*SQRT($B$94*(1-$B$94)/H737),"")</f>
        <v/>
      </c>
      <c r="M737" s="13">
        <f>IF(AND(ISNUMBER(J737),ISNUMBER(K737),ISNUMBER(L737)),IF(J737&gt;L737,"boven UCL",IF(J737&lt;K737,"onder LCL","")),"")</f>
        <v/>
      </c>
      <c r="O737" t="n">
        <v>631</v>
      </c>
      <c r="P737" s="7" t="n"/>
      <c r="Q737" s="7" t="n"/>
      <c r="R737" s="11">
        <f>IF(AND(ISNUMBER(P737),ISNUMBER(Q737),P737&gt;0,ISNUMBER($B$100)),Q737/P737,"")</f>
        <v/>
      </c>
      <c r="S737" s="11">
        <f>IF(AND(ISNUMBER(P737),ISNUMBER(Q737),P737&gt;0,ISNUMBER($B$100)),MAX(0,$B$100-3*SQRT($B$100/P737)),"")</f>
        <v/>
      </c>
      <c r="T737" s="11">
        <f>IF(AND(ISNUMBER(P737),ISNUMBER(Q737),P737&gt;0,ISNUMBER($B$100)),$B$100+3*SQRT($B$100/P737),"")</f>
        <v/>
      </c>
      <c r="U737" s="13">
        <f>IF(AND(ISNUMBER(R737),ISNUMBER(S737),ISNUMBER(T737)),IF(R737&gt;T737,"boven UCL",IF(R737&lt;S737,"onder LCL","")),"")</f>
        <v/>
      </c>
    </row>
    <row r="738">
      <c r="A738" t="n">
        <v>632</v>
      </c>
      <c r="B738" s="7" t="n"/>
      <c r="C738" s="11">
        <f>IF(AND(ISNUMBER(B738),ISNUMBER(B737)),ABS(B738-B737),"")</f>
        <v/>
      </c>
      <c r="D738" s="13">
        <f>IF(AND(ISNUMBER(B738),ISNUMBER($B$88),ISNUMBER($D$88)),IF(B738&gt;$D$88,"boven UCL",IF(B738&lt;$B$88,"onder LCL","")),"")</f>
        <v/>
      </c>
      <c r="E738" s="13">
        <f>IF(AND(ISNUMBER(C738),ISNUMBER($B$89),ISNUMBER($D$89)),IF(C738&gt;$D$89,"boven UCL",IF(C738&lt;$B$89,"onder LCL","")),"")</f>
        <v/>
      </c>
      <c r="G738" t="n">
        <v>632</v>
      </c>
      <c r="H738" s="7" t="n"/>
      <c r="I738" s="7" t="n"/>
      <c r="J738" s="11">
        <f>IF(AND(ISNUMBER(H738),ISNUMBER(I738),H738&gt;0,ISNUMBER($B$94)),I738/H738,"")</f>
        <v/>
      </c>
      <c r="K738" s="11">
        <f>IF(AND(ISNUMBER(H738),ISNUMBER(I738),H738&gt;0,ISNUMBER($B$94)),MAX(0,$B$94-3*SQRT($B$94*(1-$B$94)/H738)),"")</f>
        <v/>
      </c>
      <c r="L738" s="11">
        <f>IF(AND(ISNUMBER(H738),ISNUMBER(I738),H738&gt;0,ISNUMBER($B$94)),$B$94+3*SQRT($B$94*(1-$B$94)/H738),"")</f>
        <v/>
      </c>
      <c r="M738" s="13">
        <f>IF(AND(ISNUMBER(J738),ISNUMBER(K738),ISNUMBER(L738)),IF(J738&gt;L738,"boven UCL",IF(J738&lt;K738,"onder LCL","")),"")</f>
        <v/>
      </c>
      <c r="O738" t="n">
        <v>632</v>
      </c>
      <c r="P738" s="7" t="n"/>
      <c r="Q738" s="7" t="n"/>
      <c r="R738" s="11">
        <f>IF(AND(ISNUMBER(P738),ISNUMBER(Q738),P738&gt;0,ISNUMBER($B$100)),Q738/P738,"")</f>
        <v/>
      </c>
      <c r="S738" s="11">
        <f>IF(AND(ISNUMBER(P738),ISNUMBER(Q738),P738&gt;0,ISNUMBER($B$100)),MAX(0,$B$100-3*SQRT($B$100/P738)),"")</f>
        <v/>
      </c>
      <c r="T738" s="11">
        <f>IF(AND(ISNUMBER(P738),ISNUMBER(Q738),P738&gt;0,ISNUMBER($B$100)),$B$100+3*SQRT($B$100/P738),"")</f>
        <v/>
      </c>
      <c r="U738" s="13">
        <f>IF(AND(ISNUMBER(R738),ISNUMBER(S738),ISNUMBER(T738)),IF(R738&gt;T738,"boven UCL",IF(R738&lt;S738,"onder LCL","")),"")</f>
        <v/>
      </c>
    </row>
    <row r="739">
      <c r="A739" t="n">
        <v>633</v>
      </c>
      <c r="B739" s="7" t="n"/>
      <c r="C739" s="11">
        <f>IF(AND(ISNUMBER(B739),ISNUMBER(B738)),ABS(B739-B738),"")</f>
        <v/>
      </c>
      <c r="D739" s="13">
        <f>IF(AND(ISNUMBER(B739),ISNUMBER($B$88),ISNUMBER($D$88)),IF(B739&gt;$D$88,"boven UCL",IF(B739&lt;$B$88,"onder LCL","")),"")</f>
        <v/>
      </c>
      <c r="E739" s="13">
        <f>IF(AND(ISNUMBER(C739),ISNUMBER($B$89),ISNUMBER($D$89)),IF(C739&gt;$D$89,"boven UCL",IF(C739&lt;$B$89,"onder LCL","")),"")</f>
        <v/>
      </c>
      <c r="G739" t="n">
        <v>633</v>
      </c>
      <c r="H739" s="7" t="n"/>
      <c r="I739" s="7" t="n"/>
      <c r="J739" s="11">
        <f>IF(AND(ISNUMBER(H739),ISNUMBER(I739),H739&gt;0,ISNUMBER($B$94)),I739/H739,"")</f>
        <v/>
      </c>
      <c r="K739" s="11">
        <f>IF(AND(ISNUMBER(H739),ISNUMBER(I739),H739&gt;0,ISNUMBER($B$94)),MAX(0,$B$94-3*SQRT($B$94*(1-$B$94)/H739)),"")</f>
        <v/>
      </c>
      <c r="L739" s="11">
        <f>IF(AND(ISNUMBER(H739),ISNUMBER(I739),H739&gt;0,ISNUMBER($B$94)),$B$94+3*SQRT($B$94*(1-$B$94)/H739),"")</f>
        <v/>
      </c>
      <c r="M739" s="13">
        <f>IF(AND(ISNUMBER(J739),ISNUMBER(K739),ISNUMBER(L739)),IF(J739&gt;L739,"boven UCL",IF(J739&lt;K739,"onder LCL","")),"")</f>
        <v/>
      </c>
      <c r="O739" t="n">
        <v>633</v>
      </c>
      <c r="P739" s="7" t="n"/>
      <c r="Q739" s="7" t="n"/>
      <c r="R739" s="11">
        <f>IF(AND(ISNUMBER(P739),ISNUMBER(Q739),P739&gt;0,ISNUMBER($B$100)),Q739/P739,"")</f>
        <v/>
      </c>
      <c r="S739" s="11">
        <f>IF(AND(ISNUMBER(P739),ISNUMBER(Q739),P739&gt;0,ISNUMBER($B$100)),MAX(0,$B$100-3*SQRT($B$100/P739)),"")</f>
        <v/>
      </c>
      <c r="T739" s="11">
        <f>IF(AND(ISNUMBER(P739),ISNUMBER(Q739),P739&gt;0,ISNUMBER($B$100)),$B$100+3*SQRT($B$100/P739),"")</f>
        <v/>
      </c>
      <c r="U739" s="13">
        <f>IF(AND(ISNUMBER(R739),ISNUMBER(S739),ISNUMBER(T739)),IF(R739&gt;T739,"boven UCL",IF(R739&lt;S739,"onder LCL","")),"")</f>
        <v/>
      </c>
    </row>
    <row r="740">
      <c r="A740" t="n">
        <v>634</v>
      </c>
      <c r="B740" s="7" t="n"/>
      <c r="C740" s="11">
        <f>IF(AND(ISNUMBER(B740),ISNUMBER(B739)),ABS(B740-B739),"")</f>
        <v/>
      </c>
      <c r="D740" s="13">
        <f>IF(AND(ISNUMBER(B740),ISNUMBER($B$88),ISNUMBER($D$88)),IF(B740&gt;$D$88,"boven UCL",IF(B740&lt;$B$88,"onder LCL","")),"")</f>
        <v/>
      </c>
      <c r="E740" s="13">
        <f>IF(AND(ISNUMBER(C740),ISNUMBER($B$89),ISNUMBER($D$89)),IF(C740&gt;$D$89,"boven UCL",IF(C740&lt;$B$89,"onder LCL","")),"")</f>
        <v/>
      </c>
      <c r="G740" t="n">
        <v>634</v>
      </c>
      <c r="H740" s="7" t="n"/>
      <c r="I740" s="7" t="n"/>
      <c r="J740" s="11">
        <f>IF(AND(ISNUMBER(H740),ISNUMBER(I740),H740&gt;0,ISNUMBER($B$94)),I740/H740,"")</f>
        <v/>
      </c>
      <c r="K740" s="11">
        <f>IF(AND(ISNUMBER(H740),ISNUMBER(I740),H740&gt;0,ISNUMBER($B$94)),MAX(0,$B$94-3*SQRT($B$94*(1-$B$94)/H740)),"")</f>
        <v/>
      </c>
      <c r="L740" s="11">
        <f>IF(AND(ISNUMBER(H740),ISNUMBER(I740),H740&gt;0,ISNUMBER($B$94)),$B$94+3*SQRT($B$94*(1-$B$94)/H740),"")</f>
        <v/>
      </c>
      <c r="M740" s="13">
        <f>IF(AND(ISNUMBER(J740),ISNUMBER(K740),ISNUMBER(L740)),IF(J740&gt;L740,"boven UCL",IF(J740&lt;K740,"onder LCL","")),"")</f>
        <v/>
      </c>
      <c r="O740" t="n">
        <v>634</v>
      </c>
      <c r="P740" s="7" t="n"/>
      <c r="Q740" s="7" t="n"/>
      <c r="R740" s="11">
        <f>IF(AND(ISNUMBER(P740),ISNUMBER(Q740),P740&gt;0,ISNUMBER($B$100)),Q740/P740,"")</f>
        <v/>
      </c>
      <c r="S740" s="11">
        <f>IF(AND(ISNUMBER(P740),ISNUMBER(Q740),P740&gt;0,ISNUMBER($B$100)),MAX(0,$B$100-3*SQRT($B$100/P740)),"")</f>
        <v/>
      </c>
      <c r="T740" s="11">
        <f>IF(AND(ISNUMBER(P740),ISNUMBER(Q740),P740&gt;0,ISNUMBER($B$100)),$B$100+3*SQRT($B$100/P740),"")</f>
        <v/>
      </c>
      <c r="U740" s="13">
        <f>IF(AND(ISNUMBER(R740),ISNUMBER(S740),ISNUMBER(T740)),IF(R740&gt;T740,"boven UCL",IF(R740&lt;S740,"onder LCL","")),"")</f>
        <v/>
      </c>
    </row>
    <row r="741">
      <c r="A741" t="n">
        <v>635</v>
      </c>
      <c r="B741" s="7" t="n"/>
      <c r="C741" s="11">
        <f>IF(AND(ISNUMBER(B741),ISNUMBER(B740)),ABS(B741-B740),"")</f>
        <v/>
      </c>
      <c r="D741" s="13">
        <f>IF(AND(ISNUMBER(B741),ISNUMBER($B$88),ISNUMBER($D$88)),IF(B741&gt;$D$88,"boven UCL",IF(B741&lt;$B$88,"onder LCL","")),"")</f>
        <v/>
      </c>
      <c r="E741" s="13">
        <f>IF(AND(ISNUMBER(C741),ISNUMBER($B$89),ISNUMBER($D$89)),IF(C741&gt;$D$89,"boven UCL",IF(C741&lt;$B$89,"onder LCL","")),"")</f>
        <v/>
      </c>
      <c r="G741" t="n">
        <v>635</v>
      </c>
      <c r="H741" s="7" t="n"/>
      <c r="I741" s="7" t="n"/>
      <c r="J741" s="11">
        <f>IF(AND(ISNUMBER(H741),ISNUMBER(I741),H741&gt;0,ISNUMBER($B$94)),I741/H741,"")</f>
        <v/>
      </c>
      <c r="K741" s="11">
        <f>IF(AND(ISNUMBER(H741),ISNUMBER(I741),H741&gt;0,ISNUMBER($B$94)),MAX(0,$B$94-3*SQRT($B$94*(1-$B$94)/H741)),"")</f>
        <v/>
      </c>
      <c r="L741" s="11">
        <f>IF(AND(ISNUMBER(H741),ISNUMBER(I741),H741&gt;0,ISNUMBER($B$94)),$B$94+3*SQRT($B$94*(1-$B$94)/H741),"")</f>
        <v/>
      </c>
      <c r="M741" s="13">
        <f>IF(AND(ISNUMBER(J741),ISNUMBER(K741),ISNUMBER(L741)),IF(J741&gt;L741,"boven UCL",IF(J741&lt;K741,"onder LCL","")),"")</f>
        <v/>
      </c>
      <c r="O741" t="n">
        <v>635</v>
      </c>
      <c r="P741" s="7" t="n"/>
      <c r="Q741" s="7" t="n"/>
      <c r="R741" s="11">
        <f>IF(AND(ISNUMBER(P741),ISNUMBER(Q741),P741&gt;0,ISNUMBER($B$100)),Q741/P741,"")</f>
        <v/>
      </c>
      <c r="S741" s="11">
        <f>IF(AND(ISNUMBER(P741),ISNUMBER(Q741),P741&gt;0,ISNUMBER($B$100)),MAX(0,$B$100-3*SQRT($B$100/P741)),"")</f>
        <v/>
      </c>
      <c r="T741" s="11">
        <f>IF(AND(ISNUMBER(P741),ISNUMBER(Q741),P741&gt;0,ISNUMBER($B$100)),$B$100+3*SQRT($B$100/P741),"")</f>
        <v/>
      </c>
      <c r="U741" s="13">
        <f>IF(AND(ISNUMBER(R741),ISNUMBER(S741),ISNUMBER(T741)),IF(R741&gt;T741,"boven UCL",IF(R741&lt;S741,"onder LCL","")),"")</f>
        <v/>
      </c>
    </row>
    <row r="742">
      <c r="A742" t="n">
        <v>636</v>
      </c>
      <c r="B742" s="7" t="n"/>
      <c r="C742" s="11">
        <f>IF(AND(ISNUMBER(B742),ISNUMBER(B741)),ABS(B742-B741),"")</f>
        <v/>
      </c>
      <c r="D742" s="13">
        <f>IF(AND(ISNUMBER(B742),ISNUMBER($B$88),ISNUMBER($D$88)),IF(B742&gt;$D$88,"boven UCL",IF(B742&lt;$B$88,"onder LCL","")),"")</f>
        <v/>
      </c>
      <c r="E742" s="13">
        <f>IF(AND(ISNUMBER(C742),ISNUMBER($B$89),ISNUMBER($D$89)),IF(C742&gt;$D$89,"boven UCL",IF(C742&lt;$B$89,"onder LCL","")),"")</f>
        <v/>
      </c>
      <c r="G742" t="n">
        <v>636</v>
      </c>
      <c r="H742" s="7" t="n"/>
      <c r="I742" s="7" t="n"/>
      <c r="J742" s="11">
        <f>IF(AND(ISNUMBER(H742),ISNUMBER(I742),H742&gt;0,ISNUMBER($B$94)),I742/H742,"")</f>
        <v/>
      </c>
      <c r="K742" s="11">
        <f>IF(AND(ISNUMBER(H742),ISNUMBER(I742),H742&gt;0,ISNUMBER($B$94)),MAX(0,$B$94-3*SQRT($B$94*(1-$B$94)/H742)),"")</f>
        <v/>
      </c>
      <c r="L742" s="11">
        <f>IF(AND(ISNUMBER(H742),ISNUMBER(I742),H742&gt;0,ISNUMBER($B$94)),$B$94+3*SQRT($B$94*(1-$B$94)/H742),"")</f>
        <v/>
      </c>
      <c r="M742" s="13">
        <f>IF(AND(ISNUMBER(J742),ISNUMBER(K742),ISNUMBER(L742)),IF(J742&gt;L742,"boven UCL",IF(J742&lt;K742,"onder LCL","")),"")</f>
        <v/>
      </c>
      <c r="O742" t="n">
        <v>636</v>
      </c>
      <c r="P742" s="7" t="n"/>
      <c r="Q742" s="7" t="n"/>
      <c r="R742" s="11">
        <f>IF(AND(ISNUMBER(P742),ISNUMBER(Q742),P742&gt;0,ISNUMBER($B$100)),Q742/P742,"")</f>
        <v/>
      </c>
      <c r="S742" s="11">
        <f>IF(AND(ISNUMBER(P742),ISNUMBER(Q742),P742&gt;0,ISNUMBER($B$100)),MAX(0,$B$100-3*SQRT($B$100/P742)),"")</f>
        <v/>
      </c>
      <c r="T742" s="11">
        <f>IF(AND(ISNUMBER(P742),ISNUMBER(Q742),P742&gt;0,ISNUMBER($B$100)),$B$100+3*SQRT($B$100/P742),"")</f>
        <v/>
      </c>
      <c r="U742" s="13">
        <f>IF(AND(ISNUMBER(R742),ISNUMBER(S742),ISNUMBER(T742)),IF(R742&gt;T742,"boven UCL",IF(R742&lt;S742,"onder LCL","")),"")</f>
        <v/>
      </c>
    </row>
    <row r="743">
      <c r="A743" t="n">
        <v>637</v>
      </c>
      <c r="B743" s="7" t="n"/>
      <c r="C743" s="11">
        <f>IF(AND(ISNUMBER(B743),ISNUMBER(B742)),ABS(B743-B742),"")</f>
        <v/>
      </c>
      <c r="D743" s="13">
        <f>IF(AND(ISNUMBER(B743),ISNUMBER($B$88),ISNUMBER($D$88)),IF(B743&gt;$D$88,"boven UCL",IF(B743&lt;$B$88,"onder LCL","")),"")</f>
        <v/>
      </c>
      <c r="E743" s="13">
        <f>IF(AND(ISNUMBER(C743),ISNUMBER($B$89),ISNUMBER($D$89)),IF(C743&gt;$D$89,"boven UCL",IF(C743&lt;$B$89,"onder LCL","")),"")</f>
        <v/>
      </c>
      <c r="G743" t="n">
        <v>637</v>
      </c>
      <c r="H743" s="7" t="n"/>
      <c r="I743" s="7" t="n"/>
      <c r="J743" s="11">
        <f>IF(AND(ISNUMBER(H743),ISNUMBER(I743),H743&gt;0,ISNUMBER($B$94)),I743/H743,"")</f>
        <v/>
      </c>
      <c r="K743" s="11">
        <f>IF(AND(ISNUMBER(H743),ISNUMBER(I743),H743&gt;0,ISNUMBER($B$94)),MAX(0,$B$94-3*SQRT($B$94*(1-$B$94)/H743)),"")</f>
        <v/>
      </c>
      <c r="L743" s="11">
        <f>IF(AND(ISNUMBER(H743),ISNUMBER(I743),H743&gt;0,ISNUMBER($B$94)),$B$94+3*SQRT($B$94*(1-$B$94)/H743),"")</f>
        <v/>
      </c>
      <c r="M743" s="13">
        <f>IF(AND(ISNUMBER(J743),ISNUMBER(K743),ISNUMBER(L743)),IF(J743&gt;L743,"boven UCL",IF(J743&lt;K743,"onder LCL","")),"")</f>
        <v/>
      </c>
      <c r="O743" t="n">
        <v>637</v>
      </c>
      <c r="P743" s="7" t="n"/>
      <c r="Q743" s="7" t="n"/>
      <c r="R743" s="11">
        <f>IF(AND(ISNUMBER(P743),ISNUMBER(Q743),P743&gt;0,ISNUMBER($B$100)),Q743/P743,"")</f>
        <v/>
      </c>
      <c r="S743" s="11">
        <f>IF(AND(ISNUMBER(P743),ISNUMBER(Q743),P743&gt;0,ISNUMBER($B$100)),MAX(0,$B$100-3*SQRT($B$100/P743)),"")</f>
        <v/>
      </c>
      <c r="T743" s="11">
        <f>IF(AND(ISNUMBER(P743),ISNUMBER(Q743),P743&gt;0,ISNUMBER($B$100)),$B$100+3*SQRT($B$100/P743),"")</f>
        <v/>
      </c>
      <c r="U743" s="13">
        <f>IF(AND(ISNUMBER(R743),ISNUMBER(S743),ISNUMBER(T743)),IF(R743&gt;T743,"boven UCL",IF(R743&lt;S743,"onder LCL","")),"")</f>
        <v/>
      </c>
    </row>
    <row r="744">
      <c r="A744" t="n">
        <v>638</v>
      </c>
      <c r="B744" s="7" t="n"/>
      <c r="C744" s="11">
        <f>IF(AND(ISNUMBER(B744),ISNUMBER(B743)),ABS(B744-B743),"")</f>
        <v/>
      </c>
      <c r="D744" s="13">
        <f>IF(AND(ISNUMBER(B744),ISNUMBER($B$88),ISNUMBER($D$88)),IF(B744&gt;$D$88,"boven UCL",IF(B744&lt;$B$88,"onder LCL","")),"")</f>
        <v/>
      </c>
      <c r="E744" s="13">
        <f>IF(AND(ISNUMBER(C744),ISNUMBER($B$89),ISNUMBER($D$89)),IF(C744&gt;$D$89,"boven UCL",IF(C744&lt;$B$89,"onder LCL","")),"")</f>
        <v/>
      </c>
      <c r="G744" t="n">
        <v>638</v>
      </c>
      <c r="H744" s="7" t="n"/>
      <c r="I744" s="7" t="n"/>
      <c r="J744" s="11">
        <f>IF(AND(ISNUMBER(H744),ISNUMBER(I744),H744&gt;0,ISNUMBER($B$94)),I744/H744,"")</f>
        <v/>
      </c>
      <c r="K744" s="11">
        <f>IF(AND(ISNUMBER(H744),ISNUMBER(I744),H744&gt;0,ISNUMBER($B$94)),MAX(0,$B$94-3*SQRT($B$94*(1-$B$94)/H744)),"")</f>
        <v/>
      </c>
      <c r="L744" s="11">
        <f>IF(AND(ISNUMBER(H744),ISNUMBER(I744),H744&gt;0,ISNUMBER($B$94)),$B$94+3*SQRT($B$94*(1-$B$94)/H744),"")</f>
        <v/>
      </c>
      <c r="M744" s="13">
        <f>IF(AND(ISNUMBER(J744),ISNUMBER(K744),ISNUMBER(L744)),IF(J744&gt;L744,"boven UCL",IF(J744&lt;K744,"onder LCL","")),"")</f>
        <v/>
      </c>
      <c r="O744" t="n">
        <v>638</v>
      </c>
      <c r="P744" s="7" t="n"/>
      <c r="Q744" s="7" t="n"/>
      <c r="R744" s="11">
        <f>IF(AND(ISNUMBER(P744),ISNUMBER(Q744),P744&gt;0,ISNUMBER($B$100)),Q744/P744,"")</f>
        <v/>
      </c>
      <c r="S744" s="11">
        <f>IF(AND(ISNUMBER(P744),ISNUMBER(Q744),P744&gt;0,ISNUMBER($B$100)),MAX(0,$B$100-3*SQRT($B$100/P744)),"")</f>
        <v/>
      </c>
      <c r="T744" s="11">
        <f>IF(AND(ISNUMBER(P744),ISNUMBER(Q744),P744&gt;0,ISNUMBER($B$100)),$B$100+3*SQRT($B$100/P744),"")</f>
        <v/>
      </c>
      <c r="U744" s="13">
        <f>IF(AND(ISNUMBER(R744),ISNUMBER(S744),ISNUMBER(T744)),IF(R744&gt;T744,"boven UCL",IF(R744&lt;S744,"onder LCL","")),"")</f>
        <v/>
      </c>
    </row>
    <row r="745">
      <c r="A745" t="n">
        <v>639</v>
      </c>
      <c r="B745" s="7" t="n"/>
      <c r="C745" s="11">
        <f>IF(AND(ISNUMBER(B745),ISNUMBER(B744)),ABS(B745-B744),"")</f>
        <v/>
      </c>
      <c r="D745" s="13">
        <f>IF(AND(ISNUMBER(B745),ISNUMBER($B$88),ISNUMBER($D$88)),IF(B745&gt;$D$88,"boven UCL",IF(B745&lt;$B$88,"onder LCL","")),"")</f>
        <v/>
      </c>
      <c r="E745" s="13">
        <f>IF(AND(ISNUMBER(C745),ISNUMBER($B$89),ISNUMBER($D$89)),IF(C745&gt;$D$89,"boven UCL",IF(C745&lt;$B$89,"onder LCL","")),"")</f>
        <v/>
      </c>
      <c r="G745" t="n">
        <v>639</v>
      </c>
      <c r="H745" s="7" t="n"/>
      <c r="I745" s="7" t="n"/>
      <c r="J745" s="11">
        <f>IF(AND(ISNUMBER(H745),ISNUMBER(I745),H745&gt;0,ISNUMBER($B$94)),I745/H745,"")</f>
        <v/>
      </c>
      <c r="K745" s="11">
        <f>IF(AND(ISNUMBER(H745),ISNUMBER(I745),H745&gt;0,ISNUMBER($B$94)),MAX(0,$B$94-3*SQRT($B$94*(1-$B$94)/H745)),"")</f>
        <v/>
      </c>
      <c r="L745" s="11">
        <f>IF(AND(ISNUMBER(H745),ISNUMBER(I745),H745&gt;0,ISNUMBER($B$94)),$B$94+3*SQRT($B$94*(1-$B$94)/H745),"")</f>
        <v/>
      </c>
      <c r="M745" s="13">
        <f>IF(AND(ISNUMBER(J745),ISNUMBER(K745),ISNUMBER(L745)),IF(J745&gt;L745,"boven UCL",IF(J745&lt;K745,"onder LCL","")),"")</f>
        <v/>
      </c>
      <c r="O745" t="n">
        <v>639</v>
      </c>
      <c r="P745" s="7" t="n"/>
      <c r="Q745" s="7" t="n"/>
      <c r="R745" s="11">
        <f>IF(AND(ISNUMBER(P745),ISNUMBER(Q745),P745&gt;0,ISNUMBER($B$100)),Q745/P745,"")</f>
        <v/>
      </c>
      <c r="S745" s="11">
        <f>IF(AND(ISNUMBER(P745),ISNUMBER(Q745),P745&gt;0,ISNUMBER($B$100)),MAX(0,$B$100-3*SQRT($B$100/P745)),"")</f>
        <v/>
      </c>
      <c r="T745" s="11">
        <f>IF(AND(ISNUMBER(P745),ISNUMBER(Q745),P745&gt;0,ISNUMBER($B$100)),$B$100+3*SQRT($B$100/P745),"")</f>
        <v/>
      </c>
      <c r="U745" s="13">
        <f>IF(AND(ISNUMBER(R745),ISNUMBER(S745),ISNUMBER(T745)),IF(R745&gt;T745,"boven UCL",IF(R745&lt;S745,"onder LCL","")),"")</f>
        <v/>
      </c>
    </row>
    <row r="746">
      <c r="A746" t="n">
        <v>640</v>
      </c>
      <c r="B746" s="7" t="n"/>
      <c r="C746" s="11">
        <f>IF(AND(ISNUMBER(B746),ISNUMBER(B745)),ABS(B746-B745),"")</f>
        <v/>
      </c>
      <c r="D746" s="13">
        <f>IF(AND(ISNUMBER(B746),ISNUMBER($B$88),ISNUMBER($D$88)),IF(B746&gt;$D$88,"boven UCL",IF(B746&lt;$B$88,"onder LCL","")),"")</f>
        <v/>
      </c>
      <c r="E746" s="13">
        <f>IF(AND(ISNUMBER(C746),ISNUMBER($B$89),ISNUMBER($D$89)),IF(C746&gt;$D$89,"boven UCL",IF(C746&lt;$B$89,"onder LCL","")),"")</f>
        <v/>
      </c>
      <c r="G746" t="n">
        <v>640</v>
      </c>
      <c r="H746" s="7" t="n"/>
      <c r="I746" s="7" t="n"/>
      <c r="J746" s="11">
        <f>IF(AND(ISNUMBER(H746),ISNUMBER(I746),H746&gt;0,ISNUMBER($B$94)),I746/H746,"")</f>
        <v/>
      </c>
      <c r="K746" s="11">
        <f>IF(AND(ISNUMBER(H746),ISNUMBER(I746),H746&gt;0,ISNUMBER($B$94)),MAX(0,$B$94-3*SQRT($B$94*(1-$B$94)/H746)),"")</f>
        <v/>
      </c>
      <c r="L746" s="11">
        <f>IF(AND(ISNUMBER(H746),ISNUMBER(I746),H746&gt;0,ISNUMBER($B$94)),$B$94+3*SQRT($B$94*(1-$B$94)/H746),"")</f>
        <v/>
      </c>
      <c r="M746" s="13">
        <f>IF(AND(ISNUMBER(J746),ISNUMBER(K746),ISNUMBER(L746)),IF(J746&gt;L746,"boven UCL",IF(J746&lt;K746,"onder LCL","")),"")</f>
        <v/>
      </c>
      <c r="O746" t="n">
        <v>640</v>
      </c>
      <c r="P746" s="7" t="n"/>
      <c r="Q746" s="7" t="n"/>
      <c r="R746" s="11">
        <f>IF(AND(ISNUMBER(P746),ISNUMBER(Q746),P746&gt;0,ISNUMBER($B$100)),Q746/P746,"")</f>
        <v/>
      </c>
      <c r="S746" s="11">
        <f>IF(AND(ISNUMBER(P746),ISNUMBER(Q746),P746&gt;0,ISNUMBER($B$100)),MAX(0,$B$100-3*SQRT($B$100/P746)),"")</f>
        <v/>
      </c>
      <c r="T746" s="11">
        <f>IF(AND(ISNUMBER(P746),ISNUMBER(Q746),P746&gt;0,ISNUMBER($B$100)),$B$100+3*SQRT($B$100/P746),"")</f>
        <v/>
      </c>
      <c r="U746" s="13">
        <f>IF(AND(ISNUMBER(R746),ISNUMBER(S746),ISNUMBER(T746)),IF(R746&gt;T746,"boven UCL",IF(R746&lt;S746,"onder LCL","")),"")</f>
        <v/>
      </c>
    </row>
    <row r="747">
      <c r="A747" t="n">
        <v>641</v>
      </c>
      <c r="B747" s="7" t="n"/>
      <c r="C747" s="11">
        <f>IF(AND(ISNUMBER(B747),ISNUMBER(B746)),ABS(B747-B746),"")</f>
        <v/>
      </c>
      <c r="D747" s="13">
        <f>IF(AND(ISNUMBER(B747),ISNUMBER($B$88),ISNUMBER($D$88)),IF(B747&gt;$D$88,"boven UCL",IF(B747&lt;$B$88,"onder LCL","")),"")</f>
        <v/>
      </c>
      <c r="E747" s="13">
        <f>IF(AND(ISNUMBER(C747),ISNUMBER($B$89),ISNUMBER($D$89)),IF(C747&gt;$D$89,"boven UCL",IF(C747&lt;$B$89,"onder LCL","")),"")</f>
        <v/>
      </c>
      <c r="G747" t="n">
        <v>641</v>
      </c>
      <c r="H747" s="7" t="n"/>
      <c r="I747" s="7" t="n"/>
      <c r="J747" s="11">
        <f>IF(AND(ISNUMBER(H747),ISNUMBER(I747),H747&gt;0,ISNUMBER($B$94)),I747/H747,"")</f>
        <v/>
      </c>
      <c r="K747" s="11">
        <f>IF(AND(ISNUMBER(H747),ISNUMBER(I747),H747&gt;0,ISNUMBER($B$94)),MAX(0,$B$94-3*SQRT($B$94*(1-$B$94)/H747)),"")</f>
        <v/>
      </c>
      <c r="L747" s="11">
        <f>IF(AND(ISNUMBER(H747),ISNUMBER(I747),H747&gt;0,ISNUMBER($B$94)),$B$94+3*SQRT($B$94*(1-$B$94)/H747),"")</f>
        <v/>
      </c>
      <c r="M747" s="13">
        <f>IF(AND(ISNUMBER(J747),ISNUMBER(K747),ISNUMBER(L747)),IF(J747&gt;L747,"boven UCL",IF(J747&lt;K747,"onder LCL","")),"")</f>
        <v/>
      </c>
      <c r="O747" t="n">
        <v>641</v>
      </c>
      <c r="P747" s="7" t="n"/>
      <c r="Q747" s="7" t="n"/>
      <c r="R747" s="11">
        <f>IF(AND(ISNUMBER(P747),ISNUMBER(Q747),P747&gt;0,ISNUMBER($B$100)),Q747/P747,"")</f>
        <v/>
      </c>
      <c r="S747" s="11">
        <f>IF(AND(ISNUMBER(P747),ISNUMBER(Q747),P747&gt;0,ISNUMBER($B$100)),MAX(0,$B$100-3*SQRT($B$100/P747)),"")</f>
        <v/>
      </c>
      <c r="T747" s="11">
        <f>IF(AND(ISNUMBER(P747),ISNUMBER(Q747),P747&gt;0,ISNUMBER($B$100)),$B$100+3*SQRT($B$100/P747),"")</f>
        <v/>
      </c>
      <c r="U747" s="13">
        <f>IF(AND(ISNUMBER(R747),ISNUMBER(S747),ISNUMBER(T747)),IF(R747&gt;T747,"boven UCL",IF(R747&lt;S747,"onder LCL","")),"")</f>
        <v/>
      </c>
    </row>
    <row r="748">
      <c r="A748" t="n">
        <v>642</v>
      </c>
      <c r="B748" s="7" t="n"/>
      <c r="C748" s="11">
        <f>IF(AND(ISNUMBER(B748),ISNUMBER(B747)),ABS(B748-B747),"")</f>
        <v/>
      </c>
      <c r="D748" s="13">
        <f>IF(AND(ISNUMBER(B748),ISNUMBER($B$88),ISNUMBER($D$88)),IF(B748&gt;$D$88,"boven UCL",IF(B748&lt;$B$88,"onder LCL","")),"")</f>
        <v/>
      </c>
      <c r="E748" s="13">
        <f>IF(AND(ISNUMBER(C748),ISNUMBER($B$89),ISNUMBER($D$89)),IF(C748&gt;$D$89,"boven UCL",IF(C748&lt;$B$89,"onder LCL","")),"")</f>
        <v/>
      </c>
      <c r="G748" t="n">
        <v>642</v>
      </c>
      <c r="H748" s="7" t="n"/>
      <c r="I748" s="7" t="n"/>
      <c r="J748" s="11">
        <f>IF(AND(ISNUMBER(H748),ISNUMBER(I748),H748&gt;0,ISNUMBER($B$94)),I748/H748,"")</f>
        <v/>
      </c>
      <c r="K748" s="11">
        <f>IF(AND(ISNUMBER(H748),ISNUMBER(I748),H748&gt;0,ISNUMBER($B$94)),MAX(0,$B$94-3*SQRT($B$94*(1-$B$94)/H748)),"")</f>
        <v/>
      </c>
      <c r="L748" s="11">
        <f>IF(AND(ISNUMBER(H748),ISNUMBER(I748),H748&gt;0,ISNUMBER($B$94)),$B$94+3*SQRT($B$94*(1-$B$94)/H748),"")</f>
        <v/>
      </c>
      <c r="M748" s="13">
        <f>IF(AND(ISNUMBER(J748),ISNUMBER(K748),ISNUMBER(L748)),IF(J748&gt;L748,"boven UCL",IF(J748&lt;K748,"onder LCL","")),"")</f>
        <v/>
      </c>
      <c r="O748" t="n">
        <v>642</v>
      </c>
      <c r="P748" s="7" t="n"/>
      <c r="Q748" s="7" t="n"/>
      <c r="R748" s="11">
        <f>IF(AND(ISNUMBER(P748),ISNUMBER(Q748),P748&gt;0,ISNUMBER($B$100)),Q748/P748,"")</f>
        <v/>
      </c>
      <c r="S748" s="11">
        <f>IF(AND(ISNUMBER(P748),ISNUMBER(Q748),P748&gt;0,ISNUMBER($B$100)),MAX(0,$B$100-3*SQRT($B$100/P748)),"")</f>
        <v/>
      </c>
      <c r="T748" s="11">
        <f>IF(AND(ISNUMBER(P748),ISNUMBER(Q748),P748&gt;0,ISNUMBER($B$100)),$B$100+3*SQRT($B$100/P748),"")</f>
        <v/>
      </c>
      <c r="U748" s="13">
        <f>IF(AND(ISNUMBER(R748),ISNUMBER(S748),ISNUMBER(T748)),IF(R748&gt;T748,"boven UCL",IF(R748&lt;S748,"onder LCL","")),"")</f>
        <v/>
      </c>
    </row>
    <row r="749">
      <c r="A749" t="n">
        <v>643</v>
      </c>
      <c r="B749" s="7" t="n"/>
      <c r="C749" s="11">
        <f>IF(AND(ISNUMBER(B749),ISNUMBER(B748)),ABS(B749-B748),"")</f>
        <v/>
      </c>
      <c r="D749" s="13">
        <f>IF(AND(ISNUMBER(B749),ISNUMBER($B$88),ISNUMBER($D$88)),IF(B749&gt;$D$88,"boven UCL",IF(B749&lt;$B$88,"onder LCL","")),"")</f>
        <v/>
      </c>
      <c r="E749" s="13">
        <f>IF(AND(ISNUMBER(C749),ISNUMBER($B$89),ISNUMBER($D$89)),IF(C749&gt;$D$89,"boven UCL",IF(C749&lt;$B$89,"onder LCL","")),"")</f>
        <v/>
      </c>
      <c r="G749" t="n">
        <v>643</v>
      </c>
      <c r="H749" s="7" t="n"/>
      <c r="I749" s="7" t="n"/>
      <c r="J749" s="11">
        <f>IF(AND(ISNUMBER(H749),ISNUMBER(I749),H749&gt;0,ISNUMBER($B$94)),I749/H749,"")</f>
        <v/>
      </c>
      <c r="K749" s="11">
        <f>IF(AND(ISNUMBER(H749),ISNUMBER(I749),H749&gt;0,ISNUMBER($B$94)),MAX(0,$B$94-3*SQRT($B$94*(1-$B$94)/H749)),"")</f>
        <v/>
      </c>
      <c r="L749" s="11">
        <f>IF(AND(ISNUMBER(H749),ISNUMBER(I749),H749&gt;0,ISNUMBER($B$94)),$B$94+3*SQRT($B$94*(1-$B$94)/H749),"")</f>
        <v/>
      </c>
      <c r="M749" s="13">
        <f>IF(AND(ISNUMBER(J749),ISNUMBER(K749),ISNUMBER(L749)),IF(J749&gt;L749,"boven UCL",IF(J749&lt;K749,"onder LCL","")),"")</f>
        <v/>
      </c>
      <c r="O749" t="n">
        <v>643</v>
      </c>
      <c r="P749" s="7" t="n"/>
      <c r="Q749" s="7" t="n"/>
      <c r="R749" s="11">
        <f>IF(AND(ISNUMBER(P749),ISNUMBER(Q749),P749&gt;0,ISNUMBER($B$100)),Q749/P749,"")</f>
        <v/>
      </c>
      <c r="S749" s="11">
        <f>IF(AND(ISNUMBER(P749),ISNUMBER(Q749),P749&gt;0,ISNUMBER($B$100)),MAX(0,$B$100-3*SQRT($B$100/P749)),"")</f>
        <v/>
      </c>
      <c r="T749" s="11">
        <f>IF(AND(ISNUMBER(P749),ISNUMBER(Q749),P749&gt;0,ISNUMBER($B$100)),$B$100+3*SQRT($B$100/P749),"")</f>
        <v/>
      </c>
      <c r="U749" s="13">
        <f>IF(AND(ISNUMBER(R749),ISNUMBER(S749),ISNUMBER(T749)),IF(R749&gt;T749,"boven UCL",IF(R749&lt;S749,"onder LCL","")),"")</f>
        <v/>
      </c>
    </row>
    <row r="750">
      <c r="A750" t="n">
        <v>644</v>
      </c>
      <c r="B750" s="7" t="n"/>
      <c r="C750" s="11">
        <f>IF(AND(ISNUMBER(B750),ISNUMBER(B749)),ABS(B750-B749),"")</f>
        <v/>
      </c>
      <c r="D750" s="13">
        <f>IF(AND(ISNUMBER(B750),ISNUMBER($B$88),ISNUMBER($D$88)),IF(B750&gt;$D$88,"boven UCL",IF(B750&lt;$B$88,"onder LCL","")),"")</f>
        <v/>
      </c>
      <c r="E750" s="13">
        <f>IF(AND(ISNUMBER(C750),ISNUMBER($B$89),ISNUMBER($D$89)),IF(C750&gt;$D$89,"boven UCL",IF(C750&lt;$B$89,"onder LCL","")),"")</f>
        <v/>
      </c>
      <c r="G750" t="n">
        <v>644</v>
      </c>
      <c r="H750" s="7" t="n"/>
      <c r="I750" s="7" t="n"/>
      <c r="J750" s="11">
        <f>IF(AND(ISNUMBER(H750),ISNUMBER(I750),H750&gt;0,ISNUMBER($B$94)),I750/H750,"")</f>
        <v/>
      </c>
      <c r="K750" s="11">
        <f>IF(AND(ISNUMBER(H750),ISNUMBER(I750),H750&gt;0,ISNUMBER($B$94)),MAX(0,$B$94-3*SQRT($B$94*(1-$B$94)/H750)),"")</f>
        <v/>
      </c>
      <c r="L750" s="11">
        <f>IF(AND(ISNUMBER(H750),ISNUMBER(I750),H750&gt;0,ISNUMBER($B$94)),$B$94+3*SQRT($B$94*(1-$B$94)/H750),"")</f>
        <v/>
      </c>
      <c r="M750" s="13">
        <f>IF(AND(ISNUMBER(J750),ISNUMBER(K750),ISNUMBER(L750)),IF(J750&gt;L750,"boven UCL",IF(J750&lt;K750,"onder LCL","")),"")</f>
        <v/>
      </c>
      <c r="O750" t="n">
        <v>644</v>
      </c>
      <c r="P750" s="7" t="n"/>
      <c r="Q750" s="7" t="n"/>
      <c r="R750" s="11">
        <f>IF(AND(ISNUMBER(P750),ISNUMBER(Q750),P750&gt;0,ISNUMBER($B$100)),Q750/P750,"")</f>
        <v/>
      </c>
      <c r="S750" s="11">
        <f>IF(AND(ISNUMBER(P750),ISNUMBER(Q750),P750&gt;0,ISNUMBER($B$100)),MAX(0,$B$100-3*SQRT($B$100/P750)),"")</f>
        <v/>
      </c>
      <c r="T750" s="11">
        <f>IF(AND(ISNUMBER(P750),ISNUMBER(Q750),P750&gt;0,ISNUMBER($B$100)),$B$100+3*SQRT($B$100/P750),"")</f>
        <v/>
      </c>
      <c r="U750" s="13">
        <f>IF(AND(ISNUMBER(R750),ISNUMBER(S750),ISNUMBER(T750)),IF(R750&gt;T750,"boven UCL",IF(R750&lt;S750,"onder LCL","")),"")</f>
        <v/>
      </c>
    </row>
    <row r="751">
      <c r="A751" t="n">
        <v>645</v>
      </c>
      <c r="B751" s="7" t="n"/>
      <c r="C751" s="11">
        <f>IF(AND(ISNUMBER(B751),ISNUMBER(B750)),ABS(B751-B750),"")</f>
        <v/>
      </c>
      <c r="D751" s="13">
        <f>IF(AND(ISNUMBER(B751),ISNUMBER($B$88),ISNUMBER($D$88)),IF(B751&gt;$D$88,"boven UCL",IF(B751&lt;$B$88,"onder LCL","")),"")</f>
        <v/>
      </c>
      <c r="E751" s="13">
        <f>IF(AND(ISNUMBER(C751),ISNUMBER($B$89),ISNUMBER($D$89)),IF(C751&gt;$D$89,"boven UCL",IF(C751&lt;$B$89,"onder LCL","")),"")</f>
        <v/>
      </c>
      <c r="G751" t="n">
        <v>645</v>
      </c>
      <c r="H751" s="7" t="n"/>
      <c r="I751" s="7" t="n"/>
      <c r="J751" s="11">
        <f>IF(AND(ISNUMBER(H751),ISNUMBER(I751),H751&gt;0,ISNUMBER($B$94)),I751/H751,"")</f>
        <v/>
      </c>
      <c r="K751" s="11">
        <f>IF(AND(ISNUMBER(H751),ISNUMBER(I751),H751&gt;0,ISNUMBER($B$94)),MAX(0,$B$94-3*SQRT($B$94*(1-$B$94)/H751)),"")</f>
        <v/>
      </c>
      <c r="L751" s="11">
        <f>IF(AND(ISNUMBER(H751),ISNUMBER(I751),H751&gt;0,ISNUMBER($B$94)),$B$94+3*SQRT($B$94*(1-$B$94)/H751),"")</f>
        <v/>
      </c>
      <c r="M751" s="13">
        <f>IF(AND(ISNUMBER(J751),ISNUMBER(K751),ISNUMBER(L751)),IF(J751&gt;L751,"boven UCL",IF(J751&lt;K751,"onder LCL","")),"")</f>
        <v/>
      </c>
      <c r="O751" t="n">
        <v>645</v>
      </c>
      <c r="P751" s="7" t="n"/>
      <c r="Q751" s="7" t="n"/>
      <c r="R751" s="11">
        <f>IF(AND(ISNUMBER(P751),ISNUMBER(Q751),P751&gt;0,ISNUMBER($B$100)),Q751/P751,"")</f>
        <v/>
      </c>
      <c r="S751" s="11">
        <f>IF(AND(ISNUMBER(P751),ISNUMBER(Q751),P751&gt;0,ISNUMBER($B$100)),MAX(0,$B$100-3*SQRT($B$100/P751)),"")</f>
        <v/>
      </c>
      <c r="T751" s="11">
        <f>IF(AND(ISNUMBER(P751),ISNUMBER(Q751),P751&gt;0,ISNUMBER($B$100)),$B$100+3*SQRT($B$100/P751),"")</f>
        <v/>
      </c>
      <c r="U751" s="13">
        <f>IF(AND(ISNUMBER(R751),ISNUMBER(S751),ISNUMBER(T751)),IF(R751&gt;T751,"boven UCL",IF(R751&lt;S751,"onder LCL","")),"")</f>
        <v/>
      </c>
    </row>
    <row r="752">
      <c r="A752" t="n">
        <v>646</v>
      </c>
      <c r="B752" s="7" t="n"/>
      <c r="C752" s="11">
        <f>IF(AND(ISNUMBER(B752),ISNUMBER(B751)),ABS(B752-B751),"")</f>
        <v/>
      </c>
      <c r="D752" s="13">
        <f>IF(AND(ISNUMBER(B752),ISNUMBER($B$88),ISNUMBER($D$88)),IF(B752&gt;$D$88,"boven UCL",IF(B752&lt;$B$88,"onder LCL","")),"")</f>
        <v/>
      </c>
      <c r="E752" s="13">
        <f>IF(AND(ISNUMBER(C752),ISNUMBER($B$89),ISNUMBER($D$89)),IF(C752&gt;$D$89,"boven UCL",IF(C752&lt;$B$89,"onder LCL","")),"")</f>
        <v/>
      </c>
      <c r="G752" t="n">
        <v>646</v>
      </c>
      <c r="H752" s="7" t="n"/>
      <c r="I752" s="7" t="n"/>
      <c r="J752" s="11">
        <f>IF(AND(ISNUMBER(H752),ISNUMBER(I752),H752&gt;0,ISNUMBER($B$94)),I752/H752,"")</f>
        <v/>
      </c>
      <c r="K752" s="11">
        <f>IF(AND(ISNUMBER(H752),ISNUMBER(I752),H752&gt;0,ISNUMBER($B$94)),MAX(0,$B$94-3*SQRT($B$94*(1-$B$94)/H752)),"")</f>
        <v/>
      </c>
      <c r="L752" s="11">
        <f>IF(AND(ISNUMBER(H752),ISNUMBER(I752),H752&gt;0,ISNUMBER($B$94)),$B$94+3*SQRT($B$94*(1-$B$94)/H752),"")</f>
        <v/>
      </c>
      <c r="M752" s="13">
        <f>IF(AND(ISNUMBER(J752),ISNUMBER(K752),ISNUMBER(L752)),IF(J752&gt;L752,"boven UCL",IF(J752&lt;K752,"onder LCL","")),"")</f>
        <v/>
      </c>
      <c r="O752" t="n">
        <v>646</v>
      </c>
      <c r="P752" s="7" t="n"/>
      <c r="Q752" s="7" t="n"/>
      <c r="R752" s="11">
        <f>IF(AND(ISNUMBER(P752),ISNUMBER(Q752),P752&gt;0,ISNUMBER($B$100)),Q752/P752,"")</f>
        <v/>
      </c>
      <c r="S752" s="11">
        <f>IF(AND(ISNUMBER(P752),ISNUMBER(Q752),P752&gt;0,ISNUMBER($B$100)),MAX(0,$B$100-3*SQRT($B$100/P752)),"")</f>
        <v/>
      </c>
      <c r="T752" s="11">
        <f>IF(AND(ISNUMBER(P752),ISNUMBER(Q752),P752&gt;0,ISNUMBER($B$100)),$B$100+3*SQRT($B$100/P752),"")</f>
        <v/>
      </c>
      <c r="U752" s="13">
        <f>IF(AND(ISNUMBER(R752),ISNUMBER(S752),ISNUMBER(T752)),IF(R752&gt;T752,"boven UCL",IF(R752&lt;S752,"onder LCL","")),"")</f>
        <v/>
      </c>
    </row>
    <row r="753">
      <c r="A753" t="n">
        <v>647</v>
      </c>
      <c r="B753" s="7" t="n"/>
      <c r="C753" s="11">
        <f>IF(AND(ISNUMBER(B753),ISNUMBER(B752)),ABS(B753-B752),"")</f>
        <v/>
      </c>
      <c r="D753" s="13">
        <f>IF(AND(ISNUMBER(B753),ISNUMBER($B$88),ISNUMBER($D$88)),IF(B753&gt;$D$88,"boven UCL",IF(B753&lt;$B$88,"onder LCL","")),"")</f>
        <v/>
      </c>
      <c r="E753" s="13">
        <f>IF(AND(ISNUMBER(C753),ISNUMBER($B$89),ISNUMBER($D$89)),IF(C753&gt;$D$89,"boven UCL",IF(C753&lt;$B$89,"onder LCL","")),"")</f>
        <v/>
      </c>
      <c r="G753" t="n">
        <v>647</v>
      </c>
      <c r="H753" s="7" t="n"/>
      <c r="I753" s="7" t="n"/>
      <c r="J753" s="11">
        <f>IF(AND(ISNUMBER(H753),ISNUMBER(I753),H753&gt;0,ISNUMBER($B$94)),I753/H753,"")</f>
        <v/>
      </c>
      <c r="K753" s="11">
        <f>IF(AND(ISNUMBER(H753),ISNUMBER(I753),H753&gt;0,ISNUMBER($B$94)),MAX(0,$B$94-3*SQRT($B$94*(1-$B$94)/H753)),"")</f>
        <v/>
      </c>
      <c r="L753" s="11">
        <f>IF(AND(ISNUMBER(H753),ISNUMBER(I753),H753&gt;0,ISNUMBER($B$94)),$B$94+3*SQRT($B$94*(1-$B$94)/H753),"")</f>
        <v/>
      </c>
      <c r="M753" s="13">
        <f>IF(AND(ISNUMBER(J753),ISNUMBER(K753),ISNUMBER(L753)),IF(J753&gt;L753,"boven UCL",IF(J753&lt;K753,"onder LCL","")),"")</f>
        <v/>
      </c>
      <c r="O753" t="n">
        <v>647</v>
      </c>
      <c r="P753" s="7" t="n"/>
      <c r="Q753" s="7" t="n"/>
      <c r="R753" s="11">
        <f>IF(AND(ISNUMBER(P753),ISNUMBER(Q753),P753&gt;0,ISNUMBER($B$100)),Q753/P753,"")</f>
        <v/>
      </c>
      <c r="S753" s="11">
        <f>IF(AND(ISNUMBER(P753),ISNUMBER(Q753),P753&gt;0,ISNUMBER($B$100)),MAX(0,$B$100-3*SQRT($B$100/P753)),"")</f>
        <v/>
      </c>
      <c r="T753" s="11">
        <f>IF(AND(ISNUMBER(P753),ISNUMBER(Q753),P753&gt;0,ISNUMBER($B$100)),$B$100+3*SQRT($B$100/P753),"")</f>
        <v/>
      </c>
      <c r="U753" s="13">
        <f>IF(AND(ISNUMBER(R753),ISNUMBER(S753),ISNUMBER(T753)),IF(R753&gt;T753,"boven UCL",IF(R753&lt;S753,"onder LCL","")),"")</f>
        <v/>
      </c>
    </row>
    <row r="754">
      <c r="A754" t="n">
        <v>648</v>
      </c>
      <c r="B754" s="7" t="n"/>
      <c r="C754" s="11">
        <f>IF(AND(ISNUMBER(B754),ISNUMBER(B753)),ABS(B754-B753),"")</f>
        <v/>
      </c>
      <c r="D754" s="13">
        <f>IF(AND(ISNUMBER(B754),ISNUMBER($B$88),ISNUMBER($D$88)),IF(B754&gt;$D$88,"boven UCL",IF(B754&lt;$B$88,"onder LCL","")),"")</f>
        <v/>
      </c>
      <c r="E754" s="13">
        <f>IF(AND(ISNUMBER(C754),ISNUMBER($B$89),ISNUMBER($D$89)),IF(C754&gt;$D$89,"boven UCL",IF(C754&lt;$B$89,"onder LCL","")),"")</f>
        <v/>
      </c>
      <c r="G754" t="n">
        <v>648</v>
      </c>
      <c r="H754" s="7" t="n"/>
      <c r="I754" s="7" t="n"/>
      <c r="J754" s="11">
        <f>IF(AND(ISNUMBER(H754),ISNUMBER(I754),H754&gt;0,ISNUMBER($B$94)),I754/H754,"")</f>
        <v/>
      </c>
      <c r="K754" s="11">
        <f>IF(AND(ISNUMBER(H754),ISNUMBER(I754),H754&gt;0,ISNUMBER($B$94)),MAX(0,$B$94-3*SQRT($B$94*(1-$B$94)/H754)),"")</f>
        <v/>
      </c>
      <c r="L754" s="11">
        <f>IF(AND(ISNUMBER(H754),ISNUMBER(I754),H754&gt;0,ISNUMBER($B$94)),$B$94+3*SQRT($B$94*(1-$B$94)/H754),"")</f>
        <v/>
      </c>
      <c r="M754" s="13">
        <f>IF(AND(ISNUMBER(J754),ISNUMBER(K754),ISNUMBER(L754)),IF(J754&gt;L754,"boven UCL",IF(J754&lt;K754,"onder LCL","")),"")</f>
        <v/>
      </c>
      <c r="O754" t="n">
        <v>648</v>
      </c>
      <c r="P754" s="7" t="n"/>
      <c r="Q754" s="7" t="n"/>
      <c r="R754" s="11">
        <f>IF(AND(ISNUMBER(P754),ISNUMBER(Q754),P754&gt;0,ISNUMBER($B$100)),Q754/P754,"")</f>
        <v/>
      </c>
      <c r="S754" s="11">
        <f>IF(AND(ISNUMBER(P754),ISNUMBER(Q754),P754&gt;0,ISNUMBER($B$100)),MAX(0,$B$100-3*SQRT($B$100/P754)),"")</f>
        <v/>
      </c>
      <c r="T754" s="11">
        <f>IF(AND(ISNUMBER(P754),ISNUMBER(Q754),P754&gt;0,ISNUMBER($B$100)),$B$100+3*SQRT($B$100/P754),"")</f>
        <v/>
      </c>
      <c r="U754" s="13">
        <f>IF(AND(ISNUMBER(R754),ISNUMBER(S754),ISNUMBER(T754)),IF(R754&gt;T754,"boven UCL",IF(R754&lt;S754,"onder LCL","")),"")</f>
        <v/>
      </c>
    </row>
    <row r="755">
      <c r="A755" t="n">
        <v>649</v>
      </c>
      <c r="B755" s="7" t="n"/>
      <c r="C755" s="11">
        <f>IF(AND(ISNUMBER(B755),ISNUMBER(B754)),ABS(B755-B754),"")</f>
        <v/>
      </c>
      <c r="D755" s="13">
        <f>IF(AND(ISNUMBER(B755),ISNUMBER($B$88),ISNUMBER($D$88)),IF(B755&gt;$D$88,"boven UCL",IF(B755&lt;$B$88,"onder LCL","")),"")</f>
        <v/>
      </c>
      <c r="E755" s="13">
        <f>IF(AND(ISNUMBER(C755),ISNUMBER($B$89),ISNUMBER($D$89)),IF(C755&gt;$D$89,"boven UCL",IF(C755&lt;$B$89,"onder LCL","")),"")</f>
        <v/>
      </c>
      <c r="G755" t="n">
        <v>649</v>
      </c>
      <c r="H755" s="7" t="n"/>
      <c r="I755" s="7" t="n"/>
      <c r="J755" s="11">
        <f>IF(AND(ISNUMBER(H755),ISNUMBER(I755),H755&gt;0,ISNUMBER($B$94)),I755/H755,"")</f>
        <v/>
      </c>
      <c r="K755" s="11">
        <f>IF(AND(ISNUMBER(H755),ISNUMBER(I755),H755&gt;0,ISNUMBER($B$94)),MAX(0,$B$94-3*SQRT($B$94*(1-$B$94)/H755)),"")</f>
        <v/>
      </c>
      <c r="L755" s="11">
        <f>IF(AND(ISNUMBER(H755),ISNUMBER(I755),H755&gt;0,ISNUMBER($B$94)),$B$94+3*SQRT($B$94*(1-$B$94)/H755),"")</f>
        <v/>
      </c>
      <c r="M755" s="13">
        <f>IF(AND(ISNUMBER(J755),ISNUMBER(K755),ISNUMBER(L755)),IF(J755&gt;L755,"boven UCL",IF(J755&lt;K755,"onder LCL","")),"")</f>
        <v/>
      </c>
      <c r="O755" t="n">
        <v>649</v>
      </c>
      <c r="P755" s="7" t="n"/>
      <c r="Q755" s="7" t="n"/>
      <c r="R755" s="11">
        <f>IF(AND(ISNUMBER(P755),ISNUMBER(Q755),P755&gt;0,ISNUMBER($B$100)),Q755/P755,"")</f>
        <v/>
      </c>
      <c r="S755" s="11">
        <f>IF(AND(ISNUMBER(P755),ISNUMBER(Q755),P755&gt;0,ISNUMBER($B$100)),MAX(0,$B$100-3*SQRT($B$100/P755)),"")</f>
        <v/>
      </c>
      <c r="T755" s="11">
        <f>IF(AND(ISNUMBER(P755),ISNUMBER(Q755),P755&gt;0,ISNUMBER($B$100)),$B$100+3*SQRT($B$100/P755),"")</f>
        <v/>
      </c>
      <c r="U755" s="13">
        <f>IF(AND(ISNUMBER(R755),ISNUMBER(S755),ISNUMBER(T755)),IF(R755&gt;T755,"boven UCL",IF(R755&lt;S755,"onder LCL","")),"")</f>
        <v/>
      </c>
    </row>
    <row r="756">
      <c r="A756" t="n">
        <v>650</v>
      </c>
      <c r="B756" s="7" t="n"/>
      <c r="C756" s="11">
        <f>IF(AND(ISNUMBER(B756),ISNUMBER(B755)),ABS(B756-B755),"")</f>
        <v/>
      </c>
      <c r="D756" s="13">
        <f>IF(AND(ISNUMBER(B756),ISNUMBER($B$88),ISNUMBER($D$88)),IF(B756&gt;$D$88,"boven UCL",IF(B756&lt;$B$88,"onder LCL","")),"")</f>
        <v/>
      </c>
      <c r="E756" s="13">
        <f>IF(AND(ISNUMBER(C756),ISNUMBER($B$89),ISNUMBER($D$89)),IF(C756&gt;$D$89,"boven UCL",IF(C756&lt;$B$89,"onder LCL","")),"")</f>
        <v/>
      </c>
      <c r="G756" t="n">
        <v>650</v>
      </c>
      <c r="H756" s="7" t="n"/>
      <c r="I756" s="7" t="n"/>
      <c r="J756" s="11">
        <f>IF(AND(ISNUMBER(H756),ISNUMBER(I756),H756&gt;0,ISNUMBER($B$94)),I756/H756,"")</f>
        <v/>
      </c>
      <c r="K756" s="11">
        <f>IF(AND(ISNUMBER(H756),ISNUMBER(I756),H756&gt;0,ISNUMBER($B$94)),MAX(0,$B$94-3*SQRT($B$94*(1-$B$94)/H756)),"")</f>
        <v/>
      </c>
      <c r="L756" s="11">
        <f>IF(AND(ISNUMBER(H756),ISNUMBER(I756),H756&gt;0,ISNUMBER($B$94)),$B$94+3*SQRT($B$94*(1-$B$94)/H756),"")</f>
        <v/>
      </c>
      <c r="M756" s="13">
        <f>IF(AND(ISNUMBER(J756),ISNUMBER(K756),ISNUMBER(L756)),IF(J756&gt;L756,"boven UCL",IF(J756&lt;K756,"onder LCL","")),"")</f>
        <v/>
      </c>
      <c r="O756" t="n">
        <v>650</v>
      </c>
      <c r="P756" s="7" t="n"/>
      <c r="Q756" s="7" t="n"/>
      <c r="R756" s="11">
        <f>IF(AND(ISNUMBER(P756),ISNUMBER(Q756),P756&gt;0,ISNUMBER($B$100)),Q756/P756,"")</f>
        <v/>
      </c>
      <c r="S756" s="11">
        <f>IF(AND(ISNUMBER(P756),ISNUMBER(Q756),P756&gt;0,ISNUMBER($B$100)),MAX(0,$B$100-3*SQRT($B$100/P756)),"")</f>
        <v/>
      </c>
      <c r="T756" s="11">
        <f>IF(AND(ISNUMBER(P756),ISNUMBER(Q756),P756&gt;0,ISNUMBER($B$100)),$B$100+3*SQRT($B$100/P756),"")</f>
        <v/>
      </c>
      <c r="U756" s="13">
        <f>IF(AND(ISNUMBER(R756),ISNUMBER(S756),ISNUMBER(T756)),IF(R756&gt;T756,"boven UCL",IF(R756&lt;S756,"onder LCL","")),"")</f>
        <v/>
      </c>
    </row>
    <row r="757">
      <c r="A757" t="n">
        <v>651</v>
      </c>
      <c r="B757" s="7" t="n"/>
      <c r="C757" s="11">
        <f>IF(AND(ISNUMBER(B757),ISNUMBER(B756)),ABS(B757-B756),"")</f>
        <v/>
      </c>
      <c r="D757" s="13">
        <f>IF(AND(ISNUMBER(B757),ISNUMBER($B$88),ISNUMBER($D$88)),IF(B757&gt;$D$88,"boven UCL",IF(B757&lt;$B$88,"onder LCL","")),"")</f>
        <v/>
      </c>
      <c r="E757" s="13">
        <f>IF(AND(ISNUMBER(C757),ISNUMBER($B$89),ISNUMBER($D$89)),IF(C757&gt;$D$89,"boven UCL",IF(C757&lt;$B$89,"onder LCL","")),"")</f>
        <v/>
      </c>
      <c r="G757" t="n">
        <v>651</v>
      </c>
      <c r="H757" s="7" t="n"/>
      <c r="I757" s="7" t="n"/>
      <c r="J757" s="11">
        <f>IF(AND(ISNUMBER(H757),ISNUMBER(I757),H757&gt;0,ISNUMBER($B$94)),I757/H757,"")</f>
        <v/>
      </c>
      <c r="K757" s="11">
        <f>IF(AND(ISNUMBER(H757),ISNUMBER(I757),H757&gt;0,ISNUMBER($B$94)),MAX(0,$B$94-3*SQRT($B$94*(1-$B$94)/H757)),"")</f>
        <v/>
      </c>
      <c r="L757" s="11">
        <f>IF(AND(ISNUMBER(H757),ISNUMBER(I757),H757&gt;0,ISNUMBER($B$94)),$B$94+3*SQRT($B$94*(1-$B$94)/H757),"")</f>
        <v/>
      </c>
      <c r="M757" s="13">
        <f>IF(AND(ISNUMBER(J757),ISNUMBER(K757),ISNUMBER(L757)),IF(J757&gt;L757,"boven UCL",IF(J757&lt;K757,"onder LCL","")),"")</f>
        <v/>
      </c>
      <c r="O757" t="n">
        <v>651</v>
      </c>
      <c r="P757" s="7" t="n"/>
      <c r="Q757" s="7" t="n"/>
      <c r="R757" s="11">
        <f>IF(AND(ISNUMBER(P757),ISNUMBER(Q757),P757&gt;0,ISNUMBER($B$100)),Q757/P757,"")</f>
        <v/>
      </c>
      <c r="S757" s="11">
        <f>IF(AND(ISNUMBER(P757),ISNUMBER(Q757),P757&gt;0,ISNUMBER($B$100)),MAX(0,$B$100-3*SQRT($B$100/P757)),"")</f>
        <v/>
      </c>
      <c r="T757" s="11">
        <f>IF(AND(ISNUMBER(P757),ISNUMBER(Q757),P757&gt;0,ISNUMBER($B$100)),$B$100+3*SQRT($B$100/P757),"")</f>
        <v/>
      </c>
      <c r="U757" s="13">
        <f>IF(AND(ISNUMBER(R757),ISNUMBER(S757),ISNUMBER(T757)),IF(R757&gt;T757,"boven UCL",IF(R757&lt;S757,"onder LCL","")),"")</f>
        <v/>
      </c>
    </row>
    <row r="758">
      <c r="A758" t="n">
        <v>652</v>
      </c>
      <c r="B758" s="7" t="n"/>
      <c r="C758" s="11">
        <f>IF(AND(ISNUMBER(B758),ISNUMBER(B757)),ABS(B758-B757),"")</f>
        <v/>
      </c>
      <c r="D758" s="13">
        <f>IF(AND(ISNUMBER(B758),ISNUMBER($B$88),ISNUMBER($D$88)),IF(B758&gt;$D$88,"boven UCL",IF(B758&lt;$B$88,"onder LCL","")),"")</f>
        <v/>
      </c>
      <c r="E758" s="13">
        <f>IF(AND(ISNUMBER(C758),ISNUMBER($B$89),ISNUMBER($D$89)),IF(C758&gt;$D$89,"boven UCL",IF(C758&lt;$B$89,"onder LCL","")),"")</f>
        <v/>
      </c>
      <c r="G758" t="n">
        <v>652</v>
      </c>
      <c r="H758" s="7" t="n"/>
      <c r="I758" s="7" t="n"/>
      <c r="J758" s="11">
        <f>IF(AND(ISNUMBER(H758),ISNUMBER(I758),H758&gt;0,ISNUMBER($B$94)),I758/H758,"")</f>
        <v/>
      </c>
      <c r="K758" s="11">
        <f>IF(AND(ISNUMBER(H758),ISNUMBER(I758),H758&gt;0,ISNUMBER($B$94)),MAX(0,$B$94-3*SQRT($B$94*(1-$B$94)/H758)),"")</f>
        <v/>
      </c>
      <c r="L758" s="11">
        <f>IF(AND(ISNUMBER(H758),ISNUMBER(I758),H758&gt;0,ISNUMBER($B$94)),$B$94+3*SQRT($B$94*(1-$B$94)/H758),"")</f>
        <v/>
      </c>
      <c r="M758" s="13">
        <f>IF(AND(ISNUMBER(J758),ISNUMBER(K758),ISNUMBER(L758)),IF(J758&gt;L758,"boven UCL",IF(J758&lt;K758,"onder LCL","")),"")</f>
        <v/>
      </c>
      <c r="O758" t="n">
        <v>652</v>
      </c>
      <c r="P758" s="7" t="n"/>
      <c r="Q758" s="7" t="n"/>
      <c r="R758" s="11">
        <f>IF(AND(ISNUMBER(P758),ISNUMBER(Q758),P758&gt;0,ISNUMBER($B$100)),Q758/P758,"")</f>
        <v/>
      </c>
      <c r="S758" s="11">
        <f>IF(AND(ISNUMBER(P758),ISNUMBER(Q758),P758&gt;0,ISNUMBER($B$100)),MAX(0,$B$100-3*SQRT($B$100/P758)),"")</f>
        <v/>
      </c>
      <c r="T758" s="11">
        <f>IF(AND(ISNUMBER(P758),ISNUMBER(Q758),P758&gt;0,ISNUMBER($B$100)),$B$100+3*SQRT($B$100/P758),"")</f>
        <v/>
      </c>
      <c r="U758" s="13">
        <f>IF(AND(ISNUMBER(R758),ISNUMBER(S758),ISNUMBER(T758)),IF(R758&gt;T758,"boven UCL",IF(R758&lt;S758,"onder LCL","")),"")</f>
        <v/>
      </c>
    </row>
    <row r="759">
      <c r="A759" t="n">
        <v>653</v>
      </c>
      <c r="B759" s="7" t="n"/>
      <c r="C759" s="11">
        <f>IF(AND(ISNUMBER(B759),ISNUMBER(B758)),ABS(B759-B758),"")</f>
        <v/>
      </c>
      <c r="D759" s="13">
        <f>IF(AND(ISNUMBER(B759),ISNUMBER($B$88),ISNUMBER($D$88)),IF(B759&gt;$D$88,"boven UCL",IF(B759&lt;$B$88,"onder LCL","")),"")</f>
        <v/>
      </c>
      <c r="E759" s="13">
        <f>IF(AND(ISNUMBER(C759),ISNUMBER($B$89),ISNUMBER($D$89)),IF(C759&gt;$D$89,"boven UCL",IF(C759&lt;$B$89,"onder LCL","")),"")</f>
        <v/>
      </c>
      <c r="G759" t="n">
        <v>653</v>
      </c>
      <c r="H759" s="7" t="n"/>
      <c r="I759" s="7" t="n"/>
      <c r="J759" s="11">
        <f>IF(AND(ISNUMBER(H759),ISNUMBER(I759),H759&gt;0,ISNUMBER($B$94)),I759/H759,"")</f>
        <v/>
      </c>
      <c r="K759" s="11">
        <f>IF(AND(ISNUMBER(H759),ISNUMBER(I759),H759&gt;0,ISNUMBER($B$94)),MAX(0,$B$94-3*SQRT($B$94*(1-$B$94)/H759)),"")</f>
        <v/>
      </c>
      <c r="L759" s="11">
        <f>IF(AND(ISNUMBER(H759),ISNUMBER(I759),H759&gt;0,ISNUMBER($B$94)),$B$94+3*SQRT($B$94*(1-$B$94)/H759),"")</f>
        <v/>
      </c>
      <c r="M759" s="13">
        <f>IF(AND(ISNUMBER(J759),ISNUMBER(K759),ISNUMBER(L759)),IF(J759&gt;L759,"boven UCL",IF(J759&lt;K759,"onder LCL","")),"")</f>
        <v/>
      </c>
      <c r="O759" t="n">
        <v>653</v>
      </c>
      <c r="P759" s="7" t="n"/>
      <c r="Q759" s="7" t="n"/>
      <c r="R759" s="11">
        <f>IF(AND(ISNUMBER(P759),ISNUMBER(Q759),P759&gt;0,ISNUMBER($B$100)),Q759/P759,"")</f>
        <v/>
      </c>
      <c r="S759" s="11">
        <f>IF(AND(ISNUMBER(P759),ISNUMBER(Q759),P759&gt;0,ISNUMBER($B$100)),MAX(0,$B$100-3*SQRT($B$100/P759)),"")</f>
        <v/>
      </c>
      <c r="T759" s="11">
        <f>IF(AND(ISNUMBER(P759),ISNUMBER(Q759),P759&gt;0,ISNUMBER($B$100)),$B$100+3*SQRT($B$100/P759),"")</f>
        <v/>
      </c>
      <c r="U759" s="13">
        <f>IF(AND(ISNUMBER(R759),ISNUMBER(S759),ISNUMBER(T759)),IF(R759&gt;T759,"boven UCL",IF(R759&lt;S759,"onder LCL","")),"")</f>
        <v/>
      </c>
    </row>
    <row r="760">
      <c r="A760" t="n">
        <v>654</v>
      </c>
      <c r="B760" s="7" t="n"/>
      <c r="C760" s="11">
        <f>IF(AND(ISNUMBER(B760),ISNUMBER(B759)),ABS(B760-B759),"")</f>
        <v/>
      </c>
      <c r="D760" s="13">
        <f>IF(AND(ISNUMBER(B760),ISNUMBER($B$88),ISNUMBER($D$88)),IF(B760&gt;$D$88,"boven UCL",IF(B760&lt;$B$88,"onder LCL","")),"")</f>
        <v/>
      </c>
      <c r="E760" s="13">
        <f>IF(AND(ISNUMBER(C760),ISNUMBER($B$89),ISNUMBER($D$89)),IF(C760&gt;$D$89,"boven UCL",IF(C760&lt;$B$89,"onder LCL","")),"")</f>
        <v/>
      </c>
      <c r="G760" t="n">
        <v>654</v>
      </c>
      <c r="H760" s="7" t="n"/>
      <c r="I760" s="7" t="n"/>
      <c r="J760" s="11">
        <f>IF(AND(ISNUMBER(H760),ISNUMBER(I760),H760&gt;0,ISNUMBER($B$94)),I760/H760,"")</f>
        <v/>
      </c>
      <c r="K760" s="11">
        <f>IF(AND(ISNUMBER(H760),ISNUMBER(I760),H760&gt;0,ISNUMBER($B$94)),MAX(0,$B$94-3*SQRT($B$94*(1-$B$94)/H760)),"")</f>
        <v/>
      </c>
      <c r="L760" s="11">
        <f>IF(AND(ISNUMBER(H760),ISNUMBER(I760),H760&gt;0,ISNUMBER($B$94)),$B$94+3*SQRT($B$94*(1-$B$94)/H760),"")</f>
        <v/>
      </c>
      <c r="M760" s="13">
        <f>IF(AND(ISNUMBER(J760),ISNUMBER(K760),ISNUMBER(L760)),IF(J760&gt;L760,"boven UCL",IF(J760&lt;K760,"onder LCL","")),"")</f>
        <v/>
      </c>
      <c r="O760" t="n">
        <v>654</v>
      </c>
      <c r="P760" s="7" t="n"/>
      <c r="Q760" s="7" t="n"/>
      <c r="R760" s="11">
        <f>IF(AND(ISNUMBER(P760),ISNUMBER(Q760),P760&gt;0,ISNUMBER($B$100)),Q760/P760,"")</f>
        <v/>
      </c>
      <c r="S760" s="11">
        <f>IF(AND(ISNUMBER(P760),ISNUMBER(Q760),P760&gt;0,ISNUMBER($B$100)),MAX(0,$B$100-3*SQRT($B$100/P760)),"")</f>
        <v/>
      </c>
      <c r="T760" s="11">
        <f>IF(AND(ISNUMBER(P760),ISNUMBER(Q760),P760&gt;0,ISNUMBER($B$100)),$B$100+3*SQRT($B$100/P760),"")</f>
        <v/>
      </c>
      <c r="U760" s="13">
        <f>IF(AND(ISNUMBER(R760),ISNUMBER(S760),ISNUMBER(T760)),IF(R760&gt;T760,"boven UCL",IF(R760&lt;S760,"onder LCL","")),"")</f>
        <v/>
      </c>
    </row>
    <row r="761">
      <c r="A761" t="n">
        <v>655</v>
      </c>
      <c r="B761" s="7" t="n"/>
      <c r="C761" s="11">
        <f>IF(AND(ISNUMBER(B761),ISNUMBER(B760)),ABS(B761-B760),"")</f>
        <v/>
      </c>
      <c r="D761" s="13">
        <f>IF(AND(ISNUMBER(B761),ISNUMBER($B$88),ISNUMBER($D$88)),IF(B761&gt;$D$88,"boven UCL",IF(B761&lt;$B$88,"onder LCL","")),"")</f>
        <v/>
      </c>
      <c r="E761" s="13">
        <f>IF(AND(ISNUMBER(C761),ISNUMBER($B$89),ISNUMBER($D$89)),IF(C761&gt;$D$89,"boven UCL",IF(C761&lt;$B$89,"onder LCL","")),"")</f>
        <v/>
      </c>
      <c r="G761" t="n">
        <v>655</v>
      </c>
      <c r="H761" s="7" t="n"/>
      <c r="I761" s="7" t="n"/>
      <c r="J761" s="11">
        <f>IF(AND(ISNUMBER(H761),ISNUMBER(I761),H761&gt;0,ISNUMBER($B$94)),I761/H761,"")</f>
        <v/>
      </c>
      <c r="K761" s="11">
        <f>IF(AND(ISNUMBER(H761),ISNUMBER(I761),H761&gt;0,ISNUMBER($B$94)),MAX(0,$B$94-3*SQRT($B$94*(1-$B$94)/H761)),"")</f>
        <v/>
      </c>
      <c r="L761" s="11">
        <f>IF(AND(ISNUMBER(H761),ISNUMBER(I761),H761&gt;0,ISNUMBER($B$94)),$B$94+3*SQRT($B$94*(1-$B$94)/H761),"")</f>
        <v/>
      </c>
      <c r="M761" s="13">
        <f>IF(AND(ISNUMBER(J761),ISNUMBER(K761),ISNUMBER(L761)),IF(J761&gt;L761,"boven UCL",IF(J761&lt;K761,"onder LCL","")),"")</f>
        <v/>
      </c>
      <c r="O761" t="n">
        <v>655</v>
      </c>
      <c r="P761" s="7" t="n"/>
      <c r="Q761" s="7" t="n"/>
      <c r="R761" s="11">
        <f>IF(AND(ISNUMBER(P761),ISNUMBER(Q761),P761&gt;0,ISNUMBER($B$100)),Q761/P761,"")</f>
        <v/>
      </c>
      <c r="S761" s="11">
        <f>IF(AND(ISNUMBER(P761),ISNUMBER(Q761),P761&gt;0,ISNUMBER($B$100)),MAX(0,$B$100-3*SQRT($B$100/P761)),"")</f>
        <v/>
      </c>
      <c r="T761" s="11">
        <f>IF(AND(ISNUMBER(P761),ISNUMBER(Q761),P761&gt;0,ISNUMBER($B$100)),$B$100+3*SQRT($B$100/P761),"")</f>
        <v/>
      </c>
      <c r="U761" s="13">
        <f>IF(AND(ISNUMBER(R761),ISNUMBER(S761),ISNUMBER(T761)),IF(R761&gt;T761,"boven UCL",IF(R761&lt;S761,"onder LCL","")),"")</f>
        <v/>
      </c>
    </row>
    <row r="762">
      <c r="A762" t="n">
        <v>656</v>
      </c>
      <c r="B762" s="7" t="n"/>
      <c r="C762" s="11">
        <f>IF(AND(ISNUMBER(B762),ISNUMBER(B761)),ABS(B762-B761),"")</f>
        <v/>
      </c>
      <c r="D762" s="13">
        <f>IF(AND(ISNUMBER(B762),ISNUMBER($B$88),ISNUMBER($D$88)),IF(B762&gt;$D$88,"boven UCL",IF(B762&lt;$B$88,"onder LCL","")),"")</f>
        <v/>
      </c>
      <c r="E762" s="13">
        <f>IF(AND(ISNUMBER(C762),ISNUMBER($B$89),ISNUMBER($D$89)),IF(C762&gt;$D$89,"boven UCL",IF(C762&lt;$B$89,"onder LCL","")),"")</f>
        <v/>
      </c>
      <c r="G762" t="n">
        <v>656</v>
      </c>
      <c r="H762" s="7" t="n"/>
      <c r="I762" s="7" t="n"/>
      <c r="J762" s="11">
        <f>IF(AND(ISNUMBER(H762),ISNUMBER(I762),H762&gt;0,ISNUMBER($B$94)),I762/H762,"")</f>
        <v/>
      </c>
      <c r="K762" s="11">
        <f>IF(AND(ISNUMBER(H762),ISNUMBER(I762),H762&gt;0,ISNUMBER($B$94)),MAX(0,$B$94-3*SQRT($B$94*(1-$B$94)/H762)),"")</f>
        <v/>
      </c>
      <c r="L762" s="11">
        <f>IF(AND(ISNUMBER(H762),ISNUMBER(I762),H762&gt;0,ISNUMBER($B$94)),$B$94+3*SQRT($B$94*(1-$B$94)/H762),"")</f>
        <v/>
      </c>
      <c r="M762" s="13">
        <f>IF(AND(ISNUMBER(J762),ISNUMBER(K762),ISNUMBER(L762)),IF(J762&gt;L762,"boven UCL",IF(J762&lt;K762,"onder LCL","")),"")</f>
        <v/>
      </c>
      <c r="O762" t="n">
        <v>656</v>
      </c>
      <c r="P762" s="7" t="n"/>
      <c r="Q762" s="7" t="n"/>
      <c r="R762" s="11">
        <f>IF(AND(ISNUMBER(P762),ISNUMBER(Q762),P762&gt;0,ISNUMBER($B$100)),Q762/P762,"")</f>
        <v/>
      </c>
      <c r="S762" s="11">
        <f>IF(AND(ISNUMBER(P762),ISNUMBER(Q762),P762&gt;0,ISNUMBER($B$100)),MAX(0,$B$100-3*SQRT($B$100/P762)),"")</f>
        <v/>
      </c>
      <c r="T762" s="11">
        <f>IF(AND(ISNUMBER(P762),ISNUMBER(Q762),P762&gt;0,ISNUMBER($B$100)),$B$100+3*SQRT($B$100/P762),"")</f>
        <v/>
      </c>
      <c r="U762" s="13">
        <f>IF(AND(ISNUMBER(R762),ISNUMBER(S762),ISNUMBER(T762)),IF(R762&gt;T762,"boven UCL",IF(R762&lt;S762,"onder LCL","")),"")</f>
        <v/>
      </c>
    </row>
    <row r="763">
      <c r="A763" t="n">
        <v>657</v>
      </c>
      <c r="B763" s="7" t="n"/>
      <c r="C763" s="11">
        <f>IF(AND(ISNUMBER(B763),ISNUMBER(B762)),ABS(B763-B762),"")</f>
        <v/>
      </c>
      <c r="D763" s="13">
        <f>IF(AND(ISNUMBER(B763),ISNUMBER($B$88),ISNUMBER($D$88)),IF(B763&gt;$D$88,"boven UCL",IF(B763&lt;$B$88,"onder LCL","")),"")</f>
        <v/>
      </c>
      <c r="E763" s="13">
        <f>IF(AND(ISNUMBER(C763),ISNUMBER($B$89),ISNUMBER($D$89)),IF(C763&gt;$D$89,"boven UCL",IF(C763&lt;$B$89,"onder LCL","")),"")</f>
        <v/>
      </c>
      <c r="G763" t="n">
        <v>657</v>
      </c>
      <c r="H763" s="7" t="n"/>
      <c r="I763" s="7" t="n"/>
      <c r="J763" s="11">
        <f>IF(AND(ISNUMBER(H763),ISNUMBER(I763),H763&gt;0,ISNUMBER($B$94)),I763/H763,"")</f>
        <v/>
      </c>
      <c r="K763" s="11">
        <f>IF(AND(ISNUMBER(H763),ISNUMBER(I763),H763&gt;0,ISNUMBER($B$94)),MAX(0,$B$94-3*SQRT($B$94*(1-$B$94)/H763)),"")</f>
        <v/>
      </c>
      <c r="L763" s="11">
        <f>IF(AND(ISNUMBER(H763),ISNUMBER(I763),H763&gt;0,ISNUMBER($B$94)),$B$94+3*SQRT($B$94*(1-$B$94)/H763),"")</f>
        <v/>
      </c>
      <c r="M763" s="13">
        <f>IF(AND(ISNUMBER(J763),ISNUMBER(K763),ISNUMBER(L763)),IF(J763&gt;L763,"boven UCL",IF(J763&lt;K763,"onder LCL","")),"")</f>
        <v/>
      </c>
      <c r="O763" t="n">
        <v>657</v>
      </c>
      <c r="P763" s="7" t="n"/>
      <c r="Q763" s="7" t="n"/>
      <c r="R763" s="11">
        <f>IF(AND(ISNUMBER(P763),ISNUMBER(Q763),P763&gt;0,ISNUMBER($B$100)),Q763/P763,"")</f>
        <v/>
      </c>
      <c r="S763" s="11">
        <f>IF(AND(ISNUMBER(P763),ISNUMBER(Q763),P763&gt;0,ISNUMBER($B$100)),MAX(0,$B$100-3*SQRT($B$100/P763)),"")</f>
        <v/>
      </c>
      <c r="T763" s="11">
        <f>IF(AND(ISNUMBER(P763),ISNUMBER(Q763),P763&gt;0,ISNUMBER($B$100)),$B$100+3*SQRT($B$100/P763),"")</f>
        <v/>
      </c>
      <c r="U763" s="13">
        <f>IF(AND(ISNUMBER(R763),ISNUMBER(S763),ISNUMBER(T763)),IF(R763&gt;T763,"boven UCL",IF(R763&lt;S763,"onder LCL","")),"")</f>
        <v/>
      </c>
    </row>
    <row r="764">
      <c r="A764" t="n">
        <v>658</v>
      </c>
      <c r="B764" s="7" t="n"/>
      <c r="C764" s="11">
        <f>IF(AND(ISNUMBER(B764),ISNUMBER(B763)),ABS(B764-B763),"")</f>
        <v/>
      </c>
      <c r="D764" s="13">
        <f>IF(AND(ISNUMBER(B764),ISNUMBER($B$88),ISNUMBER($D$88)),IF(B764&gt;$D$88,"boven UCL",IF(B764&lt;$B$88,"onder LCL","")),"")</f>
        <v/>
      </c>
      <c r="E764" s="13">
        <f>IF(AND(ISNUMBER(C764),ISNUMBER($B$89),ISNUMBER($D$89)),IF(C764&gt;$D$89,"boven UCL",IF(C764&lt;$B$89,"onder LCL","")),"")</f>
        <v/>
      </c>
      <c r="G764" t="n">
        <v>658</v>
      </c>
      <c r="H764" s="7" t="n"/>
      <c r="I764" s="7" t="n"/>
      <c r="J764" s="11">
        <f>IF(AND(ISNUMBER(H764),ISNUMBER(I764),H764&gt;0,ISNUMBER($B$94)),I764/H764,"")</f>
        <v/>
      </c>
      <c r="K764" s="11">
        <f>IF(AND(ISNUMBER(H764),ISNUMBER(I764),H764&gt;0,ISNUMBER($B$94)),MAX(0,$B$94-3*SQRT($B$94*(1-$B$94)/H764)),"")</f>
        <v/>
      </c>
      <c r="L764" s="11">
        <f>IF(AND(ISNUMBER(H764),ISNUMBER(I764),H764&gt;0,ISNUMBER($B$94)),$B$94+3*SQRT($B$94*(1-$B$94)/H764),"")</f>
        <v/>
      </c>
      <c r="M764" s="13">
        <f>IF(AND(ISNUMBER(J764),ISNUMBER(K764),ISNUMBER(L764)),IF(J764&gt;L764,"boven UCL",IF(J764&lt;K764,"onder LCL","")),"")</f>
        <v/>
      </c>
      <c r="O764" t="n">
        <v>658</v>
      </c>
      <c r="P764" s="7" t="n"/>
      <c r="Q764" s="7" t="n"/>
      <c r="R764" s="11">
        <f>IF(AND(ISNUMBER(P764),ISNUMBER(Q764),P764&gt;0,ISNUMBER($B$100)),Q764/P764,"")</f>
        <v/>
      </c>
      <c r="S764" s="11">
        <f>IF(AND(ISNUMBER(P764),ISNUMBER(Q764),P764&gt;0,ISNUMBER($B$100)),MAX(0,$B$100-3*SQRT($B$100/P764)),"")</f>
        <v/>
      </c>
      <c r="T764" s="11">
        <f>IF(AND(ISNUMBER(P764),ISNUMBER(Q764),P764&gt;0,ISNUMBER($B$100)),$B$100+3*SQRT($B$100/P764),"")</f>
        <v/>
      </c>
      <c r="U764" s="13">
        <f>IF(AND(ISNUMBER(R764),ISNUMBER(S764),ISNUMBER(T764)),IF(R764&gt;T764,"boven UCL",IF(R764&lt;S764,"onder LCL","")),"")</f>
        <v/>
      </c>
    </row>
    <row r="765">
      <c r="A765" t="n">
        <v>659</v>
      </c>
      <c r="B765" s="7" t="n"/>
      <c r="C765" s="11">
        <f>IF(AND(ISNUMBER(B765),ISNUMBER(B764)),ABS(B765-B764),"")</f>
        <v/>
      </c>
      <c r="D765" s="13">
        <f>IF(AND(ISNUMBER(B765),ISNUMBER($B$88),ISNUMBER($D$88)),IF(B765&gt;$D$88,"boven UCL",IF(B765&lt;$B$88,"onder LCL","")),"")</f>
        <v/>
      </c>
      <c r="E765" s="13">
        <f>IF(AND(ISNUMBER(C765),ISNUMBER($B$89),ISNUMBER($D$89)),IF(C765&gt;$D$89,"boven UCL",IF(C765&lt;$B$89,"onder LCL","")),"")</f>
        <v/>
      </c>
      <c r="G765" t="n">
        <v>659</v>
      </c>
      <c r="H765" s="7" t="n"/>
      <c r="I765" s="7" t="n"/>
      <c r="J765" s="11">
        <f>IF(AND(ISNUMBER(H765),ISNUMBER(I765),H765&gt;0,ISNUMBER($B$94)),I765/H765,"")</f>
        <v/>
      </c>
      <c r="K765" s="11">
        <f>IF(AND(ISNUMBER(H765),ISNUMBER(I765),H765&gt;0,ISNUMBER($B$94)),MAX(0,$B$94-3*SQRT($B$94*(1-$B$94)/H765)),"")</f>
        <v/>
      </c>
      <c r="L765" s="11">
        <f>IF(AND(ISNUMBER(H765),ISNUMBER(I765),H765&gt;0,ISNUMBER($B$94)),$B$94+3*SQRT($B$94*(1-$B$94)/H765),"")</f>
        <v/>
      </c>
      <c r="M765" s="13">
        <f>IF(AND(ISNUMBER(J765),ISNUMBER(K765),ISNUMBER(L765)),IF(J765&gt;L765,"boven UCL",IF(J765&lt;K765,"onder LCL","")),"")</f>
        <v/>
      </c>
      <c r="O765" t="n">
        <v>659</v>
      </c>
      <c r="P765" s="7" t="n"/>
      <c r="Q765" s="7" t="n"/>
      <c r="R765" s="11">
        <f>IF(AND(ISNUMBER(P765),ISNUMBER(Q765),P765&gt;0,ISNUMBER($B$100)),Q765/P765,"")</f>
        <v/>
      </c>
      <c r="S765" s="11">
        <f>IF(AND(ISNUMBER(P765),ISNUMBER(Q765),P765&gt;0,ISNUMBER($B$100)),MAX(0,$B$100-3*SQRT($B$100/P765)),"")</f>
        <v/>
      </c>
      <c r="T765" s="11">
        <f>IF(AND(ISNUMBER(P765),ISNUMBER(Q765),P765&gt;0,ISNUMBER($B$100)),$B$100+3*SQRT($B$100/P765),"")</f>
        <v/>
      </c>
      <c r="U765" s="13">
        <f>IF(AND(ISNUMBER(R765),ISNUMBER(S765),ISNUMBER(T765)),IF(R765&gt;T765,"boven UCL",IF(R765&lt;S765,"onder LCL","")),"")</f>
        <v/>
      </c>
    </row>
    <row r="766">
      <c r="A766" t="n">
        <v>660</v>
      </c>
      <c r="B766" s="7" t="n"/>
      <c r="C766" s="11">
        <f>IF(AND(ISNUMBER(B766),ISNUMBER(B765)),ABS(B766-B765),"")</f>
        <v/>
      </c>
      <c r="D766" s="13">
        <f>IF(AND(ISNUMBER(B766),ISNUMBER($B$88),ISNUMBER($D$88)),IF(B766&gt;$D$88,"boven UCL",IF(B766&lt;$B$88,"onder LCL","")),"")</f>
        <v/>
      </c>
      <c r="E766" s="13">
        <f>IF(AND(ISNUMBER(C766),ISNUMBER($B$89),ISNUMBER($D$89)),IF(C766&gt;$D$89,"boven UCL",IF(C766&lt;$B$89,"onder LCL","")),"")</f>
        <v/>
      </c>
      <c r="G766" t="n">
        <v>660</v>
      </c>
      <c r="H766" s="7" t="n"/>
      <c r="I766" s="7" t="n"/>
      <c r="J766" s="11">
        <f>IF(AND(ISNUMBER(H766),ISNUMBER(I766),H766&gt;0,ISNUMBER($B$94)),I766/H766,"")</f>
        <v/>
      </c>
      <c r="K766" s="11">
        <f>IF(AND(ISNUMBER(H766),ISNUMBER(I766),H766&gt;0,ISNUMBER($B$94)),MAX(0,$B$94-3*SQRT($B$94*(1-$B$94)/H766)),"")</f>
        <v/>
      </c>
      <c r="L766" s="11">
        <f>IF(AND(ISNUMBER(H766),ISNUMBER(I766),H766&gt;0,ISNUMBER($B$94)),$B$94+3*SQRT($B$94*(1-$B$94)/H766),"")</f>
        <v/>
      </c>
      <c r="M766" s="13">
        <f>IF(AND(ISNUMBER(J766),ISNUMBER(K766),ISNUMBER(L766)),IF(J766&gt;L766,"boven UCL",IF(J766&lt;K766,"onder LCL","")),"")</f>
        <v/>
      </c>
      <c r="O766" t="n">
        <v>660</v>
      </c>
      <c r="P766" s="7" t="n"/>
      <c r="Q766" s="7" t="n"/>
      <c r="R766" s="11">
        <f>IF(AND(ISNUMBER(P766),ISNUMBER(Q766),P766&gt;0,ISNUMBER($B$100)),Q766/P766,"")</f>
        <v/>
      </c>
      <c r="S766" s="11">
        <f>IF(AND(ISNUMBER(P766),ISNUMBER(Q766),P766&gt;0,ISNUMBER($B$100)),MAX(0,$B$100-3*SQRT($B$100/P766)),"")</f>
        <v/>
      </c>
      <c r="T766" s="11">
        <f>IF(AND(ISNUMBER(P766),ISNUMBER(Q766),P766&gt;0,ISNUMBER($B$100)),$B$100+3*SQRT($B$100/P766),"")</f>
        <v/>
      </c>
      <c r="U766" s="13">
        <f>IF(AND(ISNUMBER(R766),ISNUMBER(S766),ISNUMBER(T766)),IF(R766&gt;T766,"boven UCL",IF(R766&lt;S766,"onder LCL","")),"")</f>
        <v/>
      </c>
    </row>
    <row r="767">
      <c r="A767" t="n">
        <v>661</v>
      </c>
      <c r="B767" s="7" t="n"/>
      <c r="C767" s="11">
        <f>IF(AND(ISNUMBER(B767),ISNUMBER(B766)),ABS(B767-B766),"")</f>
        <v/>
      </c>
      <c r="D767" s="13">
        <f>IF(AND(ISNUMBER(B767),ISNUMBER($B$88),ISNUMBER($D$88)),IF(B767&gt;$D$88,"boven UCL",IF(B767&lt;$B$88,"onder LCL","")),"")</f>
        <v/>
      </c>
      <c r="E767" s="13">
        <f>IF(AND(ISNUMBER(C767),ISNUMBER($B$89),ISNUMBER($D$89)),IF(C767&gt;$D$89,"boven UCL",IF(C767&lt;$B$89,"onder LCL","")),"")</f>
        <v/>
      </c>
      <c r="G767" t="n">
        <v>661</v>
      </c>
      <c r="H767" s="7" t="n"/>
      <c r="I767" s="7" t="n"/>
      <c r="J767" s="11">
        <f>IF(AND(ISNUMBER(H767),ISNUMBER(I767),H767&gt;0,ISNUMBER($B$94)),I767/H767,"")</f>
        <v/>
      </c>
      <c r="K767" s="11">
        <f>IF(AND(ISNUMBER(H767),ISNUMBER(I767),H767&gt;0,ISNUMBER($B$94)),MAX(0,$B$94-3*SQRT($B$94*(1-$B$94)/H767)),"")</f>
        <v/>
      </c>
      <c r="L767" s="11">
        <f>IF(AND(ISNUMBER(H767),ISNUMBER(I767),H767&gt;0,ISNUMBER($B$94)),$B$94+3*SQRT($B$94*(1-$B$94)/H767),"")</f>
        <v/>
      </c>
      <c r="M767" s="13">
        <f>IF(AND(ISNUMBER(J767),ISNUMBER(K767),ISNUMBER(L767)),IF(J767&gt;L767,"boven UCL",IF(J767&lt;K767,"onder LCL","")),"")</f>
        <v/>
      </c>
      <c r="O767" t="n">
        <v>661</v>
      </c>
      <c r="P767" s="7" t="n"/>
      <c r="Q767" s="7" t="n"/>
      <c r="R767" s="11">
        <f>IF(AND(ISNUMBER(P767),ISNUMBER(Q767),P767&gt;0,ISNUMBER($B$100)),Q767/P767,"")</f>
        <v/>
      </c>
      <c r="S767" s="11">
        <f>IF(AND(ISNUMBER(P767),ISNUMBER(Q767),P767&gt;0,ISNUMBER($B$100)),MAX(0,$B$100-3*SQRT($B$100/P767)),"")</f>
        <v/>
      </c>
      <c r="T767" s="11">
        <f>IF(AND(ISNUMBER(P767),ISNUMBER(Q767),P767&gt;0,ISNUMBER($B$100)),$B$100+3*SQRT($B$100/P767),"")</f>
        <v/>
      </c>
      <c r="U767" s="13">
        <f>IF(AND(ISNUMBER(R767),ISNUMBER(S767),ISNUMBER(T767)),IF(R767&gt;T767,"boven UCL",IF(R767&lt;S767,"onder LCL","")),"")</f>
        <v/>
      </c>
    </row>
    <row r="768">
      <c r="A768" t="n">
        <v>662</v>
      </c>
      <c r="B768" s="7" t="n"/>
      <c r="C768" s="11">
        <f>IF(AND(ISNUMBER(B768),ISNUMBER(B767)),ABS(B768-B767),"")</f>
        <v/>
      </c>
      <c r="D768" s="13">
        <f>IF(AND(ISNUMBER(B768),ISNUMBER($B$88),ISNUMBER($D$88)),IF(B768&gt;$D$88,"boven UCL",IF(B768&lt;$B$88,"onder LCL","")),"")</f>
        <v/>
      </c>
      <c r="E768" s="13">
        <f>IF(AND(ISNUMBER(C768),ISNUMBER($B$89),ISNUMBER($D$89)),IF(C768&gt;$D$89,"boven UCL",IF(C768&lt;$B$89,"onder LCL","")),"")</f>
        <v/>
      </c>
      <c r="G768" t="n">
        <v>662</v>
      </c>
      <c r="H768" s="7" t="n"/>
      <c r="I768" s="7" t="n"/>
      <c r="J768" s="11">
        <f>IF(AND(ISNUMBER(H768),ISNUMBER(I768),H768&gt;0,ISNUMBER($B$94)),I768/H768,"")</f>
        <v/>
      </c>
      <c r="K768" s="11">
        <f>IF(AND(ISNUMBER(H768),ISNUMBER(I768),H768&gt;0,ISNUMBER($B$94)),MAX(0,$B$94-3*SQRT($B$94*(1-$B$94)/H768)),"")</f>
        <v/>
      </c>
      <c r="L768" s="11">
        <f>IF(AND(ISNUMBER(H768),ISNUMBER(I768),H768&gt;0,ISNUMBER($B$94)),$B$94+3*SQRT($B$94*(1-$B$94)/H768),"")</f>
        <v/>
      </c>
      <c r="M768" s="13">
        <f>IF(AND(ISNUMBER(J768),ISNUMBER(K768),ISNUMBER(L768)),IF(J768&gt;L768,"boven UCL",IF(J768&lt;K768,"onder LCL","")),"")</f>
        <v/>
      </c>
      <c r="O768" t="n">
        <v>662</v>
      </c>
      <c r="P768" s="7" t="n"/>
      <c r="Q768" s="7" t="n"/>
      <c r="R768" s="11">
        <f>IF(AND(ISNUMBER(P768),ISNUMBER(Q768),P768&gt;0,ISNUMBER($B$100)),Q768/P768,"")</f>
        <v/>
      </c>
      <c r="S768" s="11">
        <f>IF(AND(ISNUMBER(P768),ISNUMBER(Q768),P768&gt;0,ISNUMBER($B$100)),MAX(0,$B$100-3*SQRT($B$100/P768)),"")</f>
        <v/>
      </c>
      <c r="T768" s="11">
        <f>IF(AND(ISNUMBER(P768),ISNUMBER(Q768),P768&gt;0,ISNUMBER($B$100)),$B$100+3*SQRT($B$100/P768),"")</f>
        <v/>
      </c>
      <c r="U768" s="13">
        <f>IF(AND(ISNUMBER(R768),ISNUMBER(S768),ISNUMBER(T768)),IF(R768&gt;T768,"boven UCL",IF(R768&lt;S768,"onder LCL","")),"")</f>
        <v/>
      </c>
    </row>
    <row r="769">
      <c r="A769" t="n">
        <v>663</v>
      </c>
      <c r="B769" s="7" t="n"/>
      <c r="C769" s="11">
        <f>IF(AND(ISNUMBER(B769),ISNUMBER(B768)),ABS(B769-B768),"")</f>
        <v/>
      </c>
      <c r="D769" s="13">
        <f>IF(AND(ISNUMBER(B769),ISNUMBER($B$88),ISNUMBER($D$88)),IF(B769&gt;$D$88,"boven UCL",IF(B769&lt;$B$88,"onder LCL","")),"")</f>
        <v/>
      </c>
      <c r="E769" s="13">
        <f>IF(AND(ISNUMBER(C769),ISNUMBER($B$89),ISNUMBER($D$89)),IF(C769&gt;$D$89,"boven UCL",IF(C769&lt;$B$89,"onder LCL","")),"")</f>
        <v/>
      </c>
      <c r="G769" t="n">
        <v>663</v>
      </c>
      <c r="H769" s="7" t="n"/>
      <c r="I769" s="7" t="n"/>
      <c r="J769" s="11">
        <f>IF(AND(ISNUMBER(H769),ISNUMBER(I769),H769&gt;0,ISNUMBER($B$94)),I769/H769,"")</f>
        <v/>
      </c>
      <c r="K769" s="11">
        <f>IF(AND(ISNUMBER(H769),ISNUMBER(I769),H769&gt;0,ISNUMBER($B$94)),MAX(0,$B$94-3*SQRT($B$94*(1-$B$94)/H769)),"")</f>
        <v/>
      </c>
      <c r="L769" s="11">
        <f>IF(AND(ISNUMBER(H769),ISNUMBER(I769),H769&gt;0,ISNUMBER($B$94)),$B$94+3*SQRT($B$94*(1-$B$94)/H769),"")</f>
        <v/>
      </c>
      <c r="M769" s="13">
        <f>IF(AND(ISNUMBER(J769),ISNUMBER(K769),ISNUMBER(L769)),IF(J769&gt;L769,"boven UCL",IF(J769&lt;K769,"onder LCL","")),"")</f>
        <v/>
      </c>
      <c r="O769" t="n">
        <v>663</v>
      </c>
      <c r="P769" s="7" t="n"/>
      <c r="Q769" s="7" t="n"/>
      <c r="R769" s="11">
        <f>IF(AND(ISNUMBER(P769),ISNUMBER(Q769),P769&gt;0,ISNUMBER($B$100)),Q769/P769,"")</f>
        <v/>
      </c>
      <c r="S769" s="11">
        <f>IF(AND(ISNUMBER(P769),ISNUMBER(Q769),P769&gt;0,ISNUMBER($B$100)),MAX(0,$B$100-3*SQRT($B$100/P769)),"")</f>
        <v/>
      </c>
      <c r="T769" s="11">
        <f>IF(AND(ISNUMBER(P769),ISNUMBER(Q769),P769&gt;0,ISNUMBER($B$100)),$B$100+3*SQRT($B$100/P769),"")</f>
        <v/>
      </c>
      <c r="U769" s="13">
        <f>IF(AND(ISNUMBER(R769),ISNUMBER(S769),ISNUMBER(T769)),IF(R769&gt;T769,"boven UCL",IF(R769&lt;S769,"onder LCL","")),"")</f>
        <v/>
      </c>
    </row>
    <row r="770">
      <c r="A770" t="n">
        <v>664</v>
      </c>
      <c r="B770" s="7" t="n"/>
      <c r="C770" s="11">
        <f>IF(AND(ISNUMBER(B770),ISNUMBER(B769)),ABS(B770-B769),"")</f>
        <v/>
      </c>
      <c r="D770" s="13">
        <f>IF(AND(ISNUMBER(B770),ISNUMBER($B$88),ISNUMBER($D$88)),IF(B770&gt;$D$88,"boven UCL",IF(B770&lt;$B$88,"onder LCL","")),"")</f>
        <v/>
      </c>
      <c r="E770" s="13">
        <f>IF(AND(ISNUMBER(C770),ISNUMBER($B$89),ISNUMBER($D$89)),IF(C770&gt;$D$89,"boven UCL",IF(C770&lt;$B$89,"onder LCL","")),"")</f>
        <v/>
      </c>
      <c r="G770" t="n">
        <v>664</v>
      </c>
      <c r="H770" s="7" t="n"/>
      <c r="I770" s="7" t="n"/>
      <c r="J770" s="11">
        <f>IF(AND(ISNUMBER(H770),ISNUMBER(I770),H770&gt;0,ISNUMBER($B$94)),I770/H770,"")</f>
        <v/>
      </c>
      <c r="K770" s="11">
        <f>IF(AND(ISNUMBER(H770),ISNUMBER(I770),H770&gt;0,ISNUMBER($B$94)),MAX(0,$B$94-3*SQRT($B$94*(1-$B$94)/H770)),"")</f>
        <v/>
      </c>
      <c r="L770" s="11">
        <f>IF(AND(ISNUMBER(H770),ISNUMBER(I770),H770&gt;0,ISNUMBER($B$94)),$B$94+3*SQRT($B$94*(1-$B$94)/H770),"")</f>
        <v/>
      </c>
      <c r="M770" s="13">
        <f>IF(AND(ISNUMBER(J770),ISNUMBER(K770),ISNUMBER(L770)),IF(J770&gt;L770,"boven UCL",IF(J770&lt;K770,"onder LCL","")),"")</f>
        <v/>
      </c>
      <c r="O770" t="n">
        <v>664</v>
      </c>
      <c r="P770" s="7" t="n"/>
      <c r="Q770" s="7" t="n"/>
      <c r="R770" s="11">
        <f>IF(AND(ISNUMBER(P770),ISNUMBER(Q770),P770&gt;0,ISNUMBER($B$100)),Q770/P770,"")</f>
        <v/>
      </c>
      <c r="S770" s="11">
        <f>IF(AND(ISNUMBER(P770),ISNUMBER(Q770),P770&gt;0,ISNUMBER($B$100)),MAX(0,$B$100-3*SQRT($B$100/P770)),"")</f>
        <v/>
      </c>
      <c r="T770" s="11">
        <f>IF(AND(ISNUMBER(P770),ISNUMBER(Q770),P770&gt;0,ISNUMBER($B$100)),$B$100+3*SQRT($B$100/P770),"")</f>
        <v/>
      </c>
      <c r="U770" s="13">
        <f>IF(AND(ISNUMBER(R770),ISNUMBER(S770),ISNUMBER(T770)),IF(R770&gt;T770,"boven UCL",IF(R770&lt;S770,"onder LCL","")),"")</f>
        <v/>
      </c>
    </row>
    <row r="771">
      <c r="A771" t="n">
        <v>665</v>
      </c>
      <c r="B771" s="7" t="n"/>
      <c r="C771" s="11">
        <f>IF(AND(ISNUMBER(B771),ISNUMBER(B770)),ABS(B771-B770),"")</f>
        <v/>
      </c>
      <c r="D771" s="13">
        <f>IF(AND(ISNUMBER(B771),ISNUMBER($B$88),ISNUMBER($D$88)),IF(B771&gt;$D$88,"boven UCL",IF(B771&lt;$B$88,"onder LCL","")),"")</f>
        <v/>
      </c>
      <c r="E771" s="13">
        <f>IF(AND(ISNUMBER(C771),ISNUMBER($B$89),ISNUMBER($D$89)),IF(C771&gt;$D$89,"boven UCL",IF(C771&lt;$B$89,"onder LCL","")),"")</f>
        <v/>
      </c>
      <c r="G771" t="n">
        <v>665</v>
      </c>
      <c r="H771" s="7" t="n"/>
      <c r="I771" s="7" t="n"/>
      <c r="J771" s="11">
        <f>IF(AND(ISNUMBER(H771),ISNUMBER(I771),H771&gt;0,ISNUMBER($B$94)),I771/H771,"")</f>
        <v/>
      </c>
      <c r="K771" s="11">
        <f>IF(AND(ISNUMBER(H771),ISNUMBER(I771),H771&gt;0,ISNUMBER($B$94)),MAX(0,$B$94-3*SQRT($B$94*(1-$B$94)/H771)),"")</f>
        <v/>
      </c>
      <c r="L771" s="11">
        <f>IF(AND(ISNUMBER(H771),ISNUMBER(I771),H771&gt;0,ISNUMBER($B$94)),$B$94+3*SQRT($B$94*(1-$B$94)/H771),"")</f>
        <v/>
      </c>
      <c r="M771" s="13">
        <f>IF(AND(ISNUMBER(J771),ISNUMBER(K771),ISNUMBER(L771)),IF(J771&gt;L771,"boven UCL",IF(J771&lt;K771,"onder LCL","")),"")</f>
        <v/>
      </c>
      <c r="O771" t="n">
        <v>665</v>
      </c>
      <c r="P771" s="7" t="n"/>
      <c r="Q771" s="7" t="n"/>
      <c r="R771" s="11">
        <f>IF(AND(ISNUMBER(P771),ISNUMBER(Q771),P771&gt;0,ISNUMBER($B$100)),Q771/P771,"")</f>
        <v/>
      </c>
      <c r="S771" s="11">
        <f>IF(AND(ISNUMBER(P771),ISNUMBER(Q771),P771&gt;0,ISNUMBER($B$100)),MAX(0,$B$100-3*SQRT($B$100/P771)),"")</f>
        <v/>
      </c>
      <c r="T771" s="11">
        <f>IF(AND(ISNUMBER(P771),ISNUMBER(Q771),P771&gt;0,ISNUMBER($B$100)),$B$100+3*SQRT($B$100/P771),"")</f>
        <v/>
      </c>
      <c r="U771" s="13">
        <f>IF(AND(ISNUMBER(R771),ISNUMBER(S771),ISNUMBER(T771)),IF(R771&gt;T771,"boven UCL",IF(R771&lt;S771,"onder LCL","")),"")</f>
        <v/>
      </c>
    </row>
    <row r="772">
      <c r="A772" t="n">
        <v>666</v>
      </c>
      <c r="B772" s="7" t="n"/>
      <c r="C772" s="11">
        <f>IF(AND(ISNUMBER(B772),ISNUMBER(B771)),ABS(B772-B771),"")</f>
        <v/>
      </c>
      <c r="D772" s="13">
        <f>IF(AND(ISNUMBER(B772),ISNUMBER($B$88),ISNUMBER($D$88)),IF(B772&gt;$D$88,"boven UCL",IF(B772&lt;$B$88,"onder LCL","")),"")</f>
        <v/>
      </c>
      <c r="E772" s="13">
        <f>IF(AND(ISNUMBER(C772),ISNUMBER($B$89),ISNUMBER($D$89)),IF(C772&gt;$D$89,"boven UCL",IF(C772&lt;$B$89,"onder LCL","")),"")</f>
        <v/>
      </c>
      <c r="G772" t="n">
        <v>666</v>
      </c>
      <c r="H772" s="7" t="n"/>
      <c r="I772" s="7" t="n"/>
      <c r="J772" s="11">
        <f>IF(AND(ISNUMBER(H772),ISNUMBER(I772),H772&gt;0,ISNUMBER($B$94)),I772/H772,"")</f>
        <v/>
      </c>
      <c r="K772" s="11">
        <f>IF(AND(ISNUMBER(H772),ISNUMBER(I772),H772&gt;0,ISNUMBER($B$94)),MAX(0,$B$94-3*SQRT($B$94*(1-$B$94)/H772)),"")</f>
        <v/>
      </c>
      <c r="L772" s="11">
        <f>IF(AND(ISNUMBER(H772),ISNUMBER(I772),H772&gt;0,ISNUMBER($B$94)),$B$94+3*SQRT($B$94*(1-$B$94)/H772),"")</f>
        <v/>
      </c>
      <c r="M772" s="13">
        <f>IF(AND(ISNUMBER(J772),ISNUMBER(K772),ISNUMBER(L772)),IF(J772&gt;L772,"boven UCL",IF(J772&lt;K772,"onder LCL","")),"")</f>
        <v/>
      </c>
      <c r="O772" t="n">
        <v>666</v>
      </c>
      <c r="P772" s="7" t="n"/>
      <c r="Q772" s="7" t="n"/>
      <c r="R772" s="11">
        <f>IF(AND(ISNUMBER(P772),ISNUMBER(Q772),P772&gt;0,ISNUMBER($B$100)),Q772/P772,"")</f>
        <v/>
      </c>
      <c r="S772" s="11">
        <f>IF(AND(ISNUMBER(P772),ISNUMBER(Q772),P772&gt;0,ISNUMBER($B$100)),MAX(0,$B$100-3*SQRT($B$100/P772)),"")</f>
        <v/>
      </c>
      <c r="T772" s="11">
        <f>IF(AND(ISNUMBER(P772),ISNUMBER(Q772),P772&gt;0,ISNUMBER($B$100)),$B$100+3*SQRT($B$100/P772),"")</f>
        <v/>
      </c>
      <c r="U772" s="13">
        <f>IF(AND(ISNUMBER(R772),ISNUMBER(S772),ISNUMBER(T772)),IF(R772&gt;T772,"boven UCL",IF(R772&lt;S772,"onder LCL","")),"")</f>
        <v/>
      </c>
    </row>
    <row r="773">
      <c r="A773" t="n">
        <v>667</v>
      </c>
      <c r="B773" s="7" t="n"/>
      <c r="C773" s="11">
        <f>IF(AND(ISNUMBER(B773),ISNUMBER(B772)),ABS(B773-B772),"")</f>
        <v/>
      </c>
      <c r="D773" s="13">
        <f>IF(AND(ISNUMBER(B773),ISNUMBER($B$88),ISNUMBER($D$88)),IF(B773&gt;$D$88,"boven UCL",IF(B773&lt;$B$88,"onder LCL","")),"")</f>
        <v/>
      </c>
      <c r="E773" s="13">
        <f>IF(AND(ISNUMBER(C773),ISNUMBER($B$89),ISNUMBER($D$89)),IF(C773&gt;$D$89,"boven UCL",IF(C773&lt;$B$89,"onder LCL","")),"")</f>
        <v/>
      </c>
      <c r="G773" t="n">
        <v>667</v>
      </c>
      <c r="H773" s="7" t="n"/>
      <c r="I773" s="7" t="n"/>
      <c r="J773" s="11">
        <f>IF(AND(ISNUMBER(H773),ISNUMBER(I773),H773&gt;0,ISNUMBER($B$94)),I773/H773,"")</f>
        <v/>
      </c>
      <c r="K773" s="11">
        <f>IF(AND(ISNUMBER(H773),ISNUMBER(I773),H773&gt;0,ISNUMBER($B$94)),MAX(0,$B$94-3*SQRT($B$94*(1-$B$94)/H773)),"")</f>
        <v/>
      </c>
      <c r="L773" s="11">
        <f>IF(AND(ISNUMBER(H773),ISNUMBER(I773),H773&gt;0,ISNUMBER($B$94)),$B$94+3*SQRT($B$94*(1-$B$94)/H773),"")</f>
        <v/>
      </c>
      <c r="M773" s="13">
        <f>IF(AND(ISNUMBER(J773),ISNUMBER(K773),ISNUMBER(L773)),IF(J773&gt;L773,"boven UCL",IF(J773&lt;K773,"onder LCL","")),"")</f>
        <v/>
      </c>
      <c r="O773" t="n">
        <v>667</v>
      </c>
      <c r="P773" s="7" t="n"/>
      <c r="Q773" s="7" t="n"/>
      <c r="R773" s="11">
        <f>IF(AND(ISNUMBER(P773),ISNUMBER(Q773),P773&gt;0,ISNUMBER($B$100)),Q773/P773,"")</f>
        <v/>
      </c>
      <c r="S773" s="11">
        <f>IF(AND(ISNUMBER(P773),ISNUMBER(Q773),P773&gt;0,ISNUMBER($B$100)),MAX(0,$B$100-3*SQRT($B$100/P773)),"")</f>
        <v/>
      </c>
      <c r="T773" s="11">
        <f>IF(AND(ISNUMBER(P773),ISNUMBER(Q773),P773&gt;0,ISNUMBER($B$100)),$B$100+3*SQRT($B$100/P773),"")</f>
        <v/>
      </c>
      <c r="U773" s="13">
        <f>IF(AND(ISNUMBER(R773),ISNUMBER(S773),ISNUMBER(T773)),IF(R773&gt;T773,"boven UCL",IF(R773&lt;S773,"onder LCL","")),"")</f>
        <v/>
      </c>
    </row>
    <row r="774">
      <c r="A774" t="n">
        <v>668</v>
      </c>
      <c r="B774" s="7" t="n"/>
      <c r="C774" s="11">
        <f>IF(AND(ISNUMBER(B774),ISNUMBER(B773)),ABS(B774-B773),"")</f>
        <v/>
      </c>
      <c r="D774" s="13">
        <f>IF(AND(ISNUMBER(B774),ISNUMBER($B$88),ISNUMBER($D$88)),IF(B774&gt;$D$88,"boven UCL",IF(B774&lt;$B$88,"onder LCL","")),"")</f>
        <v/>
      </c>
      <c r="E774" s="13">
        <f>IF(AND(ISNUMBER(C774),ISNUMBER($B$89),ISNUMBER($D$89)),IF(C774&gt;$D$89,"boven UCL",IF(C774&lt;$B$89,"onder LCL","")),"")</f>
        <v/>
      </c>
      <c r="G774" t="n">
        <v>668</v>
      </c>
      <c r="H774" s="7" t="n"/>
      <c r="I774" s="7" t="n"/>
      <c r="J774" s="11">
        <f>IF(AND(ISNUMBER(H774),ISNUMBER(I774),H774&gt;0,ISNUMBER($B$94)),I774/H774,"")</f>
        <v/>
      </c>
      <c r="K774" s="11">
        <f>IF(AND(ISNUMBER(H774),ISNUMBER(I774),H774&gt;0,ISNUMBER($B$94)),MAX(0,$B$94-3*SQRT($B$94*(1-$B$94)/H774)),"")</f>
        <v/>
      </c>
      <c r="L774" s="11">
        <f>IF(AND(ISNUMBER(H774),ISNUMBER(I774),H774&gt;0,ISNUMBER($B$94)),$B$94+3*SQRT($B$94*(1-$B$94)/H774),"")</f>
        <v/>
      </c>
      <c r="M774" s="13">
        <f>IF(AND(ISNUMBER(J774),ISNUMBER(K774),ISNUMBER(L774)),IF(J774&gt;L774,"boven UCL",IF(J774&lt;K774,"onder LCL","")),"")</f>
        <v/>
      </c>
      <c r="O774" t="n">
        <v>668</v>
      </c>
      <c r="P774" s="7" t="n"/>
      <c r="Q774" s="7" t="n"/>
      <c r="R774" s="11">
        <f>IF(AND(ISNUMBER(P774),ISNUMBER(Q774),P774&gt;0,ISNUMBER($B$100)),Q774/P774,"")</f>
        <v/>
      </c>
      <c r="S774" s="11">
        <f>IF(AND(ISNUMBER(P774),ISNUMBER(Q774),P774&gt;0,ISNUMBER($B$100)),MAX(0,$B$100-3*SQRT($B$100/P774)),"")</f>
        <v/>
      </c>
      <c r="T774" s="11">
        <f>IF(AND(ISNUMBER(P774),ISNUMBER(Q774),P774&gt;0,ISNUMBER($B$100)),$B$100+3*SQRT($B$100/P774),"")</f>
        <v/>
      </c>
      <c r="U774" s="13">
        <f>IF(AND(ISNUMBER(R774),ISNUMBER(S774),ISNUMBER(T774)),IF(R774&gt;T774,"boven UCL",IF(R774&lt;S774,"onder LCL","")),"")</f>
        <v/>
      </c>
    </row>
    <row r="775">
      <c r="A775" t="n">
        <v>669</v>
      </c>
      <c r="B775" s="7" t="n"/>
      <c r="C775" s="11">
        <f>IF(AND(ISNUMBER(B775),ISNUMBER(B774)),ABS(B775-B774),"")</f>
        <v/>
      </c>
      <c r="D775" s="13">
        <f>IF(AND(ISNUMBER(B775),ISNUMBER($B$88),ISNUMBER($D$88)),IF(B775&gt;$D$88,"boven UCL",IF(B775&lt;$B$88,"onder LCL","")),"")</f>
        <v/>
      </c>
      <c r="E775" s="13">
        <f>IF(AND(ISNUMBER(C775),ISNUMBER($B$89),ISNUMBER($D$89)),IF(C775&gt;$D$89,"boven UCL",IF(C775&lt;$B$89,"onder LCL","")),"")</f>
        <v/>
      </c>
      <c r="G775" t="n">
        <v>669</v>
      </c>
      <c r="H775" s="7" t="n"/>
      <c r="I775" s="7" t="n"/>
      <c r="J775" s="11">
        <f>IF(AND(ISNUMBER(H775),ISNUMBER(I775),H775&gt;0,ISNUMBER($B$94)),I775/H775,"")</f>
        <v/>
      </c>
      <c r="K775" s="11">
        <f>IF(AND(ISNUMBER(H775),ISNUMBER(I775),H775&gt;0,ISNUMBER($B$94)),MAX(0,$B$94-3*SQRT($B$94*(1-$B$94)/H775)),"")</f>
        <v/>
      </c>
      <c r="L775" s="11">
        <f>IF(AND(ISNUMBER(H775),ISNUMBER(I775),H775&gt;0,ISNUMBER($B$94)),$B$94+3*SQRT($B$94*(1-$B$94)/H775),"")</f>
        <v/>
      </c>
      <c r="M775" s="13">
        <f>IF(AND(ISNUMBER(J775),ISNUMBER(K775),ISNUMBER(L775)),IF(J775&gt;L775,"boven UCL",IF(J775&lt;K775,"onder LCL","")),"")</f>
        <v/>
      </c>
      <c r="O775" t="n">
        <v>669</v>
      </c>
      <c r="P775" s="7" t="n"/>
      <c r="Q775" s="7" t="n"/>
      <c r="R775" s="11">
        <f>IF(AND(ISNUMBER(P775),ISNUMBER(Q775),P775&gt;0,ISNUMBER($B$100)),Q775/P775,"")</f>
        <v/>
      </c>
      <c r="S775" s="11">
        <f>IF(AND(ISNUMBER(P775),ISNUMBER(Q775),P775&gt;0,ISNUMBER($B$100)),MAX(0,$B$100-3*SQRT($B$100/P775)),"")</f>
        <v/>
      </c>
      <c r="T775" s="11">
        <f>IF(AND(ISNUMBER(P775),ISNUMBER(Q775),P775&gt;0,ISNUMBER($B$100)),$B$100+3*SQRT($B$100/P775),"")</f>
        <v/>
      </c>
      <c r="U775" s="13">
        <f>IF(AND(ISNUMBER(R775),ISNUMBER(S775),ISNUMBER(T775)),IF(R775&gt;T775,"boven UCL",IF(R775&lt;S775,"onder LCL","")),"")</f>
        <v/>
      </c>
    </row>
    <row r="776">
      <c r="A776" t="n">
        <v>670</v>
      </c>
      <c r="B776" s="7" t="n"/>
      <c r="C776" s="11">
        <f>IF(AND(ISNUMBER(B776),ISNUMBER(B775)),ABS(B776-B775),"")</f>
        <v/>
      </c>
      <c r="D776" s="13">
        <f>IF(AND(ISNUMBER(B776),ISNUMBER($B$88),ISNUMBER($D$88)),IF(B776&gt;$D$88,"boven UCL",IF(B776&lt;$B$88,"onder LCL","")),"")</f>
        <v/>
      </c>
      <c r="E776" s="13">
        <f>IF(AND(ISNUMBER(C776),ISNUMBER($B$89),ISNUMBER($D$89)),IF(C776&gt;$D$89,"boven UCL",IF(C776&lt;$B$89,"onder LCL","")),"")</f>
        <v/>
      </c>
      <c r="G776" t="n">
        <v>670</v>
      </c>
      <c r="H776" s="7" t="n"/>
      <c r="I776" s="7" t="n"/>
      <c r="J776" s="11">
        <f>IF(AND(ISNUMBER(H776),ISNUMBER(I776),H776&gt;0,ISNUMBER($B$94)),I776/H776,"")</f>
        <v/>
      </c>
      <c r="K776" s="11">
        <f>IF(AND(ISNUMBER(H776),ISNUMBER(I776),H776&gt;0,ISNUMBER($B$94)),MAX(0,$B$94-3*SQRT($B$94*(1-$B$94)/H776)),"")</f>
        <v/>
      </c>
      <c r="L776" s="11">
        <f>IF(AND(ISNUMBER(H776),ISNUMBER(I776),H776&gt;0,ISNUMBER($B$94)),$B$94+3*SQRT($B$94*(1-$B$94)/H776),"")</f>
        <v/>
      </c>
      <c r="M776" s="13">
        <f>IF(AND(ISNUMBER(J776),ISNUMBER(K776),ISNUMBER(L776)),IF(J776&gt;L776,"boven UCL",IF(J776&lt;K776,"onder LCL","")),"")</f>
        <v/>
      </c>
      <c r="O776" t="n">
        <v>670</v>
      </c>
      <c r="P776" s="7" t="n"/>
      <c r="Q776" s="7" t="n"/>
      <c r="R776" s="11">
        <f>IF(AND(ISNUMBER(P776),ISNUMBER(Q776),P776&gt;0,ISNUMBER($B$100)),Q776/P776,"")</f>
        <v/>
      </c>
      <c r="S776" s="11">
        <f>IF(AND(ISNUMBER(P776),ISNUMBER(Q776),P776&gt;0,ISNUMBER($B$100)),MAX(0,$B$100-3*SQRT($B$100/P776)),"")</f>
        <v/>
      </c>
      <c r="T776" s="11">
        <f>IF(AND(ISNUMBER(P776),ISNUMBER(Q776),P776&gt;0,ISNUMBER($B$100)),$B$100+3*SQRT($B$100/P776),"")</f>
        <v/>
      </c>
      <c r="U776" s="13">
        <f>IF(AND(ISNUMBER(R776),ISNUMBER(S776),ISNUMBER(T776)),IF(R776&gt;T776,"boven UCL",IF(R776&lt;S776,"onder LCL","")),"")</f>
        <v/>
      </c>
    </row>
    <row r="777">
      <c r="A777" t="n">
        <v>671</v>
      </c>
      <c r="B777" s="7" t="n"/>
      <c r="C777" s="11">
        <f>IF(AND(ISNUMBER(B777),ISNUMBER(B776)),ABS(B777-B776),"")</f>
        <v/>
      </c>
      <c r="D777" s="13">
        <f>IF(AND(ISNUMBER(B777),ISNUMBER($B$88),ISNUMBER($D$88)),IF(B777&gt;$D$88,"boven UCL",IF(B777&lt;$B$88,"onder LCL","")),"")</f>
        <v/>
      </c>
      <c r="E777" s="13">
        <f>IF(AND(ISNUMBER(C777),ISNUMBER($B$89),ISNUMBER($D$89)),IF(C777&gt;$D$89,"boven UCL",IF(C777&lt;$B$89,"onder LCL","")),"")</f>
        <v/>
      </c>
      <c r="G777" t="n">
        <v>671</v>
      </c>
      <c r="H777" s="7" t="n"/>
      <c r="I777" s="7" t="n"/>
      <c r="J777" s="11">
        <f>IF(AND(ISNUMBER(H777),ISNUMBER(I777),H777&gt;0,ISNUMBER($B$94)),I777/H777,"")</f>
        <v/>
      </c>
      <c r="K777" s="11">
        <f>IF(AND(ISNUMBER(H777),ISNUMBER(I777),H777&gt;0,ISNUMBER($B$94)),MAX(0,$B$94-3*SQRT($B$94*(1-$B$94)/H777)),"")</f>
        <v/>
      </c>
      <c r="L777" s="11">
        <f>IF(AND(ISNUMBER(H777),ISNUMBER(I777),H777&gt;0,ISNUMBER($B$94)),$B$94+3*SQRT($B$94*(1-$B$94)/H777),"")</f>
        <v/>
      </c>
      <c r="M777" s="13">
        <f>IF(AND(ISNUMBER(J777),ISNUMBER(K777),ISNUMBER(L777)),IF(J777&gt;L777,"boven UCL",IF(J777&lt;K777,"onder LCL","")),"")</f>
        <v/>
      </c>
      <c r="O777" t="n">
        <v>671</v>
      </c>
      <c r="P777" s="7" t="n"/>
      <c r="Q777" s="7" t="n"/>
      <c r="R777" s="11">
        <f>IF(AND(ISNUMBER(P777),ISNUMBER(Q777),P777&gt;0,ISNUMBER($B$100)),Q777/P777,"")</f>
        <v/>
      </c>
      <c r="S777" s="11">
        <f>IF(AND(ISNUMBER(P777),ISNUMBER(Q777),P777&gt;0,ISNUMBER($B$100)),MAX(0,$B$100-3*SQRT($B$100/P777)),"")</f>
        <v/>
      </c>
      <c r="T777" s="11">
        <f>IF(AND(ISNUMBER(P777),ISNUMBER(Q777),P777&gt;0,ISNUMBER($B$100)),$B$100+3*SQRT($B$100/P777),"")</f>
        <v/>
      </c>
      <c r="U777" s="13">
        <f>IF(AND(ISNUMBER(R777),ISNUMBER(S777),ISNUMBER(T777)),IF(R777&gt;T777,"boven UCL",IF(R777&lt;S777,"onder LCL","")),"")</f>
        <v/>
      </c>
    </row>
    <row r="778">
      <c r="A778" t="n">
        <v>672</v>
      </c>
      <c r="B778" s="7" t="n"/>
      <c r="C778" s="11">
        <f>IF(AND(ISNUMBER(B778),ISNUMBER(B777)),ABS(B778-B777),"")</f>
        <v/>
      </c>
      <c r="D778" s="13">
        <f>IF(AND(ISNUMBER(B778),ISNUMBER($B$88),ISNUMBER($D$88)),IF(B778&gt;$D$88,"boven UCL",IF(B778&lt;$B$88,"onder LCL","")),"")</f>
        <v/>
      </c>
      <c r="E778" s="13">
        <f>IF(AND(ISNUMBER(C778),ISNUMBER($B$89),ISNUMBER($D$89)),IF(C778&gt;$D$89,"boven UCL",IF(C778&lt;$B$89,"onder LCL","")),"")</f>
        <v/>
      </c>
      <c r="G778" t="n">
        <v>672</v>
      </c>
      <c r="H778" s="7" t="n"/>
      <c r="I778" s="7" t="n"/>
      <c r="J778" s="11">
        <f>IF(AND(ISNUMBER(H778),ISNUMBER(I778),H778&gt;0,ISNUMBER($B$94)),I778/H778,"")</f>
        <v/>
      </c>
      <c r="K778" s="11">
        <f>IF(AND(ISNUMBER(H778),ISNUMBER(I778),H778&gt;0,ISNUMBER($B$94)),MAX(0,$B$94-3*SQRT($B$94*(1-$B$94)/H778)),"")</f>
        <v/>
      </c>
      <c r="L778" s="11">
        <f>IF(AND(ISNUMBER(H778),ISNUMBER(I778),H778&gt;0,ISNUMBER($B$94)),$B$94+3*SQRT($B$94*(1-$B$94)/H778),"")</f>
        <v/>
      </c>
      <c r="M778" s="13">
        <f>IF(AND(ISNUMBER(J778),ISNUMBER(K778),ISNUMBER(L778)),IF(J778&gt;L778,"boven UCL",IF(J778&lt;K778,"onder LCL","")),"")</f>
        <v/>
      </c>
      <c r="O778" t="n">
        <v>672</v>
      </c>
      <c r="P778" s="7" t="n"/>
      <c r="Q778" s="7" t="n"/>
      <c r="R778" s="11">
        <f>IF(AND(ISNUMBER(P778),ISNUMBER(Q778),P778&gt;0,ISNUMBER($B$100)),Q778/P778,"")</f>
        <v/>
      </c>
      <c r="S778" s="11">
        <f>IF(AND(ISNUMBER(P778),ISNUMBER(Q778),P778&gt;0,ISNUMBER($B$100)),MAX(0,$B$100-3*SQRT($B$100/P778)),"")</f>
        <v/>
      </c>
      <c r="T778" s="11">
        <f>IF(AND(ISNUMBER(P778),ISNUMBER(Q778),P778&gt;0,ISNUMBER($B$100)),$B$100+3*SQRT($B$100/P778),"")</f>
        <v/>
      </c>
      <c r="U778" s="13">
        <f>IF(AND(ISNUMBER(R778),ISNUMBER(S778),ISNUMBER(T778)),IF(R778&gt;T778,"boven UCL",IF(R778&lt;S778,"onder LCL","")),"")</f>
        <v/>
      </c>
    </row>
    <row r="779">
      <c r="A779" t="n">
        <v>673</v>
      </c>
      <c r="B779" s="7" t="n"/>
      <c r="C779" s="11">
        <f>IF(AND(ISNUMBER(B779),ISNUMBER(B778)),ABS(B779-B778),"")</f>
        <v/>
      </c>
      <c r="D779" s="13">
        <f>IF(AND(ISNUMBER(B779),ISNUMBER($B$88),ISNUMBER($D$88)),IF(B779&gt;$D$88,"boven UCL",IF(B779&lt;$B$88,"onder LCL","")),"")</f>
        <v/>
      </c>
      <c r="E779" s="13">
        <f>IF(AND(ISNUMBER(C779),ISNUMBER($B$89),ISNUMBER($D$89)),IF(C779&gt;$D$89,"boven UCL",IF(C779&lt;$B$89,"onder LCL","")),"")</f>
        <v/>
      </c>
      <c r="G779" t="n">
        <v>673</v>
      </c>
      <c r="H779" s="7" t="n"/>
      <c r="I779" s="7" t="n"/>
      <c r="J779" s="11">
        <f>IF(AND(ISNUMBER(H779),ISNUMBER(I779),H779&gt;0,ISNUMBER($B$94)),I779/H779,"")</f>
        <v/>
      </c>
      <c r="K779" s="11">
        <f>IF(AND(ISNUMBER(H779),ISNUMBER(I779),H779&gt;0,ISNUMBER($B$94)),MAX(0,$B$94-3*SQRT($B$94*(1-$B$94)/H779)),"")</f>
        <v/>
      </c>
      <c r="L779" s="11">
        <f>IF(AND(ISNUMBER(H779),ISNUMBER(I779),H779&gt;0,ISNUMBER($B$94)),$B$94+3*SQRT($B$94*(1-$B$94)/H779),"")</f>
        <v/>
      </c>
      <c r="M779" s="13">
        <f>IF(AND(ISNUMBER(J779),ISNUMBER(K779),ISNUMBER(L779)),IF(J779&gt;L779,"boven UCL",IF(J779&lt;K779,"onder LCL","")),"")</f>
        <v/>
      </c>
      <c r="O779" t="n">
        <v>673</v>
      </c>
      <c r="P779" s="7" t="n"/>
      <c r="Q779" s="7" t="n"/>
      <c r="R779" s="11">
        <f>IF(AND(ISNUMBER(P779),ISNUMBER(Q779),P779&gt;0,ISNUMBER($B$100)),Q779/P779,"")</f>
        <v/>
      </c>
      <c r="S779" s="11">
        <f>IF(AND(ISNUMBER(P779),ISNUMBER(Q779),P779&gt;0,ISNUMBER($B$100)),MAX(0,$B$100-3*SQRT($B$100/P779)),"")</f>
        <v/>
      </c>
      <c r="T779" s="11">
        <f>IF(AND(ISNUMBER(P779),ISNUMBER(Q779),P779&gt;0,ISNUMBER($B$100)),$B$100+3*SQRT($B$100/P779),"")</f>
        <v/>
      </c>
      <c r="U779" s="13">
        <f>IF(AND(ISNUMBER(R779),ISNUMBER(S779),ISNUMBER(T779)),IF(R779&gt;T779,"boven UCL",IF(R779&lt;S779,"onder LCL","")),"")</f>
        <v/>
      </c>
    </row>
    <row r="780">
      <c r="A780" t="n">
        <v>674</v>
      </c>
      <c r="B780" s="7" t="n"/>
      <c r="C780" s="11">
        <f>IF(AND(ISNUMBER(B780),ISNUMBER(B779)),ABS(B780-B779),"")</f>
        <v/>
      </c>
      <c r="D780" s="13">
        <f>IF(AND(ISNUMBER(B780),ISNUMBER($B$88),ISNUMBER($D$88)),IF(B780&gt;$D$88,"boven UCL",IF(B780&lt;$B$88,"onder LCL","")),"")</f>
        <v/>
      </c>
      <c r="E780" s="13">
        <f>IF(AND(ISNUMBER(C780),ISNUMBER($B$89),ISNUMBER($D$89)),IF(C780&gt;$D$89,"boven UCL",IF(C780&lt;$B$89,"onder LCL","")),"")</f>
        <v/>
      </c>
      <c r="G780" t="n">
        <v>674</v>
      </c>
      <c r="H780" s="7" t="n"/>
      <c r="I780" s="7" t="n"/>
      <c r="J780" s="11">
        <f>IF(AND(ISNUMBER(H780),ISNUMBER(I780),H780&gt;0,ISNUMBER($B$94)),I780/H780,"")</f>
        <v/>
      </c>
      <c r="K780" s="11">
        <f>IF(AND(ISNUMBER(H780),ISNUMBER(I780),H780&gt;0,ISNUMBER($B$94)),MAX(0,$B$94-3*SQRT($B$94*(1-$B$94)/H780)),"")</f>
        <v/>
      </c>
      <c r="L780" s="11">
        <f>IF(AND(ISNUMBER(H780),ISNUMBER(I780),H780&gt;0,ISNUMBER($B$94)),$B$94+3*SQRT($B$94*(1-$B$94)/H780),"")</f>
        <v/>
      </c>
      <c r="M780" s="13">
        <f>IF(AND(ISNUMBER(J780),ISNUMBER(K780),ISNUMBER(L780)),IF(J780&gt;L780,"boven UCL",IF(J780&lt;K780,"onder LCL","")),"")</f>
        <v/>
      </c>
      <c r="O780" t="n">
        <v>674</v>
      </c>
      <c r="P780" s="7" t="n"/>
      <c r="Q780" s="7" t="n"/>
      <c r="R780" s="11">
        <f>IF(AND(ISNUMBER(P780),ISNUMBER(Q780),P780&gt;0,ISNUMBER($B$100)),Q780/P780,"")</f>
        <v/>
      </c>
      <c r="S780" s="11">
        <f>IF(AND(ISNUMBER(P780),ISNUMBER(Q780),P780&gt;0,ISNUMBER($B$100)),MAX(0,$B$100-3*SQRT($B$100/P780)),"")</f>
        <v/>
      </c>
      <c r="T780" s="11">
        <f>IF(AND(ISNUMBER(P780),ISNUMBER(Q780),P780&gt;0,ISNUMBER($B$100)),$B$100+3*SQRT($B$100/P780),"")</f>
        <v/>
      </c>
      <c r="U780" s="13">
        <f>IF(AND(ISNUMBER(R780),ISNUMBER(S780),ISNUMBER(T780)),IF(R780&gt;T780,"boven UCL",IF(R780&lt;S780,"onder LCL","")),"")</f>
        <v/>
      </c>
    </row>
    <row r="781">
      <c r="A781" t="n">
        <v>675</v>
      </c>
      <c r="B781" s="7" t="n"/>
      <c r="C781" s="11">
        <f>IF(AND(ISNUMBER(B781),ISNUMBER(B780)),ABS(B781-B780),"")</f>
        <v/>
      </c>
      <c r="D781" s="13">
        <f>IF(AND(ISNUMBER(B781),ISNUMBER($B$88),ISNUMBER($D$88)),IF(B781&gt;$D$88,"boven UCL",IF(B781&lt;$B$88,"onder LCL","")),"")</f>
        <v/>
      </c>
      <c r="E781" s="13">
        <f>IF(AND(ISNUMBER(C781),ISNUMBER($B$89),ISNUMBER($D$89)),IF(C781&gt;$D$89,"boven UCL",IF(C781&lt;$B$89,"onder LCL","")),"")</f>
        <v/>
      </c>
      <c r="G781" t="n">
        <v>675</v>
      </c>
      <c r="H781" s="7" t="n"/>
      <c r="I781" s="7" t="n"/>
      <c r="J781" s="11">
        <f>IF(AND(ISNUMBER(H781),ISNUMBER(I781),H781&gt;0,ISNUMBER($B$94)),I781/H781,"")</f>
        <v/>
      </c>
      <c r="K781" s="11">
        <f>IF(AND(ISNUMBER(H781),ISNUMBER(I781),H781&gt;0,ISNUMBER($B$94)),MAX(0,$B$94-3*SQRT($B$94*(1-$B$94)/H781)),"")</f>
        <v/>
      </c>
      <c r="L781" s="11">
        <f>IF(AND(ISNUMBER(H781),ISNUMBER(I781),H781&gt;0,ISNUMBER($B$94)),$B$94+3*SQRT($B$94*(1-$B$94)/H781),"")</f>
        <v/>
      </c>
      <c r="M781" s="13">
        <f>IF(AND(ISNUMBER(J781),ISNUMBER(K781),ISNUMBER(L781)),IF(J781&gt;L781,"boven UCL",IF(J781&lt;K781,"onder LCL","")),"")</f>
        <v/>
      </c>
      <c r="O781" t="n">
        <v>675</v>
      </c>
      <c r="P781" s="7" t="n"/>
      <c r="Q781" s="7" t="n"/>
      <c r="R781" s="11">
        <f>IF(AND(ISNUMBER(P781),ISNUMBER(Q781),P781&gt;0,ISNUMBER($B$100)),Q781/P781,"")</f>
        <v/>
      </c>
      <c r="S781" s="11">
        <f>IF(AND(ISNUMBER(P781),ISNUMBER(Q781),P781&gt;0,ISNUMBER($B$100)),MAX(0,$B$100-3*SQRT($B$100/P781)),"")</f>
        <v/>
      </c>
      <c r="T781" s="11">
        <f>IF(AND(ISNUMBER(P781),ISNUMBER(Q781),P781&gt;0,ISNUMBER($B$100)),$B$100+3*SQRT($B$100/P781),"")</f>
        <v/>
      </c>
      <c r="U781" s="13">
        <f>IF(AND(ISNUMBER(R781),ISNUMBER(S781),ISNUMBER(T781)),IF(R781&gt;T781,"boven UCL",IF(R781&lt;S781,"onder LCL","")),"")</f>
        <v/>
      </c>
    </row>
    <row r="782">
      <c r="A782" t="n">
        <v>676</v>
      </c>
      <c r="B782" s="7" t="n"/>
      <c r="C782" s="11">
        <f>IF(AND(ISNUMBER(B782),ISNUMBER(B781)),ABS(B782-B781),"")</f>
        <v/>
      </c>
      <c r="D782" s="13">
        <f>IF(AND(ISNUMBER(B782),ISNUMBER($B$88),ISNUMBER($D$88)),IF(B782&gt;$D$88,"boven UCL",IF(B782&lt;$B$88,"onder LCL","")),"")</f>
        <v/>
      </c>
      <c r="E782" s="13">
        <f>IF(AND(ISNUMBER(C782),ISNUMBER($B$89),ISNUMBER($D$89)),IF(C782&gt;$D$89,"boven UCL",IF(C782&lt;$B$89,"onder LCL","")),"")</f>
        <v/>
      </c>
      <c r="G782" t="n">
        <v>676</v>
      </c>
      <c r="H782" s="7" t="n"/>
      <c r="I782" s="7" t="n"/>
      <c r="J782" s="11">
        <f>IF(AND(ISNUMBER(H782),ISNUMBER(I782),H782&gt;0,ISNUMBER($B$94)),I782/H782,"")</f>
        <v/>
      </c>
      <c r="K782" s="11">
        <f>IF(AND(ISNUMBER(H782),ISNUMBER(I782),H782&gt;0,ISNUMBER($B$94)),MAX(0,$B$94-3*SQRT($B$94*(1-$B$94)/H782)),"")</f>
        <v/>
      </c>
      <c r="L782" s="11">
        <f>IF(AND(ISNUMBER(H782),ISNUMBER(I782),H782&gt;0,ISNUMBER($B$94)),$B$94+3*SQRT($B$94*(1-$B$94)/H782),"")</f>
        <v/>
      </c>
      <c r="M782" s="13">
        <f>IF(AND(ISNUMBER(J782),ISNUMBER(K782),ISNUMBER(L782)),IF(J782&gt;L782,"boven UCL",IF(J782&lt;K782,"onder LCL","")),"")</f>
        <v/>
      </c>
      <c r="O782" t="n">
        <v>676</v>
      </c>
      <c r="P782" s="7" t="n"/>
      <c r="Q782" s="7" t="n"/>
      <c r="R782" s="11">
        <f>IF(AND(ISNUMBER(P782),ISNUMBER(Q782),P782&gt;0,ISNUMBER($B$100)),Q782/P782,"")</f>
        <v/>
      </c>
      <c r="S782" s="11">
        <f>IF(AND(ISNUMBER(P782),ISNUMBER(Q782),P782&gt;0,ISNUMBER($B$100)),MAX(0,$B$100-3*SQRT($B$100/P782)),"")</f>
        <v/>
      </c>
      <c r="T782" s="11">
        <f>IF(AND(ISNUMBER(P782),ISNUMBER(Q782),P782&gt;0,ISNUMBER($B$100)),$B$100+3*SQRT($B$100/P782),"")</f>
        <v/>
      </c>
      <c r="U782" s="13">
        <f>IF(AND(ISNUMBER(R782),ISNUMBER(S782),ISNUMBER(T782)),IF(R782&gt;T782,"boven UCL",IF(R782&lt;S782,"onder LCL","")),"")</f>
        <v/>
      </c>
    </row>
    <row r="783">
      <c r="A783" t="n">
        <v>677</v>
      </c>
      <c r="B783" s="7" t="n"/>
      <c r="C783" s="11">
        <f>IF(AND(ISNUMBER(B783),ISNUMBER(B782)),ABS(B783-B782),"")</f>
        <v/>
      </c>
      <c r="D783" s="13">
        <f>IF(AND(ISNUMBER(B783),ISNUMBER($B$88),ISNUMBER($D$88)),IF(B783&gt;$D$88,"boven UCL",IF(B783&lt;$B$88,"onder LCL","")),"")</f>
        <v/>
      </c>
      <c r="E783" s="13">
        <f>IF(AND(ISNUMBER(C783),ISNUMBER($B$89),ISNUMBER($D$89)),IF(C783&gt;$D$89,"boven UCL",IF(C783&lt;$B$89,"onder LCL","")),"")</f>
        <v/>
      </c>
      <c r="G783" t="n">
        <v>677</v>
      </c>
      <c r="H783" s="7" t="n"/>
      <c r="I783" s="7" t="n"/>
      <c r="J783" s="11">
        <f>IF(AND(ISNUMBER(H783),ISNUMBER(I783),H783&gt;0,ISNUMBER($B$94)),I783/H783,"")</f>
        <v/>
      </c>
      <c r="K783" s="11">
        <f>IF(AND(ISNUMBER(H783),ISNUMBER(I783),H783&gt;0,ISNUMBER($B$94)),MAX(0,$B$94-3*SQRT($B$94*(1-$B$94)/H783)),"")</f>
        <v/>
      </c>
      <c r="L783" s="11">
        <f>IF(AND(ISNUMBER(H783),ISNUMBER(I783),H783&gt;0,ISNUMBER($B$94)),$B$94+3*SQRT($B$94*(1-$B$94)/H783),"")</f>
        <v/>
      </c>
      <c r="M783" s="13">
        <f>IF(AND(ISNUMBER(J783),ISNUMBER(K783),ISNUMBER(L783)),IF(J783&gt;L783,"boven UCL",IF(J783&lt;K783,"onder LCL","")),"")</f>
        <v/>
      </c>
      <c r="O783" t="n">
        <v>677</v>
      </c>
      <c r="P783" s="7" t="n"/>
      <c r="Q783" s="7" t="n"/>
      <c r="R783" s="11">
        <f>IF(AND(ISNUMBER(P783),ISNUMBER(Q783),P783&gt;0,ISNUMBER($B$100)),Q783/P783,"")</f>
        <v/>
      </c>
      <c r="S783" s="11">
        <f>IF(AND(ISNUMBER(P783),ISNUMBER(Q783),P783&gt;0,ISNUMBER($B$100)),MAX(0,$B$100-3*SQRT($B$100/P783)),"")</f>
        <v/>
      </c>
      <c r="T783" s="11">
        <f>IF(AND(ISNUMBER(P783),ISNUMBER(Q783),P783&gt;0,ISNUMBER($B$100)),$B$100+3*SQRT($B$100/P783),"")</f>
        <v/>
      </c>
      <c r="U783" s="13">
        <f>IF(AND(ISNUMBER(R783),ISNUMBER(S783),ISNUMBER(T783)),IF(R783&gt;T783,"boven UCL",IF(R783&lt;S783,"onder LCL","")),"")</f>
        <v/>
      </c>
    </row>
    <row r="784">
      <c r="A784" t="n">
        <v>678</v>
      </c>
      <c r="B784" s="7" t="n"/>
      <c r="C784" s="11">
        <f>IF(AND(ISNUMBER(B784),ISNUMBER(B783)),ABS(B784-B783),"")</f>
        <v/>
      </c>
      <c r="D784" s="13">
        <f>IF(AND(ISNUMBER(B784),ISNUMBER($B$88),ISNUMBER($D$88)),IF(B784&gt;$D$88,"boven UCL",IF(B784&lt;$B$88,"onder LCL","")),"")</f>
        <v/>
      </c>
      <c r="E784" s="13">
        <f>IF(AND(ISNUMBER(C784),ISNUMBER($B$89),ISNUMBER($D$89)),IF(C784&gt;$D$89,"boven UCL",IF(C784&lt;$B$89,"onder LCL","")),"")</f>
        <v/>
      </c>
      <c r="G784" t="n">
        <v>678</v>
      </c>
      <c r="H784" s="7" t="n"/>
      <c r="I784" s="7" t="n"/>
      <c r="J784" s="11">
        <f>IF(AND(ISNUMBER(H784),ISNUMBER(I784),H784&gt;0,ISNUMBER($B$94)),I784/H784,"")</f>
        <v/>
      </c>
      <c r="K784" s="11">
        <f>IF(AND(ISNUMBER(H784),ISNUMBER(I784),H784&gt;0,ISNUMBER($B$94)),MAX(0,$B$94-3*SQRT($B$94*(1-$B$94)/H784)),"")</f>
        <v/>
      </c>
      <c r="L784" s="11">
        <f>IF(AND(ISNUMBER(H784),ISNUMBER(I784),H784&gt;0,ISNUMBER($B$94)),$B$94+3*SQRT($B$94*(1-$B$94)/H784),"")</f>
        <v/>
      </c>
      <c r="M784" s="13">
        <f>IF(AND(ISNUMBER(J784),ISNUMBER(K784),ISNUMBER(L784)),IF(J784&gt;L784,"boven UCL",IF(J784&lt;K784,"onder LCL","")),"")</f>
        <v/>
      </c>
      <c r="O784" t="n">
        <v>678</v>
      </c>
      <c r="P784" s="7" t="n"/>
      <c r="Q784" s="7" t="n"/>
      <c r="R784" s="11">
        <f>IF(AND(ISNUMBER(P784),ISNUMBER(Q784),P784&gt;0,ISNUMBER($B$100)),Q784/P784,"")</f>
        <v/>
      </c>
      <c r="S784" s="11">
        <f>IF(AND(ISNUMBER(P784),ISNUMBER(Q784),P784&gt;0,ISNUMBER($B$100)),MAX(0,$B$100-3*SQRT($B$100/P784)),"")</f>
        <v/>
      </c>
      <c r="T784" s="11">
        <f>IF(AND(ISNUMBER(P784),ISNUMBER(Q784),P784&gt;0,ISNUMBER($B$100)),$B$100+3*SQRT($B$100/P784),"")</f>
        <v/>
      </c>
      <c r="U784" s="13">
        <f>IF(AND(ISNUMBER(R784),ISNUMBER(S784),ISNUMBER(T784)),IF(R784&gt;T784,"boven UCL",IF(R784&lt;S784,"onder LCL","")),"")</f>
        <v/>
      </c>
    </row>
    <row r="785">
      <c r="A785" t="n">
        <v>679</v>
      </c>
      <c r="B785" s="7" t="n"/>
      <c r="C785" s="11">
        <f>IF(AND(ISNUMBER(B785),ISNUMBER(B784)),ABS(B785-B784),"")</f>
        <v/>
      </c>
      <c r="D785" s="13">
        <f>IF(AND(ISNUMBER(B785),ISNUMBER($B$88),ISNUMBER($D$88)),IF(B785&gt;$D$88,"boven UCL",IF(B785&lt;$B$88,"onder LCL","")),"")</f>
        <v/>
      </c>
      <c r="E785" s="13">
        <f>IF(AND(ISNUMBER(C785),ISNUMBER($B$89),ISNUMBER($D$89)),IF(C785&gt;$D$89,"boven UCL",IF(C785&lt;$B$89,"onder LCL","")),"")</f>
        <v/>
      </c>
      <c r="G785" t="n">
        <v>679</v>
      </c>
      <c r="H785" s="7" t="n"/>
      <c r="I785" s="7" t="n"/>
      <c r="J785" s="11">
        <f>IF(AND(ISNUMBER(H785),ISNUMBER(I785),H785&gt;0,ISNUMBER($B$94)),I785/H785,"")</f>
        <v/>
      </c>
      <c r="K785" s="11">
        <f>IF(AND(ISNUMBER(H785),ISNUMBER(I785),H785&gt;0,ISNUMBER($B$94)),MAX(0,$B$94-3*SQRT($B$94*(1-$B$94)/H785)),"")</f>
        <v/>
      </c>
      <c r="L785" s="11">
        <f>IF(AND(ISNUMBER(H785),ISNUMBER(I785),H785&gt;0,ISNUMBER($B$94)),$B$94+3*SQRT($B$94*(1-$B$94)/H785),"")</f>
        <v/>
      </c>
      <c r="M785" s="13">
        <f>IF(AND(ISNUMBER(J785),ISNUMBER(K785),ISNUMBER(L785)),IF(J785&gt;L785,"boven UCL",IF(J785&lt;K785,"onder LCL","")),"")</f>
        <v/>
      </c>
      <c r="O785" t="n">
        <v>679</v>
      </c>
      <c r="P785" s="7" t="n"/>
      <c r="Q785" s="7" t="n"/>
      <c r="R785" s="11">
        <f>IF(AND(ISNUMBER(P785),ISNUMBER(Q785),P785&gt;0,ISNUMBER($B$100)),Q785/P785,"")</f>
        <v/>
      </c>
      <c r="S785" s="11">
        <f>IF(AND(ISNUMBER(P785),ISNUMBER(Q785),P785&gt;0,ISNUMBER($B$100)),MAX(0,$B$100-3*SQRT($B$100/P785)),"")</f>
        <v/>
      </c>
      <c r="T785" s="11">
        <f>IF(AND(ISNUMBER(P785),ISNUMBER(Q785),P785&gt;0,ISNUMBER($B$100)),$B$100+3*SQRT($B$100/P785),"")</f>
        <v/>
      </c>
      <c r="U785" s="13">
        <f>IF(AND(ISNUMBER(R785),ISNUMBER(S785),ISNUMBER(T785)),IF(R785&gt;T785,"boven UCL",IF(R785&lt;S785,"onder LCL","")),"")</f>
        <v/>
      </c>
    </row>
    <row r="786">
      <c r="A786" t="n">
        <v>680</v>
      </c>
      <c r="B786" s="7" t="n"/>
      <c r="C786" s="11">
        <f>IF(AND(ISNUMBER(B786),ISNUMBER(B785)),ABS(B786-B785),"")</f>
        <v/>
      </c>
      <c r="D786" s="13">
        <f>IF(AND(ISNUMBER(B786),ISNUMBER($B$88),ISNUMBER($D$88)),IF(B786&gt;$D$88,"boven UCL",IF(B786&lt;$B$88,"onder LCL","")),"")</f>
        <v/>
      </c>
      <c r="E786" s="13">
        <f>IF(AND(ISNUMBER(C786),ISNUMBER($B$89),ISNUMBER($D$89)),IF(C786&gt;$D$89,"boven UCL",IF(C786&lt;$B$89,"onder LCL","")),"")</f>
        <v/>
      </c>
      <c r="G786" t="n">
        <v>680</v>
      </c>
      <c r="H786" s="7" t="n"/>
      <c r="I786" s="7" t="n"/>
      <c r="J786" s="11">
        <f>IF(AND(ISNUMBER(H786),ISNUMBER(I786),H786&gt;0,ISNUMBER($B$94)),I786/H786,"")</f>
        <v/>
      </c>
      <c r="K786" s="11">
        <f>IF(AND(ISNUMBER(H786),ISNUMBER(I786),H786&gt;0,ISNUMBER($B$94)),MAX(0,$B$94-3*SQRT($B$94*(1-$B$94)/H786)),"")</f>
        <v/>
      </c>
      <c r="L786" s="11">
        <f>IF(AND(ISNUMBER(H786),ISNUMBER(I786),H786&gt;0,ISNUMBER($B$94)),$B$94+3*SQRT($B$94*(1-$B$94)/H786),"")</f>
        <v/>
      </c>
      <c r="M786" s="13">
        <f>IF(AND(ISNUMBER(J786),ISNUMBER(K786),ISNUMBER(L786)),IF(J786&gt;L786,"boven UCL",IF(J786&lt;K786,"onder LCL","")),"")</f>
        <v/>
      </c>
      <c r="O786" t="n">
        <v>680</v>
      </c>
      <c r="P786" s="7" t="n"/>
      <c r="Q786" s="7" t="n"/>
      <c r="R786" s="11">
        <f>IF(AND(ISNUMBER(P786),ISNUMBER(Q786),P786&gt;0,ISNUMBER($B$100)),Q786/P786,"")</f>
        <v/>
      </c>
      <c r="S786" s="11">
        <f>IF(AND(ISNUMBER(P786),ISNUMBER(Q786),P786&gt;0,ISNUMBER($B$100)),MAX(0,$B$100-3*SQRT($B$100/P786)),"")</f>
        <v/>
      </c>
      <c r="T786" s="11">
        <f>IF(AND(ISNUMBER(P786),ISNUMBER(Q786),P786&gt;0,ISNUMBER($B$100)),$B$100+3*SQRT($B$100/P786),"")</f>
        <v/>
      </c>
      <c r="U786" s="13">
        <f>IF(AND(ISNUMBER(R786),ISNUMBER(S786),ISNUMBER(T786)),IF(R786&gt;T786,"boven UCL",IF(R786&lt;S786,"onder LCL","")),"")</f>
        <v/>
      </c>
    </row>
    <row r="787">
      <c r="A787" t="n">
        <v>681</v>
      </c>
      <c r="B787" s="7" t="n"/>
      <c r="C787" s="11">
        <f>IF(AND(ISNUMBER(B787),ISNUMBER(B786)),ABS(B787-B786),"")</f>
        <v/>
      </c>
      <c r="D787" s="13">
        <f>IF(AND(ISNUMBER(B787),ISNUMBER($B$88),ISNUMBER($D$88)),IF(B787&gt;$D$88,"boven UCL",IF(B787&lt;$B$88,"onder LCL","")),"")</f>
        <v/>
      </c>
      <c r="E787" s="13">
        <f>IF(AND(ISNUMBER(C787),ISNUMBER($B$89),ISNUMBER($D$89)),IF(C787&gt;$D$89,"boven UCL",IF(C787&lt;$B$89,"onder LCL","")),"")</f>
        <v/>
      </c>
      <c r="G787" t="n">
        <v>681</v>
      </c>
      <c r="H787" s="7" t="n"/>
      <c r="I787" s="7" t="n"/>
      <c r="J787" s="11">
        <f>IF(AND(ISNUMBER(H787),ISNUMBER(I787),H787&gt;0,ISNUMBER($B$94)),I787/H787,"")</f>
        <v/>
      </c>
      <c r="K787" s="11">
        <f>IF(AND(ISNUMBER(H787),ISNUMBER(I787),H787&gt;0,ISNUMBER($B$94)),MAX(0,$B$94-3*SQRT($B$94*(1-$B$94)/H787)),"")</f>
        <v/>
      </c>
      <c r="L787" s="11">
        <f>IF(AND(ISNUMBER(H787),ISNUMBER(I787),H787&gt;0,ISNUMBER($B$94)),$B$94+3*SQRT($B$94*(1-$B$94)/H787),"")</f>
        <v/>
      </c>
      <c r="M787" s="13">
        <f>IF(AND(ISNUMBER(J787),ISNUMBER(K787),ISNUMBER(L787)),IF(J787&gt;L787,"boven UCL",IF(J787&lt;K787,"onder LCL","")),"")</f>
        <v/>
      </c>
      <c r="O787" t="n">
        <v>681</v>
      </c>
      <c r="P787" s="7" t="n"/>
      <c r="Q787" s="7" t="n"/>
      <c r="R787" s="11">
        <f>IF(AND(ISNUMBER(P787),ISNUMBER(Q787),P787&gt;0,ISNUMBER($B$100)),Q787/P787,"")</f>
        <v/>
      </c>
      <c r="S787" s="11">
        <f>IF(AND(ISNUMBER(P787),ISNUMBER(Q787),P787&gt;0,ISNUMBER($B$100)),MAX(0,$B$100-3*SQRT($B$100/P787)),"")</f>
        <v/>
      </c>
      <c r="T787" s="11">
        <f>IF(AND(ISNUMBER(P787),ISNUMBER(Q787),P787&gt;0,ISNUMBER($B$100)),$B$100+3*SQRT($B$100/P787),"")</f>
        <v/>
      </c>
      <c r="U787" s="13">
        <f>IF(AND(ISNUMBER(R787),ISNUMBER(S787),ISNUMBER(T787)),IF(R787&gt;T787,"boven UCL",IF(R787&lt;S787,"onder LCL","")),"")</f>
        <v/>
      </c>
    </row>
    <row r="788">
      <c r="A788" t="n">
        <v>682</v>
      </c>
      <c r="B788" s="7" t="n"/>
      <c r="C788" s="11">
        <f>IF(AND(ISNUMBER(B788),ISNUMBER(B787)),ABS(B788-B787),"")</f>
        <v/>
      </c>
      <c r="D788" s="13">
        <f>IF(AND(ISNUMBER(B788),ISNUMBER($B$88),ISNUMBER($D$88)),IF(B788&gt;$D$88,"boven UCL",IF(B788&lt;$B$88,"onder LCL","")),"")</f>
        <v/>
      </c>
      <c r="E788" s="13">
        <f>IF(AND(ISNUMBER(C788),ISNUMBER($B$89),ISNUMBER($D$89)),IF(C788&gt;$D$89,"boven UCL",IF(C788&lt;$B$89,"onder LCL","")),"")</f>
        <v/>
      </c>
      <c r="G788" t="n">
        <v>682</v>
      </c>
      <c r="H788" s="7" t="n"/>
      <c r="I788" s="7" t="n"/>
      <c r="J788" s="11">
        <f>IF(AND(ISNUMBER(H788),ISNUMBER(I788),H788&gt;0,ISNUMBER($B$94)),I788/H788,"")</f>
        <v/>
      </c>
      <c r="K788" s="11">
        <f>IF(AND(ISNUMBER(H788),ISNUMBER(I788),H788&gt;0,ISNUMBER($B$94)),MAX(0,$B$94-3*SQRT($B$94*(1-$B$94)/H788)),"")</f>
        <v/>
      </c>
      <c r="L788" s="11">
        <f>IF(AND(ISNUMBER(H788),ISNUMBER(I788),H788&gt;0,ISNUMBER($B$94)),$B$94+3*SQRT($B$94*(1-$B$94)/H788),"")</f>
        <v/>
      </c>
      <c r="M788" s="13">
        <f>IF(AND(ISNUMBER(J788),ISNUMBER(K788),ISNUMBER(L788)),IF(J788&gt;L788,"boven UCL",IF(J788&lt;K788,"onder LCL","")),"")</f>
        <v/>
      </c>
      <c r="O788" t="n">
        <v>682</v>
      </c>
      <c r="P788" s="7" t="n"/>
      <c r="Q788" s="7" t="n"/>
      <c r="R788" s="11">
        <f>IF(AND(ISNUMBER(P788),ISNUMBER(Q788),P788&gt;0,ISNUMBER($B$100)),Q788/P788,"")</f>
        <v/>
      </c>
      <c r="S788" s="11">
        <f>IF(AND(ISNUMBER(P788),ISNUMBER(Q788),P788&gt;0,ISNUMBER($B$100)),MAX(0,$B$100-3*SQRT($B$100/P788)),"")</f>
        <v/>
      </c>
      <c r="T788" s="11">
        <f>IF(AND(ISNUMBER(P788),ISNUMBER(Q788),P788&gt;0,ISNUMBER($B$100)),$B$100+3*SQRT($B$100/P788),"")</f>
        <v/>
      </c>
      <c r="U788" s="13">
        <f>IF(AND(ISNUMBER(R788),ISNUMBER(S788),ISNUMBER(T788)),IF(R788&gt;T788,"boven UCL",IF(R788&lt;S788,"onder LCL","")),"")</f>
        <v/>
      </c>
    </row>
    <row r="789">
      <c r="A789" t="n">
        <v>683</v>
      </c>
      <c r="B789" s="7" t="n"/>
      <c r="C789" s="11">
        <f>IF(AND(ISNUMBER(B789),ISNUMBER(B788)),ABS(B789-B788),"")</f>
        <v/>
      </c>
      <c r="D789" s="13">
        <f>IF(AND(ISNUMBER(B789),ISNUMBER($B$88),ISNUMBER($D$88)),IF(B789&gt;$D$88,"boven UCL",IF(B789&lt;$B$88,"onder LCL","")),"")</f>
        <v/>
      </c>
      <c r="E789" s="13">
        <f>IF(AND(ISNUMBER(C789),ISNUMBER($B$89),ISNUMBER($D$89)),IF(C789&gt;$D$89,"boven UCL",IF(C789&lt;$B$89,"onder LCL","")),"")</f>
        <v/>
      </c>
      <c r="G789" t="n">
        <v>683</v>
      </c>
      <c r="H789" s="7" t="n"/>
      <c r="I789" s="7" t="n"/>
      <c r="J789" s="11">
        <f>IF(AND(ISNUMBER(H789),ISNUMBER(I789),H789&gt;0,ISNUMBER($B$94)),I789/H789,"")</f>
        <v/>
      </c>
      <c r="K789" s="11">
        <f>IF(AND(ISNUMBER(H789),ISNUMBER(I789),H789&gt;0,ISNUMBER($B$94)),MAX(0,$B$94-3*SQRT($B$94*(1-$B$94)/H789)),"")</f>
        <v/>
      </c>
      <c r="L789" s="11">
        <f>IF(AND(ISNUMBER(H789),ISNUMBER(I789),H789&gt;0,ISNUMBER($B$94)),$B$94+3*SQRT($B$94*(1-$B$94)/H789),"")</f>
        <v/>
      </c>
      <c r="M789" s="13">
        <f>IF(AND(ISNUMBER(J789),ISNUMBER(K789),ISNUMBER(L789)),IF(J789&gt;L789,"boven UCL",IF(J789&lt;K789,"onder LCL","")),"")</f>
        <v/>
      </c>
      <c r="O789" t="n">
        <v>683</v>
      </c>
      <c r="P789" s="7" t="n"/>
      <c r="Q789" s="7" t="n"/>
      <c r="R789" s="11">
        <f>IF(AND(ISNUMBER(P789),ISNUMBER(Q789),P789&gt;0,ISNUMBER($B$100)),Q789/P789,"")</f>
        <v/>
      </c>
      <c r="S789" s="11">
        <f>IF(AND(ISNUMBER(P789),ISNUMBER(Q789),P789&gt;0,ISNUMBER($B$100)),MAX(0,$B$100-3*SQRT($B$100/P789)),"")</f>
        <v/>
      </c>
      <c r="T789" s="11">
        <f>IF(AND(ISNUMBER(P789),ISNUMBER(Q789),P789&gt;0,ISNUMBER($B$100)),$B$100+3*SQRT($B$100/P789),"")</f>
        <v/>
      </c>
      <c r="U789" s="13">
        <f>IF(AND(ISNUMBER(R789),ISNUMBER(S789),ISNUMBER(T789)),IF(R789&gt;T789,"boven UCL",IF(R789&lt;S789,"onder LCL","")),"")</f>
        <v/>
      </c>
    </row>
    <row r="790">
      <c r="A790" t="n">
        <v>684</v>
      </c>
      <c r="B790" s="7" t="n"/>
      <c r="C790" s="11">
        <f>IF(AND(ISNUMBER(B790),ISNUMBER(B789)),ABS(B790-B789),"")</f>
        <v/>
      </c>
      <c r="D790" s="13">
        <f>IF(AND(ISNUMBER(B790),ISNUMBER($B$88),ISNUMBER($D$88)),IF(B790&gt;$D$88,"boven UCL",IF(B790&lt;$B$88,"onder LCL","")),"")</f>
        <v/>
      </c>
      <c r="E790" s="13">
        <f>IF(AND(ISNUMBER(C790),ISNUMBER($B$89),ISNUMBER($D$89)),IF(C790&gt;$D$89,"boven UCL",IF(C790&lt;$B$89,"onder LCL","")),"")</f>
        <v/>
      </c>
      <c r="G790" t="n">
        <v>684</v>
      </c>
      <c r="H790" s="7" t="n"/>
      <c r="I790" s="7" t="n"/>
      <c r="J790" s="11">
        <f>IF(AND(ISNUMBER(H790),ISNUMBER(I790),H790&gt;0,ISNUMBER($B$94)),I790/H790,"")</f>
        <v/>
      </c>
      <c r="K790" s="11">
        <f>IF(AND(ISNUMBER(H790),ISNUMBER(I790),H790&gt;0,ISNUMBER($B$94)),MAX(0,$B$94-3*SQRT($B$94*(1-$B$94)/H790)),"")</f>
        <v/>
      </c>
      <c r="L790" s="11">
        <f>IF(AND(ISNUMBER(H790),ISNUMBER(I790),H790&gt;0,ISNUMBER($B$94)),$B$94+3*SQRT($B$94*(1-$B$94)/H790),"")</f>
        <v/>
      </c>
      <c r="M790" s="13">
        <f>IF(AND(ISNUMBER(J790),ISNUMBER(K790),ISNUMBER(L790)),IF(J790&gt;L790,"boven UCL",IF(J790&lt;K790,"onder LCL","")),"")</f>
        <v/>
      </c>
      <c r="O790" t="n">
        <v>684</v>
      </c>
      <c r="P790" s="7" t="n"/>
      <c r="Q790" s="7" t="n"/>
      <c r="R790" s="11">
        <f>IF(AND(ISNUMBER(P790),ISNUMBER(Q790),P790&gt;0,ISNUMBER($B$100)),Q790/P790,"")</f>
        <v/>
      </c>
      <c r="S790" s="11">
        <f>IF(AND(ISNUMBER(P790),ISNUMBER(Q790),P790&gt;0,ISNUMBER($B$100)),MAX(0,$B$100-3*SQRT($B$100/P790)),"")</f>
        <v/>
      </c>
      <c r="T790" s="11">
        <f>IF(AND(ISNUMBER(P790),ISNUMBER(Q790),P790&gt;0,ISNUMBER($B$100)),$B$100+3*SQRT($B$100/P790),"")</f>
        <v/>
      </c>
      <c r="U790" s="13">
        <f>IF(AND(ISNUMBER(R790),ISNUMBER(S790),ISNUMBER(T790)),IF(R790&gt;T790,"boven UCL",IF(R790&lt;S790,"onder LCL","")),"")</f>
        <v/>
      </c>
    </row>
    <row r="791">
      <c r="A791" t="n">
        <v>685</v>
      </c>
      <c r="B791" s="7" t="n"/>
      <c r="C791" s="11">
        <f>IF(AND(ISNUMBER(B791),ISNUMBER(B790)),ABS(B791-B790),"")</f>
        <v/>
      </c>
      <c r="D791" s="13">
        <f>IF(AND(ISNUMBER(B791),ISNUMBER($B$88),ISNUMBER($D$88)),IF(B791&gt;$D$88,"boven UCL",IF(B791&lt;$B$88,"onder LCL","")),"")</f>
        <v/>
      </c>
      <c r="E791" s="13">
        <f>IF(AND(ISNUMBER(C791),ISNUMBER($B$89),ISNUMBER($D$89)),IF(C791&gt;$D$89,"boven UCL",IF(C791&lt;$B$89,"onder LCL","")),"")</f>
        <v/>
      </c>
      <c r="G791" t="n">
        <v>685</v>
      </c>
      <c r="H791" s="7" t="n"/>
      <c r="I791" s="7" t="n"/>
      <c r="J791" s="11">
        <f>IF(AND(ISNUMBER(H791),ISNUMBER(I791),H791&gt;0,ISNUMBER($B$94)),I791/H791,"")</f>
        <v/>
      </c>
      <c r="K791" s="11">
        <f>IF(AND(ISNUMBER(H791),ISNUMBER(I791),H791&gt;0,ISNUMBER($B$94)),MAX(0,$B$94-3*SQRT($B$94*(1-$B$94)/H791)),"")</f>
        <v/>
      </c>
      <c r="L791" s="11">
        <f>IF(AND(ISNUMBER(H791),ISNUMBER(I791),H791&gt;0,ISNUMBER($B$94)),$B$94+3*SQRT($B$94*(1-$B$94)/H791),"")</f>
        <v/>
      </c>
      <c r="M791" s="13">
        <f>IF(AND(ISNUMBER(J791),ISNUMBER(K791),ISNUMBER(L791)),IF(J791&gt;L791,"boven UCL",IF(J791&lt;K791,"onder LCL","")),"")</f>
        <v/>
      </c>
      <c r="O791" t="n">
        <v>685</v>
      </c>
      <c r="P791" s="7" t="n"/>
      <c r="Q791" s="7" t="n"/>
      <c r="R791" s="11">
        <f>IF(AND(ISNUMBER(P791),ISNUMBER(Q791),P791&gt;0,ISNUMBER($B$100)),Q791/P791,"")</f>
        <v/>
      </c>
      <c r="S791" s="11">
        <f>IF(AND(ISNUMBER(P791),ISNUMBER(Q791),P791&gt;0,ISNUMBER($B$100)),MAX(0,$B$100-3*SQRT($B$100/P791)),"")</f>
        <v/>
      </c>
      <c r="T791" s="11">
        <f>IF(AND(ISNUMBER(P791),ISNUMBER(Q791),P791&gt;0,ISNUMBER($B$100)),$B$100+3*SQRT($B$100/P791),"")</f>
        <v/>
      </c>
      <c r="U791" s="13">
        <f>IF(AND(ISNUMBER(R791),ISNUMBER(S791),ISNUMBER(T791)),IF(R791&gt;T791,"boven UCL",IF(R791&lt;S791,"onder LCL","")),"")</f>
        <v/>
      </c>
    </row>
    <row r="792">
      <c r="A792" t="n">
        <v>686</v>
      </c>
      <c r="B792" s="7" t="n"/>
      <c r="C792" s="11">
        <f>IF(AND(ISNUMBER(B792),ISNUMBER(B791)),ABS(B792-B791),"")</f>
        <v/>
      </c>
      <c r="D792" s="13">
        <f>IF(AND(ISNUMBER(B792),ISNUMBER($B$88),ISNUMBER($D$88)),IF(B792&gt;$D$88,"boven UCL",IF(B792&lt;$B$88,"onder LCL","")),"")</f>
        <v/>
      </c>
      <c r="E792" s="13">
        <f>IF(AND(ISNUMBER(C792),ISNUMBER($B$89),ISNUMBER($D$89)),IF(C792&gt;$D$89,"boven UCL",IF(C792&lt;$B$89,"onder LCL","")),"")</f>
        <v/>
      </c>
      <c r="G792" t="n">
        <v>686</v>
      </c>
      <c r="H792" s="7" t="n"/>
      <c r="I792" s="7" t="n"/>
      <c r="J792" s="11">
        <f>IF(AND(ISNUMBER(H792),ISNUMBER(I792),H792&gt;0,ISNUMBER($B$94)),I792/H792,"")</f>
        <v/>
      </c>
      <c r="K792" s="11">
        <f>IF(AND(ISNUMBER(H792),ISNUMBER(I792),H792&gt;0,ISNUMBER($B$94)),MAX(0,$B$94-3*SQRT($B$94*(1-$B$94)/H792)),"")</f>
        <v/>
      </c>
      <c r="L792" s="11">
        <f>IF(AND(ISNUMBER(H792),ISNUMBER(I792),H792&gt;0,ISNUMBER($B$94)),$B$94+3*SQRT($B$94*(1-$B$94)/H792),"")</f>
        <v/>
      </c>
      <c r="M792" s="13">
        <f>IF(AND(ISNUMBER(J792),ISNUMBER(K792),ISNUMBER(L792)),IF(J792&gt;L792,"boven UCL",IF(J792&lt;K792,"onder LCL","")),"")</f>
        <v/>
      </c>
      <c r="O792" t="n">
        <v>686</v>
      </c>
      <c r="P792" s="7" t="n"/>
      <c r="Q792" s="7" t="n"/>
      <c r="R792" s="11">
        <f>IF(AND(ISNUMBER(P792),ISNUMBER(Q792),P792&gt;0,ISNUMBER($B$100)),Q792/P792,"")</f>
        <v/>
      </c>
      <c r="S792" s="11">
        <f>IF(AND(ISNUMBER(P792),ISNUMBER(Q792),P792&gt;0,ISNUMBER($B$100)),MAX(0,$B$100-3*SQRT($B$100/P792)),"")</f>
        <v/>
      </c>
      <c r="T792" s="11">
        <f>IF(AND(ISNUMBER(P792),ISNUMBER(Q792),P792&gt;0,ISNUMBER($B$100)),$B$100+3*SQRT($B$100/P792),"")</f>
        <v/>
      </c>
      <c r="U792" s="13">
        <f>IF(AND(ISNUMBER(R792),ISNUMBER(S792),ISNUMBER(T792)),IF(R792&gt;T792,"boven UCL",IF(R792&lt;S792,"onder LCL","")),"")</f>
        <v/>
      </c>
    </row>
    <row r="793">
      <c r="A793" t="n">
        <v>687</v>
      </c>
      <c r="B793" s="7" t="n"/>
      <c r="C793" s="11">
        <f>IF(AND(ISNUMBER(B793),ISNUMBER(B792)),ABS(B793-B792),"")</f>
        <v/>
      </c>
      <c r="D793" s="13">
        <f>IF(AND(ISNUMBER(B793),ISNUMBER($B$88),ISNUMBER($D$88)),IF(B793&gt;$D$88,"boven UCL",IF(B793&lt;$B$88,"onder LCL","")),"")</f>
        <v/>
      </c>
      <c r="E793" s="13">
        <f>IF(AND(ISNUMBER(C793),ISNUMBER($B$89),ISNUMBER($D$89)),IF(C793&gt;$D$89,"boven UCL",IF(C793&lt;$B$89,"onder LCL","")),"")</f>
        <v/>
      </c>
      <c r="G793" t="n">
        <v>687</v>
      </c>
      <c r="H793" s="7" t="n"/>
      <c r="I793" s="7" t="n"/>
      <c r="J793" s="11">
        <f>IF(AND(ISNUMBER(H793),ISNUMBER(I793),H793&gt;0,ISNUMBER($B$94)),I793/H793,"")</f>
        <v/>
      </c>
      <c r="K793" s="11">
        <f>IF(AND(ISNUMBER(H793),ISNUMBER(I793),H793&gt;0,ISNUMBER($B$94)),MAX(0,$B$94-3*SQRT($B$94*(1-$B$94)/H793)),"")</f>
        <v/>
      </c>
      <c r="L793" s="11">
        <f>IF(AND(ISNUMBER(H793),ISNUMBER(I793),H793&gt;0,ISNUMBER($B$94)),$B$94+3*SQRT($B$94*(1-$B$94)/H793),"")</f>
        <v/>
      </c>
      <c r="M793" s="13">
        <f>IF(AND(ISNUMBER(J793),ISNUMBER(K793),ISNUMBER(L793)),IF(J793&gt;L793,"boven UCL",IF(J793&lt;K793,"onder LCL","")),"")</f>
        <v/>
      </c>
      <c r="O793" t="n">
        <v>687</v>
      </c>
      <c r="P793" s="7" t="n"/>
      <c r="Q793" s="7" t="n"/>
      <c r="R793" s="11">
        <f>IF(AND(ISNUMBER(P793),ISNUMBER(Q793),P793&gt;0,ISNUMBER($B$100)),Q793/P793,"")</f>
        <v/>
      </c>
      <c r="S793" s="11">
        <f>IF(AND(ISNUMBER(P793),ISNUMBER(Q793),P793&gt;0,ISNUMBER($B$100)),MAX(0,$B$100-3*SQRT($B$100/P793)),"")</f>
        <v/>
      </c>
      <c r="T793" s="11">
        <f>IF(AND(ISNUMBER(P793),ISNUMBER(Q793),P793&gt;0,ISNUMBER($B$100)),$B$100+3*SQRT($B$100/P793),"")</f>
        <v/>
      </c>
      <c r="U793" s="13">
        <f>IF(AND(ISNUMBER(R793),ISNUMBER(S793),ISNUMBER(T793)),IF(R793&gt;T793,"boven UCL",IF(R793&lt;S793,"onder LCL","")),"")</f>
        <v/>
      </c>
    </row>
    <row r="794">
      <c r="A794" t="n">
        <v>688</v>
      </c>
      <c r="B794" s="7" t="n"/>
      <c r="C794" s="11">
        <f>IF(AND(ISNUMBER(B794),ISNUMBER(B793)),ABS(B794-B793),"")</f>
        <v/>
      </c>
      <c r="D794" s="13">
        <f>IF(AND(ISNUMBER(B794),ISNUMBER($B$88),ISNUMBER($D$88)),IF(B794&gt;$D$88,"boven UCL",IF(B794&lt;$B$88,"onder LCL","")),"")</f>
        <v/>
      </c>
      <c r="E794" s="13">
        <f>IF(AND(ISNUMBER(C794),ISNUMBER($B$89),ISNUMBER($D$89)),IF(C794&gt;$D$89,"boven UCL",IF(C794&lt;$B$89,"onder LCL","")),"")</f>
        <v/>
      </c>
      <c r="G794" t="n">
        <v>688</v>
      </c>
      <c r="H794" s="7" t="n"/>
      <c r="I794" s="7" t="n"/>
      <c r="J794" s="11">
        <f>IF(AND(ISNUMBER(H794),ISNUMBER(I794),H794&gt;0,ISNUMBER($B$94)),I794/H794,"")</f>
        <v/>
      </c>
      <c r="K794" s="11">
        <f>IF(AND(ISNUMBER(H794),ISNUMBER(I794),H794&gt;0,ISNUMBER($B$94)),MAX(0,$B$94-3*SQRT($B$94*(1-$B$94)/H794)),"")</f>
        <v/>
      </c>
      <c r="L794" s="11">
        <f>IF(AND(ISNUMBER(H794),ISNUMBER(I794),H794&gt;0,ISNUMBER($B$94)),$B$94+3*SQRT($B$94*(1-$B$94)/H794),"")</f>
        <v/>
      </c>
      <c r="M794" s="13">
        <f>IF(AND(ISNUMBER(J794),ISNUMBER(K794),ISNUMBER(L794)),IF(J794&gt;L794,"boven UCL",IF(J794&lt;K794,"onder LCL","")),"")</f>
        <v/>
      </c>
      <c r="O794" t="n">
        <v>688</v>
      </c>
      <c r="P794" s="7" t="n"/>
      <c r="Q794" s="7" t="n"/>
      <c r="R794" s="11">
        <f>IF(AND(ISNUMBER(P794),ISNUMBER(Q794),P794&gt;0,ISNUMBER($B$100)),Q794/P794,"")</f>
        <v/>
      </c>
      <c r="S794" s="11">
        <f>IF(AND(ISNUMBER(P794),ISNUMBER(Q794),P794&gt;0,ISNUMBER($B$100)),MAX(0,$B$100-3*SQRT($B$100/P794)),"")</f>
        <v/>
      </c>
      <c r="T794" s="11">
        <f>IF(AND(ISNUMBER(P794),ISNUMBER(Q794),P794&gt;0,ISNUMBER($B$100)),$B$100+3*SQRT($B$100/P794),"")</f>
        <v/>
      </c>
      <c r="U794" s="13">
        <f>IF(AND(ISNUMBER(R794),ISNUMBER(S794),ISNUMBER(T794)),IF(R794&gt;T794,"boven UCL",IF(R794&lt;S794,"onder LCL","")),"")</f>
        <v/>
      </c>
    </row>
    <row r="795">
      <c r="A795" t="n">
        <v>689</v>
      </c>
      <c r="B795" s="7" t="n"/>
      <c r="C795" s="11">
        <f>IF(AND(ISNUMBER(B795),ISNUMBER(B794)),ABS(B795-B794),"")</f>
        <v/>
      </c>
      <c r="D795" s="13">
        <f>IF(AND(ISNUMBER(B795),ISNUMBER($B$88),ISNUMBER($D$88)),IF(B795&gt;$D$88,"boven UCL",IF(B795&lt;$B$88,"onder LCL","")),"")</f>
        <v/>
      </c>
      <c r="E795" s="13">
        <f>IF(AND(ISNUMBER(C795),ISNUMBER($B$89),ISNUMBER($D$89)),IF(C795&gt;$D$89,"boven UCL",IF(C795&lt;$B$89,"onder LCL","")),"")</f>
        <v/>
      </c>
      <c r="G795" t="n">
        <v>689</v>
      </c>
      <c r="H795" s="7" t="n"/>
      <c r="I795" s="7" t="n"/>
      <c r="J795" s="11">
        <f>IF(AND(ISNUMBER(H795),ISNUMBER(I795),H795&gt;0,ISNUMBER($B$94)),I795/H795,"")</f>
        <v/>
      </c>
      <c r="K795" s="11">
        <f>IF(AND(ISNUMBER(H795),ISNUMBER(I795),H795&gt;0,ISNUMBER($B$94)),MAX(0,$B$94-3*SQRT($B$94*(1-$B$94)/H795)),"")</f>
        <v/>
      </c>
      <c r="L795" s="11">
        <f>IF(AND(ISNUMBER(H795),ISNUMBER(I795),H795&gt;0,ISNUMBER($B$94)),$B$94+3*SQRT($B$94*(1-$B$94)/H795),"")</f>
        <v/>
      </c>
      <c r="M795" s="13">
        <f>IF(AND(ISNUMBER(J795),ISNUMBER(K795),ISNUMBER(L795)),IF(J795&gt;L795,"boven UCL",IF(J795&lt;K795,"onder LCL","")),"")</f>
        <v/>
      </c>
      <c r="O795" t="n">
        <v>689</v>
      </c>
      <c r="P795" s="7" t="n"/>
      <c r="Q795" s="7" t="n"/>
      <c r="R795" s="11">
        <f>IF(AND(ISNUMBER(P795),ISNUMBER(Q795),P795&gt;0,ISNUMBER($B$100)),Q795/P795,"")</f>
        <v/>
      </c>
      <c r="S795" s="11">
        <f>IF(AND(ISNUMBER(P795),ISNUMBER(Q795),P795&gt;0,ISNUMBER($B$100)),MAX(0,$B$100-3*SQRT($B$100/P795)),"")</f>
        <v/>
      </c>
      <c r="T795" s="11">
        <f>IF(AND(ISNUMBER(P795),ISNUMBER(Q795),P795&gt;0,ISNUMBER($B$100)),$B$100+3*SQRT($B$100/P795),"")</f>
        <v/>
      </c>
      <c r="U795" s="13">
        <f>IF(AND(ISNUMBER(R795),ISNUMBER(S795),ISNUMBER(T795)),IF(R795&gt;T795,"boven UCL",IF(R795&lt;S795,"onder LCL","")),"")</f>
        <v/>
      </c>
    </row>
    <row r="796">
      <c r="A796" t="n">
        <v>690</v>
      </c>
      <c r="B796" s="7" t="n"/>
      <c r="C796" s="11">
        <f>IF(AND(ISNUMBER(B796),ISNUMBER(B795)),ABS(B796-B795),"")</f>
        <v/>
      </c>
      <c r="D796" s="13">
        <f>IF(AND(ISNUMBER(B796),ISNUMBER($B$88),ISNUMBER($D$88)),IF(B796&gt;$D$88,"boven UCL",IF(B796&lt;$B$88,"onder LCL","")),"")</f>
        <v/>
      </c>
      <c r="E796" s="13">
        <f>IF(AND(ISNUMBER(C796),ISNUMBER($B$89),ISNUMBER($D$89)),IF(C796&gt;$D$89,"boven UCL",IF(C796&lt;$B$89,"onder LCL","")),"")</f>
        <v/>
      </c>
      <c r="G796" t="n">
        <v>690</v>
      </c>
      <c r="H796" s="7" t="n"/>
      <c r="I796" s="7" t="n"/>
      <c r="J796" s="11">
        <f>IF(AND(ISNUMBER(H796),ISNUMBER(I796),H796&gt;0,ISNUMBER($B$94)),I796/H796,"")</f>
        <v/>
      </c>
      <c r="K796" s="11">
        <f>IF(AND(ISNUMBER(H796),ISNUMBER(I796),H796&gt;0,ISNUMBER($B$94)),MAX(0,$B$94-3*SQRT($B$94*(1-$B$94)/H796)),"")</f>
        <v/>
      </c>
      <c r="L796" s="11">
        <f>IF(AND(ISNUMBER(H796),ISNUMBER(I796),H796&gt;0,ISNUMBER($B$94)),$B$94+3*SQRT($B$94*(1-$B$94)/H796),"")</f>
        <v/>
      </c>
      <c r="M796" s="13">
        <f>IF(AND(ISNUMBER(J796),ISNUMBER(K796),ISNUMBER(L796)),IF(J796&gt;L796,"boven UCL",IF(J796&lt;K796,"onder LCL","")),"")</f>
        <v/>
      </c>
      <c r="O796" t="n">
        <v>690</v>
      </c>
      <c r="P796" s="7" t="n"/>
      <c r="Q796" s="7" t="n"/>
      <c r="R796" s="11">
        <f>IF(AND(ISNUMBER(P796),ISNUMBER(Q796),P796&gt;0,ISNUMBER($B$100)),Q796/P796,"")</f>
        <v/>
      </c>
      <c r="S796" s="11">
        <f>IF(AND(ISNUMBER(P796),ISNUMBER(Q796),P796&gt;0,ISNUMBER($B$100)),MAX(0,$B$100-3*SQRT($B$100/P796)),"")</f>
        <v/>
      </c>
      <c r="T796" s="11">
        <f>IF(AND(ISNUMBER(P796),ISNUMBER(Q796),P796&gt;0,ISNUMBER($B$100)),$B$100+3*SQRT($B$100/P796),"")</f>
        <v/>
      </c>
      <c r="U796" s="13">
        <f>IF(AND(ISNUMBER(R796),ISNUMBER(S796),ISNUMBER(T796)),IF(R796&gt;T796,"boven UCL",IF(R796&lt;S796,"onder LCL","")),"")</f>
        <v/>
      </c>
    </row>
    <row r="797">
      <c r="A797" t="n">
        <v>691</v>
      </c>
      <c r="B797" s="7" t="n"/>
      <c r="C797" s="11">
        <f>IF(AND(ISNUMBER(B797),ISNUMBER(B796)),ABS(B797-B796),"")</f>
        <v/>
      </c>
      <c r="D797" s="13">
        <f>IF(AND(ISNUMBER(B797),ISNUMBER($B$88),ISNUMBER($D$88)),IF(B797&gt;$D$88,"boven UCL",IF(B797&lt;$B$88,"onder LCL","")),"")</f>
        <v/>
      </c>
      <c r="E797" s="13">
        <f>IF(AND(ISNUMBER(C797),ISNUMBER($B$89),ISNUMBER($D$89)),IF(C797&gt;$D$89,"boven UCL",IF(C797&lt;$B$89,"onder LCL","")),"")</f>
        <v/>
      </c>
      <c r="G797" t="n">
        <v>691</v>
      </c>
      <c r="H797" s="7" t="n"/>
      <c r="I797" s="7" t="n"/>
      <c r="J797" s="11">
        <f>IF(AND(ISNUMBER(H797),ISNUMBER(I797),H797&gt;0,ISNUMBER($B$94)),I797/H797,"")</f>
        <v/>
      </c>
      <c r="K797" s="11">
        <f>IF(AND(ISNUMBER(H797),ISNUMBER(I797),H797&gt;0,ISNUMBER($B$94)),MAX(0,$B$94-3*SQRT($B$94*(1-$B$94)/H797)),"")</f>
        <v/>
      </c>
      <c r="L797" s="11">
        <f>IF(AND(ISNUMBER(H797),ISNUMBER(I797),H797&gt;0,ISNUMBER($B$94)),$B$94+3*SQRT($B$94*(1-$B$94)/H797),"")</f>
        <v/>
      </c>
      <c r="M797" s="13">
        <f>IF(AND(ISNUMBER(J797),ISNUMBER(K797),ISNUMBER(L797)),IF(J797&gt;L797,"boven UCL",IF(J797&lt;K797,"onder LCL","")),"")</f>
        <v/>
      </c>
      <c r="O797" t="n">
        <v>691</v>
      </c>
      <c r="P797" s="7" t="n"/>
      <c r="Q797" s="7" t="n"/>
      <c r="R797" s="11">
        <f>IF(AND(ISNUMBER(P797),ISNUMBER(Q797),P797&gt;0,ISNUMBER($B$100)),Q797/P797,"")</f>
        <v/>
      </c>
      <c r="S797" s="11">
        <f>IF(AND(ISNUMBER(P797),ISNUMBER(Q797),P797&gt;0,ISNUMBER($B$100)),MAX(0,$B$100-3*SQRT($B$100/P797)),"")</f>
        <v/>
      </c>
      <c r="T797" s="11">
        <f>IF(AND(ISNUMBER(P797),ISNUMBER(Q797),P797&gt;0,ISNUMBER($B$100)),$B$100+3*SQRT($B$100/P797),"")</f>
        <v/>
      </c>
      <c r="U797" s="13">
        <f>IF(AND(ISNUMBER(R797),ISNUMBER(S797),ISNUMBER(T797)),IF(R797&gt;T797,"boven UCL",IF(R797&lt;S797,"onder LCL","")),"")</f>
        <v/>
      </c>
    </row>
    <row r="798">
      <c r="A798" t="n">
        <v>692</v>
      </c>
      <c r="B798" s="7" t="n"/>
      <c r="C798" s="11">
        <f>IF(AND(ISNUMBER(B798),ISNUMBER(B797)),ABS(B798-B797),"")</f>
        <v/>
      </c>
      <c r="D798" s="13">
        <f>IF(AND(ISNUMBER(B798),ISNUMBER($B$88),ISNUMBER($D$88)),IF(B798&gt;$D$88,"boven UCL",IF(B798&lt;$B$88,"onder LCL","")),"")</f>
        <v/>
      </c>
      <c r="E798" s="13">
        <f>IF(AND(ISNUMBER(C798),ISNUMBER($B$89),ISNUMBER($D$89)),IF(C798&gt;$D$89,"boven UCL",IF(C798&lt;$B$89,"onder LCL","")),"")</f>
        <v/>
      </c>
      <c r="G798" t="n">
        <v>692</v>
      </c>
      <c r="H798" s="7" t="n"/>
      <c r="I798" s="7" t="n"/>
      <c r="J798" s="11">
        <f>IF(AND(ISNUMBER(H798),ISNUMBER(I798),H798&gt;0,ISNUMBER($B$94)),I798/H798,"")</f>
        <v/>
      </c>
      <c r="K798" s="11">
        <f>IF(AND(ISNUMBER(H798),ISNUMBER(I798),H798&gt;0,ISNUMBER($B$94)),MAX(0,$B$94-3*SQRT($B$94*(1-$B$94)/H798)),"")</f>
        <v/>
      </c>
      <c r="L798" s="11">
        <f>IF(AND(ISNUMBER(H798),ISNUMBER(I798),H798&gt;0,ISNUMBER($B$94)),$B$94+3*SQRT($B$94*(1-$B$94)/H798),"")</f>
        <v/>
      </c>
      <c r="M798" s="13">
        <f>IF(AND(ISNUMBER(J798),ISNUMBER(K798),ISNUMBER(L798)),IF(J798&gt;L798,"boven UCL",IF(J798&lt;K798,"onder LCL","")),"")</f>
        <v/>
      </c>
      <c r="O798" t="n">
        <v>692</v>
      </c>
      <c r="P798" s="7" t="n"/>
      <c r="Q798" s="7" t="n"/>
      <c r="R798" s="11">
        <f>IF(AND(ISNUMBER(P798),ISNUMBER(Q798),P798&gt;0,ISNUMBER($B$100)),Q798/P798,"")</f>
        <v/>
      </c>
      <c r="S798" s="11">
        <f>IF(AND(ISNUMBER(P798),ISNUMBER(Q798),P798&gt;0,ISNUMBER($B$100)),MAX(0,$B$100-3*SQRT($B$100/P798)),"")</f>
        <v/>
      </c>
      <c r="T798" s="11">
        <f>IF(AND(ISNUMBER(P798),ISNUMBER(Q798),P798&gt;0,ISNUMBER($B$100)),$B$100+3*SQRT($B$100/P798),"")</f>
        <v/>
      </c>
      <c r="U798" s="13">
        <f>IF(AND(ISNUMBER(R798),ISNUMBER(S798),ISNUMBER(T798)),IF(R798&gt;T798,"boven UCL",IF(R798&lt;S798,"onder LCL","")),"")</f>
        <v/>
      </c>
    </row>
    <row r="799">
      <c r="A799" t="n">
        <v>693</v>
      </c>
      <c r="B799" s="7" t="n"/>
      <c r="C799" s="11">
        <f>IF(AND(ISNUMBER(B799),ISNUMBER(B798)),ABS(B799-B798),"")</f>
        <v/>
      </c>
      <c r="D799" s="13">
        <f>IF(AND(ISNUMBER(B799),ISNUMBER($B$88),ISNUMBER($D$88)),IF(B799&gt;$D$88,"boven UCL",IF(B799&lt;$B$88,"onder LCL","")),"")</f>
        <v/>
      </c>
      <c r="E799" s="13">
        <f>IF(AND(ISNUMBER(C799),ISNUMBER($B$89),ISNUMBER($D$89)),IF(C799&gt;$D$89,"boven UCL",IF(C799&lt;$B$89,"onder LCL","")),"")</f>
        <v/>
      </c>
      <c r="G799" t="n">
        <v>693</v>
      </c>
      <c r="H799" s="7" t="n"/>
      <c r="I799" s="7" t="n"/>
      <c r="J799" s="11">
        <f>IF(AND(ISNUMBER(H799),ISNUMBER(I799),H799&gt;0,ISNUMBER($B$94)),I799/H799,"")</f>
        <v/>
      </c>
      <c r="K799" s="11">
        <f>IF(AND(ISNUMBER(H799),ISNUMBER(I799),H799&gt;0,ISNUMBER($B$94)),MAX(0,$B$94-3*SQRT($B$94*(1-$B$94)/H799)),"")</f>
        <v/>
      </c>
      <c r="L799" s="11">
        <f>IF(AND(ISNUMBER(H799),ISNUMBER(I799),H799&gt;0,ISNUMBER($B$94)),$B$94+3*SQRT($B$94*(1-$B$94)/H799),"")</f>
        <v/>
      </c>
      <c r="M799" s="13">
        <f>IF(AND(ISNUMBER(J799),ISNUMBER(K799),ISNUMBER(L799)),IF(J799&gt;L799,"boven UCL",IF(J799&lt;K799,"onder LCL","")),"")</f>
        <v/>
      </c>
      <c r="O799" t="n">
        <v>693</v>
      </c>
      <c r="P799" s="7" t="n"/>
      <c r="Q799" s="7" t="n"/>
      <c r="R799" s="11">
        <f>IF(AND(ISNUMBER(P799),ISNUMBER(Q799),P799&gt;0,ISNUMBER($B$100)),Q799/P799,"")</f>
        <v/>
      </c>
      <c r="S799" s="11">
        <f>IF(AND(ISNUMBER(P799),ISNUMBER(Q799),P799&gt;0,ISNUMBER($B$100)),MAX(0,$B$100-3*SQRT($B$100/P799)),"")</f>
        <v/>
      </c>
      <c r="T799" s="11">
        <f>IF(AND(ISNUMBER(P799),ISNUMBER(Q799),P799&gt;0,ISNUMBER($B$100)),$B$100+3*SQRT($B$100/P799),"")</f>
        <v/>
      </c>
      <c r="U799" s="13">
        <f>IF(AND(ISNUMBER(R799),ISNUMBER(S799),ISNUMBER(T799)),IF(R799&gt;T799,"boven UCL",IF(R799&lt;S799,"onder LCL","")),"")</f>
        <v/>
      </c>
    </row>
    <row r="800">
      <c r="A800" t="n">
        <v>694</v>
      </c>
      <c r="B800" s="7" t="n"/>
      <c r="C800" s="11">
        <f>IF(AND(ISNUMBER(B800),ISNUMBER(B799)),ABS(B800-B799),"")</f>
        <v/>
      </c>
      <c r="D800" s="13">
        <f>IF(AND(ISNUMBER(B800),ISNUMBER($B$88),ISNUMBER($D$88)),IF(B800&gt;$D$88,"boven UCL",IF(B800&lt;$B$88,"onder LCL","")),"")</f>
        <v/>
      </c>
      <c r="E800" s="13">
        <f>IF(AND(ISNUMBER(C800),ISNUMBER($B$89),ISNUMBER($D$89)),IF(C800&gt;$D$89,"boven UCL",IF(C800&lt;$B$89,"onder LCL","")),"")</f>
        <v/>
      </c>
      <c r="G800" t="n">
        <v>694</v>
      </c>
      <c r="H800" s="7" t="n"/>
      <c r="I800" s="7" t="n"/>
      <c r="J800" s="11">
        <f>IF(AND(ISNUMBER(H800),ISNUMBER(I800),H800&gt;0,ISNUMBER($B$94)),I800/H800,"")</f>
        <v/>
      </c>
      <c r="K800" s="11">
        <f>IF(AND(ISNUMBER(H800),ISNUMBER(I800),H800&gt;0,ISNUMBER($B$94)),MAX(0,$B$94-3*SQRT($B$94*(1-$B$94)/H800)),"")</f>
        <v/>
      </c>
      <c r="L800" s="11">
        <f>IF(AND(ISNUMBER(H800),ISNUMBER(I800),H800&gt;0,ISNUMBER($B$94)),$B$94+3*SQRT($B$94*(1-$B$94)/H800),"")</f>
        <v/>
      </c>
      <c r="M800" s="13">
        <f>IF(AND(ISNUMBER(J800),ISNUMBER(K800),ISNUMBER(L800)),IF(J800&gt;L800,"boven UCL",IF(J800&lt;K800,"onder LCL","")),"")</f>
        <v/>
      </c>
      <c r="O800" t="n">
        <v>694</v>
      </c>
      <c r="P800" s="7" t="n"/>
      <c r="Q800" s="7" t="n"/>
      <c r="R800" s="11">
        <f>IF(AND(ISNUMBER(P800),ISNUMBER(Q800),P800&gt;0,ISNUMBER($B$100)),Q800/P800,"")</f>
        <v/>
      </c>
      <c r="S800" s="11">
        <f>IF(AND(ISNUMBER(P800),ISNUMBER(Q800),P800&gt;0,ISNUMBER($B$100)),MAX(0,$B$100-3*SQRT($B$100/P800)),"")</f>
        <v/>
      </c>
      <c r="T800" s="11">
        <f>IF(AND(ISNUMBER(P800),ISNUMBER(Q800),P800&gt;0,ISNUMBER($B$100)),$B$100+3*SQRT($B$100/P800),"")</f>
        <v/>
      </c>
      <c r="U800" s="13">
        <f>IF(AND(ISNUMBER(R800),ISNUMBER(S800),ISNUMBER(T800)),IF(R800&gt;T800,"boven UCL",IF(R800&lt;S800,"onder LCL","")),"")</f>
        <v/>
      </c>
    </row>
    <row r="801">
      <c r="A801" t="n">
        <v>695</v>
      </c>
      <c r="B801" s="7" t="n"/>
      <c r="C801" s="11">
        <f>IF(AND(ISNUMBER(B801),ISNUMBER(B800)),ABS(B801-B800),"")</f>
        <v/>
      </c>
      <c r="D801" s="13">
        <f>IF(AND(ISNUMBER(B801),ISNUMBER($B$88),ISNUMBER($D$88)),IF(B801&gt;$D$88,"boven UCL",IF(B801&lt;$B$88,"onder LCL","")),"")</f>
        <v/>
      </c>
      <c r="E801" s="13">
        <f>IF(AND(ISNUMBER(C801),ISNUMBER($B$89),ISNUMBER($D$89)),IF(C801&gt;$D$89,"boven UCL",IF(C801&lt;$B$89,"onder LCL","")),"")</f>
        <v/>
      </c>
      <c r="G801" t="n">
        <v>695</v>
      </c>
      <c r="H801" s="7" t="n"/>
      <c r="I801" s="7" t="n"/>
      <c r="J801" s="11">
        <f>IF(AND(ISNUMBER(H801),ISNUMBER(I801),H801&gt;0,ISNUMBER($B$94)),I801/H801,"")</f>
        <v/>
      </c>
      <c r="K801" s="11">
        <f>IF(AND(ISNUMBER(H801),ISNUMBER(I801),H801&gt;0,ISNUMBER($B$94)),MAX(0,$B$94-3*SQRT($B$94*(1-$B$94)/H801)),"")</f>
        <v/>
      </c>
      <c r="L801" s="11">
        <f>IF(AND(ISNUMBER(H801),ISNUMBER(I801),H801&gt;0,ISNUMBER($B$94)),$B$94+3*SQRT($B$94*(1-$B$94)/H801),"")</f>
        <v/>
      </c>
      <c r="M801" s="13">
        <f>IF(AND(ISNUMBER(J801),ISNUMBER(K801),ISNUMBER(L801)),IF(J801&gt;L801,"boven UCL",IF(J801&lt;K801,"onder LCL","")),"")</f>
        <v/>
      </c>
      <c r="O801" t="n">
        <v>695</v>
      </c>
      <c r="P801" s="7" t="n"/>
      <c r="Q801" s="7" t="n"/>
      <c r="R801" s="11">
        <f>IF(AND(ISNUMBER(P801),ISNUMBER(Q801),P801&gt;0,ISNUMBER($B$100)),Q801/P801,"")</f>
        <v/>
      </c>
      <c r="S801" s="11">
        <f>IF(AND(ISNUMBER(P801),ISNUMBER(Q801),P801&gt;0,ISNUMBER($B$100)),MAX(0,$B$100-3*SQRT($B$100/P801)),"")</f>
        <v/>
      </c>
      <c r="T801" s="11">
        <f>IF(AND(ISNUMBER(P801),ISNUMBER(Q801),P801&gt;0,ISNUMBER($B$100)),$B$100+3*SQRT($B$100/P801),"")</f>
        <v/>
      </c>
      <c r="U801" s="13">
        <f>IF(AND(ISNUMBER(R801),ISNUMBER(S801),ISNUMBER(T801)),IF(R801&gt;T801,"boven UCL",IF(R801&lt;S801,"onder LCL","")),"")</f>
        <v/>
      </c>
    </row>
    <row r="802">
      <c r="A802" t="n">
        <v>696</v>
      </c>
      <c r="B802" s="7" t="n"/>
      <c r="C802" s="11">
        <f>IF(AND(ISNUMBER(B802),ISNUMBER(B801)),ABS(B802-B801),"")</f>
        <v/>
      </c>
      <c r="D802" s="13">
        <f>IF(AND(ISNUMBER(B802),ISNUMBER($B$88),ISNUMBER($D$88)),IF(B802&gt;$D$88,"boven UCL",IF(B802&lt;$B$88,"onder LCL","")),"")</f>
        <v/>
      </c>
      <c r="E802" s="13">
        <f>IF(AND(ISNUMBER(C802),ISNUMBER($B$89),ISNUMBER($D$89)),IF(C802&gt;$D$89,"boven UCL",IF(C802&lt;$B$89,"onder LCL","")),"")</f>
        <v/>
      </c>
      <c r="G802" t="n">
        <v>696</v>
      </c>
      <c r="H802" s="7" t="n"/>
      <c r="I802" s="7" t="n"/>
      <c r="J802" s="11">
        <f>IF(AND(ISNUMBER(H802),ISNUMBER(I802),H802&gt;0,ISNUMBER($B$94)),I802/H802,"")</f>
        <v/>
      </c>
      <c r="K802" s="11">
        <f>IF(AND(ISNUMBER(H802),ISNUMBER(I802),H802&gt;0,ISNUMBER($B$94)),MAX(0,$B$94-3*SQRT($B$94*(1-$B$94)/H802)),"")</f>
        <v/>
      </c>
      <c r="L802" s="11">
        <f>IF(AND(ISNUMBER(H802),ISNUMBER(I802),H802&gt;0,ISNUMBER($B$94)),$B$94+3*SQRT($B$94*(1-$B$94)/H802),"")</f>
        <v/>
      </c>
      <c r="M802" s="13">
        <f>IF(AND(ISNUMBER(J802),ISNUMBER(K802),ISNUMBER(L802)),IF(J802&gt;L802,"boven UCL",IF(J802&lt;K802,"onder LCL","")),"")</f>
        <v/>
      </c>
      <c r="O802" t="n">
        <v>696</v>
      </c>
      <c r="P802" s="7" t="n"/>
      <c r="Q802" s="7" t="n"/>
      <c r="R802" s="11">
        <f>IF(AND(ISNUMBER(P802),ISNUMBER(Q802),P802&gt;0,ISNUMBER($B$100)),Q802/P802,"")</f>
        <v/>
      </c>
      <c r="S802" s="11">
        <f>IF(AND(ISNUMBER(P802),ISNUMBER(Q802),P802&gt;0,ISNUMBER($B$100)),MAX(0,$B$100-3*SQRT($B$100/P802)),"")</f>
        <v/>
      </c>
      <c r="T802" s="11">
        <f>IF(AND(ISNUMBER(P802),ISNUMBER(Q802),P802&gt;0,ISNUMBER($B$100)),$B$100+3*SQRT($B$100/P802),"")</f>
        <v/>
      </c>
      <c r="U802" s="13">
        <f>IF(AND(ISNUMBER(R802),ISNUMBER(S802),ISNUMBER(T802)),IF(R802&gt;T802,"boven UCL",IF(R802&lt;S802,"onder LCL","")),"")</f>
        <v/>
      </c>
    </row>
    <row r="803">
      <c r="A803" t="n">
        <v>697</v>
      </c>
      <c r="B803" s="7" t="n"/>
      <c r="C803" s="11">
        <f>IF(AND(ISNUMBER(B803),ISNUMBER(B802)),ABS(B803-B802),"")</f>
        <v/>
      </c>
      <c r="D803" s="13">
        <f>IF(AND(ISNUMBER(B803),ISNUMBER($B$88),ISNUMBER($D$88)),IF(B803&gt;$D$88,"boven UCL",IF(B803&lt;$B$88,"onder LCL","")),"")</f>
        <v/>
      </c>
      <c r="E803" s="13">
        <f>IF(AND(ISNUMBER(C803),ISNUMBER($B$89),ISNUMBER($D$89)),IF(C803&gt;$D$89,"boven UCL",IF(C803&lt;$B$89,"onder LCL","")),"")</f>
        <v/>
      </c>
      <c r="G803" t="n">
        <v>697</v>
      </c>
      <c r="H803" s="7" t="n"/>
      <c r="I803" s="7" t="n"/>
      <c r="J803" s="11">
        <f>IF(AND(ISNUMBER(H803),ISNUMBER(I803),H803&gt;0,ISNUMBER($B$94)),I803/H803,"")</f>
        <v/>
      </c>
      <c r="K803" s="11">
        <f>IF(AND(ISNUMBER(H803),ISNUMBER(I803),H803&gt;0,ISNUMBER($B$94)),MAX(0,$B$94-3*SQRT($B$94*(1-$B$94)/H803)),"")</f>
        <v/>
      </c>
      <c r="L803" s="11">
        <f>IF(AND(ISNUMBER(H803),ISNUMBER(I803),H803&gt;0,ISNUMBER($B$94)),$B$94+3*SQRT($B$94*(1-$B$94)/H803),"")</f>
        <v/>
      </c>
      <c r="M803" s="13">
        <f>IF(AND(ISNUMBER(J803),ISNUMBER(K803),ISNUMBER(L803)),IF(J803&gt;L803,"boven UCL",IF(J803&lt;K803,"onder LCL","")),"")</f>
        <v/>
      </c>
      <c r="O803" t="n">
        <v>697</v>
      </c>
      <c r="P803" s="7" t="n"/>
      <c r="Q803" s="7" t="n"/>
      <c r="R803" s="11">
        <f>IF(AND(ISNUMBER(P803),ISNUMBER(Q803),P803&gt;0,ISNUMBER($B$100)),Q803/P803,"")</f>
        <v/>
      </c>
      <c r="S803" s="11">
        <f>IF(AND(ISNUMBER(P803),ISNUMBER(Q803),P803&gt;0,ISNUMBER($B$100)),MAX(0,$B$100-3*SQRT($B$100/P803)),"")</f>
        <v/>
      </c>
      <c r="T803" s="11">
        <f>IF(AND(ISNUMBER(P803),ISNUMBER(Q803),P803&gt;0,ISNUMBER($B$100)),$B$100+3*SQRT($B$100/P803),"")</f>
        <v/>
      </c>
      <c r="U803" s="13">
        <f>IF(AND(ISNUMBER(R803),ISNUMBER(S803),ISNUMBER(T803)),IF(R803&gt;T803,"boven UCL",IF(R803&lt;S803,"onder LCL","")),"")</f>
        <v/>
      </c>
    </row>
    <row r="804">
      <c r="A804" t="n">
        <v>698</v>
      </c>
      <c r="B804" s="7" t="n"/>
      <c r="C804" s="11">
        <f>IF(AND(ISNUMBER(B804),ISNUMBER(B803)),ABS(B804-B803),"")</f>
        <v/>
      </c>
      <c r="D804" s="13">
        <f>IF(AND(ISNUMBER(B804),ISNUMBER($B$88),ISNUMBER($D$88)),IF(B804&gt;$D$88,"boven UCL",IF(B804&lt;$B$88,"onder LCL","")),"")</f>
        <v/>
      </c>
      <c r="E804" s="13">
        <f>IF(AND(ISNUMBER(C804),ISNUMBER($B$89),ISNUMBER($D$89)),IF(C804&gt;$D$89,"boven UCL",IF(C804&lt;$B$89,"onder LCL","")),"")</f>
        <v/>
      </c>
      <c r="G804" t="n">
        <v>698</v>
      </c>
      <c r="H804" s="7" t="n"/>
      <c r="I804" s="7" t="n"/>
      <c r="J804" s="11">
        <f>IF(AND(ISNUMBER(H804),ISNUMBER(I804),H804&gt;0,ISNUMBER($B$94)),I804/H804,"")</f>
        <v/>
      </c>
      <c r="K804" s="11">
        <f>IF(AND(ISNUMBER(H804),ISNUMBER(I804),H804&gt;0,ISNUMBER($B$94)),MAX(0,$B$94-3*SQRT($B$94*(1-$B$94)/H804)),"")</f>
        <v/>
      </c>
      <c r="L804" s="11">
        <f>IF(AND(ISNUMBER(H804),ISNUMBER(I804),H804&gt;0,ISNUMBER($B$94)),$B$94+3*SQRT($B$94*(1-$B$94)/H804),"")</f>
        <v/>
      </c>
      <c r="M804" s="13">
        <f>IF(AND(ISNUMBER(J804),ISNUMBER(K804),ISNUMBER(L804)),IF(J804&gt;L804,"boven UCL",IF(J804&lt;K804,"onder LCL","")),"")</f>
        <v/>
      </c>
      <c r="O804" t="n">
        <v>698</v>
      </c>
      <c r="P804" s="7" t="n"/>
      <c r="Q804" s="7" t="n"/>
      <c r="R804" s="11">
        <f>IF(AND(ISNUMBER(P804),ISNUMBER(Q804),P804&gt;0,ISNUMBER($B$100)),Q804/P804,"")</f>
        <v/>
      </c>
      <c r="S804" s="11">
        <f>IF(AND(ISNUMBER(P804),ISNUMBER(Q804),P804&gt;0,ISNUMBER($B$100)),MAX(0,$B$100-3*SQRT($B$100/P804)),"")</f>
        <v/>
      </c>
      <c r="T804" s="11">
        <f>IF(AND(ISNUMBER(P804),ISNUMBER(Q804),P804&gt;0,ISNUMBER($B$100)),$B$100+3*SQRT($B$100/P804),"")</f>
        <v/>
      </c>
      <c r="U804" s="13">
        <f>IF(AND(ISNUMBER(R804),ISNUMBER(S804),ISNUMBER(T804)),IF(R804&gt;T804,"boven UCL",IF(R804&lt;S804,"onder LCL","")),"")</f>
        <v/>
      </c>
    </row>
    <row r="805">
      <c r="A805" t="n">
        <v>699</v>
      </c>
      <c r="B805" s="7" t="n"/>
      <c r="C805" s="11">
        <f>IF(AND(ISNUMBER(B805),ISNUMBER(B804)),ABS(B805-B804),"")</f>
        <v/>
      </c>
      <c r="D805" s="13">
        <f>IF(AND(ISNUMBER(B805),ISNUMBER($B$88),ISNUMBER($D$88)),IF(B805&gt;$D$88,"boven UCL",IF(B805&lt;$B$88,"onder LCL","")),"")</f>
        <v/>
      </c>
      <c r="E805" s="13">
        <f>IF(AND(ISNUMBER(C805),ISNUMBER($B$89),ISNUMBER($D$89)),IF(C805&gt;$D$89,"boven UCL",IF(C805&lt;$B$89,"onder LCL","")),"")</f>
        <v/>
      </c>
      <c r="G805" t="n">
        <v>699</v>
      </c>
      <c r="H805" s="7" t="n"/>
      <c r="I805" s="7" t="n"/>
      <c r="J805" s="11">
        <f>IF(AND(ISNUMBER(H805),ISNUMBER(I805),H805&gt;0,ISNUMBER($B$94)),I805/H805,"")</f>
        <v/>
      </c>
      <c r="K805" s="11">
        <f>IF(AND(ISNUMBER(H805),ISNUMBER(I805),H805&gt;0,ISNUMBER($B$94)),MAX(0,$B$94-3*SQRT($B$94*(1-$B$94)/H805)),"")</f>
        <v/>
      </c>
      <c r="L805" s="11">
        <f>IF(AND(ISNUMBER(H805),ISNUMBER(I805),H805&gt;0,ISNUMBER($B$94)),$B$94+3*SQRT($B$94*(1-$B$94)/H805),"")</f>
        <v/>
      </c>
      <c r="M805" s="13">
        <f>IF(AND(ISNUMBER(J805),ISNUMBER(K805),ISNUMBER(L805)),IF(J805&gt;L805,"boven UCL",IF(J805&lt;K805,"onder LCL","")),"")</f>
        <v/>
      </c>
      <c r="O805" t="n">
        <v>699</v>
      </c>
      <c r="P805" s="7" t="n"/>
      <c r="Q805" s="7" t="n"/>
      <c r="R805" s="11">
        <f>IF(AND(ISNUMBER(P805),ISNUMBER(Q805),P805&gt;0,ISNUMBER($B$100)),Q805/P805,"")</f>
        <v/>
      </c>
      <c r="S805" s="11">
        <f>IF(AND(ISNUMBER(P805),ISNUMBER(Q805),P805&gt;0,ISNUMBER($B$100)),MAX(0,$B$100-3*SQRT($B$100/P805)),"")</f>
        <v/>
      </c>
      <c r="T805" s="11">
        <f>IF(AND(ISNUMBER(P805),ISNUMBER(Q805),P805&gt;0,ISNUMBER($B$100)),$B$100+3*SQRT($B$100/P805),"")</f>
        <v/>
      </c>
      <c r="U805" s="13">
        <f>IF(AND(ISNUMBER(R805),ISNUMBER(S805),ISNUMBER(T805)),IF(R805&gt;T805,"boven UCL",IF(R805&lt;S805,"onder LCL","")),"")</f>
        <v/>
      </c>
    </row>
    <row r="806">
      <c r="A806" t="n">
        <v>700</v>
      </c>
      <c r="B806" s="7" t="n"/>
      <c r="C806" s="11">
        <f>IF(AND(ISNUMBER(B806),ISNUMBER(B805)),ABS(B806-B805),"")</f>
        <v/>
      </c>
      <c r="D806" s="13">
        <f>IF(AND(ISNUMBER(B806),ISNUMBER($B$88),ISNUMBER($D$88)),IF(B806&gt;$D$88,"boven UCL",IF(B806&lt;$B$88,"onder LCL","")),"")</f>
        <v/>
      </c>
      <c r="E806" s="13">
        <f>IF(AND(ISNUMBER(C806),ISNUMBER($B$89),ISNUMBER($D$89)),IF(C806&gt;$D$89,"boven UCL",IF(C806&lt;$B$89,"onder LCL","")),"")</f>
        <v/>
      </c>
      <c r="G806" t="n">
        <v>700</v>
      </c>
      <c r="H806" s="7" t="n"/>
      <c r="I806" s="7" t="n"/>
      <c r="J806" s="11">
        <f>IF(AND(ISNUMBER(H806),ISNUMBER(I806),H806&gt;0,ISNUMBER($B$94)),I806/H806,"")</f>
        <v/>
      </c>
      <c r="K806" s="11">
        <f>IF(AND(ISNUMBER(H806),ISNUMBER(I806),H806&gt;0,ISNUMBER($B$94)),MAX(0,$B$94-3*SQRT($B$94*(1-$B$94)/H806)),"")</f>
        <v/>
      </c>
      <c r="L806" s="11">
        <f>IF(AND(ISNUMBER(H806),ISNUMBER(I806),H806&gt;0,ISNUMBER($B$94)),$B$94+3*SQRT($B$94*(1-$B$94)/H806),"")</f>
        <v/>
      </c>
      <c r="M806" s="13">
        <f>IF(AND(ISNUMBER(J806),ISNUMBER(K806),ISNUMBER(L806)),IF(J806&gt;L806,"boven UCL",IF(J806&lt;K806,"onder LCL","")),"")</f>
        <v/>
      </c>
      <c r="O806" t="n">
        <v>700</v>
      </c>
      <c r="P806" s="7" t="n"/>
      <c r="Q806" s="7" t="n"/>
      <c r="R806" s="11">
        <f>IF(AND(ISNUMBER(P806),ISNUMBER(Q806),P806&gt;0,ISNUMBER($B$100)),Q806/P806,"")</f>
        <v/>
      </c>
      <c r="S806" s="11">
        <f>IF(AND(ISNUMBER(P806),ISNUMBER(Q806),P806&gt;0,ISNUMBER($B$100)),MAX(0,$B$100-3*SQRT($B$100/P806)),"")</f>
        <v/>
      </c>
      <c r="T806" s="11">
        <f>IF(AND(ISNUMBER(P806),ISNUMBER(Q806),P806&gt;0,ISNUMBER($B$100)),$B$100+3*SQRT($B$100/P806),"")</f>
        <v/>
      </c>
      <c r="U806" s="13">
        <f>IF(AND(ISNUMBER(R806),ISNUMBER(S806),ISNUMBER(T806)),IF(R806&gt;T806,"boven UCL",IF(R806&lt;S806,"onder LCL","")),"")</f>
        <v/>
      </c>
    </row>
    <row r="807">
      <c r="A807" t="n">
        <v>701</v>
      </c>
      <c r="B807" s="7" t="n"/>
      <c r="C807" s="11">
        <f>IF(AND(ISNUMBER(B807),ISNUMBER(B806)),ABS(B807-B806),"")</f>
        <v/>
      </c>
      <c r="D807" s="13">
        <f>IF(AND(ISNUMBER(B807),ISNUMBER($B$88),ISNUMBER($D$88)),IF(B807&gt;$D$88,"boven UCL",IF(B807&lt;$B$88,"onder LCL","")),"")</f>
        <v/>
      </c>
      <c r="E807" s="13">
        <f>IF(AND(ISNUMBER(C807),ISNUMBER($B$89),ISNUMBER($D$89)),IF(C807&gt;$D$89,"boven UCL",IF(C807&lt;$B$89,"onder LCL","")),"")</f>
        <v/>
      </c>
      <c r="G807" t="n">
        <v>701</v>
      </c>
      <c r="H807" s="7" t="n"/>
      <c r="I807" s="7" t="n"/>
      <c r="J807" s="11">
        <f>IF(AND(ISNUMBER(H807),ISNUMBER(I807),H807&gt;0,ISNUMBER($B$94)),I807/H807,"")</f>
        <v/>
      </c>
      <c r="K807" s="11">
        <f>IF(AND(ISNUMBER(H807),ISNUMBER(I807),H807&gt;0,ISNUMBER($B$94)),MAX(0,$B$94-3*SQRT($B$94*(1-$B$94)/H807)),"")</f>
        <v/>
      </c>
      <c r="L807" s="11">
        <f>IF(AND(ISNUMBER(H807),ISNUMBER(I807),H807&gt;0,ISNUMBER($B$94)),$B$94+3*SQRT($B$94*(1-$B$94)/H807),"")</f>
        <v/>
      </c>
      <c r="M807" s="13">
        <f>IF(AND(ISNUMBER(J807),ISNUMBER(K807),ISNUMBER(L807)),IF(J807&gt;L807,"boven UCL",IF(J807&lt;K807,"onder LCL","")),"")</f>
        <v/>
      </c>
      <c r="O807" t="n">
        <v>701</v>
      </c>
      <c r="P807" s="7" t="n"/>
      <c r="Q807" s="7" t="n"/>
      <c r="R807" s="11">
        <f>IF(AND(ISNUMBER(P807),ISNUMBER(Q807),P807&gt;0,ISNUMBER($B$100)),Q807/P807,"")</f>
        <v/>
      </c>
      <c r="S807" s="11">
        <f>IF(AND(ISNUMBER(P807),ISNUMBER(Q807),P807&gt;0,ISNUMBER($B$100)),MAX(0,$B$100-3*SQRT($B$100/P807)),"")</f>
        <v/>
      </c>
      <c r="T807" s="11">
        <f>IF(AND(ISNUMBER(P807),ISNUMBER(Q807),P807&gt;0,ISNUMBER($B$100)),$B$100+3*SQRT($B$100/P807),"")</f>
        <v/>
      </c>
      <c r="U807" s="13">
        <f>IF(AND(ISNUMBER(R807),ISNUMBER(S807),ISNUMBER(T807)),IF(R807&gt;T807,"boven UCL",IF(R807&lt;S807,"onder LCL","")),"")</f>
        <v/>
      </c>
    </row>
    <row r="808">
      <c r="A808" t="n">
        <v>702</v>
      </c>
      <c r="B808" s="7" t="n"/>
      <c r="C808" s="11">
        <f>IF(AND(ISNUMBER(B808),ISNUMBER(B807)),ABS(B808-B807),"")</f>
        <v/>
      </c>
      <c r="D808" s="13">
        <f>IF(AND(ISNUMBER(B808),ISNUMBER($B$88),ISNUMBER($D$88)),IF(B808&gt;$D$88,"boven UCL",IF(B808&lt;$B$88,"onder LCL","")),"")</f>
        <v/>
      </c>
      <c r="E808" s="13">
        <f>IF(AND(ISNUMBER(C808),ISNUMBER($B$89),ISNUMBER($D$89)),IF(C808&gt;$D$89,"boven UCL",IF(C808&lt;$B$89,"onder LCL","")),"")</f>
        <v/>
      </c>
      <c r="G808" t="n">
        <v>702</v>
      </c>
      <c r="H808" s="7" t="n"/>
      <c r="I808" s="7" t="n"/>
      <c r="J808" s="11">
        <f>IF(AND(ISNUMBER(H808),ISNUMBER(I808),H808&gt;0,ISNUMBER($B$94)),I808/H808,"")</f>
        <v/>
      </c>
      <c r="K808" s="11">
        <f>IF(AND(ISNUMBER(H808),ISNUMBER(I808),H808&gt;0,ISNUMBER($B$94)),MAX(0,$B$94-3*SQRT($B$94*(1-$B$94)/H808)),"")</f>
        <v/>
      </c>
      <c r="L808" s="11">
        <f>IF(AND(ISNUMBER(H808),ISNUMBER(I808),H808&gt;0,ISNUMBER($B$94)),$B$94+3*SQRT($B$94*(1-$B$94)/H808),"")</f>
        <v/>
      </c>
      <c r="M808" s="13">
        <f>IF(AND(ISNUMBER(J808),ISNUMBER(K808),ISNUMBER(L808)),IF(J808&gt;L808,"boven UCL",IF(J808&lt;K808,"onder LCL","")),"")</f>
        <v/>
      </c>
      <c r="O808" t="n">
        <v>702</v>
      </c>
      <c r="P808" s="7" t="n"/>
      <c r="Q808" s="7" t="n"/>
      <c r="R808" s="11">
        <f>IF(AND(ISNUMBER(P808),ISNUMBER(Q808),P808&gt;0,ISNUMBER($B$100)),Q808/P808,"")</f>
        <v/>
      </c>
      <c r="S808" s="11">
        <f>IF(AND(ISNUMBER(P808),ISNUMBER(Q808),P808&gt;0,ISNUMBER($B$100)),MAX(0,$B$100-3*SQRT($B$100/P808)),"")</f>
        <v/>
      </c>
      <c r="T808" s="11">
        <f>IF(AND(ISNUMBER(P808),ISNUMBER(Q808),P808&gt;0,ISNUMBER($B$100)),$B$100+3*SQRT($B$100/P808),"")</f>
        <v/>
      </c>
      <c r="U808" s="13">
        <f>IF(AND(ISNUMBER(R808),ISNUMBER(S808),ISNUMBER(T808)),IF(R808&gt;T808,"boven UCL",IF(R808&lt;S808,"onder LCL","")),"")</f>
        <v/>
      </c>
    </row>
    <row r="809">
      <c r="A809" t="n">
        <v>703</v>
      </c>
      <c r="B809" s="7" t="n"/>
      <c r="C809" s="11">
        <f>IF(AND(ISNUMBER(B809),ISNUMBER(B808)),ABS(B809-B808),"")</f>
        <v/>
      </c>
      <c r="D809" s="13">
        <f>IF(AND(ISNUMBER(B809),ISNUMBER($B$88),ISNUMBER($D$88)),IF(B809&gt;$D$88,"boven UCL",IF(B809&lt;$B$88,"onder LCL","")),"")</f>
        <v/>
      </c>
      <c r="E809" s="13">
        <f>IF(AND(ISNUMBER(C809),ISNUMBER($B$89),ISNUMBER($D$89)),IF(C809&gt;$D$89,"boven UCL",IF(C809&lt;$B$89,"onder LCL","")),"")</f>
        <v/>
      </c>
      <c r="G809" t="n">
        <v>703</v>
      </c>
      <c r="H809" s="7" t="n"/>
      <c r="I809" s="7" t="n"/>
      <c r="J809" s="11">
        <f>IF(AND(ISNUMBER(H809),ISNUMBER(I809),H809&gt;0,ISNUMBER($B$94)),I809/H809,"")</f>
        <v/>
      </c>
      <c r="K809" s="11">
        <f>IF(AND(ISNUMBER(H809),ISNUMBER(I809),H809&gt;0,ISNUMBER($B$94)),MAX(0,$B$94-3*SQRT($B$94*(1-$B$94)/H809)),"")</f>
        <v/>
      </c>
      <c r="L809" s="11">
        <f>IF(AND(ISNUMBER(H809),ISNUMBER(I809),H809&gt;0,ISNUMBER($B$94)),$B$94+3*SQRT($B$94*(1-$B$94)/H809),"")</f>
        <v/>
      </c>
      <c r="M809" s="13">
        <f>IF(AND(ISNUMBER(J809),ISNUMBER(K809),ISNUMBER(L809)),IF(J809&gt;L809,"boven UCL",IF(J809&lt;K809,"onder LCL","")),"")</f>
        <v/>
      </c>
      <c r="O809" t="n">
        <v>703</v>
      </c>
      <c r="P809" s="7" t="n"/>
      <c r="Q809" s="7" t="n"/>
      <c r="R809" s="11">
        <f>IF(AND(ISNUMBER(P809),ISNUMBER(Q809),P809&gt;0,ISNUMBER($B$100)),Q809/P809,"")</f>
        <v/>
      </c>
      <c r="S809" s="11">
        <f>IF(AND(ISNUMBER(P809),ISNUMBER(Q809),P809&gt;0,ISNUMBER($B$100)),MAX(0,$B$100-3*SQRT($B$100/P809)),"")</f>
        <v/>
      </c>
      <c r="T809" s="11">
        <f>IF(AND(ISNUMBER(P809),ISNUMBER(Q809),P809&gt;0,ISNUMBER($B$100)),$B$100+3*SQRT($B$100/P809),"")</f>
        <v/>
      </c>
      <c r="U809" s="13">
        <f>IF(AND(ISNUMBER(R809),ISNUMBER(S809),ISNUMBER(T809)),IF(R809&gt;T809,"boven UCL",IF(R809&lt;S809,"onder LCL","")),"")</f>
        <v/>
      </c>
    </row>
    <row r="810">
      <c r="A810" t="n">
        <v>704</v>
      </c>
      <c r="B810" s="7" t="n"/>
      <c r="C810" s="11">
        <f>IF(AND(ISNUMBER(B810),ISNUMBER(B809)),ABS(B810-B809),"")</f>
        <v/>
      </c>
      <c r="D810" s="13">
        <f>IF(AND(ISNUMBER(B810),ISNUMBER($B$88),ISNUMBER($D$88)),IF(B810&gt;$D$88,"boven UCL",IF(B810&lt;$B$88,"onder LCL","")),"")</f>
        <v/>
      </c>
      <c r="E810" s="13">
        <f>IF(AND(ISNUMBER(C810),ISNUMBER($B$89),ISNUMBER($D$89)),IF(C810&gt;$D$89,"boven UCL",IF(C810&lt;$B$89,"onder LCL","")),"")</f>
        <v/>
      </c>
      <c r="G810" t="n">
        <v>704</v>
      </c>
      <c r="H810" s="7" t="n"/>
      <c r="I810" s="7" t="n"/>
      <c r="J810" s="11">
        <f>IF(AND(ISNUMBER(H810),ISNUMBER(I810),H810&gt;0,ISNUMBER($B$94)),I810/H810,"")</f>
        <v/>
      </c>
      <c r="K810" s="11">
        <f>IF(AND(ISNUMBER(H810),ISNUMBER(I810),H810&gt;0,ISNUMBER($B$94)),MAX(0,$B$94-3*SQRT($B$94*(1-$B$94)/H810)),"")</f>
        <v/>
      </c>
      <c r="L810" s="11">
        <f>IF(AND(ISNUMBER(H810),ISNUMBER(I810),H810&gt;0,ISNUMBER($B$94)),$B$94+3*SQRT($B$94*(1-$B$94)/H810),"")</f>
        <v/>
      </c>
      <c r="M810" s="13">
        <f>IF(AND(ISNUMBER(J810),ISNUMBER(K810),ISNUMBER(L810)),IF(J810&gt;L810,"boven UCL",IF(J810&lt;K810,"onder LCL","")),"")</f>
        <v/>
      </c>
      <c r="O810" t="n">
        <v>704</v>
      </c>
      <c r="P810" s="7" t="n"/>
      <c r="Q810" s="7" t="n"/>
      <c r="R810" s="11">
        <f>IF(AND(ISNUMBER(P810),ISNUMBER(Q810),P810&gt;0,ISNUMBER($B$100)),Q810/P810,"")</f>
        <v/>
      </c>
      <c r="S810" s="11">
        <f>IF(AND(ISNUMBER(P810),ISNUMBER(Q810),P810&gt;0,ISNUMBER($B$100)),MAX(0,$B$100-3*SQRT($B$100/P810)),"")</f>
        <v/>
      </c>
      <c r="T810" s="11">
        <f>IF(AND(ISNUMBER(P810),ISNUMBER(Q810),P810&gt;0,ISNUMBER($B$100)),$B$100+3*SQRT($B$100/P810),"")</f>
        <v/>
      </c>
      <c r="U810" s="13">
        <f>IF(AND(ISNUMBER(R810),ISNUMBER(S810),ISNUMBER(T810)),IF(R810&gt;T810,"boven UCL",IF(R810&lt;S810,"onder LCL","")),"")</f>
        <v/>
      </c>
    </row>
    <row r="811">
      <c r="A811" t="n">
        <v>705</v>
      </c>
      <c r="B811" s="7" t="n"/>
      <c r="C811" s="11">
        <f>IF(AND(ISNUMBER(B811),ISNUMBER(B810)),ABS(B811-B810),"")</f>
        <v/>
      </c>
      <c r="D811" s="13">
        <f>IF(AND(ISNUMBER(B811),ISNUMBER($B$88),ISNUMBER($D$88)),IF(B811&gt;$D$88,"boven UCL",IF(B811&lt;$B$88,"onder LCL","")),"")</f>
        <v/>
      </c>
      <c r="E811" s="13">
        <f>IF(AND(ISNUMBER(C811),ISNUMBER($B$89),ISNUMBER($D$89)),IF(C811&gt;$D$89,"boven UCL",IF(C811&lt;$B$89,"onder LCL","")),"")</f>
        <v/>
      </c>
      <c r="G811" t="n">
        <v>705</v>
      </c>
      <c r="H811" s="7" t="n"/>
      <c r="I811" s="7" t="n"/>
      <c r="J811" s="11">
        <f>IF(AND(ISNUMBER(H811),ISNUMBER(I811),H811&gt;0,ISNUMBER($B$94)),I811/H811,"")</f>
        <v/>
      </c>
      <c r="K811" s="11">
        <f>IF(AND(ISNUMBER(H811),ISNUMBER(I811),H811&gt;0,ISNUMBER($B$94)),MAX(0,$B$94-3*SQRT($B$94*(1-$B$94)/H811)),"")</f>
        <v/>
      </c>
      <c r="L811" s="11">
        <f>IF(AND(ISNUMBER(H811),ISNUMBER(I811),H811&gt;0,ISNUMBER($B$94)),$B$94+3*SQRT($B$94*(1-$B$94)/H811),"")</f>
        <v/>
      </c>
      <c r="M811" s="13">
        <f>IF(AND(ISNUMBER(J811),ISNUMBER(K811),ISNUMBER(L811)),IF(J811&gt;L811,"boven UCL",IF(J811&lt;K811,"onder LCL","")),"")</f>
        <v/>
      </c>
      <c r="O811" t="n">
        <v>705</v>
      </c>
      <c r="P811" s="7" t="n"/>
      <c r="Q811" s="7" t="n"/>
      <c r="R811" s="11">
        <f>IF(AND(ISNUMBER(P811),ISNUMBER(Q811),P811&gt;0,ISNUMBER($B$100)),Q811/P811,"")</f>
        <v/>
      </c>
      <c r="S811" s="11">
        <f>IF(AND(ISNUMBER(P811),ISNUMBER(Q811),P811&gt;0,ISNUMBER($B$100)),MAX(0,$B$100-3*SQRT($B$100/P811)),"")</f>
        <v/>
      </c>
      <c r="T811" s="11">
        <f>IF(AND(ISNUMBER(P811),ISNUMBER(Q811),P811&gt;0,ISNUMBER($B$100)),$B$100+3*SQRT($B$100/P811),"")</f>
        <v/>
      </c>
      <c r="U811" s="13">
        <f>IF(AND(ISNUMBER(R811),ISNUMBER(S811),ISNUMBER(T811)),IF(R811&gt;T811,"boven UCL",IF(R811&lt;S811,"onder LCL","")),"")</f>
        <v/>
      </c>
    </row>
    <row r="812">
      <c r="A812" t="n">
        <v>706</v>
      </c>
      <c r="B812" s="7" t="n"/>
      <c r="C812" s="11">
        <f>IF(AND(ISNUMBER(B812),ISNUMBER(B811)),ABS(B812-B811),"")</f>
        <v/>
      </c>
      <c r="D812" s="13">
        <f>IF(AND(ISNUMBER(B812),ISNUMBER($B$88),ISNUMBER($D$88)),IF(B812&gt;$D$88,"boven UCL",IF(B812&lt;$B$88,"onder LCL","")),"")</f>
        <v/>
      </c>
      <c r="E812" s="13">
        <f>IF(AND(ISNUMBER(C812),ISNUMBER($B$89),ISNUMBER($D$89)),IF(C812&gt;$D$89,"boven UCL",IF(C812&lt;$B$89,"onder LCL","")),"")</f>
        <v/>
      </c>
      <c r="G812" t="n">
        <v>706</v>
      </c>
      <c r="H812" s="7" t="n"/>
      <c r="I812" s="7" t="n"/>
      <c r="J812" s="11">
        <f>IF(AND(ISNUMBER(H812),ISNUMBER(I812),H812&gt;0,ISNUMBER($B$94)),I812/H812,"")</f>
        <v/>
      </c>
      <c r="K812" s="11">
        <f>IF(AND(ISNUMBER(H812),ISNUMBER(I812),H812&gt;0,ISNUMBER($B$94)),MAX(0,$B$94-3*SQRT($B$94*(1-$B$94)/H812)),"")</f>
        <v/>
      </c>
      <c r="L812" s="11">
        <f>IF(AND(ISNUMBER(H812),ISNUMBER(I812),H812&gt;0,ISNUMBER($B$94)),$B$94+3*SQRT($B$94*(1-$B$94)/H812),"")</f>
        <v/>
      </c>
      <c r="M812" s="13">
        <f>IF(AND(ISNUMBER(J812),ISNUMBER(K812),ISNUMBER(L812)),IF(J812&gt;L812,"boven UCL",IF(J812&lt;K812,"onder LCL","")),"")</f>
        <v/>
      </c>
      <c r="O812" t="n">
        <v>706</v>
      </c>
      <c r="P812" s="7" t="n"/>
      <c r="Q812" s="7" t="n"/>
      <c r="R812" s="11">
        <f>IF(AND(ISNUMBER(P812),ISNUMBER(Q812),P812&gt;0,ISNUMBER($B$100)),Q812/P812,"")</f>
        <v/>
      </c>
      <c r="S812" s="11">
        <f>IF(AND(ISNUMBER(P812),ISNUMBER(Q812),P812&gt;0,ISNUMBER($B$100)),MAX(0,$B$100-3*SQRT($B$100/P812)),"")</f>
        <v/>
      </c>
      <c r="T812" s="11">
        <f>IF(AND(ISNUMBER(P812),ISNUMBER(Q812),P812&gt;0,ISNUMBER($B$100)),$B$100+3*SQRT($B$100/P812),"")</f>
        <v/>
      </c>
      <c r="U812" s="13">
        <f>IF(AND(ISNUMBER(R812),ISNUMBER(S812),ISNUMBER(T812)),IF(R812&gt;T812,"boven UCL",IF(R812&lt;S812,"onder LCL","")),"")</f>
        <v/>
      </c>
    </row>
    <row r="813">
      <c r="A813" t="n">
        <v>707</v>
      </c>
      <c r="B813" s="7" t="n"/>
      <c r="C813" s="11">
        <f>IF(AND(ISNUMBER(B813),ISNUMBER(B812)),ABS(B813-B812),"")</f>
        <v/>
      </c>
      <c r="D813" s="13">
        <f>IF(AND(ISNUMBER(B813),ISNUMBER($B$88),ISNUMBER($D$88)),IF(B813&gt;$D$88,"boven UCL",IF(B813&lt;$B$88,"onder LCL","")),"")</f>
        <v/>
      </c>
      <c r="E813" s="13">
        <f>IF(AND(ISNUMBER(C813),ISNUMBER($B$89),ISNUMBER($D$89)),IF(C813&gt;$D$89,"boven UCL",IF(C813&lt;$B$89,"onder LCL","")),"")</f>
        <v/>
      </c>
      <c r="G813" t="n">
        <v>707</v>
      </c>
      <c r="H813" s="7" t="n"/>
      <c r="I813" s="7" t="n"/>
      <c r="J813" s="11">
        <f>IF(AND(ISNUMBER(H813),ISNUMBER(I813),H813&gt;0,ISNUMBER($B$94)),I813/H813,"")</f>
        <v/>
      </c>
      <c r="K813" s="11">
        <f>IF(AND(ISNUMBER(H813),ISNUMBER(I813),H813&gt;0,ISNUMBER($B$94)),MAX(0,$B$94-3*SQRT($B$94*(1-$B$94)/H813)),"")</f>
        <v/>
      </c>
      <c r="L813" s="11">
        <f>IF(AND(ISNUMBER(H813),ISNUMBER(I813),H813&gt;0,ISNUMBER($B$94)),$B$94+3*SQRT($B$94*(1-$B$94)/H813),"")</f>
        <v/>
      </c>
      <c r="M813" s="13">
        <f>IF(AND(ISNUMBER(J813),ISNUMBER(K813),ISNUMBER(L813)),IF(J813&gt;L813,"boven UCL",IF(J813&lt;K813,"onder LCL","")),"")</f>
        <v/>
      </c>
      <c r="O813" t="n">
        <v>707</v>
      </c>
      <c r="P813" s="7" t="n"/>
      <c r="Q813" s="7" t="n"/>
      <c r="R813" s="11">
        <f>IF(AND(ISNUMBER(P813),ISNUMBER(Q813),P813&gt;0,ISNUMBER($B$100)),Q813/P813,"")</f>
        <v/>
      </c>
      <c r="S813" s="11">
        <f>IF(AND(ISNUMBER(P813),ISNUMBER(Q813),P813&gt;0,ISNUMBER($B$100)),MAX(0,$B$100-3*SQRT($B$100/P813)),"")</f>
        <v/>
      </c>
      <c r="T813" s="11">
        <f>IF(AND(ISNUMBER(P813),ISNUMBER(Q813),P813&gt;0,ISNUMBER($B$100)),$B$100+3*SQRT($B$100/P813),"")</f>
        <v/>
      </c>
      <c r="U813" s="13">
        <f>IF(AND(ISNUMBER(R813),ISNUMBER(S813),ISNUMBER(T813)),IF(R813&gt;T813,"boven UCL",IF(R813&lt;S813,"onder LCL","")),"")</f>
        <v/>
      </c>
    </row>
    <row r="814">
      <c r="A814" t="n">
        <v>708</v>
      </c>
      <c r="B814" s="7" t="n"/>
      <c r="C814" s="11">
        <f>IF(AND(ISNUMBER(B814),ISNUMBER(B813)),ABS(B814-B813),"")</f>
        <v/>
      </c>
      <c r="D814" s="13">
        <f>IF(AND(ISNUMBER(B814),ISNUMBER($B$88),ISNUMBER($D$88)),IF(B814&gt;$D$88,"boven UCL",IF(B814&lt;$B$88,"onder LCL","")),"")</f>
        <v/>
      </c>
      <c r="E814" s="13">
        <f>IF(AND(ISNUMBER(C814),ISNUMBER($B$89),ISNUMBER($D$89)),IF(C814&gt;$D$89,"boven UCL",IF(C814&lt;$B$89,"onder LCL","")),"")</f>
        <v/>
      </c>
      <c r="G814" t="n">
        <v>708</v>
      </c>
      <c r="H814" s="7" t="n"/>
      <c r="I814" s="7" t="n"/>
      <c r="J814" s="11">
        <f>IF(AND(ISNUMBER(H814),ISNUMBER(I814),H814&gt;0,ISNUMBER($B$94)),I814/H814,"")</f>
        <v/>
      </c>
      <c r="K814" s="11">
        <f>IF(AND(ISNUMBER(H814),ISNUMBER(I814),H814&gt;0,ISNUMBER($B$94)),MAX(0,$B$94-3*SQRT($B$94*(1-$B$94)/H814)),"")</f>
        <v/>
      </c>
      <c r="L814" s="11">
        <f>IF(AND(ISNUMBER(H814),ISNUMBER(I814),H814&gt;0,ISNUMBER($B$94)),$B$94+3*SQRT($B$94*(1-$B$94)/H814),"")</f>
        <v/>
      </c>
      <c r="M814" s="13">
        <f>IF(AND(ISNUMBER(J814),ISNUMBER(K814),ISNUMBER(L814)),IF(J814&gt;L814,"boven UCL",IF(J814&lt;K814,"onder LCL","")),"")</f>
        <v/>
      </c>
      <c r="O814" t="n">
        <v>708</v>
      </c>
      <c r="P814" s="7" t="n"/>
      <c r="Q814" s="7" t="n"/>
      <c r="R814" s="11">
        <f>IF(AND(ISNUMBER(P814),ISNUMBER(Q814),P814&gt;0,ISNUMBER($B$100)),Q814/P814,"")</f>
        <v/>
      </c>
      <c r="S814" s="11">
        <f>IF(AND(ISNUMBER(P814),ISNUMBER(Q814),P814&gt;0,ISNUMBER($B$100)),MAX(0,$B$100-3*SQRT($B$100/P814)),"")</f>
        <v/>
      </c>
      <c r="T814" s="11">
        <f>IF(AND(ISNUMBER(P814),ISNUMBER(Q814),P814&gt;0,ISNUMBER($B$100)),$B$100+3*SQRT($B$100/P814),"")</f>
        <v/>
      </c>
      <c r="U814" s="13">
        <f>IF(AND(ISNUMBER(R814),ISNUMBER(S814),ISNUMBER(T814)),IF(R814&gt;T814,"boven UCL",IF(R814&lt;S814,"onder LCL","")),"")</f>
        <v/>
      </c>
    </row>
    <row r="815">
      <c r="A815" t="n">
        <v>709</v>
      </c>
      <c r="B815" s="7" t="n"/>
      <c r="C815" s="11">
        <f>IF(AND(ISNUMBER(B815),ISNUMBER(B814)),ABS(B815-B814),"")</f>
        <v/>
      </c>
      <c r="D815" s="13">
        <f>IF(AND(ISNUMBER(B815),ISNUMBER($B$88),ISNUMBER($D$88)),IF(B815&gt;$D$88,"boven UCL",IF(B815&lt;$B$88,"onder LCL","")),"")</f>
        <v/>
      </c>
      <c r="E815" s="13">
        <f>IF(AND(ISNUMBER(C815),ISNUMBER($B$89),ISNUMBER($D$89)),IF(C815&gt;$D$89,"boven UCL",IF(C815&lt;$B$89,"onder LCL","")),"")</f>
        <v/>
      </c>
      <c r="G815" t="n">
        <v>709</v>
      </c>
      <c r="H815" s="7" t="n"/>
      <c r="I815" s="7" t="n"/>
      <c r="J815" s="11">
        <f>IF(AND(ISNUMBER(H815),ISNUMBER(I815),H815&gt;0,ISNUMBER($B$94)),I815/H815,"")</f>
        <v/>
      </c>
      <c r="K815" s="11">
        <f>IF(AND(ISNUMBER(H815),ISNUMBER(I815),H815&gt;0,ISNUMBER($B$94)),MAX(0,$B$94-3*SQRT($B$94*(1-$B$94)/H815)),"")</f>
        <v/>
      </c>
      <c r="L815" s="11">
        <f>IF(AND(ISNUMBER(H815),ISNUMBER(I815),H815&gt;0,ISNUMBER($B$94)),$B$94+3*SQRT($B$94*(1-$B$94)/H815),"")</f>
        <v/>
      </c>
      <c r="M815" s="13">
        <f>IF(AND(ISNUMBER(J815),ISNUMBER(K815),ISNUMBER(L815)),IF(J815&gt;L815,"boven UCL",IF(J815&lt;K815,"onder LCL","")),"")</f>
        <v/>
      </c>
      <c r="O815" t="n">
        <v>709</v>
      </c>
      <c r="P815" s="7" t="n"/>
      <c r="Q815" s="7" t="n"/>
      <c r="R815" s="11">
        <f>IF(AND(ISNUMBER(P815),ISNUMBER(Q815),P815&gt;0,ISNUMBER($B$100)),Q815/P815,"")</f>
        <v/>
      </c>
      <c r="S815" s="11">
        <f>IF(AND(ISNUMBER(P815),ISNUMBER(Q815),P815&gt;0,ISNUMBER($B$100)),MAX(0,$B$100-3*SQRT($B$100/P815)),"")</f>
        <v/>
      </c>
      <c r="T815" s="11">
        <f>IF(AND(ISNUMBER(P815),ISNUMBER(Q815),P815&gt;0,ISNUMBER($B$100)),$B$100+3*SQRT($B$100/P815),"")</f>
        <v/>
      </c>
      <c r="U815" s="13">
        <f>IF(AND(ISNUMBER(R815),ISNUMBER(S815),ISNUMBER(T815)),IF(R815&gt;T815,"boven UCL",IF(R815&lt;S815,"onder LCL","")),"")</f>
        <v/>
      </c>
    </row>
    <row r="816">
      <c r="A816" t="n">
        <v>710</v>
      </c>
      <c r="B816" s="7" t="n"/>
      <c r="C816" s="11">
        <f>IF(AND(ISNUMBER(B816),ISNUMBER(B815)),ABS(B816-B815),"")</f>
        <v/>
      </c>
      <c r="D816" s="13">
        <f>IF(AND(ISNUMBER(B816),ISNUMBER($B$88),ISNUMBER($D$88)),IF(B816&gt;$D$88,"boven UCL",IF(B816&lt;$B$88,"onder LCL","")),"")</f>
        <v/>
      </c>
      <c r="E816" s="13">
        <f>IF(AND(ISNUMBER(C816),ISNUMBER($B$89),ISNUMBER($D$89)),IF(C816&gt;$D$89,"boven UCL",IF(C816&lt;$B$89,"onder LCL","")),"")</f>
        <v/>
      </c>
      <c r="G816" t="n">
        <v>710</v>
      </c>
      <c r="H816" s="7" t="n"/>
      <c r="I816" s="7" t="n"/>
      <c r="J816" s="11">
        <f>IF(AND(ISNUMBER(H816),ISNUMBER(I816),H816&gt;0,ISNUMBER($B$94)),I816/H816,"")</f>
        <v/>
      </c>
      <c r="K816" s="11">
        <f>IF(AND(ISNUMBER(H816),ISNUMBER(I816),H816&gt;0,ISNUMBER($B$94)),MAX(0,$B$94-3*SQRT($B$94*(1-$B$94)/H816)),"")</f>
        <v/>
      </c>
      <c r="L816" s="11">
        <f>IF(AND(ISNUMBER(H816),ISNUMBER(I816),H816&gt;0,ISNUMBER($B$94)),$B$94+3*SQRT($B$94*(1-$B$94)/H816),"")</f>
        <v/>
      </c>
      <c r="M816" s="13">
        <f>IF(AND(ISNUMBER(J816),ISNUMBER(K816),ISNUMBER(L816)),IF(J816&gt;L816,"boven UCL",IF(J816&lt;K816,"onder LCL","")),"")</f>
        <v/>
      </c>
      <c r="O816" t="n">
        <v>710</v>
      </c>
      <c r="P816" s="7" t="n"/>
      <c r="Q816" s="7" t="n"/>
      <c r="R816" s="11">
        <f>IF(AND(ISNUMBER(P816),ISNUMBER(Q816),P816&gt;0,ISNUMBER($B$100)),Q816/P816,"")</f>
        <v/>
      </c>
      <c r="S816" s="11">
        <f>IF(AND(ISNUMBER(P816),ISNUMBER(Q816),P816&gt;0,ISNUMBER($B$100)),MAX(0,$B$100-3*SQRT($B$100/P816)),"")</f>
        <v/>
      </c>
      <c r="T816" s="11">
        <f>IF(AND(ISNUMBER(P816),ISNUMBER(Q816),P816&gt;0,ISNUMBER($B$100)),$B$100+3*SQRT($B$100/P816),"")</f>
        <v/>
      </c>
      <c r="U816" s="13">
        <f>IF(AND(ISNUMBER(R816),ISNUMBER(S816),ISNUMBER(T816)),IF(R816&gt;T816,"boven UCL",IF(R816&lt;S816,"onder LCL","")),"")</f>
        <v/>
      </c>
    </row>
    <row r="817">
      <c r="A817" t="n">
        <v>711</v>
      </c>
      <c r="B817" s="7" t="n"/>
      <c r="C817" s="11">
        <f>IF(AND(ISNUMBER(B817),ISNUMBER(B816)),ABS(B817-B816),"")</f>
        <v/>
      </c>
      <c r="D817" s="13">
        <f>IF(AND(ISNUMBER(B817),ISNUMBER($B$88),ISNUMBER($D$88)),IF(B817&gt;$D$88,"boven UCL",IF(B817&lt;$B$88,"onder LCL","")),"")</f>
        <v/>
      </c>
      <c r="E817" s="13">
        <f>IF(AND(ISNUMBER(C817),ISNUMBER($B$89),ISNUMBER($D$89)),IF(C817&gt;$D$89,"boven UCL",IF(C817&lt;$B$89,"onder LCL","")),"")</f>
        <v/>
      </c>
      <c r="G817" t="n">
        <v>711</v>
      </c>
      <c r="H817" s="7" t="n"/>
      <c r="I817" s="7" t="n"/>
      <c r="J817" s="11">
        <f>IF(AND(ISNUMBER(H817),ISNUMBER(I817),H817&gt;0,ISNUMBER($B$94)),I817/H817,"")</f>
        <v/>
      </c>
      <c r="K817" s="11">
        <f>IF(AND(ISNUMBER(H817),ISNUMBER(I817),H817&gt;0,ISNUMBER($B$94)),MAX(0,$B$94-3*SQRT($B$94*(1-$B$94)/H817)),"")</f>
        <v/>
      </c>
      <c r="L817" s="11">
        <f>IF(AND(ISNUMBER(H817),ISNUMBER(I817),H817&gt;0,ISNUMBER($B$94)),$B$94+3*SQRT($B$94*(1-$B$94)/H817),"")</f>
        <v/>
      </c>
      <c r="M817" s="13">
        <f>IF(AND(ISNUMBER(J817),ISNUMBER(K817),ISNUMBER(L817)),IF(J817&gt;L817,"boven UCL",IF(J817&lt;K817,"onder LCL","")),"")</f>
        <v/>
      </c>
      <c r="O817" t="n">
        <v>711</v>
      </c>
      <c r="P817" s="7" t="n"/>
      <c r="Q817" s="7" t="n"/>
      <c r="R817" s="11">
        <f>IF(AND(ISNUMBER(P817),ISNUMBER(Q817),P817&gt;0,ISNUMBER($B$100)),Q817/P817,"")</f>
        <v/>
      </c>
      <c r="S817" s="11">
        <f>IF(AND(ISNUMBER(P817),ISNUMBER(Q817),P817&gt;0,ISNUMBER($B$100)),MAX(0,$B$100-3*SQRT($B$100/P817)),"")</f>
        <v/>
      </c>
      <c r="T817" s="11">
        <f>IF(AND(ISNUMBER(P817),ISNUMBER(Q817),P817&gt;0,ISNUMBER($B$100)),$B$100+3*SQRT($B$100/P817),"")</f>
        <v/>
      </c>
      <c r="U817" s="13">
        <f>IF(AND(ISNUMBER(R817),ISNUMBER(S817),ISNUMBER(T817)),IF(R817&gt;T817,"boven UCL",IF(R817&lt;S817,"onder LCL","")),"")</f>
        <v/>
      </c>
    </row>
    <row r="818">
      <c r="A818" t="n">
        <v>712</v>
      </c>
      <c r="B818" s="7" t="n"/>
      <c r="C818" s="11">
        <f>IF(AND(ISNUMBER(B818),ISNUMBER(B817)),ABS(B818-B817),"")</f>
        <v/>
      </c>
      <c r="D818" s="13">
        <f>IF(AND(ISNUMBER(B818),ISNUMBER($B$88),ISNUMBER($D$88)),IF(B818&gt;$D$88,"boven UCL",IF(B818&lt;$B$88,"onder LCL","")),"")</f>
        <v/>
      </c>
      <c r="E818" s="13">
        <f>IF(AND(ISNUMBER(C818),ISNUMBER($B$89),ISNUMBER($D$89)),IF(C818&gt;$D$89,"boven UCL",IF(C818&lt;$B$89,"onder LCL","")),"")</f>
        <v/>
      </c>
      <c r="G818" t="n">
        <v>712</v>
      </c>
      <c r="H818" s="7" t="n"/>
      <c r="I818" s="7" t="n"/>
      <c r="J818" s="11">
        <f>IF(AND(ISNUMBER(H818),ISNUMBER(I818),H818&gt;0,ISNUMBER($B$94)),I818/H818,"")</f>
        <v/>
      </c>
      <c r="K818" s="11">
        <f>IF(AND(ISNUMBER(H818),ISNUMBER(I818),H818&gt;0,ISNUMBER($B$94)),MAX(0,$B$94-3*SQRT($B$94*(1-$B$94)/H818)),"")</f>
        <v/>
      </c>
      <c r="L818" s="11">
        <f>IF(AND(ISNUMBER(H818),ISNUMBER(I818),H818&gt;0,ISNUMBER($B$94)),$B$94+3*SQRT($B$94*(1-$B$94)/H818),"")</f>
        <v/>
      </c>
      <c r="M818" s="13">
        <f>IF(AND(ISNUMBER(J818),ISNUMBER(K818),ISNUMBER(L818)),IF(J818&gt;L818,"boven UCL",IF(J818&lt;K818,"onder LCL","")),"")</f>
        <v/>
      </c>
      <c r="O818" t="n">
        <v>712</v>
      </c>
      <c r="P818" s="7" t="n"/>
      <c r="Q818" s="7" t="n"/>
      <c r="R818" s="11">
        <f>IF(AND(ISNUMBER(P818),ISNUMBER(Q818),P818&gt;0,ISNUMBER($B$100)),Q818/P818,"")</f>
        <v/>
      </c>
      <c r="S818" s="11">
        <f>IF(AND(ISNUMBER(P818),ISNUMBER(Q818),P818&gt;0,ISNUMBER($B$100)),MAX(0,$B$100-3*SQRT($B$100/P818)),"")</f>
        <v/>
      </c>
      <c r="T818" s="11">
        <f>IF(AND(ISNUMBER(P818),ISNUMBER(Q818),P818&gt;0,ISNUMBER($B$100)),$B$100+3*SQRT($B$100/P818),"")</f>
        <v/>
      </c>
      <c r="U818" s="13">
        <f>IF(AND(ISNUMBER(R818),ISNUMBER(S818),ISNUMBER(T818)),IF(R818&gt;T818,"boven UCL",IF(R818&lt;S818,"onder LCL","")),"")</f>
        <v/>
      </c>
    </row>
    <row r="819">
      <c r="A819" t="n">
        <v>713</v>
      </c>
      <c r="B819" s="7" t="n"/>
      <c r="C819" s="11">
        <f>IF(AND(ISNUMBER(B819),ISNUMBER(B818)),ABS(B819-B818),"")</f>
        <v/>
      </c>
      <c r="D819" s="13">
        <f>IF(AND(ISNUMBER(B819),ISNUMBER($B$88),ISNUMBER($D$88)),IF(B819&gt;$D$88,"boven UCL",IF(B819&lt;$B$88,"onder LCL","")),"")</f>
        <v/>
      </c>
      <c r="E819" s="13">
        <f>IF(AND(ISNUMBER(C819),ISNUMBER($B$89),ISNUMBER($D$89)),IF(C819&gt;$D$89,"boven UCL",IF(C819&lt;$B$89,"onder LCL","")),"")</f>
        <v/>
      </c>
      <c r="G819" t="n">
        <v>713</v>
      </c>
      <c r="H819" s="7" t="n"/>
      <c r="I819" s="7" t="n"/>
      <c r="J819" s="11">
        <f>IF(AND(ISNUMBER(H819),ISNUMBER(I819),H819&gt;0,ISNUMBER($B$94)),I819/H819,"")</f>
        <v/>
      </c>
      <c r="K819" s="11">
        <f>IF(AND(ISNUMBER(H819),ISNUMBER(I819),H819&gt;0,ISNUMBER($B$94)),MAX(0,$B$94-3*SQRT($B$94*(1-$B$94)/H819)),"")</f>
        <v/>
      </c>
      <c r="L819" s="11">
        <f>IF(AND(ISNUMBER(H819),ISNUMBER(I819),H819&gt;0,ISNUMBER($B$94)),$B$94+3*SQRT($B$94*(1-$B$94)/H819),"")</f>
        <v/>
      </c>
      <c r="M819" s="13">
        <f>IF(AND(ISNUMBER(J819),ISNUMBER(K819),ISNUMBER(L819)),IF(J819&gt;L819,"boven UCL",IF(J819&lt;K819,"onder LCL","")),"")</f>
        <v/>
      </c>
      <c r="O819" t="n">
        <v>713</v>
      </c>
      <c r="P819" s="7" t="n"/>
      <c r="Q819" s="7" t="n"/>
      <c r="R819" s="11">
        <f>IF(AND(ISNUMBER(P819),ISNUMBER(Q819),P819&gt;0,ISNUMBER($B$100)),Q819/P819,"")</f>
        <v/>
      </c>
      <c r="S819" s="11">
        <f>IF(AND(ISNUMBER(P819),ISNUMBER(Q819),P819&gt;0,ISNUMBER($B$100)),MAX(0,$B$100-3*SQRT($B$100/P819)),"")</f>
        <v/>
      </c>
      <c r="T819" s="11">
        <f>IF(AND(ISNUMBER(P819),ISNUMBER(Q819),P819&gt;0,ISNUMBER($B$100)),$B$100+3*SQRT($B$100/P819),"")</f>
        <v/>
      </c>
      <c r="U819" s="13">
        <f>IF(AND(ISNUMBER(R819),ISNUMBER(S819),ISNUMBER(T819)),IF(R819&gt;T819,"boven UCL",IF(R819&lt;S819,"onder LCL","")),"")</f>
        <v/>
      </c>
    </row>
    <row r="820">
      <c r="A820" t="n">
        <v>714</v>
      </c>
      <c r="B820" s="7" t="n"/>
      <c r="C820" s="11">
        <f>IF(AND(ISNUMBER(B820),ISNUMBER(B819)),ABS(B820-B819),"")</f>
        <v/>
      </c>
      <c r="D820" s="13">
        <f>IF(AND(ISNUMBER(B820),ISNUMBER($B$88),ISNUMBER($D$88)),IF(B820&gt;$D$88,"boven UCL",IF(B820&lt;$B$88,"onder LCL","")),"")</f>
        <v/>
      </c>
      <c r="E820" s="13">
        <f>IF(AND(ISNUMBER(C820),ISNUMBER($B$89),ISNUMBER($D$89)),IF(C820&gt;$D$89,"boven UCL",IF(C820&lt;$B$89,"onder LCL","")),"")</f>
        <v/>
      </c>
      <c r="G820" t="n">
        <v>714</v>
      </c>
      <c r="H820" s="7" t="n"/>
      <c r="I820" s="7" t="n"/>
      <c r="J820" s="11">
        <f>IF(AND(ISNUMBER(H820),ISNUMBER(I820),H820&gt;0,ISNUMBER($B$94)),I820/H820,"")</f>
        <v/>
      </c>
      <c r="K820" s="11">
        <f>IF(AND(ISNUMBER(H820),ISNUMBER(I820),H820&gt;0,ISNUMBER($B$94)),MAX(0,$B$94-3*SQRT($B$94*(1-$B$94)/H820)),"")</f>
        <v/>
      </c>
      <c r="L820" s="11">
        <f>IF(AND(ISNUMBER(H820),ISNUMBER(I820),H820&gt;0,ISNUMBER($B$94)),$B$94+3*SQRT($B$94*(1-$B$94)/H820),"")</f>
        <v/>
      </c>
      <c r="M820" s="13">
        <f>IF(AND(ISNUMBER(J820),ISNUMBER(K820),ISNUMBER(L820)),IF(J820&gt;L820,"boven UCL",IF(J820&lt;K820,"onder LCL","")),"")</f>
        <v/>
      </c>
      <c r="O820" t="n">
        <v>714</v>
      </c>
      <c r="P820" s="7" t="n"/>
      <c r="Q820" s="7" t="n"/>
      <c r="R820" s="11">
        <f>IF(AND(ISNUMBER(P820),ISNUMBER(Q820),P820&gt;0,ISNUMBER($B$100)),Q820/P820,"")</f>
        <v/>
      </c>
      <c r="S820" s="11">
        <f>IF(AND(ISNUMBER(P820),ISNUMBER(Q820),P820&gt;0,ISNUMBER($B$100)),MAX(0,$B$100-3*SQRT($B$100/P820)),"")</f>
        <v/>
      </c>
      <c r="T820" s="11">
        <f>IF(AND(ISNUMBER(P820),ISNUMBER(Q820),P820&gt;0,ISNUMBER($B$100)),$B$100+3*SQRT($B$100/P820),"")</f>
        <v/>
      </c>
      <c r="U820" s="13">
        <f>IF(AND(ISNUMBER(R820),ISNUMBER(S820),ISNUMBER(T820)),IF(R820&gt;T820,"boven UCL",IF(R820&lt;S820,"onder LCL","")),"")</f>
        <v/>
      </c>
    </row>
    <row r="821">
      <c r="A821" t="n">
        <v>715</v>
      </c>
      <c r="B821" s="7" t="n"/>
      <c r="C821" s="11">
        <f>IF(AND(ISNUMBER(B821),ISNUMBER(B820)),ABS(B821-B820),"")</f>
        <v/>
      </c>
      <c r="D821" s="13">
        <f>IF(AND(ISNUMBER(B821),ISNUMBER($B$88),ISNUMBER($D$88)),IF(B821&gt;$D$88,"boven UCL",IF(B821&lt;$B$88,"onder LCL","")),"")</f>
        <v/>
      </c>
      <c r="E821" s="13">
        <f>IF(AND(ISNUMBER(C821),ISNUMBER($B$89),ISNUMBER($D$89)),IF(C821&gt;$D$89,"boven UCL",IF(C821&lt;$B$89,"onder LCL","")),"")</f>
        <v/>
      </c>
      <c r="G821" t="n">
        <v>715</v>
      </c>
      <c r="H821" s="7" t="n"/>
      <c r="I821" s="7" t="n"/>
      <c r="J821" s="11">
        <f>IF(AND(ISNUMBER(H821),ISNUMBER(I821),H821&gt;0,ISNUMBER($B$94)),I821/H821,"")</f>
        <v/>
      </c>
      <c r="K821" s="11">
        <f>IF(AND(ISNUMBER(H821),ISNUMBER(I821),H821&gt;0,ISNUMBER($B$94)),MAX(0,$B$94-3*SQRT($B$94*(1-$B$94)/H821)),"")</f>
        <v/>
      </c>
      <c r="L821" s="11">
        <f>IF(AND(ISNUMBER(H821),ISNUMBER(I821),H821&gt;0,ISNUMBER($B$94)),$B$94+3*SQRT($B$94*(1-$B$94)/H821),"")</f>
        <v/>
      </c>
      <c r="M821" s="13">
        <f>IF(AND(ISNUMBER(J821),ISNUMBER(K821),ISNUMBER(L821)),IF(J821&gt;L821,"boven UCL",IF(J821&lt;K821,"onder LCL","")),"")</f>
        <v/>
      </c>
      <c r="O821" t="n">
        <v>715</v>
      </c>
      <c r="P821" s="7" t="n"/>
      <c r="Q821" s="7" t="n"/>
      <c r="R821" s="11">
        <f>IF(AND(ISNUMBER(P821),ISNUMBER(Q821),P821&gt;0,ISNUMBER($B$100)),Q821/P821,"")</f>
        <v/>
      </c>
      <c r="S821" s="11">
        <f>IF(AND(ISNUMBER(P821),ISNUMBER(Q821),P821&gt;0,ISNUMBER($B$100)),MAX(0,$B$100-3*SQRT($B$100/P821)),"")</f>
        <v/>
      </c>
      <c r="T821" s="11">
        <f>IF(AND(ISNUMBER(P821),ISNUMBER(Q821),P821&gt;0,ISNUMBER($B$100)),$B$100+3*SQRT($B$100/P821),"")</f>
        <v/>
      </c>
      <c r="U821" s="13">
        <f>IF(AND(ISNUMBER(R821),ISNUMBER(S821),ISNUMBER(T821)),IF(R821&gt;T821,"boven UCL",IF(R821&lt;S821,"onder LCL","")),"")</f>
        <v/>
      </c>
    </row>
    <row r="822">
      <c r="A822" t="n">
        <v>716</v>
      </c>
      <c r="B822" s="7" t="n"/>
      <c r="C822" s="11">
        <f>IF(AND(ISNUMBER(B822),ISNUMBER(B821)),ABS(B822-B821),"")</f>
        <v/>
      </c>
      <c r="D822" s="13">
        <f>IF(AND(ISNUMBER(B822),ISNUMBER($B$88),ISNUMBER($D$88)),IF(B822&gt;$D$88,"boven UCL",IF(B822&lt;$B$88,"onder LCL","")),"")</f>
        <v/>
      </c>
      <c r="E822" s="13">
        <f>IF(AND(ISNUMBER(C822),ISNUMBER($B$89),ISNUMBER($D$89)),IF(C822&gt;$D$89,"boven UCL",IF(C822&lt;$B$89,"onder LCL","")),"")</f>
        <v/>
      </c>
      <c r="G822" t="n">
        <v>716</v>
      </c>
      <c r="H822" s="7" t="n"/>
      <c r="I822" s="7" t="n"/>
      <c r="J822" s="11">
        <f>IF(AND(ISNUMBER(H822),ISNUMBER(I822),H822&gt;0,ISNUMBER($B$94)),I822/H822,"")</f>
        <v/>
      </c>
      <c r="K822" s="11">
        <f>IF(AND(ISNUMBER(H822),ISNUMBER(I822),H822&gt;0,ISNUMBER($B$94)),MAX(0,$B$94-3*SQRT($B$94*(1-$B$94)/H822)),"")</f>
        <v/>
      </c>
      <c r="L822" s="11">
        <f>IF(AND(ISNUMBER(H822),ISNUMBER(I822),H822&gt;0,ISNUMBER($B$94)),$B$94+3*SQRT($B$94*(1-$B$94)/H822),"")</f>
        <v/>
      </c>
      <c r="M822" s="13">
        <f>IF(AND(ISNUMBER(J822),ISNUMBER(K822),ISNUMBER(L822)),IF(J822&gt;L822,"boven UCL",IF(J822&lt;K822,"onder LCL","")),"")</f>
        <v/>
      </c>
      <c r="O822" t="n">
        <v>716</v>
      </c>
      <c r="P822" s="7" t="n"/>
      <c r="Q822" s="7" t="n"/>
      <c r="R822" s="11">
        <f>IF(AND(ISNUMBER(P822),ISNUMBER(Q822),P822&gt;0,ISNUMBER($B$100)),Q822/P822,"")</f>
        <v/>
      </c>
      <c r="S822" s="11">
        <f>IF(AND(ISNUMBER(P822),ISNUMBER(Q822),P822&gt;0,ISNUMBER($B$100)),MAX(0,$B$100-3*SQRT($B$100/P822)),"")</f>
        <v/>
      </c>
      <c r="T822" s="11">
        <f>IF(AND(ISNUMBER(P822),ISNUMBER(Q822),P822&gt;0,ISNUMBER($B$100)),$B$100+3*SQRT($B$100/P822),"")</f>
        <v/>
      </c>
      <c r="U822" s="13">
        <f>IF(AND(ISNUMBER(R822),ISNUMBER(S822),ISNUMBER(T822)),IF(R822&gt;T822,"boven UCL",IF(R822&lt;S822,"onder LCL","")),"")</f>
        <v/>
      </c>
    </row>
    <row r="823">
      <c r="A823" t="n">
        <v>717</v>
      </c>
      <c r="B823" s="7" t="n"/>
      <c r="C823" s="11">
        <f>IF(AND(ISNUMBER(B823),ISNUMBER(B822)),ABS(B823-B822),"")</f>
        <v/>
      </c>
      <c r="D823" s="13">
        <f>IF(AND(ISNUMBER(B823),ISNUMBER($B$88),ISNUMBER($D$88)),IF(B823&gt;$D$88,"boven UCL",IF(B823&lt;$B$88,"onder LCL","")),"")</f>
        <v/>
      </c>
      <c r="E823" s="13">
        <f>IF(AND(ISNUMBER(C823),ISNUMBER($B$89),ISNUMBER($D$89)),IF(C823&gt;$D$89,"boven UCL",IF(C823&lt;$B$89,"onder LCL","")),"")</f>
        <v/>
      </c>
      <c r="G823" t="n">
        <v>717</v>
      </c>
      <c r="H823" s="7" t="n"/>
      <c r="I823" s="7" t="n"/>
      <c r="J823" s="11">
        <f>IF(AND(ISNUMBER(H823),ISNUMBER(I823),H823&gt;0,ISNUMBER($B$94)),I823/H823,"")</f>
        <v/>
      </c>
      <c r="K823" s="11">
        <f>IF(AND(ISNUMBER(H823),ISNUMBER(I823),H823&gt;0,ISNUMBER($B$94)),MAX(0,$B$94-3*SQRT($B$94*(1-$B$94)/H823)),"")</f>
        <v/>
      </c>
      <c r="L823" s="11">
        <f>IF(AND(ISNUMBER(H823),ISNUMBER(I823),H823&gt;0,ISNUMBER($B$94)),$B$94+3*SQRT($B$94*(1-$B$94)/H823),"")</f>
        <v/>
      </c>
      <c r="M823" s="13">
        <f>IF(AND(ISNUMBER(J823),ISNUMBER(K823),ISNUMBER(L823)),IF(J823&gt;L823,"boven UCL",IF(J823&lt;K823,"onder LCL","")),"")</f>
        <v/>
      </c>
      <c r="O823" t="n">
        <v>717</v>
      </c>
      <c r="P823" s="7" t="n"/>
      <c r="Q823" s="7" t="n"/>
      <c r="R823" s="11">
        <f>IF(AND(ISNUMBER(P823),ISNUMBER(Q823),P823&gt;0,ISNUMBER($B$100)),Q823/P823,"")</f>
        <v/>
      </c>
      <c r="S823" s="11">
        <f>IF(AND(ISNUMBER(P823),ISNUMBER(Q823),P823&gt;0,ISNUMBER($B$100)),MAX(0,$B$100-3*SQRT($B$100/P823)),"")</f>
        <v/>
      </c>
      <c r="T823" s="11">
        <f>IF(AND(ISNUMBER(P823),ISNUMBER(Q823),P823&gt;0,ISNUMBER($B$100)),$B$100+3*SQRT($B$100/P823),"")</f>
        <v/>
      </c>
      <c r="U823" s="13">
        <f>IF(AND(ISNUMBER(R823),ISNUMBER(S823),ISNUMBER(T823)),IF(R823&gt;T823,"boven UCL",IF(R823&lt;S823,"onder LCL","")),"")</f>
        <v/>
      </c>
    </row>
    <row r="824">
      <c r="A824" t="n">
        <v>718</v>
      </c>
      <c r="B824" s="7" t="n"/>
      <c r="C824" s="11">
        <f>IF(AND(ISNUMBER(B824),ISNUMBER(B823)),ABS(B824-B823),"")</f>
        <v/>
      </c>
      <c r="D824" s="13">
        <f>IF(AND(ISNUMBER(B824),ISNUMBER($B$88),ISNUMBER($D$88)),IF(B824&gt;$D$88,"boven UCL",IF(B824&lt;$B$88,"onder LCL","")),"")</f>
        <v/>
      </c>
      <c r="E824" s="13">
        <f>IF(AND(ISNUMBER(C824),ISNUMBER($B$89),ISNUMBER($D$89)),IF(C824&gt;$D$89,"boven UCL",IF(C824&lt;$B$89,"onder LCL","")),"")</f>
        <v/>
      </c>
      <c r="G824" t="n">
        <v>718</v>
      </c>
      <c r="H824" s="7" t="n"/>
      <c r="I824" s="7" t="n"/>
      <c r="J824" s="11">
        <f>IF(AND(ISNUMBER(H824),ISNUMBER(I824),H824&gt;0,ISNUMBER($B$94)),I824/H824,"")</f>
        <v/>
      </c>
      <c r="K824" s="11">
        <f>IF(AND(ISNUMBER(H824),ISNUMBER(I824),H824&gt;0,ISNUMBER($B$94)),MAX(0,$B$94-3*SQRT($B$94*(1-$B$94)/H824)),"")</f>
        <v/>
      </c>
      <c r="L824" s="11">
        <f>IF(AND(ISNUMBER(H824),ISNUMBER(I824),H824&gt;0,ISNUMBER($B$94)),$B$94+3*SQRT($B$94*(1-$B$94)/H824),"")</f>
        <v/>
      </c>
      <c r="M824" s="13">
        <f>IF(AND(ISNUMBER(J824),ISNUMBER(K824),ISNUMBER(L824)),IF(J824&gt;L824,"boven UCL",IF(J824&lt;K824,"onder LCL","")),"")</f>
        <v/>
      </c>
      <c r="O824" t="n">
        <v>718</v>
      </c>
      <c r="P824" s="7" t="n"/>
      <c r="Q824" s="7" t="n"/>
      <c r="R824" s="11">
        <f>IF(AND(ISNUMBER(P824),ISNUMBER(Q824),P824&gt;0,ISNUMBER($B$100)),Q824/P824,"")</f>
        <v/>
      </c>
      <c r="S824" s="11">
        <f>IF(AND(ISNUMBER(P824),ISNUMBER(Q824),P824&gt;0,ISNUMBER($B$100)),MAX(0,$B$100-3*SQRT($B$100/P824)),"")</f>
        <v/>
      </c>
      <c r="T824" s="11">
        <f>IF(AND(ISNUMBER(P824),ISNUMBER(Q824),P824&gt;0,ISNUMBER($B$100)),$B$100+3*SQRT($B$100/P824),"")</f>
        <v/>
      </c>
      <c r="U824" s="13">
        <f>IF(AND(ISNUMBER(R824),ISNUMBER(S824),ISNUMBER(T824)),IF(R824&gt;T824,"boven UCL",IF(R824&lt;S824,"onder LCL","")),"")</f>
        <v/>
      </c>
    </row>
    <row r="825">
      <c r="A825" t="n">
        <v>719</v>
      </c>
      <c r="B825" s="7" t="n"/>
      <c r="C825" s="11">
        <f>IF(AND(ISNUMBER(B825),ISNUMBER(B824)),ABS(B825-B824),"")</f>
        <v/>
      </c>
      <c r="D825" s="13">
        <f>IF(AND(ISNUMBER(B825),ISNUMBER($B$88),ISNUMBER($D$88)),IF(B825&gt;$D$88,"boven UCL",IF(B825&lt;$B$88,"onder LCL","")),"")</f>
        <v/>
      </c>
      <c r="E825" s="13">
        <f>IF(AND(ISNUMBER(C825),ISNUMBER($B$89),ISNUMBER($D$89)),IF(C825&gt;$D$89,"boven UCL",IF(C825&lt;$B$89,"onder LCL","")),"")</f>
        <v/>
      </c>
      <c r="G825" t="n">
        <v>719</v>
      </c>
      <c r="H825" s="7" t="n"/>
      <c r="I825" s="7" t="n"/>
      <c r="J825" s="11">
        <f>IF(AND(ISNUMBER(H825),ISNUMBER(I825),H825&gt;0,ISNUMBER($B$94)),I825/H825,"")</f>
        <v/>
      </c>
      <c r="K825" s="11">
        <f>IF(AND(ISNUMBER(H825),ISNUMBER(I825),H825&gt;0,ISNUMBER($B$94)),MAX(0,$B$94-3*SQRT($B$94*(1-$B$94)/H825)),"")</f>
        <v/>
      </c>
      <c r="L825" s="11">
        <f>IF(AND(ISNUMBER(H825),ISNUMBER(I825),H825&gt;0,ISNUMBER($B$94)),$B$94+3*SQRT($B$94*(1-$B$94)/H825),"")</f>
        <v/>
      </c>
      <c r="M825" s="13">
        <f>IF(AND(ISNUMBER(J825),ISNUMBER(K825),ISNUMBER(L825)),IF(J825&gt;L825,"boven UCL",IF(J825&lt;K825,"onder LCL","")),"")</f>
        <v/>
      </c>
      <c r="O825" t="n">
        <v>719</v>
      </c>
      <c r="P825" s="7" t="n"/>
      <c r="Q825" s="7" t="n"/>
      <c r="R825" s="11">
        <f>IF(AND(ISNUMBER(P825),ISNUMBER(Q825),P825&gt;0,ISNUMBER($B$100)),Q825/P825,"")</f>
        <v/>
      </c>
      <c r="S825" s="11">
        <f>IF(AND(ISNUMBER(P825),ISNUMBER(Q825),P825&gt;0,ISNUMBER($B$100)),MAX(0,$B$100-3*SQRT($B$100/P825)),"")</f>
        <v/>
      </c>
      <c r="T825" s="11">
        <f>IF(AND(ISNUMBER(P825),ISNUMBER(Q825),P825&gt;0,ISNUMBER($B$100)),$B$100+3*SQRT($B$100/P825),"")</f>
        <v/>
      </c>
      <c r="U825" s="13">
        <f>IF(AND(ISNUMBER(R825),ISNUMBER(S825),ISNUMBER(T825)),IF(R825&gt;T825,"boven UCL",IF(R825&lt;S825,"onder LCL","")),"")</f>
        <v/>
      </c>
    </row>
    <row r="826">
      <c r="A826" t="n">
        <v>720</v>
      </c>
      <c r="B826" s="7" t="n"/>
      <c r="C826" s="11">
        <f>IF(AND(ISNUMBER(B826),ISNUMBER(B825)),ABS(B826-B825),"")</f>
        <v/>
      </c>
      <c r="D826" s="13">
        <f>IF(AND(ISNUMBER(B826),ISNUMBER($B$88),ISNUMBER($D$88)),IF(B826&gt;$D$88,"boven UCL",IF(B826&lt;$B$88,"onder LCL","")),"")</f>
        <v/>
      </c>
      <c r="E826" s="13">
        <f>IF(AND(ISNUMBER(C826),ISNUMBER($B$89),ISNUMBER($D$89)),IF(C826&gt;$D$89,"boven UCL",IF(C826&lt;$B$89,"onder LCL","")),"")</f>
        <v/>
      </c>
      <c r="G826" t="n">
        <v>720</v>
      </c>
      <c r="H826" s="7" t="n"/>
      <c r="I826" s="7" t="n"/>
      <c r="J826" s="11">
        <f>IF(AND(ISNUMBER(H826),ISNUMBER(I826),H826&gt;0,ISNUMBER($B$94)),I826/H826,"")</f>
        <v/>
      </c>
      <c r="K826" s="11">
        <f>IF(AND(ISNUMBER(H826),ISNUMBER(I826),H826&gt;0,ISNUMBER($B$94)),MAX(0,$B$94-3*SQRT($B$94*(1-$B$94)/H826)),"")</f>
        <v/>
      </c>
      <c r="L826" s="11">
        <f>IF(AND(ISNUMBER(H826),ISNUMBER(I826),H826&gt;0,ISNUMBER($B$94)),$B$94+3*SQRT($B$94*(1-$B$94)/H826),"")</f>
        <v/>
      </c>
      <c r="M826" s="13">
        <f>IF(AND(ISNUMBER(J826),ISNUMBER(K826),ISNUMBER(L826)),IF(J826&gt;L826,"boven UCL",IF(J826&lt;K826,"onder LCL","")),"")</f>
        <v/>
      </c>
      <c r="O826" t="n">
        <v>720</v>
      </c>
      <c r="P826" s="7" t="n"/>
      <c r="Q826" s="7" t="n"/>
      <c r="R826" s="11">
        <f>IF(AND(ISNUMBER(P826),ISNUMBER(Q826),P826&gt;0,ISNUMBER($B$100)),Q826/P826,"")</f>
        <v/>
      </c>
      <c r="S826" s="11">
        <f>IF(AND(ISNUMBER(P826),ISNUMBER(Q826),P826&gt;0,ISNUMBER($B$100)),MAX(0,$B$100-3*SQRT($B$100/P826)),"")</f>
        <v/>
      </c>
      <c r="T826" s="11">
        <f>IF(AND(ISNUMBER(P826),ISNUMBER(Q826),P826&gt;0,ISNUMBER($B$100)),$B$100+3*SQRT($B$100/P826),"")</f>
        <v/>
      </c>
      <c r="U826" s="13">
        <f>IF(AND(ISNUMBER(R826),ISNUMBER(S826),ISNUMBER(T826)),IF(R826&gt;T826,"boven UCL",IF(R826&lt;S826,"onder LCL","")),"")</f>
        <v/>
      </c>
    </row>
    <row r="827">
      <c r="A827" t="n">
        <v>721</v>
      </c>
      <c r="B827" s="7" t="n"/>
      <c r="C827" s="11">
        <f>IF(AND(ISNUMBER(B827),ISNUMBER(B826)),ABS(B827-B826),"")</f>
        <v/>
      </c>
      <c r="D827" s="13">
        <f>IF(AND(ISNUMBER(B827),ISNUMBER($B$88),ISNUMBER($D$88)),IF(B827&gt;$D$88,"boven UCL",IF(B827&lt;$B$88,"onder LCL","")),"")</f>
        <v/>
      </c>
      <c r="E827" s="13">
        <f>IF(AND(ISNUMBER(C827),ISNUMBER($B$89),ISNUMBER($D$89)),IF(C827&gt;$D$89,"boven UCL",IF(C827&lt;$B$89,"onder LCL","")),"")</f>
        <v/>
      </c>
      <c r="G827" t="n">
        <v>721</v>
      </c>
      <c r="H827" s="7" t="n"/>
      <c r="I827" s="7" t="n"/>
      <c r="J827" s="11">
        <f>IF(AND(ISNUMBER(H827),ISNUMBER(I827),H827&gt;0,ISNUMBER($B$94)),I827/H827,"")</f>
        <v/>
      </c>
      <c r="K827" s="11">
        <f>IF(AND(ISNUMBER(H827),ISNUMBER(I827),H827&gt;0,ISNUMBER($B$94)),MAX(0,$B$94-3*SQRT($B$94*(1-$B$94)/H827)),"")</f>
        <v/>
      </c>
      <c r="L827" s="11">
        <f>IF(AND(ISNUMBER(H827),ISNUMBER(I827),H827&gt;0,ISNUMBER($B$94)),$B$94+3*SQRT($B$94*(1-$B$94)/H827),"")</f>
        <v/>
      </c>
      <c r="M827" s="13">
        <f>IF(AND(ISNUMBER(J827),ISNUMBER(K827),ISNUMBER(L827)),IF(J827&gt;L827,"boven UCL",IF(J827&lt;K827,"onder LCL","")),"")</f>
        <v/>
      </c>
      <c r="O827" t="n">
        <v>721</v>
      </c>
      <c r="P827" s="7" t="n"/>
      <c r="Q827" s="7" t="n"/>
      <c r="R827" s="11">
        <f>IF(AND(ISNUMBER(P827),ISNUMBER(Q827),P827&gt;0,ISNUMBER($B$100)),Q827/P827,"")</f>
        <v/>
      </c>
      <c r="S827" s="11">
        <f>IF(AND(ISNUMBER(P827),ISNUMBER(Q827),P827&gt;0,ISNUMBER($B$100)),MAX(0,$B$100-3*SQRT($B$100/P827)),"")</f>
        <v/>
      </c>
      <c r="T827" s="11">
        <f>IF(AND(ISNUMBER(P827),ISNUMBER(Q827),P827&gt;0,ISNUMBER($B$100)),$B$100+3*SQRT($B$100/P827),"")</f>
        <v/>
      </c>
      <c r="U827" s="13">
        <f>IF(AND(ISNUMBER(R827),ISNUMBER(S827),ISNUMBER(T827)),IF(R827&gt;T827,"boven UCL",IF(R827&lt;S827,"onder LCL","")),"")</f>
        <v/>
      </c>
    </row>
    <row r="828">
      <c r="A828" t="n">
        <v>722</v>
      </c>
      <c r="B828" s="7" t="n"/>
      <c r="C828" s="11">
        <f>IF(AND(ISNUMBER(B828),ISNUMBER(B827)),ABS(B828-B827),"")</f>
        <v/>
      </c>
      <c r="D828" s="13">
        <f>IF(AND(ISNUMBER(B828),ISNUMBER($B$88),ISNUMBER($D$88)),IF(B828&gt;$D$88,"boven UCL",IF(B828&lt;$B$88,"onder LCL","")),"")</f>
        <v/>
      </c>
      <c r="E828" s="13">
        <f>IF(AND(ISNUMBER(C828),ISNUMBER($B$89),ISNUMBER($D$89)),IF(C828&gt;$D$89,"boven UCL",IF(C828&lt;$B$89,"onder LCL","")),"")</f>
        <v/>
      </c>
      <c r="G828" t="n">
        <v>722</v>
      </c>
      <c r="H828" s="7" t="n"/>
      <c r="I828" s="7" t="n"/>
      <c r="J828" s="11">
        <f>IF(AND(ISNUMBER(H828),ISNUMBER(I828),H828&gt;0,ISNUMBER($B$94)),I828/H828,"")</f>
        <v/>
      </c>
      <c r="K828" s="11">
        <f>IF(AND(ISNUMBER(H828),ISNUMBER(I828),H828&gt;0,ISNUMBER($B$94)),MAX(0,$B$94-3*SQRT($B$94*(1-$B$94)/H828)),"")</f>
        <v/>
      </c>
      <c r="L828" s="11">
        <f>IF(AND(ISNUMBER(H828),ISNUMBER(I828),H828&gt;0,ISNUMBER($B$94)),$B$94+3*SQRT($B$94*(1-$B$94)/H828),"")</f>
        <v/>
      </c>
      <c r="M828" s="13">
        <f>IF(AND(ISNUMBER(J828),ISNUMBER(K828),ISNUMBER(L828)),IF(J828&gt;L828,"boven UCL",IF(J828&lt;K828,"onder LCL","")),"")</f>
        <v/>
      </c>
      <c r="O828" t="n">
        <v>722</v>
      </c>
      <c r="P828" s="7" t="n"/>
      <c r="Q828" s="7" t="n"/>
      <c r="R828" s="11">
        <f>IF(AND(ISNUMBER(P828),ISNUMBER(Q828),P828&gt;0,ISNUMBER($B$100)),Q828/P828,"")</f>
        <v/>
      </c>
      <c r="S828" s="11">
        <f>IF(AND(ISNUMBER(P828),ISNUMBER(Q828),P828&gt;0,ISNUMBER($B$100)),MAX(0,$B$100-3*SQRT($B$100/P828)),"")</f>
        <v/>
      </c>
      <c r="T828" s="11">
        <f>IF(AND(ISNUMBER(P828),ISNUMBER(Q828),P828&gt;0,ISNUMBER($B$100)),$B$100+3*SQRT($B$100/P828),"")</f>
        <v/>
      </c>
      <c r="U828" s="13">
        <f>IF(AND(ISNUMBER(R828),ISNUMBER(S828),ISNUMBER(T828)),IF(R828&gt;T828,"boven UCL",IF(R828&lt;S828,"onder LCL","")),"")</f>
        <v/>
      </c>
    </row>
    <row r="829">
      <c r="A829" t="n">
        <v>723</v>
      </c>
      <c r="B829" s="7" t="n"/>
      <c r="C829" s="11">
        <f>IF(AND(ISNUMBER(B829),ISNUMBER(B828)),ABS(B829-B828),"")</f>
        <v/>
      </c>
      <c r="D829" s="13">
        <f>IF(AND(ISNUMBER(B829),ISNUMBER($B$88),ISNUMBER($D$88)),IF(B829&gt;$D$88,"boven UCL",IF(B829&lt;$B$88,"onder LCL","")),"")</f>
        <v/>
      </c>
      <c r="E829" s="13">
        <f>IF(AND(ISNUMBER(C829),ISNUMBER($B$89),ISNUMBER($D$89)),IF(C829&gt;$D$89,"boven UCL",IF(C829&lt;$B$89,"onder LCL","")),"")</f>
        <v/>
      </c>
      <c r="G829" t="n">
        <v>723</v>
      </c>
      <c r="H829" s="7" t="n"/>
      <c r="I829" s="7" t="n"/>
      <c r="J829" s="11">
        <f>IF(AND(ISNUMBER(H829),ISNUMBER(I829),H829&gt;0,ISNUMBER($B$94)),I829/H829,"")</f>
        <v/>
      </c>
      <c r="K829" s="11">
        <f>IF(AND(ISNUMBER(H829),ISNUMBER(I829),H829&gt;0,ISNUMBER($B$94)),MAX(0,$B$94-3*SQRT($B$94*(1-$B$94)/H829)),"")</f>
        <v/>
      </c>
      <c r="L829" s="11">
        <f>IF(AND(ISNUMBER(H829),ISNUMBER(I829),H829&gt;0,ISNUMBER($B$94)),$B$94+3*SQRT($B$94*(1-$B$94)/H829),"")</f>
        <v/>
      </c>
      <c r="M829" s="13">
        <f>IF(AND(ISNUMBER(J829),ISNUMBER(K829),ISNUMBER(L829)),IF(J829&gt;L829,"boven UCL",IF(J829&lt;K829,"onder LCL","")),"")</f>
        <v/>
      </c>
      <c r="O829" t="n">
        <v>723</v>
      </c>
      <c r="P829" s="7" t="n"/>
      <c r="Q829" s="7" t="n"/>
      <c r="R829" s="11">
        <f>IF(AND(ISNUMBER(P829),ISNUMBER(Q829),P829&gt;0,ISNUMBER($B$100)),Q829/P829,"")</f>
        <v/>
      </c>
      <c r="S829" s="11">
        <f>IF(AND(ISNUMBER(P829),ISNUMBER(Q829),P829&gt;0,ISNUMBER($B$100)),MAX(0,$B$100-3*SQRT($B$100/P829)),"")</f>
        <v/>
      </c>
      <c r="T829" s="11">
        <f>IF(AND(ISNUMBER(P829),ISNUMBER(Q829),P829&gt;0,ISNUMBER($B$100)),$B$100+3*SQRT($B$100/P829),"")</f>
        <v/>
      </c>
      <c r="U829" s="13">
        <f>IF(AND(ISNUMBER(R829),ISNUMBER(S829),ISNUMBER(T829)),IF(R829&gt;T829,"boven UCL",IF(R829&lt;S829,"onder LCL","")),"")</f>
        <v/>
      </c>
    </row>
    <row r="830">
      <c r="A830" t="n">
        <v>724</v>
      </c>
      <c r="B830" s="7" t="n"/>
      <c r="C830" s="11">
        <f>IF(AND(ISNUMBER(B830),ISNUMBER(B829)),ABS(B830-B829),"")</f>
        <v/>
      </c>
      <c r="D830" s="13">
        <f>IF(AND(ISNUMBER(B830),ISNUMBER($B$88),ISNUMBER($D$88)),IF(B830&gt;$D$88,"boven UCL",IF(B830&lt;$B$88,"onder LCL","")),"")</f>
        <v/>
      </c>
      <c r="E830" s="13">
        <f>IF(AND(ISNUMBER(C830),ISNUMBER($B$89),ISNUMBER($D$89)),IF(C830&gt;$D$89,"boven UCL",IF(C830&lt;$B$89,"onder LCL","")),"")</f>
        <v/>
      </c>
      <c r="G830" t="n">
        <v>724</v>
      </c>
      <c r="H830" s="7" t="n"/>
      <c r="I830" s="7" t="n"/>
      <c r="J830" s="11">
        <f>IF(AND(ISNUMBER(H830),ISNUMBER(I830),H830&gt;0,ISNUMBER($B$94)),I830/H830,"")</f>
        <v/>
      </c>
      <c r="K830" s="11">
        <f>IF(AND(ISNUMBER(H830),ISNUMBER(I830),H830&gt;0,ISNUMBER($B$94)),MAX(0,$B$94-3*SQRT($B$94*(1-$B$94)/H830)),"")</f>
        <v/>
      </c>
      <c r="L830" s="11">
        <f>IF(AND(ISNUMBER(H830),ISNUMBER(I830),H830&gt;0,ISNUMBER($B$94)),$B$94+3*SQRT($B$94*(1-$B$94)/H830),"")</f>
        <v/>
      </c>
      <c r="M830" s="13">
        <f>IF(AND(ISNUMBER(J830),ISNUMBER(K830),ISNUMBER(L830)),IF(J830&gt;L830,"boven UCL",IF(J830&lt;K830,"onder LCL","")),"")</f>
        <v/>
      </c>
      <c r="O830" t="n">
        <v>724</v>
      </c>
      <c r="P830" s="7" t="n"/>
      <c r="Q830" s="7" t="n"/>
      <c r="R830" s="11">
        <f>IF(AND(ISNUMBER(P830),ISNUMBER(Q830),P830&gt;0,ISNUMBER($B$100)),Q830/P830,"")</f>
        <v/>
      </c>
      <c r="S830" s="11">
        <f>IF(AND(ISNUMBER(P830),ISNUMBER(Q830),P830&gt;0,ISNUMBER($B$100)),MAX(0,$B$100-3*SQRT($B$100/P830)),"")</f>
        <v/>
      </c>
      <c r="T830" s="11">
        <f>IF(AND(ISNUMBER(P830),ISNUMBER(Q830),P830&gt;0,ISNUMBER($B$100)),$B$100+3*SQRT($B$100/P830),"")</f>
        <v/>
      </c>
      <c r="U830" s="13">
        <f>IF(AND(ISNUMBER(R830),ISNUMBER(S830),ISNUMBER(T830)),IF(R830&gt;T830,"boven UCL",IF(R830&lt;S830,"onder LCL","")),"")</f>
        <v/>
      </c>
    </row>
    <row r="831">
      <c r="A831" t="n">
        <v>725</v>
      </c>
      <c r="B831" s="7" t="n"/>
      <c r="C831" s="11">
        <f>IF(AND(ISNUMBER(B831),ISNUMBER(B830)),ABS(B831-B830),"")</f>
        <v/>
      </c>
      <c r="D831" s="13">
        <f>IF(AND(ISNUMBER(B831),ISNUMBER($B$88),ISNUMBER($D$88)),IF(B831&gt;$D$88,"boven UCL",IF(B831&lt;$B$88,"onder LCL","")),"")</f>
        <v/>
      </c>
      <c r="E831" s="13">
        <f>IF(AND(ISNUMBER(C831),ISNUMBER($B$89),ISNUMBER($D$89)),IF(C831&gt;$D$89,"boven UCL",IF(C831&lt;$B$89,"onder LCL","")),"")</f>
        <v/>
      </c>
      <c r="G831" t="n">
        <v>725</v>
      </c>
      <c r="H831" s="7" t="n"/>
      <c r="I831" s="7" t="n"/>
      <c r="J831" s="11">
        <f>IF(AND(ISNUMBER(H831),ISNUMBER(I831),H831&gt;0,ISNUMBER($B$94)),I831/H831,"")</f>
        <v/>
      </c>
      <c r="K831" s="11">
        <f>IF(AND(ISNUMBER(H831),ISNUMBER(I831),H831&gt;0,ISNUMBER($B$94)),MAX(0,$B$94-3*SQRT($B$94*(1-$B$94)/H831)),"")</f>
        <v/>
      </c>
      <c r="L831" s="11">
        <f>IF(AND(ISNUMBER(H831),ISNUMBER(I831),H831&gt;0,ISNUMBER($B$94)),$B$94+3*SQRT($B$94*(1-$B$94)/H831),"")</f>
        <v/>
      </c>
      <c r="M831" s="13">
        <f>IF(AND(ISNUMBER(J831),ISNUMBER(K831),ISNUMBER(L831)),IF(J831&gt;L831,"boven UCL",IF(J831&lt;K831,"onder LCL","")),"")</f>
        <v/>
      </c>
      <c r="O831" t="n">
        <v>725</v>
      </c>
      <c r="P831" s="7" t="n"/>
      <c r="Q831" s="7" t="n"/>
      <c r="R831" s="11">
        <f>IF(AND(ISNUMBER(P831),ISNUMBER(Q831),P831&gt;0,ISNUMBER($B$100)),Q831/P831,"")</f>
        <v/>
      </c>
      <c r="S831" s="11">
        <f>IF(AND(ISNUMBER(P831),ISNUMBER(Q831),P831&gt;0,ISNUMBER($B$100)),MAX(0,$B$100-3*SQRT($B$100/P831)),"")</f>
        <v/>
      </c>
      <c r="T831" s="11">
        <f>IF(AND(ISNUMBER(P831),ISNUMBER(Q831),P831&gt;0,ISNUMBER($B$100)),$B$100+3*SQRT($B$100/P831),"")</f>
        <v/>
      </c>
      <c r="U831" s="13">
        <f>IF(AND(ISNUMBER(R831),ISNUMBER(S831),ISNUMBER(T831)),IF(R831&gt;T831,"boven UCL",IF(R831&lt;S831,"onder LCL","")),"")</f>
        <v/>
      </c>
    </row>
    <row r="832">
      <c r="A832" t="n">
        <v>726</v>
      </c>
      <c r="B832" s="7" t="n"/>
      <c r="C832" s="11">
        <f>IF(AND(ISNUMBER(B832),ISNUMBER(B831)),ABS(B832-B831),"")</f>
        <v/>
      </c>
      <c r="D832" s="13">
        <f>IF(AND(ISNUMBER(B832),ISNUMBER($B$88),ISNUMBER($D$88)),IF(B832&gt;$D$88,"boven UCL",IF(B832&lt;$B$88,"onder LCL","")),"")</f>
        <v/>
      </c>
      <c r="E832" s="13">
        <f>IF(AND(ISNUMBER(C832),ISNUMBER($B$89),ISNUMBER($D$89)),IF(C832&gt;$D$89,"boven UCL",IF(C832&lt;$B$89,"onder LCL","")),"")</f>
        <v/>
      </c>
      <c r="G832" t="n">
        <v>726</v>
      </c>
      <c r="H832" s="7" t="n"/>
      <c r="I832" s="7" t="n"/>
      <c r="J832" s="11">
        <f>IF(AND(ISNUMBER(H832),ISNUMBER(I832),H832&gt;0,ISNUMBER($B$94)),I832/H832,"")</f>
        <v/>
      </c>
      <c r="K832" s="11">
        <f>IF(AND(ISNUMBER(H832),ISNUMBER(I832),H832&gt;0,ISNUMBER($B$94)),MAX(0,$B$94-3*SQRT($B$94*(1-$B$94)/H832)),"")</f>
        <v/>
      </c>
      <c r="L832" s="11">
        <f>IF(AND(ISNUMBER(H832),ISNUMBER(I832),H832&gt;0,ISNUMBER($B$94)),$B$94+3*SQRT($B$94*(1-$B$94)/H832),"")</f>
        <v/>
      </c>
      <c r="M832" s="13">
        <f>IF(AND(ISNUMBER(J832),ISNUMBER(K832),ISNUMBER(L832)),IF(J832&gt;L832,"boven UCL",IF(J832&lt;K832,"onder LCL","")),"")</f>
        <v/>
      </c>
      <c r="O832" t="n">
        <v>726</v>
      </c>
      <c r="P832" s="7" t="n"/>
      <c r="Q832" s="7" t="n"/>
      <c r="R832" s="11">
        <f>IF(AND(ISNUMBER(P832),ISNUMBER(Q832),P832&gt;0,ISNUMBER($B$100)),Q832/P832,"")</f>
        <v/>
      </c>
      <c r="S832" s="11">
        <f>IF(AND(ISNUMBER(P832),ISNUMBER(Q832),P832&gt;0,ISNUMBER($B$100)),MAX(0,$B$100-3*SQRT($B$100/P832)),"")</f>
        <v/>
      </c>
      <c r="T832" s="11">
        <f>IF(AND(ISNUMBER(P832),ISNUMBER(Q832),P832&gt;0,ISNUMBER($B$100)),$B$100+3*SQRT($B$100/P832),"")</f>
        <v/>
      </c>
      <c r="U832" s="13">
        <f>IF(AND(ISNUMBER(R832),ISNUMBER(S832),ISNUMBER(T832)),IF(R832&gt;T832,"boven UCL",IF(R832&lt;S832,"onder LCL","")),"")</f>
        <v/>
      </c>
    </row>
    <row r="833">
      <c r="A833" t="n">
        <v>727</v>
      </c>
      <c r="B833" s="7" t="n"/>
      <c r="C833" s="11">
        <f>IF(AND(ISNUMBER(B833),ISNUMBER(B832)),ABS(B833-B832),"")</f>
        <v/>
      </c>
      <c r="D833" s="13">
        <f>IF(AND(ISNUMBER(B833),ISNUMBER($B$88),ISNUMBER($D$88)),IF(B833&gt;$D$88,"boven UCL",IF(B833&lt;$B$88,"onder LCL","")),"")</f>
        <v/>
      </c>
      <c r="E833" s="13">
        <f>IF(AND(ISNUMBER(C833),ISNUMBER($B$89),ISNUMBER($D$89)),IF(C833&gt;$D$89,"boven UCL",IF(C833&lt;$B$89,"onder LCL","")),"")</f>
        <v/>
      </c>
      <c r="G833" t="n">
        <v>727</v>
      </c>
      <c r="H833" s="7" t="n"/>
      <c r="I833" s="7" t="n"/>
      <c r="J833" s="11">
        <f>IF(AND(ISNUMBER(H833),ISNUMBER(I833),H833&gt;0,ISNUMBER($B$94)),I833/H833,"")</f>
        <v/>
      </c>
      <c r="K833" s="11">
        <f>IF(AND(ISNUMBER(H833),ISNUMBER(I833),H833&gt;0,ISNUMBER($B$94)),MAX(0,$B$94-3*SQRT($B$94*(1-$B$94)/H833)),"")</f>
        <v/>
      </c>
      <c r="L833" s="11">
        <f>IF(AND(ISNUMBER(H833),ISNUMBER(I833),H833&gt;0,ISNUMBER($B$94)),$B$94+3*SQRT($B$94*(1-$B$94)/H833),"")</f>
        <v/>
      </c>
      <c r="M833" s="13">
        <f>IF(AND(ISNUMBER(J833),ISNUMBER(K833),ISNUMBER(L833)),IF(J833&gt;L833,"boven UCL",IF(J833&lt;K833,"onder LCL","")),"")</f>
        <v/>
      </c>
      <c r="O833" t="n">
        <v>727</v>
      </c>
      <c r="P833" s="7" t="n"/>
      <c r="Q833" s="7" t="n"/>
      <c r="R833" s="11">
        <f>IF(AND(ISNUMBER(P833),ISNUMBER(Q833),P833&gt;0,ISNUMBER($B$100)),Q833/P833,"")</f>
        <v/>
      </c>
      <c r="S833" s="11">
        <f>IF(AND(ISNUMBER(P833),ISNUMBER(Q833),P833&gt;0,ISNUMBER($B$100)),MAX(0,$B$100-3*SQRT($B$100/P833)),"")</f>
        <v/>
      </c>
      <c r="T833" s="11">
        <f>IF(AND(ISNUMBER(P833),ISNUMBER(Q833),P833&gt;0,ISNUMBER($B$100)),$B$100+3*SQRT($B$100/P833),"")</f>
        <v/>
      </c>
      <c r="U833" s="13">
        <f>IF(AND(ISNUMBER(R833),ISNUMBER(S833),ISNUMBER(T833)),IF(R833&gt;T833,"boven UCL",IF(R833&lt;S833,"onder LCL","")),"")</f>
        <v/>
      </c>
    </row>
    <row r="834">
      <c r="A834" t="n">
        <v>728</v>
      </c>
      <c r="B834" s="7" t="n"/>
      <c r="C834" s="11">
        <f>IF(AND(ISNUMBER(B834),ISNUMBER(B833)),ABS(B834-B833),"")</f>
        <v/>
      </c>
      <c r="D834" s="13">
        <f>IF(AND(ISNUMBER(B834),ISNUMBER($B$88),ISNUMBER($D$88)),IF(B834&gt;$D$88,"boven UCL",IF(B834&lt;$B$88,"onder LCL","")),"")</f>
        <v/>
      </c>
      <c r="E834" s="13">
        <f>IF(AND(ISNUMBER(C834),ISNUMBER($B$89),ISNUMBER($D$89)),IF(C834&gt;$D$89,"boven UCL",IF(C834&lt;$B$89,"onder LCL","")),"")</f>
        <v/>
      </c>
      <c r="G834" t="n">
        <v>728</v>
      </c>
      <c r="H834" s="7" t="n"/>
      <c r="I834" s="7" t="n"/>
      <c r="J834" s="11">
        <f>IF(AND(ISNUMBER(H834),ISNUMBER(I834),H834&gt;0,ISNUMBER($B$94)),I834/H834,"")</f>
        <v/>
      </c>
      <c r="K834" s="11">
        <f>IF(AND(ISNUMBER(H834),ISNUMBER(I834),H834&gt;0,ISNUMBER($B$94)),MAX(0,$B$94-3*SQRT($B$94*(1-$B$94)/H834)),"")</f>
        <v/>
      </c>
      <c r="L834" s="11">
        <f>IF(AND(ISNUMBER(H834),ISNUMBER(I834),H834&gt;0,ISNUMBER($B$94)),$B$94+3*SQRT($B$94*(1-$B$94)/H834),"")</f>
        <v/>
      </c>
      <c r="M834" s="13">
        <f>IF(AND(ISNUMBER(J834),ISNUMBER(K834),ISNUMBER(L834)),IF(J834&gt;L834,"boven UCL",IF(J834&lt;K834,"onder LCL","")),"")</f>
        <v/>
      </c>
      <c r="O834" t="n">
        <v>728</v>
      </c>
      <c r="P834" s="7" t="n"/>
      <c r="Q834" s="7" t="n"/>
      <c r="R834" s="11">
        <f>IF(AND(ISNUMBER(P834),ISNUMBER(Q834),P834&gt;0,ISNUMBER($B$100)),Q834/P834,"")</f>
        <v/>
      </c>
      <c r="S834" s="11">
        <f>IF(AND(ISNUMBER(P834),ISNUMBER(Q834),P834&gt;0,ISNUMBER($B$100)),MAX(0,$B$100-3*SQRT($B$100/P834)),"")</f>
        <v/>
      </c>
      <c r="T834" s="11">
        <f>IF(AND(ISNUMBER(P834),ISNUMBER(Q834),P834&gt;0,ISNUMBER($B$100)),$B$100+3*SQRT($B$100/P834),"")</f>
        <v/>
      </c>
      <c r="U834" s="13">
        <f>IF(AND(ISNUMBER(R834),ISNUMBER(S834),ISNUMBER(T834)),IF(R834&gt;T834,"boven UCL",IF(R834&lt;S834,"onder LCL","")),"")</f>
        <v/>
      </c>
    </row>
    <row r="835">
      <c r="A835" t="n">
        <v>729</v>
      </c>
      <c r="B835" s="7" t="n"/>
      <c r="C835" s="11">
        <f>IF(AND(ISNUMBER(B835),ISNUMBER(B834)),ABS(B835-B834),"")</f>
        <v/>
      </c>
      <c r="D835" s="13">
        <f>IF(AND(ISNUMBER(B835),ISNUMBER($B$88),ISNUMBER($D$88)),IF(B835&gt;$D$88,"boven UCL",IF(B835&lt;$B$88,"onder LCL","")),"")</f>
        <v/>
      </c>
      <c r="E835" s="13">
        <f>IF(AND(ISNUMBER(C835),ISNUMBER($B$89),ISNUMBER($D$89)),IF(C835&gt;$D$89,"boven UCL",IF(C835&lt;$B$89,"onder LCL","")),"")</f>
        <v/>
      </c>
      <c r="G835" t="n">
        <v>729</v>
      </c>
      <c r="H835" s="7" t="n"/>
      <c r="I835" s="7" t="n"/>
      <c r="J835" s="11">
        <f>IF(AND(ISNUMBER(H835),ISNUMBER(I835),H835&gt;0,ISNUMBER($B$94)),I835/H835,"")</f>
        <v/>
      </c>
      <c r="K835" s="11">
        <f>IF(AND(ISNUMBER(H835),ISNUMBER(I835),H835&gt;0,ISNUMBER($B$94)),MAX(0,$B$94-3*SQRT($B$94*(1-$B$94)/H835)),"")</f>
        <v/>
      </c>
      <c r="L835" s="11">
        <f>IF(AND(ISNUMBER(H835),ISNUMBER(I835),H835&gt;0,ISNUMBER($B$94)),$B$94+3*SQRT($B$94*(1-$B$94)/H835),"")</f>
        <v/>
      </c>
      <c r="M835" s="13">
        <f>IF(AND(ISNUMBER(J835),ISNUMBER(K835),ISNUMBER(L835)),IF(J835&gt;L835,"boven UCL",IF(J835&lt;K835,"onder LCL","")),"")</f>
        <v/>
      </c>
      <c r="O835" t="n">
        <v>729</v>
      </c>
      <c r="P835" s="7" t="n"/>
      <c r="Q835" s="7" t="n"/>
      <c r="R835" s="11">
        <f>IF(AND(ISNUMBER(P835),ISNUMBER(Q835),P835&gt;0,ISNUMBER($B$100)),Q835/P835,"")</f>
        <v/>
      </c>
      <c r="S835" s="11">
        <f>IF(AND(ISNUMBER(P835),ISNUMBER(Q835),P835&gt;0,ISNUMBER($B$100)),MAX(0,$B$100-3*SQRT($B$100/P835)),"")</f>
        <v/>
      </c>
      <c r="T835" s="11">
        <f>IF(AND(ISNUMBER(P835),ISNUMBER(Q835),P835&gt;0,ISNUMBER($B$100)),$B$100+3*SQRT($B$100/P835),"")</f>
        <v/>
      </c>
      <c r="U835" s="13">
        <f>IF(AND(ISNUMBER(R835),ISNUMBER(S835),ISNUMBER(T835)),IF(R835&gt;T835,"boven UCL",IF(R835&lt;S835,"onder LCL","")),"")</f>
        <v/>
      </c>
    </row>
    <row r="836">
      <c r="A836" t="n">
        <v>730</v>
      </c>
      <c r="B836" s="7" t="n"/>
      <c r="C836" s="11">
        <f>IF(AND(ISNUMBER(B836),ISNUMBER(B835)),ABS(B836-B835),"")</f>
        <v/>
      </c>
      <c r="D836" s="13">
        <f>IF(AND(ISNUMBER(B836),ISNUMBER($B$88),ISNUMBER($D$88)),IF(B836&gt;$D$88,"boven UCL",IF(B836&lt;$B$88,"onder LCL","")),"")</f>
        <v/>
      </c>
      <c r="E836" s="13">
        <f>IF(AND(ISNUMBER(C836),ISNUMBER($B$89),ISNUMBER($D$89)),IF(C836&gt;$D$89,"boven UCL",IF(C836&lt;$B$89,"onder LCL","")),"")</f>
        <v/>
      </c>
      <c r="G836" t="n">
        <v>730</v>
      </c>
      <c r="H836" s="7" t="n"/>
      <c r="I836" s="7" t="n"/>
      <c r="J836" s="11">
        <f>IF(AND(ISNUMBER(H836),ISNUMBER(I836),H836&gt;0,ISNUMBER($B$94)),I836/H836,"")</f>
        <v/>
      </c>
      <c r="K836" s="11">
        <f>IF(AND(ISNUMBER(H836),ISNUMBER(I836),H836&gt;0,ISNUMBER($B$94)),MAX(0,$B$94-3*SQRT($B$94*(1-$B$94)/H836)),"")</f>
        <v/>
      </c>
      <c r="L836" s="11">
        <f>IF(AND(ISNUMBER(H836),ISNUMBER(I836),H836&gt;0,ISNUMBER($B$94)),$B$94+3*SQRT($B$94*(1-$B$94)/H836),"")</f>
        <v/>
      </c>
      <c r="M836" s="13">
        <f>IF(AND(ISNUMBER(J836),ISNUMBER(K836),ISNUMBER(L836)),IF(J836&gt;L836,"boven UCL",IF(J836&lt;K836,"onder LCL","")),"")</f>
        <v/>
      </c>
      <c r="O836" t="n">
        <v>730</v>
      </c>
      <c r="P836" s="7" t="n"/>
      <c r="Q836" s="7" t="n"/>
      <c r="R836" s="11">
        <f>IF(AND(ISNUMBER(P836),ISNUMBER(Q836),P836&gt;0,ISNUMBER($B$100)),Q836/P836,"")</f>
        <v/>
      </c>
      <c r="S836" s="11">
        <f>IF(AND(ISNUMBER(P836),ISNUMBER(Q836),P836&gt;0,ISNUMBER($B$100)),MAX(0,$B$100-3*SQRT($B$100/P836)),"")</f>
        <v/>
      </c>
      <c r="T836" s="11">
        <f>IF(AND(ISNUMBER(P836),ISNUMBER(Q836),P836&gt;0,ISNUMBER($B$100)),$B$100+3*SQRT($B$100/P836),"")</f>
        <v/>
      </c>
      <c r="U836" s="13">
        <f>IF(AND(ISNUMBER(R836),ISNUMBER(S836),ISNUMBER(T836)),IF(R836&gt;T836,"boven UCL",IF(R836&lt;S836,"onder LCL","")),"")</f>
        <v/>
      </c>
    </row>
    <row r="837">
      <c r="A837" t="n">
        <v>731</v>
      </c>
      <c r="B837" s="7" t="n"/>
      <c r="C837" s="11">
        <f>IF(AND(ISNUMBER(B837),ISNUMBER(B836)),ABS(B837-B836),"")</f>
        <v/>
      </c>
      <c r="D837" s="13">
        <f>IF(AND(ISNUMBER(B837),ISNUMBER($B$88),ISNUMBER($D$88)),IF(B837&gt;$D$88,"boven UCL",IF(B837&lt;$B$88,"onder LCL","")),"")</f>
        <v/>
      </c>
      <c r="E837" s="13">
        <f>IF(AND(ISNUMBER(C837),ISNUMBER($B$89),ISNUMBER($D$89)),IF(C837&gt;$D$89,"boven UCL",IF(C837&lt;$B$89,"onder LCL","")),"")</f>
        <v/>
      </c>
      <c r="G837" t="n">
        <v>731</v>
      </c>
      <c r="H837" s="7" t="n"/>
      <c r="I837" s="7" t="n"/>
      <c r="J837" s="11">
        <f>IF(AND(ISNUMBER(H837),ISNUMBER(I837),H837&gt;0,ISNUMBER($B$94)),I837/H837,"")</f>
        <v/>
      </c>
      <c r="K837" s="11">
        <f>IF(AND(ISNUMBER(H837),ISNUMBER(I837),H837&gt;0,ISNUMBER($B$94)),MAX(0,$B$94-3*SQRT($B$94*(1-$B$94)/H837)),"")</f>
        <v/>
      </c>
      <c r="L837" s="11">
        <f>IF(AND(ISNUMBER(H837),ISNUMBER(I837),H837&gt;0,ISNUMBER($B$94)),$B$94+3*SQRT($B$94*(1-$B$94)/H837),"")</f>
        <v/>
      </c>
      <c r="M837" s="13">
        <f>IF(AND(ISNUMBER(J837),ISNUMBER(K837),ISNUMBER(L837)),IF(J837&gt;L837,"boven UCL",IF(J837&lt;K837,"onder LCL","")),"")</f>
        <v/>
      </c>
      <c r="O837" t="n">
        <v>731</v>
      </c>
      <c r="P837" s="7" t="n"/>
      <c r="Q837" s="7" t="n"/>
      <c r="R837" s="11">
        <f>IF(AND(ISNUMBER(P837),ISNUMBER(Q837),P837&gt;0,ISNUMBER($B$100)),Q837/P837,"")</f>
        <v/>
      </c>
      <c r="S837" s="11">
        <f>IF(AND(ISNUMBER(P837),ISNUMBER(Q837),P837&gt;0,ISNUMBER($B$100)),MAX(0,$B$100-3*SQRT($B$100/P837)),"")</f>
        <v/>
      </c>
      <c r="T837" s="11">
        <f>IF(AND(ISNUMBER(P837),ISNUMBER(Q837),P837&gt;0,ISNUMBER($B$100)),$B$100+3*SQRT($B$100/P837),"")</f>
        <v/>
      </c>
      <c r="U837" s="13">
        <f>IF(AND(ISNUMBER(R837),ISNUMBER(S837),ISNUMBER(T837)),IF(R837&gt;T837,"boven UCL",IF(R837&lt;S837,"onder LCL","")),"")</f>
        <v/>
      </c>
    </row>
    <row r="838">
      <c r="A838" t="n">
        <v>732</v>
      </c>
      <c r="B838" s="7" t="n"/>
      <c r="C838" s="11">
        <f>IF(AND(ISNUMBER(B838),ISNUMBER(B837)),ABS(B838-B837),"")</f>
        <v/>
      </c>
      <c r="D838" s="13">
        <f>IF(AND(ISNUMBER(B838),ISNUMBER($B$88),ISNUMBER($D$88)),IF(B838&gt;$D$88,"boven UCL",IF(B838&lt;$B$88,"onder LCL","")),"")</f>
        <v/>
      </c>
      <c r="E838" s="13">
        <f>IF(AND(ISNUMBER(C838),ISNUMBER($B$89),ISNUMBER($D$89)),IF(C838&gt;$D$89,"boven UCL",IF(C838&lt;$B$89,"onder LCL","")),"")</f>
        <v/>
      </c>
      <c r="G838" t="n">
        <v>732</v>
      </c>
      <c r="H838" s="7" t="n"/>
      <c r="I838" s="7" t="n"/>
      <c r="J838" s="11">
        <f>IF(AND(ISNUMBER(H838),ISNUMBER(I838),H838&gt;0,ISNUMBER($B$94)),I838/H838,"")</f>
        <v/>
      </c>
      <c r="K838" s="11">
        <f>IF(AND(ISNUMBER(H838),ISNUMBER(I838),H838&gt;0,ISNUMBER($B$94)),MAX(0,$B$94-3*SQRT($B$94*(1-$B$94)/H838)),"")</f>
        <v/>
      </c>
      <c r="L838" s="11">
        <f>IF(AND(ISNUMBER(H838),ISNUMBER(I838),H838&gt;0,ISNUMBER($B$94)),$B$94+3*SQRT($B$94*(1-$B$94)/H838),"")</f>
        <v/>
      </c>
      <c r="M838" s="13">
        <f>IF(AND(ISNUMBER(J838),ISNUMBER(K838),ISNUMBER(L838)),IF(J838&gt;L838,"boven UCL",IF(J838&lt;K838,"onder LCL","")),"")</f>
        <v/>
      </c>
      <c r="O838" t="n">
        <v>732</v>
      </c>
      <c r="P838" s="7" t="n"/>
      <c r="Q838" s="7" t="n"/>
      <c r="R838" s="11">
        <f>IF(AND(ISNUMBER(P838),ISNUMBER(Q838),P838&gt;0,ISNUMBER($B$100)),Q838/P838,"")</f>
        <v/>
      </c>
      <c r="S838" s="11">
        <f>IF(AND(ISNUMBER(P838),ISNUMBER(Q838),P838&gt;0,ISNUMBER($B$100)),MAX(0,$B$100-3*SQRT($B$100/P838)),"")</f>
        <v/>
      </c>
      <c r="T838" s="11">
        <f>IF(AND(ISNUMBER(P838),ISNUMBER(Q838),P838&gt;0,ISNUMBER($B$100)),$B$100+3*SQRT($B$100/P838),"")</f>
        <v/>
      </c>
      <c r="U838" s="13">
        <f>IF(AND(ISNUMBER(R838),ISNUMBER(S838),ISNUMBER(T838)),IF(R838&gt;T838,"boven UCL",IF(R838&lt;S838,"onder LCL","")),"")</f>
        <v/>
      </c>
    </row>
    <row r="839">
      <c r="A839" t="n">
        <v>733</v>
      </c>
      <c r="B839" s="7" t="n"/>
      <c r="C839" s="11">
        <f>IF(AND(ISNUMBER(B839),ISNUMBER(B838)),ABS(B839-B838),"")</f>
        <v/>
      </c>
      <c r="D839" s="13">
        <f>IF(AND(ISNUMBER(B839),ISNUMBER($B$88),ISNUMBER($D$88)),IF(B839&gt;$D$88,"boven UCL",IF(B839&lt;$B$88,"onder LCL","")),"")</f>
        <v/>
      </c>
      <c r="E839" s="13">
        <f>IF(AND(ISNUMBER(C839),ISNUMBER($B$89),ISNUMBER($D$89)),IF(C839&gt;$D$89,"boven UCL",IF(C839&lt;$B$89,"onder LCL","")),"")</f>
        <v/>
      </c>
      <c r="G839" t="n">
        <v>733</v>
      </c>
      <c r="H839" s="7" t="n"/>
      <c r="I839" s="7" t="n"/>
      <c r="J839" s="11">
        <f>IF(AND(ISNUMBER(H839),ISNUMBER(I839),H839&gt;0,ISNUMBER($B$94)),I839/H839,"")</f>
        <v/>
      </c>
      <c r="K839" s="11">
        <f>IF(AND(ISNUMBER(H839),ISNUMBER(I839),H839&gt;0,ISNUMBER($B$94)),MAX(0,$B$94-3*SQRT($B$94*(1-$B$94)/H839)),"")</f>
        <v/>
      </c>
      <c r="L839" s="11">
        <f>IF(AND(ISNUMBER(H839),ISNUMBER(I839),H839&gt;0,ISNUMBER($B$94)),$B$94+3*SQRT($B$94*(1-$B$94)/H839),"")</f>
        <v/>
      </c>
      <c r="M839" s="13">
        <f>IF(AND(ISNUMBER(J839),ISNUMBER(K839),ISNUMBER(L839)),IF(J839&gt;L839,"boven UCL",IF(J839&lt;K839,"onder LCL","")),"")</f>
        <v/>
      </c>
      <c r="O839" t="n">
        <v>733</v>
      </c>
      <c r="P839" s="7" t="n"/>
      <c r="Q839" s="7" t="n"/>
      <c r="R839" s="11">
        <f>IF(AND(ISNUMBER(P839),ISNUMBER(Q839),P839&gt;0,ISNUMBER($B$100)),Q839/P839,"")</f>
        <v/>
      </c>
      <c r="S839" s="11">
        <f>IF(AND(ISNUMBER(P839),ISNUMBER(Q839),P839&gt;0,ISNUMBER($B$100)),MAX(0,$B$100-3*SQRT($B$100/P839)),"")</f>
        <v/>
      </c>
      <c r="T839" s="11">
        <f>IF(AND(ISNUMBER(P839),ISNUMBER(Q839),P839&gt;0,ISNUMBER($B$100)),$B$100+3*SQRT($B$100/P839),"")</f>
        <v/>
      </c>
      <c r="U839" s="13">
        <f>IF(AND(ISNUMBER(R839),ISNUMBER(S839),ISNUMBER(T839)),IF(R839&gt;T839,"boven UCL",IF(R839&lt;S839,"onder LCL","")),"")</f>
        <v/>
      </c>
    </row>
    <row r="840">
      <c r="A840" t="n">
        <v>734</v>
      </c>
      <c r="B840" s="7" t="n"/>
      <c r="C840" s="11">
        <f>IF(AND(ISNUMBER(B840),ISNUMBER(B839)),ABS(B840-B839),"")</f>
        <v/>
      </c>
      <c r="D840" s="13">
        <f>IF(AND(ISNUMBER(B840),ISNUMBER($B$88),ISNUMBER($D$88)),IF(B840&gt;$D$88,"boven UCL",IF(B840&lt;$B$88,"onder LCL","")),"")</f>
        <v/>
      </c>
      <c r="E840" s="13">
        <f>IF(AND(ISNUMBER(C840),ISNUMBER($B$89),ISNUMBER($D$89)),IF(C840&gt;$D$89,"boven UCL",IF(C840&lt;$B$89,"onder LCL","")),"")</f>
        <v/>
      </c>
      <c r="G840" t="n">
        <v>734</v>
      </c>
      <c r="H840" s="7" t="n"/>
      <c r="I840" s="7" t="n"/>
      <c r="J840" s="11">
        <f>IF(AND(ISNUMBER(H840),ISNUMBER(I840),H840&gt;0,ISNUMBER($B$94)),I840/H840,"")</f>
        <v/>
      </c>
      <c r="K840" s="11">
        <f>IF(AND(ISNUMBER(H840),ISNUMBER(I840),H840&gt;0,ISNUMBER($B$94)),MAX(0,$B$94-3*SQRT($B$94*(1-$B$94)/H840)),"")</f>
        <v/>
      </c>
      <c r="L840" s="11">
        <f>IF(AND(ISNUMBER(H840),ISNUMBER(I840),H840&gt;0,ISNUMBER($B$94)),$B$94+3*SQRT($B$94*(1-$B$94)/H840),"")</f>
        <v/>
      </c>
      <c r="M840" s="13">
        <f>IF(AND(ISNUMBER(J840),ISNUMBER(K840),ISNUMBER(L840)),IF(J840&gt;L840,"boven UCL",IF(J840&lt;K840,"onder LCL","")),"")</f>
        <v/>
      </c>
      <c r="O840" t="n">
        <v>734</v>
      </c>
      <c r="P840" s="7" t="n"/>
      <c r="Q840" s="7" t="n"/>
      <c r="R840" s="11">
        <f>IF(AND(ISNUMBER(P840),ISNUMBER(Q840),P840&gt;0,ISNUMBER($B$100)),Q840/P840,"")</f>
        <v/>
      </c>
      <c r="S840" s="11">
        <f>IF(AND(ISNUMBER(P840),ISNUMBER(Q840),P840&gt;0,ISNUMBER($B$100)),MAX(0,$B$100-3*SQRT($B$100/P840)),"")</f>
        <v/>
      </c>
      <c r="T840" s="11">
        <f>IF(AND(ISNUMBER(P840),ISNUMBER(Q840),P840&gt;0,ISNUMBER($B$100)),$B$100+3*SQRT($B$100/P840),"")</f>
        <v/>
      </c>
      <c r="U840" s="13">
        <f>IF(AND(ISNUMBER(R840),ISNUMBER(S840),ISNUMBER(T840)),IF(R840&gt;T840,"boven UCL",IF(R840&lt;S840,"onder LCL","")),"")</f>
        <v/>
      </c>
    </row>
    <row r="841">
      <c r="A841" t="n">
        <v>735</v>
      </c>
      <c r="B841" s="7" t="n"/>
      <c r="C841" s="11">
        <f>IF(AND(ISNUMBER(B841),ISNUMBER(B840)),ABS(B841-B840),"")</f>
        <v/>
      </c>
      <c r="D841" s="13">
        <f>IF(AND(ISNUMBER(B841),ISNUMBER($B$88),ISNUMBER($D$88)),IF(B841&gt;$D$88,"boven UCL",IF(B841&lt;$B$88,"onder LCL","")),"")</f>
        <v/>
      </c>
      <c r="E841" s="13">
        <f>IF(AND(ISNUMBER(C841),ISNUMBER($B$89),ISNUMBER($D$89)),IF(C841&gt;$D$89,"boven UCL",IF(C841&lt;$B$89,"onder LCL","")),"")</f>
        <v/>
      </c>
      <c r="G841" t="n">
        <v>735</v>
      </c>
      <c r="H841" s="7" t="n"/>
      <c r="I841" s="7" t="n"/>
      <c r="J841" s="11">
        <f>IF(AND(ISNUMBER(H841),ISNUMBER(I841),H841&gt;0,ISNUMBER($B$94)),I841/H841,"")</f>
        <v/>
      </c>
      <c r="K841" s="11">
        <f>IF(AND(ISNUMBER(H841),ISNUMBER(I841),H841&gt;0,ISNUMBER($B$94)),MAX(0,$B$94-3*SQRT($B$94*(1-$B$94)/H841)),"")</f>
        <v/>
      </c>
      <c r="L841" s="11">
        <f>IF(AND(ISNUMBER(H841),ISNUMBER(I841),H841&gt;0,ISNUMBER($B$94)),$B$94+3*SQRT($B$94*(1-$B$94)/H841),"")</f>
        <v/>
      </c>
      <c r="M841" s="13">
        <f>IF(AND(ISNUMBER(J841),ISNUMBER(K841),ISNUMBER(L841)),IF(J841&gt;L841,"boven UCL",IF(J841&lt;K841,"onder LCL","")),"")</f>
        <v/>
      </c>
      <c r="O841" t="n">
        <v>735</v>
      </c>
      <c r="P841" s="7" t="n"/>
      <c r="Q841" s="7" t="n"/>
      <c r="R841" s="11">
        <f>IF(AND(ISNUMBER(P841),ISNUMBER(Q841),P841&gt;0,ISNUMBER($B$100)),Q841/P841,"")</f>
        <v/>
      </c>
      <c r="S841" s="11">
        <f>IF(AND(ISNUMBER(P841),ISNUMBER(Q841),P841&gt;0,ISNUMBER($B$100)),MAX(0,$B$100-3*SQRT($B$100/P841)),"")</f>
        <v/>
      </c>
      <c r="T841" s="11">
        <f>IF(AND(ISNUMBER(P841),ISNUMBER(Q841),P841&gt;0,ISNUMBER($B$100)),$B$100+3*SQRT($B$100/P841),"")</f>
        <v/>
      </c>
      <c r="U841" s="13">
        <f>IF(AND(ISNUMBER(R841),ISNUMBER(S841),ISNUMBER(T841)),IF(R841&gt;T841,"boven UCL",IF(R841&lt;S841,"onder LCL","")),"")</f>
        <v/>
      </c>
    </row>
    <row r="842">
      <c r="A842" t="n">
        <v>736</v>
      </c>
      <c r="B842" s="7" t="n"/>
      <c r="C842" s="11">
        <f>IF(AND(ISNUMBER(B842),ISNUMBER(B841)),ABS(B842-B841),"")</f>
        <v/>
      </c>
      <c r="D842" s="13">
        <f>IF(AND(ISNUMBER(B842),ISNUMBER($B$88),ISNUMBER($D$88)),IF(B842&gt;$D$88,"boven UCL",IF(B842&lt;$B$88,"onder LCL","")),"")</f>
        <v/>
      </c>
      <c r="E842" s="13">
        <f>IF(AND(ISNUMBER(C842),ISNUMBER($B$89),ISNUMBER($D$89)),IF(C842&gt;$D$89,"boven UCL",IF(C842&lt;$B$89,"onder LCL","")),"")</f>
        <v/>
      </c>
      <c r="G842" t="n">
        <v>736</v>
      </c>
      <c r="H842" s="7" t="n"/>
      <c r="I842" s="7" t="n"/>
      <c r="J842" s="11">
        <f>IF(AND(ISNUMBER(H842),ISNUMBER(I842),H842&gt;0,ISNUMBER($B$94)),I842/H842,"")</f>
        <v/>
      </c>
      <c r="K842" s="11">
        <f>IF(AND(ISNUMBER(H842),ISNUMBER(I842),H842&gt;0,ISNUMBER($B$94)),MAX(0,$B$94-3*SQRT($B$94*(1-$B$94)/H842)),"")</f>
        <v/>
      </c>
      <c r="L842" s="11">
        <f>IF(AND(ISNUMBER(H842),ISNUMBER(I842),H842&gt;0,ISNUMBER($B$94)),$B$94+3*SQRT($B$94*(1-$B$94)/H842),"")</f>
        <v/>
      </c>
      <c r="M842" s="13">
        <f>IF(AND(ISNUMBER(J842),ISNUMBER(K842),ISNUMBER(L842)),IF(J842&gt;L842,"boven UCL",IF(J842&lt;K842,"onder LCL","")),"")</f>
        <v/>
      </c>
      <c r="O842" t="n">
        <v>736</v>
      </c>
      <c r="P842" s="7" t="n"/>
      <c r="Q842" s="7" t="n"/>
      <c r="R842" s="11">
        <f>IF(AND(ISNUMBER(P842),ISNUMBER(Q842),P842&gt;0,ISNUMBER($B$100)),Q842/P842,"")</f>
        <v/>
      </c>
      <c r="S842" s="11">
        <f>IF(AND(ISNUMBER(P842),ISNUMBER(Q842),P842&gt;0,ISNUMBER($B$100)),MAX(0,$B$100-3*SQRT($B$100/P842)),"")</f>
        <v/>
      </c>
      <c r="T842" s="11">
        <f>IF(AND(ISNUMBER(P842),ISNUMBER(Q842),P842&gt;0,ISNUMBER($B$100)),$B$100+3*SQRT($B$100/P842),"")</f>
        <v/>
      </c>
      <c r="U842" s="13">
        <f>IF(AND(ISNUMBER(R842),ISNUMBER(S842),ISNUMBER(T842)),IF(R842&gt;T842,"boven UCL",IF(R842&lt;S842,"onder LCL","")),"")</f>
        <v/>
      </c>
    </row>
    <row r="843">
      <c r="A843" t="n">
        <v>737</v>
      </c>
      <c r="B843" s="7" t="n"/>
      <c r="C843" s="11">
        <f>IF(AND(ISNUMBER(B843),ISNUMBER(B842)),ABS(B843-B842),"")</f>
        <v/>
      </c>
      <c r="D843" s="13">
        <f>IF(AND(ISNUMBER(B843),ISNUMBER($B$88),ISNUMBER($D$88)),IF(B843&gt;$D$88,"boven UCL",IF(B843&lt;$B$88,"onder LCL","")),"")</f>
        <v/>
      </c>
      <c r="E843" s="13">
        <f>IF(AND(ISNUMBER(C843),ISNUMBER($B$89),ISNUMBER($D$89)),IF(C843&gt;$D$89,"boven UCL",IF(C843&lt;$B$89,"onder LCL","")),"")</f>
        <v/>
      </c>
      <c r="G843" t="n">
        <v>737</v>
      </c>
      <c r="H843" s="7" t="n"/>
      <c r="I843" s="7" t="n"/>
      <c r="J843" s="11">
        <f>IF(AND(ISNUMBER(H843),ISNUMBER(I843),H843&gt;0,ISNUMBER($B$94)),I843/H843,"")</f>
        <v/>
      </c>
      <c r="K843" s="11">
        <f>IF(AND(ISNUMBER(H843),ISNUMBER(I843),H843&gt;0,ISNUMBER($B$94)),MAX(0,$B$94-3*SQRT($B$94*(1-$B$94)/H843)),"")</f>
        <v/>
      </c>
      <c r="L843" s="11">
        <f>IF(AND(ISNUMBER(H843),ISNUMBER(I843),H843&gt;0,ISNUMBER($B$94)),$B$94+3*SQRT($B$94*(1-$B$94)/H843),"")</f>
        <v/>
      </c>
      <c r="M843" s="13">
        <f>IF(AND(ISNUMBER(J843),ISNUMBER(K843),ISNUMBER(L843)),IF(J843&gt;L843,"boven UCL",IF(J843&lt;K843,"onder LCL","")),"")</f>
        <v/>
      </c>
      <c r="O843" t="n">
        <v>737</v>
      </c>
      <c r="P843" s="7" t="n"/>
      <c r="Q843" s="7" t="n"/>
      <c r="R843" s="11">
        <f>IF(AND(ISNUMBER(P843),ISNUMBER(Q843),P843&gt;0,ISNUMBER($B$100)),Q843/P843,"")</f>
        <v/>
      </c>
      <c r="S843" s="11">
        <f>IF(AND(ISNUMBER(P843),ISNUMBER(Q843),P843&gt;0,ISNUMBER($B$100)),MAX(0,$B$100-3*SQRT($B$100/P843)),"")</f>
        <v/>
      </c>
      <c r="T843" s="11">
        <f>IF(AND(ISNUMBER(P843),ISNUMBER(Q843),P843&gt;0,ISNUMBER($B$100)),$B$100+3*SQRT($B$100/P843),"")</f>
        <v/>
      </c>
      <c r="U843" s="13">
        <f>IF(AND(ISNUMBER(R843),ISNUMBER(S843),ISNUMBER(T843)),IF(R843&gt;T843,"boven UCL",IF(R843&lt;S843,"onder LCL","")),"")</f>
        <v/>
      </c>
    </row>
    <row r="844">
      <c r="A844" t="n">
        <v>738</v>
      </c>
      <c r="B844" s="7" t="n"/>
      <c r="C844" s="11">
        <f>IF(AND(ISNUMBER(B844),ISNUMBER(B843)),ABS(B844-B843),"")</f>
        <v/>
      </c>
      <c r="D844" s="13">
        <f>IF(AND(ISNUMBER(B844),ISNUMBER($B$88),ISNUMBER($D$88)),IF(B844&gt;$D$88,"boven UCL",IF(B844&lt;$B$88,"onder LCL","")),"")</f>
        <v/>
      </c>
      <c r="E844" s="13">
        <f>IF(AND(ISNUMBER(C844),ISNUMBER($B$89),ISNUMBER($D$89)),IF(C844&gt;$D$89,"boven UCL",IF(C844&lt;$B$89,"onder LCL","")),"")</f>
        <v/>
      </c>
      <c r="G844" t="n">
        <v>738</v>
      </c>
      <c r="H844" s="7" t="n"/>
      <c r="I844" s="7" t="n"/>
      <c r="J844" s="11">
        <f>IF(AND(ISNUMBER(H844),ISNUMBER(I844),H844&gt;0,ISNUMBER($B$94)),I844/H844,"")</f>
        <v/>
      </c>
      <c r="K844" s="11">
        <f>IF(AND(ISNUMBER(H844),ISNUMBER(I844),H844&gt;0,ISNUMBER($B$94)),MAX(0,$B$94-3*SQRT($B$94*(1-$B$94)/H844)),"")</f>
        <v/>
      </c>
      <c r="L844" s="11">
        <f>IF(AND(ISNUMBER(H844),ISNUMBER(I844),H844&gt;0,ISNUMBER($B$94)),$B$94+3*SQRT($B$94*(1-$B$94)/H844),"")</f>
        <v/>
      </c>
      <c r="M844" s="13">
        <f>IF(AND(ISNUMBER(J844),ISNUMBER(K844),ISNUMBER(L844)),IF(J844&gt;L844,"boven UCL",IF(J844&lt;K844,"onder LCL","")),"")</f>
        <v/>
      </c>
      <c r="O844" t="n">
        <v>738</v>
      </c>
      <c r="P844" s="7" t="n"/>
      <c r="Q844" s="7" t="n"/>
      <c r="R844" s="11">
        <f>IF(AND(ISNUMBER(P844),ISNUMBER(Q844),P844&gt;0,ISNUMBER($B$100)),Q844/P844,"")</f>
        <v/>
      </c>
      <c r="S844" s="11">
        <f>IF(AND(ISNUMBER(P844),ISNUMBER(Q844),P844&gt;0,ISNUMBER($B$100)),MAX(0,$B$100-3*SQRT($B$100/P844)),"")</f>
        <v/>
      </c>
      <c r="T844" s="11">
        <f>IF(AND(ISNUMBER(P844),ISNUMBER(Q844),P844&gt;0,ISNUMBER($B$100)),$B$100+3*SQRT($B$100/P844),"")</f>
        <v/>
      </c>
      <c r="U844" s="13">
        <f>IF(AND(ISNUMBER(R844),ISNUMBER(S844),ISNUMBER(T844)),IF(R844&gt;T844,"boven UCL",IF(R844&lt;S844,"onder LCL","")),"")</f>
        <v/>
      </c>
    </row>
    <row r="845">
      <c r="A845" t="n">
        <v>739</v>
      </c>
      <c r="B845" s="7" t="n"/>
      <c r="C845" s="11">
        <f>IF(AND(ISNUMBER(B845),ISNUMBER(B844)),ABS(B845-B844),"")</f>
        <v/>
      </c>
      <c r="D845" s="13">
        <f>IF(AND(ISNUMBER(B845),ISNUMBER($B$88),ISNUMBER($D$88)),IF(B845&gt;$D$88,"boven UCL",IF(B845&lt;$B$88,"onder LCL","")),"")</f>
        <v/>
      </c>
      <c r="E845" s="13">
        <f>IF(AND(ISNUMBER(C845),ISNUMBER($B$89),ISNUMBER($D$89)),IF(C845&gt;$D$89,"boven UCL",IF(C845&lt;$B$89,"onder LCL","")),"")</f>
        <v/>
      </c>
      <c r="G845" t="n">
        <v>739</v>
      </c>
      <c r="H845" s="7" t="n"/>
      <c r="I845" s="7" t="n"/>
      <c r="J845" s="11">
        <f>IF(AND(ISNUMBER(H845),ISNUMBER(I845),H845&gt;0,ISNUMBER($B$94)),I845/H845,"")</f>
        <v/>
      </c>
      <c r="K845" s="11">
        <f>IF(AND(ISNUMBER(H845),ISNUMBER(I845),H845&gt;0,ISNUMBER($B$94)),MAX(0,$B$94-3*SQRT($B$94*(1-$B$94)/H845)),"")</f>
        <v/>
      </c>
      <c r="L845" s="11">
        <f>IF(AND(ISNUMBER(H845),ISNUMBER(I845),H845&gt;0,ISNUMBER($B$94)),$B$94+3*SQRT($B$94*(1-$B$94)/H845),"")</f>
        <v/>
      </c>
      <c r="M845" s="13">
        <f>IF(AND(ISNUMBER(J845),ISNUMBER(K845),ISNUMBER(L845)),IF(J845&gt;L845,"boven UCL",IF(J845&lt;K845,"onder LCL","")),"")</f>
        <v/>
      </c>
      <c r="O845" t="n">
        <v>739</v>
      </c>
      <c r="P845" s="7" t="n"/>
      <c r="Q845" s="7" t="n"/>
      <c r="R845" s="11">
        <f>IF(AND(ISNUMBER(P845),ISNUMBER(Q845),P845&gt;0,ISNUMBER($B$100)),Q845/P845,"")</f>
        <v/>
      </c>
      <c r="S845" s="11">
        <f>IF(AND(ISNUMBER(P845),ISNUMBER(Q845),P845&gt;0,ISNUMBER($B$100)),MAX(0,$B$100-3*SQRT($B$100/P845)),"")</f>
        <v/>
      </c>
      <c r="T845" s="11">
        <f>IF(AND(ISNUMBER(P845),ISNUMBER(Q845),P845&gt;0,ISNUMBER($B$100)),$B$100+3*SQRT($B$100/P845),"")</f>
        <v/>
      </c>
      <c r="U845" s="13">
        <f>IF(AND(ISNUMBER(R845),ISNUMBER(S845),ISNUMBER(T845)),IF(R845&gt;T845,"boven UCL",IF(R845&lt;S845,"onder LCL","")),"")</f>
        <v/>
      </c>
    </row>
    <row r="846">
      <c r="A846" t="n">
        <v>740</v>
      </c>
      <c r="B846" s="7" t="n"/>
      <c r="C846" s="11">
        <f>IF(AND(ISNUMBER(B846),ISNUMBER(B845)),ABS(B846-B845),"")</f>
        <v/>
      </c>
      <c r="D846" s="13">
        <f>IF(AND(ISNUMBER(B846),ISNUMBER($B$88),ISNUMBER($D$88)),IF(B846&gt;$D$88,"boven UCL",IF(B846&lt;$B$88,"onder LCL","")),"")</f>
        <v/>
      </c>
      <c r="E846" s="13">
        <f>IF(AND(ISNUMBER(C846),ISNUMBER($B$89),ISNUMBER($D$89)),IF(C846&gt;$D$89,"boven UCL",IF(C846&lt;$B$89,"onder LCL","")),"")</f>
        <v/>
      </c>
      <c r="G846" t="n">
        <v>740</v>
      </c>
      <c r="H846" s="7" t="n"/>
      <c r="I846" s="7" t="n"/>
      <c r="J846" s="11">
        <f>IF(AND(ISNUMBER(H846),ISNUMBER(I846),H846&gt;0,ISNUMBER($B$94)),I846/H846,"")</f>
        <v/>
      </c>
      <c r="K846" s="11">
        <f>IF(AND(ISNUMBER(H846),ISNUMBER(I846),H846&gt;0,ISNUMBER($B$94)),MAX(0,$B$94-3*SQRT($B$94*(1-$B$94)/H846)),"")</f>
        <v/>
      </c>
      <c r="L846" s="11">
        <f>IF(AND(ISNUMBER(H846),ISNUMBER(I846),H846&gt;0,ISNUMBER($B$94)),$B$94+3*SQRT($B$94*(1-$B$94)/H846),"")</f>
        <v/>
      </c>
      <c r="M846" s="13">
        <f>IF(AND(ISNUMBER(J846),ISNUMBER(K846),ISNUMBER(L846)),IF(J846&gt;L846,"boven UCL",IF(J846&lt;K846,"onder LCL","")),"")</f>
        <v/>
      </c>
      <c r="O846" t="n">
        <v>740</v>
      </c>
      <c r="P846" s="7" t="n"/>
      <c r="Q846" s="7" t="n"/>
      <c r="R846" s="11">
        <f>IF(AND(ISNUMBER(P846),ISNUMBER(Q846),P846&gt;0,ISNUMBER($B$100)),Q846/P846,"")</f>
        <v/>
      </c>
      <c r="S846" s="11">
        <f>IF(AND(ISNUMBER(P846),ISNUMBER(Q846),P846&gt;0,ISNUMBER($B$100)),MAX(0,$B$100-3*SQRT($B$100/P846)),"")</f>
        <v/>
      </c>
      <c r="T846" s="11">
        <f>IF(AND(ISNUMBER(P846),ISNUMBER(Q846),P846&gt;0,ISNUMBER($B$100)),$B$100+3*SQRT($B$100/P846),"")</f>
        <v/>
      </c>
      <c r="U846" s="13">
        <f>IF(AND(ISNUMBER(R846),ISNUMBER(S846),ISNUMBER(T846)),IF(R846&gt;T846,"boven UCL",IF(R846&lt;S846,"onder LCL","")),"")</f>
        <v/>
      </c>
    </row>
    <row r="847">
      <c r="A847" t="n">
        <v>741</v>
      </c>
      <c r="B847" s="7" t="n"/>
      <c r="C847" s="11">
        <f>IF(AND(ISNUMBER(B847),ISNUMBER(B846)),ABS(B847-B846),"")</f>
        <v/>
      </c>
      <c r="D847" s="13">
        <f>IF(AND(ISNUMBER(B847),ISNUMBER($B$88),ISNUMBER($D$88)),IF(B847&gt;$D$88,"boven UCL",IF(B847&lt;$B$88,"onder LCL","")),"")</f>
        <v/>
      </c>
      <c r="E847" s="13">
        <f>IF(AND(ISNUMBER(C847),ISNUMBER($B$89),ISNUMBER($D$89)),IF(C847&gt;$D$89,"boven UCL",IF(C847&lt;$B$89,"onder LCL","")),"")</f>
        <v/>
      </c>
      <c r="G847" t="n">
        <v>741</v>
      </c>
      <c r="H847" s="7" t="n"/>
      <c r="I847" s="7" t="n"/>
      <c r="J847" s="11">
        <f>IF(AND(ISNUMBER(H847),ISNUMBER(I847),H847&gt;0,ISNUMBER($B$94)),I847/H847,"")</f>
        <v/>
      </c>
      <c r="K847" s="11">
        <f>IF(AND(ISNUMBER(H847),ISNUMBER(I847),H847&gt;0,ISNUMBER($B$94)),MAX(0,$B$94-3*SQRT($B$94*(1-$B$94)/H847)),"")</f>
        <v/>
      </c>
      <c r="L847" s="11">
        <f>IF(AND(ISNUMBER(H847),ISNUMBER(I847),H847&gt;0,ISNUMBER($B$94)),$B$94+3*SQRT($B$94*(1-$B$94)/H847),"")</f>
        <v/>
      </c>
      <c r="M847" s="13">
        <f>IF(AND(ISNUMBER(J847),ISNUMBER(K847),ISNUMBER(L847)),IF(J847&gt;L847,"boven UCL",IF(J847&lt;K847,"onder LCL","")),"")</f>
        <v/>
      </c>
      <c r="O847" t="n">
        <v>741</v>
      </c>
      <c r="P847" s="7" t="n"/>
      <c r="Q847" s="7" t="n"/>
      <c r="R847" s="11">
        <f>IF(AND(ISNUMBER(P847),ISNUMBER(Q847),P847&gt;0,ISNUMBER($B$100)),Q847/P847,"")</f>
        <v/>
      </c>
      <c r="S847" s="11">
        <f>IF(AND(ISNUMBER(P847),ISNUMBER(Q847),P847&gt;0,ISNUMBER($B$100)),MAX(0,$B$100-3*SQRT($B$100/P847)),"")</f>
        <v/>
      </c>
      <c r="T847" s="11">
        <f>IF(AND(ISNUMBER(P847),ISNUMBER(Q847),P847&gt;0,ISNUMBER($B$100)),$B$100+3*SQRT($B$100/P847),"")</f>
        <v/>
      </c>
      <c r="U847" s="13">
        <f>IF(AND(ISNUMBER(R847),ISNUMBER(S847),ISNUMBER(T847)),IF(R847&gt;T847,"boven UCL",IF(R847&lt;S847,"onder LCL","")),"")</f>
        <v/>
      </c>
    </row>
    <row r="848">
      <c r="A848" t="n">
        <v>742</v>
      </c>
      <c r="B848" s="7" t="n"/>
      <c r="C848" s="11">
        <f>IF(AND(ISNUMBER(B848),ISNUMBER(B847)),ABS(B848-B847),"")</f>
        <v/>
      </c>
      <c r="D848" s="13">
        <f>IF(AND(ISNUMBER(B848),ISNUMBER($B$88),ISNUMBER($D$88)),IF(B848&gt;$D$88,"boven UCL",IF(B848&lt;$B$88,"onder LCL","")),"")</f>
        <v/>
      </c>
      <c r="E848" s="13">
        <f>IF(AND(ISNUMBER(C848),ISNUMBER($B$89),ISNUMBER($D$89)),IF(C848&gt;$D$89,"boven UCL",IF(C848&lt;$B$89,"onder LCL","")),"")</f>
        <v/>
      </c>
      <c r="G848" t="n">
        <v>742</v>
      </c>
      <c r="H848" s="7" t="n"/>
      <c r="I848" s="7" t="n"/>
      <c r="J848" s="11">
        <f>IF(AND(ISNUMBER(H848),ISNUMBER(I848),H848&gt;0,ISNUMBER($B$94)),I848/H848,"")</f>
        <v/>
      </c>
      <c r="K848" s="11">
        <f>IF(AND(ISNUMBER(H848),ISNUMBER(I848),H848&gt;0,ISNUMBER($B$94)),MAX(0,$B$94-3*SQRT($B$94*(1-$B$94)/H848)),"")</f>
        <v/>
      </c>
      <c r="L848" s="11">
        <f>IF(AND(ISNUMBER(H848),ISNUMBER(I848),H848&gt;0,ISNUMBER($B$94)),$B$94+3*SQRT($B$94*(1-$B$94)/H848),"")</f>
        <v/>
      </c>
      <c r="M848" s="13">
        <f>IF(AND(ISNUMBER(J848),ISNUMBER(K848),ISNUMBER(L848)),IF(J848&gt;L848,"boven UCL",IF(J848&lt;K848,"onder LCL","")),"")</f>
        <v/>
      </c>
      <c r="O848" t="n">
        <v>742</v>
      </c>
      <c r="P848" s="7" t="n"/>
      <c r="Q848" s="7" t="n"/>
      <c r="R848" s="11">
        <f>IF(AND(ISNUMBER(P848),ISNUMBER(Q848),P848&gt;0,ISNUMBER($B$100)),Q848/P848,"")</f>
        <v/>
      </c>
      <c r="S848" s="11">
        <f>IF(AND(ISNUMBER(P848),ISNUMBER(Q848),P848&gt;0,ISNUMBER($B$100)),MAX(0,$B$100-3*SQRT($B$100/P848)),"")</f>
        <v/>
      </c>
      <c r="T848" s="11">
        <f>IF(AND(ISNUMBER(P848),ISNUMBER(Q848),P848&gt;0,ISNUMBER($B$100)),$B$100+3*SQRT($B$100/P848),"")</f>
        <v/>
      </c>
      <c r="U848" s="13">
        <f>IF(AND(ISNUMBER(R848),ISNUMBER(S848),ISNUMBER(T848)),IF(R848&gt;T848,"boven UCL",IF(R848&lt;S848,"onder LCL","")),"")</f>
        <v/>
      </c>
    </row>
    <row r="849">
      <c r="A849" t="n">
        <v>743</v>
      </c>
      <c r="B849" s="7" t="n"/>
      <c r="C849" s="11">
        <f>IF(AND(ISNUMBER(B849),ISNUMBER(B848)),ABS(B849-B848),"")</f>
        <v/>
      </c>
      <c r="D849" s="13">
        <f>IF(AND(ISNUMBER(B849),ISNUMBER($B$88),ISNUMBER($D$88)),IF(B849&gt;$D$88,"boven UCL",IF(B849&lt;$B$88,"onder LCL","")),"")</f>
        <v/>
      </c>
      <c r="E849" s="13">
        <f>IF(AND(ISNUMBER(C849),ISNUMBER($B$89),ISNUMBER($D$89)),IF(C849&gt;$D$89,"boven UCL",IF(C849&lt;$B$89,"onder LCL","")),"")</f>
        <v/>
      </c>
      <c r="G849" t="n">
        <v>743</v>
      </c>
      <c r="H849" s="7" t="n"/>
      <c r="I849" s="7" t="n"/>
      <c r="J849" s="11">
        <f>IF(AND(ISNUMBER(H849),ISNUMBER(I849),H849&gt;0,ISNUMBER($B$94)),I849/H849,"")</f>
        <v/>
      </c>
      <c r="K849" s="11">
        <f>IF(AND(ISNUMBER(H849),ISNUMBER(I849),H849&gt;0,ISNUMBER($B$94)),MAX(0,$B$94-3*SQRT($B$94*(1-$B$94)/H849)),"")</f>
        <v/>
      </c>
      <c r="L849" s="11">
        <f>IF(AND(ISNUMBER(H849),ISNUMBER(I849),H849&gt;0,ISNUMBER($B$94)),$B$94+3*SQRT($B$94*(1-$B$94)/H849),"")</f>
        <v/>
      </c>
      <c r="M849" s="13">
        <f>IF(AND(ISNUMBER(J849),ISNUMBER(K849),ISNUMBER(L849)),IF(J849&gt;L849,"boven UCL",IF(J849&lt;K849,"onder LCL","")),"")</f>
        <v/>
      </c>
      <c r="O849" t="n">
        <v>743</v>
      </c>
      <c r="P849" s="7" t="n"/>
      <c r="Q849" s="7" t="n"/>
      <c r="R849" s="11">
        <f>IF(AND(ISNUMBER(P849),ISNUMBER(Q849),P849&gt;0,ISNUMBER($B$100)),Q849/P849,"")</f>
        <v/>
      </c>
      <c r="S849" s="11">
        <f>IF(AND(ISNUMBER(P849),ISNUMBER(Q849),P849&gt;0,ISNUMBER($B$100)),MAX(0,$B$100-3*SQRT($B$100/P849)),"")</f>
        <v/>
      </c>
      <c r="T849" s="11">
        <f>IF(AND(ISNUMBER(P849),ISNUMBER(Q849),P849&gt;0,ISNUMBER($B$100)),$B$100+3*SQRT($B$100/P849),"")</f>
        <v/>
      </c>
      <c r="U849" s="13">
        <f>IF(AND(ISNUMBER(R849),ISNUMBER(S849),ISNUMBER(T849)),IF(R849&gt;T849,"boven UCL",IF(R849&lt;S849,"onder LCL","")),"")</f>
        <v/>
      </c>
    </row>
    <row r="850">
      <c r="A850" t="n">
        <v>744</v>
      </c>
      <c r="B850" s="7" t="n"/>
      <c r="C850" s="11">
        <f>IF(AND(ISNUMBER(B850),ISNUMBER(B849)),ABS(B850-B849),"")</f>
        <v/>
      </c>
      <c r="D850" s="13">
        <f>IF(AND(ISNUMBER(B850),ISNUMBER($B$88),ISNUMBER($D$88)),IF(B850&gt;$D$88,"boven UCL",IF(B850&lt;$B$88,"onder LCL","")),"")</f>
        <v/>
      </c>
      <c r="E850" s="13">
        <f>IF(AND(ISNUMBER(C850),ISNUMBER($B$89),ISNUMBER($D$89)),IF(C850&gt;$D$89,"boven UCL",IF(C850&lt;$B$89,"onder LCL","")),"")</f>
        <v/>
      </c>
      <c r="G850" t="n">
        <v>744</v>
      </c>
      <c r="H850" s="7" t="n"/>
      <c r="I850" s="7" t="n"/>
      <c r="J850" s="11">
        <f>IF(AND(ISNUMBER(H850),ISNUMBER(I850),H850&gt;0,ISNUMBER($B$94)),I850/H850,"")</f>
        <v/>
      </c>
      <c r="K850" s="11">
        <f>IF(AND(ISNUMBER(H850),ISNUMBER(I850),H850&gt;0,ISNUMBER($B$94)),MAX(0,$B$94-3*SQRT($B$94*(1-$B$94)/H850)),"")</f>
        <v/>
      </c>
      <c r="L850" s="11">
        <f>IF(AND(ISNUMBER(H850),ISNUMBER(I850),H850&gt;0,ISNUMBER($B$94)),$B$94+3*SQRT($B$94*(1-$B$94)/H850),"")</f>
        <v/>
      </c>
      <c r="M850" s="13">
        <f>IF(AND(ISNUMBER(J850),ISNUMBER(K850),ISNUMBER(L850)),IF(J850&gt;L850,"boven UCL",IF(J850&lt;K850,"onder LCL","")),"")</f>
        <v/>
      </c>
      <c r="O850" t="n">
        <v>744</v>
      </c>
      <c r="P850" s="7" t="n"/>
      <c r="Q850" s="7" t="n"/>
      <c r="R850" s="11">
        <f>IF(AND(ISNUMBER(P850),ISNUMBER(Q850),P850&gt;0,ISNUMBER($B$100)),Q850/P850,"")</f>
        <v/>
      </c>
      <c r="S850" s="11">
        <f>IF(AND(ISNUMBER(P850),ISNUMBER(Q850),P850&gt;0,ISNUMBER($B$100)),MAX(0,$B$100-3*SQRT($B$100/P850)),"")</f>
        <v/>
      </c>
      <c r="T850" s="11">
        <f>IF(AND(ISNUMBER(P850),ISNUMBER(Q850),P850&gt;0,ISNUMBER($B$100)),$B$100+3*SQRT($B$100/P850),"")</f>
        <v/>
      </c>
      <c r="U850" s="13">
        <f>IF(AND(ISNUMBER(R850),ISNUMBER(S850),ISNUMBER(T850)),IF(R850&gt;T850,"boven UCL",IF(R850&lt;S850,"onder LCL","")),"")</f>
        <v/>
      </c>
    </row>
    <row r="851">
      <c r="A851" t="n">
        <v>745</v>
      </c>
      <c r="B851" s="7" t="n"/>
      <c r="C851" s="11">
        <f>IF(AND(ISNUMBER(B851),ISNUMBER(B850)),ABS(B851-B850),"")</f>
        <v/>
      </c>
      <c r="D851" s="13">
        <f>IF(AND(ISNUMBER(B851),ISNUMBER($B$88),ISNUMBER($D$88)),IF(B851&gt;$D$88,"boven UCL",IF(B851&lt;$B$88,"onder LCL","")),"")</f>
        <v/>
      </c>
      <c r="E851" s="13">
        <f>IF(AND(ISNUMBER(C851),ISNUMBER($B$89),ISNUMBER($D$89)),IF(C851&gt;$D$89,"boven UCL",IF(C851&lt;$B$89,"onder LCL","")),"")</f>
        <v/>
      </c>
      <c r="G851" t="n">
        <v>745</v>
      </c>
      <c r="H851" s="7" t="n"/>
      <c r="I851" s="7" t="n"/>
      <c r="J851" s="11">
        <f>IF(AND(ISNUMBER(H851),ISNUMBER(I851),H851&gt;0,ISNUMBER($B$94)),I851/H851,"")</f>
        <v/>
      </c>
      <c r="K851" s="11">
        <f>IF(AND(ISNUMBER(H851),ISNUMBER(I851),H851&gt;0,ISNUMBER($B$94)),MAX(0,$B$94-3*SQRT($B$94*(1-$B$94)/H851)),"")</f>
        <v/>
      </c>
      <c r="L851" s="11">
        <f>IF(AND(ISNUMBER(H851),ISNUMBER(I851),H851&gt;0,ISNUMBER($B$94)),$B$94+3*SQRT($B$94*(1-$B$94)/H851),"")</f>
        <v/>
      </c>
      <c r="M851" s="13">
        <f>IF(AND(ISNUMBER(J851),ISNUMBER(K851),ISNUMBER(L851)),IF(J851&gt;L851,"boven UCL",IF(J851&lt;K851,"onder LCL","")),"")</f>
        <v/>
      </c>
      <c r="O851" t="n">
        <v>745</v>
      </c>
      <c r="P851" s="7" t="n"/>
      <c r="Q851" s="7" t="n"/>
      <c r="R851" s="11">
        <f>IF(AND(ISNUMBER(P851),ISNUMBER(Q851),P851&gt;0,ISNUMBER($B$100)),Q851/P851,"")</f>
        <v/>
      </c>
      <c r="S851" s="11">
        <f>IF(AND(ISNUMBER(P851),ISNUMBER(Q851),P851&gt;0,ISNUMBER($B$100)),MAX(0,$B$100-3*SQRT($B$100/P851)),"")</f>
        <v/>
      </c>
      <c r="T851" s="11">
        <f>IF(AND(ISNUMBER(P851),ISNUMBER(Q851),P851&gt;0,ISNUMBER($B$100)),$B$100+3*SQRT($B$100/P851),"")</f>
        <v/>
      </c>
      <c r="U851" s="13">
        <f>IF(AND(ISNUMBER(R851),ISNUMBER(S851),ISNUMBER(T851)),IF(R851&gt;T851,"boven UCL",IF(R851&lt;S851,"onder LCL","")),"")</f>
        <v/>
      </c>
    </row>
    <row r="852">
      <c r="A852" t="n">
        <v>746</v>
      </c>
      <c r="B852" s="7" t="n"/>
      <c r="C852" s="11">
        <f>IF(AND(ISNUMBER(B852),ISNUMBER(B851)),ABS(B852-B851),"")</f>
        <v/>
      </c>
      <c r="D852" s="13">
        <f>IF(AND(ISNUMBER(B852),ISNUMBER($B$88),ISNUMBER($D$88)),IF(B852&gt;$D$88,"boven UCL",IF(B852&lt;$B$88,"onder LCL","")),"")</f>
        <v/>
      </c>
      <c r="E852" s="13">
        <f>IF(AND(ISNUMBER(C852),ISNUMBER($B$89),ISNUMBER($D$89)),IF(C852&gt;$D$89,"boven UCL",IF(C852&lt;$B$89,"onder LCL","")),"")</f>
        <v/>
      </c>
      <c r="G852" t="n">
        <v>746</v>
      </c>
      <c r="H852" s="7" t="n"/>
      <c r="I852" s="7" t="n"/>
      <c r="J852" s="11">
        <f>IF(AND(ISNUMBER(H852),ISNUMBER(I852),H852&gt;0,ISNUMBER($B$94)),I852/H852,"")</f>
        <v/>
      </c>
      <c r="K852" s="11">
        <f>IF(AND(ISNUMBER(H852),ISNUMBER(I852),H852&gt;0,ISNUMBER($B$94)),MAX(0,$B$94-3*SQRT($B$94*(1-$B$94)/H852)),"")</f>
        <v/>
      </c>
      <c r="L852" s="11">
        <f>IF(AND(ISNUMBER(H852),ISNUMBER(I852),H852&gt;0,ISNUMBER($B$94)),$B$94+3*SQRT($B$94*(1-$B$94)/H852),"")</f>
        <v/>
      </c>
      <c r="M852" s="13">
        <f>IF(AND(ISNUMBER(J852),ISNUMBER(K852),ISNUMBER(L852)),IF(J852&gt;L852,"boven UCL",IF(J852&lt;K852,"onder LCL","")),"")</f>
        <v/>
      </c>
      <c r="O852" t="n">
        <v>746</v>
      </c>
      <c r="P852" s="7" t="n"/>
      <c r="Q852" s="7" t="n"/>
      <c r="R852" s="11">
        <f>IF(AND(ISNUMBER(P852),ISNUMBER(Q852),P852&gt;0,ISNUMBER($B$100)),Q852/P852,"")</f>
        <v/>
      </c>
      <c r="S852" s="11">
        <f>IF(AND(ISNUMBER(P852),ISNUMBER(Q852),P852&gt;0,ISNUMBER($B$100)),MAX(0,$B$100-3*SQRT($B$100/P852)),"")</f>
        <v/>
      </c>
      <c r="T852" s="11">
        <f>IF(AND(ISNUMBER(P852),ISNUMBER(Q852),P852&gt;0,ISNUMBER($B$100)),$B$100+3*SQRT($B$100/P852),"")</f>
        <v/>
      </c>
      <c r="U852" s="13">
        <f>IF(AND(ISNUMBER(R852),ISNUMBER(S852),ISNUMBER(T852)),IF(R852&gt;T852,"boven UCL",IF(R852&lt;S852,"onder LCL","")),"")</f>
        <v/>
      </c>
    </row>
    <row r="853">
      <c r="A853" t="n">
        <v>747</v>
      </c>
      <c r="B853" s="7" t="n"/>
      <c r="C853" s="11">
        <f>IF(AND(ISNUMBER(B853),ISNUMBER(B852)),ABS(B853-B852),"")</f>
        <v/>
      </c>
      <c r="D853" s="13">
        <f>IF(AND(ISNUMBER(B853),ISNUMBER($B$88),ISNUMBER($D$88)),IF(B853&gt;$D$88,"boven UCL",IF(B853&lt;$B$88,"onder LCL","")),"")</f>
        <v/>
      </c>
      <c r="E853" s="13">
        <f>IF(AND(ISNUMBER(C853),ISNUMBER($B$89),ISNUMBER($D$89)),IF(C853&gt;$D$89,"boven UCL",IF(C853&lt;$B$89,"onder LCL","")),"")</f>
        <v/>
      </c>
      <c r="G853" t="n">
        <v>747</v>
      </c>
      <c r="H853" s="7" t="n"/>
      <c r="I853" s="7" t="n"/>
      <c r="J853" s="11">
        <f>IF(AND(ISNUMBER(H853),ISNUMBER(I853),H853&gt;0,ISNUMBER($B$94)),I853/H853,"")</f>
        <v/>
      </c>
      <c r="K853" s="11">
        <f>IF(AND(ISNUMBER(H853),ISNUMBER(I853),H853&gt;0,ISNUMBER($B$94)),MAX(0,$B$94-3*SQRT($B$94*(1-$B$94)/H853)),"")</f>
        <v/>
      </c>
      <c r="L853" s="11">
        <f>IF(AND(ISNUMBER(H853),ISNUMBER(I853),H853&gt;0,ISNUMBER($B$94)),$B$94+3*SQRT($B$94*(1-$B$94)/H853),"")</f>
        <v/>
      </c>
      <c r="M853" s="13">
        <f>IF(AND(ISNUMBER(J853),ISNUMBER(K853),ISNUMBER(L853)),IF(J853&gt;L853,"boven UCL",IF(J853&lt;K853,"onder LCL","")),"")</f>
        <v/>
      </c>
      <c r="O853" t="n">
        <v>747</v>
      </c>
      <c r="P853" s="7" t="n"/>
      <c r="Q853" s="7" t="n"/>
      <c r="R853" s="11">
        <f>IF(AND(ISNUMBER(P853),ISNUMBER(Q853),P853&gt;0,ISNUMBER($B$100)),Q853/P853,"")</f>
        <v/>
      </c>
      <c r="S853" s="11">
        <f>IF(AND(ISNUMBER(P853),ISNUMBER(Q853),P853&gt;0,ISNUMBER($B$100)),MAX(0,$B$100-3*SQRT($B$100/P853)),"")</f>
        <v/>
      </c>
      <c r="T853" s="11">
        <f>IF(AND(ISNUMBER(P853),ISNUMBER(Q853),P853&gt;0,ISNUMBER($B$100)),$B$100+3*SQRT($B$100/P853),"")</f>
        <v/>
      </c>
      <c r="U853" s="13">
        <f>IF(AND(ISNUMBER(R853),ISNUMBER(S853),ISNUMBER(T853)),IF(R853&gt;T853,"boven UCL",IF(R853&lt;S853,"onder LCL","")),"")</f>
        <v/>
      </c>
    </row>
    <row r="854">
      <c r="A854" t="n">
        <v>748</v>
      </c>
      <c r="B854" s="7" t="n"/>
      <c r="C854" s="11">
        <f>IF(AND(ISNUMBER(B854),ISNUMBER(B853)),ABS(B854-B853),"")</f>
        <v/>
      </c>
      <c r="D854" s="13">
        <f>IF(AND(ISNUMBER(B854),ISNUMBER($B$88),ISNUMBER($D$88)),IF(B854&gt;$D$88,"boven UCL",IF(B854&lt;$B$88,"onder LCL","")),"")</f>
        <v/>
      </c>
      <c r="E854" s="13">
        <f>IF(AND(ISNUMBER(C854),ISNUMBER($B$89),ISNUMBER($D$89)),IF(C854&gt;$D$89,"boven UCL",IF(C854&lt;$B$89,"onder LCL","")),"")</f>
        <v/>
      </c>
      <c r="G854" t="n">
        <v>748</v>
      </c>
      <c r="H854" s="7" t="n"/>
      <c r="I854" s="7" t="n"/>
      <c r="J854" s="11">
        <f>IF(AND(ISNUMBER(H854),ISNUMBER(I854),H854&gt;0,ISNUMBER($B$94)),I854/H854,"")</f>
        <v/>
      </c>
      <c r="K854" s="11">
        <f>IF(AND(ISNUMBER(H854),ISNUMBER(I854),H854&gt;0,ISNUMBER($B$94)),MAX(0,$B$94-3*SQRT($B$94*(1-$B$94)/H854)),"")</f>
        <v/>
      </c>
      <c r="L854" s="11">
        <f>IF(AND(ISNUMBER(H854),ISNUMBER(I854),H854&gt;0,ISNUMBER($B$94)),$B$94+3*SQRT($B$94*(1-$B$94)/H854),"")</f>
        <v/>
      </c>
      <c r="M854" s="13">
        <f>IF(AND(ISNUMBER(J854),ISNUMBER(K854),ISNUMBER(L854)),IF(J854&gt;L854,"boven UCL",IF(J854&lt;K854,"onder LCL","")),"")</f>
        <v/>
      </c>
      <c r="O854" t="n">
        <v>748</v>
      </c>
      <c r="P854" s="7" t="n"/>
      <c r="Q854" s="7" t="n"/>
      <c r="R854" s="11">
        <f>IF(AND(ISNUMBER(P854),ISNUMBER(Q854),P854&gt;0,ISNUMBER($B$100)),Q854/P854,"")</f>
        <v/>
      </c>
      <c r="S854" s="11">
        <f>IF(AND(ISNUMBER(P854),ISNUMBER(Q854),P854&gt;0,ISNUMBER($B$100)),MAX(0,$B$100-3*SQRT($B$100/P854)),"")</f>
        <v/>
      </c>
      <c r="T854" s="11">
        <f>IF(AND(ISNUMBER(P854),ISNUMBER(Q854),P854&gt;0,ISNUMBER($B$100)),$B$100+3*SQRT($B$100/P854),"")</f>
        <v/>
      </c>
      <c r="U854" s="13">
        <f>IF(AND(ISNUMBER(R854),ISNUMBER(S854),ISNUMBER(T854)),IF(R854&gt;T854,"boven UCL",IF(R854&lt;S854,"onder LCL","")),"")</f>
        <v/>
      </c>
    </row>
    <row r="855">
      <c r="A855" t="n">
        <v>749</v>
      </c>
      <c r="B855" s="7" t="n"/>
      <c r="C855" s="11">
        <f>IF(AND(ISNUMBER(B855),ISNUMBER(B854)),ABS(B855-B854),"")</f>
        <v/>
      </c>
      <c r="D855" s="13">
        <f>IF(AND(ISNUMBER(B855),ISNUMBER($B$88),ISNUMBER($D$88)),IF(B855&gt;$D$88,"boven UCL",IF(B855&lt;$B$88,"onder LCL","")),"")</f>
        <v/>
      </c>
      <c r="E855" s="13">
        <f>IF(AND(ISNUMBER(C855),ISNUMBER($B$89),ISNUMBER($D$89)),IF(C855&gt;$D$89,"boven UCL",IF(C855&lt;$B$89,"onder LCL","")),"")</f>
        <v/>
      </c>
      <c r="G855" t="n">
        <v>749</v>
      </c>
      <c r="H855" s="7" t="n"/>
      <c r="I855" s="7" t="n"/>
      <c r="J855" s="11">
        <f>IF(AND(ISNUMBER(H855),ISNUMBER(I855),H855&gt;0,ISNUMBER($B$94)),I855/H855,"")</f>
        <v/>
      </c>
      <c r="K855" s="11">
        <f>IF(AND(ISNUMBER(H855),ISNUMBER(I855),H855&gt;0,ISNUMBER($B$94)),MAX(0,$B$94-3*SQRT($B$94*(1-$B$94)/H855)),"")</f>
        <v/>
      </c>
      <c r="L855" s="11">
        <f>IF(AND(ISNUMBER(H855),ISNUMBER(I855),H855&gt;0,ISNUMBER($B$94)),$B$94+3*SQRT($B$94*(1-$B$94)/H855),"")</f>
        <v/>
      </c>
      <c r="M855" s="13">
        <f>IF(AND(ISNUMBER(J855),ISNUMBER(K855),ISNUMBER(L855)),IF(J855&gt;L855,"boven UCL",IF(J855&lt;K855,"onder LCL","")),"")</f>
        <v/>
      </c>
      <c r="O855" t="n">
        <v>749</v>
      </c>
      <c r="P855" s="7" t="n"/>
      <c r="Q855" s="7" t="n"/>
      <c r="R855" s="11">
        <f>IF(AND(ISNUMBER(P855),ISNUMBER(Q855),P855&gt;0,ISNUMBER($B$100)),Q855/P855,"")</f>
        <v/>
      </c>
      <c r="S855" s="11">
        <f>IF(AND(ISNUMBER(P855),ISNUMBER(Q855),P855&gt;0,ISNUMBER($B$100)),MAX(0,$B$100-3*SQRT($B$100/P855)),"")</f>
        <v/>
      </c>
      <c r="T855" s="11">
        <f>IF(AND(ISNUMBER(P855),ISNUMBER(Q855),P855&gt;0,ISNUMBER($B$100)),$B$100+3*SQRT($B$100/P855),"")</f>
        <v/>
      </c>
      <c r="U855" s="13">
        <f>IF(AND(ISNUMBER(R855),ISNUMBER(S855),ISNUMBER(T855)),IF(R855&gt;T855,"boven UCL",IF(R855&lt;S855,"onder LCL","")),"")</f>
        <v/>
      </c>
    </row>
    <row r="856">
      <c r="A856" t="n">
        <v>750</v>
      </c>
      <c r="B856" s="7" t="n"/>
      <c r="C856" s="11">
        <f>IF(AND(ISNUMBER(B856),ISNUMBER(B855)),ABS(B856-B855),"")</f>
        <v/>
      </c>
      <c r="D856" s="13">
        <f>IF(AND(ISNUMBER(B856),ISNUMBER($B$88),ISNUMBER($D$88)),IF(B856&gt;$D$88,"boven UCL",IF(B856&lt;$B$88,"onder LCL","")),"")</f>
        <v/>
      </c>
      <c r="E856" s="13">
        <f>IF(AND(ISNUMBER(C856),ISNUMBER($B$89),ISNUMBER($D$89)),IF(C856&gt;$D$89,"boven UCL",IF(C856&lt;$B$89,"onder LCL","")),"")</f>
        <v/>
      </c>
      <c r="G856" t="n">
        <v>750</v>
      </c>
      <c r="H856" s="7" t="n"/>
      <c r="I856" s="7" t="n"/>
      <c r="J856" s="11">
        <f>IF(AND(ISNUMBER(H856),ISNUMBER(I856),H856&gt;0,ISNUMBER($B$94)),I856/H856,"")</f>
        <v/>
      </c>
      <c r="K856" s="11">
        <f>IF(AND(ISNUMBER(H856),ISNUMBER(I856),H856&gt;0,ISNUMBER($B$94)),MAX(0,$B$94-3*SQRT($B$94*(1-$B$94)/H856)),"")</f>
        <v/>
      </c>
      <c r="L856" s="11">
        <f>IF(AND(ISNUMBER(H856),ISNUMBER(I856),H856&gt;0,ISNUMBER($B$94)),$B$94+3*SQRT($B$94*(1-$B$94)/H856),"")</f>
        <v/>
      </c>
      <c r="M856" s="13">
        <f>IF(AND(ISNUMBER(J856),ISNUMBER(K856),ISNUMBER(L856)),IF(J856&gt;L856,"boven UCL",IF(J856&lt;K856,"onder LCL","")),"")</f>
        <v/>
      </c>
      <c r="O856" t="n">
        <v>750</v>
      </c>
      <c r="P856" s="7" t="n"/>
      <c r="Q856" s="7" t="n"/>
      <c r="R856" s="11">
        <f>IF(AND(ISNUMBER(P856),ISNUMBER(Q856),P856&gt;0,ISNUMBER($B$100)),Q856/P856,"")</f>
        <v/>
      </c>
      <c r="S856" s="11">
        <f>IF(AND(ISNUMBER(P856),ISNUMBER(Q856),P856&gt;0,ISNUMBER($B$100)),MAX(0,$B$100-3*SQRT($B$100/P856)),"")</f>
        <v/>
      </c>
      <c r="T856" s="11">
        <f>IF(AND(ISNUMBER(P856),ISNUMBER(Q856),P856&gt;0,ISNUMBER($B$100)),$B$100+3*SQRT($B$100/P856),"")</f>
        <v/>
      </c>
      <c r="U856" s="13">
        <f>IF(AND(ISNUMBER(R856),ISNUMBER(S856),ISNUMBER(T856)),IF(R856&gt;T856,"boven UCL",IF(R856&lt;S856,"onder LCL","")),"")</f>
        <v/>
      </c>
    </row>
    <row r="857">
      <c r="A857" t="n">
        <v>751</v>
      </c>
      <c r="B857" s="7" t="n"/>
      <c r="C857" s="11">
        <f>IF(AND(ISNUMBER(B857),ISNUMBER(B856)),ABS(B857-B856),"")</f>
        <v/>
      </c>
      <c r="D857" s="13">
        <f>IF(AND(ISNUMBER(B857),ISNUMBER($B$88),ISNUMBER($D$88)),IF(B857&gt;$D$88,"boven UCL",IF(B857&lt;$B$88,"onder LCL","")),"")</f>
        <v/>
      </c>
      <c r="E857" s="13">
        <f>IF(AND(ISNUMBER(C857),ISNUMBER($B$89),ISNUMBER($D$89)),IF(C857&gt;$D$89,"boven UCL",IF(C857&lt;$B$89,"onder LCL","")),"")</f>
        <v/>
      </c>
      <c r="G857" t="n">
        <v>751</v>
      </c>
      <c r="H857" s="7" t="n"/>
      <c r="I857" s="7" t="n"/>
      <c r="J857" s="11">
        <f>IF(AND(ISNUMBER(H857),ISNUMBER(I857),H857&gt;0,ISNUMBER($B$94)),I857/H857,"")</f>
        <v/>
      </c>
      <c r="K857" s="11">
        <f>IF(AND(ISNUMBER(H857),ISNUMBER(I857),H857&gt;0,ISNUMBER($B$94)),MAX(0,$B$94-3*SQRT($B$94*(1-$B$94)/H857)),"")</f>
        <v/>
      </c>
      <c r="L857" s="11">
        <f>IF(AND(ISNUMBER(H857),ISNUMBER(I857),H857&gt;0,ISNUMBER($B$94)),$B$94+3*SQRT($B$94*(1-$B$94)/H857),"")</f>
        <v/>
      </c>
      <c r="M857" s="13">
        <f>IF(AND(ISNUMBER(J857),ISNUMBER(K857),ISNUMBER(L857)),IF(J857&gt;L857,"boven UCL",IF(J857&lt;K857,"onder LCL","")),"")</f>
        <v/>
      </c>
      <c r="O857" t="n">
        <v>751</v>
      </c>
      <c r="P857" s="7" t="n"/>
      <c r="Q857" s="7" t="n"/>
      <c r="R857" s="11">
        <f>IF(AND(ISNUMBER(P857),ISNUMBER(Q857),P857&gt;0,ISNUMBER($B$100)),Q857/P857,"")</f>
        <v/>
      </c>
      <c r="S857" s="11">
        <f>IF(AND(ISNUMBER(P857),ISNUMBER(Q857),P857&gt;0,ISNUMBER($B$100)),MAX(0,$B$100-3*SQRT($B$100/P857)),"")</f>
        <v/>
      </c>
      <c r="T857" s="11">
        <f>IF(AND(ISNUMBER(P857),ISNUMBER(Q857),P857&gt;0,ISNUMBER($B$100)),$B$100+3*SQRT($B$100/P857),"")</f>
        <v/>
      </c>
      <c r="U857" s="13">
        <f>IF(AND(ISNUMBER(R857),ISNUMBER(S857),ISNUMBER(T857)),IF(R857&gt;T857,"boven UCL",IF(R857&lt;S857,"onder LCL","")),"")</f>
        <v/>
      </c>
    </row>
    <row r="858">
      <c r="A858" t="n">
        <v>752</v>
      </c>
      <c r="B858" s="7" t="n"/>
      <c r="C858" s="11">
        <f>IF(AND(ISNUMBER(B858),ISNUMBER(B857)),ABS(B858-B857),"")</f>
        <v/>
      </c>
      <c r="D858" s="13">
        <f>IF(AND(ISNUMBER(B858),ISNUMBER($B$88),ISNUMBER($D$88)),IF(B858&gt;$D$88,"boven UCL",IF(B858&lt;$B$88,"onder LCL","")),"")</f>
        <v/>
      </c>
      <c r="E858" s="13">
        <f>IF(AND(ISNUMBER(C858),ISNUMBER($B$89),ISNUMBER($D$89)),IF(C858&gt;$D$89,"boven UCL",IF(C858&lt;$B$89,"onder LCL","")),"")</f>
        <v/>
      </c>
      <c r="G858" t="n">
        <v>752</v>
      </c>
      <c r="H858" s="7" t="n"/>
      <c r="I858" s="7" t="n"/>
      <c r="J858" s="11">
        <f>IF(AND(ISNUMBER(H858),ISNUMBER(I858),H858&gt;0,ISNUMBER($B$94)),I858/H858,"")</f>
        <v/>
      </c>
      <c r="K858" s="11">
        <f>IF(AND(ISNUMBER(H858),ISNUMBER(I858),H858&gt;0,ISNUMBER($B$94)),MAX(0,$B$94-3*SQRT($B$94*(1-$B$94)/H858)),"")</f>
        <v/>
      </c>
      <c r="L858" s="11">
        <f>IF(AND(ISNUMBER(H858),ISNUMBER(I858),H858&gt;0,ISNUMBER($B$94)),$B$94+3*SQRT($B$94*(1-$B$94)/H858),"")</f>
        <v/>
      </c>
      <c r="M858" s="13">
        <f>IF(AND(ISNUMBER(J858),ISNUMBER(K858),ISNUMBER(L858)),IF(J858&gt;L858,"boven UCL",IF(J858&lt;K858,"onder LCL","")),"")</f>
        <v/>
      </c>
      <c r="O858" t="n">
        <v>752</v>
      </c>
      <c r="P858" s="7" t="n"/>
      <c r="Q858" s="7" t="n"/>
      <c r="R858" s="11">
        <f>IF(AND(ISNUMBER(P858),ISNUMBER(Q858),P858&gt;0,ISNUMBER($B$100)),Q858/P858,"")</f>
        <v/>
      </c>
      <c r="S858" s="11">
        <f>IF(AND(ISNUMBER(P858),ISNUMBER(Q858),P858&gt;0,ISNUMBER($B$100)),MAX(0,$B$100-3*SQRT($B$100/P858)),"")</f>
        <v/>
      </c>
      <c r="T858" s="11">
        <f>IF(AND(ISNUMBER(P858),ISNUMBER(Q858),P858&gt;0,ISNUMBER($B$100)),$B$100+3*SQRT($B$100/P858),"")</f>
        <v/>
      </c>
      <c r="U858" s="13">
        <f>IF(AND(ISNUMBER(R858),ISNUMBER(S858),ISNUMBER(T858)),IF(R858&gt;T858,"boven UCL",IF(R858&lt;S858,"onder LCL","")),"")</f>
        <v/>
      </c>
    </row>
    <row r="859">
      <c r="A859" t="n">
        <v>753</v>
      </c>
      <c r="B859" s="7" t="n"/>
      <c r="C859" s="11">
        <f>IF(AND(ISNUMBER(B859),ISNUMBER(B858)),ABS(B859-B858),"")</f>
        <v/>
      </c>
      <c r="D859" s="13">
        <f>IF(AND(ISNUMBER(B859),ISNUMBER($B$88),ISNUMBER($D$88)),IF(B859&gt;$D$88,"boven UCL",IF(B859&lt;$B$88,"onder LCL","")),"")</f>
        <v/>
      </c>
      <c r="E859" s="13">
        <f>IF(AND(ISNUMBER(C859),ISNUMBER($B$89),ISNUMBER($D$89)),IF(C859&gt;$D$89,"boven UCL",IF(C859&lt;$B$89,"onder LCL","")),"")</f>
        <v/>
      </c>
      <c r="G859" t="n">
        <v>753</v>
      </c>
      <c r="H859" s="7" t="n"/>
      <c r="I859" s="7" t="n"/>
      <c r="J859" s="11">
        <f>IF(AND(ISNUMBER(H859),ISNUMBER(I859),H859&gt;0,ISNUMBER($B$94)),I859/H859,"")</f>
        <v/>
      </c>
      <c r="K859" s="11">
        <f>IF(AND(ISNUMBER(H859),ISNUMBER(I859),H859&gt;0,ISNUMBER($B$94)),MAX(0,$B$94-3*SQRT($B$94*(1-$B$94)/H859)),"")</f>
        <v/>
      </c>
      <c r="L859" s="11">
        <f>IF(AND(ISNUMBER(H859),ISNUMBER(I859),H859&gt;0,ISNUMBER($B$94)),$B$94+3*SQRT($B$94*(1-$B$94)/H859),"")</f>
        <v/>
      </c>
      <c r="M859" s="13">
        <f>IF(AND(ISNUMBER(J859),ISNUMBER(K859),ISNUMBER(L859)),IF(J859&gt;L859,"boven UCL",IF(J859&lt;K859,"onder LCL","")),"")</f>
        <v/>
      </c>
      <c r="O859" t="n">
        <v>753</v>
      </c>
      <c r="P859" s="7" t="n"/>
      <c r="Q859" s="7" t="n"/>
      <c r="R859" s="11">
        <f>IF(AND(ISNUMBER(P859),ISNUMBER(Q859),P859&gt;0,ISNUMBER($B$100)),Q859/P859,"")</f>
        <v/>
      </c>
      <c r="S859" s="11">
        <f>IF(AND(ISNUMBER(P859),ISNUMBER(Q859),P859&gt;0,ISNUMBER($B$100)),MAX(0,$B$100-3*SQRT($B$100/P859)),"")</f>
        <v/>
      </c>
      <c r="T859" s="11">
        <f>IF(AND(ISNUMBER(P859),ISNUMBER(Q859),P859&gt;0,ISNUMBER($B$100)),$B$100+3*SQRT($B$100/P859),"")</f>
        <v/>
      </c>
      <c r="U859" s="13">
        <f>IF(AND(ISNUMBER(R859),ISNUMBER(S859),ISNUMBER(T859)),IF(R859&gt;T859,"boven UCL",IF(R859&lt;S859,"onder LCL","")),"")</f>
        <v/>
      </c>
    </row>
    <row r="860">
      <c r="A860" t="n">
        <v>754</v>
      </c>
      <c r="B860" s="7" t="n"/>
      <c r="C860" s="11">
        <f>IF(AND(ISNUMBER(B860),ISNUMBER(B859)),ABS(B860-B859),"")</f>
        <v/>
      </c>
      <c r="D860" s="13">
        <f>IF(AND(ISNUMBER(B860),ISNUMBER($B$88),ISNUMBER($D$88)),IF(B860&gt;$D$88,"boven UCL",IF(B860&lt;$B$88,"onder LCL","")),"")</f>
        <v/>
      </c>
      <c r="E860" s="13">
        <f>IF(AND(ISNUMBER(C860),ISNUMBER($B$89),ISNUMBER($D$89)),IF(C860&gt;$D$89,"boven UCL",IF(C860&lt;$B$89,"onder LCL","")),"")</f>
        <v/>
      </c>
      <c r="G860" t="n">
        <v>754</v>
      </c>
      <c r="H860" s="7" t="n"/>
      <c r="I860" s="7" t="n"/>
      <c r="J860" s="11">
        <f>IF(AND(ISNUMBER(H860),ISNUMBER(I860),H860&gt;0,ISNUMBER($B$94)),I860/H860,"")</f>
        <v/>
      </c>
      <c r="K860" s="11">
        <f>IF(AND(ISNUMBER(H860),ISNUMBER(I860),H860&gt;0,ISNUMBER($B$94)),MAX(0,$B$94-3*SQRT($B$94*(1-$B$94)/H860)),"")</f>
        <v/>
      </c>
      <c r="L860" s="11">
        <f>IF(AND(ISNUMBER(H860),ISNUMBER(I860),H860&gt;0,ISNUMBER($B$94)),$B$94+3*SQRT($B$94*(1-$B$94)/H860),"")</f>
        <v/>
      </c>
      <c r="M860" s="13">
        <f>IF(AND(ISNUMBER(J860),ISNUMBER(K860),ISNUMBER(L860)),IF(J860&gt;L860,"boven UCL",IF(J860&lt;K860,"onder LCL","")),"")</f>
        <v/>
      </c>
      <c r="O860" t="n">
        <v>754</v>
      </c>
      <c r="P860" s="7" t="n"/>
      <c r="Q860" s="7" t="n"/>
      <c r="R860" s="11">
        <f>IF(AND(ISNUMBER(P860),ISNUMBER(Q860),P860&gt;0,ISNUMBER($B$100)),Q860/P860,"")</f>
        <v/>
      </c>
      <c r="S860" s="11">
        <f>IF(AND(ISNUMBER(P860),ISNUMBER(Q860),P860&gt;0,ISNUMBER($B$100)),MAX(0,$B$100-3*SQRT($B$100/P860)),"")</f>
        <v/>
      </c>
      <c r="T860" s="11">
        <f>IF(AND(ISNUMBER(P860),ISNUMBER(Q860),P860&gt;0,ISNUMBER($B$100)),$B$100+3*SQRT($B$100/P860),"")</f>
        <v/>
      </c>
      <c r="U860" s="13">
        <f>IF(AND(ISNUMBER(R860),ISNUMBER(S860),ISNUMBER(T860)),IF(R860&gt;T860,"boven UCL",IF(R860&lt;S860,"onder LCL","")),"")</f>
        <v/>
      </c>
    </row>
    <row r="861">
      <c r="A861" t="n">
        <v>755</v>
      </c>
      <c r="B861" s="7" t="n"/>
      <c r="C861" s="11">
        <f>IF(AND(ISNUMBER(B861),ISNUMBER(B860)),ABS(B861-B860),"")</f>
        <v/>
      </c>
      <c r="D861" s="13">
        <f>IF(AND(ISNUMBER(B861),ISNUMBER($B$88),ISNUMBER($D$88)),IF(B861&gt;$D$88,"boven UCL",IF(B861&lt;$B$88,"onder LCL","")),"")</f>
        <v/>
      </c>
      <c r="E861" s="13">
        <f>IF(AND(ISNUMBER(C861),ISNUMBER($B$89),ISNUMBER($D$89)),IF(C861&gt;$D$89,"boven UCL",IF(C861&lt;$B$89,"onder LCL","")),"")</f>
        <v/>
      </c>
      <c r="G861" t="n">
        <v>755</v>
      </c>
      <c r="H861" s="7" t="n"/>
      <c r="I861" s="7" t="n"/>
      <c r="J861" s="11">
        <f>IF(AND(ISNUMBER(H861),ISNUMBER(I861),H861&gt;0,ISNUMBER($B$94)),I861/H861,"")</f>
        <v/>
      </c>
      <c r="K861" s="11">
        <f>IF(AND(ISNUMBER(H861),ISNUMBER(I861),H861&gt;0,ISNUMBER($B$94)),MAX(0,$B$94-3*SQRT($B$94*(1-$B$94)/H861)),"")</f>
        <v/>
      </c>
      <c r="L861" s="11">
        <f>IF(AND(ISNUMBER(H861),ISNUMBER(I861),H861&gt;0,ISNUMBER($B$94)),$B$94+3*SQRT($B$94*(1-$B$94)/H861),"")</f>
        <v/>
      </c>
      <c r="M861" s="13">
        <f>IF(AND(ISNUMBER(J861),ISNUMBER(K861),ISNUMBER(L861)),IF(J861&gt;L861,"boven UCL",IF(J861&lt;K861,"onder LCL","")),"")</f>
        <v/>
      </c>
      <c r="O861" t="n">
        <v>755</v>
      </c>
      <c r="P861" s="7" t="n"/>
      <c r="Q861" s="7" t="n"/>
      <c r="R861" s="11">
        <f>IF(AND(ISNUMBER(P861),ISNUMBER(Q861),P861&gt;0,ISNUMBER($B$100)),Q861/P861,"")</f>
        <v/>
      </c>
      <c r="S861" s="11">
        <f>IF(AND(ISNUMBER(P861),ISNUMBER(Q861),P861&gt;0,ISNUMBER($B$100)),MAX(0,$B$100-3*SQRT($B$100/P861)),"")</f>
        <v/>
      </c>
      <c r="T861" s="11">
        <f>IF(AND(ISNUMBER(P861),ISNUMBER(Q861),P861&gt;0,ISNUMBER($B$100)),$B$100+3*SQRT($B$100/P861),"")</f>
        <v/>
      </c>
      <c r="U861" s="13">
        <f>IF(AND(ISNUMBER(R861),ISNUMBER(S861),ISNUMBER(T861)),IF(R861&gt;T861,"boven UCL",IF(R861&lt;S861,"onder LCL","")),"")</f>
        <v/>
      </c>
    </row>
    <row r="862">
      <c r="A862" t="n">
        <v>756</v>
      </c>
      <c r="B862" s="7" t="n"/>
      <c r="C862" s="11">
        <f>IF(AND(ISNUMBER(B862),ISNUMBER(B861)),ABS(B862-B861),"")</f>
        <v/>
      </c>
      <c r="D862" s="13">
        <f>IF(AND(ISNUMBER(B862),ISNUMBER($B$88),ISNUMBER($D$88)),IF(B862&gt;$D$88,"boven UCL",IF(B862&lt;$B$88,"onder LCL","")),"")</f>
        <v/>
      </c>
      <c r="E862" s="13">
        <f>IF(AND(ISNUMBER(C862),ISNUMBER($B$89),ISNUMBER($D$89)),IF(C862&gt;$D$89,"boven UCL",IF(C862&lt;$B$89,"onder LCL","")),"")</f>
        <v/>
      </c>
      <c r="G862" t="n">
        <v>756</v>
      </c>
      <c r="H862" s="7" t="n"/>
      <c r="I862" s="7" t="n"/>
      <c r="J862" s="11">
        <f>IF(AND(ISNUMBER(H862),ISNUMBER(I862),H862&gt;0,ISNUMBER($B$94)),I862/H862,"")</f>
        <v/>
      </c>
      <c r="K862" s="11">
        <f>IF(AND(ISNUMBER(H862),ISNUMBER(I862),H862&gt;0,ISNUMBER($B$94)),MAX(0,$B$94-3*SQRT($B$94*(1-$B$94)/H862)),"")</f>
        <v/>
      </c>
      <c r="L862" s="11">
        <f>IF(AND(ISNUMBER(H862),ISNUMBER(I862),H862&gt;0,ISNUMBER($B$94)),$B$94+3*SQRT($B$94*(1-$B$94)/H862),"")</f>
        <v/>
      </c>
      <c r="M862" s="13">
        <f>IF(AND(ISNUMBER(J862),ISNUMBER(K862),ISNUMBER(L862)),IF(J862&gt;L862,"boven UCL",IF(J862&lt;K862,"onder LCL","")),"")</f>
        <v/>
      </c>
      <c r="O862" t="n">
        <v>756</v>
      </c>
      <c r="P862" s="7" t="n"/>
      <c r="Q862" s="7" t="n"/>
      <c r="R862" s="11">
        <f>IF(AND(ISNUMBER(P862),ISNUMBER(Q862),P862&gt;0,ISNUMBER($B$100)),Q862/P862,"")</f>
        <v/>
      </c>
      <c r="S862" s="11">
        <f>IF(AND(ISNUMBER(P862),ISNUMBER(Q862),P862&gt;0,ISNUMBER($B$100)),MAX(0,$B$100-3*SQRT($B$100/P862)),"")</f>
        <v/>
      </c>
      <c r="T862" s="11">
        <f>IF(AND(ISNUMBER(P862),ISNUMBER(Q862),P862&gt;0,ISNUMBER($B$100)),$B$100+3*SQRT($B$100/P862),"")</f>
        <v/>
      </c>
      <c r="U862" s="13">
        <f>IF(AND(ISNUMBER(R862),ISNUMBER(S862),ISNUMBER(T862)),IF(R862&gt;T862,"boven UCL",IF(R862&lt;S862,"onder LCL","")),"")</f>
        <v/>
      </c>
    </row>
    <row r="863">
      <c r="A863" t="n">
        <v>757</v>
      </c>
      <c r="B863" s="7" t="n"/>
      <c r="C863" s="11">
        <f>IF(AND(ISNUMBER(B863),ISNUMBER(B862)),ABS(B863-B862),"")</f>
        <v/>
      </c>
      <c r="D863" s="13">
        <f>IF(AND(ISNUMBER(B863),ISNUMBER($B$88),ISNUMBER($D$88)),IF(B863&gt;$D$88,"boven UCL",IF(B863&lt;$B$88,"onder LCL","")),"")</f>
        <v/>
      </c>
      <c r="E863" s="13">
        <f>IF(AND(ISNUMBER(C863),ISNUMBER($B$89),ISNUMBER($D$89)),IF(C863&gt;$D$89,"boven UCL",IF(C863&lt;$B$89,"onder LCL","")),"")</f>
        <v/>
      </c>
      <c r="G863" t="n">
        <v>757</v>
      </c>
      <c r="H863" s="7" t="n"/>
      <c r="I863" s="7" t="n"/>
      <c r="J863" s="11">
        <f>IF(AND(ISNUMBER(H863),ISNUMBER(I863),H863&gt;0,ISNUMBER($B$94)),I863/H863,"")</f>
        <v/>
      </c>
      <c r="K863" s="11">
        <f>IF(AND(ISNUMBER(H863),ISNUMBER(I863),H863&gt;0,ISNUMBER($B$94)),MAX(0,$B$94-3*SQRT($B$94*(1-$B$94)/H863)),"")</f>
        <v/>
      </c>
      <c r="L863" s="11">
        <f>IF(AND(ISNUMBER(H863),ISNUMBER(I863),H863&gt;0,ISNUMBER($B$94)),$B$94+3*SQRT($B$94*(1-$B$94)/H863),"")</f>
        <v/>
      </c>
      <c r="M863" s="13">
        <f>IF(AND(ISNUMBER(J863),ISNUMBER(K863),ISNUMBER(L863)),IF(J863&gt;L863,"boven UCL",IF(J863&lt;K863,"onder LCL","")),"")</f>
        <v/>
      </c>
      <c r="O863" t="n">
        <v>757</v>
      </c>
      <c r="P863" s="7" t="n"/>
      <c r="Q863" s="7" t="n"/>
      <c r="R863" s="11">
        <f>IF(AND(ISNUMBER(P863),ISNUMBER(Q863),P863&gt;0,ISNUMBER($B$100)),Q863/P863,"")</f>
        <v/>
      </c>
      <c r="S863" s="11">
        <f>IF(AND(ISNUMBER(P863),ISNUMBER(Q863),P863&gt;0,ISNUMBER($B$100)),MAX(0,$B$100-3*SQRT($B$100/P863)),"")</f>
        <v/>
      </c>
      <c r="T863" s="11">
        <f>IF(AND(ISNUMBER(P863),ISNUMBER(Q863),P863&gt;0,ISNUMBER($B$100)),$B$100+3*SQRT($B$100/P863),"")</f>
        <v/>
      </c>
      <c r="U863" s="13">
        <f>IF(AND(ISNUMBER(R863),ISNUMBER(S863),ISNUMBER(T863)),IF(R863&gt;T863,"boven UCL",IF(R863&lt;S863,"onder LCL","")),"")</f>
        <v/>
      </c>
    </row>
    <row r="864">
      <c r="A864" t="n">
        <v>758</v>
      </c>
      <c r="B864" s="7" t="n"/>
      <c r="C864" s="11">
        <f>IF(AND(ISNUMBER(B864),ISNUMBER(B863)),ABS(B864-B863),"")</f>
        <v/>
      </c>
      <c r="D864" s="13">
        <f>IF(AND(ISNUMBER(B864),ISNUMBER($B$88),ISNUMBER($D$88)),IF(B864&gt;$D$88,"boven UCL",IF(B864&lt;$B$88,"onder LCL","")),"")</f>
        <v/>
      </c>
      <c r="E864" s="13">
        <f>IF(AND(ISNUMBER(C864),ISNUMBER($B$89),ISNUMBER($D$89)),IF(C864&gt;$D$89,"boven UCL",IF(C864&lt;$B$89,"onder LCL","")),"")</f>
        <v/>
      </c>
      <c r="G864" t="n">
        <v>758</v>
      </c>
      <c r="H864" s="7" t="n"/>
      <c r="I864" s="7" t="n"/>
      <c r="J864" s="11">
        <f>IF(AND(ISNUMBER(H864),ISNUMBER(I864),H864&gt;0,ISNUMBER($B$94)),I864/H864,"")</f>
        <v/>
      </c>
      <c r="K864" s="11">
        <f>IF(AND(ISNUMBER(H864),ISNUMBER(I864),H864&gt;0,ISNUMBER($B$94)),MAX(0,$B$94-3*SQRT($B$94*(1-$B$94)/H864)),"")</f>
        <v/>
      </c>
      <c r="L864" s="11">
        <f>IF(AND(ISNUMBER(H864),ISNUMBER(I864),H864&gt;0,ISNUMBER($B$94)),$B$94+3*SQRT($B$94*(1-$B$94)/H864),"")</f>
        <v/>
      </c>
      <c r="M864" s="13">
        <f>IF(AND(ISNUMBER(J864),ISNUMBER(K864),ISNUMBER(L864)),IF(J864&gt;L864,"boven UCL",IF(J864&lt;K864,"onder LCL","")),"")</f>
        <v/>
      </c>
      <c r="O864" t="n">
        <v>758</v>
      </c>
      <c r="P864" s="7" t="n"/>
      <c r="Q864" s="7" t="n"/>
      <c r="R864" s="11">
        <f>IF(AND(ISNUMBER(P864),ISNUMBER(Q864),P864&gt;0,ISNUMBER($B$100)),Q864/P864,"")</f>
        <v/>
      </c>
      <c r="S864" s="11">
        <f>IF(AND(ISNUMBER(P864),ISNUMBER(Q864),P864&gt;0,ISNUMBER($B$100)),MAX(0,$B$100-3*SQRT($B$100/P864)),"")</f>
        <v/>
      </c>
      <c r="T864" s="11">
        <f>IF(AND(ISNUMBER(P864),ISNUMBER(Q864),P864&gt;0,ISNUMBER($B$100)),$B$100+3*SQRT($B$100/P864),"")</f>
        <v/>
      </c>
      <c r="U864" s="13">
        <f>IF(AND(ISNUMBER(R864),ISNUMBER(S864),ISNUMBER(T864)),IF(R864&gt;T864,"boven UCL",IF(R864&lt;S864,"onder LCL","")),"")</f>
        <v/>
      </c>
    </row>
    <row r="865">
      <c r="A865" t="n">
        <v>759</v>
      </c>
      <c r="B865" s="7" t="n"/>
      <c r="C865" s="11">
        <f>IF(AND(ISNUMBER(B865),ISNUMBER(B864)),ABS(B865-B864),"")</f>
        <v/>
      </c>
      <c r="D865" s="13">
        <f>IF(AND(ISNUMBER(B865),ISNUMBER($B$88),ISNUMBER($D$88)),IF(B865&gt;$D$88,"boven UCL",IF(B865&lt;$B$88,"onder LCL","")),"")</f>
        <v/>
      </c>
      <c r="E865" s="13">
        <f>IF(AND(ISNUMBER(C865),ISNUMBER($B$89),ISNUMBER($D$89)),IF(C865&gt;$D$89,"boven UCL",IF(C865&lt;$B$89,"onder LCL","")),"")</f>
        <v/>
      </c>
      <c r="G865" t="n">
        <v>759</v>
      </c>
      <c r="H865" s="7" t="n"/>
      <c r="I865" s="7" t="n"/>
      <c r="J865" s="11">
        <f>IF(AND(ISNUMBER(H865),ISNUMBER(I865),H865&gt;0,ISNUMBER($B$94)),I865/H865,"")</f>
        <v/>
      </c>
      <c r="K865" s="11">
        <f>IF(AND(ISNUMBER(H865),ISNUMBER(I865),H865&gt;0,ISNUMBER($B$94)),MAX(0,$B$94-3*SQRT($B$94*(1-$B$94)/H865)),"")</f>
        <v/>
      </c>
      <c r="L865" s="11">
        <f>IF(AND(ISNUMBER(H865),ISNUMBER(I865),H865&gt;0,ISNUMBER($B$94)),$B$94+3*SQRT($B$94*(1-$B$94)/H865),"")</f>
        <v/>
      </c>
      <c r="M865" s="13">
        <f>IF(AND(ISNUMBER(J865),ISNUMBER(K865),ISNUMBER(L865)),IF(J865&gt;L865,"boven UCL",IF(J865&lt;K865,"onder LCL","")),"")</f>
        <v/>
      </c>
      <c r="O865" t="n">
        <v>759</v>
      </c>
      <c r="P865" s="7" t="n"/>
      <c r="Q865" s="7" t="n"/>
      <c r="R865" s="11">
        <f>IF(AND(ISNUMBER(P865),ISNUMBER(Q865),P865&gt;0,ISNUMBER($B$100)),Q865/P865,"")</f>
        <v/>
      </c>
      <c r="S865" s="11">
        <f>IF(AND(ISNUMBER(P865),ISNUMBER(Q865),P865&gt;0,ISNUMBER($B$100)),MAX(0,$B$100-3*SQRT($B$100/P865)),"")</f>
        <v/>
      </c>
      <c r="T865" s="11">
        <f>IF(AND(ISNUMBER(P865),ISNUMBER(Q865),P865&gt;0,ISNUMBER($B$100)),$B$100+3*SQRT($B$100/P865),"")</f>
        <v/>
      </c>
      <c r="U865" s="13">
        <f>IF(AND(ISNUMBER(R865),ISNUMBER(S865),ISNUMBER(T865)),IF(R865&gt;T865,"boven UCL",IF(R865&lt;S865,"onder LCL","")),"")</f>
        <v/>
      </c>
    </row>
    <row r="866">
      <c r="A866" t="n">
        <v>760</v>
      </c>
      <c r="B866" s="7" t="n"/>
      <c r="C866" s="11">
        <f>IF(AND(ISNUMBER(B866),ISNUMBER(B865)),ABS(B866-B865),"")</f>
        <v/>
      </c>
      <c r="D866" s="13">
        <f>IF(AND(ISNUMBER(B866),ISNUMBER($B$88),ISNUMBER($D$88)),IF(B866&gt;$D$88,"boven UCL",IF(B866&lt;$B$88,"onder LCL","")),"")</f>
        <v/>
      </c>
      <c r="E866" s="13">
        <f>IF(AND(ISNUMBER(C866),ISNUMBER($B$89),ISNUMBER($D$89)),IF(C866&gt;$D$89,"boven UCL",IF(C866&lt;$B$89,"onder LCL","")),"")</f>
        <v/>
      </c>
      <c r="G866" t="n">
        <v>760</v>
      </c>
      <c r="H866" s="7" t="n"/>
      <c r="I866" s="7" t="n"/>
      <c r="J866" s="11">
        <f>IF(AND(ISNUMBER(H866),ISNUMBER(I866),H866&gt;0,ISNUMBER($B$94)),I866/H866,"")</f>
        <v/>
      </c>
      <c r="K866" s="11">
        <f>IF(AND(ISNUMBER(H866),ISNUMBER(I866),H866&gt;0,ISNUMBER($B$94)),MAX(0,$B$94-3*SQRT($B$94*(1-$B$94)/H866)),"")</f>
        <v/>
      </c>
      <c r="L866" s="11">
        <f>IF(AND(ISNUMBER(H866),ISNUMBER(I866),H866&gt;0,ISNUMBER($B$94)),$B$94+3*SQRT($B$94*(1-$B$94)/H866),"")</f>
        <v/>
      </c>
      <c r="M866" s="13">
        <f>IF(AND(ISNUMBER(J866),ISNUMBER(K866),ISNUMBER(L866)),IF(J866&gt;L866,"boven UCL",IF(J866&lt;K866,"onder LCL","")),"")</f>
        <v/>
      </c>
      <c r="O866" t="n">
        <v>760</v>
      </c>
      <c r="P866" s="7" t="n"/>
      <c r="Q866" s="7" t="n"/>
      <c r="R866" s="11">
        <f>IF(AND(ISNUMBER(P866),ISNUMBER(Q866),P866&gt;0,ISNUMBER($B$100)),Q866/P866,"")</f>
        <v/>
      </c>
      <c r="S866" s="11">
        <f>IF(AND(ISNUMBER(P866),ISNUMBER(Q866),P866&gt;0,ISNUMBER($B$100)),MAX(0,$B$100-3*SQRT($B$100/P866)),"")</f>
        <v/>
      </c>
      <c r="T866" s="11">
        <f>IF(AND(ISNUMBER(P866),ISNUMBER(Q866),P866&gt;0,ISNUMBER($B$100)),$B$100+3*SQRT($B$100/P866),"")</f>
        <v/>
      </c>
      <c r="U866" s="13">
        <f>IF(AND(ISNUMBER(R866),ISNUMBER(S866),ISNUMBER(T866)),IF(R866&gt;T866,"boven UCL",IF(R866&lt;S866,"onder LCL","")),"")</f>
        <v/>
      </c>
    </row>
    <row r="867">
      <c r="A867" t="n">
        <v>761</v>
      </c>
      <c r="B867" s="7" t="n"/>
      <c r="C867" s="11">
        <f>IF(AND(ISNUMBER(B867),ISNUMBER(B866)),ABS(B867-B866),"")</f>
        <v/>
      </c>
      <c r="D867" s="13">
        <f>IF(AND(ISNUMBER(B867),ISNUMBER($B$88),ISNUMBER($D$88)),IF(B867&gt;$D$88,"boven UCL",IF(B867&lt;$B$88,"onder LCL","")),"")</f>
        <v/>
      </c>
      <c r="E867" s="13">
        <f>IF(AND(ISNUMBER(C867),ISNUMBER($B$89),ISNUMBER($D$89)),IF(C867&gt;$D$89,"boven UCL",IF(C867&lt;$B$89,"onder LCL","")),"")</f>
        <v/>
      </c>
      <c r="G867" t="n">
        <v>761</v>
      </c>
      <c r="H867" s="7" t="n"/>
      <c r="I867" s="7" t="n"/>
      <c r="J867" s="11">
        <f>IF(AND(ISNUMBER(H867),ISNUMBER(I867),H867&gt;0,ISNUMBER($B$94)),I867/H867,"")</f>
        <v/>
      </c>
      <c r="K867" s="11">
        <f>IF(AND(ISNUMBER(H867),ISNUMBER(I867),H867&gt;0,ISNUMBER($B$94)),MAX(0,$B$94-3*SQRT($B$94*(1-$B$94)/H867)),"")</f>
        <v/>
      </c>
      <c r="L867" s="11">
        <f>IF(AND(ISNUMBER(H867),ISNUMBER(I867),H867&gt;0,ISNUMBER($B$94)),$B$94+3*SQRT($B$94*(1-$B$94)/H867),"")</f>
        <v/>
      </c>
      <c r="M867" s="13">
        <f>IF(AND(ISNUMBER(J867),ISNUMBER(K867),ISNUMBER(L867)),IF(J867&gt;L867,"boven UCL",IF(J867&lt;K867,"onder LCL","")),"")</f>
        <v/>
      </c>
      <c r="O867" t="n">
        <v>761</v>
      </c>
      <c r="P867" s="7" t="n"/>
      <c r="Q867" s="7" t="n"/>
      <c r="R867" s="11">
        <f>IF(AND(ISNUMBER(P867),ISNUMBER(Q867),P867&gt;0,ISNUMBER($B$100)),Q867/P867,"")</f>
        <v/>
      </c>
      <c r="S867" s="11">
        <f>IF(AND(ISNUMBER(P867),ISNUMBER(Q867),P867&gt;0,ISNUMBER($B$100)),MAX(0,$B$100-3*SQRT($B$100/P867)),"")</f>
        <v/>
      </c>
      <c r="T867" s="11">
        <f>IF(AND(ISNUMBER(P867),ISNUMBER(Q867),P867&gt;0,ISNUMBER($B$100)),$B$100+3*SQRT($B$100/P867),"")</f>
        <v/>
      </c>
      <c r="U867" s="13">
        <f>IF(AND(ISNUMBER(R867),ISNUMBER(S867),ISNUMBER(T867)),IF(R867&gt;T867,"boven UCL",IF(R867&lt;S867,"onder LCL","")),"")</f>
        <v/>
      </c>
    </row>
    <row r="868">
      <c r="A868" t="n">
        <v>762</v>
      </c>
      <c r="B868" s="7" t="n"/>
      <c r="C868" s="11">
        <f>IF(AND(ISNUMBER(B868),ISNUMBER(B867)),ABS(B868-B867),"")</f>
        <v/>
      </c>
      <c r="D868" s="13">
        <f>IF(AND(ISNUMBER(B868),ISNUMBER($B$88),ISNUMBER($D$88)),IF(B868&gt;$D$88,"boven UCL",IF(B868&lt;$B$88,"onder LCL","")),"")</f>
        <v/>
      </c>
      <c r="E868" s="13">
        <f>IF(AND(ISNUMBER(C868),ISNUMBER($B$89),ISNUMBER($D$89)),IF(C868&gt;$D$89,"boven UCL",IF(C868&lt;$B$89,"onder LCL","")),"")</f>
        <v/>
      </c>
      <c r="G868" t="n">
        <v>762</v>
      </c>
      <c r="H868" s="7" t="n"/>
      <c r="I868" s="7" t="n"/>
      <c r="J868" s="11">
        <f>IF(AND(ISNUMBER(H868),ISNUMBER(I868),H868&gt;0,ISNUMBER($B$94)),I868/H868,"")</f>
        <v/>
      </c>
      <c r="K868" s="11">
        <f>IF(AND(ISNUMBER(H868),ISNUMBER(I868),H868&gt;0,ISNUMBER($B$94)),MAX(0,$B$94-3*SQRT($B$94*(1-$B$94)/H868)),"")</f>
        <v/>
      </c>
      <c r="L868" s="11">
        <f>IF(AND(ISNUMBER(H868),ISNUMBER(I868),H868&gt;0,ISNUMBER($B$94)),$B$94+3*SQRT($B$94*(1-$B$94)/H868),"")</f>
        <v/>
      </c>
      <c r="M868" s="13">
        <f>IF(AND(ISNUMBER(J868),ISNUMBER(K868),ISNUMBER(L868)),IF(J868&gt;L868,"boven UCL",IF(J868&lt;K868,"onder LCL","")),"")</f>
        <v/>
      </c>
      <c r="O868" t="n">
        <v>762</v>
      </c>
      <c r="P868" s="7" t="n"/>
      <c r="Q868" s="7" t="n"/>
      <c r="R868" s="11">
        <f>IF(AND(ISNUMBER(P868),ISNUMBER(Q868),P868&gt;0,ISNUMBER($B$100)),Q868/P868,"")</f>
        <v/>
      </c>
      <c r="S868" s="11">
        <f>IF(AND(ISNUMBER(P868),ISNUMBER(Q868),P868&gt;0,ISNUMBER($B$100)),MAX(0,$B$100-3*SQRT($B$100/P868)),"")</f>
        <v/>
      </c>
      <c r="T868" s="11">
        <f>IF(AND(ISNUMBER(P868),ISNUMBER(Q868),P868&gt;0,ISNUMBER($B$100)),$B$100+3*SQRT($B$100/P868),"")</f>
        <v/>
      </c>
      <c r="U868" s="13">
        <f>IF(AND(ISNUMBER(R868),ISNUMBER(S868),ISNUMBER(T868)),IF(R868&gt;T868,"boven UCL",IF(R868&lt;S868,"onder LCL","")),"")</f>
        <v/>
      </c>
    </row>
    <row r="869">
      <c r="A869" t="n">
        <v>763</v>
      </c>
      <c r="B869" s="7" t="n"/>
      <c r="C869" s="11">
        <f>IF(AND(ISNUMBER(B869),ISNUMBER(B868)),ABS(B869-B868),"")</f>
        <v/>
      </c>
      <c r="D869" s="13">
        <f>IF(AND(ISNUMBER(B869),ISNUMBER($B$88),ISNUMBER($D$88)),IF(B869&gt;$D$88,"boven UCL",IF(B869&lt;$B$88,"onder LCL","")),"")</f>
        <v/>
      </c>
      <c r="E869" s="13">
        <f>IF(AND(ISNUMBER(C869),ISNUMBER($B$89),ISNUMBER($D$89)),IF(C869&gt;$D$89,"boven UCL",IF(C869&lt;$B$89,"onder LCL","")),"")</f>
        <v/>
      </c>
      <c r="G869" t="n">
        <v>763</v>
      </c>
      <c r="H869" s="7" t="n"/>
      <c r="I869" s="7" t="n"/>
      <c r="J869" s="11">
        <f>IF(AND(ISNUMBER(H869),ISNUMBER(I869),H869&gt;0,ISNUMBER($B$94)),I869/H869,"")</f>
        <v/>
      </c>
      <c r="K869" s="11">
        <f>IF(AND(ISNUMBER(H869),ISNUMBER(I869),H869&gt;0,ISNUMBER($B$94)),MAX(0,$B$94-3*SQRT($B$94*(1-$B$94)/H869)),"")</f>
        <v/>
      </c>
      <c r="L869" s="11">
        <f>IF(AND(ISNUMBER(H869),ISNUMBER(I869),H869&gt;0,ISNUMBER($B$94)),$B$94+3*SQRT($B$94*(1-$B$94)/H869),"")</f>
        <v/>
      </c>
      <c r="M869" s="13">
        <f>IF(AND(ISNUMBER(J869),ISNUMBER(K869),ISNUMBER(L869)),IF(J869&gt;L869,"boven UCL",IF(J869&lt;K869,"onder LCL","")),"")</f>
        <v/>
      </c>
      <c r="O869" t="n">
        <v>763</v>
      </c>
      <c r="P869" s="7" t="n"/>
      <c r="Q869" s="7" t="n"/>
      <c r="R869" s="11">
        <f>IF(AND(ISNUMBER(P869),ISNUMBER(Q869),P869&gt;0,ISNUMBER($B$100)),Q869/P869,"")</f>
        <v/>
      </c>
      <c r="S869" s="11">
        <f>IF(AND(ISNUMBER(P869),ISNUMBER(Q869),P869&gt;0,ISNUMBER($B$100)),MAX(0,$B$100-3*SQRT($B$100/P869)),"")</f>
        <v/>
      </c>
      <c r="T869" s="11">
        <f>IF(AND(ISNUMBER(P869),ISNUMBER(Q869),P869&gt;0,ISNUMBER($B$100)),$B$100+3*SQRT($B$100/P869),"")</f>
        <v/>
      </c>
      <c r="U869" s="13">
        <f>IF(AND(ISNUMBER(R869),ISNUMBER(S869),ISNUMBER(T869)),IF(R869&gt;T869,"boven UCL",IF(R869&lt;S869,"onder LCL","")),"")</f>
        <v/>
      </c>
    </row>
    <row r="870">
      <c r="A870" t="n">
        <v>764</v>
      </c>
      <c r="B870" s="7" t="n"/>
      <c r="C870" s="11">
        <f>IF(AND(ISNUMBER(B870),ISNUMBER(B869)),ABS(B870-B869),"")</f>
        <v/>
      </c>
      <c r="D870" s="13">
        <f>IF(AND(ISNUMBER(B870),ISNUMBER($B$88),ISNUMBER($D$88)),IF(B870&gt;$D$88,"boven UCL",IF(B870&lt;$B$88,"onder LCL","")),"")</f>
        <v/>
      </c>
      <c r="E870" s="13">
        <f>IF(AND(ISNUMBER(C870),ISNUMBER($B$89),ISNUMBER($D$89)),IF(C870&gt;$D$89,"boven UCL",IF(C870&lt;$B$89,"onder LCL","")),"")</f>
        <v/>
      </c>
      <c r="G870" t="n">
        <v>764</v>
      </c>
      <c r="H870" s="7" t="n"/>
      <c r="I870" s="7" t="n"/>
      <c r="J870" s="11">
        <f>IF(AND(ISNUMBER(H870),ISNUMBER(I870),H870&gt;0,ISNUMBER($B$94)),I870/H870,"")</f>
        <v/>
      </c>
      <c r="K870" s="11">
        <f>IF(AND(ISNUMBER(H870),ISNUMBER(I870),H870&gt;0,ISNUMBER($B$94)),MAX(0,$B$94-3*SQRT($B$94*(1-$B$94)/H870)),"")</f>
        <v/>
      </c>
      <c r="L870" s="11">
        <f>IF(AND(ISNUMBER(H870),ISNUMBER(I870),H870&gt;0,ISNUMBER($B$94)),$B$94+3*SQRT($B$94*(1-$B$94)/H870),"")</f>
        <v/>
      </c>
      <c r="M870" s="13">
        <f>IF(AND(ISNUMBER(J870),ISNUMBER(K870),ISNUMBER(L870)),IF(J870&gt;L870,"boven UCL",IF(J870&lt;K870,"onder LCL","")),"")</f>
        <v/>
      </c>
      <c r="O870" t="n">
        <v>764</v>
      </c>
      <c r="P870" s="7" t="n"/>
      <c r="Q870" s="7" t="n"/>
      <c r="R870" s="11">
        <f>IF(AND(ISNUMBER(P870),ISNUMBER(Q870),P870&gt;0,ISNUMBER($B$100)),Q870/P870,"")</f>
        <v/>
      </c>
      <c r="S870" s="11">
        <f>IF(AND(ISNUMBER(P870),ISNUMBER(Q870),P870&gt;0,ISNUMBER($B$100)),MAX(0,$B$100-3*SQRT($B$100/P870)),"")</f>
        <v/>
      </c>
      <c r="T870" s="11">
        <f>IF(AND(ISNUMBER(P870),ISNUMBER(Q870),P870&gt;0,ISNUMBER($B$100)),$B$100+3*SQRT($B$100/P870),"")</f>
        <v/>
      </c>
      <c r="U870" s="13">
        <f>IF(AND(ISNUMBER(R870),ISNUMBER(S870),ISNUMBER(T870)),IF(R870&gt;T870,"boven UCL",IF(R870&lt;S870,"onder LCL","")),"")</f>
        <v/>
      </c>
    </row>
    <row r="871">
      <c r="A871" t="n">
        <v>765</v>
      </c>
      <c r="B871" s="7" t="n"/>
      <c r="C871" s="11">
        <f>IF(AND(ISNUMBER(B871),ISNUMBER(B870)),ABS(B871-B870),"")</f>
        <v/>
      </c>
      <c r="D871" s="13">
        <f>IF(AND(ISNUMBER(B871),ISNUMBER($B$88),ISNUMBER($D$88)),IF(B871&gt;$D$88,"boven UCL",IF(B871&lt;$B$88,"onder LCL","")),"")</f>
        <v/>
      </c>
      <c r="E871" s="13">
        <f>IF(AND(ISNUMBER(C871),ISNUMBER($B$89),ISNUMBER($D$89)),IF(C871&gt;$D$89,"boven UCL",IF(C871&lt;$B$89,"onder LCL","")),"")</f>
        <v/>
      </c>
      <c r="G871" t="n">
        <v>765</v>
      </c>
      <c r="H871" s="7" t="n"/>
      <c r="I871" s="7" t="n"/>
      <c r="J871" s="11">
        <f>IF(AND(ISNUMBER(H871),ISNUMBER(I871),H871&gt;0,ISNUMBER($B$94)),I871/H871,"")</f>
        <v/>
      </c>
      <c r="K871" s="11">
        <f>IF(AND(ISNUMBER(H871),ISNUMBER(I871),H871&gt;0,ISNUMBER($B$94)),MAX(0,$B$94-3*SQRT($B$94*(1-$B$94)/H871)),"")</f>
        <v/>
      </c>
      <c r="L871" s="11">
        <f>IF(AND(ISNUMBER(H871),ISNUMBER(I871),H871&gt;0,ISNUMBER($B$94)),$B$94+3*SQRT($B$94*(1-$B$94)/H871),"")</f>
        <v/>
      </c>
      <c r="M871" s="13">
        <f>IF(AND(ISNUMBER(J871),ISNUMBER(K871),ISNUMBER(L871)),IF(J871&gt;L871,"boven UCL",IF(J871&lt;K871,"onder LCL","")),"")</f>
        <v/>
      </c>
      <c r="O871" t="n">
        <v>765</v>
      </c>
      <c r="P871" s="7" t="n"/>
      <c r="Q871" s="7" t="n"/>
      <c r="R871" s="11">
        <f>IF(AND(ISNUMBER(P871),ISNUMBER(Q871),P871&gt;0,ISNUMBER($B$100)),Q871/P871,"")</f>
        <v/>
      </c>
      <c r="S871" s="11">
        <f>IF(AND(ISNUMBER(P871),ISNUMBER(Q871),P871&gt;0,ISNUMBER($B$100)),MAX(0,$B$100-3*SQRT($B$100/P871)),"")</f>
        <v/>
      </c>
      <c r="T871" s="11">
        <f>IF(AND(ISNUMBER(P871),ISNUMBER(Q871),P871&gt;0,ISNUMBER($B$100)),$B$100+3*SQRT($B$100/P871),"")</f>
        <v/>
      </c>
      <c r="U871" s="13">
        <f>IF(AND(ISNUMBER(R871),ISNUMBER(S871),ISNUMBER(T871)),IF(R871&gt;T871,"boven UCL",IF(R871&lt;S871,"onder LCL","")),"")</f>
        <v/>
      </c>
    </row>
    <row r="872">
      <c r="A872" t="n">
        <v>766</v>
      </c>
      <c r="B872" s="7" t="n"/>
      <c r="C872" s="11">
        <f>IF(AND(ISNUMBER(B872),ISNUMBER(B871)),ABS(B872-B871),"")</f>
        <v/>
      </c>
      <c r="D872" s="13">
        <f>IF(AND(ISNUMBER(B872),ISNUMBER($B$88),ISNUMBER($D$88)),IF(B872&gt;$D$88,"boven UCL",IF(B872&lt;$B$88,"onder LCL","")),"")</f>
        <v/>
      </c>
      <c r="E872" s="13">
        <f>IF(AND(ISNUMBER(C872),ISNUMBER($B$89),ISNUMBER($D$89)),IF(C872&gt;$D$89,"boven UCL",IF(C872&lt;$B$89,"onder LCL","")),"")</f>
        <v/>
      </c>
      <c r="G872" t="n">
        <v>766</v>
      </c>
      <c r="H872" s="7" t="n"/>
      <c r="I872" s="7" t="n"/>
      <c r="J872" s="11">
        <f>IF(AND(ISNUMBER(H872),ISNUMBER(I872),H872&gt;0,ISNUMBER($B$94)),I872/H872,"")</f>
        <v/>
      </c>
      <c r="K872" s="11">
        <f>IF(AND(ISNUMBER(H872),ISNUMBER(I872),H872&gt;0,ISNUMBER($B$94)),MAX(0,$B$94-3*SQRT($B$94*(1-$B$94)/H872)),"")</f>
        <v/>
      </c>
      <c r="L872" s="11">
        <f>IF(AND(ISNUMBER(H872),ISNUMBER(I872),H872&gt;0,ISNUMBER($B$94)),$B$94+3*SQRT($B$94*(1-$B$94)/H872),"")</f>
        <v/>
      </c>
      <c r="M872" s="13">
        <f>IF(AND(ISNUMBER(J872),ISNUMBER(K872),ISNUMBER(L872)),IF(J872&gt;L872,"boven UCL",IF(J872&lt;K872,"onder LCL","")),"")</f>
        <v/>
      </c>
      <c r="O872" t="n">
        <v>766</v>
      </c>
      <c r="P872" s="7" t="n"/>
      <c r="Q872" s="7" t="n"/>
      <c r="R872" s="11">
        <f>IF(AND(ISNUMBER(P872),ISNUMBER(Q872),P872&gt;0,ISNUMBER($B$100)),Q872/P872,"")</f>
        <v/>
      </c>
      <c r="S872" s="11">
        <f>IF(AND(ISNUMBER(P872),ISNUMBER(Q872),P872&gt;0,ISNUMBER($B$100)),MAX(0,$B$100-3*SQRT($B$100/P872)),"")</f>
        <v/>
      </c>
      <c r="T872" s="11">
        <f>IF(AND(ISNUMBER(P872),ISNUMBER(Q872),P872&gt;0,ISNUMBER($B$100)),$B$100+3*SQRT($B$100/P872),"")</f>
        <v/>
      </c>
      <c r="U872" s="13">
        <f>IF(AND(ISNUMBER(R872),ISNUMBER(S872),ISNUMBER(T872)),IF(R872&gt;T872,"boven UCL",IF(R872&lt;S872,"onder LCL","")),"")</f>
        <v/>
      </c>
    </row>
    <row r="873">
      <c r="A873" t="n">
        <v>767</v>
      </c>
      <c r="B873" s="7" t="n"/>
      <c r="C873" s="11">
        <f>IF(AND(ISNUMBER(B873),ISNUMBER(B872)),ABS(B873-B872),"")</f>
        <v/>
      </c>
      <c r="D873" s="13">
        <f>IF(AND(ISNUMBER(B873),ISNUMBER($B$88),ISNUMBER($D$88)),IF(B873&gt;$D$88,"boven UCL",IF(B873&lt;$B$88,"onder LCL","")),"")</f>
        <v/>
      </c>
      <c r="E873" s="13">
        <f>IF(AND(ISNUMBER(C873),ISNUMBER($B$89),ISNUMBER($D$89)),IF(C873&gt;$D$89,"boven UCL",IF(C873&lt;$B$89,"onder LCL","")),"")</f>
        <v/>
      </c>
      <c r="G873" t="n">
        <v>767</v>
      </c>
      <c r="H873" s="7" t="n"/>
      <c r="I873" s="7" t="n"/>
      <c r="J873" s="11">
        <f>IF(AND(ISNUMBER(H873),ISNUMBER(I873),H873&gt;0,ISNUMBER($B$94)),I873/H873,"")</f>
        <v/>
      </c>
      <c r="K873" s="11">
        <f>IF(AND(ISNUMBER(H873),ISNUMBER(I873),H873&gt;0,ISNUMBER($B$94)),MAX(0,$B$94-3*SQRT($B$94*(1-$B$94)/H873)),"")</f>
        <v/>
      </c>
      <c r="L873" s="11">
        <f>IF(AND(ISNUMBER(H873),ISNUMBER(I873),H873&gt;0,ISNUMBER($B$94)),$B$94+3*SQRT($B$94*(1-$B$94)/H873),"")</f>
        <v/>
      </c>
      <c r="M873" s="13">
        <f>IF(AND(ISNUMBER(J873),ISNUMBER(K873),ISNUMBER(L873)),IF(J873&gt;L873,"boven UCL",IF(J873&lt;K873,"onder LCL","")),"")</f>
        <v/>
      </c>
      <c r="O873" t="n">
        <v>767</v>
      </c>
      <c r="P873" s="7" t="n"/>
      <c r="Q873" s="7" t="n"/>
      <c r="R873" s="11">
        <f>IF(AND(ISNUMBER(P873),ISNUMBER(Q873),P873&gt;0,ISNUMBER($B$100)),Q873/P873,"")</f>
        <v/>
      </c>
      <c r="S873" s="11">
        <f>IF(AND(ISNUMBER(P873),ISNUMBER(Q873),P873&gt;0,ISNUMBER($B$100)),MAX(0,$B$100-3*SQRT($B$100/P873)),"")</f>
        <v/>
      </c>
      <c r="T873" s="11">
        <f>IF(AND(ISNUMBER(P873),ISNUMBER(Q873),P873&gt;0,ISNUMBER($B$100)),$B$100+3*SQRT($B$100/P873),"")</f>
        <v/>
      </c>
      <c r="U873" s="13">
        <f>IF(AND(ISNUMBER(R873),ISNUMBER(S873),ISNUMBER(T873)),IF(R873&gt;T873,"boven UCL",IF(R873&lt;S873,"onder LCL","")),"")</f>
        <v/>
      </c>
    </row>
    <row r="874">
      <c r="A874" t="n">
        <v>768</v>
      </c>
      <c r="B874" s="7" t="n"/>
      <c r="C874" s="11">
        <f>IF(AND(ISNUMBER(B874),ISNUMBER(B873)),ABS(B874-B873),"")</f>
        <v/>
      </c>
      <c r="D874" s="13">
        <f>IF(AND(ISNUMBER(B874),ISNUMBER($B$88),ISNUMBER($D$88)),IF(B874&gt;$D$88,"boven UCL",IF(B874&lt;$B$88,"onder LCL","")),"")</f>
        <v/>
      </c>
      <c r="E874" s="13">
        <f>IF(AND(ISNUMBER(C874),ISNUMBER($B$89),ISNUMBER($D$89)),IF(C874&gt;$D$89,"boven UCL",IF(C874&lt;$B$89,"onder LCL","")),"")</f>
        <v/>
      </c>
      <c r="G874" t="n">
        <v>768</v>
      </c>
      <c r="H874" s="7" t="n"/>
      <c r="I874" s="7" t="n"/>
      <c r="J874" s="11">
        <f>IF(AND(ISNUMBER(H874),ISNUMBER(I874),H874&gt;0,ISNUMBER($B$94)),I874/H874,"")</f>
        <v/>
      </c>
      <c r="K874" s="11">
        <f>IF(AND(ISNUMBER(H874),ISNUMBER(I874),H874&gt;0,ISNUMBER($B$94)),MAX(0,$B$94-3*SQRT($B$94*(1-$B$94)/H874)),"")</f>
        <v/>
      </c>
      <c r="L874" s="11">
        <f>IF(AND(ISNUMBER(H874),ISNUMBER(I874),H874&gt;0,ISNUMBER($B$94)),$B$94+3*SQRT($B$94*(1-$B$94)/H874),"")</f>
        <v/>
      </c>
      <c r="M874" s="13">
        <f>IF(AND(ISNUMBER(J874),ISNUMBER(K874),ISNUMBER(L874)),IF(J874&gt;L874,"boven UCL",IF(J874&lt;K874,"onder LCL","")),"")</f>
        <v/>
      </c>
      <c r="O874" t="n">
        <v>768</v>
      </c>
      <c r="P874" s="7" t="n"/>
      <c r="Q874" s="7" t="n"/>
      <c r="R874" s="11">
        <f>IF(AND(ISNUMBER(P874),ISNUMBER(Q874),P874&gt;0,ISNUMBER($B$100)),Q874/P874,"")</f>
        <v/>
      </c>
      <c r="S874" s="11">
        <f>IF(AND(ISNUMBER(P874),ISNUMBER(Q874),P874&gt;0,ISNUMBER($B$100)),MAX(0,$B$100-3*SQRT($B$100/P874)),"")</f>
        <v/>
      </c>
      <c r="T874" s="11">
        <f>IF(AND(ISNUMBER(P874),ISNUMBER(Q874),P874&gt;0,ISNUMBER($B$100)),$B$100+3*SQRT($B$100/P874),"")</f>
        <v/>
      </c>
      <c r="U874" s="13">
        <f>IF(AND(ISNUMBER(R874),ISNUMBER(S874),ISNUMBER(T874)),IF(R874&gt;T874,"boven UCL",IF(R874&lt;S874,"onder LCL","")),"")</f>
        <v/>
      </c>
    </row>
    <row r="875">
      <c r="A875" t="n">
        <v>769</v>
      </c>
      <c r="B875" s="7" t="n"/>
      <c r="C875" s="11">
        <f>IF(AND(ISNUMBER(B875),ISNUMBER(B874)),ABS(B875-B874),"")</f>
        <v/>
      </c>
      <c r="D875" s="13">
        <f>IF(AND(ISNUMBER(B875),ISNUMBER($B$88),ISNUMBER($D$88)),IF(B875&gt;$D$88,"boven UCL",IF(B875&lt;$B$88,"onder LCL","")),"")</f>
        <v/>
      </c>
      <c r="E875" s="13">
        <f>IF(AND(ISNUMBER(C875),ISNUMBER($B$89),ISNUMBER($D$89)),IF(C875&gt;$D$89,"boven UCL",IF(C875&lt;$B$89,"onder LCL","")),"")</f>
        <v/>
      </c>
      <c r="G875" t="n">
        <v>769</v>
      </c>
      <c r="H875" s="7" t="n"/>
      <c r="I875" s="7" t="n"/>
      <c r="J875" s="11">
        <f>IF(AND(ISNUMBER(H875),ISNUMBER(I875),H875&gt;0,ISNUMBER($B$94)),I875/H875,"")</f>
        <v/>
      </c>
      <c r="K875" s="11">
        <f>IF(AND(ISNUMBER(H875),ISNUMBER(I875),H875&gt;0,ISNUMBER($B$94)),MAX(0,$B$94-3*SQRT($B$94*(1-$B$94)/H875)),"")</f>
        <v/>
      </c>
      <c r="L875" s="11">
        <f>IF(AND(ISNUMBER(H875),ISNUMBER(I875),H875&gt;0,ISNUMBER($B$94)),$B$94+3*SQRT($B$94*(1-$B$94)/H875),"")</f>
        <v/>
      </c>
      <c r="M875" s="13">
        <f>IF(AND(ISNUMBER(J875),ISNUMBER(K875),ISNUMBER(L875)),IF(J875&gt;L875,"boven UCL",IF(J875&lt;K875,"onder LCL","")),"")</f>
        <v/>
      </c>
      <c r="O875" t="n">
        <v>769</v>
      </c>
      <c r="P875" s="7" t="n"/>
      <c r="Q875" s="7" t="n"/>
      <c r="R875" s="11">
        <f>IF(AND(ISNUMBER(P875),ISNUMBER(Q875),P875&gt;0,ISNUMBER($B$100)),Q875/P875,"")</f>
        <v/>
      </c>
      <c r="S875" s="11">
        <f>IF(AND(ISNUMBER(P875),ISNUMBER(Q875),P875&gt;0,ISNUMBER($B$100)),MAX(0,$B$100-3*SQRT($B$100/P875)),"")</f>
        <v/>
      </c>
      <c r="T875" s="11">
        <f>IF(AND(ISNUMBER(P875),ISNUMBER(Q875),P875&gt;0,ISNUMBER($B$100)),$B$100+3*SQRT($B$100/P875),"")</f>
        <v/>
      </c>
      <c r="U875" s="13">
        <f>IF(AND(ISNUMBER(R875),ISNUMBER(S875),ISNUMBER(T875)),IF(R875&gt;T875,"boven UCL",IF(R875&lt;S875,"onder LCL","")),"")</f>
        <v/>
      </c>
    </row>
    <row r="876">
      <c r="A876" t="n">
        <v>770</v>
      </c>
      <c r="B876" s="7" t="n"/>
      <c r="C876" s="11">
        <f>IF(AND(ISNUMBER(B876),ISNUMBER(B875)),ABS(B876-B875),"")</f>
        <v/>
      </c>
      <c r="D876" s="13">
        <f>IF(AND(ISNUMBER(B876),ISNUMBER($B$88),ISNUMBER($D$88)),IF(B876&gt;$D$88,"boven UCL",IF(B876&lt;$B$88,"onder LCL","")),"")</f>
        <v/>
      </c>
      <c r="E876" s="13">
        <f>IF(AND(ISNUMBER(C876),ISNUMBER($B$89),ISNUMBER($D$89)),IF(C876&gt;$D$89,"boven UCL",IF(C876&lt;$B$89,"onder LCL","")),"")</f>
        <v/>
      </c>
      <c r="G876" t="n">
        <v>770</v>
      </c>
      <c r="H876" s="7" t="n"/>
      <c r="I876" s="7" t="n"/>
      <c r="J876" s="11">
        <f>IF(AND(ISNUMBER(H876),ISNUMBER(I876),H876&gt;0,ISNUMBER($B$94)),I876/H876,"")</f>
        <v/>
      </c>
      <c r="K876" s="11">
        <f>IF(AND(ISNUMBER(H876),ISNUMBER(I876),H876&gt;0,ISNUMBER($B$94)),MAX(0,$B$94-3*SQRT($B$94*(1-$B$94)/H876)),"")</f>
        <v/>
      </c>
      <c r="L876" s="11">
        <f>IF(AND(ISNUMBER(H876),ISNUMBER(I876),H876&gt;0,ISNUMBER($B$94)),$B$94+3*SQRT($B$94*(1-$B$94)/H876),"")</f>
        <v/>
      </c>
      <c r="M876" s="13">
        <f>IF(AND(ISNUMBER(J876),ISNUMBER(K876),ISNUMBER(L876)),IF(J876&gt;L876,"boven UCL",IF(J876&lt;K876,"onder LCL","")),"")</f>
        <v/>
      </c>
      <c r="O876" t="n">
        <v>770</v>
      </c>
      <c r="P876" s="7" t="n"/>
      <c r="Q876" s="7" t="n"/>
      <c r="R876" s="11">
        <f>IF(AND(ISNUMBER(P876),ISNUMBER(Q876),P876&gt;0,ISNUMBER($B$100)),Q876/P876,"")</f>
        <v/>
      </c>
      <c r="S876" s="11">
        <f>IF(AND(ISNUMBER(P876),ISNUMBER(Q876),P876&gt;0,ISNUMBER($B$100)),MAX(0,$B$100-3*SQRT($B$100/P876)),"")</f>
        <v/>
      </c>
      <c r="T876" s="11">
        <f>IF(AND(ISNUMBER(P876),ISNUMBER(Q876),P876&gt;0,ISNUMBER($B$100)),$B$100+3*SQRT($B$100/P876),"")</f>
        <v/>
      </c>
      <c r="U876" s="13">
        <f>IF(AND(ISNUMBER(R876),ISNUMBER(S876),ISNUMBER(T876)),IF(R876&gt;T876,"boven UCL",IF(R876&lt;S876,"onder LCL","")),"")</f>
        <v/>
      </c>
    </row>
    <row r="877">
      <c r="A877" t="n">
        <v>771</v>
      </c>
      <c r="B877" s="7" t="n"/>
      <c r="C877" s="11">
        <f>IF(AND(ISNUMBER(B877),ISNUMBER(B876)),ABS(B877-B876),"")</f>
        <v/>
      </c>
      <c r="D877" s="13">
        <f>IF(AND(ISNUMBER(B877),ISNUMBER($B$88),ISNUMBER($D$88)),IF(B877&gt;$D$88,"boven UCL",IF(B877&lt;$B$88,"onder LCL","")),"")</f>
        <v/>
      </c>
      <c r="E877" s="13">
        <f>IF(AND(ISNUMBER(C877),ISNUMBER($B$89),ISNUMBER($D$89)),IF(C877&gt;$D$89,"boven UCL",IF(C877&lt;$B$89,"onder LCL","")),"")</f>
        <v/>
      </c>
      <c r="G877" t="n">
        <v>771</v>
      </c>
      <c r="H877" s="7" t="n"/>
      <c r="I877" s="7" t="n"/>
      <c r="J877" s="11">
        <f>IF(AND(ISNUMBER(H877),ISNUMBER(I877),H877&gt;0,ISNUMBER($B$94)),I877/H877,"")</f>
        <v/>
      </c>
      <c r="K877" s="11">
        <f>IF(AND(ISNUMBER(H877),ISNUMBER(I877),H877&gt;0,ISNUMBER($B$94)),MAX(0,$B$94-3*SQRT($B$94*(1-$B$94)/H877)),"")</f>
        <v/>
      </c>
      <c r="L877" s="11">
        <f>IF(AND(ISNUMBER(H877),ISNUMBER(I877),H877&gt;0,ISNUMBER($B$94)),$B$94+3*SQRT($B$94*(1-$B$94)/H877),"")</f>
        <v/>
      </c>
      <c r="M877" s="13">
        <f>IF(AND(ISNUMBER(J877),ISNUMBER(K877),ISNUMBER(L877)),IF(J877&gt;L877,"boven UCL",IF(J877&lt;K877,"onder LCL","")),"")</f>
        <v/>
      </c>
      <c r="O877" t="n">
        <v>771</v>
      </c>
      <c r="P877" s="7" t="n"/>
      <c r="Q877" s="7" t="n"/>
      <c r="R877" s="11">
        <f>IF(AND(ISNUMBER(P877),ISNUMBER(Q877),P877&gt;0,ISNUMBER($B$100)),Q877/P877,"")</f>
        <v/>
      </c>
      <c r="S877" s="11">
        <f>IF(AND(ISNUMBER(P877),ISNUMBER(Q877),P877&gt;0,ISNUMBER($B$100)),MAX(0,$B$100-3*SQRT($B$100/P877)),"")</f>
        <v/>
      </c>
      <c r="T877" s="11">
        <f>IF(AND(ISNUMBER(P877),ISNUMBER(Q877),P877&gt;0,ISNUMBER($B$100)),$B$100+3*SQRT($B$100/P877),"")</f>
        <v/>
      </c>
      <c r="U877" s="13">
        <f>IF(AND(ISNUMBER(R877),ISNUMBER(S877),ISNUMBER(T877)),IF(R877&gt;T877,"boven UCL",IF(R877&lt;S877,"onder LCL","")),"")</f>
        <v/>
      </c>
    </row>
    <row r="878">
      <c r="A878" t="n">
        <v>772</v>
      </c>
      <c r="B878" s="7" t="n"/>
      <c r="C878" s="11">
        <f>IF(AND(ISNUMBER(B878),ISNUMBER(B877)),ABS(B878-B877),"")</f>
        <v/>
      </c>
      <c r="D878" s="13">
        <f>IF(AND(ISNUMBER(B878),ISNUMBER($B$88),ISNUMBER($D$88)),IF(B878&gt;$D$88,"boven UCL",IF(B878&lt;$B$88,"onder LCL","")),"")</f>
        <v/>
      </c>
      <c r="E878" s="13">
        <f>IF(AND(ISNUMBER(C878),ISNUMBER($B$89),ISNUMBER($D$89)),IF(C878&gt;$D$89,"boven UCL",IF(C878&lt;$B$89,"onder LCL","")),"")</f>
        <v/>
      </c>
      <c r="G878" t="n">
        <v>772</v>
      </c>
      <c r="H878" s="7" t="n"/>
      <c r="I878" s="7" t="n"/>
      <c r="J878" s="11">
        <f>IF(AND(ISNUMBER(H878),ISNUMBER(I878),H878&gt;0,ISNUMBER($B$94)),I878/H878,"")</f>
        <v/>
      </c>
      <c r="K878" s="11">
        <f>IF(AND(ISNUMBER(H878),ISNUMBER(I878),H878&gt;0,ISNUMBER($B$94)),MAX(0,$B$94-3*SQRT($B$94*(1-$B$94)/H878)),"")</f>
        <v/>
      </c>
      <c r="L878" s="11">
        <f>IF(AND(ISNUMBER(H878),ISNUMBER(I878),H878&gt;0,ISNUMBER($B$94)),$B$94+3*SQRT($B$94*(1-$B$94)/H878),"")</f>
        <v/>
      </c>
      <c r="M878" s="13">
        <f>IF(AND(ISNUMBER(J878),ISNUMBER(K878),ISNUMBER(L878)),IF(J878&gt;L878,"boven UCL",IF(J878&lt;K878,"onder LCL","")),"")</f>
        <v/>
      </c>
      <c r="O878" t="n">
        <v>772</v>
      </c>
      <c r="P878" s="7" t="n"/>
      <c r="Q878" s="7" t="n"/>
      <c r="R878" s="11">
        <f>IF(AND(ISNUMBER(P878),ISNUMBER(Q878),P878&gt;0,ISNUMBER($B$100)),Q878/P878,"")</f>
        <v/>
      </c>
      <c r="S878" s="11">
        <f>IF(AND(ISNUMBER(P878),ISNUMBER(Q878),P878&gt;0,ISNUMBER($B$100)),MAX(0,$B$100-3*SQRT($B$100/P878)),"")</f>
        <v/>
      </c>
      <c r="T878" s="11">
        <f>IF(AND(ISNUMBER(P878),ISNUMBER(Q878),P878&gt;0,ISNUMBER($B$100)),$B$100+3*SQRT($B$100/P878),"")</f>
        <v/>
      </c>
      <c r="U878" s="13">
        <f>IF(AND(ISNUMBER(R878),ISNUMBER(S878),ISNUMBER(T878)),IF(R878&gt;T878,"boven UCL",IF(R878&lt;S878,"onder LCL","")),"")</f>
        <v/>
      </c>
    </row>
    <row r="879">
      <c r="A879" t="n">
        <v>773</v>
      </c>
      <c r="B879" s="7" t="n"/>
      <c r="C879" s="11">
        <f>IF(AND(ISNUMBER(B879),ISNUMBER(B878)),ABS(B879-B878),"")</f>
        <v/>
      </c>
      <c r="D879" s="13">
        <f>IF(AND(ISNUMBER(B879),ISNUMBER($B$88),ISNUMBER($D$88)),IF(B879&gt;$D$88,"boven UCL",IF(B879&lt;$B$88,"onder LCL","")),"")</f>
        <v/>
      </c>
      <c r="E879" s="13">
        <f>IF(AND(ISNUMBER(C879),ISNUMBER($B$89),ISNUMBER($D$89)),IF(C879&gt;$D$89,"boven UCL",IF(C879&lt;$B$89,"onder LCL","")),"")</f>
        <v/>
      </c>
      <c r="G879" t="n">
        <v>773</v>
      </c>
      <c r="H879" s="7" t="n"/>
      <c r="I879" s="7" t="n"/>
      <c r="J879" s="11">
        <f>IF(AND(ISNUMBER(H879),ISNUMBER(I879),H879&gt;0,ISNUMBER($B$94)),I879/H879,"")</f>
        <v/>
      </c>
      <c r="K879" s="11">
        <f>IF(AND(ISNUMBER(H879),ISNUMBER(I879),H879&gt;0,ISNUMBER($B$94)),MAX(0,$B$94-3*SQRT($B$94*(1-$B$94)/H879)),"")</f>
        <v/>
      </c>
      <c r="L879" s="11">
        <f>IF(AND(ISNUMBER(H879),ISNUMBER(I879),H879&gt;0,ISNUMBER($B$94)),$B$94+3*SQRT($B$94*(1-$B$94)/H879),"")</f>
        <v/>
      </c>
      <c r="M879" s="13">
        <f>IF(AND(ISNUMBER(J879),ISNUMBER(K879),ISNUMBER(L879)),IF(J879&gt;L879,"boven UCL",IF(J879&lt;K879,"onder LCL","")),"")</f>
        <v/>
      </c>
      <c r="O879" t="n">
        <v>773</v>
      </c>
      <c r="P879" s="7" t="n"/>
      <c r="Q879" s="7" t="n"/>
      <c r="R879" s="11">
        <f>IF(AND(ISNUMBER(P879),ISNUMBER(Q879),P879&gt;0,ISNUMBER($B$100)),Q879/P879,"")</f>
        <v/>
      </c>
      <c r="S879" s="11">
        <f>IF(AND(ISNUMBER(P879),ISNUMBER(Q879),P879&gt;0,ISNUMBER($B$100)),MAX(0,$B$100-3*SQRT($B$100/P879)),"")</f>
        <v/>
      </c>
      <c r="T879" s="11">
        <f>IF(AND(ISNUMBER(P879),ISNUMBER(Q879),P879&gt;0,ISNUMBER($B$100)),$B$100+3*SQRT($B$100/P879),"")</f>
        <v/>
      </c>
      <c r="U879" s="13">
        <f>IF(AND(ISNUMBER(R879),ISNUMBER(S879),ISNUMBER(T879)),IF(R879&gt;T879,"boven UCL",IF(R879&lt;S879,"onder LCL","")),"")</f>
        <v/>
      </c>
    </row>
    <row r="880">
      <c r="A880" t="n">
        <v>774</v>
      </c>
      <c r="B880" s="7" t="n"/>
      <c r="C880" s="11">
        <f>IF(AND(ISNUMBER(B880),ISNUMBER(B879)),ABS(B880-B879),"")</f>
        <v/>
      </c>
      <c r="D880" s="13">
        <f>IF(AND(ISNUMBER(B880),ISNUMBER($B$88),ISNUMBER($D$88)),IF(B880&gt;$D$88,"boven UCL",IF(B880&lt;$B$88,"onder LCL","")),"")</f>
        <v/>
      </c>
      <c r="E880" s="13">
        <f>IF(AND(ISNUMBER(C880),ISNUMBER($B$89),ISNUMBER($D$89)),IF(C880&gt;$D$89,"boven UCL",IF(C880&lt;$B$89,"onder LCL","")),"")</f>
        <v/>
      </c>
      <c r="G880" t="n">
        <v>774</v>
      </c>
      <c r="H880" s="7" t="n"/>
      <c r="I880" s="7" t="n"/>
      <c r="J880" s="11">
        <f>IF(AND(ISNUMBER(H880),ISNUMBER(I880),H880&gt;0,ISNUMBER($B$94)),I880/H880,"")</f>
        <v/>
      </c>
      <c r="K880" s="11">
        <f>IF(AND(ISNUMBER(H880),ISNUMBER(I880),H880&gt;0,ISNUMBER($B$94)),MAX(0,$B$94-3*SQRT($B$94*(1-$B$94)/H880)),"")</f>
        <v/>
      </c>
      <c r="L880" s="11">
        <f>IF(AND(ISNUMBER(H880),ISNUMBER(I880),H880&gt;0,ISNUMBER($B$94)),$B$94+3*SQRT($B$94*(1-$B$94)/H880),"")</f>
        <v/>
      </c>
      <c r="M880" s="13">
        <f>IF(AND(ISNUMBER(J880),ISNUMBER(K880),ISNUMBER(L880)),IF(J880&gt;L880,"boven UCL",IF(J880&lt;K880,"onder LCL","")),"")</f>
        <v/>
      </c>
      <c r="O880" t="n">
        <v>774</v>
      </c>
      <c r="P880" s="7" t="n"/>
      <c r="Q880" s="7" t="n"/>
      <c r="R880" s="11">
        <f>IF(AND(ISNUMBER(P880),ISNUMBER(Q880),P880&gt;0,ISNUMBER($B$100)),Q880/P880,"")</f>
        <v/>
      </c>
      <c r="S880" s="11">
        <f>IF(AND(ISNUMBER(P880),ISNUMBER(Q880),P880&gt;0,ISNUMBER($B$100)),MAX(0,$B$100-3*SQRT($B$100/P880)),"")</f>
        <v/>
      </c>
      <c r="T880" s="11">
        <f>IF(AND(ISNUMBER(P880),ISNUMBER(Q880),P880&gt;0,ISNUMBER($B$100)),$B$100+3*SQRT($B$100/P880),"")</f>
        <v/>
      </c>
      <c r="U880" s="13">
        <f>IF(AND(ISNUMBER(R880),ISNUMBER(S880),ISNUMBER(T880)),IF(R880&gt;T880,"boven UCL",IF(R880&lt;S880,"onder LCL","")),"")</f>
        <v/>
      </c>
    </row>
    <row r="881">
      <c r="A881" t="n">
        <v>775</v>
      </c>
      <c r="B881" s="7" t="n"/>
      <c r="C881" s="11">
        <f>IF(AND(ISNUMBER(B881),ISNUMBER(B880)),ABS(B881-B880),"")</f>
        <v/>
      </c>
      <c r="D881" s="13">
        <f>IF(AND(ISNUMBER(B881),ISNUMBER($B$88),ISNUMBER($D$88)),IF(B881&gt;$D$88,"boven UCL",IF(B881&lt;$B$88,"onder LCL","")),"")</f>
        <v/>
      </c>
      <c r="E881" s="13">
        <f>IF(AND(ISNUMBER(C881),ISNUMBER($B$89),ISNUMBER($D$89)),IF(C881&gt;$D$89,"boven UCL",IF(C881&lt;$B$89,"onder LCL","")),"")</f>
        <v/>
      </c>
      <c r="G881" t="n">
        <v>775</v>
      </c>
      <c r="H881" s="7" t="n"/>
      <c r="I881" s="7" t="n"/>
      <c r="J881" s="11">
        <f>IF(AND(ISNUMBER(H881),ISNUMBER(I881),H881&gt;0,ISNUMBER($B$94)),I881/H881,"")</f>
        <v/>
      </c>
      <c r="K881" s="11">
        <f>IF(AND(ISNUMBER(H881),ISNUMBER(I881),H881&gt;0,ISNUMBER($B$94)),MAX(0,$B$94-3*SQRT($B$94*(1-$B$94)/H881)),"")</f>
        <v/>
      </c>
      <c r="L881" s="11">
        <f>IF(AND(ISNUMBER(H881),ISNUMBER(I881),H881&gt;0,ISNUMBER($B$94)),$B$94+3*SQRT($B$94*(1-$B$94)/H881),"")</f>
        <v/>
      </c>
      <c r="M881" s="13">
        <f>IF(AND(ISNUMBER(J881),ISNUMBER(K881),ISNUMBER(L881)),IF(J881&gt;L881,"boven UCL",IF(J881&lt;K881,"onder LCL","")),"")</f>
        <v/>
      </c>
      <c r="O881" t="n">
        <v>775</v>
      </c>
      <c r="P881" s="7" t="n"/>
      <c r="Q881" s="7" t="n"/>
      <c r="R881" s="11">
        <f>IF(AND(ISNUMBER(P881),ISNUMBER(Q881),P881&gt;0,ISNUMBER($B$100)),Q881/P881,"")</f>
        <v/>
      </c>
      <c r="S881" s="11">
        <f>IF(AND(ISNUMBER(P881),ISNUMBER(Q881),P881&gt;0,ISNUMBER($B$100)),MAX(0,$B$100-3*SQRT($B$100/P881)),"")</f>
        <v/>
      </c>
      <c r="T881" s="11">
        <f>IF(AND(ISNUMBER(P881),ISNUMBER(Q881),P881&gt;0,ISNUMBER($B$100)),$B$100+3*SQRT($B$100/P881),"")</f>
        <v/>
      </c>
      <c r="U881" s="13">
        <f>IF(AND(ISNUMBER(R881),ISNUMBER(S881),ISNUMBER(T881)),IF(R881&gt;T881,"boven UCL",IF(R881&lt;S881,"onder LCL","")),"")</f>
        <v/>
      </c>
    </row>
    <row r="882">
      <c r="A882" t="n">
        <v>776</v>
      </c>
      <c r="B882" s="7" t="n"/>
      <c r="C882" s="11">
        <f>IF(AND(ISNUMBER(B882),ISNUMBER(B881)),ABS(B882-B881),"")</f>
        <v/>
      </c>
      <c r="D882" s="13">
        <f>IF(AND(ISNUMBER(B882),ISNUMBER($B$88),ISNUMBER($D$88)),IF(B882&gt;$D$88,"boven UCL",IF(B882&lt;$B$88,"onder LCL","")),"")</f>
        <v/>
      </c>
      <c r="E882" s="13">
        <f>IF(AND(ISNUMBER(C882),ISNUMBER($B$89),ISNUMBER($D$89)),IF(C882&gt;$D$89,"boven UCL",IF(C882&lt;$B$89,"onder LCL","")),"")</f>
        <v/>
      </c>
      <c r="G882" t="n">
        <v>776</v>
      </c>
      <c r="H882" s="7" t="n"/>
      <c r="I882" s="7" t="n"/>
      <c r="J882" s="11">
        <f>IF(AND(ISNUMBER(H882),ISNUMBER(I882),H882&gt;0,ISNUMBER($B$94)),I882/H882,"")</f>
        <v/>
      </c>
      <c r="K882" s="11">
        <f>IF(AND(ISNUMBER(H882),ISNUMBER(I882),H882&gt;0,ISNUMBER($B$94)),MAX(0,$B$94-3*SQRT($B$94*(1-$B$94)/H882)),"")</f>
        <v/>
      </c>
      <c r="L882" s="11">
        <f>IF(AND(ISNUMBER(H882),ISNUMBER(I882),H882&gt;0,ISNUMBER($B$94)),$B$94+3*SQRT($B$94*(1-$B$94)/H882),"")</f>
        <v/>
      </c>
      <c r="M882" s="13">
        <f>IF(AND(ISNUMBER(J882),ISNUMBER(K882),ISNUMBER(L882)),IF(J882&gt;L882,"boven UCL",IF(J882&lt;K882,"onder LCL","")),"")</f>
        <v/>
      </c>
      <c r="O882" t="n">
        <v>776</v>
      </c>
      <c r="P882" s="7" t="n"/>
      <c r="Q882" s="7" t="n"/>
      <c r="R882" s="11">
        <f>IF(AND(ISNUMBER(P882),ISNUMBER(Q882),P882&gt;0,ISNUMBER($B$100)),Q882/P882,"")</f>
        <v/>
      </c>
      <c r="S882" s="11">
        <f>IF(AND(ISNUMBER(P882),ISNUMBER(Q882),P882&gt;0,ISNUMBER($B$100)),MAX(0,$B$100-3*SQRT($B$100/P882)),"")</f>
        <v/>
      </c>
      <c r="T882" s="11">
        <f>IF(AND(ISNUMBER(P882),ISNUMBER(Q882),P882&gt;0,ISNUMBER($B$100)),$B$100+3*SQRT($B$100/P882),"")</f>
        <v/>
      </c>
      <c r="U882" s="13">
        <f>IF(AND(ISNUMBER(R882),ISNUMBER(S882),ISNUMBER(T882)),IF(R882&gt;T882,"boven UCL",IF(R882&lt;S882,"onder LCL","")),"")</f>
        <v/>
      </c>
    </row>
    <row r="883">
      <c r="A883" t="n">
        <v>777</v>
      </c>
      <c r="B883" s="7" t="n"/>
      <c r="C883" s="11">
        <f>IF(AND(ISNUMBER(B883),ISNUMBER(B882)),ABS(B883-B882),"")</f>
        <v/>
      </c>
      <c r="D883" s="13">
        <f>IF(AND(ISNUMBER(B883),ISNUMBER($B$88),ISNUMBER($D$88)),IF(B883&gt;$D$88,"boven UCL",IF(B883&lt;$B$88,"onder LCL","")),"")</f>
        <v/>
      </c>
      <c r="E883" s="13">
        <f>IF(AND(ISNUMBER(C883),ISNUMBER($B$89),ISNUMBER($D$89)),IF(C883&gt;$D$89,"boven UCL",IF(C883&lt;$B$89,"onder LCL","")),"")</f>
        <v/>
      </c>
      <c r="G883" t="n">
        <v>777</v>
      </c>
      <c r="H883" s="7" t="n"/>
      <c r="I883" s="7" t="n"/>
      <c r="J883" s="11">
        <f>IF(AND(ISNUMBER(H883),ISNUMBER(I883),H883&gt;0,ISNUMBER($B$94)),I883/H883,"")</f>
        <v/>
      </c>
      <c r="K883" s="11">
        <f>IF(AND(ISNUMBER(H883),ISNUMBER(I883),H883&gt;0,ISNUMBER($B$94)),MAX(0,$B$94-3*SQRT($B$94*(1-$B$94)/H883)),"")</f>
        <v/>
      </c>
      <c r="L883" s="11">
        <f>IF(AND(ISNUMBER(H883),ISNUMBER(I883),H883&gt;0,ISNUMBER($B$94)),$B$94+3*SQRT($B$94*(1-$B$94)/H883),"")</f>
        <v/>
      </c>
      <c r="M883" s="13">
        <f>IF(AND(ISNUMBER(J883),ISNUMBER(K883),ISNUMBER(L883)),IF(J883&gt;L883,"boven UCL",IF(J883&lt;K883,"onder LCL","")),"")</f>
        <v/>
      </c>
      <c r="O883" t="n">
        <v>777</v>
      </c>
      <c r="P883" s="7" t="n"/>
      <c r="Q883" s="7" t="n"/>
      <c r="R883" s="11">
        <f>IF(AND(ISNUMBER(P883),ISNUMBER(Q883),P883&gt;0,ISNUMBER($B$100)),Q883/P883,"")</f>
        <v/>
      </c>
      <c r="S883" s="11">
        <f>IF(AND(ISNUMBER(P883),ISNUMBER(Q883),P883&gt;0,ISNUMBER($B$100)),MAX(0,$B$100-3*SQRT($B$100/P883)),"")</f>
        <v/>
      </c>
      <c r="T883" s="11">
        <f>IF(AND(ISNUMBER(P883),ISNUMBER(Q883),P883&gt;0,ISNUMBER($B$100)),$B$100+3*SQRT($B$100/P883),"")</f>
        <v/>
      </c>
      <c r="U883" s="13">
        <f>IF(AND(ISNUMBER(R883),ISNUMBER(S883),ISNUMBER(T883)),IF(R883&gt;T883,"boven UCL",IF(R883&lt;S883,"onder LCL","")),"")</f>
        <v/>
      </c>
    </row>
    <row r="884">
      <c r="A884" t="n">
        <v>778</v>
      </c>
      <c r="B884" s="7" t="n"/>
      <c r="C884" s="11">
        <f>IF(AND(ISNUMBER(B884),ISNUMBER(B883)),ABS(B884-B883),"")</f>
        <v/>
      </c>
      <c r="D884" s="13">
        <f>IF(AND(ISNUMBER(B884),ISNUMBER($B$88),ISNUMBER($D$88)),IF(B884&gt;$D$88,"boven UCL",IF(B884&lt;$B$88,"onder LCL","")),"")</f>
        <v/>
      </c>
      <c r="E884" s="13">
        <f>IF(AND(ISNUMBER(C884),ISNUMBER($B$89),ISNUMBER($D$89)),IF(C884&gt;$D$89,"boven UCL",IF(C884&lt;$B$89,"onder LCL","")),"")</f>
        <v/>
      </c>
      <c r="G884" t="n">
        <v>778</v>
      </c>
      <c r="H884" s="7" t="n"/>
      <c r="I884" s="7" t="n"/>
      <c r="J884" s="11">
        <f>IF(AND(ISNUMBER(H884),ISNUMBER(I884),H884&gt;0,ISNUMBER($B$94)),I884/H884,"")</f>
        <v/>
      </c>
      <c r="K884" s="11">
        <f>IF(AND(ISNUMBER(H884),ISNUMBER(I884),H884&gt;0,ISNUMBER($B$94)),MAX(0,$B$94-3*SQRT($B$94*(1-$B$94)/H884)),"")</f>
        <v/>
      </c>
      <c r="L884" s="11">
        <f>IF(AND(ISNUMBER(H884),ISNUMBER(I884),H884&gt;0,ISNUMBER($B$94)),$B$94+3*SQRT($B$94*(1-$B$94)/H884),"")</f>
        <v/>
      </c>
      <c r="M884" s="13">
        <f>IF(AND(ISNUMBER(J884),ISNUMBER(K884),ISNUMBER(L884)),IF(J884&gt;L884,"boven UCL",IF(J884&lt;K884,"onder LCL","")),"")</f>
        <v/>
      </c>
      <c r="O884" t="n">
        <v>778</v>
      </c>
      <c r="P884" s="7" t="n"/>
      <c r="Q884" s="7" t="n"/>
      <c r="R884" s="11">
        <f>IF(AND(ISNUMBER(P884),ISNUMBER(Q884),P884&gt;0,ISNUMBER($B$100)),Q884/P884,"")</f>
        <v/>
      </c>
      <c r="S884" s="11">
        <f>IF(AND(ISNUMBER(P884),ISNUMBER(Q884),P884&gt;0,ISNUMBER($B$100)),MAX(0,$B$100-3*SQRT($B$100/P884)),"")</f>
        <v/>
      </c>
      <c r="T884" s="11">
        <f>IF(AND(ISNUMBER(P884),ISNUMBER(Q884),P884&gt;0,ISNUMBER($B$100)),$B$100+3*SQRT($B$100/P884),"")</f>
        <v/>
      </c>
      <c r="U884" s="13">
        <f>IF(AND(ISNUMBER(R884),ISNUMBER(S884),ISNUMBER(T884)),IF(R884&gt;T884,"boven UCL",IF(R884&lt;S884,"onder LCL","")),"")</f>
        <v/>
      </c>
    </row>
    <row r="885">
      <c r="A885" t="n">
        <v>779</v>
      </c>
      <c r="B885" s="7" t="n"/>
      <c r="C885" s="11">
        <f>IF(AND(ISNUMBER(B885),ISNUMBER(B884)),ABS(B885-B884),"")</f>
        <v/>
      </c>
      <c r="D885" s="13">
        <f>IF(AND(ISNUMBER(B885),ISNUMBER($B$88),ISNUMBER($D$88)),IF(B885&gt;$D$88,"boven UCL",IF(B885&lt;$B$88,"onder LCL","")),"")</f>
        <v/>
      </c>
      <c r="E885" s="13">
        <f>IF(AND(ISNUMBER(C885),ISNUMBER($B$89),ISNUMBER($D$89)),IF(C885&gt;$D$89,"boven UCL",IF(C885&lt;$B$89,"onder LCL","")),"")</f>
        <v/>
      </c>
      <c r="G885" t="n">
        <v>779</v>
      </c>
      <c r="H885" s="7" t="n"/>
      <c r="I885" s="7" t="n"/>
      <c r="J885" s="11">
        <f>IF(AND(ISNUMBER(H885),ISNUMBER(I885),H885&gt;0,ISNUMBER($B$94)),I885/H885,"")</f>
        <v/>
      </c>
      <c r="K885" s="11">
        <f>IF(AND(ISNUMBER(H885),ISNUMBER(I885),H885&gt;0,ISNUMBER($B$94)),MAX(0,$B$94-3*SQRT($B$94*(1-$B$94)/H885)),"")</f>
        <v/>
      </c>
      <c r="L885" s="11">
        <f>IF(AND(ISNUMBER(H885),ISNUMBER(I885),H885&gt;0,ISNUMBER($B$94)),$B$94+3*SQRT($B$94*(1-$B$94)/H885),"")</f>
        <v/>
      </c>
      <c r="M885" s="13">
        <f>IF(AND(ISNUMBER(J885),ISNUMBER(K885),ISNUMBER(L885)),IF(J885&gt;L885,"boven UCL",IF(J885&lt;K885,"onder LCL","")),"")</f>
        <v/>
      </c>
      <c r="O885" t="n">
        <v>779</v>
      </c>
      <c r="P885" s="7" t="n"/>
      <c r="Q885" s="7" t="n"/>
      <c r="R885" s="11">
        <f>IF(AND(ISNUMBER(P885),ISNUMBER(Q885),P885&gt;0,ISNUMBER($B$100)),Q885/P885,"")</f>
        <v/>
      </c>
      <c r="S885" s="11">
        <f>IF(AND(ISNUMBER(P885),ISNUMBER(Q885),P885&gt;0,ISNUMBER($B$100)),MAX(0,$B$100-3*SQRT($B$100/P885)),"")</f>
        <v/>
      </c>
      <c r="T885" s="11">
        <f>IF(AND(ISNUMBER(P885),ISNUMBER(Q885),P885&gt;0,ISNUMBER($B$100)),$B$100+3*SQRT($B$100/P885),"")</f>
        <v/>
      </c>
      <c r="U885" s="13">
        <f>IF(AND(ISNUMBER(R885),ISNUMBER(S885),ISNUMBER(T885)),IF(R885&gt;T885,"boven UCL",IF(R885&lt;S885,"onder LCL","")),"")</f>
        <v/>
      </c>
    </row>
    <row r="886">
      <c r="A886" t="n">
        <v>780</v>
      </c>
      <c r="B886" s="7" t="n"/>
      <c r="C886" s="11">
        <f>IF(AND(ISNUMBER(B886),ISNUMBER(B885)),ABS(B886-B885),"")</f>
        <v/>
      </c>
      <c r="D886" s="13">
        <f>IF(AND(ISNUMBER(B886),ISNUMBER($B$88),ISNUMBER($D$88)),IF(B886&gt;$D$88,"boven UCL",IF(B886&lt;$B$88,"onder LCL","")),"")</f>
        <v/>
      </c>
      <c r="E886" s="13">
        <f>IF(AND(ISNUMBER(C886),ISNUMBER($B$89),ISNUMBER($D$89)),IF(C886&gt;$D$89,"boven UCL",IF(C886&lt;$B$89,"onder LCL","")),"")</f>
        <v/>
      </c>
      <c r="G886" t="n">
        <v>780</v>
      </c>
      <c r="H886" s="7" t="n"/>
      <c r="I886" s="7" t="n"/>
      <c r="J886" s="11">
        <f>IF(AND(ISNUMBER(H886),ISNUMBER(I886),H886&gt;0,ISNUMBER($B$94)),I886/H886,"")</f>
        <v/>
      </c>
      <c r="K886" s="11">
        <f>IF(AND(ISNUMBER(H886),ISNUMBER(I886),H886&gt;0,ISNUMBER($B$94)),MAX(0,$B$94-3*SQRT($B$94*(1-$B$94)/H886)),"")</f>
        <v/>
      </c>
      <c r="L886" s="11">
        <f>IF(AND(ISNUMBER(H886),ISNUMBER(I886),H886&gt;0,ISNUMBER($B$94)),$B$94+3*SQRT($B$94*(1-$B$94)/H886),"")</f>
        <v/>
      </c>
      <c r="M886" s="13">
        <f>IF(AND(ISNUMBER(J886),ISNUMBER(K886),ISNUMBER(L886)),IF(J886&gt;L886,"boven UCL",IF(J886&lt;K886,"onder LCL","")),"")</f>
        <v/>
      </c>
      <c r="O886" t="n">
        <v>780</v>
      </c>
      <c r="P886" s="7" t="n"/>
      <c r="Q886" s="7" t="n"/>
      <c r="R886" s="11">
        <f>IF(AND(ISNUMBER(P886),ISNUMBER(Q886),P886&gt;0,ISNUMBER($B$100)),Q886/P886,"")</f>
        <v/>
      </c>
      <c r="S886" s="11">
        <f>IF(AND(ISNUMBER(P886),ISNUMBER(Q886),P886&gt;0,ISNUMBER($B$100)),MAX(0,$B$100-3*SQRT($B$100/P886)),"")</f>
        <v/>
      </c>
      <c r="T886" s="11">
        <f>IF(AND(ISNUMBER(P886),ISNUMBER(Q886),P886&gt;0,ISNUMBER($B$100)),$B$100+3*SQRT($B$100/P886),"")</f>
        <v/>
      </c>
      <c r="U886" s="13">
        <f>IF(AND(ISNUMBER(R886),ISNUMBER(S886),ISNUMBER(T886)),IF(R886&gt;T886,"boven UCL",IF(R886&lt;S886,"onder LCL","")),"")</f>
        <v/>
      </c>
    </row>
    <row r="887">
      <c r="A887" t="n">
        <v>781</v>
      </c>
      <c r="B887" s="7" t="n"/>
      <c r="C887" s="11">
        <f>IF(AND(ISNUMBER(B887),ISNUMBER(B886)),ABS(B887-B886),"")</f>
        <v/>
      </c>
      <c r="D887" s="13">
        <f>IF(AND(ISNUMBER(B887),ISNUMBER($B$88),ISNUMBER($D$88)),IF(B887&gt;$D$88,"boven UCL",IF(B887&lt;$B$88,"onder LCL","")),"")</f>
        <v/>
      </c>
      <c r="E887" s="13">
        <f>IF(AND(ISNUMBER(C887),ISNUMBER($B$89),ISNUMBER($D$89)),IF(C887&gt;$D$89,"boven UCL",IF(C887&lt;$B$89,"onder LCL","")),"")</f>
        <v/>
      </c>
      <c r="G887" t="n">
        <v>781</v>
      </c>
      <c r="H887" s="7" t="n"/>
      <c r="I887" s="7" t="n"/>
      <c r="J887" s="11">
        <f>IF(AND(ISNUMBER(H887),ISNUMBER(I887),H887&gt;0,ISNUMBER($B$94)),I887/H887,"")</f>
        <v/>
      </c>
      <c r="K887" s="11">
        <f>IF(AND(ISNUMBER(H887),ISNUMBER(I887),H887&gt;0,ISNUMBER($B$94)),MAX(0,$B$94-3*SQRT($B$94*(1-$B$94)/H887)),"")</f>
        <v/>
      </c>
      <c r="L887" s="11">
        <f>IF(AND(ISNUMBER(H887),ISNUMBER(I887),H887&gt;0,ISNUMBER($B$94)),$B$94+3*SQRT($B$94*(1-$B$94)/H887),"")</f>
        <v/>
      </c>
      <c r="M887" s="13">
        <f>IF(AND(ISNUMBER(J887),ISNUMBER(K887),ISNUMBER(L887)),IF(J887&gt;L887,"boven UCL",IF(J887&lt;K887,"onder LCL","")),"")</f>
        <v/>
      </c>
      <c r="O887" t="n">
        <v>781</v>
      </c>
      <c r="P887" s="7" t="n"/>
      <c r="Q887" s="7" t="n"/>
      <c r="R887" s="11">
        <f>IF(AND(ISNUMBER(P887),ISNUMBER(Q887),P887&gt;0,ISNUMBER($B$100)),Q887/P887,"")</f>
        <v/>
      </c>
      <c r="S887" s="11">
        <f>IF(AND(ISNUMBER(P887),ISNUMBER(Q887),P887&gt;0,ISNUMBER($B$100)),MAX(0,$B$100-3*SQRT($B$100/P887)),"")</f>
        <v/>
      </c>
      <c r="T887" s="11">
        <f>IF(AND(ISNUMBER(P887),ISNUMBER(Q887),P887&gt;0,ISNUMBER($B$100)),$B$100+3*SQRT($B$100/P887),"")</f>
        <v/>
      </c>
      <c r="U887" s="13">
        <f>IF(AND(ISNUMBER(R887),ISNUMBER(S887),ISNUMBER(T887)),IF(R887&gt;T887,"boven UCL",IF(R887&lt;S887,"onder LCL","")),"")</f>
        <v/>
      </c>
    </row>
    <row r="888">
      <c r="A888" t="n">
        <v>782</v>
      </c>
      <c r="B888" s="7" t="n"/>
      <c r="C888" s="11">
        <f>IF(AND(ISNUMBER(B888),ISNUMBER(B887)),ABS(B888-B887),"")</f>
        <v/>
      </c>
      <c r="D888" s="13">
        <f>IF(AND(ISNUMBER(B888),ISNUMBER($B$88),ISNUMBER($D$88)),IF(B888&gt;$D$88,"boven UCL",IF(B888&lt;$B$88,"onder LCL","")),"")</f>
        <v/>
      </c>
      <c r="E888" s="13">
        <f>IF(AND(ISNUMBER(C888),ISNUMBER($B$89),ISNUMBER($D$89)),IF(C888&gt;$D$89,"boven UCL",IF(C888&lt;$B$89,"onder LCL","")),"")</f>
        <v/>
      </c>
      <c r="G888" t="n">
        <v>782</v>
      </c>
      <c r="H888" s="7" t="n"/>
      <c r="I888" s="7" t="n"/>
      <c r="J888" s="11">
        <f>IF(AND(ISNUMBER(H888),ISNUMBER(I888),H888&gt;0,ISNUMBER($B$94)),I888/H888,"")</f>
        <v/>
      </c>
      <c r="K888" s="11">
        <f>IF(AND(ISNUMBER(H888),ISNUMBER(I888),H888&gt;0,ISNUMBER($B$94)),MAX(0,$B$94-3*SQRT($B$94*(1-$B$94)/H888)),"")</f>
        <v/>
      </c>
      <c r="L888" s="11">
        <f>IF(AND(ISNUMBER(H888),ISNUMBER(I888),H888&gt;0,ISNUMBER($B$94)),$B$94+3*SQRT($B$94*(1-$B$94)/H888),"")</f>
        <v/>
      </c>
      <c r="M888" s="13">
        <f>IF(AND(ISNUMBER(J888),ISNUMBER(K888),ISNUMBER(L888)),IF(J888&gt;L888,"boven UCL",IF(J888&lt;K888,"onder LCL","")),"")</f>
        <v/>
      </c>
      <c r="O888" t="n">
        <v>782</v>
      </c>
      <c r="P888" s="7" t="n"/>
      <c r="Q888" s="7" t="n"/>
      <c r="R888" s="11">
        <f>IF(AND(ISNUMBER(P888),ISNUMBER(Q888),P888&gt;0,ISNUMBER($B$100)),Q888/P888,"")</f>
        <v/>
      </c>
      <c r="S888" s="11">
        <f>IF(AND(ISNUMBER(P888),ISNUMBER(Q888),P888&gt;0,ISNUMBER($B$100)),MAX(0,$B$100-3*SQRT($B$100/P888)),"")</f>
        <v/>
      </c>
      <c r="T888" s="11">
        <f>IF(AND(ISNUMBER(P888),ISNUMBER(Q888),P888&gt;0,ISNUMBER($B$100)),$B$100+3*SQRT($B$100/P888),"")</f>
        <v/>
      </c>
      <c r="U888" s="13">
        <f>IF(AND(ISNUMBER(R888),ISNUMBER(S888),ISNUMBER(T888)),IF(R888&gt;T888,"boven UCL",IF(R888&lt;S888,"onder LCL","")),"")</f>
        <v/>
      </c>
    </row>
    <row r="889">
      <c r="A889" t="n">
        <v>783</v>
      </c>
      <c r="B889" s="7" t="n"/>
      <c r="C889" s="11">
        <f>IF(AND(ISNUMBER(B889),ISNUMBER(B888)),ABS(B889-B888),"")</f>
        <v/>
      </c>
      <c r="D889" s="13">
        <f>IF(AND(ISNUMBER(B889),ISNUMBER($B$88),ISNUMBER($D$88)),IF(B889&gt;$D$88,"boven UCL",IF(B889&lt;$B$88,"onder LCL","")),"")</f>
        <v/>
      </c>
      <c r="E889" s="13">
        <f>IF(AND(ISNUMBER(C889),ISNUMBER($B$89),ISNUMBER($D$89)),IF(C889&gt;$D$89,"boven UCL",IF(C889&lt;$B$89,"onder LCL","")),"")</f>
        <v/>
      </c>
      <c r="G889" t="n">
        <v>783</v>
      </c>
      <c r="H889" s="7" t="n"/>
      <c r="I889" s="7" t="n"/>
      <c r="J889" s="11">
        <f>IF(AND(ISNUMBER(H889),ISNUMBER(I889),H889&gt;0,ISNUMBER($B$94)),I889/H889,"")</f>
        <v/>
      </c>
      <c r="K889" s="11">
        <f>IF(AND(ISNUMBER(H889),ISNUMBER(I889),H889&gt;0,ISNUMBER($B$94)),MAX(0,$B$94-3*SQRT($B$94*(1-$B$94)/H889)),"")</f>
        <v/>
      </c>
      <c r="L889" s="11">
        <f>IF(AND(ISNUMBER(H889),ISNUMBER(I889),H889&gt;0,ISNUMBER($B$94)),$B$94+3*SQRT($B$94*(1-$B$94)/H889),"")</f>
        <v/>
      </c>
      <c r="M889" s="13">
        <f>IF(AND(ISNUMBER(J889),ISNUMBER(K889),ISNUMBER(L889)),IF(J889&gt;L889,"boven UCL",IF(J889&lt;K889,"onder LCL","")),"")</f>
        <v/>
      </c>
      <c r="O889" t="n">
        <v>783</v>
      </c>
      <c r="P889" s="7" t="n"/>
      <c r="Q889" s="7" t="n"/>
      <c r="R889" s="11">
        <f>IF(AND(ISNUMBER(P889),ISNUMBER(Q889),P889&gt;0,ISNUMBER($B$100)),Q889/P889,"")</f>
        <v/>
      </c>
      <c r="S889" s="11">
        <f>IF(AND(ISNUMBER(P889),ISNUMBER(Q889),P889&gt;0,ISNUMBER($B$100)),MAX(0,$B$100-3*SQRT($B$100/P889)),"")</f>
        <v/>
      </c>
      <c r="T889" s="11">
        <f>IF(AND(ISNUMBER(P889),ISNUMBER(Q889),P889&gt;0,ISNUMBER($B$100)),$B$100+3*SQRT($B$100/P889),"")</f>
        <v/>
      </c>
      <c r="U889" s="13">
        <f>IF(AND(ISNUMBER(R889),ISNUMBER(S889),ISNUMBER(T889)),IF(R889&gt;T889,"boven UCL",IF(R889&lt;S889,"onder LCL","")),"")</f>
        <v/>
      </c>
    </row>
    <row r="890">
      <c r="A890" t="n">
        <v>784</v>
      </c>
      <c r="B890" s="7" t="n"/>
      <c r="C890" s="11">
        <f>IF(AND(ISNUMBER(B890),ISNUMBER(B889)),ABS(B890-B889),"")</f>
        <v/>
      </c>
      <c r="D890" s="13">
        <f>IF(AND(ISNUMBER(B890),ISNUMBER($B$88),ISNUMBER($D$88)),IF(B890&gt;$D$88,"boven UCL",IF(B890&lt;$B$88,"onder LCL","")),"")</f>
        <v/>
      </c>
      <c r="E890" s="13">
        <f>IF(AND(ISNUMBER(C890),ISNUMBER($B$89),ISNUMBER($D$89)),IF(C890&gt;$D$89,"boven UCL",IF(C890&lt;$B$89,"onder LCL","")),"")</f>
        <v/>
      </c>
      <c r="G890" t="n">
        <v>784</v>
      </c>
      <c r="H890" s="7" t="n"/>
      <c r="I890" s="7" t="n"/>
      <c r="J890" s="11">
        <f>IF(AND(ISNUMBER(H890),ISNUMBER(I890),H890&gt;0,ISNUMBER($B$94)),I890/H890,"")</f>
        <v/>
      </c>
      <c r="K890" s="11">
        <f>IF(AND(ISNUMBER(H890),ISNUMBER(I890),H890&gt;0,ISNUMBER($B$94)),MAX(0,$B$94-3*SQRT($B$94*(1-$B$94)/H890)),"")</f>
        <v/>
      </c>
      <c r="L890" s="11">
        <f>IF(AND(ISNUMBER(H890),ISNUMBER(I890),H890&gt;0,ISNUMBER($B$94)),$B$94+3*SQRT($B$94*(1-$B$94)/H890),"")</f>
        <v/>
      </c>
      <c r="M890" s="13">
        <f>IF(AND(ISNUMBER(J890),ISNUMBER(K890),ISNUMBER(L890)),IF(J890&gt;L890,"boven UCL",IF(J890&lt;K890,"onder LCL","")),"")</f>
        <v/>
      </c>
      <c r="O890" t="n">
        <v>784</v>
      </c>
      <c r="P890" s="7" t="n"/>
      <c r="Q890" s="7" t="n"/>
      <c r="R890" s="11">
        <f>IF(AND(ISNUMBER(P890),ISNUMBER(Q890),P890&gt;0,ISNUMBER($B$100)),Q890/P890,"")</f>
        <v/>
      </c>
      <c r="S890" s="11">
        <f>IF(AND(ISNUMBER(P890),ISNUMBER(Q890),P890&gt;0,ISNUMBER($B$100)),MAX(0,$B$100-3*SQRT($B$100/P890)),"")</f>
        <v/>
      </c>
      <c r="T890" s="11">
        <f>IF(AND(ISNUMBER(P890),ISNUMBER(Q890),P890&gt;0,ISNUMBER($B$100)),$B$100+3*SQRT($B$100/P890),"")</f>
        <v/>
      </c>
      <c r="U890" s="13">
        <f>IF(AND(ISNUMBER(R890),ISNUMBER(S890),ISNUMBER(T890)),IF(R890&gt;T890,"boven UCL",IF(R890&lt;S890,"onder LCL","")),"")</f>
        <v/>
      </c>
    </row>
    <row r="891">
      <c r="A891" t="n">
        <v>785</v>
      </c>
      <c r="B891" s="7" t="n"/>
      <c r="C891" s="11">
        <f>IF(AND(ISNUMBER(B891),ISNUMBER(B890)),ABS(B891-B890),"")</f>
        <v/>
      </c>
      <c r="D891" s="13">
        <f>IF(AND(ISNUMBER(B891),ISNUMBER($B$88),ISNUMBER($D$88)),IF(B891&gt;$D$88,"boven UCL",IF(B891&lt;$B$88,"onder LCL","")),"")</f>
        <v/>
      </c>
      <c r="E891" s="13">
        <f>IF(AND(ISNUMBER(C891),ISNUMBER($B$89),ISNUMBER($D$89)),IF(C891&gt;$D$89,"boven UCL",IF(C891&lt;$B$89,"onder LCL","")),"")</f>
        <v/>
      </c>
      <c r="G891" t="n">
        <v>785</v>
      </c>
      <c r="H891" s="7" t="n"/>
      <c r="I891" s="7" t="n"/>
      <c r="J891" s="11">
        <f>IF(AND(ISNUMBER(H891),ISNUMBER(I891),H891&gt;0,ISNUMBER($B$94)),I891/H891,"")</f>
        <v/>
      </c>
      <c r="K891" s="11">
        <f>IF(AND(ISNUMBER(H891),ISNUMBER(I891),H891&gt;0,ISNUMBER($B$94)),MAX(0,$B$94-3*SQRT($B$94*(1-$B$94)/H891)),"")</f>
        <v/>
      </c>
      <c r="L891" s="11">
        <f>IF(AND(ISNUMBER(H891),ISNUMBER(I891),H891&gt;0,ISNUMBER($B$94)),$B$94+3*SQRT($B$94*(1-$B$94)/H891),"")</f>
        <v/>
      </c>
      <c r="M891" s="13">
        <f>IF(AND(ISNUMBER(J891),ISNUMBER(K891),ISNUMBER(L891)),IF(J891&gt;L891,"boven UCL",IF(J891&lt;K891,"onder LCL","")),"")</f>
        <v/>
      </c>
      <c r="O891" t="n">
        <v>785</v>
      </c>
      <c r="P891" s="7" t="n"/>
      <c r="Q891" s="7" t="n"/>
      <c r="R891" s="11">
        <f>IF(AND(ISNUMBER(P891),ISNUMBER(Q891),P891&gt;0,ISNUMBER($B$100)),Q891/P891,"")</f>
        <v/>
      </c>
      <c r="S891" s="11">
        <f>IF(AND(ISNUMBER(P891),ISNUMBER(Q891),P891&gt;0,ISNUMBER($B$100)),MAX(0,$B$100-3*SQRT($B$100/P891)),"")</f>
        <v/>
      </c>
      <c r="T891" s="11">
        <f>IF(AND(ISNUMBER(P891),ISNUMBER(Q891),P891&gt;0,ISNUMBER($B$100)),$B$100+3*SQRT($B$100/P891),"")</f>
        <v/>
      </c>
      <c r="U891" s="13">
        <f>IF(AND(ISNUMBER(R891),ISNUMBER(S891),ISNUMBER(T891)),IF(R891&gt;T891,"boven UCL",IF(R891&lt;S891,"onder LCL","")),"")</f>
        <v/>
      </c>
    </row>
    <row r="892">
      <c r="A892" t="n">
        <v>786</v>
      </c>
      <c r="B892" s="7" t="n"/>
      <c r="C892" s="11">
        <f>IF(AND(ISNUMBER(B892),ISNUMBER(B891)),ABS(B892-B891),"")</f>
        <v/>
      </c>
      <c r="D892" s="13">
        <f>IF(AND(ISNUMBER(B892),ISNUMBER($B$88),ISNUMBER($D$88)),IF(B892&gt;$D$88,"boven UCL",IF(B892&lt;$B$88,"onder LCL","")),"")</f>
        <v/>
      </c>
      <c r="E892" s="13">
        <f>IF(AND(ISNUMBER(C892),ISNUMBER($B$89),ISNUMBER($D$89)),IF(C892&gt;$D$89,"boven UCL",IF(C892&lt;$B$89,"onder LCL","")),"")</f>
        <v/>
      </c>
      <c r="G892" t="n">
        <v>786</v>
      </c>
      <c r="H892" s="7" t="n"/>
      <c r="I892" s="7" t="n"/>
      <c r="J892" s="11">
        <f>IF(AND(ISNUMBER(H892),ISNUMBER(I892),H892&gt;0,ISNUMBER($B$94)),I892/H892,"")</f>
        <v/>
      </c>
      <c r="K892" s="11">
        <f>IF(AND(ISNUMBER(H892),ISNUMBER(I892),H892&gt;0,ISNUMBER($B$94)),MAX(0,$B$94-3*SQRT($B$94*(1-$B$94)/H892)),"")</f>
        <v/>
      </c>
      <c r="L892" s="11">
        <f>IF(AND(ISNUMBER(H892),ISNUMBER(I892),H892&gt;0,ISNUMBER($B$94)),$B$94+3*SQRT($B$94*(1-$B$94)/H892),"")</f>
        <v/>
      </c>
      <c r="M892" s="13">
        <f>IF(AND(ISNUMBER(J892),ISNUMBER(K892),ISNUMBER(L892)),IF(J892&gt;L892,"boven UCL",IF(J892&lt;K892,"onder LCL","")),"")</f>
        <v/>
      </c>
      <c r="O892" t="n">
        <v>786</v>
      </c>
      <c r="P892" s="7" t="n"/>
      <c r="Q892" s="7" t="n"/>
      <c r="R892" s="11">
        <f>IF(AND(ISNUMBER(P892),ISNUMBER(Q892),P892&gt;0,ISNUMBER($B$100)),Q892/P892,"")</f>
        <v/>
      </c>
      <c r="S892" s="11">
        <f>IF(AND(ISNUMBER(P892),ISNUMBER(Q892),P892&gt;0,ISNUMBER($B$100)),MAX(0,$B$100-3*SQRT($B$100/P892)),"")</f>
        <v/>
      </c>
      <c r="T892" s="11">
        <f>IF(AND(ISNUMBER(P892),ISNUMBER(Q892),P892&gt;0,ISNUMBER($B$100)),$B$100+3*SQRT($B$100/P892),"")</f>
        <v/>
      </c>
      <c r="U892" s="13">
        <f>IF(AND(ISNUMBER(R892),ISNUMBER(S892),ISNUMBER(T892)),IF(R892&gt;T892,"boven UCL",IF(R892&lt;S892,"onder LCL","")),"")</f>
        <v/>
      </c>
    </row>
    <row r="893">
      <c r="A893" t="n">
        <v>787</v>
      </c>
      <c r="B893" s="7" t="n"/>
      <c r="C893" s="11">
        <f>IF(AND(ISNUMBER(B893),ISNUMBER(B892)),ABS(B893-B892),"")</f>
        <v/>
      </c>
      <c r="D893" s="13">
        <f>IF(AND(ISNUMBER(B893),ISNUMBER($B$88),ISNUMBER($D$88)),IF(B893&gt;$D$88,"boven UCL",IF(B893&lt;$B$88,"onder LCL","")),"")</f>
        <v/>
      </c>
      <c r="E893" s="13">
        <f>IF(AND(ISNUMBER(C893),ISNUMBER($B$89),ISNUMBER($D$89)),IF(C893&gt;$D$89,"boven UCL",IF(C893&lt;$B$89,"onder LCL","")),"")</f>
        <v/>
      </c>
      <c r="G893" t="n">
        <v>787</v>
      </c>
      <c r="H893" s="7" t="n"/>
      <c r="I893" s="7" t="n"/>
      <c r="J893" s="11">
        <f>IF(AND(ISNUMBER(H893),ISNUMBER(I893),H893&gt;0,ISNUMBER($B$94)),I893/H893,"")</f>
        <v/>
      </c>
      <c r="K893" s="11">
        <f>IF(AND(ISNUMBER(H893),ISNUMBER(I893),H893&gt;0,ISNUMBER($B$94)),MAX(0,$B$94-3*SQRT($B$94*(1-$B$94)/H893)),"")</f>
        <v/>
      </c>
      <c r="L893" s="11">
        <f>IF(AND(ISNUMBER(H893),ISNUMBER(I893),H893&gt;0,ISNUMBER($B$94)),$B$94+3*SQRT($B$94*(1-$B$94)/H893),"")</f>
        <v/>
      </c>
      <c r="M893" s="13">
        <f>IF(AND(ISNUMBER(J893),ISNUMBER(K893),ISNUMBER(L893)),IF(J893&gt;L893,"boven UCL",IF(J893&lt;K893,"onder LCL","")),"")</f>
        <v/>
      </c>
      <c r="O893" t="n">
        <v>787</v>
      </c>
      <c r="P893" s="7" t="n"/>
      <c r="Q893" s="7" t="n"/>
      <c r="R893" s="11">
        <f>IF(AND(ISNUMBER(P893),ISNUMBER(Q893),P893&gt;0,ISNUMBER($B$100)),Q893/P893,"")</f>
        <v/>
      </c>
      <c r="S893" s="11">
        <f>IF(AND(ISNUMBER(P893),ISNUMBER(Q893),P893&gt;0,ISNUMBER($B$100)),MAX(0,$B$100-3*SQRT($B$100/P893)),"")</f>
        <v/>
      </c>
      <c r="T893" s="11">
        <f>IF(AND(ISNUMBER(P893),ISNUMBER(Q893),P893&gt;0,ISNUMBER($B$100)),$B$100+3*SQRT($B$100/P893),"")</f>
        <v/>
      </c>
      <c r="U893" s="13">
        <f>IF(AND(ISNUMBER(R893),ISNUMBER(S893),ISNUMBER(T893)),IF(R893&gt;T893,"boven UCL",IF(R893&lt;S893,"onder LCL","")),"")</f>
        <v/>
      </c>
    </row>
    <row r="894">
      <c r="A894" t="n">
        <v>788</v>
      </c>
      <c r="B894" s="7" t="n"/>
      <c r="C894" s="11">
        <f>IF(AND(ISNUMBER(B894),ISNUMBER(B893)),ABS(B894-B893),"")</f>
        <v/>
      </c>
      <c r="D894" s="13">
        <f>IF(AND(ISNUMBER(B894),ISNUMBER($B$88),ISNUMBER($D$88)),IF(B894&gt;$D$88,"boven UCL",IF(B894&lt;$B$88,"onder LCL","")),"")</f>
        <v/>
      </c>
      <c r="E894" s="13">
        <f>IF(AND(ISNUMBER(C894),ISNUMBER($B$89),ISNUMBER($D$89)),IF(C894&gt;$D$89,"boven UCL",IF(C894&lt;$B$89,"onder LCL","")),"")</f>
        <v/>
      </c>
      <c r="G894" t="n">
        <v>788</v>
      </c>
      <c r="H894" s="7" t="n"/>
      <c r="I894" s="7" t="n"/>
      <c r="J894" s="11">
        <f>IF(AND(ISNUMBER(H894),ISNUMBER(I894),H894&gt;0,ISNUMBER($B$94)),I894/H894,"")</f>
        <v/>
      </c>
      <c r="K894" s="11">
        <f>IF(AND(ISNUMBER(H894),ISNUMBER(I894),H894&gt;0,ISNUMBER($B$94)),MAX(0,$B$94-3*SQRT($B$94*(1-$B$94)/H894)),"")</f>
        <v/>
      </c>
      <c r="L894" s="11">
        <f>IF(AND(ISNUMBER(H894),ISNUMBER(I894),H894&gt;0,ISNUMBER($B$94)),$B$94+3*SQRT($B$94*(1-$B$94)/H894),"")</f>
        <v/>
      </c>
      <c r="M894" s="13">
        <f>IF(AND(ISNUMBER(J894),ISNUMBER(K894),ISNUMBER(L894)),IF(J894&gt;L894,"boven UCL",IF(J894&lt;K894,"onder LCL","")),"")</f>
        <v/>
      </c>
      <c r="O894" t="n">
        <v>788</v>
      </c>
      <c r="P894" s="7" t="n"/>
      <c r="Q894" s="7" t="n"/>
      <c r="R894" s="11">
        <f>IF(AND(ISNUMBER(P894),ISNUMBER(Q894),P894&gt;0,ISNUMBER($B$100)),Q894/P894,"")</f>
        <v/>
      </c>
      <c r="S894" s="11">
        <f>IF(AND(ISNUMBER(P894),ISNUMBER(Q894),P894&gt;0,ISNUMBER($B$100)),MAX(0,$B$100-3*SQRT($B$100/P894)),"")</f>
        <v/>
      </c>
      <c r="T894" s="11">
        <f>IF(AND(ISNUMBER(P894),ISNUMBER(Q894),P894&gt;0,ISNUMBER($B$100)),$B$100+3*SQRT($B$100/P894),"")</f>
        <v/>
      </c>
      <c r="U894" s="13">
        <f>IF(AND(ISNUMBER(R894),ISNUMBER(S894),ISNUMBER(T894)),IF(R894&gt;T894,"boven UCL",IF(R894&lt;S894,"onder LCL","")),"")</f>
        <v/>
      </c>
    </row>
    <row r="895">
      <c r="A895" t="n">
        <v>789</v>
      </c>
      <c r="B895" s="7" t="n"/>
      <c r="C895" s="11">
        <f>IF(AND(ISNUMBER(B895),ISNUMBER(B894)),ABS(B895-B894),"")</f>
        <v/>
      </c>
      <c r="D895" s="13">
        <f>IF(AND(ISNUMBER(B895),ISNUMBER($B$88),ISNUMBER($D$88)),IF(B895&gt;$D$88,"boven UCL",IF(B895&lt;$B$88,"onder LCL","")),"")</f>
        <v/>
      </c>
      <c r="E895" s="13">
        <f>IF(AND(ISNUMBER(C895),ISNUMBER($B$89),ISNUMBER($D$89)),IF(C895&gt;$D$89,"boven UCL",IF(C895&lt;$B$89,"onder LCL","")),"")</f>
        <v/>
      </c>
      <c r="G895" t="n">
        <v>789</v>
      </c>
      <c r="H895" s="7" t="n"/>
      <c r="I895" s="7" t="n"/>
      <c r="J895" s="11">
        <f>IF(AND(ISNUMBER(H895),ISNUMBER(I895),H895&gt;0,ISNUMBER($B$94)),I895/H895,"")</f>
        <v/>
      </c>
      <c r="K895" s="11">
        <f>IF(AND(ISNUMBER(H895),ISNUMBER(I895),H895&gt;0,ISNUMBER($B$94)),MAX(0,$B$94-3*SQRT($B$94*(1-$B$94)/H895)),"")</f>
        <v/>
      </c>
      <c r="L895" s="11">
        <f>IF(AND(ISNUMBER(H895),ISNUMBER(I895),H895&gt;0,ISNUMBER($B$94)),$B$94+3*SQRT($B$94*(1-$B$94)/H895),"")</f>
        <v/>
      </c>
      <c r="M895" s="13">
        <f>IF(AND(ISNUMBER(J895),ISNUMBER(K895),ISNUMBER(L895)),IF(J895&gt;L895,"boven UCL",IF(J895&lt;K895,"onder LCL","")),"")</f>
        <v/>
      </c>
      <c r="O895" t="n">
        <v>789</v>
      </c>
      <c r="P895" s="7" t="n"/>
      <c r="Q895" s="7" t="n"/>
      <c r="R895" s="11">
        <f>IF(AND(ISNUMBER(P895),ISNUMBER(Q895),P895&gt;0,ISNUMBER($B$100)),Q895/P895,"")</f>
        <v/>
      </c>
      <c r="S895" s="11">
        <f>IF(AND(ISNUMBER(P895),ISNUMBER(Q895),P895&gt;0,ISNUMBER($B$100)),MAX(0,$B$100-3*SQRT($B$100/P895)),"")</f>
        <v/>
      </c>
      <c r="T895" s="11">
        <f>IF(AND(ISNUMBER(P895),ISNUMBER(Q895),P895&gt;0,ISNUMBER($B$100)),$B$100+3*SQRT($B$100/P895),"")</f>
        <v/>
      </c>
      <c r="U895" s="13">
        <f>IF(AND(ISNUMBER(R895),ISNUMBER(S895),ISNUMBER(T895)),IF(R895&gt;T895,"boven UCL",IF(R895&lt;S895,"onder LCL","")),"")</f>
        <v/>
      </c>
    </row>
    <row r="896">
      <c r="A896" t="n">
        <v>790</v>
      </c>
      <c r="B896" s="7" t="n"/>
      <c r="C896" s="11">
        <f>IF(AND(ISNUMBER(B896),ISNUMBER(B895)),ABS(B896-B895),"")</f>
        <v/>
      </c>
      <c r="D896" s="13">
        <f>IF(AND(ISNUMBER(B896),ISNUMBER($B$88),ISNUMBER($D$88)),IF(B896&gt;$D$88,"boven UCL",IF(B896&lt;$B$88,"onder LCL","")),"")</f>
        <v/>
      </c>
      <c r="E896" s="13">
        <f>IF(AND(ISNUMBER(C896),ISNUMBER($B$89),ISNUMBER($D$89)),IF(C896&gt;$D$89,"boven UCL",IF(C896&lt;$B$89,"onder LCL","")),"")</f>
        <v/>
      </c>
      <c r="G896" t="n">
        <v>790</v>
      </c>
      <c r="H896" s="7" t="n"/>
      <c r="I896" s="7" t="n"/>
      <c r="J896" s="11">
        <f>IF(AND(ISNUMBER(H896),ISNUMBER(I896),H896&gt;0,ISNUMBER($B$94)),I896/H896,"")</f>
        <v/>
      </c>
      <c r="K896" s="11">
        <f>IF(AND(ISNUMBER(H896),ISNUMBER(I896),H896&gt;0,ISNUMBER($B$94)),MAX(0,$B$94-3*SQRT($B$94*(1-$B$94)/H896)),"")</f>
        <v/>
      </c>
      <c r="L896" s="11">
        <f>IF(AND(ISNUMBER(H896),ISNUMBER(I896),H896&gt;0,ISNUMBER($B$94)),$B$94+3*SQRT($B$94*(1-$B$94)/H896),"")</f>
        <v/>
      </c>
      <c r="M896" s="13">
        <f>IF(AND(ISNUMBER(J896),ISNUMBER(K896),ISNUMBER(L896)),IF(J896&gt;L896,"boven UCL",IF(J896&lt;K896,"onder LCL","")),"")</f>
        <v/>
      </c>
      <c r="O896" t="n">
        <v>790</v>
      </c>
      <c r="P896" s="7" t="n"/>
      <c r="Q896" s="7" t="n"/>
      <c r="R896" s="11">
        <f>IF(AND(ISNUMBER(P896),ISNUMBER(Q896),P896&gt;0,ISNUMBER($B$100)),Q896/P896,"")</f>
        <v/>
      </c>
      <c r="S896" s="11">
        <f>IF(AND(ISNUMBER(P896),ISNUMBER(Q896),P896&gt;0,ISNUMBER($B$100)),MAX(0,$B$100-3*SQRT($B$100/P896)),"")</f>
        <v/>
      </c>
      <c r="T896" s="11">
        <f>IF(AND(ISNUMBER(P896),ISNUMBER(Q896),P896&gt;0,ISNUMBER($B$100)),$B$100+3*SQRT($B$100/P896),"")</f>
        <v/>
      </c>
      <c r="U896" s="13">
        <f>IF(AND(ISNUMBER(R896),ISNUMBER(S896),ISNUMBER(T896)),IF(R896&gt;T896,"boven UCL",IF(R896&lt;S896,"onder LCL","")),"")</f>
        <v/>
      </c>
    </row>
    <row r="897">
      <c r="A897" t="n">
        <v>791</v>
      </c>
      <c r="B897" s="7" t="n"/>
      <c r="C897" s="11">
        <f>IF(AND(ISNUMBER(B897),ISNUMBER(B896)),ABS(B897-B896),"")</f>
        <v/>
      </c>
      <c r="D897" s="13">
        <f>IF(AND(ISNUMBER(B897),ISNUMBER($B$88),ISNUMBER($D$88)),IF(B897&gt;$D$88,"boven UCL",IF(B897&lt;$B$88,"onder LCL","")),"")</f>
        <v/>
      </c>
      <c r="E897" s="13">
        <f>IF(AND(ISNUMBER(C897),ISNUMBER($B$89),ISNUMBER($D$89)),IF(C897&gt;$D$89,"boven UCL",IF(C897&lt;$B$89,"onder LCL","")),"")</f>
        <v/>
      </c>
      <c r="G897" t="n">
        <v>791</v>
      </c>
      <c r="H897" s="7" t="n"/>
      <c r="I897" s="7" t="n"/>
      <c r="J897" s="11">
        <f>IF(AND(ISNUMBER(H897),ISNUMBER(I897),H897&gt;0,ISNUMBER($B$94)),I897/H897,"")</f>
        <v/>
      </c>
      <c r="K897" s="11">
        <f>IF(AND(ISNUMBER(H897),ISNUMBER(I897),H897&gt;0,ISNUMBER($B$94)),MAX(0,$B$94-3*SQRT($B$94*(1-$B$94)/H897)),"")</f>
        <v/>
      </c>
      <c r="L897" s="11">
        <f>IF(AND(ISNUMBER(H897),ISNUMBER(I897),H897&gt;0,ISNUMBER($B$94)),$B$94+3*SQRT($B$94*(1-$B$94)/H897),"")</f>
        <v/>
      </c>
      <c r="M897" s="13">
        <f>IF(AND(ISNUMBER(J897),ISNUMBER(K897),ISNUMBER(L897)),IF(J897&gt;L897,"boven UCL",IF(J897&lt;K897,"onder LCL","")),"")</f>
        <v/>
      </c>
      <c r="O897" t="n">
        <v>791</v>
      </c>
      <c r="P897" s="7" t="n"/>
      <c r="Q897" s="7" t="n"/>
      <c r="R897" s="11">
        <f>IF(AND(ISNUMBER(P897),ISNUMBER(Q897),P897&gt;0,ISNUMBER($B$100)),Q897/P897,"")</f>
        <v/>
      </c>
      <c r="S897" s="11">
        <f>IF(AND(ISNUMBER(P897),ISNUMBER(Q897),P897&gt;0,ISNUMBER($B$100)),MAX(0,$B$100-3*SQRT($B$100/P897)),"")</f>
        <v/>
      </c>
      <c r="T897" s="11">
        <f>IF(AND(ISNUMBER(P897),ISNUMBER(Q897),P897&gt;0,ISNUMBER($B$100)),$B$100+3*SQRT($B$100/P897),"")</f>
        <v/>
      </c>
      <c r="U897" s="13">
        <f>IF(AND(ISNUMBER(R897),ISNUMBER(S897),ISNUMBER(T897)),IF(R897&gt;T897,"boven UCL",IF(R897&lt;S897,"onder LCL","")),"")</f>
        <v/>
      </c>
    </row>
    <row r="898">
      <c r="A898" t="n">
        <v>792</v>
      </c>
      <c r="B898" s="7" t="n"/>
      <c r="C898" s="11">
        <f>IF(AND(ISNUMBER(B898),ISNUMBER(B897)),ABS(B898-B897),"")</f>
        <v/>
      </c>
      <c r="D898" s="13">
        <f>IF(AND(ISNUMBER(B898),ISNUMBER($B$88),ISNUMBER($D$88)),IF(B898&gt;$D$88,"boven UCL",IF(B898&lt;$B$88,"onder LCL","")),"")</f>
        <v/>
      </c>
      <c r="E898" s="13">
        <f>IF(AND(ISNUMBER(C898),ISNUMBER($B$89),ISNUMBER($D$89)),IF(C898&gt;$D$89,"boven UCL",IF(C898&lt;$B$89,"onder LCL","")),"")</f>
        <v/>
      </c>
      <c r="G898" t="n">
        <v>792</v>
      </c>
      <c r="H898" s="7" t="n"/>
      <c r="I898" s="7" t="n"/>
      <c r="J898" s="11">
        <f>IF(AND(ISNUMBER(H898),ISNUMBER(I898),H898&gt;0,ISNUMBER($B$94)),I898/H898,"")</f>
        <v/>
      </c>
      <c r="K898" s="11">
        <f>IF(AND(ISNUMBER(H898),ISNUMBER(I898),H898&gt;0,ISNUMBER($B$94)),MAX(0,$B$94-3*SQRT($B$94*(1-$B$94)/H898)),"")</f>
        <v/>
      </c>
      <c r="L898" s="11">
        <f>IF(AND(ISNUMBER(H898),ISNUMBER(I898),H898&gt;0,ISNUMBER($B$94)),$B$94+3*SQRT($B$94*(1-$B$94)/H898),"")</f>
        <v/>
      </c>
      <c r="M898" s="13">
        <f>IF(AND(ISNUMBER(J898),ISNUMBER(K898),ISNUMBER(L898)),IF(J898&gt;L898,"boven UCL",IF(J898&lt;K898,"onder LCL","")),"")</f>
        <v/>
      </c>
      <c r="O898" t="n">
        <v>792</v>
      </c>
      <c r="P898" s="7" t="n"/>
      <c r="Q898" s="7" t="n"/>
      <c r="R898" s="11">
        <f>IF(AND(ISNUMBER(P898),ISNUMBER(Q898),P898&gt;0,ISNUMBER($B$100)),Q898/P898,"")</f>
        <v/>
      </c>
      <c r="S898" s="11">
        <f>IF(AND(ISNUMBER(P898),ISNUMBER(Q898),P898&gt;0,ISNUMBER($B$100)),MAX(0,$B$100-3*SQRT($B$100/P898)),"")</f>
        <v/>
      </c>
      <c r="T898" s="11">
        <f>IF(AND(ISNUMBER(P898),ISNUMBER(Q898),P898&gt;0,ISNUMBER($B$100)),$B$100+3*SQRT($B$100/P898),"")</f>
        <v/>
      </c>
      <c r="U898" s="13">
        <f>IF(AND(ISNUMBER(R898),ISNUMBER(S898),ISNUMBER(T898)),IF(R898&gt;T898,"boven UCL",IF(R898&lt;S898,"onder LCL","")),"")</f>
        <v/>
      </c>
    </row>
    <row r="899">
      <c r="A899" t="n">
        <v>793</v>
      </c>
      <c r="B899" s="7" t="n"/>
      <c r="C899" s="11">
        <f>IF(AND(ISNUMBER(B899),ISNUMBER(B898)),ABS(B899-B898),"")</f>
        <v/>
      </c>
      <c r="D899" s="13">
        <f>IF(AND(ISNUMBER(B899),ISNUMBER($B$88),ISNUMBER($D$88)),IF(B899&gt;$D$88,"boven UCL",IF(B899&lt;$B$88,"onder LCL","")),"")</f>
        <v/>
      </c>
      <c r="E899" s="13">
        <f>IF(AND(ISNUMBER(C899),ISNUMBER($B$89),ISNUMBER($D$89)),IF(C899&gt;$D$89,"boven UCL",IF(C899&lt;$B$89,"onder LCL","")),"")</f>
        <v/>
      </c>
      <c r="G899" t="n">
        <v>793</v>
      </c>
      <c r="H899" s="7" t="n"/>
      <c r="I899" s="7" t="n"/>
      <c r="J899" s="11">
        <f>IF(AND(ISNUMBER(H899),ISNUMBER(I899),H899&gt;0,ISNUMBER($B$94)),I899/H899,"")</f>
        <v/>
      </c>
      <c r="K899" s="11">
        <f>IF(AND(ISNUMBER(H899),ISNUMBER(I899),H899&gt;0,ISNUMBER($B$94)),MAX(0,$B$94-3*SQRT($B$94*(1-$B$94)/H899)),"")</f>
        <v/>
      </c>
      <c r="L899" s="11">
        <f>IF(AND(ISNUMBER(H899),ISNUMBER(I899),H899&gt;0,ISNUMBER($B$94)),$B$94+3*SQRT($B$94*(1-$B$94)/H899),"")</f>
        <v/>
      </c>
      <c r="M899" s="13">
        <f>IF(AND(ISNUMBER(J899),ISNUMBER(K899),ISNUMBER(L899)),IF(J899&gt;L899,"boven UCL",IF(J899&lt;K899,"onder LCL","")),"")</f>
        <v/>
      </c>
      <c r="O899" t="n">
        <v>793</v>
      </c>
      <c r="P899" s="7" t="n"/>
      <c r="Q899" s="7" t="n"/>
      <c r="R899" s="11">
        <f>IF(AND(ISNUMBER(P899),ISNUMBER(Q899),P899&gt;0,ISNUMBER($B$100)),Q899/P899,"")</f>
        <v/>
      </c>
      <c r="S899" s="11">
        <f>IF(AND(ISNUMBER(P899),ISNUMBER(Q899),P899&gt;0,ISNUMBER($B$100)),MAX(0,$B$100-3*SQRT($B$100/P899)),"")</f>
        <v/>
      </c>
      <c r="T899" s="11">
        <f>IF(AND(ISNUMBER(P899),ISNUMBER(Q899),P899&gt;0,ISNUMBER($B$100)),$B$100+3*SQRT($B$100/P899),"")</f>
        <v/>
      </c>
      <c r="U899" s="13">
        <f>IF(AND(ISNUMBER(R899),ISNUMBER(S899),ISNUMBER(T899)),IF(R899&gt;T899,"boven UCL",IF(R899&lt;S899,"onder LCL","")),"")</f>
        <v/>
      </c>
    </row>
    <row r="900">
      <c r="A900" t="n">
        <v>794</v>
      </c>
      <c r="B900" s="7" t="n"/>
      <c r="C900" s="11">
        <f>IF(AND(ISNUMBER(B900),ISNUMBER(B899)),ABS(B900-B899),"")</f>
        <v/>
      </c>
      <c r="D900" s="13">
        <f>IF(AND(ISNUMBER(B900),ISNUMBER($B$88),ISNUMBER($D$88)),IF(B900&gt;$D$88,"boven UCL",IF(B900&lt;$B$88,"onder LCL","")),"")</f>
        <v/>
      </c>
      <c r="E900" s="13">
        <f>IF(AND(ISNUMBER(C900),ISNUMBER($B$89),ISNUMBER($D$89)),IF(C900&gt;$D$89,"boven UCL",IF(C900&lt;$B$89,"onder LCL","")),"")</f>
        <v/>
      </c>
      <c r="G900" t="n">
        <v>794</v>
      </c>
      <c r="H900" s="7" t="n"/>
      <c r="I900" s="7" t="n"/>
      <c r="J900" s="11">
        <f>IF(AND(ISNUMBER(H900),ISNUMBER(I900),H900&gt;0,ISNUMBER($B$94)),I900/H900,"")</f>
        <v/>
      </c>
      <c r="K900" s="11">
        <f>IF(AND(ISNUMBER(H900),ISNUMBER(I900),H900&gt;0,ISNUMBER($B$94)),MAX(0,$B$94-3*SQRT($B$94*(1-$B$94)/H900)),"")</f>
        <v/>
      </c>
      <c r="L900" s="11">
        <f>IF(AND(ISNUMBER(H900),ISNUMBER(I900),H900&gt;0,ISNUMBER($B$94)),$B$94+3*SQRT($B$94*(1-$B$94)/H900),"")</f>
        <v/>
      </c>
      <c r="M900" s="13">
        <f>IF(AND(ISNUMBER(J900),ISNUMBER(K900),ISNUMBER(L900)),IF(J900&gt;L900,"boven UCL",IF(J900&lt;K900,"onder LCL","")),"")</f>
        <v/>
      </c>
      <c r="O900" t="n">
        <v>794</v>
      </c>
      <c r="P900" s="7" t="n"/>
      <c r="Q900" s="7" t="n"/>
      <c r="R900" s="11">
        <f>IF(AND(ISNUMBER(P900),ISNUMBER(Q900),P900&gt;0,ISNUMBER($B$100)),Q900/P900,"")</f>
        <v/>
      </c>
      <c r="S900" s="11">
        <f>IF(AND(ISNUMBER(P900),ISNUMBER(Q900),P900&gt;0,ISNUMBER($B$100)),MAX(0,$B$100-3*SQRT($B$100/P900)),"")</f>
        <v/>
      </c>
      <c r="T900" s="11">
        <f>IF(AND(ISNUMBER(P900),ISNUMBER(Q900),P900&gt;0,ISNUMBER($B$100)),$B$100+3*SQRT($B$100/P900),"")</f>
        <v/>
      </c>
      <c r="U900" s="13">
        <f>IF(AND(ISNUMBER(R900),ISNUMBER(S900),ISNUMBER(T900)),IF(R900&gt;T900,"boven UCL",IF(R900&lt;S900,"onder LCL","")),"")</f>
        <v/>
      </c>
    </row>
    <row r="901">
      <c r="A901" t="n">
        <v>795</v>
      </c>
      <c r="B901" s="7" t="n"/>
      <c r="C901" s="11">
        <f>IF(AND(ISNUMBER(B901),ISNUMBER(B900)),ABS(B901-B900),"")</f>
        <v/>
      </c>
      <c r="D901" s="13">
        <f>IF(AND(ISNUMBER(B901),ISNUMBER($B$88),ISNUMBER($D$88)),IF(B901&gt;$D$88,"boven UCL",IF(B901&lt;$B$88,"onder LCL","")),"")</f>
        <v/>
      </c>
      <c r="E901" s="13">
        <f>IF(AND(ISNUMBER(C901),ISNUMBER($B$89),ISNUMBER($D$89)),IF(C901&gt;$D$89,"boven UCL",IF(C901&lt;$B$89,"onder LCL","")),"")</f>
        <v/>
      </c>
      <c r="G901" t="n">
        <v>795</v>
      </c>
      <c r="H901" s="7" t="n"/>
      <c r="I901" s="7" t="n"/>
      <c r="J901" s="11">
        <f>IF(AND(ISNUMBER(H901),ISNUMBER(I901),H901&gt;0,ISNUMBER($B$94)),I901/H901,"")</f>
        <v/>
      </c>
      <c r="K901" s="11">
        <f>IF(AND(ISNUMBER(H901),ISNUMBER(I901),H901&gt;0,ISNUMBER($B$94)),MAX(0,$B$94-3*SQRT($B$94*(1-$B$94)/H901)),"")</f>
        <v/>
      </c>
      <c r="L901" s="11">
        <f>IF(AND(ISNUMBER(H901),ISNUMBER(I901),H901&gt;0,ISNUMBER($B$94)),$B$94+3*SQRT($B$94*(1-$B$94)/H901),"")</f>
        <v/>
      </c>
      <c r="M901" s="13">
        <f>IF(AND(ISNUMBER(J901),ISNUMBER(K901),ISNUMBER(L901)),IF(J901&gt;L901,"boven UCL",IF(J901&lt;K901,"onder LCL","")),"")</f>
        <v/>
      </c>
      <c r="O901" t="n">
        <v>795</v>
      </c>
      <c r="P901" s="7" t="n"/>
      <c r="Q901" s="7" t="n"/>
      <c r="R901" s="11">
        <f>IF(AND(ISNUMBER(P901),ISNUMBER(Q901),P901&gt;0,ISNUMBER($B$100)),Q901/P901,"")</f>
        <v/>
      </c>
      <c r="S901" s="11">
        <f>IF(AND(ISNUMBER(P901),ISNUMBER(Q901),P901&gt;0,ISNUMBER($B$100)),MAX(0,$B$100-3*SQRT($B$100/P901)),"")</f>
        <v/>
      </c>
      <c r="T901" s="11">
        <f>IF(AND(ISNUMBER(P901),ISNUMBER(Q901),P901&gt;0,ISNUMBER($B$100)),$B$100+3*SQRT($B$100/P901),"")</f>
        <v/>
      </c>
      <c r="U901" s="13">
        <f>IF(AND(ISNUMBER(R901),ISNUMBER(S901),ISNUMBER(T901)),IF(R901&gt;T901,"boven UCL",IF(R901&lt;S901,"onder LCL","")),"")</f>
        <v/>
      </c>
    </row>
    <row r="902">
      <c r="A902" t="n">
        <v>796</v>
      </c>
      <c r="B902" s="7" t="n"/>
      <c r="C902" s="11">
        <f>IF(AND(ISNUMBER(B902),ISNUMBER(B901)),ABS(B902-B901),"")</f>
        <v/>
      </c>
      <c r="D902" s="13">
        <f>IF(AND(ISNUMBER(B902),ISNUMBER($B$88),ISNUMBER($D$88)),IF(B902&gt;$D$88,"boven UCL",IF(B902&lt;$B$88,"onder LCL","")),"")</f>
        <v/>
      </c>
      <c r="E902" s="13">
        <f>IF(AND(ISNUMBER(C902),ISNUMBER($B$89),ISNUMBER($D$89)),IF(C902&gt;$D$89,"boven UCL",IF(C902&lt;$B$89,"onder LCL","")),"")</f>
        <v/>
      </c>
      <c r="G902" t="n">
        <v>796</v>
      </c>
      <c r="H902" s="7" t="n"/>
      <c r="I902" s="7" t="n"/>
      <c r="J902" s="11">
        <f>IF(AND(ISNUMBER(H902),ISNUMBER(I902),H902&gt;0,ISNUMBER($B$94)),I902/H902,"")</f>
        <v/>
      </c>
      <c r="K902" s="11">
        <f>IF(AND(ISNUMBER(H902),ISNUMBER(I902),H902&gt;0,ISNUMBER($B$94)),MAX(0,$B$94-3*SQRT($B$94*(1-$B$94)/H902)),"")</f>
        <v/>
      </c>
      <c r="L902" s="11">
        <f>IF(AND(ISNUMBER(H902),ISNUMBER(I902),H902&gt;0,ISNUMBER($B$94)),$B$94+3*SQRT($B$94*(1-$B$94)/H902),"")</f>
        <v/>
      </c>
      <c r="M902" s="13">
        <f>IF(AND(ISNUMBER(J902),ISNUMBER(K902),ISNUMBER(L902)),IF(J902&gt;L902,"boven UCL",IF(J902&lt;K902,"onder LCL","")),"")</f>
        <v/>
      </c>
      <c r="O902" t="n">
        <v>796</v>
      </c>
      <c r="P902" s="7" t="n"/>
      <c r="Q902" s="7" t="n"/>
      <c r="R902" s="11">
        <f>IF(AND(ISNUMBER(P902),ISNUMBER(Q902),P902&gt;0,ISNUMBER($B$100)),Q902/P902,"")</f>
        <v/>
      </c>
      <c r="S902" s="11">
        <f>IF(AND(ISNUMBER(P902),ISNUMBER(Q902),P902&gt;0,ISNUMBER($B$100)),MAX(0,$B$100-3*SQRT($B$100/P902)),"")</f>
        <v/>
      </c>
      <c r="T902" s="11">
        <f>IF(AND(ISNUMBER(P902),ISNUMBER(Q902),P902&gt;0,ISNUMBER($B$100)),$B$100+3*SQRT($B$100/P902),"")</f>
        <v/>
      </c>
      <c r="U902" s="13">
        <f>IF(AND(ISNUMBER(R902),ISNUMBER(S902),ISNUMBER(T902)),IF(R902&gt;T902,"boven UCL",IF(R902&lt;S902,"onder LCL","")),"")</f>
        <v/>
      </c>
    </row>
    <row r="903">
      <c r="A903" t="n">
        <v>797</v>
      </c>
      <c r="B903" s="7" t="n"/>
      <c r="C903" s="11">
        <f>IF(AND(ISNUMBER(B903),ISNUMBER(B902)),ABS(B903-B902),"")</f>
        <v/>
      </c>
      <c r="D903" s="13">
        <f>IF(AND(ISNUMBER(B903),ISNUMBER($B$88),ISNUMBER($D$88)),IF(B903&gt;$D$88,"boven UCL",IF(B903&lt;$B$88,"onder LCL","")),"")</f>
        <v/>
      </c>
      <c r="E903" s="13">
        <f>IF(AND(ISNUMBER(C903),ISNUMBER($B$89),ISNUMBER($D$89)),IF(C903&gt;$D$89,"boven UCL",IF(C903&lt;$B$89,"onder LCL","")),"")</f>
        <v/>
      </c>
      <c r="G903" t="n">
        <v>797</v>
      </c>
      <c r="H903" s="7" t="n"/>
      <c r="I903" s="7" t="n"/>
      <c r="J903" s="11">
        <f>IF(AND(ISNUMBER(H903),ISNUMBER(I903),H903&gt;0,ISNUMBER($B$94)),I903/H903,"")</f>
        <v/>
      </c>
      <c r="K903" s="11">
        <f>IF(AND(ISNUMBER(H903),ISNUMBER(I903),H903&gt;0,ISNUMBER($B$94)),MAX(0,$B$94-3*SQRT($B$94*(1-$B$94)/H903)),"")</f>
        <v/>
      </c>
      <c r="L903" s="11">
        <f>IF(AND(ISNUMBER(H903),ISNUMBER(I903),H903&gt;0,ISNUMBER($B$94)),$B$94+3*SQRT($B$94*(1-$B$94)/H903),"")</f>
        <v/>
      </c>
      <c r="M903" s="13">
        <f>IF(AND(ISNUMBER(J903),ISNUMBER(K903),ISNUMBER(L903)),IF(J903&gt;L903,"boven UCL",IF(J903&lt;K903,"onder LCL","")),"")</f>
        <v/>
      </c>
      <c r="O903" t="n">
        <v>797</v>
      </c>
      <c r="P903" s="7" t="n"/>
      <c r="Q903" s="7" t="n"/>
      <c r="R903" s="11">
        <f>IF(AND(ISNUMBER(P903),ISNUMBER(Q903),P903&gt;0,ISNUMBER($B$100)),Q903/P903,"")</f>
        <v/>
      </c>
      <c r="S903" s="11">
        <f>IF(AND(ISNUMBER(P903),ISNUMBER(Q903),P903&gt;0,ISNUMBER($B$100)),MAX(0,$B$100-3*SQRT($B$100/P903)),"")</f>
        <v/>
      </c>
      <c r="T903" s="11">
        <f>IF(AND(ISNUMBER(P903),ISNUMBER(Q903),P903&gt;0,ISNUMBER($B$100)),$B$100+3*SQRT($B$100/P903),"")</f>
        <v/>
      </c>
      <c r="U903" s="13">
        <f>IF(AND(ISNUMBER(R903),ISNUMBER(S903),ISNUMBER(T903)),IF(R903&gt;T903,"boven UCL",IF(R903&lt;S903,"onder LCL","")),"")</f>
        <v/>
      </c>
    </row>
    <row r="904">
      <c r="A904" t="n">
        <v>798</v>
      </c>
      <c r="B904" s="7" t="n"/>
      <c r="C904" s="11">
        <f>IF(AND(ISNUMBER(B904),ISNUMBER(B903)),ABS(B904-B903),"")</f>
        <v/>
      </c>
      <c r="D904" s="13">
        <f>IF(AND(ISNUMBER(B904),ISNUMBER($B$88),ISNUMBER($D$88)),IF(B904&gt;$D$88,"boven UCL",IF(B904&lt;$B$88,"onder LCL","")),"")</f>
        <v/>
      </c>
      <c r="E904" s="13">
        <f>IF(AND(ISNUMBER(C904),ISNUMBER($B$89),ISNUMBER($D$89)),IF(C904&gt;$D$89,"boven UCL",IF(C904&lt;$B$89,"onder LCL","")),"")</f>
        <v/>
      </c>
      <c r="G904" t="n">
        <v>798</v>
      </c>
      <c r="H904" s="7" t="n"/>
      <c r="I904" s="7" t="n"/>
      <c r="J904" s="11">
        <f>IF(AND(ISNUMBER(H904),ISNUMBER(I904),H904&gt;0,ISNUMBER($B$94)),I904/H904,"")</f>
        <v/>
      </c>
      <c r="K904" s="11">
        <f>IF(AND(ISNUMBER(H904),ISNUMBER(I904),H904&gt;0,ISNUMBER($B$94)),MAX(0,$B$94-3*SQRT($B$94*(1-$B$94)/H904)),"")</f>
        <v/>
      </c>
      <c r="L904" s="11">
        <f>IF(AND(ISNUMBER(H904),ISNUMBER(I904),H904&gt;0,ISNUMBER($B$94)),$B$94+3*SQRT($B$94*(1-$B$94)/H904),"")</f>
        <v/>
      </c>
      <c r="M904" s="13">
        <f>IF(AND(ISNUMBER(J904),ISNUMBER(K904),ISNUMBER(L904)),IF(J904&gt;L904,"boven UCL",IF(J904&lt;K904,"onder LCL","")),"")</f>
        <v/>
      </c>
      <c r="O904" t="n">
        <v>798</v>
      </c>
      <c r="P904" s="7" t="n"/>
      <c r="Q904" s="7" t="n"/>
      <c r="R904" s="11">
        <f>IF(AND(ISNUMBER(P904),ISNUMBER(Q904),P904&gt;0,ISNUMBER($B$100)),Q904/P904,"")</f>
        <v/>
      </c>
      <c r="S904" s="11">
        <f>IF(AND(ISNUMBER(P904),ISNUMBER(Q904),P904&gt;0,ISNUMBER($B$100)),MAX(0,$B$100-3*SQRT($B$100/P904)),"")</f>
        <v/>
      </c>
      <c r="T904" s="11">
        <f>IF(AND(ISNUMBER(P904),ISNUMBER(Q904),P904&gt;0,ISNUMBER($B$100)),$B$100+3*SQRT($B$100/P904),"")</f>
        <v/>
      </c>
      <c r="U904" s="13">
        <f>IF(AND(ISNUMBER(R904),ISNUMBER(S904),ISNUMBER(T904)),IF(R904&gt;T904,"boven UCL",IF(R904&lt;S904,"onder LCL","")),"")</f>
        <v/>
      </c>
    </row>
    <row r="905">
      <c r="A905" t="n">
        <v>799</v>
      </c>
      <c r="B905" s="7" t="n"/>
      <c r="C905" s="11">
        <f>IF(AND(ISNUMBER(B905),ISNUMBER(B904)),ABS(B905-B904),"")</f>
        <v/>
      </c>
      <c r="D905" s="13">
        <f>IF(AND(ISNUMBER(B905),ISNUMBER($B$88),ISNUMBER($D$88)),IF(B905&gt;$D$88,"boven UCL",IF(B905&lt;$B$88,"onder LCL","")),"")</f>
        <v/>
      </c>
      <c r="E905" s="13">
        <f>IF(AND(ISNUMBER(C905),ISNUMBER($B$89),ISNUMBER($D$89)),IF(C905&gt;$D$89,"boven UCL",IF(C905&lt;$B$89,"onder LCL","")),"")</f>
        <v/>
      </c>
      <c r="G905" t="n">
        <v>799</v>
      </c>
      <c r="H905" s="7" t="n"/>
      <c r="I905" s="7" t="n"/>
      <c r="J905" s="11">
        <f>IF(AND(ISNUMBER(H905),ISNUMBER(I905),H905&gt;0,ISNUMBER($B$94)),I905/H905,"")</f>
        <v/>
      </c>
      <c r="K905" s="11">
        <f>IF(AND(ISNUMBER(H905),ISNUMBER(I905),H905&gt;0,ISNUMBER($B$94)),MAX(0,$B$94-3*SQRT($B$94*(1-$B$94)/H905)),"")</f>
        <v/>
      </c>
      <c r="L905" s="11">
        <f>IF(AND(ISNUMBER(H905),ISNUMBER(I905),H905&gt;0,ISNUMBER($B$94)),$B$94+3*SQRT($B$94*(1-$B$94)/H905),"")</f>
        <v/>
      </c>
      <c r="M905" s="13">
        <f>IF(AND(ISNUMBER(J905),ISNUMBER(K905),ISNUMBER(L905)),IF(J905&gt;L905,"boven UCL",IF(J905&lt;K905,"onder LCL","")),"")</f>
        <v/>
      </c>
      <c r="O905" t="n">
        <v>799</v>
      </c>
      <c r="P905" s="7" t="n"/>
      <c r="Q905" s="7" t="n"/>
      <c r="R905" s="11">
        <f>IF(AND(ISNUMBER(P905),ISNUMBER(Q905),P905&gt;0,ISNUMBER($B$100)),Q905/P905,"")</f>
        <v/>
      </c>
      <c r="S905" s="11">
        <f>IF(AND(ISNUMBER(P905),ISNUMBER(Q905),P905&gt;0,ISNUMBER($B$100)),MAX(0,$B$100-3*SQRT($B$100/P905)),"")</f>
        <v/>
      </c>
      <c r="T905" s="11">
        <f>IF(AND(ISNUMBER(P905),ISNUMBER(Q905),P905&gt;0,ISNUMBER($B$100)),$B$100+3*SQRT($B$100/P905),"")</f>
        <v/>
      </c>
      <c r="U905" s="13">
        <f>IF(AND(ISNUMBER(R905),ISNUMBER(S905),ISNUMBER(T905)),IF(R905&gt;T905,"boven UCL",IF(R905&lt;S905,"onder LCL","")),"")</f>
        <v/>
      </c>
    </row>
    <row r="906">
      <c r="A906" t="n">
        <v>800</v>
      </c>
      <c r="B906" s="7" t="n"/>
      <c r="C906" s="11">
        <f>IF(AND(ISNUMBER(B906),ISNUMBER(B905)),ABS(B906-B905),"")</f>
        <v/>
      </c>
      <c r="D906" s="13">
        <f>IF(AND(ISNUMBER(B906),ISNUMBER($B$88),ISNUMBER($D$88)),IF(B906&gt;$D$88,"boven UCL",IF(B906&lt;$B$88,"onder LCL","")),"")</f>
        <v/>
      </c>
      <c r="E906" s="13">
        <f>IF(AND(ISNUMBER(C906),ISNUMBER($B$89),ISNUMBER($D$89)),IF(C906&gt;$D$89,"boven UCL",IF(C906&lt;$B$89,"onder LCL","")),"")</f>
        <v/>
      </c>
      <c r="G906" t="n">
        <v>800</v>
      </c>
      <c r="H906" s="7" t="n"/>
      <c r="I906" s="7" t="n"/>
      <c r="J906" s="11">
        <f>IF(AND(ISNUMBER(H906),ISNUMBER(I906),H906&gt;0,ISNUMBER($B$94)),I906/H906,"")</f>
        <v/>
      </c>
      <c r="K906" s="11">
        <f>IF(AND(ISNUMBER(H906),ISNUMBER(I906),H906&gt;0,ISNUMBER($B$94)),MAX(0,$B$94-3*SQRT($B$94*(1-$B$94)/H906)),"")</f>
        <v/>
      </c>
      <c r="L906" s="11">
        <f>IF(AND(ISNUMBER(H906),ISNUMBER(I906),H906&gt;0,ISNUMBER($B$94)),$B$94+3*SQRT($B$94*(1-$B$94)/H906),"")</f>
        <v/>
      </c>
      <c r="M906" s="13">
        <f>IF(AND(ISNUMBER(J906),ISNUMBER(K906),ISNUMBER(L906)),IF(J906&gt;L906,"boven UCL",IF(J906&lt;K906,"onder LCL","")),"")</f>
        <v/>
      </c>
      <c r="O906" t="n">
        <v>800</v>
      </c>
      <c r="P906" s="7" t="n"/>
      <c r="Q906" s="7" t="n"/>
      <c r="R906" s="11">
        <f>IF(AND(ISNUMBER(P906),ISNUMBER(Q906),P906&gt;0,ISNUMBER($B$100)),Q906/P906,"")</f>
        <v/>
      </c>
      <c r="S906" s="11">
        <f>IF(AND(ISNUMBER(P906),ISNUMBER(Q906),P906&gt;0,ISNUMBER($B$100)),MAX(0,$B$100-3*SQRT($B$100/P906)),"")</f>
        <v/>
      </c>
      <c r="T906" s="11">
        <f>IF(AND(ISNUMBER(P906),ISNUMBER(Q906),P906&gt;0,ISNUMBER($B$100)),$B$100+3*SQRT($B$100/P906),"")</f>
        <v/>
      </c>
      <c r="U906" s="13">
        <f>IF(AND(ISNUMBER(R906),ISNUMBER(S906),ISNUMBER(T906)),IF(R906&gt;T906,"boven UCL",IF(R906&lt;S906,"onder LCL","")),"")</f>
        <v/>
      </c>
    </row>
    <row r="907">
      <c r="A907" t="n">
        <v>801</v>
      </c>
      <c r="B907" s="7" t="n"/>
      <c r="C907" s="11">
        <f>IF(AND(ISNUMBER(B907),ISNUMBER(B906)),ABS(B907-B906),"")</f>
        <v/>
      </c>
      <c r="D907" s="13">
        <f>IF(AND(ISNUMBER(B907),ISNUMBER($B$88),ISNUMBER($D$88)),IF(B907&gt;$D$88,"boven UCL",IF(B907&lt;$B$88,"onder LCL","")),"")</f>
        <v/>
      </c>
      <c r="E907" s="13">
        <f>IF(AND(ISNUMBER(C907),ISNUMBER($B$89),ISNUMBER($D$89)),IF(C907&gt;$D$89,"boven UCL",IF(C907&lt;$B$89,"onder LCL","")),"")</f>
        <v/>
      </c>
      <c r="G907" t="n">
        <v>801</v>
      </c>
      <c r="H907" s="7" t="n"/>
      <c r="I907" s="7" t="n"/>
      <c r="J907" s="11">
        <f>IF(AND(ISNUMBER(H907),ISNUMBER(I907),H907&gt;0,ISNUMBER($B$94)),I907/H907,"")</f>
        <v/>
      </c>
      <c r="K907" s="11">
        <f>IF(AND(ISNUMBER(H907),ISNUMBER(I907),H907&gt;0,ISNUMBER($B$94)),MAX(0,$B$94-3*SQRT($B$94*(1-$B$94)/H907)),"")</f>
        <v/>
      </c>
      <c r="L907" s="11">
        <f>IF(AND(ISNUMBER(H907),ISNUMBER(I907),H907&gt;0,ISNUMBER($B$94)),$B$94+3*SQRT($B$94*(1-$B$94)/H907),"")</f>
        <v/>
      </c>
      <c r="M907" s="13">
        <f>IF(AND(ISNUMBER(J907),ISNUMBER(K907),ISNUMBER(L907)),IF(J907&gt;L907,"boven UCL",IF(J907&lt;K907,"onder LCL","")),"")</f>
        <v/>
      </c>
      <c r="O907" t="n">
        <v>801</v>
      </c>
      <c r="P907" s="7" t="n"/>
      <c r="Q907" s="7" t="n"/>
      <c r="R907" s="11">
        <f>IF(AND(ISNUMBER(P907),ISNUMBER(Q907),P907&gt;0,ISNUMBER($B$100)),Q907/P907,"")</f>
        <v/>
      </c>
      <c r="S907" s="11">
        <f>IF(AND(ISNUMBER(P907),ISNUMBER(Q907),P907&gt;0,ISNUMBER($B$100)),MAX(0,$B$100-3*SQRT($B$100/P907)),"")</f>
        <v/>
      </c>
      <c r="T907" s="11">
        <f>IF(AND(ISNUMBER(P907),ISNUMBER(Q907),P907&gt;0,ISNUMBER($B$100)),$B$100+3*SQRT($B$100/P907),"")</f>
        <v/>
      </c>
      <c r="U907" s="13">
        <f>IF(AND(ISNUMBER(R907),ISNUMBER(S907),ISNUMBER(T907)),IF(R907&gt;T907,"boven UCL",IF(R907&lt;S907,"onder LCL","")),"")</f>
        <v/>
      </c>
    </row>
    <row r="908">
      <c r="A908" t="n">
        <v>802</v>
      </c>
      <c r="B908" s="7" t="n"/>
      <c r="C908" s="11">
        <f>IF(AND(ISNUMBER(B908),ISNUMBER(B907)),ABS(B908-B907),"")</f>
        <v/>
      </c>
      <c r="D908" s="13">
        <f>IF(AND(ISNUMBER(B908),ISNUMBER($B$88),ISNUMBER($D$88)),IF(B908&gt;$D$88,"boven UCL",IF(B908&lt;$B$88,"onder LCL","")),"")</f>
        <v/>
      </c>
      <c r="E908" s="13">
        <f>IF(AND(ISNUMBER(C908),ISNUMBER($B$89),ISNUMBER($D$89)),IF(C908&gt;$D$89,"boven UCL",IF(C908&lt;$B$89,"onder LCL","")),"")</f>
        <v/>
      </c>
      <c r="G908" t="n">
        <v>802</v>
      </c>
      <c r="H908" s="7" t="n"/>
      <c r="I908" s="7" t="n"/>
      <c r="J908" s="11">
        <f>IF(AND(ISNUMBER(H908),ISNUMBER(I908),H908&gt;0,ISNUMBER($B$94)),I908/H908,"")</f>
        <v/>
      </c>
      <c r="K908" s="11">
        <f>IF(AND(ISNUMBER(H908),ISNUMBER(I908),H908&gt;0,ISNUMBER($B$94)),MAX(0,$B$94-3*SQRT($B$94*(1-$B$94)/H908)),"")</f>
        <v/>
      </c>
      <c r="L908" s="11">
        <f>IF(AND(ISNUMBER(H908),ISNUMBER(I908),H908&gt;0,ISNUMBER($B$94)),$B$94+3*SQRT($B$94*(1-$B$94)/H908),"")</f>
        <v/>
      </c>
      <c r="M908" s="13">
        <f>IF(AND(ISNUMBER(J908),ISNUMBER(K908),ISNUMBER(L908)),IF(J908&gt;L908,"boven UCL",IF(J908&lt;K908,"onder LCL","")),"")</f>
        <v/>
      </c>
      <c r="O908" t="n">
        <v>802</v>
      </c>
      <c r="P908" s="7" t="n"/>
      <c r="Q908" s="7" t="n"/>
      <c r="R908" s="11">
        <f>IF(AND(ISNUMBER(P908),ISNUMBER(Q908),P908&gt;0,ISNUMBER($B$100)),Q908/P908,"")</f>
        <v/>
      </c>
      <c r="S908" s="11">
        <f>IF(AND(ISNUMBER(P908),ISNUMBER(Q908),P908&gt;0,ISNUMBER($B$100)),MAX(0,$B$100-3*SQRT($B$100/P908)),"")</f>
        <v/>
      </c>
      <c r="T908" s="11">
        <f>IF(AND(ISNUMBER(P908),ISNUMBER(Q908),P908&gt;0,ISNUMBER($B$100)),$B$100+3*SQRT($B$100/P908),"")</f>
        <v/>
      </c>
      <c r="U908" s="13">
        <f>IF(AND(ISNUMBER(R908),ISNUMBER(S908),ISNUMBER(T908)),IF(R908&gt;T908,"boven UCL",IF(R908&lt;S908,"onder LCL","")),"")</f>
        <v/>
      </c>
    </row>
    <row r="909">
      <c r="A909" t="n">
        <v>803</v>
      </c>
      <c r="B909" s="7" t="n"/>
      <c r="C909" s="11">
        <f>IF(AND(ISNUMBER(B909),ISNUMBER(B908)),ABS(B909-B908),"")</f>
        <v/>
      </c>
      <c r="D909" s="13">
        <f>IF(AND(ISNUMBER(B909),ISNUMBER($B$88),ISNUMBER($D$88)),IF(B909&gt;$D$88,"boven UCL",IF(B909&lt;$B$88,"onder LCL","")),"")</f>
        <v/>
      </c>
      <c r="E909" s="13">
        <f>IF(AND(ISNUMBER(C909),ISNUMBER($B$89),ISNUMBER($D$89)),IF(C909&gt;$D$89,"boven UCL",IF(C909&lt;$B$89,"onder LCL","")),"")</f>
        <v/>
      </c>
      <c r="G909" t="n">
        <v>803</v>
      </c>
      <c r="H909" s="7" t="n"/>
      <c r="I909" s="7" t="n"/>
      <c r="J909" s="11">
        <f>IF(AND(ISNUMBER(H909),ISNUMBER(I909),H909&gt;0,ISNUMBER($B$94)),I909/H909,"")</f>
        <v/>
      </c>
      <c r="K909" s="11">
        <f>IF(AND(ISNUMBER(H909),ISNUMBER(I909),H909&gt;0,ISNUMBER($B$94)),MAX(0,$B$94-3*SQRT($B$94*(1-$B$94)/H909)),"")</f>
        <v/>
      </c>
      <c r="L909" s="11">
        <f>IF(AND(ISNUMBER(H909),ISNUMBER(I909),H909&gt;0,ISNUMBER($B$94)),$B$94+3*SQRT($B$94*(1-$B$94)/H909),"")</f>
        <v/>
      </c>
      <c r="M909" s="13">
        <f>IF(AND(ISNUMBER(J909),ISNUMBER(K909),ISNUMBER(L909)),IF(J909&gt;L909,"boven UCL",IF(J909&lt;K909,"onder LCL","")),"")</f>
        <v/>
      </c>
      <c r="O909" t="n">
        <v>803</v>
      </c>
      <c r="P909" s="7" t="n"/>
      <c r="Q909" s="7" t="n"/>
      <c r="R909" s="11">
        <f>IF(AND(ISNUMBER(P909),ISNUMBER(Q909),P909&gt;0,ISNUMBER($B$100)),Q909/P909,"")</f>
        <v/>
      </c>
      <c r="S909" s="11">
        <f>IF(AND(ISNUMBER(P909),ISNUMBER(Q909),P909&gt;0,ISNUMBER($B$100)),MAX(0,$B$100-3*SQRT($B$100/P909)),"")</f>
        <v/>
      </c>
      <c r="T909" s="11">
        <f>IF(AND(ISNUMBER(P909),ISNUMBER(Q909),P909&gt;0,ISNUMBER($B$100)),$B$100+3*SQRT($B$100/P909),"")</f>
        <v/>
      </c>
      <c r="U909" s="13">
        <f>IF(AND(ISNUMBER(R909),ISNUMBER(S909),ISNUMBER(T909)),IF(R909&gt;T909,"boven UCL",IF(R909&lt;S909,"onder LCL","")),"")</f>
        <v/>
      </c>
    </row>
    <row r="910">
      <c r="A910" t="n">
        <v>804</v>
      </c>
      <c r="B910" s="7" t="n"/>
      <c r="C910" s="11">
        <f>IF(AND(ISNUMBER(B910),ISNUMBER(B909)),ABS(B910-B909),"")</f>
        <v/>
      </c>
      <c r="D910" s="13">
        <f>IF(AND(ISNUMBER(B910),ISNUMBER($B$88),ISNUMBER($D$88)),IF(B910&gt;$D$88,"boven UCL",IF(B910&lt;$B$88,"onder LCL","")),"")</f>
        <v/>
      </c>
      <c r="E910" s="13">
        <f>IF(AND(ISNUMBER(C910),ISNUMBER($B$89),ISNUMBER($D$89)),IF(C910&gt;$D$89,"boven UCL",IF(C910&lt;$B$89,"onder LCL","")),"")</f>
        <v/>
      </c>
      <c r="G910" t="n">
        <v>804</v>
      </c>
      <c r="H910" s="7" t="n"/>
      <c r="I910" s="7" t="n"/>
      <c r="J910" s="11">
        <f>IF(AND(ISNUMBER(H910),ISNUMBER(I910),H910&gt;0,ISNUMBER($B$94)),I910/H910,"")</f>
        <v/>
      </c>
      <c r="K910" s="11">
        <f>IF(AND(ISNUMBER(H910),ISNUMBER(I910),H910&gt;0,ISNUMBER($B$94)),MAX(0,$B$94-3*SQRT($B$94*(1-$B$94)/H910)),"")</f>
        <v/>
      </c>
      <c r="L910" s="11">
        <f>IF(AND(ISNUMBER(H910),ISNUMBER(I910),H910&gt;0,ISNUMBER($B$94)),$B$94+3*SQRT($B$94*(1-$B$94)/H910),"")</f>
        <v/>
      </c>
      <c r="M910" s="13">
        <f>IF(AND(ISNUMBER(J910),ISNUMBER(K910),ISNUMBER(L910)),IF(J910&gt;L910,"boven UCL",IF(J910&lt;K910,"onder LCL","")),"")</f>
        <v/>
      </c>
      <c r="O910" t="n">
        <v>804</v>
      </c>
      <c r="P910" s="7" t="n"/>
      <c r="Q910" s="7" t="n"/>
      <c r="R910" s="11">
        <f>IF(AND(ISNUMBER(P910),ISNUMBER(Q910),P910&gt;0,ISNUMBER($B$100)),Q910/P910,"")</f>
        <v/>
      </c>
      <c r="S910" s="11">
        <f>IF(AND(ISNUMBER(P910),ISNUMBER(Q910),P910&gt;0,ISNUMBER($B$100)),MAX(0,$B$100-3*SQRT($B$100/P910)),"")</f>
        <v/>
      </c>
      <c r="T910" s="11">
        <f>IF(AND(ISNUMBER(P910),ISNUMBER(Q910),P910&gt;0,ISNUMBER($B$100)),$B$100+3*SQRT($B$100/P910),"")</f>
        <v/>
      </c>
      <c r="U910" s="13">
        <f>IF(AND(ISNUMBER(R910),ISNUMBER(S910),ISNUMBER(T910)),IF(R910&gt;T910,"boven UCL",IF(R910&lt;S910,"onder LCL","")),"")</f>
        <v/>
      </c>
    </row>
    <row r="911">
      <c r="A911" t="n">
        <v>805</v>
      </c>
      <c r="B911" s="7" t="n"/>
      <c r="C911" s="11">
        <f>IF(AND(ISNUMBER(B911),ISNUMBER(B910)),ABS(B911-B910),"")</f>
        <v/>
      </c>
      <c r="D911" s="13">
        <f>IF(AND(ISNUMBER(B911),ISNUMBER($B$88),ISNUMBER($D$88)),IF(B911&gt;$D$88,"boven UCL",IF(B911&lt;$B$88,"onder LCL","")),"")</f>
        <v/>
      </c>
      <c r="E911" s="13">
        <f>IF(AND(ISNUMBER(C911),ISNUMBER($B$89),ISNUMBER($D$89)),IF(C911&gt;$D$89,"boven UCL",IF(C911&lt;$B$89,"onder LCL","")),"")</f>
        <v/>
      </c>
      <c r="G911" t="n">
        <v>805</v>
      </c>
      <c r="H911" s="7" t="n"/>
      <c r="I911" s="7" t="n"/>
      <c r="J911" s="11">
        <f>IF(AND(ISNUMBER(H911),ISNUMBER(I911),H911&gt;0,ISNUMBER($B$94)),I911/H911,"")</f>
        <v/>
      </c>
      <c r="K911" s="11">
        <f>IF(AND(ISNUMBER(H911),ISNUMBER(I911),H911&gt;0,ISNUMBER($B$94)),MAX(0,$B$94-3*SQRT($B$94*(1-$B$94)/H911)),"")</f>
        <v/>
      </c>
      <c r="L911" s="11">
        <f>IF(AND(ISNUMBER(H911),ISNUMBER(I911),H911&gt;0,ISNUMBER($B$94)),$B$94+3*SQRT($B$94*(1-$B$94)/H911),"")</f>
        <v/>
      </c>
      <c r="M911" s="13">
        <f>IF(AND(ISNUMBER(J911),ISNUMBER(K911),ISNUMBER(L911)),IF(J911&gt;L911,"boven UCL",IF(J911&lt;K911,"onder LCL","")),"")</f>
        <v/>
      </c>
      <c r="O911" t="n">
        <v>805</v>
      </c>
      <c r="P911" s="7" t="n"/>
      <c r="Q911" s="7" t="n"/>
      <c r="R911" s="11">
        <f>IF(AND(ISNUMBER(P911),ISNUMBER(Q911),P911&gt;0,ISNUMBER($B$100)),Q911/P911,"")</f>
        <v/>
      </c>
      <c r="S911" s="11">
        <f>IF(AND(ISNUMBER(P911),ISNUMBER(Q911),P911&gt;0,ISNUMBER($B$100)),MAX(0,$B$100-3*SQRT($B$100/P911)),"")</f>
        <v/>
      </c>
      <c r="T911" s="11">
        <f>IF(AND(ISNUMBER(P911),ISNUMBER(Q911),P911&gt;0,ISNUMBER($B$100)),$B$100+3*SQRT($B$100/P911),"")</f>
        <v/>
      </c>
      <c r="U911" s="13">
        <f>IF(AND(ISNUMBER(R911),ISNUMBER(S911),ISNUMBER(T911)),IF(R911&gt;T911,"boven UCL",IF(R911&lt;S911,"onder LCL","")),"")</f>
        <v/>
      </c>
    </row>
    <row r="912">
      <c r="A912" t="n">
        <v>806</v>
      </c>
      <c r="B912" s="7" t="n"/>
      <c r="C912" s="11">
        <f>IF(AND(ISNUMBER(B912),ISNUMBER(B911)),ABS(B912-B911),"")</f>
        <v/>
      </c>
      <c r="D912" s="13">
        <f>IF(AND(ISNUMBER(B912),ISNUMBER($B$88),ISNUMBER($D$88)),IF(B912&gt;$D$88,"boven UCL",IF(B912&lt;$B$88,"onder LCL","")),"")</f>
        <v/>
      </c>
      <c r="E912" s="13">
        <f>IF(AND(ISNUMBER(C912),ISNUMBER($B$89),ISNUMBER($D$89)),IF(C912&gt;$D$89,"boven UCL",IF(C912&lt;$B$89,"onder LCL","")),"")</f>
        <v/>
      </c>
      <c r="G912" t="n">
        <v>806</v>
      </c>
      <c r="H912" s="7" t="n"/>
      <c r="I912" s="7" t="n"/>
      <c r="J912" s="11">
        <f>IF(AND(ISNUMBER(H912),ISNUMBER(I912),H912&gt;0,ISNUMBER($B$94)),I912/H912,"")</f>
        <v/>
      </c>
      <c r="K912" s="11">
        <f>IF(AND(ISNUMBER(H912),ISNUMBER(I912),H912&gt;0,ISNUMBER($B$94)),MAX(0,$B$94-3*SQRT($B$94*(1-$B$94)/H912)),"")</f>
        <v/>
      </c>
      <c r="L912" s="11">
        <f>IF(AND(ISNUMBER(H912),ISNUMBER(I912),H912&gt;0,ISNUMBER($B$94)),$B$94+3*SQRT($B$94*(1-$B$94)/H912),"")</f>
        <v/>
      </c>
      <c r="M912" s="13">
        <f>IF(AND(ISNUMBER(J912),ISNUMBER(K912),ISNUMBER(L912)),IF(J912&gt;L912,"boven UCL",IF(J912&lt;K912,"onder LCL","")),"")</f>
        <v/>
      </c>
      <c r="O912" t="n">
        <v>806</v>
      </c>
      <c r="P912" s="7" t="n"/>
      <c r="Q912" s="7" t="n"/>
      <c r="R912" s="11">
        <f>IF(AND(ISNUMBER(P912),ISNUMBER(Q912),P912&gt;0,ISNUMBER($B$100)),Q912/P912,"")</f>
        <v/>
      </c>
      <c r="S912" s="11">
        <f>IF(AND(ISNUMBER(P912),ISNUMBER(Q912),P912&gt;0,ISNUMBER($B$100)),MAX(0,$B$100-3*SQRT($B$100/P912)),"")</f>
        <v/>
      </c>
      <c r="T912" s="11">
        <f>IF(AND(ISNUMBER(P912),ISNUMBER(Q912),P912&gt;0,ISNUMBER($B$100)),$B$100+3*SQRT($B$100/P912),"")</f>
        <v/>
      </c>
      <c r="U912" s="13">
        <f>IF(AND(ISNUMBER(R912),ISNUMBER(S912),ISNUMBER(T912)),IF(R912&gt;T912,"boven UCL",IF(R912&lt;S912,"onder LCL","")),"")</f>
        <v/>
      </c>
    </row>
    <row r="913">
      <c r="A913" t="n">
        <v>807</v>
      </c>
      <c r="B913" s="7" t="n"/>
      <c r="C913" s="11">
        <f>IF(AND(ISNUMBER(B913),ISNUMBER(B912)),ABS(B913-B912),"")</f>
        <v/>
      </c>
      <c r="D913" s="13">
        <f>IF(AND(ISNUMBER(B913),ISNUMBER($B$88),ISNUMBER($D$88)),IF(B913&gt;$D$88,"boven UCL",IF(B913&lt;$B$88,"onder LCL","")),"")</f>
        <v/>
      </c>
      <c r="E913" s="13">
        <f>IF(AND(ISNUMBER(C913),ISNUMBER($B$89),ISNUMBER($D$89)),IF(C913&gt;$D$89,"boven UCL",IF(C913&lt;$B$89,"onder LCL","")),"")</f>
        <v/>
      </c>
      <c r="G913" t="n">
        <v>807</v>
      </c>
      <c r="H913" s="7" t="n"/>
      <c r="I913" s="7" t="n"/>
      <c r="J913" s="11">
        <f>IF(AND(ISNUMBER(H913),ISNUMBER(I913),H913&gt;0,ISNUMBER($B$94)),I913/H913,"")</f>
        <v/>
      </c>
      <c r="K913" s="11">
        <f>IF(AND(ISNUMBER(H913),ISNUMBER(I913),H913&gt;0,ISNUMBER($B$94)),MAX(0,$B$94-3*SQRT($B$94*(1-$B$94)/H913)),"")</f>
        <v/>
      </c>
      <c r="L913" s="11">
        <f>IF(AND(ISNUMBER(H913),ISNUMBER(I913),H913&gt;0,ISNUMBER($B$94)),$B$94+3*SQRT($B$94*(1-$B$94)/H913),"")</f>
        <v/>
      </c>
      <c r="M913" s="13">
        <f>IF(AND(ISNUMBER(J913),ISNUMBER(K913),ISNUMBER(L913)),IF(J913&gt;L913,"boven UCL",IF(J913&lt;K913,"onder LCL","")),"")</f>
        <v/>
      </c>
      <c r="O913" t="n">
        <v>807</v>
      </c>
      <c r="P913" s="7" t="n"/>
      <c r="Q913" s="7" t="n"/>
      <c r="R913" s="11">
        <f>IF(AND(ISNUMBER(P913),ISNUMBER(Q913),P913&gt;0,ISNUMBER($B$100)),Q913/P913,"")</f>
        <v/>
      </c>
      <c r="S913" s="11">
        <f>IF(AND(ISNUMBER(P913),ISNUMBER(Q913),P913&gt;0,ISNUMBER($B$100)),MAX(0,$B$100-3*SQRT($B$100/P913)),"")</f>
        <v/>
      </c>
      <c r="T913" s="11">
        <f>IF(AND(ISNUMBER(P913),ISNUMBER(Q913),P913&gt;0,ISNUMBER($B$100)),$B$100+3*SQRT($B$100/P913),"")</f>
        <v/>
      </c>
      <c r="U913" s="13">
        <f>IF(AND(ISNUMBER(R913),ISNUMBER(S913),ISNUMBER(T913)),IF(R913&gt;T913,"boven UCL",IF(R913&lt;S913,"onder LCL","")),"")</f>
        <v/>
      </c>
    </row>
    <row r="914">
      <c r="A914" t="n">
        <v>808</v>
      </c>
      <c r="B914" s="7" t="n"/>
      <c r="C914" s="11">
        <f>IF(AND(ISNUMBER(B914),ISNUMBER(B913)),ABS(B914-B913),"")</f>
        <v/>
      </c>
      <c r="D914" s="13">
        <f>IF(AND(ISNUMBER(B914),ISNUMBER($B$88),ISNUMBER($D$88)),IF(B914&gt;$D$88,"boven UCL",IF(B914&lt;$B$88,"onder LCL","")),"")</f>
        <v/>
      </c>
      <c r="E914" s="13">
        <f>IF(AND(ISNUMBER(C914),ISNUMBER($B$89),ISNUMBER($D$89)),IF(C914&gt;$D$89,"boven UCL",IF(C914&lt;$B$89,"onder LCL","")),"")</f>
        <v/>
      </c>
      <c r="G914" t="n">
        <v>808</v>
      </c>
      <c r="H914" s="7" t="n"/>
      <c r="I914" s="7" t="n"/>
      <c r="J914" s="11">
        <f>IF(AND(ISNUMBER(H914),ISNUMBER(I914),H914&gt;0,ISNUMBER($B$94)),I914/H914,"")</f>
        <v/>
      </c>
      <c r="K914" s="11">
        <f>IF(AND(ISNUMBER(H914),ISNUMBER(I914),H914&gt;0,ISNUMBER($B$94)),MAX(0,$B$94-3*SQRT($B$94*(1-$B$94)/H914)),"")</f>
        <v/>
      </c>
      <c r="L914" s="11">
        <f>IF(AND(ISNUMBER(H914),ISNUMBER(I914),H914&gt;0,ISNUMBER($B$94)),$B$94+3*SQRT($B$94*(1-$B$94)/H914),"")</f>
        <v/>
      </c>
      <c r="M914" s="13">
        <f>IF(AND(ISNUMBER(J914),ISNUMBER(K914),ISNUMBER(L914)),IF(J914&gt;L914,"boven UCL",IF(J914&lt;K914,"onder LCL","")),"")</f>
        <v/>
      </c>
      <c r="O914" t="n">
        <v>808</v>
      </c>
      <c r="P914" s="7" t="n"/>
      <c r="Q914" s="7" t="n"/>
      <c r="R914" s="11">
        <f>IF(AND(ISNUMBER(P914),ISNUMBER(Q914),P914&gt;0,ISNUMBER($B$100)),Q914/P914,"")</f>
        <v/>
      </c>
      <c r="S914" s="11">
        <f>IF(AND(ISNUMBER(P914),ISNUMBER(Q914),P914&gt;0,ISNUMBER($B$100)),MAX(0,$B$100-3*SQRT($B$100/P914)),"")</f>
        <v/>
      </c>
      <c r="T914" s="11">
        <f>IF(AND(ISNUMBER(P914),ISNUMBER(Q914),P914&gt;0,ISNUMBER($B$100)),$B$100+3*SQRT($B$100/P914),"")</f>
        <v/>
      </c>
      <c r="U914" s="13">
        <f>IF(AND(ISNUMBER(R914),ISNUMBER(S914),ISNUMBER(T914)),IF(R914&gt;T914,"boven UCL",IF(R914&lt;S914,"onder LCL","")),"")</f>
        <v/>
      </c>
    </row>
    <row r="915">
      <c r="A915" t="n">
        <v>809</v>
      </c>
      <c r="B915" s="7" t="n"/>
      <c r="C915" s="11">
        <f>IF(AND(ISNUMBER(B915),ISNUMBER(B914)),ABS(B915-B914),"")</f>
        <v/>
      </c>
      <c r="D915" s="13">
        <f>IF(AND(ISNUMBER(B915),ISNUMBER($B$88),ISNUMBER($D$88)),IF(B915&gt;$D$88,"boven UCL",IF(B915&lt;$B$88,"onder LCL","")),"")</f>
        <v/>
      </c>
      <c r="E915" s="13">
        <f>IF(AND(ISNUMBER(C915),ISNUMBER($B$89),ISNUMBER($D$89)),IF(C915&gt;$D$89,"boven UCL",IF(C915&lt;$B$89,"onder LCL","")),"")</f>
        <v/>
      </c>
      <c r="G915" t="n">
        <v>809</v>
      </c>
      <c r="H915" s="7" t="n"/>
      <c r="I915" s="7" t="n"/>
      <c r="J915" s="11">
        <f>IF(AND(ISNUMBER(H915),ISNUMBER(I915),H915&gt;0,ISNUMBER($B$94)),I915/H915,"")</f>
        <v/>
      </c>
      <c r="K915" s="11">
        <f>IF(AND(ISNUMBER(H915),ISNUMBER(I915),H915&gt;0,ISNUMBER($B$94)),MAX(0,$B$94-3*SQRT($B$94*(1-$B$94)/H915)),"")</f>
        <v/>
      </c>
      <c r="L915" s="11">
        <f>IF(AND(ISNUMBER(H915),ISNUMBER(I915),H915&gt;0,ISNUMBER($B$94)),$B$94+3*SQRT($B$94*(1-$B$94)/H915),"")</f>
        <v/>
      </c>
      <c r="M915" s="13">
        <f>IF(AND(ISNUMBER(J915),ISNUMBER(K915),ISNUMBER(L915)),IF(J915&gt;L915,"boven UCL",IF(J915&lt;K915,"onder LCL","")),"")</f>
        <v/>
      </c>
      <c r="O915" t="n">
        <v>809</v>
      </c>
      <c r="P915" s="7" t="n"/>
      <c r="Q915" s="7" t="n"/>
      <c r="R915" s="11">
        <f>IF(AND(ISNUMBER(P915),ISNUMBER(Q915),P915&gt;0,ISNUMBER($B$100)),Q915/P915,"")</f>
        <v/>
      </c>
      <c r="S915" s="11">
        <f>IF(AND(ISNUMBER(P915),ISNUMBER(Q915),P915&gt;0,ISNUMBER($B$100)),MAX(0,$B$100-3*SQRT($B$100/P915)),"")</f>
        <v/>
      </c>
      <c r="T915" s="11">
        <f>IF(AND(ISNUMBER(P915),ISNUMBER(Q915),P915&gt;0,ISNUMBER($B$100)),$B$100+3*SQRT($B$100/P915),"")</f>
        <v/>
      </c>
      <c r="U915" s="13">
        <f>IF(AND(ISNUMBER(R915),ISNUMBER(S915),ISNUMBER(T915)),IF(R915&gt;T915,"boven UCL",IF(R915&lt;S915,"onder LCL","")),"")</f>
        <v/>
      </c>
    </row>
    <row r="916">
      <c r="A916" t="n">
        <v>810</v>
      </c>
      <c r="B916" s="7" t="n"/>
      <c r="C916" s="11">
        <f>IF(AND(ISNUMBER(B916),ISNUMBER(B915)),ABS(B916-B915),"")</f>
        <v/>
      </c>
      <c r="D916" s="13">
        <f>IF(AND(ISNUMBER(B916),ISNUMBER($B$88),ISNUMBER($D$88)),IF(B916&gt;$D$88,"boven UCL",IF(B916&lt;$B$88,"onder LCL","")),"")</f>
        <v/>
      </c>
      <c r="E916" s="13">
        <f>IF(AND(ISNUMBER(C916),ISNUMBER($B$89),ISNUMBER($D$89)),IF(C916&gt;$D$89,"boven UCL",IF(C916&lt;$B$89,"onder LCL","")),"")</f>
        <v/>
      </c>
      <c r="G916" t="n">
        <v>810</v>
      </c>
      <c r="H916" s="7" t="n"/>
      <c r="I916" s="7" t="n"/>
      <c r="J916" s="11">
        <f>IF(AND(ISNUMBER(H916),ISNUMBER(I916),H916&gt;0,ISNUMBER($B$94)),I916/H916,"")</f>
        <v/>
      </c>
      <c r="K916" s="11">
        <f>IF(AND(ISNUMBER(H916),ISNUMBER(I916),H916&gt;0,ISNUMBER($B$94)),MAX(0,$B$94-3*SQRT($B$94*(1-$B$94)/H916)),"")</f>
        <v/>
      </c>
      <c r="L916" s="11">
        <f>IF(AND(ISNUMBER(H916),ISNUMBER(I916),H916&gt;0,ISNUMBER($B$94)),$B$94+3*SQRT($B$94*(1-$B$94)/H916),"")</f>
        <v/>
      </c>
      <c r="M916" s="13">
        <f>IF(AND(ISNUMBER(J916),ISNUMBER(K916),ISNUMBER(L916)),IF(J916&gt;L916,"boven UCL",IF(J916&lt;K916,"onder LCL","")),"")</f>
        <v/>
      </c>
      <c r="O916" t="n">
        <v>810</v>
      </c>
      <c r="P916" s="7" t="n"/>
      <c r="Q916" s="7" t="n"/>
      <c r="R916" s="11">
        <f>IF(AND(ISNUMBER(P916),ISNUMBER(Q916),P916&gt;0,ISNUMBER($B$100)),Q916/P916,"")</f>
        <v/>
      </c>
      <c r="S916" s="11">
        <f>IF(AND(ISNUMBER(P916),ISNUMBER(Q916),P916&gt;0,ISNUMBER($B$100)),MAX(0,$B$100-3*SQRT($B$100/P916)),"")</f>
        <v/>
      </c>
      <c r="T916" s="11">
        <f>IF(AND(ISNUMBER(P916),ISNUMBER(Q916),P916&gt;0,ISNUMBER($B$100)),$B$100+3*SQRT($B$100/P916),"")</f>
        <v/>
      </c>
      <c r="U916" s="13">
        <f>IF(AND(ISNUMBER(R916),ISNUMBER(S916),ISNUMBER(T916)),IF(R916&gt;T916,"boven UCL",IF(R916&lt;S916,"onder LCL","")),"")</f>
        <v/>
      </c>
    </row>
    <row r="917">
      <c r="A917" t="n">
        <v>811</v>
      </c>
      <c r="B917" s="7" t="n"/>
      <c r="C917" s="11">
        <f>IF(AND(ISNUMBER(B917),ISNUMBER(B916)),ABS(B917-B916),"")</f>
        <v/>
      </c>
      <c r="D917" s="13">
        <f>IF(AND(ISNUMBER(B917),ISNUMBER($B$88),ISNUMBER($D$88)),IF(B917&gt;$D$88,"boven UCL",IF(B917&lt;$B$88,"onder LCL","")),"")</f>
        <v/>
      </c>
      <c r="E917" s="13">
        <f>IF(AND(ISNUMBER(C917),ISNUMBER($B$89),ISNUMBER($D$89)),IF(C917&gt;$D$89,"boven UCL",IF(C917&lt;$B$89,"onder LCL","")),"")</f>
        <v/>
      </c>
      <c r="G917" t="n">
        <v>811</v>
      </c>
      <c r="H917" s="7" t="n"/>
      <c r="I917" s="7" t="n"/>
      <c r="J917" s="11">
        <f>IF(AND(ISNUMBER(H917),ISNUMBER(I917),H917&gt;0,ISNUMBER($B$94)),I917/H917,"")</f>
        <v/>
      </c>
      <c r="K917" s="11">
        <f>IF(AND(ISNUMBER(H917),ISNUMBER(I917),H917&gt;0,ISNUMBER($B$94)),MAX(0,$B$94-3*SQRT($B$94*(1-$B$94)/H917)),"")</f>
        <v/>
      </c>
      <c r="L917" s="11">
        <f>IF(AND(ISNUMBER(H917),ISNUMBER(I917),H917&gt;0,ISNUMBER($B$94)),$B$94+3*SQRT($B$94*(1-$B$94)/H917),"")</f>
        <v/>
      </c>
      <c r="M917" s="13">
        <f>IF(AND(ISNUMBER(J917),ISNUMBER(K917),ISNUMBER(L917)),IF(J917&gt;L917,"boven UCL",IF(J917&lt;K917,"onder LCL","")),"")</f>
        <v/>
      </c>
      <c r="O917" t="n">
        <v>811</v>
      </c>
      <c r="P917" s="7" t="n"/>
      <c r="Q917" s="7" t="n"/>
      <c r="R917" s="11">
        <f>IF(AND(ISNUMBER(P917),ISNUMBER(Q917),P917&gt;0,ISNUMBER($B$100)),Q917/P917,"")</f>
        <v/>
      </c>
      <c r="S917" s="11">
        <f>IF(AND(ISNUMBER(P917),ISNUMBER(Q917),P917&gt;0,ISNUMBER($B$100)),MAX(0,$B$100-3*SQRT($B$100/P917)),"")</f>
        <v/>
      </c>
      <c r="T917" s="11">
        <f>IF(AND(ISNUMBER(P917),ISNUMBER(Q917),P917&gt;0,ISNUMBER($B$100)),$B$100+3*SQRT($B$100/P917),"")</f>
        <v/>
      </c>
      <c r="U917" s="13">
        <f>IF(AND(ISNUMBER(R917),ISNUMBER(S917),ISNUMBER(T917)),IF(R917&gt;T917,"boven UCL",IF(R917&lt;S917,"onder LCL","")),"")</f>
        <v/>
      </c>
    </row>
    <row r="918">
      <c r="A918" t="n">
        <v>812</v>
      </c>
      <c r="B918" s="7" t="n"/>
      <c r="C918" s="11">
        <f>IF(AND(ISNUMBER(B918),ISNUMBER(B917)),ABS(B918-B917),"")</f>
        <v/>
      </c>
      <c r="D918" s="13">
        <f>IF(AND(ISNUMBER(B918),ISNUMBER($B$88),ISNUMBER($D$88)),IF(B918&gt;$D$88,"boven UCL",IF(B918&lt;$B$88,"onder LCL","")),"")</f>
        <v/>
      </c>
      <c r="E918" s="13">
        <f>IF(AND(ISNUMBER(C918),ISNUMBER($B$89),ISNUMBER($D$89)),IF(C918&gt;$D$89,"boven UCL",IF(C918&lt;$B$89,"onder LCL","")),"")</f>
        <v/>
      </c>
      <c r="G918" t="n">
        <v>812</v>
      </c>
      <c r="H918" s="7" t="n"/>
      <c r="I918" s="7" t="n"/>
      <c r="J918" s="11">
        <f>IF(AND(ISNUMBER(H918),ISNUMBER(I918),H918&gt;0,ISNUMBER($B$94)),I918/H918,"")</f>
        <v/>
      </c>
      <c r="K918" s="11">
        <f>IF(AND(ISNUMBER(H918),ISNUMBER(I918),H918&gt;0,ISNUMBER($B$94)),MAX(0,$B$94-3*SQRT($B$94*(1-$B$94)/H918)),"")</f>
        <v/>
      </c>
      <c r="L918" s="11">
        <f>IF(AND(ISNUMBER(H918),ISNUMBER(I918),H918&gt;0,ISNUMBER($B$94)),$B$94+3*SQRT($B$94*(1-$B$94)/H918),"")</f>
        <v/>
      </c>
      <c r="M918" s="13">
        <f>IF(AND(ISNUMBER(J918),ISNUMBER(K918),ISNUMBER(L918)),IF(J918&gt;L918,"boven UCL",IF(J918&lt;K918,"onder LCL","")),"")</f>
        <v/>
      </c>
      <c r="O918" t="n">
        <v>812</v>
      </c>
      <c r="P918" s="7" t="n"/>
      <c r="Q918" s="7" t="n"/>
      <c r="R918" s="11">
        <f>IF(AND(ISNUMBER(P918),ISNUMBER(Q918),P918&gt;0,ISNUMBER($B$100)),Q918/P918,"")</f>
        <v/>
      </c>
      <c r="S918" s="11">
        <f>IF(AND(ISNUMBER(P918),ISNUMBER(Q918),P918&gt;0,ISNUMBER($B$100)),MAX(0,$B$100-3*SQRT($B$100/P918)),"")</f>
        <v/>
      </c>
      <c r="T918" s="11">
        <f>IF(AND(ISNUMBER(P918),ISNUMBER(Q918),P918&gt;0,ISNUMBER($B$100)),$B$100+3*SQRT($B$100/P918),"")</f>
        <v/>
      </c>
      <c r="U918" s="13">
        <f>IF(AND(ISNUMBER(R918),ISNUMBER(S918),ISNUMBER(T918)),IF(R918&gt;T918,"boven UCL",IF(R918&lt;S918,"onder LCL","")),"")</f>
        <v/>
      </c>
    </row>
    <row r="919">
      <c r="A919" t="n">
        <v>813</v>
      </c>
      <c r="B919" s="7" t="n"/>
      <c r="C919" s="11">
        <f>IF(AND(ISNUMBER(B919),ISNUMBER(B918)),ABS(B919-B918),"")</f>
        <v/>
      </c>
      <c r="D919" s="13">
        <f>IF(AND(ISNUMBER(B919),ISNUMBER($B$88),ISNUMBER($D$88)),IF(B919&gt;$D$88,"boven UCL",IF(B919&lt;$B$88,"onder LCL","")),"")</f>
        <v/>
      </c>
      <c r="E919" s="13">
        <f>IF(AND(ISNUMBER(C919),ISNUMBER($B$89),ISNUMBER($D$89)),IF(C919&gt;$D$89,"boven UCL",IF(C919&lt;$B$89,"onder LCL","")),"")</f>
        <v/>
      </c>
      <c r="G919" t="n">
        <v>813</v>
      </c>
      <c r="H919" s="7" t="n"/>
      <c r="I919" s="7" t="n"/>
      <c r="J919" s="11">
        <f>IF(AND(ISNUMBER(H919),ISNUMBER(I919),H919&gt;0,ISNUMBER($B$94)),I919/H919,"")</f>
        <v/>
      </c>
      <c r="K919" s="11">
        <f>IF(AND(ISNUMBER(H919),ISNUMBER(I919),H919&gt;0,ISNUMBER($B$94)),MAX(0,$B$94-3*SQRT($B$94*(1-$B$94)/H919)),"")</f>
        <v/>
      </c>
      <c r="L919" s="11">
        <f>IF(AND(ISNUMBER(H919),ISNUMBER(I919),H919&gt;0,ISNUMBER($B$94)),$B$94+3*SQRT($B$94*(1-$B$94)/H919),"")</f>
        <v/>
      </c>
      <c r="M919" s="13">
        <f>IF(AND(ISNUMBER(J919),ISNUMBER(K919),ISNUMBER(L919)),IF(J919&gt;L919,"boven UCL",IF(J919&lt;K919,"onder LCL","")),"")</f>
        <v/>
      </c>
      <c r="O919" t="n">
        <v>813</v>
      </c>
      <c r="P919" s="7" t="n"/>
      <c r="Q919" s="7" t="n"/>
      <c r="R919" s="11">
        <f>IF(AND(ISNUMBER(P919),ISNUMBER(Q919),P919&gt;0,ISNUMBER($B$100)),Q919/P919,"")</f>
        <v/>
      </c>
      <c r="S919" s="11">
        <f>IF(AND(ISNUMBER(P919),ISNUMBER(Q919),P919&gt;0,ISNUMBER($B$100)),MAX(0,$B$100-3*SQRT($B$100/P919)),"")</f>
        <v/>
      </c>
      <c r="T919" s="11">
        <f>IF(AND(ISNUMBER(P919),ISNUMBER(Q919),P919&gt;0,ISNUMBER($B$100)),$B$100+3*SQRT($B$100/P919),"")</f>
        <v/>
      </c>
      <c r="U919" s="13">
        <f>IF(AND(ISNUMBER(R919),ISNUMBER(S919),ISNUMBER(T919)),IF(R919&gt;T919,"boven UCL",IF(R919&lt;S919,"onder LCL","")),"")</f>
        <v/>
      </c>
    </row>
    <row r="920">
      <c r="A920" t="n">
        <v>814</v>
      </c>
      <c r="B920" s="7" t="n"/>
      <c r="C920" s="11">
        <f>IF(AND(ISNUMBER(B920),ISNUMBER(B919)),ABS(B920-B919),"")</f>
        <v/>
      </c>
      <c r="D920" s="13">
        <f>IF(AND(ISNUMBER(B920),ISNUMBER($B$88),ISNUMBER($D$88)),IF(B920&gt;$D$88,"boven UCL",IF(B920&lt;$B$88,"onder LCL","")),"")</f>
        <v/>
      </c>
      <c r="E920" s="13">
        <f>IF(AND(ISNUMBER(C920),ISNUMBER($B$89),ISNUMBER($D$89)),IF(C920&gt;$D$89,"boven UCL",IF(C920&lt;$B$89,"onder LCL","")),"")</f>
        <v/>
      </c>
      <c r="G920" t="n">
        <v>814</v>
      </c>
      <c r="H920" s="7" t="n"/>
      <c r="I920" s="7" t="n"/>
      <c r="J920" s="11">
        <f>IF(AND(ISNUMBER(H920),ISNUMBER(I920),H920&gt;0,ISNUMBER($B$94)),I920/H920,"")</f>
        <v/>
      </c>
      <c r="K920" s="11">
        <f>IF(AND(ISNUMBER(H920),ISNUMBER(I920),H920&gt;0,ISNUMBER($B$94)),MAX(0,$B$94-3*SQRT($B$94*(1-$B$94)/H920)),"")</f>
        <v/>
      </c>
      <c r="L920" s="11">
        <f>IF(AND(ISNUMBER(H920),ISNUMBER(I920),H920&gt;0,ISNUMBER($B$94)),$B$94+3*SQRT($B$94*(1-$B$94)/H920),"")</f>
        <v/>
      </c>
      <c r="M920" s="13">
        <f>IF(AND(ISNUMBER(J920),ISNUMBER(K920),ISNUMBER(L920)),IF(J920&gt;L920,"boven UCL",IF(J920&lt;K920,"onder LCL","")),"")</f>
        <v/>
      </c>
      <c r="O920" t="n">
        <v>814</v>
      </c>
      <c r="P920" s="7" t="n"/>
      <c r="Q920" s="7" t="n"/>
      <c r="R920" s="11">
        <f>IF(AND(ISNUMBER(P920),ISNUMBER(Q920),P920&gt;0,ISNUMBER($B$100)),Q920/P920,"")</f>
        <v/>
      </c>
      <c r="S920" s="11">
        <f>IF(AND(ISNUMBER(P920),ISNUMBER(Q920),P920&gt;0,ISNUMBER($B$100)),MAX(0,$B$100-3*SQRT($B$100/P920)),"")</f>
        <v/>
      </c>
      <c r="T920" s="11">
        <f>IF(AND(ISNUMBER(P920),ISNUMBER(Q920),P920&gt;0,ISNUMBER($B$100)),$B$100+3*SQRT($B$100/P920),"")</f>
        <v/>
      </c>
      <c r="U920" s="13">
        <f>IF(AND(ISNUMBER(R920),ISNUMBER(S920),ISNUMBER(T920)),IF(R920&gt;T920,"boven UCL",IF(R920&lt;S920,"onder LCL","")),"")</f>
        <v/>
      </c>
    </row>
    <row r="921">
      <c r="A921" t="n">
        <v>815</v>
      </c>
      <c r="B921" s="7" t="n"/>
      <c r="C921" s="11">
        <f>IF(AND(ISNUMBER(B921),ISNUMBER(B920)),ABS(B921-B920),"")</f>
        <v/>
      </c>
      <c r="D921" s="13">
        <f>IF(AND(ISNUMBER(B921),ISNUMBER($B$88),ISNUMBER($D$88)),IF(B921&gt;$D$88,"boven UCL",IF(B921&lt;$B$88,"onder LCL","")),"")</f>
        <v/>
      </c>
      <c r="E921" s="13">
        <f>IF(AND(ISNUMBER(C921),ISNUMBER($B$89),ISNUMBER($D$89)),IF(C921&gt;$D$89,"boven UCL",IF(C921&lt;$B$89,"onder LCL","")),"")</f>
        <v/>
      </c>
      <c r="G921" t="n">
        <v>815</v>
      </c>
      <c r="H921" s="7" t="n"/>
      <c r="I921" s="7" t="n"/>
      <c r="J921" s="11">
        <f>IF(AND(ISNUMBER(H921),ISNUMBER(I921),H921&gt;0,ISNUMBER($B$94)),I921/H921,"")</f>
        <v/>
      </c>
      <c r="K921" s="11">
        <f>IF(AND(ISNUMBER(H921),ISNUMBER(I921),H921&gt;0,ISNUMBER($B$94)),MAX(0,$B$94-3*SQRT($B$94*(1-$B$94)/H921)),"")</f>
        <v/>
      </c>
      <c r="L921" s="11">
        <f>IF(AND(ISNUMBER(H921),ISNUMBER(I921),H921&gt;0,ISNUMBER($B$94)),$B$94+3*SQRT($B$94*(1-$B$94)/H921),"")</f>
        <v/>
      </c>
      <c r="M921" s="13">
        <f>IF(AND(ISNUMBER(J921),ISNUMBER(K921),ISNUMBER(L921)),IF(J921&gt;L921,"boven UCL",IF(J921&lt;K921,"onder LCL","")),"")</f>
        <v/>
      </c>
      <c r="O921" t="n">
        <v>815</v>
      </c>
      <c r="P921" s="7" t="n"/>
      <c r="Q921" s="7" t="n"/>
      <c r="R921" s="11">
        <f>IF(AND(ISNUMBER(P921),ISNUMBER(Q921),P921&gt;0,ISNUMBER($B$100)),Q921/P921,"")</f>
        <v/>
      </c>
      <c r="S921" s="11">
        <f>IF(AND(ISNUMBER(P921),ISNUMBER(Q921),P921&gt;0,ISNUMBER($B$100)),MAX(0,$B$100-3*SQRT($B$100/P921)),"")</f>
        <v/>
      </c>
      <c r="T921" s="11">
        <f>IF(AND(ISNUMBER(P921),ISNUMBER(Q921),P921&gt;0,ISNUMBER($B$100)),$B$100+3*SQRT($B$100/P921),"")</f>
        <v/>
      </c>
      <c r="U921" s="13">
        <f>IF(AND(ISNUMBER(R921),ISNUMBER(S921),ISNUMBER(T921)),IF(R921&gt;T921,"boven UCL",IF(R921&lt;S921,"onder LCL","")),"")</f>
        <v/>
      </c>
    </row>
    <row r="922">
      <c r="A922" t="n">
        <v>816</v>
      </c>
      <c r="B922" s="7" t="n"/>
      <c r="C922" s="11">
        <f>IF(AND(ISNUMBER(B922),ISNUMBER(B921)),ABS(B922-B921),"")</f>
        <v/>
      </c>
      <c r="D922" s="13">
        <f>IF(AND(ISNUMBER(B922),ISNUMBER($B$88),ISNUMBER($D$88)),IF(B922&gt;$D$88,"boven UCL",IF(B922&lt;$B$88,"onder LCL","")),"")</f>
        <v/>
      </c>
      <c r="E922" s="13">
        <f>IF(AND(ISNUMBER(C922),ISNUMBER($B$89),ISNUMBER($D$89)),IF(C922&gt;$D$89,"boven UCL",IF(C922&lt;$B$89,"onder LCL","")),"")</f>
        <v/>
      </c>
      <c r="G922" t="n">
        <v>816</v>
      </c>
      <c r="H922" s="7" t="n"/>
      <c r="I922" s="7" t="n"/>
      <c r="J922" s="11">
        <f>IF(AND(ISNUMBER(H922),ISNUMBER(I922),H922&gt;0,ISNUMBER($B$94)),I922/H922,"")</f>
        <v/>
      </c>
      <c r="K922" s="11">
        <f>IF(AND(ISNUMBER(H922),ISNUMBER(I922),H922&gt;0,ISNUMBER($B$94)),MAX(0,$B$94-3*SQRT($B$94*(1-$B$94)/H922)),"")</f>
        <v/>
      </c>
      <c r="L922" s="11">
        <f>IF(AND(ISNUMBER(H922),ISNUMBER(I922),H922&gt;0,ISNUMBER($B$94)),$B$94+3*SQRT($B$94*(1-$B$94)/H922),"")</f>
        <v/>
      </c>
      <c r="M922" s="13">
        <f>IF(AND(ISNUMBER(J922),ISNUMBER(K922),ISNUMBER(L922)),IF(J922&gt;L922,"boven UCL",IF(J922&lt;K922,"onder LCL","")),"")</f>
        <v/>
      </c>
      <c r="O922" t="n">
        <v>816</v>
      </c>
      <c r="P922" s="7" t="n"/>
      <c r="Q922" s="7" t="n"/>
      <c r="R922" s="11">
        <f>IF(AND(ISNUMBER(P922),ISNUMBER(Q922),P922&gt;0,ISNUMBER($B$100)),Q922/P922,"")</f>
        <v/>
      </c>
      <c r="S922" s="11">
        <f>IF(AND(ISNUMBER(P922),ISNUMBER(Q922),P922&gt;0,ISNUMBER($B$100)),MAX(0,$B$100-3*SQRT($B$100/P922)),"")</f>
        <v/>
      </c>
      <c r="T922" s="11">
        <f>IF(AND(ISNUMBER(P922),ISNUMBER(Q922),P922&gt;0,ISNUMBER($B$100)),$B$100+3*SQRT($B$100/P922),"")</f>
        <v/>
      </c>
      <c r="U922" s="13">
        <f>IF(AND(ISNUMBER(R922),ISNUMBER(S922),ISNUMBER(T922)),IF(R922&gt;T922,"boven UCL",IF(R922&lt;S922,"onder LCL","")),"")</f>
        <v/>
      </c>
    </row>
    <row r="923">
      <c r="A923" t="n">
        <v>817</v>
      </c>
      <c r="B923" s="7" t="n"/>
      <c r="C923" s="11">
        <f>IF(AND(ISNUMBER(B923),ISNUMBER(B922)),ABS(B923-B922),"")</f>
        <v/>
      </c>
      <c r="D923" s="13">
        <f>IF(AND(ISNUMBER(B923),ISNUMBER($B$88),ISNUMBER($D$88)),IF(B923&gt;$D$88,"boven UCL",IF(B923&lt;$B$88,"onder LCL","")),"")</f>
        <v/>
      </c>
      <c r="E923" s="13">
        <f>IF(AND(ISNUMBER(C923),ISNUMBER($B$89),ISNUMBER($D$89)),IF(C923&gt;$D$89,"boven UCL",IF(C923&lt;$B$89,"onder LCL","")),"")</f>
        <v/>
      </c>
      <c r="G923" t="n">
        <v>817</v>
      </c>
      <c r="H923" s="7" t="n"/>
      <c r="I923" s="7" t="n"/>
      <c r="J923" s="11">
        <f>IF(AND(ISNUMBER(H923),ISNUMBER(I923),H923&gt;0,ISNUMBER($B$94)),I923/H923,"")</f>
        <v/>
      </c>
      <c r="K923" s="11">
        <f>IF(AND(ISNUMBER(H923),ISNUMBER(I923),H923&gt;0,ISNUMBER($B$94)),MAX(0,$B$94-3*SQRT($B$94*(1-$B$94)/H923)),"")</f>
        <v/>
      </c>
      <c r="L923" s="11">
        <f>IF(AND(ISNUMBER(H923),ISNUMBER(I923),H923&gt;0,ISNUMBER($B$94)),$B$94+3*SQRT($B$94*(1-$B$94)/H923),"")</f>
        <v/>
      </c>
      <c r="M923" s="13">
        <f>IF(AND(ISNUMBER(J923),ISNUMBER(K923),ISNUMBER(L923)),IF(J923&gt;L923,"boven UCL",IF(J923&lt;K923,"onder LCL","")),"")</f>
        <v/>
      </c>
      <c r="O923" t="n">
        <v>817</v>
      </c>
      <c r="P923" s="7" t="n"/>
      <c r="Q923" s="7" t="n"/>
      <c r="R923" s="11">
        <f>IF(AND(ISNUMBER(P923),ISNUMBER(Q923),P923&gt;0,ISNUMBER($B$100)),Q923/P923,"")</f>
        <v/>
      </c>
      <c r="S923" s="11">
        <f>IF(AND(ISNUMBER(P923),ISNUMBER(Q923),P923&gt;0,ISNUMBER($B$100)),MAX(0,$B$100-3*SQRT($B$100/P923)),"")</f>
        <v/>
      </c>
      <c r="T923" s="11">
        <f>IF(AND(ISNUMBER(P923),ISNUMBER(Q923),P923&gt;0,ISNUMBER($B$100)),$B$100+3*SQRT($B$100/P923),"")</f>
        <v/>
      </c>
      <c r="U923" s="13">
        <f>IF(AND(ISNUMBER(R923),ISNUMBER(S923),ISNUMBER(T923)),IF(R923&gt;T923,"boven UCL",IF(R923&lt;S923,"onder LCL","")),"")</f>
        <v/>
      </c>
    </row>
    <row r="924">
      <c r="A924" t="n">
        <v>818</v>
      </c>
      <c r="B924" s="7" t="n"/>
      <c r="C924" s="11">
        <f>IF(AND(ISNUMBER(B924),ISNUMBER(B923)),ABS(B924-B923),"")</f>
        <v/>
      </c>
      <c r="D924" s="13">
        <f>IF(AND(ISNUMBER(B924),ISNUMBER($B$88),ISNUMBER($D$88)),IF(B924&gt;$D$88,"boven UCL",IF(B924&lt;$B$88,"onder LCL","")),"")</f>
        <v/>
      </c>
      <c r="E924" s="13">
        <f>IF(AND(ISNUMBER(C924),ISNUMBER($B$89),ISNUMBER($D$89)),IF(C924&gt;$D$89,"boven UCL",IF(C924&lt;$B$89,"onder LCL","")),"")</f>
        <v/>
      </c>
      <c r="G924" t="n">
        <v>818</v>
      </c>
      <c r="H924" s="7" t="n"/>
      <c r="I924" s="7" t="n"/>
      <c r="J924" s="11">
        <f>IF(AND(ISNUMBER(H924),ISNUMBER(I924),H924&gt;0,ISNUMBER($B$94)),I924/H924,"")</f>
        <v/>
      </c>
      <c r="K924" s="11">
        <f>IF(AND(ISNUMBER(H924),ISNUMBER(I924),H924&gt;0,ISNUMBER($B$94)),MAX(0,$B$94-3*SQRT($B$94*(1-$B$94)/H924)),"")</f>
        <v/>
      </c>
      <c r="L924" s="11">
        <f>IF(AND(ISNUMBER(H924),ISNUMBER(I924),H924&gt;0,ISNUMBER($B$94)),$B$94+3*SQRT($B$94*(1-$B$94)/H924),"")</f>
        <v/>
      </c>
      <c r="M924" s="13">
        <f>IF(AND(ISNUMBER(J924),ISNUMBER(K924),ISNUMBER(L924)),IF(J924&gt;L924,"boven UCL",IF(J924&lt;K924,"onder LCL","")),"")</f>
        <v/>
      </c>
      <c r="O924" t="n">
        <v>818</v>
      </c>
      <c r="P924" s="7" t="n"/>
      <c r="Q924" s="7" t="n"/>
      <c r="R924" s="11">
        <f>IF(AND(ISNUMBER(P924),ISNUMBER(Q924),P924&gt;0,ISNUMBER($B$100)),Q924/P924,"")</f>
        <v/>
      </c>
      <c r="S924" s="11">
        <f>IF(AND(ISNUMBER(P924),ISNUMBER(Q924),P924&gt;0,ISNUMBER($B$100)),MAX(0,$B$100-3*SQRT($B$100/P924)),"")</f>
        <v/>
      </c>
      <c r="T924" s="11">
        <f>IF(AND(ISNUMBER(P924),ISNUMBER(Q924),P924&gt;0,ISNUMBER($B$100)),$B$100+3*SQRT($B$100/P924),"")</f>
        <v/>
      </c>
      <c r="U924" s="13">
        <f>IF(AND(ISNUMBER(R924),ISNUMBER(S924),ISNUMBER(T924)),IF(R924&gt;T924,"boven UCL",IF(R924&lt;S924,"onder LCL","")),"")</f>
        <v/>
      </c>
    </row>
    <row r="925">
      <c r="A925" t="n">
        <v>819</v>
      </c>
      <c r="B925" s="7" t="n"/>
      <c r="C925" s="11">
        <f>IF(AND(ISNUMBER(B925),ISNUMBER(B924)),ABS(B925-B924),"")</f>
        <v/>
      </c>
      <c r="D925" s="13">
        <f>IF(AND(ISNUMBER(B925),ISNUMBER($B$88),ISNUMBER($D$88)),IF(B925&gt;$D$88,"boven UCL",IF(B925&lt;$B$88,"onder LCL","")),"")</f>
        <v/>
      </c>
      <c r="E925" s="13">
        <f>IF(AND(ISNUMBER(C925),ISNUMBER($B$89),ISNUMBER($D$89)),IF(C925&gt;$D$89,"boven UCL",IF(C925&lt;$B$89,"onder LCL","")),"")</f>
        <v/>
      </c>
      <c r="G925" t="n">
        <v>819</v>
      </c>
      <c r="H925" s="7" t="n"/>
      <c r="I925" s="7" t="n"/>
      <c r="J925" s="11">
        <f>IF(AND(ISNUMBER(H925),ISNUMBER(I925),H925&gt;0,ISNUMBER($B$94)),I925/H925,"")</f>
        <v/>
      </c>
      <c r="K925" s="11">
        <f>IF(AND(ISNUMBER(H925),ISNUMBER(I925),H925&gt;0,ISNUMBER($B$94)),MAX(0,$B$94-3*SQRT($B$94*(1-$B$94)/H925)),"")</f>
        <v/>
      </c>
      <c r="L925" s="11">
        <f>IF(AND(ISNUMBER(H925),ISNUMBER(I925),H925&gt;0,ISNUMBER($B$94)),$B$94+3*SQRT($B$94*(1-$B$94)/H925),"")</f>
        <v/>
      </c>
      <c r="M925" s="13">
        <f>IF(AND(ISNUMBER(J925),ISNUMBER(K925),ISNUMBER(L925)),IF(J925&gt;L925,"boven UCL",IF(J925&lt;K925,"onder LCL","")),"")</f>
        <v/>
      </c>
      <c r="O925" t="n">
        <v>819</v>
      </c>
      <c r="P925" s="7" t="n"/>
      <c r="Q925" s="7" t="n"/>
      <c r="R925" s="11">
        <f>IF(AND(ISNUMBER(P925),ISNUMBER(Q925),P925&gt;0,ISNUMBER($B$100)),Q925/P925,"")</f>
        <v/>
      </c>
      <c r="S925" s="11">
        <f>IF(AND(ISNUMBER(P925),ISNUMBER(Q925),P925&gt;0,ISNUMBER($B$100)),MAX(0,$B$100-3*SQRT($B$100/P925)),"")</f>
        <v/>
      </c>
      <c r="T925" s="11">
        <f>IF(AND(ISNUMBER(P925),ISNUMBER(Q925),P925&gt;0,ISNUMBER($B$100)),$B$100+3*SQRT($B$100/P925),"")</f>
        <v/>
      </c>
      <c r="U925" s="13">
        <f>IF(AND(ISNUMBER(R925),ISNUMBER(S925),ISNUMBER(T925)),IF(R925&gt;T925,"boven UCL",IF(R925&lt;S925,"onder LCL","")),"")</f>
        <v/>
      </c>
    </row>
    <row r="926">
      <c r="A926" t="n">
        <v>820</v>
      </c>
      <c r="B926" s="7" t="n"/>
      <c r="C926" s="11">
        <f>IF(AND(ISNUMBER(B926),ISNUMBER(B925)),ABS(B926-B925),"")</f>
        <v/>
      </c>
      <c r="D926" s="13">
        <f>IF(AND(ISNUMBER(B926),ISNUMBER($B$88),ISNUMBER($D$88)),IF(B926&gt;$D$88,"boven UCL",IF(B926&lt;$B$88,"onder LCL","")),"")</f>
        <v/>
      </c>
      <c r="E926" s="13">
        <f>IF(AND(ISNUMBER(C926),ISNUMBER($B$89),ISNUMBER($D$89)),IF(C926&gt;$D$89,"boven UCL",IF(C926&lt;$B$89,"onder LCL","")),"")</f>
        <v/>
      </c>
      <c r="G926" t="n">
        <v>820</v>
      </c>
      <c r="H926" s="7" t="n"/>
      <c r="I926" s="7" t="n"/>
      <c r="J926" s="11">
        <f>IF(AND(ISNUMBER(H926),ISNUMBER(I926),H926&gt;0,ISNUMBER($B$94)),I926/H926,"")</f>
        <v/>
      </c>
      <c r="K926" s="11">
        <f>IF(AND(ISNUMBER(H926),ISNUMBER(I926),H926&gt;0,ISNUMBER($B$94)),MAX(0,$B$94-3*SQRT($B$94*(1-$B$94)/H926)),"")</f>
        <v/>
      </c>
      <c r="L926" s="11">
        <f>IF(AND(ISNUMBER(H926),ISNUMBER(I926),H926&gt;0,ISNUMBER($B$94)),$B$94+3*SQRT($B$94*(1-$B$94)/H926),"")</f>
        <v/>
      </c>
      <c r="M926" s="13">
        <f>IF(AND(ISNUMBER(J926),ISNUMBER(K926),ISNUMBER(L926)),IF(J926&gt;L926,"boven UCL",IF(J926&lt;K926,"onder LCL","")),"")</f>
        <v/>
      </c>
      <c r="O926" t="n">
        <v>820</v>
      </c>
      <c r="P926" s="7" t="n"/>
      <c r="Q926" s="7" t="n"/>
      <c r="R926" s="11">
        <f>IF(AND(ISNUMBER(P926),ISNUMBER(Q926),P926&gt;0,ISNUMBER($B$100)),Q926/P926,"")</f>
        <v/>
      </c>
      <c r="S926" s="11">
        <f>IF(AND(ISNUMBER(P926),ISNUMBER(Q926),P926&gt;0,ISNUMBER($B$100)),MAX(0,$B$100-3*SQRT($B$100/P926)),"")</f>
        <v/>
      </c>
      <c r="T926" s="11">
        <f>IF(AND(ISNUMBER(P926),ISNUMBER(Q926),P926&gt;0,ISNUMBER($B$100)),$B$100+3*SQRT($B$100/P926),"")</f>
        <v/>
      </c>
      <c r="U926" s="13">
        <f>IF(AND(ISNUMBER(R926),ISNUMBER(S926),ISNUMBER(T926)),IF(R926&gt;T926,"boven UCL",IF(R926&lt;S926,"onder LCL","")),"")</f>
        <v/>
      </c>
    </row>
    <row r="927">
      <c r="A927" t="n">
        <v>821</v>
      </c>
      <c r="B927" s="7" t="n"/>
      <c r="C927" s="11">
        <f>IF(AND(ISNUMBER(B927),ISNUMBER(B926)),ABS(B927-B926),"")</f>
        <v/>
      </c>
      <c r="D927" s="13">
        <f>IF(AND(ISNUMBER(B927),ISNUMBER($B$88),ISNUMBER($D$88)),IF(B927&gt;$D$88,"boven UCL",IF(B927&lt;$B$88,"onder LCL","")),"")</f>
        <v/>
      </c>
      <c r="E927" s="13">
        <f>IF(AND(ISNUMBER(C927),ISNUMBER($B$89),ISNUMBER($D$89)),IF(C927&gt;$D$89,"boven UCL",IF(C927&lt;$B$89,"onder LCL","")),"")</f>
        <v/>
      </c>
      <c r="G927" t="n">
        <v>821</v>
      </c>
      <c r="H927" s="7" t="n"/>
      <c r="I927" s="7" t="n"/>
      <c r="J927" s="11">
        <f>IF(AND(ISNUMBER(H927),ISNUMBER(I927),H927&gt;0,ISNUMBER($B$94)),I927/H927,"")</f>
        <v/>
      </c>
      <c r="K927" s="11">
        <f>IF(AND(ISNUMBER(H927),ISNUMBER(I927),H927&gt;0,ISNUMBER($B$94)),MAX(0,$B$94-3*SQRT($B$94*(1-$B$94)/H927)),"")</f>
        <v/>
      </c>
      <c r="L927" s="11">
        <f>IF(AND(ISNUMBER(H927),ISNUMBER(I927),H927&gt;0,ISNUMBER($B$94)),$B$94+3*SQRT($B$94*(1-$B$94)/H927),"")</f>
        <v/>
      </c>
      <c r="M927" s="13">
        <f>IF(AND(ISNUMBER(J927),ISNUMBER(K927),ISNUMBER(L927)),IF(J927&gt;L927,"boven UCL",IF(J927&lt;K927,"onder LCL","")),"")</f>
        <v/>
      </c>
      <c r="O927" t="n">
        <v>821</v>
      </c>
      <c r="P927" s="7" t="n"/>
      <c r="Q927" s="7" t="n"/>
      <c r="R927" s="11">
        <f>IF(AND(ISNUMBER(P927),ISNUMBER(Q927),P927&gt;0,ISNUMBER($B$100)),Q927/P927,"")</f>
        <v/>
      </c>
      <c r="S927" s="11">
        <f>IF(AND(ISNUMBER(P927),ISNUMBER(Q927),P927&gt;0,ISNUMBER($B$100)),MAX(0,$B$100-3*SQRT($B$100/P927)),"")</f>
        <v/>
      </c>
      <c r="T927" s="11">
        <f>IF(AND(ISNUMBER(P927),ISNUMBER(Q927),P927&gt;0,ISNUMBER($B$100)),$B$100+3*SQRT($B$100/P927),"")</f>
        <v/>
      </c>
      <c r="U927" s="13">
        <f>IF(AND(ISNUMBER(R927),ISNUMBER(S927),ISNUMBER(T927)),IF(R927&gt;T927,"boven UCL",IF(R927&lt;S927,"onder LCL","")),"")</f>
        <v/>
      </c>
    </row>
    <row r="928">
      <c r="A928" t="n">
        <v>822</v>
      </c>
      <c r="B928" s="7" t="n"/>
      <c r="C928" s="11">
        <f>IF(AND(ISNUMBER(B928),ISNUMBER(B927)),ABS(B928-B927),"")</f>
        <v/>
      </c>
      <c r="D928" s="13">
        <f>IF(AND(ISNUMBER(B928),ISNUMBER($B$88),ISNUMBER($D$88)),IF(B928&gt;$D$88,"boven UCL",IF(B928&lt;$B$88,"onder LCL","")),"")</f>
        <v/>
      </c>
      <c r="E928" s="13">
        <f>IF(AND(ISNUMBER(C928),ISNUMBER($B$89),ISNUMBER($D$89)),IF(C928&gt;$D$89,"boven UCL",IF(C928&lt;$B$89,"onder LCL","")),"")</f>
        <v/>
      </c>
      <c r="G928" t="n">
        <v>822</v>
      </c>
      <c r="H928" s="7" t="n"/>
      <c r="I928" s="7" t="n"/>
      <c r="J928" s="11">
        <f>IF(AND(ISNUMBER(H928),ISNUMBER(I928),H928&gt;0,ISNUMBER($B$94)),I928/H928,"")</f>
        <v/>
      </c>
      <c r="K928" s="11">
        <f>IF(AND(ISNUMBER(H928),ISNUMBER(I928),H928&gt;0,ISNUMBER($B$94)),MAX(0,$B$94-3*SQRT($B$94*(1-$B$94)/H928)),"")</f>
        <v/>
      </c>
      <c r="L928" s="11">
        <f>IF(AND(ISNUMBER(H928),ISNUMBER(I928),H928&gt;0,ISNUMBER($B$94)),$B$94+3*SQRT($B$94*(1-$B$94)/H928),"")</f>
        <v/>
      </c>
      <c r="M928" s="13">
        <f>IF(AND(ISNUMBER(J928),ISNUMBER(K928),ISNUMBER(L928)),IF(J928&gt;L928,"boven UCL",IF(J928&lt;K928,"onder LCL","")),"")</f>
        <v/>
      </c>
      <c r="O928" t="n">
        <v>822</v>
      </c>
      <c r="P928" s="7" t="n"/>
      <c r="Q928" s="7" t="n"/>
      <c r="R928" s="11">
        <f>IF(AND(ISNUMBER(P928),ISNUMBER(Q928),P928&gt;0,ISNUMBER($B$100)),Q928/P928,"")</f>
        <v/>
      </c>
      <c r="S928" s="11">
        <f>IF(AND(ISNUMBER(P928),ISNUMBER(Q928),P928&gt;0,ISNUMBER($B$100)),MAX(0,$B$100-3*SQRT($B$100/P928)),"")</f>
        <v/>
      </c>
      <c r="T928" s="11">
        <f>IF(AND(ISNUMBER(P928),ISNUMBER(Q928),P928&gt;0,ISNUMBER($B$100)),$B$100+3*SQRT($B$100/P928),"")</f>
        <v/>
      </c>
      <c r="U928" s="13">
        <f>IF(AND(ISNUMBER(R928),ISNUMBER(S928),ISNUMBER(T928)),IF(R928&gt;T928,"boven UCL",IF(R928&lt;S928,"onder LCL","")),"")</f>
        <v/>
      </c>
    </row>
    <row r="929">
      <c r="A929" t="n">
        <v>823</v>
      </c>
      <c r="B929" s="7" t="n"/>
      <c r="C929" s="11">
        <f>IF(AND(ISNUMBER(B929),ISNUMBER(B928)),ABS(B929-B928),"")</f>
        <v/>
      </c>
      <c r="D929" s="13">
        <f>IF(AND(ISNUMBER(B929),ISNUMBER($B$88),ISNUMBER($D$88)),IF(B929&gt;$D$88,"boven UCL",IF(B929&lt;$B$88,"onder LCL","")),"")</f>
        <v/>
      </c>
      <c r="E929" s="13">
        <f>IF(AND(ISNUMBER(C929),ISNUMBER($B$89),ISNUMBER($D$89)),IF(C929&gt;$D$89,"boven UCL",IF(C929&lt;$B$89,"onder LCL","")),"")</f>
        <v/>
      </c>
      <c r="G929" t="n">
        <v>823</v>
      </c>
      <c r="H929" s="7" t="n"/>
      <c r="I929" s="7" t="n"/>
      <c r="J929" s="11">
        <f>IF(AND(ISNUMBER(H929),ISNUMBER(I929),H929&gt;0,ISNUMBER($B$94)),I929/H929,"")</f>
        <v/>
      </c>
      <c r="K929" s="11">
        <f>IF(AND(ISNUMBER(H929),ISNUMBER(I929),H929&gt;0,ISNUMBER($B$94)),MAX(0,$B$94-3*SQRT($B$94*(1-$B$94)/H929)),"")</f>
        <v/>
      </c>
      <c r="L929" s="11">
        <f>IF(AND(ISNUMBER(H929),ISNUMBER(I929),H929&gt;0,ISNUMBER($B$94)),$B$94+3*SQRT($B$94*(1-$B$94)/H929),"")</f>
        <v/>
      </c>
      <c r="M929" s="13">
        <f>IF(AND(ISNUMBER(J929),ISNUMBER(K929),ISNUMBER(L929)),IF(J929&gt;L929,"boven UCL",IF(J929&lt;K929,"onder LCL","")),"")</f>
        <v/>
      </c>
      <c r="O929" t="n">
        <v>823</v>
      </c>
      <c r="P929" s="7" t="n"/>
      <c r="Q929" s="7" t="n"/>
      <c r="R929" s="11">
        <f>IF(AND(ISNUMBER(P929),ISNUMBER(Q929),P929&gt;0,ISNUMBER($B$100)),Q929/P929,"")</f>
        <v/>
      </c>
      <c r="S929" s="11">
        <f>IF(AND(ISNUMBER(P929),ISNUMBER(Q929),P929&gt;0,ISNUMBER($B$100)),MAX(0,$B$100-3*SQRT($B$100/P929)),"")</f>
        <v/>
      </c>
      <c r="T929" s="11">
        <f>IF(AND(ISNUMBER(P929),ISNUMBER(Q929),P929&gt;0,ISNUMBER($B$100)),$B$100+3*SQRT($B$100/P929),"")</f>
        <v/>
      </c>
      <c r="U929" s="13">
        <f>IF(AND(ISNUMBER(R929),ISNUMBER(S929),ISNUMBER(T929)),IF(R929&gt;T929,"boven UCL",IF(R929&lt;S929,"onder LCL","")),"")</f>
        <v/>
      </c>
    </row>
    <row r="930">
      <c r="A930" t="n">
        <v>824</v>
      </c>
      <c r="B930" s="7" t="n"/>
      <c r="C930" s="11">
        <f>IF(AND(ISNUMBER(B930),ISNUMBER(B929)),ABS(B930-B929),"")</f>
        <v/>
      </c>
      <c r="D930" s="13">
        <f>IF(AND(ISNUMBER(B930),ISNUMBER($B$88),ISNUMBER($D$88)),IF(B930&gt;$D$88,"boven UCL",IF(B930&lt;$B$88,"onder LCL","")),"")</f>
        <v/>
      </c>
      <c r="E930" s="13">
        <f>IF(AND(ISNUMBER(C930),ISNUMBER($B$89),ISNUMBER($D$89)),IF(C930&gt;$D$89,"boven UCL",IF(C930&lt;$B$89,"onder LCL","")),"")</f>
        <v/>
      </c>
      <c r="G930" t="n">
        <v>824</v>
      </c>
      <c r="H930" s="7" t="n"/>
      <c r="I930" s="7" t="n"/>
      <c r="J930" s="11">
        <f>IF(AND(ISNUMBER(H930),ISNUMBER(I930),H930&gt;0,ISNUMBER($B$94)),I930/H930,"")</f>
        <v/>
      </c>
      <c r="K930" s="11">
        <f>IF(AND(ISNUMBER(H930),ISNUMBER(I930),H930&gt;0,ISNUMBER($B$94)),MAX(0,$B$94-3*SQRT($B$94*(1-$B$94)/H930)),"")</f>
        <v/>
      </c>
      <c r="L930" s="11">
        <f>IF(AND(ISNUMBER(H930),ISNUMBER(I930),H930&gt;0,ISNUMBER($B$94)),$B$94+3*SQRT($B$94*(1-$B$94)/H930),"")</f>
        <v/>
      </c>
      <c r="M930" s="13">
        <f>IF(AND(ISNUMBER(J930),ISNUMBER(K930),ISNUMBER(L930)),IF(J930&gt;L930,"boven UCL",IF(J930&lt;K930,"onder LCL","")),"")</f>
        <v/>
      </c>
      <c r="O930" t="n">
        <v>824</v>
      </c>
      <c r="P930" s="7" t="n"/>
      <c r="Q930" s="7" t="n"/>
      <c r="R930" s="11">
        <f>IF(AND(ISNUMBER(P930),ISNUMBER(Q930),P930&gt;0,ISNUMBER($B$100)),Q930/P930,"")</f>
        <v/>
      </c>
      <c r="S930" s="11">
        <f>IF(AND(ISNUMBER(P930),ISNUMBER(Q930),P930&gt;0,ISNUMBER($B$100)),MAX(0,$B$100-3*SQRT($B$100/P930)),"")</f>
        <v/>
      </c>
      <c r="T930" s="11">
        <f>IF(AND(ISNUMBER(P930),ISNUMBER(Q930),P930&gt;0,ISNUMBER($B$100)),$B$100+3*SQRT($B$100/P930),"")</f>
        <v/>
      </c>
      <c r="U930" s="13">
        <f>IF(AND(ISNUMBER(R930),ISNUMBER(S930),ISNUMBER(T930)),IF(R930&gt;T930,"boven UCL",IF(R930&lt;S930,"onder LCL","")),"")</f>
        <v/>
      </c>
    </row>
    <row r="931">
      <c r="A931" t="n">
        <v>825</v>
      </c>
      <c r="B931" s="7" t="n"/>
      <c r="C931" s="11">
        <f>IF(AND(ISNUMBER(B931),ISNUMBER(B930)),ABS(B931-B930),"")</f>
        <v/>
      </c>
      <c r="D931" s="13">
        <f>IF(AND(ISNUMBER(B931),ISNUMBER($B$88),ISNUMBER($D$88)),IF(B931&gt;$D$88,"boven UCL",IF(B931&lt;$B$88,"onder LCL","")),"")</f>
        <v/>
      </c>
      <c r="E931" s="13">
        <f>IF(AND(ISNUMBER(C931),ISNUMBER($B$89),ISNUMBER($D$89)),IF(C931&gt;$D$89,"boven UCL",IF(C931&lt;$B$89,"onder LCL","")),"")</f>
        <v/>
      </c>
      <c r="G931" t="n">
        <v>825</v>
      </c>
      <c r="H931" s="7" t="n"/>
      <c r="I931" s="7" t="n"/>
      <c r="J931" s="11">
        <f>IF(AND(ISNUMBER(H931),ISNUMBER(I931),H931&gt;0,ISNUMBER($B$94)),I931/H931,"")</f>
        <v/>
      </c>
      <c r="K931" s="11">
        <f>IF(AND(ISNUMBER(H931),ISNUMBER(I931),H931&gt;0,ISNUMBER($B$94)),MAX(0,$B$94-3*SQRT($B$94*(1-$B$94)/H931)),"")</f>
        <v/>
      </c>
      <c r="L931" s="11">
        <f>IF(AND(ISNUMBER(H931),ISNUMBER(I931),H931&gt;0,ISNUMBER($B$94)),$B$94+3*SQRT($B$94*(1-$B$94)/H931),"")</f>
        <v/>
      </c>
      <c r="M931" s="13">
        <f>IF(AND(ISNUMBER(J931),ISNUMBER(K931),ISNUMBER(L931)),IF(J931&gt;L931,"boven UCL",IF(J931&lt;K931,"onder LCL","")),"")</f>
        <v/>
      </c>
      <c r="O931" t="n">
        <v>825</v>
      </c>
      <c r="P931" s="7" t="n"/>
      <c r="Q931" s="7" t="n"/>
      <c r="R931" s="11">
        <f>IF(AND(ISNUMBER(P931),ISNUMBER(Q931),P931&gt;0,ISNUMBER($B$100)),Q931/P931,"")</f>
        <v/>
      </c>
      <c r="S931" s="11">
        <f>IF(AND(ISNUMBER(P931),ISNUMBER(Q931),P931&gt;0,ISNUMBER($B$100)),MAX(0,$B$100-3*SQRT($B$100/P931)),"")</f>
        <v/>
      </c>
      <c r="T931" s="11">
        <f>IF(AND(ISNUMBER(P931),ISNUMBER(Q931),P931&gt;0,ISNUMBER($B$100)),$B$100+3*SQRT($B$100/P931),"")</f>
        <v/>
      </c>
      <c r="U931" s="13">
        <f>IF(AND(ISNUMBER(R931),ISNUMBER(S931),ISNUMBER(T931)),IF(R931&gt;T931,"boven UCL",IF(R931&lt;S931,"onder LCL","")),"")</f>
        <v/>
      </c>
    </row>
    <row r="932">
      <c r="A932" t="n">
        <v>826</v>
      </c>
      <c r="B932" s="7" t="n"/>
      <c r="C932" s="11">
        <f>IF(AND(ISNUMBER(B932),ISNUMBER(B931)),ABS(B932-B931),"")</f>
        <v/>
      </c>
      <c r="D932" s="13">
        <f>IF(AND(ISNUMBER(B932),ISNUMBER($B$88),ISNUMBER($D$88)),IF(B932&gt;$D$88,"boven UCL",IF(B932&lt;$B$88,"onder LCL","")),"")</f>
        <v/>
      </c>
      <c r="E932" s="13">
        <f>IF(AND(ISNUMBER(C932),ISNUMBER($B$89),ISNUMBER($D$89)),IF(C932&gt;$D$89,"boven UCL",IF(C932&lt;$B$89,"onder LCL","")),"")</f>
        <v/>
      </c>
      <c r="G932" t="n">
        <v>826</v>
      </c>
      <c r="H932" s="7" t="n"/>
      <c r="I932" s="7" t="n"/>
      <c r="J932" s="11">
        <f>IF(AND(ISNUMBER(H932),ISNUMBER(I932),H932&gt;0,ISNUMBER($B$94)),I932/H932,"")</f>
        <v/>
      </c>
      <c r="K932" s="11">
        <f>IF(AND(ISNUMBER(H932),ISNUMBER(I932),H932&gt;0,ISNUMBER($B$94)),MAX(0,$B$94-3*SQRT($B$94*(1-$B$94)/H932)),"")</f>
        <v/>
      </c>
      <c r="L932" s="11">
        <f>IF(AND(ISNUMBER(H932),ISNUMBER(I932),H932&gt;0,ISNUMBER($B$94)),$B$94+3*SQRT($B$94*(1-$B$94)/H932),"")</f>
        <v/>
      </c>
      <c r="M932" s="13">
        <f>IF(AND(ISNUMBER(J932),ISNUMBER(K932),ISNUMBER(L932)),IF(J932&gt;L932,"boven UCL",IF(J932&lt;K932,"onder LCL","")),"")</f>
        <v/>
      </c>
      <c r="O932" t="n">
        <v>826</v>
      </c>
      <c r="P932" s="7" t="n"/>
      <c r="Q932" s="7" t="n"/>
      <c r="R932" s="11">
        <f>IF(AND(ISNUMBER(P932),ISNUMBER(Q932),P932&gt;0,ISNUMBER($B$100)),Q932/P932,"")</f>
        <v/>
      </c>
      <c r="S932" s="11">
        <f>IF(AND(ISNUMBER(P932),ISNUMBER(Q932),P932&gt;0,ISNUMBER($B$100)),MAX(0,$B$100-3*SQRT($B$100/P932)),"")</f>
        <v/>
      </c>
      <c r="T932" s="11">
        <f>IF(AND(ISNUMBER(P932),ISNUMBER(Q932),P932&gt;0,ISNUMBER($B$100)),$B$100+3*SQRT($B$100/P932),"")</f>
        <v/>
      </c>
      <c r="U932" s="13">
        <f>IF(AND(ISNUMBER(R932),ISNUMBER(S932),ISNUMBER(T932)),IF(R932&gt;T932,"boven UCL",IF(R932&lt;S932,"onder LCL","")),"")</f>
        <v/>
      </c>
    </row>
    <row r="933">
      <c r="A933" t="n">
        <v>827</v>
      </c>
      <c r="B933" s="7" t="n"/>
      <c r="C933" s="11">
        <f>IF(AND(ISNUMBER(B933),ISNUMBER(B932)),ABS(B933-B932),"")</f>
        <v/>
      </c>
      <c r="D933" s="13">
        <f>IF(AND(ISNUMBER(B933),ISNUMBER($B$88),ISNUMBER($D$88)),IF(B933&gt;$D$88,"boven UCL",IF(B933&lt;$B$88,"onder LCL","")),"")</f>
        <v/>
      </c>
      <c r="E933" s="13">
        <f>IF(AND(ISNUMBER(C933),ISNUMBER($B$89),ISNUMBER($D$89)),IF(C933&gt;$D$89,"boven UCL",IF(C933&lt;$B$89,"onder LCL","")),"")</f>
        <v/>
      </c>
      <c r="G933" t="n">
        <v>827</v>
      </c>
      <c r="H933" s="7" t="n"/>
      <c r="I933" s="7" t="n"/>
      <c r="J933" s="11">
        <f>IF(AND(ISNUMBER(H933),ISNUMBER(I933),H933&gt;0,ISNUMBER($B$94)),I933/H933,"")</f>
        <v/>
      </c>
      <c r="K933" s="11">
        <f>IF(AND(ISNUMBER(H933),ISNUMBER(I933),H933&gt;0,ISNUMBER($B$94)),MAX(0,$B$94-3*SQRT($B$94*(1-$B$94)/H933)),"")</f>
        <v/>
      </c>
      <c r="L933" s="11">
        <f>IF(AND(ISNUMBER(H933),ISNUMBER(I933),H933&gt;0,ISNUMBER($B$94)),$B$94+3*SQRT($B$94*(1-$B$94)/H933),"")</f>
        <v/>
      </c>
      <c r="M933" s="13">
        <f>IF(AND(ISNUMBER(J933),ISNUMBER(K933),ISNUMBER(L933)),IF(J933&gt;L933,"boven UCL",IF(J933&lt;K933,"onder LCL","")),"")</f>
        <v/>
      </c>
      <c r="O933" t="n">
        <v>827</v>
      </c>
      <c r="P933" s="7" t="n"/>
      <c r="Q933" s="7" t="n"/>
      <c r="R933" s="11">
        <f>IF(AND(ISNUMBER(P933),ISNUMBER(Q933),P933&gt;0,ISNUMBER($B$100)),Q933/P933,"")</f>
        <v/>
      </c>
      <c r="S933" s="11">
        <f>IF(AND(ISNUMBER(P933),ISNUMBER(Q933),P933&gt;0,ISNUMBER($B$100)),MAX(0,$B$100-3*SQRT($B$100/P933)),"")</f>
        <v/>
      </c>
      <c r="T933" s="11">
        <f>IF(AND(ISNUMBER(P933),ISNUMBER(Q933),P933&gt;0,ISNUMBER($B$100)),$B$100+3*SQRT($B$100/P933),"")</f>
        <v/>
      </c>
      <c r="U933" s="13">
        <f>IF(AND(ISNUMBER(R933),ISNUMBER(S933),ISNUMBER(T933)),IF(R933&gt;T933,"boven UCL",IF(R933&lt;S933,"onder LCL","")),"")</f>
        <v/>
      </c>
    </row>
    <row r="934">
      <c r="A934" t="n">
        <v>828</v>
      </c>
      <c r="B934" s="7" t="n"/>
      <c r="C934" s="11">
        <f>IF(AND(ISNUMBER(B934),ISNUMBER(B933)),ABS(B934-B933),"")</f>
        <v/>
      </c>
      <c r="D934" s="13">
        <f>IF(AND(ISNUMBER(B934),ISNUMBER($B$88),ISNUMBER($D$88)),IF(B934&gt;$D$88,"boven UCL",IF(B934&lt;$B$88,"onder LCL","")),"")</f>
        <v/>
      </c>
      <c r="E934" s="13">
        <f>IF(AND(ISNUMBER(C934),ISNUMBER($B$89),ISNUMBER($D$89)),IF(C934&gt;$D$89,"boven UCL",IF(C934&lt;$B$89,"onder LCL","")),"")</f>
        <v/>
      </c>
      <c r="G934" t="n">
        <v>828</v>
      </c>
      <c r="H934" s="7" t="n"/>
      <c r="I934" s="7" t="n"/>
      <c r="J934" s="11">
        <f>IF(AND(ISNUMBER(H934),ISNUMBER(I934),H934&gt;0,ISNUMBER($B$94)),I934/H934,"")</f>
        <v/>
      </c>
      <c r="K934" s="11">
        <f>IF(AND(ISNUMBER(H934),ISNUMBER(I934),H934&gt;0,ISNUMBER($B$94)),MAX(0,$B$94-3*SQRT($B$94*(1-$B$94)/H934)),"")</f>
        <v/>
      </c>
      <c r="L934" s="11">
        <f>IF(AND(ISNUMBER(H934),ISNUMBER(I934),H934&gt;0,ISNUMBER($B$94)),$B$94+3*SQRT($B$94*(1-$B$94)/H934),"")</f>
        <v/>
      </c>
      <c r="M934" s="13">
        <f>IF(AND(ISNUMBER(J934),ISNUMBER(K934),ISNUMBER(L934)),IF(J934&gt;L934,"boven UCL",IF(J934&lt;K934,"onder LCL","")),"")</f>
        <v/>
      </c>
      <c r="O934" t="n">
        <v>828</v>
      </c>
      <c r="P934" s="7" t="n"/>
      <c r="Q934" s="7" t="n"/>
      <c r="R934" s="11">
        <f>IF(AND(ISNUMBER(P934),ISNUMBER(Q934),P934&gt;0,ISNUMBER($B$100)),Q934/P934,"")</f>
        <v/>
      </c>
      <c r="S934" s="11">
        <f>IF(AND(ISNUMBER(P934),ISNUMBER(Q934),P934&gt;0,ISNUMBER($B$100)),MAX(0,$B$100-3*SQRT($B$100/P934)),"")</f>
        <v/>
      </c>
      <c r="T934" s="11">
        <f>IF(AND(ISNUMBER(P934),ISNUMBER(Q934),P934&gt;0,ISNUMBER($B$100)),$B$100+3*SQRT($B$100/P934),"")</f>
        <v/>
      </c>
      <c r="U934" s="13">
        <f>IF(AND(ISNUMBER(R934),ISNUMBER(S934),ISNUMBER(T934)),IF(R934&gt;T934,"boven UCL",IF(R934&lt;S934,"onder LCL","")),"")</f>
        <v/>
      </c>
    </row>
    <row r="935">
      <c r="A935" t="n">
        <v>829</v>
      </c>
      <c r="B935" s="7" t="n"/>
      <c r="C935" s="11">
        <f>IF(AND(ISNUMBER(B935),ISNUMBER(B934)),ABS(B935-B934),"")</f>
        <v/>
      </c>
      <c r="D935" s="13">
        <f>IF(AND(ISNUMBER(B935),ISNUMBER($B$88),ISNUMBER($D$88)),IF(B935&gt;$D$88,"boven UCL",IF(B935&lt;$B$88,"onder LCL","")),"")</f>
        <v/>
      </c>
      <c r="E935" s="13">
        <f>IF(AND(ISNUMBER(C935),ISNUMBER($B$89),ISNUMBER($D$89)),IF(C935&gt;$D$89,"boven UCL",IF(C935&lt;$B$89,"onder LCL","")),"")</f>
        <v/>
      </c>
      <c r="G935" t="n">
        <v>829</v>
      </c>
      <c r="H935" s="7" t="n"/>
      <c r="I935" s="7" t="n"/>
      <c r="J935" s="11">
        <f>IF(AND(ISNUMBER(H935),ISNUMBER(I935),H935&gt;0,ISNUMBER($B$94)),I935/H935,"")</f>
        <v/>
      </c>
      <c r="K935" s="11">
        <f>IF(AND(ISNUMBER(H935),ISNUMBER(I935),H935&gt;0,ISNUMBER($B$94)),MAX(0,$B$94-3*SQRT($B$94*(1-$B$94)/H935)),"")</f>
        <v/>
      </c>
      <c r="L935" s="11">
        <f>IF(AND(ISNUMBER(H935),ISNUMBER(I935),H935&gt;0,ISNUMBER($B$94)),$B$94+3*SQRT($B$94*(1-$B$94)/H935),"")</f>
        <v/>
      </c>
      <c r="M935" s="13">
        <f>IF(AND(ISNUMBER(J935),ISNUMBER(K935),ISNUMBER(L935)),IF(J935&gt;L935,"boven UCL",IF(J935&lt;K935,"onder LCL","")),"")</f>
        <v/>
      </c>
      <c r="O935" t="n">
        <v>829</v>
      </c>
      <c r="P935" s="7" t="n"/>
      <c r="Q935" s="7" t="n"/>
      <c r="R935" s="11">
        <f>IF(AND(ISNUMBER(P935),ISNUMBER(Q935),P935&gt;0,ISNUMBER($B$100)),Q935/P935,"")</f>
        <v/>
      </c>
      <c r="S935" s="11">
        <f>IF(AND(ISNUMBER(P935),ISNUMBER(Q935),P935&gt;0,ISNUMBER($B$100)),MAX(0,$B$100-3*SQRT($B$100/P935)),"")</f>
        <v/>
      </c>
      <c r="T935" s="11">
        <f>IF(AND(ISNUMBER(P935),ISNUMBER(Q935),P935&gt;0,ISNUMBER($B$100)),$B$100+3*SQRT($B$100/P935),"")</f>
        <v/>
      </c>
      <c r="U935" s="13">
        <f>IF(AND(ISNUMBER(R935),ISNUMBER(S935),ISNUMBER(T935)),IF(R935&gt;T935,"boven UCL",IF(R935&lt;S935,"onder LCL","")),"")</f>
        <v/>
      </c>
    </row>
    <row r="936">
      <c r="A936" t="n">
        <v>830</v>
      </c>
      <c r="B936" s="7" t="n"/>
      <c r="C936" s="11">
        <f>IF(AND(ISNUMBER(B936),ISNUMBER(B935)),ABS(B936-B935),"")</f>
        <v/>
      </c>
      <c r="D936" s="13">
        <f>IF(AND(ISNUMBER(B936),ISNUMBER($B$88),ISNUMBER($D$88)),IF(B936&gt;$D$88,"boven UCL",IF(B936&lt;$B$88,"onder LCL","")),"")</f>
        <v/>
      </c>
      <c r="E936" s="13">
        <f>IF(AND(ISNUMBER(C936),ISNUMBER($B$89),ISNUMBER($D$89)),IF(C936&gt;$D$89,"boven UCL",IF(C936&lt;$B$89,"onder LCL","")),"")</f>
        <v/>
      </c>
      <c r="G936" t="n">
        <v>830</v>
      </c>
      <c r="H936" s="7" t="n"/>
      <c r="I936" s="7" t="n"/>
      <c r="J936" s="11">
        <f>IF(AND(ISNUMBER(H936),ISNUMBER(I936),H936&gt;0,ISNUMBER($B$94)),I936/H936,"")</f>
        <v/>
      </c>
      <c r="K936" s="11">
        <f>IF(AND(ISNUMBER(H936),ISNUMBER(I936),H936&gt;0,ISNUMBER($B$94)),MAX(0,$B$94-3*SQRT($B$94*(1-$B$94)/H936)),"")</f>
        <v/>
      </c>
      <c r="L936" s="11">
        <f>IF(AND(ISNUMBER(H936),ISNUMBER(I936),H936&gt;0,ISNUMBER($B$94)),$B$94+3*SQRT($B$94*(1-$B$94)/H936),"")</f>
        <v/>
      </c>
      <c r="M936" s="13">
        <f>IF(AND(ISNUMBER(J936),ISNUMBER(K936),ISNUMBER(L936)),IF(J936&gt;L936,"boven UCL",IF(J936&lt;K936,"onder LCL","")),"")</f>
        <v/>
      </c>
      <c r="O936" t="n">
        <v>830</v>
      </c>
      <c r="P936" s="7" t="n"/>
      <c r="Q936" s="7" t="n"/>
      <c r="R936" s="11">
        <f>IF(AND(ISNUMBER(P936),ISNUMBER(Q936),P936&gt;0,ISNUMBER($B$100)),Q936/P936,"")</f>
        <v/>
      </c>
      <c r="S936" s="11">
        <f>IF(AND(ISNUMBER(P936),ISNUMBER(Q936),P936&gt;0,ISNUMBER($B$100)),MAX(0,$B$100-3*SQRT($B$100/P936)),"")</f>
        <v/>
      </c>
      <c r="T936" s="11">
        <f>IF(AND(ISNUMBER(P936),ISNUMBER(Q936),P936&gt;0,ISNUMBER($B$100)),$B$100+3*SQRT($B$100/P936),"")</f>
        <v/>
      </c>
      <c r="U936" s="13">
        <f>IF(AND(ISNUMBER(R936),ISNUMBER(S936),ISNUMBER(T936)),IF(R936&gt;T936,"boven UCL",IF(R936&lt;S936,"onder LCL","")),"")</f>
        <v/>
      </c>
    </row>
    <row r="937">
      <c r="A937" t="n">
        <v>831</v>
      </c>
      <c r="B937" s="7" t="n"/>
      <c r="C937" s="11">
        <f>IF(AND(ISNUMBER(B937),ISNUMBER(B936)),ABS(B937-B936),"")</f>
        <v/>
      </c>
      <c r="D937" s="13">
        <f>IF(AND(ISNUMBER(B937),ISNUMBER($B$88),ISNUMBER($D$88)),IF(B937&gt;$D$88,"boven UCL",IF(B937&lt;$B$88,"onder LCL","")),"")</f>
        <v/>
      </c>
      <c r="E937" s="13">
        <f>IF(AND(ISNUMBER(C937),ISNUMBER($B$89),ISNUMBER($D$89)),IF(C937&gt;$D$89,"boven UCL",IF(C937&lt;$B$89,"onder LCL","")),"")</f>
        <v/>
      </c>
      <c r="G937" t="n">
        <v>831</v>
      </c>
      <c r="H937" s="7" t="n"/>
      <c r="I937" s="7" t="n"/>
      <c r="J937" s="11">
        <f>IF(AND(ISNUMBER(H937),ISNUMBER(I937),H937&gt;0,ISNUMBER($B$94)),I937/H937,"")</f>
        <v/>
      </c>
      <c r="K937" s="11">
        <f>IF(AND(ISNUMBER(H937),ISNUMBER(I937),H937&gt;0,ISNUMBER($B$94)),MAX(0,$B$94-3*SQRT($B$94*(1-$B$94)/H937)),"")</f>
        <v/>
      </c>
      <c r="L937" s="11">
        <f>IF(AND(ISNUMBER(H937),ISNUMBER(I937),H937&gt;0,ISNUMBER($B$94)),$B$94+3*SQRT($B$94*(1-$B$94)/H937),"")</f>
        <v/>
      </c>
      <c r="M937" s="13">
        <f>IF(AND(ISNUMBER(J937),ISNUMBER(K937),ISNUMBER(L937)),IF(J937&gt;L937,"boven UCL",IF(J937&lt;K937,"onder LCL","")),"")</f>
        <v/>
      </c>
      <c r="O937" t="n">
        <v>831</v>
      </c>
      <c r="P937" s="7" t="n"/>
      <c r="Q937" s="7" t="n"/>
      <c r="R937" s="11">
        <f>IF(AND(ISNUMBER(P937),ISNUMBER(Q937),P937&gt;0,ISNUMBER($B$100)),Q937/P937,"")</f>
        <v/>
      </c>
      <c r="S937" s="11">
        <f>IF(AND(ISNUMBER(P937),ISNUMBER(Q937),P937&gt;0,ISNUMBER($B$100)),MAX(0,$B$100-3*SQRT($B$100/P937)),"")</f>
        <v/>
      </c>
      <c r="T937" s="11">
        <f>IF(AND(ISNUMBER(P937),ISNUMBER(Q937),P937&gt;0,ISNUMBER($B$100)),$B$100+3*SQRT($B$100/P937),"")</f>
        <v/>
      </c>
      <c r="U937" s="13">
        <f>IF(AND(ISNUMBER(R937),ISNUMBER(S937),ISNUMBER(T937)),IF(R937&gt;T937,"boven UCL",IF(R937&lt;S937,"onder LCL","")),"")</f>
        <v/>
      </c>
    </row>
    <row r="938">
      <c r="A938" t="n">
        <v>832</v>
      </c>
      <c r="B938" s="7" t="n"/>
      <c r="C938" s="11">
        <f>IF(AND(ISNUMBER(B938),ISNUMBER(B937)),ABS(B938-B937),"")</f>
        <v/>
      </c>
      <c r="D938" s="13">
        <f>IF(AND(ISNUMBER(B938),ISNUMBER($B$88),ISNUMBER($D$88)),IF(B938&gt;$D$88,"boven UCL",IF(B938&lt;$B$88,"onder LCL","")),"")</f>
        <v/>
      </c>
      <c r="E938" s="13">
        <f>IF(AND(ISNUMBER(C938),ISNUMBER($B$89),ISNUMBER($D$89)),IF(C938&gt;$D$89,"boven UCL",IF(C938&lt;$B$89,"onder LCL","")),"")</f>
        <v/>
      </c>
      <c r="G938" t="n">
        <v>832</v>
      </c>
      <c r="H938" s="7" t="n"/>
      <c r="I938" s="7" t="n"/>
      <c r="J938" s="11">
        <f>IF(AND(ISNUMBER(H938),ISNUMBER(I938),H938&gt;0,ISNUMBER($B$94)),I938/H938,"")</f>
        <v/>
      </c>
      <c r="K938" s="11">
        <f>IF(AND(ISNUMBER(H938),ISNUMBER(I938),H938&gt;0,ISNUMBER($B$94)),MAX(0,$B$94-3*SQRT($B$94*(1-$B$94)/H938)),"")</f>
        <v/>
      </c>
      <c r="L938" s="11">
        <f>IF(AND(ISNUMBER(H938),ISNUMBER(I938),H938&gt;0,ISNUMBER($B$94)),$B$94+3*SQRT($B$94*(1-$B$94)/H938),"")</f>
        <v/>
      </c>
      <c r="M938" s="13">
        <f>IF(AND(ISNUMBER(J938),ISNUMBER(K938),ISNUMBER(L938)),IF(J938&gt;L938,"boven UCL",IF(J938&lt;K938,"onder LCL","")),"")</f>
        <v/>
      </c>
      <c r="O938" t="n">
        <v>832</v>
      </c>
      <c r="P938" s="7" t="n"/>
      <c r="Q938" s="7" t="n"/>
      <c r="R938" s="11">
        <f>IF(AND(ISNUMBER(P938),ISNUMBER(Q938),P938&gt;0,ISNUMBER($B$100)),Q938/P938,"")</f>
        <v/>
      </c>
      <c r="S938" s="11">
        <f>IF(AND(ISNUMBER(P938),ISNUMBER(Q938),P938&gt;0,ISNUMBER($B$100)),MAX(0,$B$100-3*SQRT($B$100/P938)),"")</f>
        <v/>
      </c>
      <c r="T938" s="11">
        <f>IF(AND(ISNUMBER(P938),ISNUMBER(Q938),P938&gt;0,ISNUMBER($B$100)),$B$100+3*SQRT($B$100/P938),"")</f>
        <v/>
      </c>
      <c r="U938" s="13">
        <f>IF(AND(ISNUMBER(R938),ISNUMBER(S938),ISNUMBER(T938)),IF(R938&gt;T938,"boven UCL",IF(R938&lt;S938,"onder LCL","")),"")</f>
        <v/>
      </c>
    </row>
    <row r="939">
      <c r="A939" t="n">
        <v>833</v>
      </c>
      <c r="B939" s="7" t="n"/>
      <c r="C939" s="11">
        <f>IF(AND(ISNUMBER(B939),ISNUMBER(B938)),ABS(B939-B938),"")</f>
        <v/>
      </c>
      <c r="D939" s="13">
        <f>IF(AND(ISNUMBER(B939),ISNUMBER($B$88),ISNUMBER($D$88)),IF(B939&gt;$D$88,"boven UCL",IF(B939&lt;$B$88,"onder LCL","")),"")</f>
        <v/>
      </c>
      <c r="E939" s="13">
        <f>IF(AND(ISNUMBER(C939),ISNUMBER($B$89),ISNUMBER($D$89)),IF(C939&gt;$D$89,"boven UCL",IF(C939&lt;$B$89,"onder LCL","")),"")</f>
        <v/>
      </c>
      <c r="G939" t="n">
        <v>833</v>
      </c>
      <c r="H939" s="7" t="n"/>
      <c r="I939" s="7" t="n"/>
      <c r="J939" s="11">
        <f>IF(AND(ISNUMBER(H939),ISNUMBER(I939),H939&gt;0,ISNUMBER($B$94)),I939/H939,"")</f>
        <v/>
      </c>
      <c r="K939" s="11">
        <f>IF(AND(ISNUMBER(H939),ISNUMBER(I939),H939&gt;0,ISNUMBER($B$94)),MAX(0,$B$94-3*SQRT($B$94*(1-$B$94)/H939)),"")</f>
        <v/>
      </c>
      <c r="L939" s="11">
        <f>IF(AND(ISNUMBER(H939),ISNUMBER(I939),H939&gt;0,ISNUMBER($B$94)),$B$94+3*SQRT($B$94*(1-$B$94)/H939),"")</f>
        <v/>
      </c>
      <c r="M939" s="13">
        <f>IF(AND(ISNUMBER(J939),ISNUMBER(K939),ISNUMBER(L939)),IF(J939&gt;L939,"boven UCL",IF(J939&lt;K939,"onder LCL","")),"")</f>
        <v/>
      </c>
      <c r="O939" t="n">
        <v>833</v>
      </c>
      <c r="P939" s="7" t="n"/>
      <c r="Q939" s="7" t="n"/>
      <c r="R939" s="11">
        <f>IF(AND(ISNUMBER(P939),ISNUMBER(Q939),P939&gt;0,ISNUMBER($B$100)),Q939/P939,"")</f>
        <v/>
      </c>
      <c r="S939" s="11">
        <f>IF(AND(ISNUMBER(P939),ISNUMBER(Q939),P939&gt;0,ISNUMBER($B$100)),MAX(0,$B$100-3*SQRT($B$100/P939)),"")</f>
        <v/>
      </c>
      <c r="T939" s="11">
        <f>IF(AND(ISNUMBER(P939),ISNUMBER(Q939),P939&gt;0,ISNUMBER($B$100)),$B$100+3*SQRT($B$100/P939),"")</f>
        <v/>
      </c>
      <c r="U939" s="13">
        <f>IF(AND(ISNUMBER(R939),ISNUMBER(S939),ISNUMBER(T939)),IF(R939&gt;T939,"boven UCL",IF(R939&lt;S939,"onder LCL","")),"")</f>
        <v/>
      </c>
    </row>
    <row r="940">
      <c r="A940" t="n">
        <v>834</v>
      </c>
      <c r="B940" s="7" t="n"/>
      <c r="C940" s="11">
        <f>IF(AND(ISNUMBER(B940),ISNUMBER(B939)),ABS(B940-B939),"")</f>
        <v/>
      </c>
      <c r="D940" s="13">
        <f>IF(AND(ISNUMBER(B940),ISNUMBER($B$88),ISNUMBER($D$88)),IF(B940&gt;$D$88,"boven UCL",IF(B940&lt;$B$88,"onder LCL","")),"")</f>
        <v/>
      </c>
      <c r="E940" s="13">
        <f>IF(AND(ISNUMBER(C940),ISNUMBER($B$89),ISNUMBER($D$89)),IF(C940&gt;$D$89,"boven UCL",IF(C940&lt;$B$89,"onder LCL","")),"")</f>
        <v/>
      </c>
      <c r="G940" t="n">
        <v>834</v>
      </c>
      <c r="H940" s="7" t="n"/>
      <c r="I940" s="7" t="n"/>
      <c r="J940" s="11">
        <f>IF(AND(ISNUMBER(H940),ISNUMBER(I940),H940&gt;0,ISNUMBER($B$94)),I940/H940,"")</f>
        <v/>
      </c>
      <c r="K940" s="11">
        <f>IF(AND(ISNUMBER(H940),ISNUMBER(I940),H940&gt;0,ISNUMBER($B$94)),MAX(0,$B$94-3*SQRT($B$94*(1-$B$94)/H940)),"")</f>
        <v/>
      </c>
      <c r="L940" s="11">
        <f>IF(AND(ISNUMBER(H940),ISNUMBER(I940),H940&gt;0,ISNUMBER($B$94)),$B$94+3*SQRT($B$94*(1-$B$94)/H940),"")</f>
        <v/>
      </c>
      <c r="M940" s="13">
        <f>IF(AND(ISNUMBER(J940),ISNUMBER(K940),ISNUMBER(L940)),IF(J940&gt;L940,"boven UCL",IF(J940&lt;K940,"onder LCL","")),"")</f>
        <v/>
      </c>
      <c r="O940" t="n">
        <v>834</v>
      </c>
      <c r="P940" s="7" t="n"/>
      <c r="Q940" s="7" t="n"/>
      <c r="R940" s="11">
        <f>IF(AND(ISNUMBER(P940),ISNUMBER(Q940),P940&gt;0,ISNUMBER($B$100)),Q940/P940,"")</f>
        <v/>
      </c>
      <c r="S940" s="11">
        <f>IF(AND(ISNUMBER(P940),ISNUMBER(Q940),P940&gt;0,ISNUMBER($B$100)),MAX(0,$B$100-3*SQRT($B$100/P940)),"")</f>
        <v/>
      </c>
      <c r="T940" s="11">
        <f>IF(AND(ISNUMBER(P940),ISNUMBER(Q940),P940&gt;0,ISNUMBER($B$100)),$B$100+3*SQRT($B$100/P940),"")</f>
        <v/>
      </c>
      <c r="U940" s="13">
        <f>IF(AND(ISNUMBER(R940),ISNUMBER(S940),ISNUMBER(T940)),IF(R940&gt;T940,"boven UCL",IF(R940&lt;S940,"onder LCL","")),"")</f>
        <v/>
      </c>
    </row>
    <row r="941">
      <c r="A941" t="n">
        <v>835</v>
      </c>
      <c r="B941" s="7" t="n"/>
      <c r="C941" s="11">
        <f>IF(AND(ISNUMBER(B941),ISNUMBER(B940)),ABS(B941-B940),"")</f>
        <v/>
      </c>
      <c r="D941" s="13">
        <f>IF(AND(ISNUMBER(B941),ISNUMBER($B$88),ISNUMBER($D$88)),IF(B941&gt;$D$88,"boven UCL",IF(B941&lt;$B$88,"onder LCL","")),"")</f>
        <v/>
      </c>
      <c r="E941" s="13">
        <f>IF(AND(ISNUMBER(C941),ISNUMBER($B$89),ISNUMBER($D$89)),IF(C941&gt;$D$89,"boven UCL",IF(C941&lt;$B$89,"onder LCL","")),"")</f>
        <v/>
      </c>
      <c r="G941" t="n">
        <v>835</v>
      </c>
      <c r="H941" s="7" t="n"/>
      <c r="I941" s="7" t="n"/>
      <c r="J941" s="11">
        <f>IF(AND(ISNUMBER(H941),ISNUMBER(I941),H941&gt;0,ISNUMBER($B$94)),I941/H941,"")</f>
        <v/>
      </c>
      <c r="K941" s="11">
        <f>IF(AND(ISNUMBER(H941),ISNUMBER(I941),H941&gt;0,ISNUMBER($B$94)),MAX(0,$B$94-3*SQRT($B$94*(1-$B$94)/H941)),"")</f>
        <v/>
      </c>
      <c r="L941" s="11">
        <f>IF(AND(ISNUMBER(H941),ISNUMBER(I941),H941&gt;0,ISNUMBER($B$94)),$B$94+3*SQRT($B$94*(1-$B$94)/H941),"")</f>
        <v/>
      </c>
      <c r="M941" s="13">
        <f>IF(AND(ISNUMBER(J941),ISNUMBER(K941),ISNUMBER(L941)),IF(J941&gt;L941,"boven UCL",IF(J941&lt;K941,"onder LCL","")),"")</f>
        <v/>
      </c>
      <c r="O941" t="n">
        <v>835</v>
      </c>
      <c r="P941" s="7" t="n"/>
      <c r="Q941" s="7" t="n"/>
      <c r="R941" s="11">
        <f>IF(AND(ISNUMBER(P941),ISNUMBER(Q941),P941&gt;0,ISNUMBER($B$100)),Q941/P941,"")</f>
        <v/>
      </c>
      <c r="S941" s="11">
        <f>IF(AND(ISNUMBER(P941),ISNUMBER(Q941),P941&gt;0,ISNUMBER($B$100)),MAX(0,$B$100-3*SQRT($B$100/P941)),"")</f>
        <v/>
      </c>
      <c r="T941" s="11">
        <f>IF(AND(ISNUMBER(P941),ISNUMBER(Q941),P941&gt;0,ISNUMBER($B$100)),$B$100+3*SQRT($B$100/P941),"")</f>
        <v/>
      </c>
      <c r="U941" s="13">
        <f>IF(AND(ISNUMBER(R941),ISNUMBER(S941),ISNUMBER(T941)),IF(R941&gt;T941,"boven UCL",IF(R941&lt;S941,"onder LCL","")),"")</f>
        <v/>
      </c>
    </row>
    <row r="942">
      <c r="A942" t="n">
        <v>836</v>
      </c>
      <c r="B942" s="7" t="n"/>
      <c r="C942" s="11">
        <f>IF(AND(ISNUMBER(B942),ISNUMBER(B941)),ABS(B942-B941),"")</f>
        <v/>
      </c>
      <c r="D942" s="13">
        <f>IF(AND(ISNUMBER(B942),ISNUMBER($B$88),ISNUMBER($D$88)),IF(B942&gt;$D$88,"boven UCL",IF(B942&lt;$B$88,"onder LCL","")),"")</f>
        <v/>
      </c>
      <c r="E942" s="13">
        <f>IF(AND(ISNUMBER(C942),ISNUMBER($B$89),ISNUMBER($D$89)),IF(C942&gt;$D$89,"boven UCL",IF(C942&lt;$B$89,"onder LCL","")),"")</f>
        <v/>
      </c>
      <c r="G942" t="n">
        <v>836</v>
      </c>
      <c r="H942" s="7" t="n"/>
      <c r="I942" s="7" t="n"/>
      <c r="J942" s="11">
        <f>IF(AND(ISNUMBER(H942),ISNUMBER(I942),H942&gt;0,ISNUMBER($B$94)),I942/H942,"")</f>
        <v/>
      </c>
      <c r="K942" s="11">
        <f>IF(AND(ISNUMBER(H942),ISNUMBER(I942),H942&gt;0,ISNUMBER($B$94)),MAX(0,$B$94-3*SQRT($B$94*(1-$B$94)/H942)),"")</f>
        <v/>
      </c>
      <c r="L942" s="11">
        <f>IF(AND(ISNUMBER(H942),ISNUMBER(I942),H942&gt;0,ISNUMBER($B$94)),$B$94+3*SQRT($B$94*(1-$B$94)/H942),"")</f>
        <v/>
      </c>
      <c r="M942" s="13">
        <f>IF(AND(ISNUMBER(J942),ISNUMBER(K942),ISNUMBER(L942)),IF(J942&gt;L942,"boven UCL",IF(J942&lt;K942,"onder LCL","")),"")</f>
        <v/>
      </c>
      <c r="O942" t="n">
        <v>836</v>
      </c>
      <c r="P942" s="7" t="n"/>
      <c r="Q942" s="7" t="n"/>
      <c r="R942" s="11">
        <f>IF(AND(ISNUMBER(P942),ISNUMBER(Q942),P942&gt;0,ISNUMBER($B$100)),Q942/P942,"")</f>
        <v/>
      </c>
      <c r="S942" s="11">
        <f>IF(AND(ISNUMBER(P942),ISNUMBER(Q942),P942&gt;0,ISNUMBER($B$100)),MAX(0,$B$100-3*SQRT($B$100/P942)),"")</f>
        <v/>
      </c>
      <c r="T942" s="11">
        <f>IF(AND(ISNUMBER(P942),ISNUMBER(Q942),P942&gt;0,ISNUMBER($B$100)),$B$100+3*SQRT($B$100/P942),"")</f>
        <v/>
      </c>
      <c r="U942" s="13">
        <f>IF(AND(ISNUMBER(R942),ISNUMBER(S942),ISNUMBER(T942)),IF(R942&gt;T942,"boven UCL",IF(R942&lt;S942,"onder LCL","")),"")</f>
        <v/>
      </c>
    </row>
    <row r="943">
      <c r="A943" t="n">
        <v>837</v>
      </c>
      <c r="B943" s="7" t="n"/>
      <c r="C943" s="11">
        <f>IF(AND(ISNUMBER(B943),ISNUMBER(B942)),ABS(B943-B942),"")</f>
        <v/>
      </c>
      <c r="D943" s="13">
        <f>IF(AND(ISNUMBER(B943),ISNUMBER($B$88),ISNUMBER($D$88)),IF(B943&gt;$D$88,"boven UCL",IF(B943&lt;$B$88,"onder LCL","")),"")</f>
        <v/>
      </c>
      <c r="E943" s="13">
        <f>IF(AND(ISNUMBER(C943),ISNUMBER($B$89),ISNUMBER($D$89)),IF(C943&gt;$D$89,"boven UCL",IF(C943&lt;$B$89,"onder LCL","")),"")</f>
        <v/>
      </c>
      <c r="G943" t="n">
        <v>837</v>
      </c>
      <c r="H943" s="7" t="n"/>
      <c r="I943" s="7" t="n"/>
      <c r="J943" s="11">
        <f>IF(AND(ISNUMBER(H943),ISNUMBER(I943),H943&gt;0,ISNUMBER($B$94)),I943/H943,"")</f>
        <v/>
      </c>
      <c r="K943" s="11">
        <f>IF(AND(ISNUMBER(H943),ISNUMBER(I943),H943&gt;0,ISNUMBER($B$94)),MAX(0,$B$94-3*SQRT($B$94*(1-$B$94)/H943)),"")</f>
        <v/>
      </c>
      <c r="L943" s="11">
        <f>IF(AND(ISNUMBER(H943),ISNUMBER(I943),H943&gt;0,ISNUMBER($B$94)),$B$94+3*SQRT($B$94*(1-$B$94)/H943),"")</f>
        <v/>
      </c>
      <c r="M943" s="13">
        <f>IF(AND(ISNUMBER(J943),ISNUMBER(K943),ISNUMBER(L943)),IF(J943&gt;L943,"boven UCL",IF(J943&lt;K943,"onder LCL","")),"")</f>
        <v/>
      </c>
      <c r="O943" t="n">
        <v>837</v>
      </c>
      <c r="P943" s="7" t="n"/>
      <c r="Q943" s="7" t="n"/>
      <c r="R943" s="11">
        <f>IF(AND(ISNUMBER(P943),ISNUMBER(Q943),P943&gt;0,ISNUMBER($B$100)),Q943/P943,"")</f>
        <v/>
      </c>
      <c r="S943" s="11">
        <f>IF(AND(ISNUMBER(P943),ISNUMBER(Q943),P943&gt;0,ISNUMBER($B$100)),MAX(0,$B$100-3*SQRT($B$100/P943)),"")</f>
        <v/>
      </c>
      <c r="T943" s="11">
        <f>IF(AND(ISNUMBER(P943),ISNUMBER(Q943),P943&gt;0,ISNUMBER($B$100)),$B$100+3*SQRT($B$100/P943),"")</f>
        <v/>
      </c>
      <c r="U943" s="13">
        <f>IF(AND(ISNUMBER(R943),ISNUMBER(S943),ISNUMBER(T943)),IF(R943&gt;T943,"boven UCL",IF(R943&lt;S943,"onder LCL","")),"")</f>
        <v/>
      </c>
    </row>
    <row r="944">
      <c r="A944" t="n">
        <v>838</v>
      </c>
      <c r="B944" s="7" t="n"/>
      <c r="C944" s="11">
        <f>IF(AND(ISNUMBER(B944),ISNUMBER(B943)),ABS(B944-B943),"")</f>
        <v/>
      </c>
      <c r="D944" s="13">
        <f>IF(AND(ISNUMBER(B944),ISNUMBER($B$88),ISNUMBER($D$88)),IF(B944&gt;$D$88,"boven UCL",IF(B944&lt;$B$88,"onder LCL","")),"")</f>
        <v/>
      </c>
      <c r="E944" s="13">
        <f>IF(AND(ISNUMBER(C944),ISNUMBER($B$89),ISNUMBER($D$89)),IF(C944&gt;$D$89,"boven UCL",IF(C944&lt;$B$89,"onder LCL","")),"")</f>
        <v/>
      </c>
      <c r="G944" t="n">
        <v>838</v>
      </c>
      <c r="H944" s="7" t="n"/>
      <c r="I944" s="7" t="n"/>
      <c r="J944" s="11">
        <f>IF(AND(ISNUMBER(H944),ISNUMBER(I944),H944&gt;0,ISNUMBER($B$94)),I944/H944,"")</f>
        <v/>
      </c>
      <c r="K944" s="11">
        <f>IF(AND(ISNUMBER(H944),ISNUMBER(I944),H944&gt;0,ISNUMBER($B$94)),MAX(0,$B$94-3*SQRT($B$94*(1-$B$94)/H944)),"")</f>
        <v/>
      </c>
      <c r="L944" s="11">
        <f>IF(AND(ISNUMBER(H944),ISNUMBER(I944),H944&gt;0,ISNUMBER($B$94)),$B$94+3*SQRT($B$94*(1-$B$94)/H944),"")</f>
        <v/>
      </c>
      <c r="M944" s="13">
        <f>IF(AND(ISNUMBER(J944),ISNUMBER(K944),ISNUMBER(L944)),IF(J944&gt;L944,"boven UCL",IF(J944&lt;K944,"onder LCL","")),"")</f>
        <v/>
      </c>
      <c r="O944" t="n">
        <v>838</v>
      </c>
      <c r="P944" s="7" t="n"/>
      <c r="Q944" s="7" t="n"/>
      <c r="R944" s="11">
        <f>IF(AND(ISNUMBER(P944),ISNUMBER(Q944),P944&gt;0,ISNUMBER($B$100)),Q944/P944,"")</f>
        <v/>
      </c>
      <c r="S944" s="11">
        <f>IF(AND(ISNUMBER(P944),ISNUMBER(Q944),P944&gt;0,ISNUMBER($B$100)),MAX(0,$B$100-3*SQRT($B$100/P944)),"")</f>
        <v/>
      </c>
      <c r="T944" s="11">
        <f>IF(AND(ISNUMBER(P944),ISNUMBER(Q944),P944&gt;0,ISNUMBER($B$100)),$B$100+3*SQRT($B$100/P944),"")</f>
        <v/>
      </c>
      <c r="U944" s="13">
        <f>IF(AND(ISNUMBER(R944),ISNUMBER(S944),ISNUMBER(T944)),IF(R944&gt;T944,"boven UCL",IF(R944&lt;S944,"onder LCL","")),"")</f>
        <v/>
      </c>
    </row>
    <row r="945">
      <c r="A945" t="n">
        <v>839</v>
      </c>
      <c r="B945" s="7" t="n"/>
      <c r="C945" s="11">
        <f>IF(AND(ISNUMBER(B945),ISNUMBER(B944)),ABS(B945-B944),"")</f>
        <v/>
      </c>
      <c r="D945" s="13">
        <f>IF(AND(ISNUMBER(B945),ISNUMBER($B$88),ISNUMBER($D$88)),IF(B945&gt;$D$88,"boven UCL",IF(B945&lt;$B$88,"onder LCL","")),"")</f>
        <v/>
      </c>
      <c r="E945" s="13">
        <f>IF(AND(ISNUMBER(C945),ISNUMBER($B$89),ISNUMBER($D$89)),IF(C945&gt;$D$89,"boven UCL",IF(C945&lt;$B$89,"onder LCL","")),"")</f>
        <v/>
      </c>
      <c r="G945" t="n">
        <v>839</v>
      </c>
      <c r="H945" s="7" t="n"/>
      <c r="I945" s="7" t="n"/>
      <c r="J945" s="11">
        <f>IF(AND(ISNUMBER(H945),ISNUMBER(I945),H945&gt;0,ISNUMBER($B$94)),I945/H945,"")</f>
        <v/>
      </c>
      <c r="K945" s="11">
        <f>IF(AND(ISNUMBER(H945),ISNUMBER(I945),H945&gt;0,ISNUMBER($B$94)),MAX(0,$B$94-3*SQRT($B$94*(1-$B$94)/H945)),"")</f>
        <v/>
      </c>
      <c r="L945" s="11">
        <f>IF(AND(ISNUMBER(H945),ISNUMBER(I945),H945&gt;0,ISNUMBER($B$94)),$B$94+3*SQRT($B$94*(1-$B$94)/H945),"")</f>
        <v/>
      </c>
      <c r="M945" s="13">
        <f>IF(AND(ISNUMBER(J945),ISNUMBER(K945),ISNUMBER(L945)),IF(J945&gt;L945,"boven UCL",IF(J945&lt;K945,"onder LCL","")),"")</f>
        <v/>
      </c>
      <c r="O945" t="n">
        <v>839</v>
      </c>
      <c r="P945" s="7" t="n"/>
      <c r="Q945" s="7" t="n"/>
      <c r="R945" s="11">
        <f>IF(AND(ISNUMBER(P945),ISNUMBER(Q945),P945&gt;0,ISNUMBER($B$100)),Q945/P945,"")</f>
        <v/>
      </c>
      <c r="S945" s="11">
        <f>IF(AND(ISNUMBER(P945),ISNUMBER(Q945),P945&gt;0,ISNUMBER($B$100)),MAX(0,$B$100-3*SQRT($B$100/P945)),"")</f>
        <v/>
      </c>
      <c r="T945" s="11">
        <f>IF(AND(ISNUMBER(P945),ISNUMBER(Q945),P945&gt;0,ISNUMBER($B$100)),$B$100+3*SQRT($B$100/P945),"")</f>
        <v/>
      </c>
      <c r="U945" s="13">
        <f>IF(AND(ISNUMBER(R945),ISNUMBER(S945),ISNUMBER(T945)),IF(R945&gt;T945,"boven UCL",IF(R945&lt;S945,"onder LCL","")),"")</f>
        <v/>
      </c>
    </row>
    <row r="946">
      <c r="A946" t="n">
        <v>840</v>
      </c>
      <c r="B946" s="7" t="n"/>
      <c r="C946" s="11">
        <f>IF(AND(ISNUMBER(B946),ISNUMBER(B945)),ABS(B946-B945),"")</f>
        <v/>
      </c>
      <c r="D946" s="13">
        <f>IF(AND(ISNUMBER(B946),ISNUMBER($B$88),ISNUMBER($D$88)),IF(B946&gt;$D$88,"boven UCL",IF(B946&lt;$B$88,"onder LCL","")),"")</f>
        <v/>
      </c>
      <c r="E946" s="13">
        <f>IF(AND(ISNUMBER(C946),ISNUMBER($B$89),ISNUMBER($D$89)),IF(C946&gt;$D$89,"boven UCL",IF(C946&lt;$B$89,"onder LCL","")),"")</f>
        <v/>
      </c>
      <c r="G946" t="n">
        <v>840</v>
      </c>
      <c r="H946" s="7" t="n"/>
      <c r="I946" s="7" t="n"/>
      <c r="J946" s="11">
        <f>IF(AND(ISNUMBER(H946),ISNUMBER(I946),H946&gt;0,ISNUMBER($B$94)),I946/H946,"")</f>
        <v/>
      </c>
      <c r="K946" s="11">
        <f>IF(AND(ISNUMBER(H946),ISNUMBER(I946),H946&gt;0,ISNUMBER($B$94)),MAX(0,$B$94-3*SQRT($B$94*(1-$B$94)/H946)),"")</f>
        <v/>
      </c>
      <c r="L946" s="11">
        <f>IF(AND(ISNUMBER(H946),ISNUMBER(I946),H946&gt;0,ISNUMBER($B$94)),$B$94+3*SQRT($B$94*(1-$B$94)/H946),"")</f>
        <v/>
      </c>
      <c r="M946" s="13">
        <f>IF(AND(ISNUMBER(J946),ISNUMBER(K946),ISNUMBER(L946)),IF(J946&gt;L946,"boven UCL",IF(J946&lt;K946,"onder LCL","")),"")</f>
        <v/>
      </c>
      <c r="O946" t="n">
        <v>840</v>
      </c>
      <c r="P946" s="7" t="n"/>
      <c r="Q946" s="7" t="n"/>
      <c r="R946" s="11">
        <f>IF(AND(ISNUMBER(P946),ISNUMBER(Q946),P946&gt;0,ISNUMBER($B$100)),Q946/P946,"")</f>
        <v/>
      </c>
      <c r="S946" s="11">
        <f>IF(AND(ISNUMBER(P946),ISNUMBER(Q946),P946&gt;0,ISNUMBER($B$100)),MAX(0,$B$100-3*SQRT($B$100/P946)),"")</f>
        <v/>
      </c>
      <c r="T946" s="11">
        <f>IF(AND(ISNUMBER(P946),ISNUMBER(Q946),P946&gt;0,ISNUMBER($B$100)),$B$100+3*SQRT($B$100/P946),"")</f>
        <v/>
      </c>
      <c r="U946" s="13">
        <f>IF(AND(ISNUMBER(R946),ISNUMBER(S946),ISNUMBER(T946)),IF(R946&gt;T946,"boven UCL",IF(R946&lt;S946,"onder LCL","")),"")</f>
        <v/>
      </c>
    </row>
    <row r="947">
      <c r="A947" t="n">
        <v>841</v>
      </c>
      <c r="B947" s="7" t="n"/>
      <c r="C947" s="11">
        <f>IF(AND(ISNUMBER(B947),ISNUMBER(B946)),ABS(B947-B946),"")</f>
        <v/>
      </c>
      <c r="D947" s="13">
        <f>IF(AND(ISNUMBER(B947),ISNUMBER($B$88),ISNUMBER($D$88)),IF(B947&gt;$D$88,"boven UCL",IF(B947&lt;$B$88,"onder LCL","")),"")</f>
        <v/>
      </c>
      <c r="E947" s="13">
        <f>IF(AND(ISNUMBER(C947),ISNUMBER($B$89),ISNUMBER($D$89)),IF(C947&gt;$D$89,"boven UCL",IF(C947&lt;$B$89,"onder LCL","")),"")</f>
        <v/>
      </c>
      <c r="G947" t="n">
        <v>841</v>
      </c>
      <c r="H947" s="7" t="n"/>
      <c r="I947" s="7" t="n"/>
      <c r="J947" s="11">
        <f>IF(AND(ISNUMBER(H947),ISNUMBER(I947),H947&gt;0,ISNUMBER($B$94)),I947/H947,"")</f>
        <v/>
      </c>
      <c r="K947" s="11">
        <f>IF(AND(ISNUMBER(H947),ISNUMBER(I947),H947&gt;0,ISNUMBER($B$94)),MAX(0,$B$94-3*SQRT($B$94*(1-$B$94)/H947)),"")</f>
        <v/>
      </c>
      <c r="L947" s="11">
        <f>IF(AND(ISNUMBER(H947),ISNUMBER(I947),H947&gt;0,ISNUMBER($B$94)),$B$94+3*SQRT($B$94*(1-$B$94)/H947),"")</f>
        <v/>
      </c>
      <c r="M947" s="13">
        <f>IF(AND(ISNUMBER(J947),ISNUMBER(K947),ISNUMBER(L947)),IF(J947&gt;L947,"boven UCL",IF(J947&lt;K947,"onder LCL","")),"")</f>
        <v/>
      </c>
      <c r="O947" t="n">
        <v>841</v>
      </c>
      <c r="P947" s="7" t="n"/>
      <c r="Q947" s="7" t="n"/>
      <c r="R947" s="11">
        <f>IF(AND(ISNUMBER(P947),ISNUMBER(Q947),P947&gt;0,ISNUMBER($B$100)),Q947/P947,"")</f>
        <v/>
      </c>
      <c r="S947" s="11">
        <f>IF(AND(ISNUMBER(P947),ISNUMBER(Q947),P947&gt;0,ISNUMBER($B$100)),MAX(0,$B$100-3*SQRT($B$100/P947)),"")</f>
        <v/>
      </c>
      <c r="T947" s="11">
        <f>IF(AND(ISNUMBER(P947),ISNUMBER(Q947),P947&gt;0,ISNUMBER($B$100)),$B$100+3*SQRT($B$100/P947),"")</f>
        <v/>
      </c>
      <c r="U947" s="13">
        <f>IF(AND(ISNUMBER(R947),ISNUMBER(S947),ISNUMBER(T947)),IF(R947&gt;T947,"boven UCL",IF(R947&lt;S947,"onder LCL","")),"")</f>
        <v/>
      </c>
    </row>
    <row r="948">
      <c r="A948" t="n">
        <v>842</v>
      </c>
      <c r="B948" s="7" t="n"/>
      <c r="C948" s="11">
        <f>IF(AND(ISNUMBER(B948),ISNUMBER(B947)),ABS(B948-B947),"")</f>
        <v/>
      </c>
      <c r="D948" s="13">
        <f>IF(AND(ISNUMBER(B948),ISNUMBER($B$88),ISNUMBER($D$88)),IF(B948&gt;$D$88,"boven UCL",IF(B948&lt;$B$88,"onder LCL","")),"")</f>
        <v/>
      </c>
      <c r="E948" s="13">
        <f>IF(AND(ISNUMBER(C948),ISNUMBER($B$89),ISNUMBER($D$89)),IF(C948&gt;$D$89,"boven UCL",IF(C948&lt;$B$89,"onder LCL","")),"")</f>
        <v/>
      </c>
      <c r="G948" t="n">
        <v>842</v>
      </c>
      <c r="H948" s="7" t="n"/>
      <c r="I948" s="7" t="n"/>
      <c r="J948" s="11">
        <f>IF(AND(ISNUMBER(H948),ISNUMBER(I948),H948&gt;0,ISNUMBER($B$94)),I948/H948,"")</f>
        <v/>
      </c>
      <c r="K948" s="11">
        <f>IF(AND(ISNUMBER(H948),ISNUMBER(I948),H948&gt;0,ISNUMBER($B$94)),MAX(0,$B$94-3*SQRT($B$94*(1-$B$94)/H948)),"")</f>
        <v/>
      </c>
      <c r="L948" s="11">
        <f>IF(AND(ISNUMBER(H948),ISNUMBER(I948),H948&gt;0,ISNUMBER($B$94)),$B$94+3*SQRT($B$94*(1-$B$94)/H948),"")</f>
        <v/>
      </c>
      <c r="M948" s="13">
        <f>IF(AND(ISNUMBER(J948),ISNUMBER(K948),ISNUMBER(L948)),IF(J948&gt;L948,"boven UCL",IF(J948&lt;K948,"onder LCL","")),"")</f>
        <v/>
      </c>
      <c r="O948" t="n">
        <v>842</v>
      </c>
      <c r="P948" s="7" t="n"/>
      <c r="Q948" s="7" t="n"/>
      <c r="R948" s="11">
        <f>IF(AND(ISNUMBER(P948),ISNUMBER(Q948),P948&gt;0,ISNUMBER($B$100)),Q948/P948,"")</f>
        <v/>
      </c>
      <c r="S948" s="11">
        <f>IF(AND(ISNUMBER(P948),ISNUMBER(Q948),P948&gt;0,ISNUMBER($B$100)),MAX(0,$B$100-3*SQRT($B$100/P948)),"")</f>
        <v/>
      </c>
      <c r="T948" s="11">
        <f>IF(AND(ISNUMBER(P948),ISNUMBER(Q948),P948&gt;0,ISNUMBER($B$100)),$B$100+3*SQRT($B$100/P948),"")</f>
        <v/>
      </c>
      <c r="U948" s="13">
        <f>IF(AND(ISNUMBER(R948),ISNUMBER(S948),ISNUMBER(T948)),IF(R948&gt;T948,"boven UCL",IF(R948&lt;S948,"onder LCL","")),"")</f>
        <v/>
      </c>
    </row>
    <row r="949">
      <c r="A949" t="n">
        <v>843</v>
      </c>
      <c r="B949" s="7" t="n"/>
      <c r="C949" s="11">
        <f>IF(AND(ISNUMBER(B949),ISNUMBER(B948)),ABS(B949-B948),"")</f>
        <v/>
      </c>
      <c r="D949" s="13">
        <f>IF(AND(ISNUMBER(B949),ISNUMBER($B$88),ISNUMBER($D$88)),IF(B949&gt;$D$88,"boven UCL",IF(B949&lt;$B$88,"onder LCL","")),"")</f>
        <v/>
      </c>
      <c r="E949" s="13">
        <f>IF(AND(ISNUMBER(C949),ISNUMBER($B$89),ISNUMBER($D$89)),IF(C949&gt;$D$89,"boven UCL",IF(C949&lt;$B$89,"onder LCL","")),"")</f>
        <v/>
      </c>
      <c r="G949" t="n">
        <v>843</v>
      </c>
      <c r="H949" s="7" t="n"/>
      <c r="I949" s="7" t="n"/>
      <c r="J949" s="11">
        <f>IF(AND(ISNUMBER(H949),ISNUMBER(I949),H949&gt;0,ISNUMBER($B$94)),I949/H949,"")</f>
        <v/>
      </c>
      <c r="K949" s="11">
        <f>IF(AND(ISNUMBER(H949),ISNUMBER(I949),H949&gt;0,ISNUMBER($B$94)),MAX(0,$B$94-3*SQRT($B$94*(1-$B$94)/H949)),"")</f>
        <v/>
      </c>
      <c r="L949" s="11">
        <f>IF(AND(ISNUMBER(H949),ISNUMBER(I949),H949&gt;0,ISNUMBER($B$94)),$B$94+3*SQRT($B$94*(1-$B$94)/H949),"")</f>
        <v/>
      </c>
      <c r="M949" s="13">
        <f>IF(AND(ISNUMBER(J949),ISNUMBER(K949),ISNUMBER(L949)),IF(J949&gt;L949,"boven UCL",IF(J949&lt;K949,"onder LCL","")),"")</f>
        <v/>
      </c>
      <c r="O949" t="n">
        <v>843</v>
      </c>
      <c r="P949" s="7" t="n"/>
      <c r="Q949" s="7" t="n"/>
      <c r="R949" s="11">
        <f>IF(AND(ISNUMBER(P949),ISNUMBER(Q949),P949&gt;0,ISNUMBER($B$100)),Q949/P949,"")</f>
        <v/>
      </c>
      <c r="S949" s="11">
        <f>IF(AND(ISNUMBER(P949),ISNUMBER(Q949),P949&gt;0,ISNUMBER($B$100)),MAX(0,$B$100-3*SQRT($B$100/P949)),"")</f>
        <v/>
      </c>
      <c r="T949" s="11">
        <f>IF(AND(ISNUMBER(P949),ISNUMBER(Q949),P949&gt;0,ISNUMBER($B$100)),$B$100+3*SQRT($B$100/P949),"")</f>
        <v/>
      </c>
      <c r="U949" s="13">
        <f>IF(AND(ISNUMBER(R949),ISNUMBER(S949),ISNUMBER(T949)),IF(R949&gt;T949,"boven UCL",IF(R949&lt;S949,"onder LCL","")),"")</f>
        <v/>
      </c>
    </row>
    <row r="950">
      <c r="A950" t="n">
        <v>844</v>
      </c>
      <c r="B950" s="7" t="n"/>
      <c r="C950" s="11">
        <f>IF(AND(ISNUMBER(B950),ISNUMBER(B949)),ABS(B950-B949),"")</f>
        <v/>
      </c>
      <c r="D950" s="13">
        <f>IF(AND(ISNUMBER(B950),ISNUMBER($B$88),ISNUMBER($D$88)),IF(B950&gt;$D$88,"boven UCL",IF(B950&lt;$B$88,"onder LCL","")),"")</f>
        <v/>
      </c>
      <c r="E950" s="13">
        <f>IF(AND(ISNUMBER(C950),ISNUMBER($B$89),ISNUMBER($D$89)),IF(C950&gt;$D$89,"boven UCL",IF(C950&lt;$B$89,"onder LCL","")),"")</f>
        <v/>
      </c>
      <c r="G950" t="n">
        <v>844</v>
      </c>
      <c r="H950" s="7" t="n"/>
      <c r="I950" s="7" t="n"/>
      <c r="J950" s="11">
        <f>IF(AND(ISNUMBER(H950),ISNUMBER(I950),H950&gt;0,ISNUMBER($B$94)),I950/H950,"")</f>
        <v/>
      </c>
      <c r="K950" s="11">
        <f>IF(AND(ISNUMBER(H950),ISNUMBER(I950),H950&gt;0,ISNUMBER($B$94)),MAX(0,$B$94-3*SQRT($B$94*(1-$B$94)/H950)),"")</f>
        <v/>
      </c>
      <c r="L950" s="11">
        <f>IF(AND(ISNUMBER(H950),ISNUMBER(I950),H950&gt;0,ISNUMBER($B$94)),$B$94+3*SQRT($B$94*(1-$B$94)/H950),"")</f>
        <v/>
      </c>
      <c r="M950" s="13">
        <f>IF(AND(ISNUMBER(J950),ISNUMBER(K950),ISNUMBER(L950)),IF(J950&gt;L950,"boven UCL",IF(J950&lt;K950,"onder LCL","")),"")</f>
        <v/>
      </c>
      <c r="O950" t="n">
        <v>844</v>
      </c>
      <c r="P950" s="7" t="n"/>
      <c r="Q950" s="7" t="n"/>
      <c r="R950" s="11">
        <f>IF(AND(ISNUMBER(P950),ISNUMBER(Q950),P950&gt;0,ISNUMBER($B$100)),Q950/P950,"")</f>
        <v/>
      </c>
      <c r="S950" s="11">
        <f>IF(AND(ISNUMBER(P950),ISNUMBER(Q950),P950&gt;0,ISNUMBER($B$100)),MAX(0,$B$100-3*SQRT($B$100/P950)),"")</f>
        <v/>
      </c>
      <c r="T950" s="11">
        <f>IF(AND(ISNUMBER(P950),ISNUMBER(Q950),P950&gt;0,ISNUMBER($B$100)),$B$100+3*SQRT($B$100/P950),"")</f>
        <v/>
      </c>
      <c r="U950" s="13">
        <f>IF(AND(ISNUMBER(R950),ISNUMBER(S950),ISNUMBER(T950)),IF(R950&gt;T950,"boven UCL",IF(R950&lt;S950,"onder LCL","")),"")</f>
        <v/>
      </c>
    </row>
    <row r="951">
      <c r="A951" t="n">
        <v>845</v>
      </c>
      <c r="B951" s="7" t="n"/>
      <c r="C951" s="11">
        <f>IF(AND(ISNUMBER(B951),ISNUMBER(B950)),ABS(B951-B950),"")</f>
        <v/>
      </c>
      <c r="D951" s="13">
        <f>IF(AND(ISNUMBER(B951),ISNUMBER($B$88),ISNUMBER($D$88)),IF(B951&gt;$D$88,"boven UCL",IF(B951&lt;$B$88,"onder LCL","")),"")</f>
        <v/>
      </c>
      <c r="E951" s="13">
        <f>IF(AND(ISNUMBER(C951),ISNUMBER($B$89),ISNUMBER($D$89)),IF(C951&gt;$D$89,"boven UCL",IF(C951&lt;$B$89,"onder LCL","")),"")</f>
        <v/>
      </c>
      <c r="G951" t="n">
        <v>845</v>
      </c>
      <c r="H951" s="7" t="n"/>
      <c r="I951" s="7" t="n"/>
      <c r="J951" s="11">
        <f>IF(AND(ISNUMBER(H951),ISNUMBER(I951),H951&gt;0,ISNUMBER($B$94)),I951/H951,"")</f>
        <v/>
      </c>
      <c r="K951" s="11">
        <f>IF(AND(ISNUMBER(H951),ISNUMBER(I951),H951&gt;0,ISNUMBER($B$94)),MAX(0,$B$94-3*SQRT($B$94*(1-$B$94)/H951)),"")</f>
        <v/>
      </c>
      <c r="L951" s="11">
        <f>IF(AND(ISNUMBER(H951),ISNUMBER(I951),H951&gt;0,ISNUMBER($B$94)),$B$94+3*SQRT($B$94*(1-$B$94)/H951),"")</f>
        <v/>
      </c>
      <c r="M951" s="13">
        <f>IF(AND(ISNUMBER(J951),ISNUMBER(K951),ISNUMBER(L951)),IF(J951&gt;L951,"boven UCL",IF(J951&lt;K951,"onder LCL","")),"")</f>
        <v/>
      </c>
      <c r="O951" t="n">
        <v>845</v>
      </c>
      <c r="P951" s="7" t="n"/>
      <c r="Q951" s="7" t="n"/>
      <c r="R951" s="11">
        <f>IF(AND(ISNUMBER(P951),ISNUMBER(Q951),P951&gt;0,ISNUMBER($B$100)),Q951/P951,"")</f>
        <v/>
      </c>
      <c r="S951" s="11">
        <f>IF(AND(ISNUMBER(P951),ISNUMBER(Q951),P951&gt;0,ISNUMBER($B$100)),MAX(0,$B$100-3*SQRT($B$100/P951)),"")</f>
        <v/>
      </c>
      <c r="T951" s="11">
        <f>IF(AND(ISNUMBER(P951),ISNUMBER(Q951),P951&gt;0,ISNUMBER($B$100)),$B$100+3*SQRT($B$100/P951),"")</f>
        <v/>
      </c>
      <c r="U951" s="13">
        <f>IF(AND(ISNUMBER(R951),ISNUMBER(S951),ISNUMBER(T951)),IF(R951&gt;T951,"boven UCL",IF(R951&lt;S951,"onder LCL","")),"")</f>
        <v/>
      </c>
    </row>
    <row r="952">
      <c r="A952" t="n">
        <v>846</v>
      </c>
      <c r="B952" s="7" t="n"/>
      <c r="C952" s="11">
        <f>IF(AND(ISNUMBER(B952),ISNUMBER(B951)),ABS(B952-B951),"")</f>
        <v/>
      </c>
      <c r="D952" s="13">
        <f>IF(AND(ISNUMBER(B952),ISNUMBER($B$88),ISNUMBER($D$88)),IF(B952&gt;$D$88,"boven UCL",IF(B952&lt;$B$88,"onder LCL","")),"")</f>
        <v/>
      </c>
      <c r="E952" s="13">
        <f>IF(AND(ISNUMBER(C952),ISNUMBER($B$89),ISNUMBER($D$89)),IF(C952&gt;$D$89,"boven UCL",IF(C952&lt;$B$89,"onder LCL","")),"")</f>
        <v/>
      </c>
      <c r="G952" t="n">
        <v>846</v>
      </c>
      <c r="H952" s="7" t="n"/>
      <c r="I952" s="7" t="n"/>
      <c r="J952" s="11">
        <f>IF(AND(ISNUMBER(H952),ISNUMBER(I952),H952&gt;0,ISNUMBER($B$94)),I952/H952,"")</f>
        <v/>
      </c>
      <c r="K952" s="11">
        <f>IF(AND(ISNUMBER(H952),ISNUMBER(I952),H952&gt;0,ISNUMBER($B$94)),MAX(0,$B$94-3*SQRT($B$94*(1-$B$94)/H952)),"")</f>
        <v/>
      </c>
      <c r="L952" s="11">
        <f>IF(AND(ISNUMBER(H952),ISNUMBER(I952),H952&gt;0,ISNUMBER($B$94)),$B$94+3*SQRT($B$94*(1-$B$94)/H952),"")</f>
        <v/>
      </c>
      <c r="M952" s="13">
        <f>IF(AND(ISNUMBER(J952),ISNUMBER(K952),ISNUMBER(L952)),IF(J952&gt;L952,"boven UCL",IF(J952&lt;K952,"onder LCL","")),"")</f>
        <v/>
      </c>
      <c r="O952" t="n">
        <v>846</v>
      </c>
      <c r="P952" s="7" t="n"/>
      <c r="Q952" s="7" t="n"/>
      <c r="R952" s="11">
        <f>IF(AND(ISNUMBER(P952),ISNUMBER(Q952),P952&gt;0,ISNUMBER($B$100)),Q952/P952,"")</f>
        <v/>
      </c>
      <c r="S952" s="11">
        <f>IF(AND(ISNUMBER(P952),ISNUMBER(Q952),P952&gt;0,ISNUMBER($B$100)),MAX(0,$B$100-3*SQRT($B$100/P952)),"")</f>
        <v/>
      </c>
      <c r="T952" s="11">
        <f>IF(AND(ISNUMBER(P952),ISNUMBER(Q952),P952&gt;0,ISNUMBER($B$100)),$B$100+3*SQRT($B$100/P952),"")</f>
        <v/>
      </c>
      <c r="U952" s="13">
        <f>IF(AND(ISNUMBER(R952),ISNUMBER(S952),ISNUMBER(T952)),IF(R952&gt;T952,"boven UCL",IF(R952&lt;S952,"onder LCL","")),"")</f>
        <v/>
      </c>
    </row>
    <row r="953">
      <c r="A953" t="n">
        <v>847</v>
      </c>
      <c r="B953" s="7" t="n"/>
      <c r="C953" s="11">
        <f>IF(AND(ISNUMBER(B953),ISNUMBER(B952)),ABS(B953-B952),"")</f>
        <v/>
      </c>
      <c r="D953" s="13">
        <f>IF(AND(ISNUMBER(B953),ISNUMBER($B$88),ISNUMBER($D$88)),IF(B953&gt;$D$88,"boven UCL",IF(B953&lt;$B$88,"onder LCL","")),"")</f>
        <v/>
      </c>
      <c r="E953" s="13">
        <f>IF(AND(ISNUMBER(C953),ISNUMBER($B$89),ISNUMBER($D$89)),IF(C953&gt;$D$89,"boven UCL",IF(C953&lt;$B$89,"onder LCL","")),"")</f>
        <v/>
      </c>
      <c r="G953" t="n">
        <v>847</v>
      </c>
      <c r="H953" s="7" t="n"/>
      <c r="I953" s="7" t="n"/>
      <c r="J953" s="11">
        <f>IF(AND(ISNUMBER(H953),ISNUMBER(I953),H953&gt;0,ISNUMBER($B$94)),I953/H953,"")</f>
        <v/>
      </c>
      <c r="K953" s="11">
        <f>IF(AND(ISNUMBER(H953),ISNUMBER(I953),H953&gt;0,ISNUMBER($B$94)),MAX(0,$B$94-3*SQRT($B$94*(1-$B$94)/H953)),"")</f>
        <v/>
      </c>
      <c r="L953" s="11">
        <f>IF(AND(ISNUMBER(H953),ISNUMBER(I953),H953&gt;0,ISNUMBER($B$94)),$B$94+3*SQRT($B$94*(1-$B$94)/H953),"")</f>
        <v/>
      </c>
      <c r="M953" s="13">
        <f>IF(AND(ISNUMBER(J953),ISNUMBER(K953),ISNUMBER(L953)),IF(J953&gt;L953,"boven UCL",IF(J953&lt;K953,"onder LCL","")),"")</f>
        <v/>
      </c>
      <c r="O953" t="n">
        <v>847</v>
      </c>
      <c r="P953" s="7" t="n"/>
      <c r="Q953" s="7" t="n"/>
      <c r="R953" s="11">
        <f>IF(AND(ISNUMBER(P953),ISNUMBER(Q953),P953&gt;0,ISNUMBER($B$100)),Q953/P953,"")</f>
        <v/>
      </c>
      <c r="S953" s="11">
        <f>IF(AND(ISNUMBER(P953),ISNUMBER(Q953),P953&gt;0,ISNUMBER($B$100)),MAX(0,$B$100-3*SQRT($B$100/P953)),"")</f>
        <v/>
      </c>
      <c r="T953" s="11">
        <f>IF(AND(ISNUMBER(P953),ISNUMBER(Q953),P953&gt;0,ISNUMBER($B$100)),$B$100+3*SQRT($B$100/P953),"")</f>
        <v/>
      </c>
      <c r="U953" s="13">
        <f>IF(AND(ISNUMBER(R953),ISNUMBER(S953),ISNUMBER(T953)),IF(R953&gt;T953,"boven UCL",IF(R953&lt;S953,"onder LCL","")),"")</f>
        <v/>
      </c>
    </row>
    <row r="954">
      <c r="A954" t="n">
        <v>848</v>
      </c>
      <c r="B954" s="7" t="n"/>
      <c r="C954" s="11">
        <f>IF(AND(ISNUMBER(B954),ISNUMBER(B953)),ABS(B954-B953),"")</f>
        <v/>
      </c>
      <c r="D954" s="13">
        <f>IF(AND(ISNUMBER(B954),ISNUMBER($B$88),ISNUMBER($D$88)),IF(B954&gt;$D$88,"boven UCL",IF(B954&lt;$B$88,"onder LCL","")),"")</f>
        <v/>
      </c>
      <c r="E954" s="13">
        <f>IF(AND(ISNUMBER(C954),ISNUMBER($B$89),ISNUMBER($D$89)),IF(C954&gt;$D$89,"boven UCL",IF(C954&lt;$B$89,"onder LCL","")),"")</f>
        <v/>
      </c>
      <c r="G954" t="n">
        <v>848</v>
      </c>
      <c r="H954" s="7" t="n"/>
      <c r="I954" s="7" t="n"/>
      <c r="J954" s="11">
        <f>IF(AND(ISNUMBER(H954),ISNUMBER(I954),H954&gt;0,ISNUMBER($B$94)),I954/H954,"")</f>
        <v/>
      </c>
      <c r="K954" s="11">
        <f>IF(AND(ISNUMBER(H954),ISNUMBER(I954),H954&gt;0,ISNUMBER($B$94)),MAX(0,$B$94-3*SQRT($B$94*(1-$B$94)/H954)),"")</f>
        <v/>
      </c>
      <c r="L954" s="11">
        <f>IF(AND(ISNUMBER(H954),ISNUMBER(I954),H954&gt;0,ISNUMBER($B$94)),$B$94+3*SQRT($B$94*(1-$B$94)/H954),"")</f>
        <v/>
      </c>
      <c r="M954" s="13">
        <f>IF(AND(ISNUMBER(J954),ISNUMBER(K954),ISNUMBER(L954)),IF(J954&gt;L954,"boven UCL",IF(J954&lt;K954,"onder LCL","")),"")</f>
        <v/>
      </c>
      <c r="O954" t="n">
        <v>848</v>
      </c>
      <c r="P954" s="7" t="n"/>
      <c r="Q954" s="7" t="n"/>
      <c r="R954" s="11">
        <f>IF(AND(ISNUMBER(P954),ISNUMBER(Q954),P954&gt;0,ISNUMBER($B$100)),Q954/P954,"")</f>
        <v/>
      </c>
      <c r="S954" s="11">
        <f>IF(AND(ISNUMBER(P954),ISNUMBER(Q954),P954&gt;0,ISNUMBER($B$100)),MAX(0,$B$100-3*SQRT($B$100/P954)),"")</f>
        <v/>
      </c>
      <c r="T954" s="11">
        <f>IF(AND(ISNUMBER(P954),ISNUMBER(Q954),P954&gt;0,ISNUMBER($B$100)),$B$100+3*SQRT($B$100/P954),"")</f>
        <v/>
      </c>
      <c r="U954" s="13">
        <f>IF(AND(ISNUMBER(R954),ISNUMBER(S954),ISNUMBER(T954)),IF(R954&gt;T954,"boven UCL",IF(R954&lt;S954,"onder LCL","")),"")</f>
        <v/>
      </c>
    </row>
    <row r="955">
      <c r="A955" t="n">
        <v>849</v>
      </c>
      <c r="B955" s="7" t="n"/>
      <c r="C955" s="11">
        <f>IF(AND(ISNUMBER(B955),ISNUMBER(B954)),ABS(B955-B954),"")</f>
        <v/>
      </c>
      <c r="D955" s="13">
        <f>IF(AND(ISNUMBER(B955),ISNUMBER($B$88),ISNUMBER($D$88)),IF(B955&gt;$D$88,"boven UCL",IF(B955&lt;$B$88,"onder LCL","")),"")</f>
        <v/>
      </c>
      <c r="E955" s="13">
        <f>IF(AND(ISNUMBER(C955),ISNUMBER($B$89),ISNUMBER($D$89)),IF(C955&gt;$D$89,"boven UCL",IF(C955&lt;$B$89,"onder LCL","")),"")</f>
        <v/>
      </c>
      <c r="G955" t="n">
        <v>849</v>
      </c>
      <c r="H955" s="7" t="n"/>
      <c r="I955" s="7" t="n"/>
      <c r="J955" s="11">
        <f>IF(AND(ISNUMBER(H955),ISNUMBER(I955),H955&gt;0,ISNUMBER($B$94)),I955/H955,"")</f>
        <v/>
      </c>
      <c r="K955" s="11">
        <f>IF(AND(ISNUMBER(H955),ISNUMBER(I955),H955&gt;0,ISNUMBER($B$94)),MAX(0,$B$94-3*SQRT($B$94*(1-$B$94)/H955)),"")</f>
        <v/>
      </c>
      <c r="L955" s="11">
        <f>IF(AND(ISNUMBER(H955),ISNUMBER(I955),H955&gt;0,ISNUMBER($B$94)),$B$94+3*SQRT($B$94*(1-$B$94)/H955),"")</f>
        <v/>
      </c>
      <c r="M955" s="13">
        <f>IF(AND(ISNUMBER(J955),ISNUMBER(K955),ISNUMBER(L955)),IF(J955&gt;L955,"boven UCL",IF(J955&lt;K955,"onder LCL","")),"")</f>
        <v/>
      </c>
      <c r="O955" t="n">
        <v>849</v>
      </c>
      <c r="P955" s="7" t="n"/>
      <c r="Q955" s="7" t="n"/>
      <c r="R955" s="11">
        <f>IF(AND(ISNUMBER(P955),ISNUMBER(Q955),P955&gt;0,ISNUMBER($B$100)),Q955/P955,"")</f>
        <v/>
      </c>
      <c r="S955" s="11">
        <f>IF(AND(ISNUMBER(P955),ISNUMBER(Q955),P955&gt;0,ISNUMBER($B$100)),MAX(0,$B$100-3*SQRT($B$100/P955)),"")</f>
        <v/>
      </c>
      <c r="T955" s="11">
        <f>IF(AND(ISNUMBER(P955),ISNUMBER(Q955),P955&gt;0,ISNUMBER($B$100)),$B$100+3*SQRT($B$100/P955),"")</f>
        <v/>
      </c>
      <c r="U955" s="13">
        <f>IF(AND(ISNUMBER(R955),ISNUMBER(S955),ISNUMBER(T955)),IF(R955&gt;T955,"boven UCL",IF(R955&lt;S955,"onder LCL","")),"")</f>
        <v/>
      </c>
    </row>
    <row r="956">
      <c r="A956" t="n">
        <v>850</v>
      </c>
      <c r="B956" s="7" t="n"/>
      <c r="C956" s="11">
        <f>IF(AND(ISNUMBER(B956),ISNUMBER(B955)),ABS(B956-B955),"")</f>
        <v/>
      </c>
      <c r="D956" s="13">
        <f>IF(AND(ISNUMBER(B956),ISNUMBER($B$88),ISNUMBER($D$88)),IF(B956&gt;$D$88,"boven UCL",IF(B956&lt;$B$88,"onder LCL","")),"")</f>
        <v/>
      </c>
      <c r="E956" s="13">
        <f>IF(AND(ISNUMBER(C956),ISNUMBER($B$89),ISNUMBER($D$89)),IF(C956&gt;$D$89,"boven UCL",IF(C956&lt;$B$89,"onder LCL","")),"")</f>
        <v/>
      </c>
      <c r="G956" t="n">
        <v>850</v>
      </c>
      <c r="H956" s="7" t="n"/>
      <c r="I956" s="7" t="n"/>
      <c r="J956" s="11">
        <f>IF(AND(ISNUMBER(H956),ISNUMBER(I956),H956&gt;0,ISNUMBER($B$94)),I956/H956,"")</f>
        <v/>
      </c>
      <c r="K956" s="11">
        <f>IF(AND(ISNUMBER(H956),ISNUMBER(I956),H956&gt;0,ISNUMBER($B$94)),MAX(0,$B$94-3*SQRT($B$94*(1-$B$94)/H956)),"")</f>
        <v/>
      </c>
      <c r="L956" s="11">
        <f>IF(AND(ISNUMBER(H956),ISNUMBER(I956),H956&gt;0,ISNUMBER($B$94)),$B$94+3*SQRT($B$94*(1-$B$94)/H956),"")</f>
        <v/>
      </c>
      <c r="M956" s="13">
        <f>IF(AND(ISNUMBER(J956),ISNUMBER(K956),ISNUMBER(L956)),IF(J956&gt;L956,"boven UCL",IF(J956&lt;K956,"onder LCL","")),"")</f>
        <v/>
      </c>
      <c r="O956" t="n">
        <v>850</v>
      </c>
      <c r="P956" s="7" t="n"/>
      <c r="Q956" s="7" t="n"/>
      <c r="R956" s="11">
        <f>IF(AND(ISNUMBER(P956),ISNUMBER(Q956),P956&gt;0,ISNUMBER($B$100)),Q956/P956,"")</f>
        <v/>
      </c>
      <c r="S956" s="11">
        <f>IF(AND(ISNUMBER(P956),ISNUMBER(Q956),P956&gt;0,ISNUMBER($B$100)),MAX(0,$B$100-3*SQRT($B$100/P956)),"")</f>
        <v/>
      </c>
      <c r="T956" s="11">
        <f>IF(AND(ISNUMBER(P956),ISNUMBER(Q956),P956&gt;0,ISNUMBER($B$100)),$B$100+3*SQRT($B$100/P956),"")</f>
        <v/>
      </c>
      <c r="U956" s="13">
        <f>IF(AND(ISNUMBER(R956),ISNUMBER(S956),ISNUMBER(T956)),IF(R956&gt;T956,"boven UCL",IF(R956&lt;S956,"onder LCL","")),"")</f>
        <v/>
      </c>
    </row>
    <row r="957">
      <c r="A957" t="n">
        <v>851</v>
      </c>
      <c r="B957" s="7" t="n"/>
      <c r="C957" s="11">
        <f>IF(AND(ISNUMBER(B957),ISNUMBER(B956)),ABS(B957-B956),"")</f>
        <v/>
      </c>
      <c r="D957" s="13">
        <f>IF(AND(ISNUMBER(B957),ISNUMBER($B$88),ISNUMBER($D$88)),IF(B957&gt;$D$88,"boven UCL",IF(B957&lt;$B$88,"onder LCL","")),"")</f>
        <v/>
      </c>
      <c r="E957" s="13">
        <f>IF(AND(ISNUMBER(C957),ISNUMBER($B$89),ISNUMBER($D$89)),IF(C957&gt;$D$89,"boven UCL",IF(C957&lt;$B$89,"onder LCL","")),"")</f>
        <v/>
      </c>
      <c r="G957" t="n">
        <v>851</v>
      </c>
      <c r="H957" s="7" t="n"/>
      <c r="I957" s="7" t="n"/>
      <c r="J957" s="11">
        <f>IF(AND(ISNUMBER(H957),ISNUMBER(I957),H957&gt;0,ISNUMBER($B$94)),I957/H957,"")</f>
        <v/>
      </c>
      <c r="K957" s="11">
        <f>IF(AND(ISNUMBER(H957),ISNUMBER(I957),H957&gt;0,ISNUMBER($B$94)),MAX(0,$B$94-3*SQRT($B$94*(1-$B$94)/H957)),"")</f>
        <v/>
      </c>
      <c r="L957" s="11">
        <f>IF(AND(ISNUMBER(H957),ISNUMBER(I957),H957&gt;0,ISNUMBER($B$94)),$B$94+3*SQRT($B$94*(1-$B$94)/H957),"")</f>
        <v/>
      </c>
      <c r="M957" s="13">
        <f>IF(AND(ISNUMBER(J957),ISNUMBER(K957),ISNUMBER(L957)),IF(J957&gt;L957,"boven UCL",IF(J957&lt;K957,"onder LCL","")),"")</f>
        <v/>
      </c>
      <c r="O957" t="n">
        <v>851</v>
      </c>
      <c r="P957" s="7" t="n"/>
      <c r="Q957" s="7" t="n"/>
      <c r="R957" s="11">
        <f>IF(AND(ISNUMBER(P957),ISNUMBER(Q957),P957&gt;0,ISNUMBER($B$100)),Q957/P957,"")</f>
        <v/>
      </c>
      <c r="S957" s="11">
        <f>IF(AND(ISNUMBER(P957),ISNUMBER(Q957),P957&gt;0,ISNUMBER($B$100)),MAX(0,$B$100-3*SQRT($B$100/P957)),"")</f>
        <v/>
      </c>
      <c r="T957" s="11">
        <f>IF(AND(ISNUMBER(P957),ISNUMBER(Q957),P957&gt;0,ISNUMBER($B$100)),$B$100+3*SQRT($B$100/P957),"")</f>
        <v/>
      </c>
      <c r="U957" s="13">
        <f>IF(AND(ISNUMBER(R957),ISNUMBER(S957),ISNUMBER(T957)),IF(R957&gt;T957,"boven UCL",IF(R957&lt;S957,"onder LCL","")),"")</f>
        <v/>
      </c>
    </row>
    <row r="958">
      <c r="A958" t="n">
        <v>852</v>
      </c>
      <c r="B958" s="7" t="n"/>
      <c r="C958" s="11">
        <f>IF(AND(ISNUMBER(B958),ISNUMBER(B957)),ABS(B958-B957),"")</f>
        <v/>
      </c>
      <c r="D958" s="13">
        <f>IF(AND(ISNUMBER(B958),ISNUMBER($B$88),ISNUMBER($D$88)),IF(B958&gt;$D$88,"boven UCL",IF(B958&lt;$B$88,"onder LCL","")),"")</f>
        <v/>
      </c>
      <c r="E958" s="13">
        <f>IF(AND(ISNUMBER(C958),ISNUMBER($B$89),ISNUMBER($D$89)),IF(C958&gt;$D$89,"boven UCL",IF(C958&lt;$B$89,"onder LCL","")),"")</f>
        <v/>
      </c>
      <c r="G958" t="n">
        <v>852</v>
      </c>
      <c r="H958" s="7" t="n"/>
      <c r="I958" s="7" t="n"/>
      <c r="J958" s="11">
        <f>IF(AND(ISNUMBER(H958),ISNUMBER(I958),H958&gt;0,ISNUMBER($B$94)),I958/H958,"")</f>
        <v/>
      </c>
      <c r="K958" s="11">
        <f>IF(AND(ISNUMBER(H958),ISNUMBER(I958),H958&gt;0,ISNUMBER($B$94)),MAX(0,$B$94-3*SQRT($B$94*(1-$B$94)/H958)),"")</f>
        <v/>
      </c>
      <c r="L958" s="11">
        <f>IF(AND(ISNUMBER(H958),ISNUMBER(I958),H958&gt;0,ISNUMBER($B$94)),$B$94+3*SQRT($B$94*(1-$B$94)/H958),"")</f>
        <v/>
      </c>
      <c r="M958" s="13">
        <f>IF(AND(ISNUMBER(J958),ISNUMBER(K958),ISNUMBER(L958)),IF(J958&gt;L958,"boven UCL",IF(J958&lt;K958,"onder LCL","")),"")</f>
        <v/>
      </c>
      <c r="O958" t="n">
        <v>852</v>
      </c>
      <c r="P958" s="7" t="n"/>
      <c r="Q958" s="7" t="n"/>
      <c r="R958" s="11">
        <f>IF(AND(ISNUMBER(P958),ISNUMBER(Q958),P958&gt;0,ISNUMBER($B$100)),Q958/P958,"")</f>
        <v/>
      </c>
      <c r="S958" s="11">
        <f>IF(AND(ISNUMBER(P958),ISNUMBER(Q958),P958&gt;0,ISNUMBER($B$100)),MAX(0,$B$100-3*SQRT($B$100/P958)),"")</f>
        <v/>
      </c>
      <c r="T958" s="11">
        <f>IF(AND(ISNUMBER(P958),ISNUMBER(Q958),P958&gt;0,ISNUMBER($B$100)),$B$100+3*SQRT($B$100/P958),"")</f>
        <v/>
      </c>
      <c r="U958" s="13">
        <f>IF(AND(ISNUMBER(R958),ISNUMBER(S958),ISNUMBER(T958)),IF(R958&gt;T958,"boven UCL",IF(R958&lt;S958,"onder LCL","")),"")</f>
        <v/>
      </c>
    </row>
    <row r="959">
      <c r="A959" t="n">
        <v>853</v>
      </c>
      <c r="B959" s="7" t="n"/>
      <c r="C959" s="11">
        <f>IF(AND(ISNUMBER(B959),ISNUMBER(B958)),ABS(B959-B958),"")</f>
        <v/>
      </c>
      <c r="D959" s="13">
        <f>IF(AND(ISNUMBER(B959),ISNUMBER($B$88),ISNUMBER($D$88)),IF(B959&gt;$D$88,"boven UCL",IF(B959&lt;$B$88,"onder LCL","")),"")</f>
        <v/>
      </c>
      <c r="E959" s="13">
        <f>IF(AND(ISNUMBER(C959),ISNUMBER($B$89),ISNUMBER($D$89)),IF(C959&gt;$D$89,"boven UCL",IF(C959&lt;$B$89,"onder LCL","")),"")</f>
        <v/>
      </c>
      <c r="G959" t="n">
        <v>853</v>
      </c>
      <c r="H959" s="7" t="n"/>
      <c r="I959" s="7" t="n"/>
      <c r="J959" s="11">
        <f>IF(AND(ISNUMBER(H959),ISNUMBER(I959),H959&gt;0,ISNUMBER($B$94)),I959/H959,"")</f>
        <v/>
      </c>
      <c r="K959" s="11">
        <f>IF(AND(ISNUMBER(H959),ISNUMBER(I959),H959&gt;0,ISNUMBER($B$94)),MAX(0,$B$94-3*SQRT($B$94*(1-$B$94)/H959)),"")</f>
        <v/>
      </c>
      <c r="L959" s="11">
        <f>IF(AND(ISNUMBER(H959),ISNUMBER(I959),H959&gt;0,ISNUMBER($B$94)),$B$94+3*SQRT($B$94*(1-$B$94)/H959),"")</f>
        <v/>
      </c>
      <c r="M959" s="13">
        <f>IF(AND(ISNUMBER(J959),ISNUMBER(K959),ISNUMBER(L959)),IF(J959&gt;L959,"boven UCL",IF(J959&lt;K959,"onder LCL","")),"")</f>
        <v/>
      </c>
      <c r="O959" t="n">
        <v>853</v>
      </c>
      <c r="P959" s="7" t="n"/>
      <c r="Q959" s="7" t="n"/>
      <c r="R959" s="11">
        <f>IF(AND(ISNUMBER(P959),ISNUMBER(Q959),P959&gt;0,ISNUMBER($B$100)),Q959/P959,"")</f>
        <v/>
      </c>
      <c r="S959" s="11">
        <f>IF(AND(ISNUMBER(P959),ISNUMBER(Q959),P959&gt;0,ISNUMBER($B$100)),MAX(0,$B$100-3*SQRT($B$100/P959)),"")</f>
        <v/>
      </c>
      <c r="T959" s="11">
        <f>IF(AND(ISNUMBER(P959),ISNUMBER(Q959),P959&gt;0,ISNUMBER($B$100)),$B$100+3*SQRT($B$100/P959),"")</f>
        <v/>
      </c>
      <c r="U959" s="13">
        <f>IF(AND(ISNUMBER(R959),ISNUMBER(S959),ISNUMBER(T959)),IF(R959&gt;T959,"boven UCL",IF(R959&lt;S959,"onder LCL","")),"")</f>
        <v/>
      </c>
    </row>
    <row r="960">
      <c r="A960" t="n">
        <v>854</v>
      </c>
      <c r="B960" s="7" t="n"/>
      <c r="C960" s="11">
        <f>IF(AND(ISNUMBER(B960),ISNUMBER(B959)),ABS(B960-B959),"")</f>
        <v/>
      </c>
      <c r="D960" s="13">
        <f>IF(AND(ISNUMBER(B960),ISNUMBER($B$88),ISNUMBER($D$88)),IF(B960&gt;$D$88,"boven UCL",IF(B960&lt;$B$88,"onder LCL","")),"")</f>
        <v/>
      </c>
      <c r="E960" s="13">
        <f>IF(AND(ISNUMBER(C960),ISNUMBER($B$89),ISNUMBER($D$89)),IF(C960&gt;$D$89,"boven UCL",IF(C960&lt;$B$89,"onder LCL","")),"")</f>
        <v/>
      </c>
      <c r="G960" t="n">
        <v>854</v>
      </c>
      <c r="H960" s="7" t="n"/>
      <c r="I960" s="7" t="n"/>
      <c r="J960" s="11">
        <f>IF(AND(ISNUMBER(H960),ISNUMBER(I960),H960&gt;0,ISNUMBER($B$94)),I960/H960,"")</f>
        <v/>
      </c>
      <c r="K960" s="11">
        <f>IF(AND(ISNUMBER(H960),ISNUMBER(I960),H960&gt;0,ISNUMBER($B$94)),MAX(0,$B$94-3*SQRT($B$94*(1-$B$94)/H960)),"")</f>
        <v/>
      </c>
      <c r="L960" s="11">
        <f>IF(AND(ISNUMBER(H960),ISNUMBER(I960),H960&gt;0,ISNUMBER($B$94)),$B$94+3*SQRT($B$94*(1-$B$94)/H960),"")</f>
        <v/>
      </c>
      <c r="M960" s="13">
        <f>IF(AND(ISNUMBER(J960),ISNUMBER(K960),ISNUMBER(L960)),IF(J960&gt;L960,"boven UCL",IF(J960&lt;K960,"onder LCL","")),"")</f>
        <v/>
      </c>
      <c r="O960" t="n">
        <v>854</v>
      </c>
      <c r="P960" s="7" t="n"/>
      <c r="Q960" s="7" t="n"/>
      <c r="R960" s="11">
        <f>IF(AND(ISNUMBER(P960),ISNUMBER(Q960),P960&gt;0,ISNUMBER($B$100)),Q960/P960,"")</f>
        <v/>
      </c>
      <c r="S960" s="11">
        <f>IF(AND(ISNUMBER(P960),ISNUMBER(Q960),P960&gt;0,ISNUMBER($B$100)),MAX(0,$B$100-3*SQRT($B$100/P960)),"")</f>
        <v/>
      </c>
      <c r="T960" s="11">
        <f>IF(AND(ISNUMBER(P960),ISNUMBER(Q960),P960&gt;0,ISNUMBER($B$100)),$B$100+3*SQRT($B$100/P960),"")</f>
        <v/>
      </c>
      <c r="U960" s="13">
        <f>IF(AND(ISNUMBER(R960),ISNUMBER(S960),ISNUMBER(T960)),IF(R960&gt;T960,"boven UCL",IF(R960&lt;S960,"onder LCL","")),"")</f>
        <v/>
      </c>
    </row>
    <row r="961">
      <c r="A961" t="n">
        <v>855</v>
      </c>
      <c r="B961" s="7" t="n"/>
      <c r="C961" s="11">
        <f>IF(AND(ISNUMBER(B961),ISNUMBER(B960)),ABS(B961-B960),"")</f>
        <v/>
      </c>
      <c r="D961" s="13">
        <f>IF(AND(ISNUMBER(B961),ISNUMBER($B$88),ISNUMBER($D$88)),IF(B961&gt;$D$88,"boven UCL",IF(B961&lt;$B$88,"onder LCL","")),"")</f>
        <v/>
      </c>
      <c r="E961" s="13">
        <f>IF(AND(ISNUMBER(C961),ISNUMBER($B$89),ISNUMBER($D$89)),IF(C961&gt;$D$89,"boven UCL",IF(C961&lt;$B$89,"onder LCL","")),"")</f>
        <v/>
      </c>
      <c r="G961" t="n">
        <v>855</v>
      </c>
      <c r="H961" s="7" t="n"/>
      <c r="I961" s="7" t="n"/>
      <c r="J961" s="11">
        <f>IF(AND(ISNUMBER(H961),ISNUMBER(I961),H961&gt;0,ISNUMBER($B$94)),I961/H961,"")</f>
        <v/>
      </c>
      <c r="K961" s="11">
        <f>IF(AND(ISNUMBER(H961),ISNUMBER(I961),H961&gt;0,ISNUMBER($B$94)),MAX(0,$B$94-3*SQRT($B$94*(1-$B$94)/H961)),"")</f>
        <v/>
      </c>
      <c r="L961" s="11">
        <f>IF(AND(ISNUMBER(H961),ISNUMBER(I961),H961&gt;0,ISNUMBER($B$94)),$B$94+3*SQRT($B$94*(1-$B$94)/H961),"")</f>
        <v/>
      </c>
      <c r="M961" s="13">
        <f>IF(AND(ISNUMBER(J961),ISNUMBER(K961),ISNUMBER(L961)),IF(J961&gt;L961,"boven UCL",IF(J961&lt;K961,"onder LCL","")),"")</f>
        <v/>
      </c>
      <c r="O961" t="n">
        <v>855</v>
      </c>
      <c r="P961" s="7" t="n"/>
      <c r="Q961" s="7" t="n"/>
      <c r="R961" s="11">
        <f>IF(AND(ISNUMBER(P961),ISNUMBER(Q961),P961&gt;0,ISNUMBER($B$100)),Q961/P961,"")</f>
        <v/>
      </c>
      <c r="S961" s="11">
        <f>IF(AND(ISNUMBER(P961),ISNUMBER(Q961),P961&gt;0,ISNUMBER($B$100)),MAX(0,$B$100-3*SQRT($B$100/P961)),"")</f>
        <v/>
      </c>
      <c r="T961" s="11">
        <f>IF(AND(ISNUMBER(P961),ISNUMBER(Q961),P961&gt;0,ISNUMBER($B$100)),$B$100+3*SQRT($B$100/P961),"")</f>
        <v/>
      </c>
      <c r="U961" s="13">
        <f>IF(AND(ISNUMBER(R961),ISNUMBER(S961),ISNUMBER(T961)),IF(R961&gt;T961,"boven UCL",IF(R961&lt;S961,"onder LCL","")),"")</f>
        <v/>
      </c>
    </row>
    <row r="962">
      <c r="A962" t="n">
        <v>856</v>
      </c>
      <c r="B962" s="7" t="n"/>
      <c r="C962" s="11">
        <f>IF(AND(ISNUMBER(B962),ISNUMBER(B961)),ABS(B962-B961),"")</f>
        <v/>
      </c>
      <c r="D962" s="13">
        <f>IF(AND(ISNUMBER(B962),ISNUMBER($B$88),ISNUMBER($D$88)),IF(B962&gt;$D$88,"boven UCL",IF(B962&lt;$B$88,"onder LCL","")),"")</f>
        <v/>
      </c>
      <c r="E962" s="13">
        <f>IF(AND(ISNUMBER(C962),ISNUMBER($B$89),ISNUMBER($D$89)),IF(C962&gt;$D$89,"boven UCL",IF(C962&lt;$B$89,"onder LCL","")),"")</f>
        <v/>
      </c>
      <c r="G962" t="n">
        <v>856</v>
      </c>
      <c r="H962" s="7" t="n"/>
      <c r="I962" s="7" t="n"/>
      <c r="J962" s="11">
        <f>IF(AND(ISNUMBER(H962),ISNUMBER(I962),H962&gt;0,ISNUMBER($B$94)),I962/H962,"")</f>
        <v/>
      </c>
      <c r="K962" s="11">
        <f>IF(AND(ISNUMBER(H962),ISNUMBER(I962),H962&gt;0,ISNUMBER($B$94)),MAX(0,$B$94-3*SQRT($B$94*(1-$B$94)/H962)),"")</f>
        <v/>
      </c>
      <c r="L962" s="11">
        <f>IF(AND(ISNUMBER(H962),ISNUMBER(I962),H962&gt;0,ISNUMBER($B$94)),$B$94+3*SQRT($B$94*(1-$B$94)/H962),"")</f>
        <v/>
      </c>
      <c r="M962" s="13">
        <f>IF(AND(ISNUMBER(J962),ISNUMBER(K962),ISNUMBER(L962)),IF(J962&gt;L962,"boven UCL",IF(J962&lt;K962,"onder LCL","")),"")</f>
        <v/>
      </c>
      <c r="O962" t="n">
        <v>856</v>
      </c>
      <c r="P962" s="7" t="n"/>
      <c r="Q962" s="7" t="n"/>
      <c r="R962" s="11">
        <f>IF(AND(ISNUMBER(P962),ISNUMBER(Q962),P962&gt;0,ISNUMBER($B$100)),Q962/P962,"")</f>
        <v/>
      </c>
      <c r="S962" s="11">
        <f>IF(AND(ISNUMBER(P962),ISNUMBER(Q962),P962&gt;0,ISNUMBER($B$100)),MAX(0,$B$100-3*SQRT($B$100/P962)),"")</f>
        <v/>
      </c>
      <c r="T962" s="11">
        <f>IF(AND(ISNUMBER(P962),ISNUMBER(Q962),P962&gt;0,ISNUMBER($B$100)),$B$100+3*SQRT($B$100/P962),"")</f>
        <v/>
      </c>
      <c r="U962" s="13">
        <f>IF(AND(ISNUMBER(R962),ISNUMBER(S962),ISNUMBER(T962)),IF(R962&gt;T962,"boven UCL",IF(R962&lt;S962,"onder LCL","")),"")</f>
        <v/>
      </c>
    </row>
    <row r="963">
      <c r="A963" t="n">
        <v>857</v>
      </c>
      <c r="B963" s="7" t="n"/>
      <c r="C963" s="11">
        <f>IF(AND(ISNUMBER(B963),ISNUMBER(B962)),ABS(B963-B962),"")</f>
        <v/>
      </c>
      <c r="D963" s="13">
        <f>IF(AND(ISNUMBER(B963),ISNUMBER($B$88),ISNUMBER($D$88)),IF(B963&gt;$D$88,"boven UCL",IF(B963&lt;$B$88,"onder LCL","")),"")</f>
        <v/>
      </c>
      <c r="E963" s="13">
        <f>IF(AND(ISNUMBER(C963),ISNUMBER($B$89),ISNUMBER($D$89)),IF(C963&gt;$D$89,"boven UCL",IF(C963&lt;$B$89,"onder LCL","")),"")</f>
        <v/>
      </c>
      <c r="G963" t="n">
        <v>857</v>
      </c>
      <c r="H963" s="7" t="n"/>
      <c r="I963" s="7" t="n"/>
      <c r="J963" s="11">
        <f>IF(AND(ISNUMBER(H963),ISNUMBER(I963),H963&gt;0,ISNUMBER($B$94)),I963/H963,"")</f>
        <v/>
      </c>
      <c r="K963" s="11">
        <f>IF(AND(ISNUMBER(H963),ISNUMBER(I963),H963&gt;0,ISNUMBER($B$94)),MAX(0,$B$94-3*SQRT($B$94*(1-$B$94)/H963)),"")</f>
        <v/>
      </c>
      <c r="L963" s="11">
        <f>IF(AND(ISNUMBER(H963),ISNUMBER(I963),H963&gt;0,ISNUMBER($B$94)),$B$94+3*SQRT($B$94*(1-$B$94)/H963),"")</f>
        <v/>
      </c>
      <c r="M963" s="13">
        <f>IF(AND(ISNUMBER(J963),ISNUMBER(K963),ISNUMBER(L963)),IF(J963&gt;L963,"boven UCL",IF(J963&lt;K963,"onder LCL","")),"")</f>
        <v/>
      </c>
      <c r="O963" t="n">
        <v>857</v>
      </c>
      <c r="P963" s="7" t="n"/>
      <c r="Q963" s="7" t="n"/>
      <c r="R963" s="11">
        <f>IF(AND(ISNUMBER(P963),ISNUMBER(Q963),P963&gt;0,ISNUMBER($B$100)),Q963/P963,"")</f>
        <v/>
      </c>
      <c r="S963" s="11">
        <f>IF(AND(ISNUMBER(P963),ISNUMBER(Q963),P963&gt;0,ISNUMBER($B$100)),MAX(0,$B$100-3*SQRT($B$100/P963)),"")</f>
        <v/>
      </c>
      <c r="T963" s="11">
        <f>IF(AND(ISNUMBER(P963),ISNUMBER(Q963),P963&gt;0,ISNUMBER($B$100)),$B$100+3*SQRT($B$100/P963),"")</f>
        <v/>
      </c>
      <c r="U963" s="13">
        <f>IF(AND(ISNUMBER(R963),ISNUMBER(S963),ISNUMBER(T963)),IF(R963&gt;T963,"boven UCL",IF(R963&lt;S963,"onder LCL","")),"")</f>
        <v/>
      </c>
    </row>
    <row r="964">
      <c r="A964" t="n">
        <v>858</v>
      </c>
      <c r="B964" s="7" t="n"/>
      <c r="C964" s="11">
        <f>IF(AND(ISNUMBER(B964),ISNUMBER(B963)),ABS(B964-B963),"")</f>
        <v/>
      </c>
      <c r="D964" s="13">
        <f>IF(AND(ISNUMBER(B964),ISNUMBER($B$88),ISNUMBER($D$88)),IF(B964&gt;$D$88,"boven UCL",IF(B964&lt;$B$88,"onder LCL","")),"")</f>
        <v/>
      </c>
      <c r="E964" s="13">
        <f>IF(AND(ISNUMBER(C964),ISNUMBER($B$89),ISNUMBER($D$89)),IF(C964&gt;$D$89,"boven UCL",IF(C964&lt;$B$89,"onder LCL","")),"")</f>
        <v/>
      </c>
      <c r="G964" t="n">
        <v>858</v>
      </c>
      <c r="H964" s="7" t="n"/>
      <c r="I964" s="7" t="n"/>
      <c r="J964" s="11">
        <f>IF(AND(ISNUMBER(H964),ISNUMBER(I964),H964&gt;0,ISNUMBER($B$94)),I964/H964,"")</f>
        <v/>
      </c>
      <c r="K964" s="11">
        <f>IF(AND(ISNUMBER(H964),ISNUMBER(I964),H964&gt;0,ISNUMBER($B$94)),MAX(0,$B$94-3*SQRT($B$94*(1-$B$94)/H964)),"")</f>
        <v/>
      </c>
      <c r="L964" s="11">
        <f>IF(AND(ISNUMBER(H964),ISNUMBER(I964),H964&gt;0,ISNUMBER($B$94)),$B$94+3*SQRT($B$94*(1-$B$94)/H964),"")</f>
        <v/>
      </c>
      <c r="M964" s="13">
        <f>IF(AND(ISNUMBER(J964),ISNUMBER(K964),ISNUMBER(L964)),IF(J964&gt;L964,"boven UCL",IF(J964&lt;K964,"onder LCL","")),"")</f>
        <v/>
      </c>
      <c r="O964" t="n">
        <v>858</v>
      </c>
      <c r="P964" s="7" t="n"/>
      <c r="Q964" s="7" t="n"/>
      <c r="R964" s="11">
        <f>IF(AND(ISNUMBER(P964),ISNUMBER(Q964),P964&gt;0,ISNUMBER($B$100)),Q964/P964,"")</f>
        <v/>
      </c>
      <c r="S964" s="11">
        <f>IF(AND(ISNUMBER(P964),ISNUMBER(Q964),P964&gt;0,ISNUMBER($B$100)),MAX(0,$B$100-3*SQRT($B$100/P964)),"")</f>
        <v/>
      </c>
      <c r="T964" s="11">
        <f>IF(AND(ISNUMBER(P964),ISNUMBER(Q964),P964&gt;0,ISNUMBER($B$100)),$B$100+3*SQRT($B$100/P964),"")</f>
        <v/>
      </c>
      <c r="U964" s="13">
        <f>IF(AND(ISNUMBER(R964),ISNUMBER(S964),ISNUMBER(T964)),IF(R964&gt;T964,"boven UCL",IF(R964&lt;S964,"onder LCL","")),"")</f>
        <v/>
      </c>
    </row>
    <row r="965">
      <c r="A965" t="n">
        <v>859</v>
      </c>
      <c r="B965" s="7" t="n"/>
      <c r="C965" s="11">
        <f>IF(AND(ISNUMBER(B965),ISNUMBER(B964)),ABS(B965-B964),"")</f>
        <v/>
      </c>
      <c r="D965" s="13">
        <f>IF(AND(ISNUMBER(B965),ISNUMBER($B$88),ISNUMBER($D$88)),IF(B965&gt;$D$88,"boven UCL",IF(B965&lt;$B$88,"onder LCL","")),"")</f>
        <v/>
      </c>
      <c r="E965" s="13">
        <f>IF(AND(ISNUMBER(C965),ISNUMBER($B$89),ISNUMBER($D$89)),IF(C965&gt;$D$89,"boven UCL",IF(C965&lt;$B$89,"onder LCL","")),"")</f>
        <v/>
      </c>
      <c r="G965" t="n">
        <v>859</v>
      </c>
      <c r="H965" s="7" t="n"/>
      <c r="I965" s="7" t="n"/>
      <c r="J965" s="11">
        <f>IF(AND(ISNUMBER(H965),ISNUMBER(I965),H965&gt;0,ISNUMBER($B$94)),I965/H965,"")</f>
        <v/>
      </c>
      <c r="K965" s="11">
        <f>IF(AND(ISNUMBER(H965),ISNUMBER(I965),H965&gt;0,ISNUMBER($B$94)),MAX(0,$B$94-3*SQRT($B$94*(1-$B$94)/H965)),"")</f>
        <v/>
      </c>
      <c r="L965" s="11">
        <f>IF(AND(ISNUMBER(H965),ISNUMBER(I965),H965&gt;0,ISNUMBER($B$94)),$B$94+3*SQRT($B$94*(1-$B$94)/H965),"")</f>
        <v/>
      </c>
      <c r="M965" s="13">
        <f>IF(AND(ISNUMBER(J965),ISNUMBER(K965),ISNUMBER(L965)),IF(J965&gt;L965,"boven UCL",IF(J965&lt;K965,"onder LCL","")),"")</f>
        <v/>
      </c>
      <c r="O965" t="n">
        <v>859</v>
      </c>
      <c r="P965" s="7" t="n"/>
      <c r="Q965" s="7" t="n"/>
      <c r="R965" s="11">
        <f>IF(AND(ISNUMBER(P965),ISNUMBER(Q965),P965&gt;0,ISNUMBER($B$100)),Q965/P965,"")</f>
        <v/>
      </c>
      <c r="S965" s="11">
        <f>IF(AND(ISNUMBER(P965),ISNUMBER(Q965),P965&gt;0,ISNUMBER($B$100)),MAX(0,$B$100-3*SQRT($B$100/P965)),"")</f>
        <v/>
      </c>
      <c r="T965" s="11">
        <f>IF(AND(ISNUMBER(P965),ISNUMBER(Q965),P965&gt;0,ISNUMBER($B$100)),$B$100+3*SQRT($B$100/P965),"")</f>
        <v/>
      </c>
      <c r="U965" s="13">
        <f>IF(AND(ISNUMBER(R965),ISNUMBER(S965),ISNUMBER(T965)),IF(R965&gt;T965,"boven UCL",IF(R965&lt;S965,"onder LCL","")),"")</f>
        <v/>
      </c>
    </row>
    <row r="966">
      <c r="A966" t="n">
        <v>860</v>
      </c>
      <c r="B966" s="7" t="n"/>
      <c r="C966" s="11">
        <f>IF(AND(ISNUMBER(B966),ISNUMBER(B965)),ABS(B966-B965),"")</f>
        <v/>
      </c>
      <c r="D966" s="13">
        <f>IF(AND(ISNUMBER(B966),ISNUMBER($B$88),ISNUMBER($D$88)),IF(B966&gt;$D$88,"boven UCL",IF(B966&lt;$B$88,"onder LCL","")),"")</f>
        <v/>
      </c>
      <c r="E966" s="13">
        <f>IF(AND(ISNUMBER(C966),ISNUMBER($B$89),ISNUMBER($D$89)),IF(C966&gt;$D$89,"boven UCL",IF(C966&lt;$B$89,"onder LCL","")),"")</f>
        <v/>
      </c>
      <c r="G966" t="n">
        <v>860</v>
      </c>
      <c r="H966" s="7" t="n"/>
      <c r="I966" s="7" t="n"/>
      <c r="J966" s="11">
        <f>IF(AND(ISNUMBER(H966),ISNUMBER(I966),H966&gt;0,ISNUMBER($B$94)),I966/H966,"")</f>
        <v/>
      </c>
      <c r="K966" s="11">
        <f>IF(AND(ISNUMBER(H966),ISNUMBER(I966),H966&gt;0,ISNUMBER($B$94)),MAX(0,$B$94-3*SQRT($B$94*(1-$B$94)/H966)),"")</f>
        <v/>
      </c>
      <c r="L966" s="11">
        <f>IF(AND(ISNUMBER(H966),ISNUMBER(I966),H966&gt;0,ISNUMBER($B$94)),$B$94+3*SQRT($B$94*(1-$B$94)/H966),"")</f>
        <v/>
      </c>
      <c r="M966" s="13">
        <f>IF(AND(ISNUMBER(J966),ISNUMBER(K966),ISNUMBER(L966)),IF(J966&gt;L966,"boven UCL",IF(J966&lt;K966,"onder LCL","")),"")</f>
        <v/>
      </c>
      <c r="O966" t="n">
        <v>860</v>
      </c>
      <c r="P966" s="7" t="n"/>
      <c r="Q966" s="7" t="n"/>
      <c r="R966" s="11">
        <f>IF(AND(ISNUMBER(P966),ISNUMBER(Q966),P966&gt;0,ISNUMBER($B$100)),Q966/P966,"")</f>
        <v/>
      </c>
      <c r="S966" s="11">
        <f>IF(AND(ISNUMBER(P966),ISNUMBER(Q966),P966&gt;0,ISNUMBER($B$100)),MAX(0,$B$100-3*SQRT($B$100/P966)),"")</f>
        <v/>
      </c>
      <c r="T966" s="11">
        <f>IF(AND(ISNUMBER(P966),ISNUMBER(Q966),P966&gt;0,ISNUMBER($B$100)),$B$100+3*SQRT($B$100/P966),"")</f>
        <v/>
      </c>
      <c r="U966" s="13">
        <f>IF(AND(ISNUMBER(R966),ISNUMBER(S966),ISNUMBER(T966)),IF(R966&gt;T966,"boven UCL",IF(R966&lt;S966,"onder LCL","")),"")</f>
        <v/>
      </c>
    </row>
    <row r="967">
      <c r="A967" t="n">
        <v>861</v>
      </c>
      <c r="B967" s="7" t="n"/>
      <c r="C967" s="11">
        <f>IF(AND(ISNUMBER(B967),ISNUMBER(B966)),ABS(B967-B966),"")</f>
        <v/>
      </c>
      <c r="D967" s="13">
        <f>IF(AND(ISNUMBER(B967),ISNUMBER($B$88),ISNUMBER($D$88)),IF(B967&gt;$D$88,"boven UCL",IF(B967&lt;$B$88,"onder LCL","")),"")</f>
        <v/>
      </c>
      <c r="E967" s="13">
        <f>IF(AND(ISNUMBER(C967),ISNUMBER($B$89),ISNUMBER($D$89)),IF(C967&gt;$D$89,"boven UCL",IF(C967&lt;$B$89,"onder LCL","")),"")</f>
        <v/>
      </c>
      <c r="G967" t="n">
        <v>861</v>
      </c>
      <c r="H967" s="7" t="n"/>
      <c r="I967" s="7" t="n"/>
      <c r="J967" s="11">
        <f>IF(AND(ISNUMBER(H967),ISNUMBER(I967),H967&gt;0,ISNUMBER($B$94)),I967/H967,"")</f>
        <v/>
      </c>
      <c r="K967" s="11">
        <f>IF(AND(ISNUMBER(H967),ISNUMBER(I967),H967&gt;0,ISNUMBER($B$94)),MAX(0,$B$94-3*SQRT($B$94*(1-$B$94)/H967)),"")</f>
        <v/>
      </c>
      <c r="L967" s="11">
        <f>IF(AND(ISNUMBER(H967),ISNUMBER(I967),H967&gt;0,ISNUMBER($B$94)),$B$94+3*SQRT($B$94*(1-$B$94)/H967),"")</f>
        <v/>
      </c>
      <c r="M967" s="13">
        <f>IF(AND(ISNUMBER(J967),ISNUMBER(K967),ISNUMBER(L967)),IF(J967&gt;L967,"boven UCL",IF(J967&lt;K967,"onder LCL","")),"")</f>
        <v/>
      </c>
      <c r="O967" t="n">
        <v>861</v>
      </c>
      <c r="P967" s="7" t="n"/>
      <c r="Q967" s="7" t="n"/>
      <c r="R967" s="11">
        <f>IF(AND(ISNUMBER(P967),ISNUMBER(Q967),P967&gt;0,ISNUMBER($B$100)),Q967/P967,"")</f>
        <v/>
      </c>
      <c r="S967" s="11">
        <f>IF(AND(ISNUMBER(P967),ISNUMBER(Q967),P967&gt;0,ISNUMBER($B$100)),MAX(0,$B$100-3*SQRT($B$100/P967)),"")</f>
        <v/>
      </c>
      <c r="T967" s="11">
        <f>IF(AND(ISNUMBER(P967),ISNUMBER(Q967),P967&gt;0,ISNUMBER($B$100)),$B$100+3*SQRT($B$100/P967),"")</f>
        <v/>
      </c>
      <c r="U967" s="13">
        <f>IF(AND(ISNUMBER(R967),ISNUMBER(S967),ISNUMBER(T967)),IF(R967&gt;T967,"boven UCL",IF(R967&lt;S967,"onder LCL","")),"")</f>
        <v/>
      </c>
    </row>
    <row r="968">
      <c r="A968" t="n">
        <v>862</v>
      </c>
      <c r="B968" s="7" t="n"/>
      <c r="C968" s="11">
        <f>IF(AND(ISNUMBER(B968),ISNUMBER(B967)),ABS(B968-B967),"")</f>
        <v/>
      </c>
      <c r="D968" s="13">
        <f>IF(AND(ISNUMBER(B968),ISNUMBER($B$88),ISNUMBER($D$88)),IF(B968&gt;$D$88,"boven UCL",IF(B968&lt;$B$88,"onder LCL","")),"")</f>
        <v/>
      </c>
      <c r="E968" s="13">
        <f>IF(AND(ISNUMBER(C968),ISNUMBER($B$89),ISNUMBER($D$89)),IF(C968&gt;$D$89,"boven UCL",IF(C968&lt;$B$89,"onder LCL","")),"")</f>
        <v/>
      </c>
      <c r="G968" t="n">
        <v>862</v>
      </c>
      <c r="H968" s="7" t="n"/>
      <c r="I968" s="7" t="n"/>
      <c r="J968" s="11">
        <f>IF(AND(ISNUMBER(H968),ISNUMBER(I968),H968&gt;0,ISNUMBER($B$94)),I968/H968,"")</f>
        <v/>
      </c>
      <c r="K968" s="11">
        <f>IF(AND(ISNUMBER(H968),ISNUMBER(I968),H968&gt;0,ISNUMBER($B$94)),MAX(0,$B$94-3*SQRT($B$94*(1-$B$94)/H968)),"")</f>
        <v/>
      </c>
      <c r="L968" s="11">
        <f>IF(AND(ISNUMBER(H968),ISNUMBER(I968),H968&gt;0,ISNUMBER($B$94)),$B$94+3*SQRT($B$94*(1-$B$94)/H968),"")</f>
        <v/>
      </c>
      <c r="M968" s="13">
        <f>IF(AND(ISNUMBER(J968),ISNUMBER(K968),ISNUMBER(L968)),IF(J968&gt;L968,"boven UCL",IF(J968&lt;K968,"onder LCL","")),"")</f>
        <v/>
      </c>
      <c r="O968" t="n">
        <v>862</v>
      </c>
      <c r="P968" s="7" t="n"/>
      <c r="Q968" s="7" t="n"/>
      <c r="R968" s="11">
        <f>IF(AND(ISNUMBER(P968),ISNUMBER(Q968),P968&gt;0,ISNUMBER($B$100)),Q968/P968,"")</f>
        <v/>
      </c>
      <c r="S968" s="11">
        <f>IF(AND(ISNUMBER(P968),ISNUMBER(Q968),P968&gt;0,ISNUMBER($B$100)),MAX(0,$B$100-3*SQRT($B$100/P968)),"")</f>
        <v/>
      </c>
      <c r="T968" s="11">
        <f>IF(AND(ISNUMBER(P968),ISNUMBER(Q968),P968&gt;0,ISNUMBER($B$100)),$B$100+3*SQRT($B$100/P968),"")</f>
        <v/>
      </c>
      <c r="U968" s="13">
        <f>IF(AND(ISNUMBER(R968),ISNUMBER(S968),ISNUMBER(T968)),IF(R968&gt;T968,"boven UCL",IF(R968&lt;S968,"onder LCL","")),"")</f>
        <v/>
      </c>
    </row>
    <row r="969">
      <c r="A969" t="n">
        <v>863</v>
      </c>
      <c r="B969" s="7" t="n"/>
      <c r="C969" s="11">
        <f>IF(AND(ISNUMBER(B969),ISNUMBER(B968)),ABS(B969-B968),"")</f>
        <v/>
      </c>
      <c r="D969" s="13">
        <f>IF(AND(ISNUMBER(B969),ISNUMBER($B$88),ISNUMBER($D$88)),IF(B969&gt;$D$88,"boven UCL",IF(B969&lt;$B$88,"onder LCL","")),"")</f>
        <v/>
      </c>
      <c r="E969" s="13">
        <f>IF(AND(ISNUMBER(C969),ISNUMBER($B$89),ISNUMBER($D$89)),IF(C969&gt;$D$89,"boven UCL",IF(C969&lt;$B$89,"onder LCL","")),"")</f>
        <v/>
      </c>
      <c r="G969" t="n">
        <v>863</v>
      </c>
      <c r="H969" s="7" t="n"/>
      <c r="I969" s="7" t="n"/>
      <c r="J969" s="11">
        <f>IF(AND(ISNUMBER(H969),ISNUMBER(I969),H969&gt;0,ISNUMBER($B$94)),I969/H969,"")</f>
        <v/>
      </c>
      <c r="K969" s="11">
        <f>IF(AND(ISNUMBER(H969),ISNUMBER(I969),H969&gt;0,ISNUMBER($B$94)),MAX(0,$B$94-3*SQRT($B$94*(1-$B$94)/H969)),"")</f>
        <v/>
      </c>
      <c r="L969" s="11">
        <f>IF(AND(ISNUMBER(H969),ISNUMBER(I969),H969&gt;0,ISNUMBER($B$94)),$B$94+3*SQRT($B$94*(1-$B$94)/H969),"")</f>
        <v/>
      </c>
      <c r="M969" s="13">
        <f>IF(AND(ISNUMBER(J969),ISNUMBER(K969),ISNUMBER(L969)),IF(J969&gt;L969,"boven UCL",IF(J969&lt;K969,"onder LCL","")),"")</f>
        <v/>
      </c>
      <c r="O969" t="n">
        <v>863</v>
      </c>
      <c r="P969" s="7" t="n"/>
      <c r="Q969" s="7" t="n"/>
      <c r="R969" s="11">
        <f>IF(AND(ISNUMBER(P969),ISNUMBER(Q969),P969&gt;0,ISNUMBER($B$100)),Q969/P969,"")</f>
        <v/>
      </c>
      <c r="S969" s="11">
        <f>IF(AND(ISNUMBER(P969),ISNUMBER(Q969),P969&gt;0,ISNUMBER($B$100)),MAX(0,$B$100-3*SQRT($B$100/P969)),"")</f>
        <v/>
      </c>
      <c r="T969" s="11">
        <f>IF(AND(ISNUMBER(P969),ISNUMBER(Q969),P969&gt;0,ISNUMBER($B$100)),$B$100+3*SQRT($B$100/P969),"")</f>
        <v/>
      </c>
      <c r="U969" s="13">
        <f>IF(AND(ISNUMBER(R969),ISNUMBER(S969),ISNUMBER(T969)),IF(R969&gt;T969,"boven UCL",IF(R969&lt;S969,"onder LCL","")),"")</f>
        <v/>
      </c>
    </row>
    <row r="970">
      <c r="A970" t="n">
        <v>864</v>
      </c>
      <c r="B970" s="7" t="n"/>
      <c r="C970" s="11">
        <f>IF(AND(ISNUMBER(B970),ISNUMBER(B969)),ABS(B970-B969),"")</f>
        <v/>
      </c>
      <c r="D970" s="13">
        <f>IF(AND(ISNUMBER(B970),ISNUMBER($B$88),ISNUMBER($D$88)),IF(B970&gt;$D$88,"boven UCL",IF(B970&lt;$B$88,"onder LCL","")),"")</f>
        <v/>
      </c>
      <c r="E970" s="13">
        <f>IF(AND(ISNUMBER(C970),ISNUMBER($B$89),ISNUMBER($D$89)),IF(C970&gt;$D$89,"boven UCL",IF(C970&lt;$B$89,"onder LCL","")),"")</f>
        <v/>
      </c>
      <c r="G970" t="n">
        <v>864</v>
      </c>
      <c r="H970" s="7" t="n"/>
      <c r="I970" s="7" t="n"/>
      <c r="J970" s="11">
        <f>IF(AND(ISNUMBER(H970),ISNUMBER(I970),H970&gt;0,ISNUMBER($B$94)),I970/H970,"")</f>
        <v/>
      </c>
      <c r="K970" s="11">
        <f>IF(AND(ISNUMBER(H970),ISNUMBER(I970),H970&gt;0,ISNUMBER($B$94)),MAX(0,$B$94-3*SQRT($B$94*(1-$B$94)/H970)),"")</f>
        <v/>
      </c>
      <c r="L970" s="11">
        <f>IF(AND(ISNUMBER(H970),ISNUMBER(I970),H970&gt;0,ISNUMBER($B$94)),$B$94+3*SQRT($B$94*(1-$B$94)/H970),"")</f>
        <v/>
      </c>
      <c r="M970" s="13">
        <f>IF(AND(ISNUMBER(J970),ISNUMBER(K970),ISNUMBER(L970)),IF(J970&gt;L970,"boven UCL",IF(J970&lt;K970,"onder LCL","")),"")</f>
        <v/>
      </c>
      <c r="O970" t="n">
        <v>864</v>
      </c>
      <c r="P970" s="7" t="n"/>
      <c r="Q970" s="7" t="n"/>
      <c r="R970" s="11">
        <f>IF(AND(ISNUMBER(P970),ISNUMBER(Q970),P970&gt;0,ISNUMBER($B$100)),Q970/P970,"")</f>
        <v/>
      </c>
      <c r="S970" s="11">
        <f>IF(AND(ISNUMBER(P970),ISNUMBER(Q970),P970&gt;0,ISNUMBER($B$100)),MAX(0,$B$100-3*SQRT($B$100/P970)),"")</f>
        <v/>
      </c>
      <c r="T970" s="11">
        <f>IF(AND(ISNUMBER(P970),ISNUMBER(Q970),P970&gt;0,ISNUMBER($B$100)),$B$100+3*SQRT($B$100/P970),"")</f>
        <v/>
      </c>
      <c r="U970" s="13">
        <f>IF(AND(ISNUMBER(R970),ISNUMBER(S970),ISNUMBER(T970)),IF(R970&gt;T970,"boven UCL",IF(R970&lt;S970,"onder LCL","")),"")</f>
        <v/>
      </c>
    </row>
    <row r="971">
      <c r="A971" t="n">
        <v>865</v>
      </c>
      <c r="B971" s="7" t="n"/>
      <c r="C971" s="11">
        <f>IF(AND(ISNUMBER(B971),ISNUMBER(B970)),ABS(B971-B970),"")</f>
        <v/>
      </c>
      <c r="D971" s="13">
        <f>IF(AND(ISNUMBER(B971),ISNUMBER($B$88),ISNUMBER($D$88)),IF(B971&gt;$D$88,"boven UCL",IF(B971&lt;$B$88,"onder LCL","")),"")</f>
        <v/>
      </c>
      <c r="E971" s="13">
        <f>IF(AND(ISNUMBER(C971),ISNUMBER($B$89),ISNUMBER($D$89)),IF(C971&gt;$D$89,"boven UCL",IF(C971&lt;$B$89,"onder LCL","")),"")</f>
        <v/>
      </c>
      <c r="G971" t="n">
        <v>865</v>
      </c>
      <c r="H971" s="7" t="n"/>
      <c r="I971" s="7" t="n"/>
      <c r="J971" s="11">
        <f>IF(AND(ISNUMBER(H971),ISNUMBER(I971),H971&gt;0,ISNUMBER($B$94)),I971/H971,"")</f>
        <v/>
      </c>
      <c r="K971" s="11">
        <f>IF(AND(ISNUMBER(H971),ISNUMBER(I971),H971&gt;0,ISNUMBER($B$94)),MAX(0,$B$94-3*SQRT($B$94*(1-$B$94)/H971)),"")</f>
        <v/>
      </c>
      <c r="L971" s="11">
        <f>IF(AND(ISNUMBER(H971),ISNUMBER(I971),H971&gt;0,ISNUMBER($B$94)),$B$94+3*SQRT($B$94*(1-$B$94)/H971),"")</f>
        <v/>
      </c>
      <c r="M971" s="13">
        <f>IF(AND(ISNUMBER(J971),ISNUMBER(K971),ISNUMBER(L971)),IF(J971&gt;L971,"boven UCL",IF(J971&lt;K971,"onder LCL","")),"")</f>
        <v/>
      </c>
      <c r="O971" t="n">
        <v>865</v>
      </c>
      <c r="P971" s="7" t="n"/>
      <c r="Q971" s="7" t="n"/>
      <c r="R971" s="11">
        <f>IF(AND(ISNUMBER(P971),ISNUMBER(Q971),P971&gt;0,ISNUMBER($B$100)),Q971/P971,"")</f>
        <v/>
      </c>
      <c r="S971" s="11">
        <f>IF(AND(ISNUMBER(P971),ISNUMBER(Q971),P971&gt;0,ISNUMBER($B$100)),MAX(0,$B$100-3*SQRT($B$100/P971)),"")</f>
        <v/>
      </c>
      <c r="T971" s="11">
        <f>IF(AND(ISNUMBER(P971),ISNUMBER(Q971),P971&gt;0,ISNUMBER($B$100)),$B$100+3*SQRT($B$100/P971),"")</f>
        <v/>
      </c>
      <c r="U971" s="13">
        <f>IF(AND(ISNUMBER(R971),ISNUMBER(S971),ISNUMBER(T971)),IF(R971&gt;T971,"boven UCL",IF(R971&lt;S971,"onder LCL","")),"")</f>
        <v/>
      </c>
    </row>
    <row r="972">
      <c r="A972" t="n">
        <v>866</v>
      </c>
      <c r="B972" s="7" t="n"/>
      <c r="C972" s="11">
        <f>IF(AND(ISNUMBER(B972),ISNUMBER(B971)),ABS(B972-B971),"")</f>
        <v/>
      </c>
      <c r="D972" s="13">
        <f>IF(AND(ISNUMBER(B972),ISNUMBER($B$88),ISNUMBER($D$88)),IF(B972&gt;$D$88,"boven UCL",IF(B972&lt;$B$88,"onder LCL","")),"")</f>
        <v/>
      </c>
      <c r="E972" s="13">
        <f>IF(AND(ISNUMBER(C972),ISNUMBER($B$89),ISNUMBER($D$89)),IF(C972&gt;$D$89,"boven UCL",IF(C972&lt;$B$89,"onder LCL","")),"")</f>
        <v/>
      </c>
      <c r="G972" t="n">
        <v>866</v>
      </c>
      <c r="H972" s="7" t="n"/>
      <c r="I972" s="7" t="n"/>
      <c r="J972" s="11">
        <f>IF(AND(ISNUMBER(H972),ISNUMBER(I972),H972&gt;0,ISNUMBER($B$94)),I972/H972,"")</f>
        <v/>
      </c>
      <c r="K972" s="11">
        <f>IF(AND(ISNUMBER(H972),ISNUMBER(I972),H972&gt;0,ISNUMBER($B$94)),MAX(0,$B$94-3*SQRT($B$94*(1-$B$94)/H972)),"")</f>
        <v/>
      </c>
      <c r="L972" s="11">
        <f>IF(AND(ISNUMBER(H972),ISNUMBER(I972),H972&gt;0,ISNUMBER($B$94)),$B$94+3*SQRT($B$94*(1-$B$94)/H972),"")</f>
        <v/>
      </c>
      <c r="M972" s="13">
        <f>IF(AND(ISNUMBER(J972),ISNUMBER(K972),ISNUMBER(L972)),IF(J972&gt;L972,"boven UCL",IF(J972&lt;K972,"onder LCL","")),"")</f>
        <v/>
      </c>
      <c r="O972" t="n">
        <v>866</v>
      </c>
      <c r="P972" s="7" t="n"/>
      <c r="Q972" s="7" t="n"/>
      <c r="R972" s="11">
        <f>IF(AND(ISNUMBER(P972),ISNUMBER(Q972),P972&gt;0,ISNUMBER($B$100)),Q972/P972,"")</f>
        <v/>
      </c>
      <c r="S972" s="11">
        <f>IF(AND(ISNUMBER(P972),ISNUMBER(Q972),P972&gt;0,ISNUMBER($B$100)),MAX(0,$B$100-3*SQRT($B$100/P972)),"")</f>
        <v/>
      </c>
      <c r="T972" s="11">
        <f>IF(AND(ISNUMBER(P972),ISNUMBER(Q972),P972&gt;0,ISNUMBER($B$100)),$B$100+3*SQRT($B$100/P972),"")</f>
        <v/>
      </c>
      <c r="U972" s="13">
        <f>IF(AND(ISNUMBER(R972),ISNUMBER(S972),ISNUMBER(T972)),IF(R972&gt;T972,"boven UCL",IF(R972&lt;S972,"onder LCL","")),"")</f>
        <v/>
      </c>
    </row>
    <row r="973">
      <c r="A973" t="n">
        <v>867</v>
      </c>
      <c r="B973" s="7" t="n"/>
      <c r="C973" s="11">
        <f>IF(AND(ISNUMBER(B973),ISNUMBER(B972)),ABS(B973-B972),"")</f>
        <v/>
      </c>
      <c r="D973" s="13">
        <f>IF(AND(ISNUMBER(B973),ISNUMBER($B$88),ISNUMBER($D$88)),IF(B973&gt;$D$88,"boven UCL",IF(B973&lt;$B$88,"onder LCL","")),"")</f>
        <v/>
      </c>
      <c r="E973" s="13">
        <f>IF(AND(ISNUMBER(C973),ISNUMBER($B$89),ISNUMBER($D$89)),IF(C973&gt;$D$89,"boven UCL",IF(C973&lt;$B$89,"onder LCL","")),"")</f>
        <v/>
      </c>
      <c r="G973" t="n">
        <v>867</v>
      </c>
      <c r="H973" s="7" t="n"/>
      <c r="I973" s="7" t="n"/>
      <c r="J973" s="11">
        <f>IF(AND(ISNUMBER(H973),ISNUMBER(I973),H973&gt;0,ISNUMBER($B$94)),I973/H973,"")</f>
        <v/>
      </c>
      <c r="K973" s="11">
        <f>IF(AND(ISNUMBER(H973),ISNUMBER(I973),H973&gt;0,ISNUMBER($B$94)),MAX(0,$B$94-3*SQRT($B$94*(1-$B$94)/H973)),"")</f>
        <v/>
      </c>
      <c r="L973" s="11">
        <f>IF(AND(ISNUMBER(H973),ISNUMBER(I973),H973&gt;0,ISNUMBER($B$94)),$B$94+3*SQRT($B$94*(1-$B$94)/H973),"")</f>
        <v/>
      </c>
      <c r="M973" s="13">
        <f>IF(AND(ISNUMBER(J973),ISNUMBER(K973),ISNUMBER(L973)),IF(J973&gt;L973,"boven UCL",IF(J973&lt;K973,"onder LCL","")),"")</f>
        <v/>
      </c>
      <c r="O973" t="n">
        <v>867</v>
      </c>
      <c r="P973" s="7" t="n"/>
      <c r="Q973" s="7" t="n"/>
      <c r="R973" s="11">
        <f>IF(AND(ISNUMBER(P973),ISNUMBER(Q973),P973&gt;0,ISNUMBER($B$100)),Q973/P973,"")</f>
        <v/>
      </c>
      <c r="S973" s="11">
        <f>IF(AND(ISNUMBER(P973),ISNUMBER(Q973),P973&gt;0,ISNUMBER($B$100)),MAX(0,$B$100-3*SQRT($B$100/P973)),"")</f>
        <v/>
      </c>
      <c r="T973" s="11">
        <f>IF(AND(ISNUMBER(P973),ISNUMBER(Q973),P973&gt;0,ISNUMBER($B$100)),$B$100+3*SQRT($B$100/P973),"")</f>
        <v/>
      </c>
      <c r="U973" s="13">
        <f>IF(AND(ISNUMBER(R973),ISNUMBER(S973),ISNUMBER(T973)),IF(R973&gt;T973,"boven UCL",IF(R973&lt;S973,"onder LCL","")),"")</f>
        <v/>
      </c>
    </row>
    <row r="974">
      <c r="A974" t="n">
        <v>868</v>
      </c>
      <c r="B974" s="7" t="n"/>
      <c r="C974" s="11">
        <f>IF(AND(ISNUMBER(B974),ISNUMBER(B973)),ABS(B974-B973),"")</f>
        <v/>
      </c>
      <c r="D974" s="13">
        <f>IF(AND(ISNUMBER(B974),ISNUMBER($B$88),ISNUMBER($D$88)),IF(B974&gt;$D$88,"boven UCL",IF(B974&lt;$B$88,"onder LCL","")),"")</f>
        <v/>
      </c>
      <c r="E974" s="13">
        <f>IF(AND(ISNUMBER(C974),ISNUMBER($B$89),ISNUMBER($D$89)),IF(C974&gt;$D$89,"boven UCL",IF(C974&lt;$B$89,"onder LCL","")),"")</f>
        <v/>
      </c>
      <c r="G974" t="n">
        <v>868</v>
      </c>
      <c r="H974" s="7" t="n"/>
      <c r="I974" s="7" t="n"/>
      <c r="J974" s="11">
        <f>IF(AND(ISNUMBER(H974),ISNUMBER(I974),H974&gt;0,ISNUMBER($B$94)),I974/H974,"")</f>
        <v/>
      </c>
      <c r="K974" s="11">
        <f>IF(AND(ISNUMBER(H974),ISNUMBER(I974),H974&gt;0,ISNUMBER($B$94)),MAX(0,$B$94-3*SQRT($B$94*(1-$B$94)/H974)),"")</f>
        <v/>
      </c>
      <c r="L974" s="11">
        <f>IF(AND(ISNUMBER(H974),ISNUMBER(I974),H974&gt;0,ISNUMBER($B$94)),$B$94+3*SQRT($B$94*(1-$B$94)/H974),"")</f>
        <v/>
      </c>
      <c r="M974" s="13">
        <f>IF(AND(ISNUMBER(J974),ISNUMBER(K974),ISNUMBER(L974)),IF(J974&gt;L974,"boven UCL",IF(J974&lt;K974,"onder LCL","")),"")</f>
        <v/>
      </c>
      <c r="O974" t="n">
        <v>868</v>
      </c>
      <c r="P974" s="7" t="n"/>
      <c r="Q974" s="7" t="n"/>
      <c r="R974" s="11">
        <f>IF(AND(ISNUMBER(P974),ISNUMBER(Q974),P974&gt;0,ISNUMBER($B$100)),Q974/P974,"")</f>
        <v/>
      </c>
      <c r="S974" s="11">
        <f>IF(AND(ISNUMBER(P974),ISNUMBER(Q974),P974&gt;0,ISNUMBER($B$100)),MAX(0,$B$100-3*SQRT($B$100/P974)),"")</f>
        <v/>
      </c>
      <c r="T974" s="11">
        <f>IF(AND(ISNUMBER(P974),ISNUMBER(Q974),P974&gt;0,ISNUMBER($B$100)),$B$100+3*SQRT($B$100/P974),"")</f>
        <v/>
      </c>
      <c r="U974" s="13">
        <f>IF(AND(ISNUMBER(R974),ISNUMBER(S974),ISNUMBER(T974)),IF(R974&gt;T974,"boven UCL",IF(R974&lt;S974,"onder LCL","")),"")</f>
        <v/>
      </c>
    </row>
    <row r="975">
      <c r="A975" t="n">
        <v>869</v>
      </c>
      <c r="B975" s="7" t="n"/>
      <c r="C975" s="11">
        <f>IF(AND(ISNUMBER(B975),ISNUMBER(B974)),ABS(B975-B974),"")</f>
        <v/>
      </c>
      <c r="D975" s="13">
        <f>IF(AND(ISNUMBER(B975),ISNUMBER($B$88),ISNUMBER($D$88)),IF(B975&gt;$D$88,"boven UCL",IF(B975&lt;$B$88,"onder LCL","")),"")</f>
        <v/>
      </c>
      <c r="E975" s="13">
        <f>IF(AND(ISNUMBER(C975),ISNUMBER($B$89),ISNUMBER($D$89)),IF(C975&gt;$D$89,"boven UCL",IF(C975&lt;$B$89,"onder LCL","")),"")</f>
        <v/>
      </c>
      <c r="G975" t="n">
        <v>869</v>
      </c>
      <c r="H975" s="7" t="n"/>
      <c r="I975" s="7" t="n"/>
      <c r="J975" s="11">
        <f>IF(AND(ISNUMBER(H975),ISNUMBER(I975),H975&gt;0,ISNUMBER($B$94)),I975/H975,"")</f>
        <v/>
      </c>
      <c r="K975" s="11">
        <f>IF(AND(ISNUMBER(H975),ISNUMBER(I975),H975&gt;0,ISNUMBER($B$94)),MAX(0,$B$94-3*SQRT($B$94*(1-$B$94)/H975)),"")</f>
        <v/>
      </c>
      <c r="L975" s="11">
        <f>IF(AND(ISNUMBER(H975),ISNUMBER(I975),H975&gt;0,ISNUMBER($B$94)),$B$94+3*SQRT($B$94*(1-$B$94)/H975),"")</f>
        <v/>
      </c>
      <c r="M975" s="13">
        <f>IF(AND(ISNUMBER(J975),ISNUMBER(K975),ISNUMBER(L975)),IF(J975&gt;L975,"boven UCL",IF(J975&lt;K975,"onder LCL","")),"")</f>
        <v/>
      </c>
      <c r="O975" t="n">
        <v>869</v>
      </c>
      <c r="P975" s="7" t="n"/>
      <c r="Q975" s="7" t="n"/>
      <c r="R975" s="11">
        <f>IF(AND(ISNUMBER(P975),ISNUMBER(Q975),P975&gt;0,ISNUMBER($B$100)),Q975/P975,"")</f>
        <v/>
      </c>
      <c r="S975" s="11">
        <f>IF(AND(ISNUMBER(P975),ISNUMBER(Q975),P975&gt;0,ISNUMBER($B$100)),MAX(0,$B$100-3*SQRT($B$100/P975)),"")</f>
        <v/>
      </c>
      <c r="T975" s="11">
        <f>IF(AND(ISNUMBER(P975),ISNUMBER(Q975),P975&gt;0,ISNUMBER($B$100)),$B$100+3*SQRT($B$100/P975),"")</f>
        <v/>
      </c>
      <c r="U975" s="13">
        <f>IF(AND(ISNUMBER(R975),ISNUMBER(S975),ISNUMBER(T975)),IF(R975&gt;T975,"boven UCL",IF(R975&lt;S975,"onder LCL","")),"")</f>
        <v/>
      </c>
    </row>
    <row r="976">
      <c r="A976" t="n">
        <v>870</v>
      </c>
      <c r="B976" s="7" t="n"/>
      <c r="C976" s="11">
        <f>IF(AND(ISNUMBER(B976),ISNUMBER(B975)),ABS(B976-B975),"")</f>
        <v/>
      </c>
      <c r="D976" s="13">
        <f>IF(AND(ISNUMBER(B976),ISNUMBER($B$88),ISNUMBER($D$88)),IF(B976&gt;$D$88,"boven UCL",IF(B976&lt;$B$88,"onder LCL","")),"")</f>
        <v/>
      </c>
      <c r="E976" s="13">
        <f>IF(AND(ISNUMBER(C976),ISNUMBER($B$89),ISNUMBER($D$89)),IF(C976&gt;$D$89,"boven UCL",IF(C976&lt;$B$89,"onder LCL","")),"")</f>
        <v/>
      </c>
      <c r="G976" t="n">
        <v>870</v>
      </c>
      <c r="H976" s="7" t="n"/>
      <c r="I976" s="7" t="n"/>
      <c r="J976" s="11">
        <f>IF(AND(ISNUMBER(H976),ISNUMBER(I976),H976&gt;0,ISNUMBER($B$94)),I976/H976,"")</f>
        <v/>
      </c>
      <c r="K976" s="11">
        <f>IF(AND(ISNUMBER(H976),ISNUMBER(I976),H976&gt;0,ISNUMBER($B$94)),MAX(0,$B$94-3*SQRT($B$94*(1-$B$94)/H976)),"")</f>
        <v/>
      </c>
      <c r="L976" s="11">
        <f>IF(AND(ISNUMBER(H976),ISNUMBER(I976),H976&gt;0,ISNUMBER($B$94)),$B$94+3*SQRT($B$94*(1-$B$94)/H976),"")</f>
        <v/>
      </c>
      <c r="M976" s="13">
        <f>IF(AND(ISNUMBER(J976),ISNUMBER(K976),ISNUMBER(L976)),IF(J976&gt;L976,"boven UCL",IF(J976&lt;K976,"onder LCL","")),"")</f>
        <v/>
      </c>
      <c r="O976" t="n">
        <v>870</v>
      </c>
      <c r="P976" s="7" t="n"/>
      <c r="Q976" s="7" t="n"/>
      <c r="R976" s="11">
        <f>IF(AND(ISNUMBER(P976),ISNUMBER(Q976),P976&gt;0,ISNUMBER($B$100)),Q976/P976,"")</f>
        <v/>
      </c>
      <c r="S976" s="11">
        <f>IF(AND(ISNUMBER(P976),ISNUMBER(Q976),P976&gt;0,ISNUMBER($B$100)),MAX(0,$B$100-3*SQRT($B$100/P976)),"")</f>
        <v/>
      </c>
      <c r="T976" s="11">
        <f>IF(AND(ISNUMBER(P976),ISNUMBER(Q976),P976&gt;0,ISNUMBER($B$100)),$B$100+3*SQRT($B$100/P976),"")</f>
        <v/>
      </c>
      <c r="U976" s="13">
        <f>IF(AND(ISNUMBER(R976),ISNUMBER(S976),ISNUMBER(T976)),IF(R976&gt;T976,"boven UCL",IF(R976&lt;S976,"onder LCL","")),"")</f>
        <v/>
      </c>
    </row>
    <row r="977">
      <c r="A977" t="n">
        <v>871</v>
      </c>
      <c r="B977" s="7" t="n"/>
      <c r="C977" s="11">
        <f>IF(AND(ISNUMBER(B977),ISNUMBER(B976)),ABS(B977-B976),"")</f>
        <v/>
      </c>
      <c r="D977" s="13">
        <f>IF(AND(ISNUMBER(B977),ISNUMBER($B$88),ISNUMBER($D$88)),IF(B977&gt;$D$88,"boven UCL",IF(B977&lt;$B$88,"onder LCL","")),"")</f>
        <v/>
      </c>
      <c r="E977" s="13">
        <f>IF(AND(ISNUMBER(C977),ISNUMBER($B$89),ISNUMBER($D$89)),IF(C977&gt;$D$89,"boven UCL",IF(C977&lt;$B$89,"onder LCL","")),"")</f>
        <v/>
      </c>
      <c r="G977" t="n">
        <v>871</v>
      </c>
      <c r="H977" s="7" t="n"/>
      <c r="I977" s="7" t="n"/>
      <c r="J977" s="11">
        <f>IF(AND(ISNUMBER(H977),ISNUMBER(I977),H977&gt;0,ISNUMBER($B$94)),I977/H977,"")</f>
        <v/>
      </c>
      <c r="K977" s="11">
        <f>IF(AND(ISNUMBER(H977),ISNUMBER(I977),H977&gt;0,ISNUMBER($B$94)),MAX(0,$B$94-3*SQRT($B$94*(1-$B$94)/H977)),"")</f>
        <v/>
      </c>
      <c r="L977" s="11">
        <f>IF(AND(ISNUMBER(H977),ISNUMBER(I977),H977&gt;0,ISNUMBER($B$94)),$B$94+3*SQRT($B$94*(1-$B$94)/H977),"")</f>
        <v/>
      </c>
      <c r="M977" s="13">
        <f>IF(AND(ISNUMBER(J977),ISNUMBER(K977),ISNUMBER(L977)),IF(J977&gt;L977,"boven UCL",IF(J977&lt;K977,"onder LCL","")),"")</f>
        <v/>
      </c>
      <c r="O977" t="n">
        <v>871</v>
      </c>
      <c r="P977" s="7" t="n"/>
      <c r="Q977" s="7" t="n"/>
      <c r="R977" s="11">
        <f>IF(AND(ISNUMBER(P977),ISNUMBER(Q977),P977&gt;0,ISNUMBER($B$100)),Q977/P977,"")</f>
        <v/>
      </c>
      <c r="S977" s="11">
        <f>IF(AND(ISNUMBER(P977),ISNUMBER(Q977),P977&gt;0,ISNUMBER($B$100)),MAX(0,$B$100-3*SQRT($B$100/P977)),"")</f>
        <v/>
      </c>
      <c r="T977" s="11">
        <f>IF(AND(ISNUMBER(P977),ISNUMBER(Q977),P977&gt;0,ISNUMBER($B$100)),$B$100+3*SQRT($B$100/P977),"")</f>
        <v/>
      </c>
      <c r="U977" s="13">
        <f>IF(AND(ISNUMBER(R977),ISNUMBER(S977),ISNUMBER(T977)),IF(R977&gt;T977,"boven UCL",IF(R977&lt;S977,"onder LCL","")),"")</f>
        <v/>
      </c>
    </row>
    <row r="978">
      <c r="A978" t="n">
        <v>872</v>
      </c>
      <c r="B978" s="7" t="n"/>
      <c r="C978" s="11">
        <f>IF(AND(ISNUMBER(B978),ISNUMBER(B977)),ABS(B978-B977),"")</f>
        <v/>
      </c>
      <c r="D978" s="13">
        <f>IF(AND(ISNUMBER(B978),ISNUMBER($B$88),ISNUMBER($D$88)),IF(B978&gt;$D$88,"boven UCL",IF(B978&lt;$B$88,"onder LCL","")),"")</f>
        <v/>
      </c>
      <c r="E978" s="13">
        <f>IF(AND(ISNUMBER(C978),ISNUMBER($B$89),ISNUMBER($D$89)),IF(C978&gt;$D$89,"boven UCL",IF(C978&lt;$B$89,"onder LCL","")),"")</f>
        <v/>
      </c>
      <c r="G978" t="n">
        <v>872</v>
      </c>
      <c r="H978" s="7" t="n"/>
      <c r="I978" s="7" t="n"/>
      <c r="J978" s="11">
        <f>IF(AND(ISNUMBER(H978),ISNUMBER(I978),H978&gt;0,ISNUMBER($B$94)),I978/H978,"")</f>
        <v/>
      </c>
      <c r="K978" s="11">
        <f>IF(AND(ISNUMBER(H978),ISNUMBER(I978),H978&gt;0,ISNUMBER($B$94)),MAX(0,$B$94-3*SQRT($B$94*(1-$B$94)/H978)),"")</f>
        <v/>
      </c>
      <c r="L978" s="11">
        <f>IF(AND(ISNUMBER(H978),ISNUMBER(I978),H978&gt;0,ISNUMBER($B$94)),$B$94+3*SQRT($B$94*(1-$B$94)/H978),"")</f>
        <v/>
      </c>
      <c r="M978" s="13">
        <f>IF(AND(ISNUMBER(J978),ISNUMBER(K978),ISNUMBER(L978)),IF(J978&gt;L978,"boven UCL",IF(J978&lt;K978,"onder LCL","")),"")</f>
        <v/>
      </c>
      <c r="O978" t="n">
        <v>872</v>
      </c>
      <c r="P978" s="7" t="n"/>
      <c r="Q978" s="7" t="n"/>
      <c r="R978" s="11">
        <f>IF(AND(ISNUMBER(P978),ISNUMBER(Q978),P978&gt;0,ISNUMBER($B$100)),Q978/P978,"")</f>
        <v/>
      </c>
      <c r="S978" s="11">
        <f>IF(AND(ISNUMBER(P978),ISNUMBER(Q978),P978&gt;0,ISNUMBER($B$100)),MAX(0,$B$100-3*SQRT($B$100/P978)),"")</f>
        <v/>
      </c>
      <c r="T978" s="11">
        <f>IF(AND(ISNUMBER(P978),ISNUMBER(Q978),P978&gt;0,ISNUMBER($B$100)),$B$100+3*SQRT($B$100/P978),"")</f>
        <v/>
      </c>
      <c r="U978" s="13">
        <f>IF(AND(ISNUMBER(R978),ISNUMBER(S978),ISNUMBER(T978)),IF(R978&gt;T978,"boven UCL",IF(R978&lt;S978,"onder LCL","")),"")</f>
        <v/>
      </c>
    </row>
    <row r="979">
      <c r="A979" t="n">
        <v>873</v>
      </c>
      <c r="B979" s="7" t="n"/>
      <c r="C979" s="11">
        <f>IF(AND(ISNUMBER(B979),ISNUMBER(B978)),ABS(B979-B978),"")</f>
        <v/>
      </c>
      <c r="D979" s="13">
        <f>IF(AND(ISNUMBER(B979),ISNUMBER($B$88),ISNUMBER($D$88)),IF(B979&gt;$D$88,"boven UCL",IF(B979&lt;$B$88,"onder LCL","")),"")</f>
        <v/>
      </c>
      <c r="E979" s="13">
        <f>IF(AND(ISNUMBER(C979),ISNUMBER($B$89),ISNUMBER($D$89)),IF(C979&gt;$D$89,"boven UCL",IF(C979&lt;$B$89,"onder LCL","")),"")</f>
        <v/>
      </c>
      <c r="G979" t="n">
        <v>873</v>
      </c>
      <c r="H979" s="7" t="n"/>
      <c r="I979" s="7" t="n"/>
      <c r="J979" s="11">
        <f>IF(AND(ISNUMBER(H979),ISNUMBER(I979),H979&gt;0,ISNUMBER($B$94)),I979/H979,"")</f>
        <v/>
      </c>
      <c r="K979" s="11">
        <f>IF(AND(ISNUMBER(H979),ISNUMBER(I979),H979&gt;0,ISNUMBER($B$94)),MAX(0,$B$94-3*SQRT($B$94*(1-$B$94)/H979)),"")</f>
        <v/>
      </c>
      <c r="L979" s="11">
        <f>IF(AND(ISNUMBER(H979),ISNUMBER(I979),H979&gt;0,ISNUMBER($B$94)),$B$94+3*SQRT($B$94*(1-$B$94)/H979),"")</f>
        <v/>
      </c>
      <c r="M979" s="13">
        <f>IF(AND(ISNUMBER(J979),ISNUMBER(K979),ISNUMBER(L979)),IF(J979&gt;L979,"boven UCL",IF(J979&lt;K979,"onder LCL","")),"")</f>
        <v/>
      </c>
      <c r="O979" t="n">
        <v>873</v>
      </c>
      <c r="P979" s="7" t="n"/>
      <c r="Q979" s="7" t="n"/>
      <c r="R979" s="11">
        <f>IF(AND(ISNUMBER(P979),ISNUMBER(Q979),P979&gt;0,ISNUMBER($B$100)),Q979/P979,"")</f>
        <v/>
      </c>
      <c r="S979" s="11">
        <f>IF(AND(ISNUMBER(P979),ISNUMBER(Q979),P979&gt;0,ISNUMBER($B$100)),MAX(0,$B$100-3*SQRT($B$100/P979)),"")</f>
        <v/>
      </c>
      <c r="T979" s="11">
        <f>IF(AND(ISNUMBER(P979),ISNUMBER(Q979),P979&gt;0,ISNUMBER($B$100)),$B$100+3*SQRT($B$100/P979),"")</f>
        <v/>
      </c>
      <c r="U979" s="13">
        <f>IF(AND(ISNUMBER(R979),ISNUMBER(S979),ISNUMBER(T979)),IF(R979&gt;T979,"boven UCL",IF(R979&lt;S979,"onder LCL","")),"")</f>
        <v/>
      </c>
    </row>
    <row r="980">
      <c r="A980" t="n">
        <v>874</v>
      </c>
      <c r="B980" s="7" t="n"/>
      <c r="C980" s="11">
        <f>IF(AND(ISNUMBER(B980),ISNUMBER(B979)),ABS(B980-B979),"")</f>
        <v/>
      </c>
      <c r="D980" s="13">
        <f>IF(AND(ISNUMBER(B980),ISNUMBER($B$88),ISNUMBER($D$88)),IF(B980&gt;$D$88,"boven UCL",IF(B980&lt;$B$88,"onder LCL","")),"")</f>
        <v/>
      </c>
      <c r="E980" s="13">
        <f>IF(AND(ISNUMBER(C980),ISNUMBER($B$89),ISNUMBER($D$89)),IF(C980&gt;$D$89,"boven UCL",IF(C980&lt;$B$89,"onder LCL","")),"")</f>
        <v/>
      </c>
      <c r="G980" t="n">
        <v>874</v>
      </c>
      <c r="H980" s="7" t="n"/>
      <c r="I980" s="7" t="n"/>
      <c r="J980" s="11">
        <f>IF(AND(ISNUMBER(H980),ISNUMBER(I980),H980&gt;0,ISNUMBER($B$94)),I980/H980,"")</f>
        <v/>
      </c>
      <c r="K980" s="11">
        <f>IF(AND(ISNUMBER(H980),ISNUMBER(I980),H980&gt;0,ISNUMBER($B$94)),MAX(0,$B$94-3*SQRT($B$94*(1-$B$94)/H980)),"")</f>
        <v/>
      </c>
      <c r="L980" s="11">
        <f>IF(AND(ISNUMBER(H980),ISNUMBER(I980),H980&gt;0,ISNUMBER($B$94)),$B$94+3*SQRT($B$94*(1-$B$94)/H980),"")</f>
        <v/>
      </c>
      <c r="M980" s="13">
        <f>IF(AND(ISNUMBER(J980),ISNUMBER(K980),ISNUMBER(L980)),IF(J980&gt;L980,"boven UCL",IF(J980&lt;K980,"onder LCL","")),"")</f>
        <v/>
      </c>
      <c r="O980" t="n">
        <v>874</v>
      </c>
      <c r="P980" s="7" t="n"/>
      <c r="Q980" s="7" t="n"/>
      <c r="R980" s="11">
        <f>IF(AND(ISNUMBER(P980),ISNUMBER(Q980),P980&gt;0,ISNUMBER($B$100)),Q980/P980,"")</f>
        <v/>
      </c>
      <c r="S980" s="11">
        <f>IF(AND(ISNUMBER(P980),ISNUMBER(Q980),P980&gt;0,ISNUMBER($B$100)),MAX(0,$B$100-3*SQRT($B$100/P980)),"")</f>
        <v/>
      </c>
      <c r="T980" s="11">
        <f>IF(AND(ISNUMBER(P980),ISNUMBER(Q980),P980&gt;0,ISNUMBER($B$100)),$B$100+3*SQRT($B$100/P980),"")</f>
        <v/>
      </c>
      <c r="U980" s="13">
        <f>IF(AND(ISNUMBER(R980),ISNUMBER(S980),ISNUMBER(T980)),IF(R980&gt;T980,"boven UCL",IF(R980&lt;S980,"onder LCL","")),"")</f>
        <v/>
      </c>
    </row>
    <row r="981">
      <c r="A981" t="n">
        <v>875</v>
      </c>
      <c r="B981" s="7" t="n"/>
      <c r="C981" s="11">
        <f>IF(AND(ISNUMBER(B981),ISNUMBER(B980)),ABS(B981-B980),"")</f>
        <v/>
      </c>
      <c r="D981" s="13">
        <f>IF(AND(ISNUMBER(B981),ISNUMBER($B$88),ISNUMBER($D$88)),IF(B981&gt;$D$88,"boven UCL",IF(B981&lt;$B$88,"onder LCL","")),"")</f>
        <v/>
      </c>
      <c r="E981" s="13">
        <f>IF(AND(ISNUMBER(C981),ISNUMBER($B$89),ISNUMBER($D$89)),IF(C981&gt;$D$89,"boven UCL",IF(C981&lt;$B$89,"onder LCL","")),"")</f>
        <v/>
      </c>
      <c r="G981" t="n">
        <v>875</v>
      </c>
      <c r="H981" s="7" t="n"/>
      <c r="I981" s="7" t="n"/>
      <c r="J981" s="11">
        <f>IF(AND(ISNUMBER(H981),ISNUMBER(I981),H981&gt;0,ISNUMBER($B$94)),I981/H981,"")</f>
        <v/>
      </c>
      <c r="K981" s="11">
        <f>IF(AND(ISNUMBER(H981),ISNUMBER(I981),H981&gt;0,ISNUMBER($B$94)),MAX(0,$B$94-3*SQRT($B$94*(1-$B$94)/H981)),"")</f>
        <v/>
      </c>
      <c r="L981" s="11">
        <f>IF(AND(ISNUMBER(H981),ISNUMBER(I981),H981&gt;0,ISNUMBER($B$94)),$B$94+3*SQRT($B$94*(1-$B$94)/H981),"")</f>
        <v/>
      </c>
      <c r="M981" s="13">
        <f>IF(AND(ISNUMBER(J981),ISNUMBER(K981),ISNUMBER(L981)),IF(J981&gt;L981,"boven UCL",IF(J981&lt;K981,"onder LCL","")),"")</f>
        <v/>
      </c>
      <c r="O981" t="n">
        <v>875</v>
      </c>
      <c r="P981" s="7" t="n"/>
      <c r="Q981" s="7" t="n"/>
      <c r="R981" s="11">
        <f>IF(AND(ISNUMBER(P981),ISNUMBER(Q981),P981&gt;0,ISNUMBER($B$100)),Q981/P981,"")</f>
        <v/>
      </c>
      <c r="S981" s="11">
        <f>IF(AND(ISNUMBER(P981),ISNUMBER(Q981),P981&gt;0,ISNUMBER($B$100)),MAX(0,$B$100-3*SQRT($B$100/P981)),"")</f>
        <v/>
      </c>
      <c r="T981" s="11">
        <f>IF(AND(ISNUMBER(P981),ISNUMBER(Q981),P981&gt;0,ISNUMBER($B$100)),$B$100+3*SQRT($B$100/P981),"")</f>
        <v/>
      </c>
      <c r="U981" s="13">
        <f>IF(AND(ISNUMBER(R981),ISNUMBER(S981),ISNUMBER(T981)),IF(R981&gt;T981,"boven UCL",IF(R981&lt;S981,"onder LCL","")),"")</f>
        <v/>
      </c>
    </row>
    <row r="982">
      <c r="A982" t="n">
        <v>876</v>
      </c>
      <c r="B982" s="7" t="n"/>
      <c r="C982" s="11">
        <f>IF(AND(ISNUMBER(B982),ISNUMBER(B981)),ABS(B982-B981),"")</f>
        <v/>
      </c>
      <c r="D982" s="13">
        <f>IF(AND(ISNUMBER(B982),ISNUMBER($B$88),ISNUMBER($D$88)),IF(B982&gt;$D$88,"boven UCL",IF(B982&lt;$B$88,"onder LCL","")),"")</f>
        <v/>
      </c>
      <c r="E982" s="13">
        <f>IF(AND(ISNUMBER(C982),ISNUMBER($B$89),ISNUMBER($D$89)),IF(C982&gt;$D$89,"boven UCL",IF(C982&lt;$B$89,"onder LCL","")),"")</f>
        <v/>
      </c>
      <c r="G982" t="n">
        <v>876</v>
      </c>
      <c r="H982" s="7" t="n"/>
      <c r="I982" s="7" t="n"/>
      <c r="J982" s="11">
        <f>IF(AND(ISNUMBER(H982),ISNUMBER(I982),H982&gt;0,ISNUMBER($B$94)),I982/H982,"")</f>
        <v/>
      </c>
      <c r="K982" s="11">
        <f>IF(AND(ISNUMBER(H982),ISNUMBER(I982),H982&gt;0,ISNUMBER($B$94)),MAX(0,$B$94-3*SQRT($B$94*(1-$B$94)/H982)),"")</f>
        <v/>
      </c>
      <c r="L982" s="11">
        <f>IF(AND(ISNUMBER(H982),ISNUMBER(I982),H982&gt;0,ISNUMBER($B$94)),$B$94+3*SQRT($B$94*(1-$B$94)/H982),"")</f>
        <v/>
      </c>
      <c r="M982" s="13">
        <f>IF(AND(ISNUMBER(J982),ISNUMBER(K982),ISNUMBER(L982)),IF(J982&gt;L982,"boven UCL",IF(J982&lt;K982,"onder LCL","")),"")</f>
        <v/>
      </c>
      <c r="O982" t="n">
        <v>876</v>
      </c>
      <c r="P982" s="7" t="n"/>
      <c r="Q982" s="7" t="n"/>
      <c r="R982" s="11">
        <f>IF(AND(ISNUMBER(P982),ISNUMBER(Q982),P982&gt;0,ISNUMBER($B$100)),Q982/P982,"")</f>
        <v/>
      </c>
      <c r="S982" s="11">
        <f>IF(AND(ISNUMBER(P982),ISNUMBER(Q982),P982&gt;0,ISNUMBER($B$100)),MAX(0,$B$100-3*SQRT($B$100/P982)),"")</f>
        <v/>
      </c>
      <c r="T982" s="11">
        <f>IF(AND(ISNUMBER(P982),ISNUMBER(Q982),P982&gt;0,ISNUMBER($B$100)),$B$100+3*SQRT($B$100/P982),"")</f>
        <v/>
      </c>
      <c r="U982" s="13">
        <f>IF(AND(ISNUMBER(R982),ISNUMBER(S982),ISNUMBER(T982)),IF(R982&gt;T982,"boven UCL",IF(R982&lt;S982,"onder LCL","")),"")</f>
        <v/>
      </c>
    </row>
    <row r="983">
      <c r="A983" t="n">
        <v>877</v>
      </c>
      <c r="B983" s="7" t="n"/>
      <c r="C983" s="11">
        <f>IF(AND(ISNUMBER(B983),ISNUMBER(B982)),ABS(B983-B982),"")</f>
        <v/>
      </c>
      <c r="D983" s="13">
        <f>IF(AND(ISNUMBER(B983),ISNUMBER($B$88),ISNUMBER($D$88)),IF(B983&gt;$D$88,"boven UCL",IF(B983&lt;$B$88,"onder LCL","")),"")</f>
        <v/>
      </c>
      <c r="E983" s="13">
        <f>IF(AND(ISNUMBER(C983),ISNUMBER($B$89),ISNUMBER($D$89)),IF(C983&gt;$D$89,"boven UCL",IF(C983&lt;$B$89,"onder LCL","")),"")</f>
        <v/>
      </c>
      <c r="G983" t="n">
        <v>877</v>
      </c>
      <c r="H983" s="7" t="n"/>
      <c r="I983" s="7" t="n"/>
      <c r="J983" s="11">
        <f>IF(AND(ISNUMBER(H983),ISNUMBER(I983),H983&gt;0,ISNUMBER($B$94)),I983/H983,"")</f>
        <v/>
      </c>
      <c r="K983" s="11">
        <f>IF(AND(ISNUMBER(H983),ISNUMBER(I983),H983&gt;0,ISNUMBER($B$94)),MAX(0,$B$94-3*SQRT($B$94*(1-$B$94)/H983)),"")</f>
        <v/>
      </c>
      <c r="L983" s="11">
        <f>IF(AND(ISNUMBER(H983),ISNUMBER(I983),H983&gt;0,ISNUMBER($B$94)),$B$94+3*SQRT($B$94*(1-$B$94)/H983),"")</f>
        <v/>
      </c>
      <c r="M983" s="13">
        <f>IF(AND(ISNUMBER(J983),ISNUMBER(K983),ISNUMBER(L983)),IF(J983&gt;L983,"boven UCL",IF(J983&lt;K983,"onder LCL","")),"")</f>
        <v/>
      </c>
      <c r="O983" t="n">
        <v>877</v>
      </c>
      <c r="P983" s="7" t="n"/>
      <c r="Q983" s="7" t="n"/>
      <c r="R983" s="11">
        <f>IF(AND(ISNUMBER(P983),ISNUMBER(Q983),P983&gt;0,ISNUMBER($B$100)),Q983/P983,"")</f>
        <v/>
      </c>
      <c r="S983" s="11">
        <f>IF(AND(ISNUMBER(P983),ISNUMBER(Q983),P983&gt;0,ISNUMBER($B$100)),MAX(0,$B$100-3*SQRT($B$100/P983)),"")</f>
        <v/>
      </c>
      <c r="T983" s="11">
        <f>IF(AND(ISNUMBER(P983),ISNUMBER(Q983),P983&gt;0,ISNUMBER($B$100)),$B$100+3*SQRT($B$100/P983),"")</f>
        <v/>
      </c>
      <c r="U983" s="13">
        <f>IF(AND(ISNUMBER(R983),ISNUMBER(S983),ISNUMBER(T983)),IF(R983&gt;T983,"boven UCL",IF(R983&lt;S983,"onder LCL","")),"")</f>
        <v/>
      </c>
    </row>
    <row r="984">
      <c r="A984" t="n">
        <v>878</v>
      </c>
      <c r="B984" s="7" t="n"/>
      <c r="C984" s="11">
        <f>IF(AND(ISNUMBER(B984),ISNUMBER(B983)),ABS(B984-B983),"")</f>
        <v/>
      </c>
      <c r="D984" s="13">
        <f>IF(AND(ISNUMBER(B984),ISNUMBER($B$88),ISNUMBER($D$88)),IF(B984&gt;$D$88,"boven UCL",IF(B984&lt;$B$88,"onder LCL","")),"")</f>
        <v/>
      </c>
      <c r="E984" s="13">
        <f>IF(AND(ISNUMBER(C984),ISNUMBER($B$89),ISNUMBER($D$89)),IF(C984&gt;$D$89,"boven UCL",IF(C984&lt;$B$89,"onder LCL","")),"")</f>
        <v/>
      </c>
      <c r="G984" t="n">
        <v>878</v>
      </c>
      <c r="H984" s="7" t="n"/>
      <c r="I984" s="7" t="n"/>
      <c r="J984" s="11">
        <f>IF(AND(ISNUMBER(H984),ISNUMBER(I984),H984&gt;0,ISNUMBER($B$94)),I984/H984,"")</f>
        <v/>
      </c>
      <c r="K984" s="11">
        <f>IF(AND(ISNUMBER(H984),ISNUMBER(I984),H984&gt;0,ISNUMBER($B$94)),MAX(0,$B$94-3*SQRT($B$94*(1-$B$94)/H984)),"")</f>
        <v/>
      </c>
      <c r="L984" s="11">
        <f>IF(AND(ISNUMBER(H984),ISNUMBER(I984),H984&gt;0,ISNUMBER($B$94)),$B$94+3*SQRT($B$94*(1-$B$94)/H984),"")</f>
        <v/>
      </c>
      <c r="M984" s="13">
        <f>IF(AND(ISNUMBER(J984),ISNUMBER(K984),ISNUMBER(L984)),IF(J984&gt;L984,"boven UCL",IF(J984&lt;K984,"onder LCL","")),"")</f>
        <v/>
      </c>
      <c r="O984" t="n">
        <v>878</v>
      </c>
      <c r="P984" s="7" t="n"/>
      <c r="Q984" s="7" t="n"/>
      <c r="R984" s="11">
        <f>IF(AND(ISNUMBER(P984),ISNUMBER(Q984),P984&gt;0,ISNUMBER($B$100)),Q984/P984,"")</f>
        <v/>
      </c>
      <c r="S984" s="11">
        <f>IF(AND(ISNUMBER(P984),ISNUMBER(Q984),P984&gt;0,ISNUMBER($B$100)),MAX(0,$B$100-3*SQRT($B$100/P984)),"")</f>
        <v/>
      </c>
      <c r="T984" s="11">
        <f>IF(AND(ISNUMBER(P984),ISNUMBER(Q984),P984&gt;0,ISNUMBER($B$100)),$B$100+3*SQRT($B$100/P984),"")</f>
        <v/>
      </c>
      <c r="U984" s="13">
        <f>IF(AND(ISNUMBER(R984),ISNUMBER(S984),ISNUMBER(T984)),IF(R984&gt;T984,"boven UCL",IF(R984&lt;S984,"onder LCL","")),"")</f>
        <v/>
      </c>
    </row>
    <row r="985">
      <c r="A985" t="n">
        <v>879</v>
      </c>
      <c r="B985" s="7" t="n"/>
      <c r="C985" s="11">
        <f>IF(AND(ISNUMBER(B985),ISNUMBER(B984)),ABS(B985-B984),"")</f>
        <v/>
      </c>
      <c r="D985" s="13">
        <f>IF(AND(ISNUMBER(B985),ISNUMBER($B$88),ISNUMBER($D$88)),IF(B985&gt;$D$88,"boven UCL",IF(B985&lt;$B$88,"onder LCL","")),"")</f>
        <v/>
      </c>
      <c r="E985" s="13">
        <f>IF(AND(ISNUMBER(C985),ISNUMBER($B$89),ISNUMBER($D$89)),IF(C985&gt;$D$89,"boven UCL",IF(C985&lt;$B$89,"onder LCL","")),"")</f>
        <v/>
      </c>
      <c r="G985" t="n">
        <v>879</v>
      </c>
      <c r="H985" s="7" t="n"/>
      <c r="I985" s="7" t="n"/>
      <c r="J985" s="11">
        <f>IF(AND(ISNUMBER(H985),ISNUMBER(I985),H985&gt;0,ISNUMBER($B$94)),I985/H985,"")</f>
        <v/>
      </c>
      <c r="K985" s="11">
        <f>IF(AND(ISNUMBER(H985),ISNUMBER(I985),H985&gt;0,ISNUMBER($B$94)),MAX(0,$B$94-3*SQRT($B$94*(1-$B$94)/H985)),"")</f>
        <v/>
      </c>
      <c r="L985" s="11">
        <f>IF(AND(ISNUMBER(H985),ISNUMBER(I985),H985&gt;0,ISNUMBER($B$94)),$B$94+3*SQRT($B$94*(1-$B$94)/H985),"")</f>
        <v/>
      </c>
      <c r="M985" s="13">
        <f>IF(AND(ISNUMBER(J985),ISNUMBER(K985),ISNUMBER(L985)),IF(J985&gt;L985,"boven UCL",IF(J985&lt;K985,"onder LCL","")),"")</f>
        <v/>
      </c>
      <c r="O985" t="n">
        <v>879</v>
      </c>
      <c r="P985" s="7" t="n"/>
      <c r="Q985" s="7" t="n"/>
      <c r="R985" s="11">
        <f>IF(AND(ISNUMBER(P985),ISNUMBER(Q985),P985&gt;0,ISNUMBER($B$100)),Q985/P985,"")</f>
        <v/>
      </c>
      <c r="S985" s="11">
        <f>IF(AND(ISNUMBER(P985),ISNUMBER(Q985),P985&gt;0,ISNUMBER($B$100)),MAX(0,$B$100-3*SQRT($B$100/P985)),"")</f>
        <v/>
      </c>
      <c r="T985" s="11">
        <f>IF(AND(ISNUMBER(P985),ISNUMBER(Q985),P985&gt;0,ISNUMBER($B$100)),$B$100+3*SQRT($B$100/P985),"")</f>
        <v/>
      </c>
      <c r="U985" s="13">
        <f>IF(AND(ISNUMBER(R985),ISNUMBER(S985),ISNUMBER(T985)),IF(R985&gt;T985,"boven UCL",IF(R985&lt;S985,"onder LCL","")),"")</f>
        <v/>
      </c>
    </row>
    <row r="986">
      <c r="A986" t="n">
        <v>880</v>
      </c>
      <c r="B986" s="7" t="n"/>
      <c r="C986" s="11">
        <f>IF(AND(ISNUMBER(B986),ISNUMBER(B985)),ABS(B986-B985),"")</f>
        <v/>
      </c>
      <c r="D986" s="13">
        <f>IF(AND(ISNUMBER(B986),ISNUMBER($B$88),ISNUMBER($D$88)),IF(B986&gt;$D$88,"boven UCL",IF(B986&lt;$B$88,"onder LCL","")),"")</f>
        <v/>
      </c>
      <c r="E986" s="13">
        <f>IF(AND(ISNUMBER(C986),ISNUMBER($B$89),ISNUMBER($D$89)),IF(C986&gt;$D$89,"boven UCL",IF(C986&lt;$B$89,"onder LCL","")),"")</f>
        <v/>
      </c>
      <c r="G986" t="n">
        <v>880</v>
      </c>
      <c r="H986" s="7" t="n"/>
      <c r="I986" s="7" t="n"/>
      <c r="J986" s="11">
        <f>IF(AND(ISNUMBER(H986),ISNUMBER(I986),H986&gt;0,ISNUMBER($B$94)),I986/H986,"")</f>
        <v/>
      </c>
      <c r="K986" s="11">
        <f>IF(AND(ISNUMBER(H986),ISNUMBER(I986),H986&gt;0,ISNUMBER($B$94)),MAX(0,$B$94-3*SQRT($B$94*(1-$B$94)/H986)),"")</f>
        <v/>
      </c>
      <c r="L986" s="11">
        <f>IF(AND(ISNUMBER(H986),ISNUMBER(I986),H986&gt;0,ISNUMBER($B$94)),$B$94+3*SQRT($B$94*(1-$B$94)/H986),"")</f>
        <v/>
      </c>
      <c r="M986" s="13">
        <f>IF(AND(ISNUMBER(J986),ISNUMBER(K986),ISNUMBER(L986)),IF(J986&gt;L986,"boven UCL",IF(J986&lt;K986,"onder LCL","")),"")</f>
        <v/>
      </c>
      <c r="O986" t="n">
        <v>880</v>
      </c>
      <c r="P986" s="7" t="n"/>
      <c r="Q986" s="7" t="n"/>
      <c r="R986" s="11">
        <f>IF(AND(ISNUMBER(P986),ISNUMBER(Q986),P986&gt;0,ISNUMBER($B$100)),Q986/P986,"")</f>
        <v/>
      </c>
      <c r="S986" s="11">
        <f>IF(AND(ISNUMBER(P986),ISNUMBER(Q986),P986&gt;0,ISNUMBER($B$100)),MAX(0,$B$100-3*SQRT($B$100/P986)),"")</f>
        <v/>
      </c>
      <c r="T986" s="11">
        <f>IF(AND(ISNUMBER(P986),ISNUMBER(Q986),P986&gt;0,ISNUMBER($B$100)),$B$100+3*SQRT($B$100/P986),"")</f>
        <v/>
      </c>
      <c r="U986" s="13">
        <f>IF(AND(ISNUMBER(R986),ISNUMBER(S986),ISNUMBER(T986)),IF(R986&gt;T986,"boven UCL",IF(R986&lt;S986,"onder LCL","")),"")</f>
        <v/>
      </c>
    </row>
    <row r="987">
      <c r="A987" t="n">
        <v>881</v>
      </c>
      <c r="B987" s="7" t="n"/>
      <c r="C987" s="11">
        <f>IF(AND(ISNUMBER(B987),ISNUMBER(B986)),ABS(B987-B986),"")</f>
        <v/>
      </c>
      <c r="D987" s="13">
        <f>IF(AND(ISNUMBER(B987),ISNUMBER($B$88),ISNUMBER($D$88)),IF(B987&gt;$D$88,"boven UCL",IF(B987&lt;$B$88,"onder LCL","")),"")</f>
        <v/>
      </c>
      <c r="E987" s="13">
        <f>IF(AND(ISNUMBER(C987),ISNUMBER($B$89),ISNUMBER($D$89)),IF(C987&gt;$D$89,"boven UCL",IF(C987&lt;$B$89,"onder LCL","")),"")</f>
        <v/>
      </c>
      <c r="G987" t="n">
        <v>881</v>
      </c>
      <c r="H987" s="7" t="n"/>
      <c r="I987" s="7" t="n"/>
      <c r="J987" s="11">
        <f>IF(AND(ISNUMBER(H987),ISNUMBER(I987),H987&gt;0,ISNUMBER($B$94)),I987/H987,"")</f>
        <v/>
      </c>
      <c r="K987" s="11">
        <f>IF(AND(ISNUMBER(H987),ISNUMBER(I987),H987&gt;0,ISNUMBER($B$94)),MAX(0,$B$94-3*SQRT($B$94*(1-$B$94)/H987)),"")</f>
        <v/>
      </c>
      <c r="L987" s="11">
        <f>IF(AND(ISNUMBER(H987),ISNUMBER(I987),H987&gt;0,ISNUMBER($B$94)),$B$94+3*SQRT($B$94*(1-$B$94)/H987),"")</f>
        <v/>
      </c>
      <c r="M987" s="13">
        <f>IF(AND(ISNUMBER(J987),ISNUMBER(K987),ISNUMBER(L987)),IF(J987&gt;L987,"boven UCL",IF(J987&lt;K987,"onder LCL","")),"")</f>
        <v/>
      </c>
      <c r="O987" t="n">
        <v>881</v>
      </c>
      <c r="P987" s="7" t="n"/>
      <c r="Q987" s="7" t="n"/>
      <c r="R987" s="11">
        <f>IF(AND(ISNUMBER(P987),ISNUMBER(Q987),P987&gt;0,ISNUMBER($B$100)),Q987/P987,"")</f>
        <v/>
      </c>
      <c r="S987" s="11">
        <f>IF(AND(ISNUMBER(P987),ISNUMBER(Q987),P987&gt;0,ISNUMBER($B$100)),MAX(0,$B$100-3*SQRT($B$100/P987)),"")</f>
        <v/>
      </c>
      <c r="T987" s="11">
        <f>IF(AND(ISNUMBER(P987),ISNUMBER(Q987),P987&gt;0,ISNUMBER($B$100)),$B$100+3*SQRT($B$100/P987),"")</f>
        <v/>
      </c>
      <c r="U987" s="13">
        <f>IF(AND(ISNUMBER(R987),ISNUMBER(S987),ISNUMBER(T987)),IF(R987&gt;T987,"boven UCL",IF(R987&lt;S987,"onder LCL","")),"")</f>
        <v/>
      </c>
    </row>
    <row r="988">
      <c r="A988" t="n">
        <v>882</v>
      </c>
      <c r="B988" s="7" t="n"/>
      <c r="C988" s="11">
        <f>IF(AND(ISNUMBER(B988),ISNUMBER(B987)),ABS(B988-B987),"")</f>
        <v/>
      </c>
      <c r="D988" s="13">
        <f>IF(AND(ISNUMBER(B988),ISNUMBER($B$88),ISNUMBER($D$88)),IF(B988&gt;$D$88,"boven UCL",IF(B988&lt;$B$88,"onder LCL","")),"")</f>
        <v/>
      </c>
      <c r="E988" s="13">
        <f>IF(AND(ISNUMBER(C988),ISNUMBER($B$89),ISNUMBER($D$89)),IF(C988&gt;$D$89,"boven UCL",IF(C988&lt;$B$89,"onder LCL","")),"")</f>
        <v/>
      </c>
      <c r="G988" t="n">
        <v>882</v>
      </c>
      <c r="H988" s="7" t="n"/>
      <c r="I988" s="7" t="n"/>
      <c r="J988" s="11">
        <f>IF(AND(ISNUMBER(H988),ISNUMBER(I988),H988&gt;0,ISNUMBER($B$94)),I988/H988,"")</f>
        <v/>
      </c>
      <c r="K988" s="11">
        <f>IF(AND(ISNUMBER(H988),ISNUMBER(I988),H988&gt;0,ISNUMBER($B$94)),MAX(0,$B$94-3*SQRT($B$94*(1-$B$94)/H988)),"")</f>
        <v/>
      </c>
      <c r="L988" s="11">
        <f>IF(AND(ISNUMBER(H988),ISNUMBER(I988),H988&gt;0,ISNUMBER($B$94)),$B$94+3*SQRT($B$94*(1-$B$94)/H988),"")</f>
        <v/>
      </c>
      <c r="M988" s="13">
        <f>IF(AND(ISNUMBER(J988),ISNUMBER(K988),ISNUMBER(L988)),IF(J988&gt;L988,"boven UCL",IF(J988&lt;K988,"onder LCL","")),"")</f>
        <v/>
      </c>
      <c r="O988" t="n">
        <v>882</v>
      </c>
      <c r="P988" s="7" t="n"/>
      <c r="Q988" s="7" t="n"/>
      <c r="R988" s="11">
        <f>IF(AND(ISNUMBER(P988),ISNUMBER(Q988),P988&gt;0,ISNUMBER($B$100)),Q988/P988,"")</f>
        <v/>
      </c>
      <c r="S988" s="11">
        <f>IF(AND(ISNUMBER(P988),ISNUMBER(Q988),P988&gt;0,ISNUMBER($B$100)),MAX(0,$B$100-3*SQRT($B$100/P988)),"")</f>
        <v/>
      </c>
      <c r="T988" s="11">
        <f>IF(AND(ISNUMBER(P988),ISNUMBER(Q988),P988&gt;0,ISNUMBER($B$100)),$B$100+3*SQRT($B$100/P988),"")</f>
        <v/>
      </c>
      <c r="U988" s="13">
        <f>IF(AND(ISNUMBER(R988),ISNUMBER(S988),ISNUMBER(T988)),IF(R988&gt;T988,"boven UCL",IF(R988&lt;S988,"onder LCL","")),"")</f>
        <v/>
      </c>
    </row>
    <row r="989">
      <c r="A989" t="n">
        <v>883</v>
      </c>
      <c r="B989" s="7" t="n"/>
      <c r="C989" s="11">
        <f>IF(AND(ISNUMBER(B989),ISNUMBER(B988)),ABS(B989-B988),"")</f>
        <v/>
      </c>
      <c r="D989" s="13">
        <f>IF(AND(ISNUMBER(B989),ISNUMBER($B$88),ISNUMBER($D$88)),IF(B989&gt;$D$88,"boven UCL",IF(B989&lt;$B$88,"onder LCL","")),"")</f>
        <v/>
      </c>
      <c r="E989" s="13">
        <f>IF(AND(ISNUMBER(C989),ISNUMBER($B$89),ISNUMBER($D$89)),IF(C989&gt;$D$89,"boven UCL",IF(C989&lt;$B$89,"onder LCL","")),"")</f>
        <v/>
      </c>
      <c r="G989" t="n">
        <v>883</v>
      </c>
      <c r="H989" s="7" t="n"/>
      <c r="I989" s="7" t="n"/>
      <c r="J989" s="11">
        <f>IF(AND(ISNUMBER(H989),ISNUMBER(I989),H989&gt;0,ISNUMBER($B$94)),I989/H989,"")</f>
        <v/>
      </c>
      <c r="K989" s="11">
        <f>IF(AND(ISNUMBER(H989),ISNUMBER(I989),H989&gt;0,ISNUMBER($B$94)),MAX(0,$B$94-3*SQRT($B$94*(1-$B$94)/H989)),"")</f>
        <v/>
      </c>
      <c r="L989" s="11">
        <f>IF(AND(ISNUMBER(H989),ISNUMBER(I989),H989&gt;0,ISNUMBER($B$94)),$B$94+3*SQRT($B$94*(1-$B$94)/H989),"")</f>
        <v/>
      </c>
      <c r="M989" s="13">
        <f>IF(AND(ISNUMBER(J989),ISNUMBER(K989),ISNUMBER(L989)),IF(J989&gt;L989,"boven UCL",IF(J989&lt;K989,"onder LCL","")),"")</f>
        <v/>
      </c>
      <c r="O989" t="n">
        <v>883</v>
      </c>
      <c r="P989" s="7" t="n"/>
      <c r="Q989" s="7" t="n"/>
      <c r="R989" s="11">
        <f>IF(AND(ISNUMBER(P989),ISNUMBER(Q989),P989&gt;0,ISNUMBER($B$100)),Q989/P989,"")</f>
        <v/>
      </c>
      <c r="S989" s="11">
        <f>IF(AND(ISNUMBER(P989),ISNUMBER(Q989),P989&gt;0,ISNUMBER($B$100)),MAX(0,$B$100-3*SQRT($B$100/P989)),"")</f>
        <v/>
      </c>
      <c r="T989" s="11">
        <f>IF(AND(ISNUMBER(P989),ISNUMBER(Q989),P989&gt;0,ISNUMBER($B$100)),$B$100+3*SQRT($B$100/P989),"")</f>
        <v/>
      </c>
      <c r="U989" s="13">
        <f>IF(AND(ISNUMBER(R989),ISNUMBER(S989),ISNUMBER(T989)),IF(R989&gt;T989,"boven UCL",IF(R989&lt;S989,"onder LCL","")),"")</f>
        <v/>
      </c>
    </row>
    <row r="990">
      <c r="A990" t="n">
        <v>884</v>
      </c>
      <c r="B990" s="7" t="n"/>
      <c r="C990" s="11">
        <f>IF(AND(ISNUMBER(B990),ISNUMBER(B989)),ABS(B990-B989),"")</f>
        <v/>
      </c>
      <c r="D990" s="13">
        <f>IF(AND(ISNUMBER(B990),ISNUMBER($B$88),ISNUMBER($D$88)),IF(B990&gt;$D$88,"boven UCL",IF(B990&lt;$B$88,"onder LCL","")),"")</f>
        <v/>
      </c>
      <c r="E990" s="13">
        <f>IF(AND(ISNUMBER(C990),ISNUMBER($B$89),ISNUMBER($D$89)),IF(C990&gt;$D$89,"boven UCL",IF(C990&lt;$B$89,"onder LCL","")),"")</f>
        <v/>
      </c>
      <c r="G990" t="n">
        <v>884</v>
      </c>
      <c r="H990" s="7" t="n"/>
      <c r="I990" s="7" t="n"/>
      <c r="J990" s="11">
        <f>IF(AND(ISNUMBER(H990),ISNUMBER(I990),H990&gt;0,ISNUMBER($B$94)),I990/H990,"")</f>
        <v/>
      </c>
      <c r="K990" s="11">
        <f>IF(AND(ISNUMBER(H990),ISNUMBER(I990),H990&gt;0,ISNUMBER($B$94)),MAX(0,$B$94-3*SQRT($B$94*(1-$B$94)/H990)),"")</f>
        <v/>
      </c>
      <c r="L990" s="11">
        <f>IF(AND(ISNUMBER(H990),ISNUMBER(I990),H990&gt;0,ISNUMBER($B$94)),$B$94+3*SQRT($B$94*(1-$B$94)/H990),"")</f>
        <v/>
      </c>
      <c r="M990" s="13">
        <f>IF(AND(ISNUMBER(J990),ISNUMBER(K990),ISNUMBER(L990)),IF(J990&gt;L990,"boven UCL",IF(J990&lt;K990,"onder LCL","")),"")</f>
        <v/>
      </c>
      <c r="O990" t="n">
        <v>884</v>
      </c>
      <c r="P990" s="7" t="n"/>
      <c r="Q990" s="7" t="n"/>
      <c r="R990" s="11">
        <f>IF(AND(ISNUMBER(P990),ISNUMBER(Q990),P990&gt;0,ISNUMBER($B$100)),Q990/P990,"")</f>
        <v/>
      </c>
      <c r="S990" s="11">
        <f>IF(AND(ISNUMBER(P990),ISNUMBER(Q990),P990&gt;0,ISNUMBER($B$100)),MAX(0,$B$100-3*SQRT($B$100/P990)),"")</f>
        <v/>
      </c>
      <c r="T990" s="11">
        <f>IF(AND(ISNUMBER(P990),ISNUMBER(Q990),P990&gt;0,ISNUMBER($B$100)),$B$100+3*SQRT($B$100/P990),"")</f>
        <v/>
      </c>
      <c r="U990" s="13">
        <f>IF(AND(ISNUMBER(R990),ISNUMBER(S990),ISNUMBER(T990)),IF(R990&gt;T990,"boven UCL",IF(R990&lt;S990,"onder LCL","")),"")</f>
        <v/>
      </c>
    </row>
    <row r="991">
      <c r="A991" t="n">
        <v>885</v>
      </c>
      <c r="B991" s="7" t="n"/>
      <c r="C991" s="11">
        <f>IF(AND(ISNUMBER(B991),ISNUMBER(B990)),ABS(B991-B990),"")</f>
        <v/>
      </c>
      <c r="D991" s="13">
        <f>IF(AND(ISNUMBER(B991),ISNUMBER($B$88),ISNUMBER($D$88)),IF(B991&gt;$D$88,"boven UCL",IF(B991&lt;$B$88,"onder LCL","")),"")</f>
        <v/>
      </c>
      <c r="E991" s="13">
        <f>IF(AND(ISNUMBER(C991),ISNUMBER($B$89),ISNUMBER($D$89)),IF(C991&gt;$D$89,"boven UCL",IF(C991&lt;$B$89,"onder LCL","")),"")</f>
        <v/>
      </c>
      <c r="G991" t="n">
        <v>885</v>
      </c>
      <c r="H991" s="7" t="n"/>
      <c r="I991" s="7" t="n"/>
      <c r="J991" s="11">
        <f>IF(AND(ISNUMBER(H991),ISNUMBER(I991),H991&gt;0,ISNUMBER($B$94)),I991/H991,"")</f>
        <v/>
      </c>
      <c r="K991" s="11">
        <f>IF(AND(ISNUMBER(H991),ISNUMBER(I991),H991&gt;0,ISNUMBER($B$94)),MAX(0,$B$94-3*SQRT($B$94*(1-$B$94)/H991)),"")</f>
        <v/>
      </c>
      <c r="L991" s="11">
        <f>IF(AND(ISNUMBER(H991),ISNUMBER(I991),H991&gt;0,ISNUMBER($B$94)),$B$94+3*SQRT($B$94*(1-$B$94)/H991),"")</f>
        <v/>
      </c>
      <c r="M991" s="13">
        <f>IF(AND(ISNUMBER(J991),ISNUMBER(K991),ISNUMBER(L991)),IF(J991&gt;L991,"boven UCL",IF(J991&lt;K991,"onder LCL","")),"")</f>
        <v/>
      </c>
      <c r="O991" t="n">
        <v>885</v>
      </c>
      <c r="P991" s="7" t="n"/>
      <c r="Q991" s="7" t="n"/>
      <c r="R991" s="11">
        <f>IF(AND(ISNUMBER(P991),ISNUMBER(Q991),P991&gt;0,ISNUMBER($B$100)),Q991/P991,"")</f>
        <v/>
      </c>
      <c r="S991" s="11">
        <f>IF(AND(ISNUMBER(P991),ISNUMBER(Q991),P991&gt;0,ISNUMBER($B$100)),MAX(0,$B$100-3*SQRT($B$100/P991)),"")</f>
        <v/>
      </c>
      <c r="T991" s="11">
        <f>IF(AND(ISNUMBER(P991),ISNUMBER(Q991),P991&gt;0,ISNUMBER($B$100)),$B$100+3*SQRT($B$100/P991),"")</f>
        <v/>
      </c>
      <c r="U991" s="13">
        <f>IF(AND(ISNUMBER(R991),ISNUMBER(S991),ISNUMBER(T991)),IF(R991&gt;T991,"boven UCL",IF(R991&lt;S991,"onder LCL","")),"")</f>
        <v/>
      </c>
    </row>
    <row r="992">
      <c r="A992" t="n">
        <v>886</v>
      </c>
      <c r="B992" s="7" t="n"/>
      <c r="C992" s="11">
        <f>IF(AND(ISNUMBER(B992),ISNUMBER(B991)),ABS(B992-B991),"")</f>
        <v/>
      </c>
      <c r="D992" s="13">
        <f>IF(AND(ISNUMBER(B992),ISNUMBER($B$88),ISNUMBER($D$88)),IF(B992&gt;$D$88,"boven UCL",IF(B992&lt;$B$88,"onder LCL","")),"")</f>
        <v/>
      </c>
      <c r="E992" s="13">
        <f>IF(AND(ISNUMBER(C992),ISNUMBER($B$89),ISNUMBER($D$89)),IF(C992&gt;$D$89,"boven UCL",IF(C992&lt;$B$89,"onder LCL","")),"")</f>
        <v/>
      </c>
      <c r="G992" t="n">
        <v>886</v>
      </c>
      <c r="H992" s="7" t="n"/>
      <c r="I992" s="7" t="n"/>
      <c r="J992" s="11">
        <f>IF(AND(ISNUMBER(H992),ISNUMBER(I992),H992&gt;0,ISNUMBER($B$94)),I992/H992,"")</f>
        <v/>
      </c>
      <c r="K992" s="11">
        <f>IF(AND(ISNUMBER(H992),ISNUMBER(I992),H992&gt;0,ISNUMBER($B$94)),MAX(0,$B$94-3*SQRT($B$94*(1-$B$94)/H992)),"")</f>
        <v/>
      </c>
      <c r="L992" s="11">
        <f>IF(AND(ISNUMBER(H992),ISNUMBER(I992),H992&gt;0,ISNUMBER($B$94)),$B$94+3*SQRT($B$94*(1-$B$94)/H992),"")</f>
        <v/>
      </c>
      <c r="M992" s="13">
        <f>IF(AND(ISNUMBER(J992),ISNUMBER(K992),ISNUMBER(L992)),IF(J992&gt;L992,"boven UCL",IF(J992&lt;K992,"onder LCL","")),"")</f>
        <v/>
      </c>
      <c r="O992" t="n">
        <v>886</v>
      </c>
      <c r="P992" s="7" t="n"/>
      <c r="Q992" s="7" t="n"/>
      <c r="R992" s="11">
        <f>IF(AND(ISNUMBER(P992),ISNUMBER(Q992),P992&gt;0,ISNUMBER($B$100)),Q992/P992,"")</f>
        <v/>
      </c>
      <c r="S992" s="11">
        <f>IF(AND(ISNUMBER(P992),ISNUMBER(Q992),P992&gt;0,ISNUMBER($B$100)),MAX(0,$B$100-3*SQRT($B$100/P992)),"")</f>
        <v/>
      </c>
      <c r="T992" s="11">
        <f>IF(AND(ISNUMBER(P992),ISNUMBER(Q992),P992&gt;0,ISNUMBER($B$100)),$B$100+3*SQRT($B$100/P992),"")</f>
        <v/>
      </c>
      <c r="U992" s="13">
        <f>IF(AND(ISNUMBER(R992),ISNUMBER(S992),ISNUMBER(T992)),IF(R992&gt;T992,"boven UCL",IF(R992&lt;S992,"onder LCL","")),"")</f>
        <v/>
      </c>
    </row>
    <row r="993">
      <c r="A993" t="n">
        <v>887</v>
      </c>
      <c r="B993" s="7" t="n"/>
      <c r="C993" s="11">
        <f>IF(AND(ISNUMBER(B993),ISNUMBER(B992)),ABS(B993-B992),"")</f>
        <v/>
      </c>
      <c r="D993" s="13">
        <f>IF(AND(ISNUMBER(B993),ISNUMBER($B$88),ISNUMBER($D$88)),IF(B993&gt;$D$88,"boven UCL",IF(B993&lt;$B$88,"onder LCL","")),"")</f>
        <v/>
      </c>
      <c r="E993" s="13">
        <f>IF(AND(ISNUMBER(C993),ISNUMBER($B$89),ISNUMBER($D$89)),IF(C993&gt;$D$89,"boven UCL",IF(C993&lt;$B$89,"onder LCL","")),"")</f>
        <v/>
      </c>
      <c r="G993" t="n">
        <v>887</v>
      </c>
      <c r="H993" s="7" t="n"/>
      <c r="I993" s="7" t="n"/>
      <c r="J993" s="11">
        <f>IF(AND(ISNUMBER(H993),ISNUMBER(I993),H993&gt;0,ISNUMBER($B$94)),I993/H993,"")</f>
        <v/>
      </c>
      <c r="K993" s="11">
        <f>IF(AND(ISNUMBER(H993),ISNUMBER(I993),H993&gt;0,ISNUMBER($B$94)),MAX(0,$B$94-3*SQRT($B$94*(1-$B$94)/H993)),"")</f>
        <v/>
      </c>
      <c r="L993" s="11">
        <f>IF(AND(ISNUMBER(H993),ISNUMBER(I993),H993&gt;0,ISNUMBER($B$94)),$B$94+3*SQRT($B$94*(1-$B$94)/H993),"")</f>
        <v/>
      </c>
      <c r="M993" s="13">
        <f>IF(AND(ISNUMBER(J993),ISNUMBER(K993),ISNUMBER(L993)),IF(J993&gt;L993,"boven UCL",IF(J993&lt;K993,"onder LCL","")),"")</f>
        <v/>
      </c>
      <c r="O993" t="n">
        <v>887</v>
      </c>
      <c r="P993" s="7" t="n"/>
      <c r="Q993" s="7" t="n"/>
      <c r="R993" s="11">
        <f>IF(AND(ISNUMBER(P993),ISNUMBER(Q993),P993&gt;0,ISNUMBER($B$100)),Q993/P993,"")</f>
        <v/>
      </c>
      <c r="S993" s="11">
        <f>IF(AND(ISNUMBER(P993),ISNUMBER(Q993),P993&gt;0,ISNUMBER($B$100)),MAX(0,$B$100-3*SQRT($B$100/P993)),"")</f>
        <v/>
      </c>
      <c r="T993" s="11">
        <f>IF(AND(ISNUMBER(P993),ISNUMBER(Q993),P993&gt;0,ISNUMBER($B$100)),$B$100+3*SQRT($B$100/P993),"")</f>
        <v/>
      </c>
      <c r="U993" s="13">
        <f>IF(AND(ISNUMBER(R993),ISNUMBER(S993),ISNUMBER(T993)),IF(R993&gt;T993,"boven UCL",IF(R993&lt;S993,"onder LCL","")),"")</f>
        <v/>
      </c>
    </row>
    <row r="994">
      <c r="A994" t="n">
        <v>888</v>
      </c>
      <c r="B994" s="7" t="n"/>
      <c r="C994" s="11">
        <f>IF(AND(ISNUMBER(B994),ISNUMBER(B993)),ABS(B994-B993),"")</f>
        <v/>
      </c>
      <c r="D994" s="13">
        <f>IF(AND(ISNUMBER(B994),ISNUMBER($B$88),ISNUMBER($D$88)),IF(B994&gt;$D$88,"boven UCL",IF(B994&lt;$B$88,"onder LCL","")),"")</f>
        <v/>
      </c>
      <c r="E994" s="13">
        <f>IF(AND(ISNUMBER(C994),ISNUMBER($B$89),ISNUMBER($D$89)),IF(C994&gt;$D$89,"boven UCL",IF(C994&lt;$B$89,"onder LCL","")),"")</f>
        <v/>
      </c>
      <c r="G994" t="n">
        <v>888</v>
      </c>
      <c r="H994" s="7" t="n"/>
      <c r="I994" s="7" t="n"/>
      <c r="J994" s="11">
        <f>IF(AND(ISNUMBER(H994),ISNUMBER(I994),H994&gt;0,ISNUMBER($B$94)),I994/H994,"")</f>
        <v/>
      </c>
      <c r="K994" s="11">
        <f>IF(AND(ISNUMBER(H994),ISNUMBER(I994),H994&gt;0,ISNUMBER($B$94)),MAX(0,$B$94-3*SQRT($B$94*(1-$B$94)/H994)),"")</f>
        <v/>
      </c>
      <c r="L994" s="11">
        <f>IF(AND(ISNUMBER(H994),ISNUMBER(I994),H994&gt;0,ISNUMBER($B$94)),$B$94+3*SQRT($B$94*(1-$B$94)/H994),"")</f>
        <v/>
      </c>
      <c r="M994" s="13">
        <f>IF(AND(ISNUMBER(J994),ISNUMBER(K994),ISNUMBER(L994)),IF(J994&gt;L994,"boven UCL",IF(J994&lt;K994,"onder LCL","")),"")</f>
        <v/>
      </c>
      <c r="O994" t="n">
        <v>888</v>
      </c>
      <c r="P994" s="7" t="n"/>
      <c r="Q994" s="7" t="n"/>
      <c r="R994" s="11">
        <f>IF(AND(ISNUMBER(P994),ISNUMBER(Q994),P994&gt;0,ISNUMBER($B$100)),Q994/P994,"")</f>
        <v/>
      </c>
      <c r="S994" s="11">
        <f>IF(AND(ISNUMBER(P994),ISNUMBER(Q994),P994&gt;0,ISNUMBER($B$100)),MAX(0,$B$100-3*SQRT($B$100/P994)),"")</f>
        <v/>
      </c>
      <c r="T994" s="11">
        <f>IF(AND(ISNUMBER(P994),ISNUMBER(Q994),P994&gt;0,ISNUMBER($B$100)),$B$100+3*SQRT($B$100/P994),"")</f>
        <v/>
      </c>
      <c r="U994" s="13">
        <f>IF(AND(ISNUMBER(R994),ISNUMBER(S994),ISNUMBER(T994)),IF(R994&gt;T994,"boven UCL",IF(R994&lt;S994,"onder LCL","")),"")</f>
        <v/>
      </c>
    </row>
    <row r="995">
      <c r="A995" t="n">
        <v>889</v>
      </c>
      <c r="B995" s="7" t="n"/>
      <c r="C995" s="11">
        <f>IF(AND(ISNUMBER(B995),ISNUMBER(B994)),ABS(B995-B994),"")</f>
        <v/>
      </c>
      <c r="D995" s="13">
        <f>IF(AND(ISNUMBER(B995),ISNUMBER($B$88),ISNUMBER($D$88)),IF(B995&gt;$D$88,"boven UCL",IF(B995&lt;$B$88,"onder LCL","")),"")</f>
        <v/>
      </c>
      <c r="E995" s="13">
        <f>IF(AND(ISNUMBER(C995),ISNUMBER($B$89),ISNUMBER($D$89)),IF(C995&gt;$D$89,"boven UCL",IF(C995&lt;$B$89,"onder LCL","")),"")</f>
        <v/>
      </c>
      <c r="G995" t="n">
        <v>889</v>
      </c>
      <c r="H995" s="7" t="n"/>
      <c r="I995" s="7" t="n"/>
      <c r="J995" s="11">
        <f>IF(AND(ISNUMBER(H995),ISNUMBER(I995),H995&gt;0,ISNUMBER($B$94)),I995/H995,"")</f>
        <v/>
      </c>
      <c r="K995" s="11">
        <f>IF(AND(ISNUMBER(H995),ISNUMBER(I995),H995&gt;0,ISNUMBER($B$94)),MAX(0,$B$94-3*SQRT($B$94*(1-$B$94)/H995)),"")</f>
        <v/>
      </c>
      <c r="L995" s="11">
        <f>IF(AND(ISNUMBER(H995),ISNUMBER(I995),H995&gt;0,ISNUMBER($B$94)),$B$94+3*SQRT($B$94*(1-$B$94)/H995),"")</f>
        <v/>
      </c>
      <c r="M995" s="13">
        <f>IF(AND(ISNUMBER(J995),ISNUMBER(K995),ISNUMBER(L995)),IF(J995&gt;L995,"boven UCL",IF(J995&lt;K995,"onder LCL","")),"")</f>
        <v/>
      </c>
      <c r="O995" t="n">
        <v>889</v>
      </c>
      <c r="P995" s="7" t="n"/>
      <c r="Q995" s="7" t="n"/>
      <c r="R995" s="11">
        <f>IF(AND(ISNUMBER(P995),ISNUMBER(Q995),P995&gt;0,ISNUMBER($B$100)),Q995/P995,"")</f>
        <v/>
      </c>
      <c r="S995" s="11">
        <f>IF(AND(ISNUMBER(P995),ISNUMBER(Q995),P995&gt;0,ISNUMBER($B$100)),MAX(0,$B$100-3*SQRT($B$100/P995)),"")</f>
        <v/>
      </c>
      <c r="T995" s="11">
        <f>IF(AND(ISNUMBER(P995),ISNUMBER(Q995),P995&gt;0,ISNUMBER($B$100)),$B$100+3*SQRT($B$100/P995),"")</f>
        <v/>
      </c>
      <c r="U995" s="13">
        <f>IF(AND(ISNUMBER(R995),ISNUMBER(S995),ISNUMBER(T995)),IF(R995&gt;T995,"boven UCL",IF(R995&lt;S995,"onder LCL","")),"")</f>
        <v/>
      </c>
    </row>
    <row r="996">
      <c r="A996" t="n">
        <v>890</v>
      </c>
      <c r="B996" s="7" t="n"/>
      <c r="C996" s="11">
        <f>IF(AND(ISNUMBER(B996),ISNUMBER(B995)),ABS(B996-B995),"")</f>
        <v/>
      </c>
      <c r="D996" s="13">
        <f>IF(AND(ISNUMBER(B996),ISNUMBER($B$88),ISNUMBER($D$88)),IF(B996&gt;$D$88,"boven UCL",IF(B996&lt;$B$88,"onder LCL","")),"")</f>
        <v/>
      </c>
      <c r="E996" s="13">
        <f>IF(AND(ISNUMBER(C996),ISNUMBER($B$89),ISNUMBER($D$89)),IF(C996&gt;$D$89,"boven UCL",IF(C996&lt;$B$89,"onder LCL","")),"")</f>
        <v/>
      </c>
      <c r="G996" t="n">
        <v>890</v>
      </c>
      <c r="H996" s="7" t="n"/>
      <c r="I996" s="7" t="n"/>
      <c r="J996" s="11">
        <f>IF(AND(ISNUMBER(H996),ISNUMBER(I996),H996&gt;0,ISNUMBER($B$94)),I996/H996,"")</f>
        <v/>
      </c>
      <c r="K996" s="11">
        <f>IF(AND(ISNUMBER(H996),ISNUMBER(I996),H996&gt;0,ISNUMBER($B$94)),MAX(0,$B$94-3*SQRT($B$94*(1-$B$94)/H996)),"")</f>
        <v/>
      </c>
      <c r="L996" s="11">
        <f>IF(AND(ISNUMBER(H996),ISNUMBER(I996),H996&gt;0,ISNUMBER($B$94)),$B$94+3*SQRT($B$94*(1-$B$94)/H996),"")</f>
        <v/>
      </c>
      <c r="M996" s="13">
        <f>IF(AND(ISNUMBER(J996),ISNUMBER(K996),ISNUMBER(L996)),IF(J996&gt;L996,"boven UCL",IF(J996&lt;K996,"onder LCL","")),"")</f>
        <v/>
      </c>
      <c r="O996" t="n">
        <v>890</v>
      </c>
      <c r="P996" s="7" t="n"/>
      <c r="Q996" s="7" t="n"/>
      <c r="R996" s="11">
        <f>IF(AND(ISNUMBER(P996),ISNUMBER(Q996),P996&gt;0,ISNUMBER($B$100)),Q996/P996,"")</f>
        <v/>
      </c>
      <c r="S996" s="11">
        <f>IF(AND(ISNUMBER(P996),ISNUMBER(Q996),P996&gt;0,ISNUMBER($B$100)),MAX(0,$B$100-3*SQRT($B$100/P996)),"")</f>
        <v/>
      </c>
      <c r="T996" s="11">
        <f>IF(AND(ISNUMBER(P996),ISNUMBER(Q996),P996&gt;0,ISNUMBER($B$100)),$B$100+3*SQRT($B$100/P996),"")</f>
        <v/>
      </c>
      <c r="U996" s="13">
        <f>IF(AND(ISNUMBER(R996),ISNUMBER(S996),ISNUMBER(T996)),IF(R996&gt;T996,"boven UCL",IF(R996&lt;S996,"onder LCL","")),"")</f>
        <v/>
      </c>
    </row>
    <row r="997">
      <c r="A997" t="n">
        <v>891</v>
      </c>
      <c r="B997" s="7" t="n"/>
      <c r="C997" s="11">
        <f>IF(AND(ISNUMBER(B997),ISNUMBER(B996)),ABS(B997-B996),"")</f>
        <v/>
      </c>
      <c r="D997" s="13">
        <f>IF(AND(ISNUMBER(B997),ISNUMBER($B$88),ISNUMBER($D$88)),IF(B997&gt;$D$88,"boven UCL",IF(B997&lt;$B$88,"onder LCL","")),"")</f>
        <v/>
      </c>
      <c r="E997" s="13">
        <f>IF(AND(ISNUMBER(C997),ISNUMBER($B$89),ISNUMBER($D$89)),IF(C997&gt;$D$89,"boven UCL",IF(C997&lt;$B$89,"onder LCL","")),"")</f>
        <v/>
      </c>
      <c r="G997" t="n">
        <v>891</v>
      </c>
      <c r="H997" s="7" t="n"/>
      <c r="I997" s="7" t="n"/>
      <c r="J997" s="11">
        <f>IF(AND(ISNUMBER(H997),ISNUMBER(I997),H997&gt;0,ISNUMBER($B$94)),I997/H997,"")</f>
        <v/>
      </c>
      <c r="K997" s="11">
        <f>IF(AND(ISNUMBER(H997),ISNUMBER(I997),H997&gt;0,ISNUMBER($B$94)),MAX(0,$B$94-3*SQRT($B$94*(1-$B$94)/H997)),"")</f>
        <v/>
      </c>
      <c r="L997" s="11">
        <f>IF(AND(ISNUMBER(H997),ISNUMBER(I997),H997&gt;0,ISNUMBER($B$94)),$B$94+3*SQRT($B$94*(1-$B$94)/H997),"")</f>
        <v/>
      </c>
      <c r="M997" s="13">
        <f>IF(AND(ISNUMBER(J997),ISNUMBER(K997),ISNUMBER(L997)),IF(J997&gt;L997,"boven UCL",IF(J997&lt;K997,"onder LCL","")),"")</f>
        <v/>
      </c>
      <c r="O997" t="n">
        <v>891</v>
      </c>
      <c r="P997" s="7" t="n"/>
      <c r="Q997" s="7" t="n"/>
      <c r="R997" s="11">
        <f>IF(AND(ISNUMBER(P997),ISNUMBER(Q997),P997&gt;0,ISNUMBER($B$100)),Q997/P997,"")</f>
        <v/>
      </c>
      <c r="S997" s="11">
        <f>IF(AND(ISNUMBER(P997),ISNUMBER(Q997),P997&gt;0,ISNUMBER($B$100)),MAX(0,$B$100-3*SQRT($B$100/P997)),"")</f>
        <v/>
      </c>
      <c r="T997" s="11">
        <f>IF(AND(ISNUMBER(P997),ISNUMBER(Q997),P997&gt;0,ISNUMBER($B$100)),$B$100+3*SQRT($B$100/P997),"")</f>
        <v/>
      </c>
      <c r="U997" s="13">
        <f>IF(AND(ISNUMBER(R997),ISNUMBER(S997),ISNUMBER(T997)),IF(R997&gt;T997,"boven UCL",IF(R997&lt;S997,"onder LCL","")),"")</f>
        <v/>
      </c>
    </row>
    <row r="998">
      <c r="A998" t="n">
        <v>892</v>
      </c>
      <c r="B998" s="7" t="n"/>
      <c r="C998" s="11">
        <f>IF(AND(ISNUMBER(B998),ISNUMBER(B997)),ABS(B998-B997),"")</f>
        <v/>
      </c>
      <c r="D998" s="13">
        <f>IF(AND(ISNUMBER(B998),ISNUMBER($B$88),ISNUMBER($D$88)),IF(B998&gt;$D$88,"boven UCL",IF(B998&lt;$B$88,"onder LCL","")),"")</f>
        <v/>
      </c>
      <c r="E998" s="13">
        <f>IF(AND(ISNUMBER(C998),ISNUMBER($B$89),ISNUMBER($D$89)),IF(C998&gt;$D$89,"boven UCL",IF(C998&lt;$B$89,"onder LCL","")),"")</f>
        <v/>
      </c>
      <c r="G998" t="n">
        <v>892</v>
      </c>
      <c r="H998" s="7" t="n"/>
      <c r="I998" s="7" t="n"/>
      <c r="J998" s="11">
        <f>IF(AND(ISNUMBER(H998),ISNUMBER(I998),H998&gt;0,ISNUMBER($B$94)),I998/H998,"")</f>
        <v/>
      </c>
      <c r="K998" s="11">
        <f>IF(AND(ISNUMBER(H998),ISNUMBER(I998),H998&gt;0,ISNUMBER($B$94)),MAX(0,$B$94-3*SQRT($B$94*(1-$B$94)/H998)),"")</f>
        <v/>
      </c>
      <c r="L998" s="11">
        <f>IF(AND(ISNUMBER(H998),ISNUMBER(I998),H998&gt;0,ISNUMBER($B$94)),$B$94+3*SQRT($B$94*(1-$B$94)/H998),"")</f>
        <v/>
      </c>
      <c r="M998" s="13">
        <f>IF(AND(ISNUMBER(J998),ISNUMBER(K998),ISNUMBER(L998)),IF(J998&gt;L998,"boven UCL",IF(J998&lt;K998,"onder LCL","")),"")</f>
        <v/>
      </c>
      <c r="O998" t="n">
        <v>892</v>
      </c>
      <c r="P998" s="7" t="n"/>
      <c r="Q998" s="7" t="n"/>
      <c r="R998" s="11">
        <f>IF(AND(ISNUMBER(P998),ISNUMBER(Q998),P998&gt;0,ISNUMBER($B$100)),Q998/P998,"")</f>
        <v/>
      </c>
      <c r="S998" s="11">
        <f>IF(AND(ISNUMBER(P998),ISNUMBER(Q998),P998&gt;0,ISNUMBER($B$100)),MAX(0,$B$100-3*SQRT($B$100/P998)),"")</f>
        <v/>
      </c>
      <c r="T998" s="11">
        <f>IF(AND(ISNUMBER(P998),ISNUMBER(Q998),P998&gt;0,ISNUMBER($B$100)),$B$100+3*SQRT($B$100/P998),"")</f>
        <v/>
      </c>
      <c r="U998" s="13">
        <f>IF(AND(ISNUMBER(R998),ISNUMBER(S998),ISNUMBER(T998)),IF(R998&gt;T998,"boven UCL",IF(R998&lt;S998,"onder LCL","")),"")</f>
        <v/>
      </c>
    </row>
    <row r="999">
      <c r="A999" t="n">
        <v>893</v>
      </c>
      <c r="B999" s="7" t="n"/>
      <c r="C999" s="11">
        <f>IF(AND(ISNUMBER(B999),ISNUMBER(B998)),ABS(B999-B998),"")</f>
        <v/>
      </c>
      <c r="D999" s="13">
        <f>IF(AND(ISNUMBER(B999),ISNUMBER($B$88),ISNUMBER($D$88)),IF(B999&gt;$D$88,"boven UCL",IF(B999&lt;$B$88,"onder LCL","")),"")</f>
        <v/>
      </c>
      <c r="E999" s="13">
        <f>IF(AND(ISNUMBER(C999),ISNUMBER($B$89),ISNUMBER($D$89)),IF(C999&gt;$D$89,"boven UCL",IF(C999&lt;$B$89,"onder LCL","")),"")</f>
        <v/>
      </c>
      <c r="G999" t="n">
        <v>893</v>
      </c>
      <c r="H999" s="7" t="n"/>
      <c r="I999" s="7" t="n"/>
      <c r="J999" s="11">
        <f>IF(AND(ISNUMBER(H999),ISNUMBER(I999),H999&gt;0,ISNUMBER($B$94)),I999/H999,"")</f>
        <v/>
      </c>
      <c r="K999" s="11">
        <f>IF(AND(ISNUMBER(H999),ISNUMBER(I999),H999&gt;0,ISNUMBER($B$94)),MAX(0,$B$94-3*SQRT($B$94*(1-$B$94)/H999)),"")</f>
        <v/>
      </c>
      <c r="L999" s="11">
        <f>IF(AND(ISNUMBER(H999),ISNUMBER(I999),H999&gt;0,ISNUMBER($B$94)),$B$94+3*SQRT($B$94*(1-$B$94)/H999),"")</f>
        <v/>
      </c>
      <c r="M999" s="13">
        <f>IF(AND(ISNUMBER(J999),ISNUMBER(K999),ISNUMBER(L999)),IF(J999&gt;L999,"boven UCL",IF(J999&lt;K999,"onder LCL","")),"")</f>
        <v/>
      </c>
      <c r="O999" t="n">
        <v>893</v>
      </c>
      <c r="P999" s="7" t="n"/>
      <c r="Q999" s="7" t="n"/>
      <c r="R999" s="11">
        <f>IF(AND(ISNUMBER(P999),ISNUMBER(Q999),P999&gt;0,ISNUMBER($B$100)),Q999/P999,"")</f>
        <v/>
      </c>
      <c r="S999" s="11">
        <f>IF(AND(ISNUMBER(P999),ISNUMBER(Q999),P999&gt;0,ISNUMBER($B$100)),MAX(0,$B$100-3*SQRT($B$100/P999)),"")</f>
        <v/>
      </c>
      <c r="T999" s="11">
        <f>IF(AND(ISNUMBER(P999),ISNUMBER(Q999),P999&gt;0,ISNUMBER($B$100)),$B$100+3*SQRT($B$100/P999),"")</f>
        <v/>
      </c>
      <c r="U999" s="13">
        <f>IF(AND(ISNUMBER(R999),ISNUMBER(S999),ISNUMBER(T999)),IF(R999&gt;T999,"boven UCL",IF(R999&lt;S999,"onder LCL","")),"")</f>
        <v/>
      </c>
    </row>
    <row r="1000">
      <c r="A1000" t="n">
        <v>894</v>
      </c>
      <c r="B1000" s="7" t="n"/>
      <c r="C1000" s="11">
        <f>IF(AND(ISNUMBER(B1000),ISNUMBER(B999)),ABS(B1000-B999),"")</f>
        <v/>
      </c>
      <c r="D1000" s="13">
        <f>IF(AND(ISNUMBER(B1000),ISNUMBER($B$88),ISNUMBER($D$88)),IF(B1000&gt;$D$88,"boven UCL",IF(B1000&lt;$B$88,"onder LCL","")),"")</f>
        <v/>
      </c>
      <c r="E1000" s="13">
        <f>IF(AND(ISNUMBER(C1000),ISNUMBER($B$89),ISNUMBER($D$89)),IF(C1000&gt;$D$89,"boven UCL",IF(C1000&lt;$B$89,"onder LCL","")),"")</f>
        <v/>
      </c>
      <c r="G1000" t="n">
        <v>894</v>
      </c>
      <c r="H1000" s="7" t="n"/>
      <c r="I1000" s="7" t="n"/>
      <c r="J1000" s="11">
        <f>IF(AND(ISNUMBER(H1000),ISNUMBER(I1000),H1000&gt;0,ISNUMBER($B$94)),I1000/H1000,"")</f>
        <v/>
      </c>
      <c r="K1000" s="11">
        <f>IF(AND(ISNUMBER(H1000),ISNUMBER(I1000),H1000&gt;0,ISNUMBER($B$94)),MAX(0,$B$94-3*SQRT($B$94*(1-$B$94)/H1000)),"")</f>
        <v/>
      </c>
      <c r="L1000" s="11">
        <f>IF(AND(ISNUMBER(H1000),ISNUMBER(I1000),H1000&gt;0,ISNUMBER($B$94)),$B$94+3*SQRT($B$94*(1-$B$94)/H1000),"")</f>
        <v/>
      </c>
      <c r="M1000" s="13">
        <f>IF(AND(ISNUMBER(J1000),ISNUMBER(K1000),ISNUMBER(L1000)),IF(J1000&gt;L1000,"boven UCL",IF(J1000&lt;K1000,"onder LCL","")),"")</f>
        <v/>
      </c>
      <c r="O1000" t="n">
        <v>894</v>
      </c>
      <c r="P1000" s="7" t="n"/>
      <c r="Q1000" s="7" t="n"/>
      <c r="R1000" s="11">
        <f>IF(AND(ISNUMBER(P1000),ISNUMBER(Q1000),P1000&gt;0,ISNUMBER($B$100)),Q1000/P1000,"")</f>
        <v/>
      </c>
      <c r="S1000" s="11">
        <f>IF(AND(ISNUMBER(P1000),ISNUMBER(Q1000),P1000&gt;0,ISNUMBER($B$100)),MAX(0,$B$100-3*SQRT($B$100/P1000)),"")</f>
        <v/>
      </c>
      <c r="T1000" s="11">
        <f>IF(AND(ISNUMBER(P1000),ISNUMBER(Q1000),P1000&gt;0,ISNUMBER($B$100)),$B$100+3*SQRT($B$100/P1000),"")</f>
        <v/>
      </c>
      <c r="U1000" s="13">
        <f>IF(AND(ISNUMBER(R1000),ISNUMBER(S1000),ISNUMBER(T1000)),IF(R1000&gt;T1000,"boven UCL",IF(R1000&lt;S1000,"onder LCL","")),"")</f>
        <v/>
      </c>
    </row>
    <row r="1001">
      <c r="A1001" t="n">
        <v>895</v>
      </c>
      <c r="B1001" s="7" t="n"/>
      <c r="C1001" s="11">
        <f>IF(AND(ISNUMBER(B1001),ISNUMBER(B1000)),ABS(B1001-B1000),"")</f>
        <v/>
      </c>
      <c r="D1001" s="13">
        <f>IF(AND(ISNUMBER(B1001),ISNUMBER($B$88),ISNUMBER($D$88)),IF(B1001&gt;$D$88,"boven UCL",IF(B1001&lt;$B$88,"onder LCL","")),"")</f>
        <v/>
      </c>
      <c r="E1001" s="13">
        <f>IF(AND(ISNUMBER(C1001),ISNUMBER($B$89),ISNUMBER($D$89)),IF(C1001&gt;$D$89,"boven UCL",IF(C1001&lt;$B$89,"onder LCL","")),"")</f>
        <v/>
      </c>
      <c r="G1001" t="n">
        <v>895</v>
      </c>
      <c r="H1001" s="7" t="n"/>
      <c r="I1001" s="7" t="n"/>
      <c r="J1001" s="11">
        <f>IF(AND(ISNUMBER(H1001),ISNUMBER(I1001),H1001&gt;0,ISNUMBER($B$94)),I1001/H1001,"")</f>
        <v/>
      </c>
      <c r="K1001" s="11">
        <f>IF(AND(ISNUMBER(H1001),ISNUMBER(I1001),H1001&gt;0,ISNUMBER($B$94)),MAX(0,$B$94-3*SQRT($B$94*(1-$B$94)/H1001)),"")</f>
        <v/>
      </c>
      <c r="L1001" s="11">
        <f>IF(AND(ISNUMBER(H1001),ISNUMBER(I1001),H1001&gt;0,ISNUMBER($B$94)),$B$94+3*SQRT($B$94*(1-$B$94)/H1001),"")</f>
        <v/>
      </c>
      <c r="M1001" s="13">
        <f>IF(AND(ISNUMBER(J1001),ISNUMBER(K1001),ISNUMBER(L1001)),IF(J1001&gt;L1001,"boven UCL",IF(J1001&lt;K1001,"onder LCL","")),"")</f>
        <v/>
      </c>
      <c r="O1001" t="n">
        <v>895</v>
      </c>
      <c r="P1001" s="7" t="n"/>
      <c r="Q1001" s="7" t="n"/>
      <c r="R1001" s="11">
        <f>IF(AND(ISNUMBER(P1001),ISNUMBER(Q1001),P1001&gt;0,ISNUMBER($B$100)),Q1001/P1001,"")</f>
        <v/>
      </c>
      <c r="S1001" s="11">
        <f>IF(AND(ISNUMBER(P1001),ISNUMBER(Q1001),P1001&gt;0,ISNUMBER($B$100)),MAX(0,$B$100-3*SQRT($B$100/P1001)),"")</f>
        <v/>
      </c>
      <c r="T1001" s="11">
        <f>IF(AND(ISNUMBER(P1001),ISNUMBER(Q1001),P1001&gt;0,ISNUMBER($B$100)),$B$100+3*SQRT($B$100/P1001),"")</f>
        <v/>
      </c>
      <c r="U1001" s="13">
        <f>IF(AND(ISNUMBER(R1001),ISNUMBER(S1001),ISNUMBER(T1001)),IF(R1001&gt;T1001,"boven UCL",IF(R1001&lt;S1001,"onder LCL","")),"")</f>
        <v/>
      </c>
    </row>
    <row r="1002">
      <c r="A1002" t="n">
        <v>896</v>
      </c>
      <c r="B1002" s="7" t="n"/>
      <c r="C1002" s="11">
        <f>IF(AND(ISNUMBER(B1002),ISNUMBER(B1001)),ABS(B1002-B1001),"")</f>
        <v/>
      </c>
      <c r="D1002" s="13">
        <f>IF(AND(ISNUMBER(B1002),ISNUMBER($B$88),ISNUMBER($D$88)),IF(B1002&gt;$D$88,"boven UCL",IF(B1002&lt;$B$88,"onder LCL","")),"")</f>
        <v/>
      </c>
      <c r="E1002" s="13">
        <f>IF(AND(ISNUMBER(C1002),ISNUMBER($B$89),ISNUMBER($D$89)),IF(C1002&gt;$D$89,"boven UCL",IF(C1002&lt;$B$89,"onder LCL","")),"")</f>
        <v/>
      </c>
      <c r="G1002" t="n">
        <v>896</v>
      </c>
      <c r="H1002" s="7" t="n"/>
      <c r="I1002" s="7" t="n"/>
      <c r="J1002" s="11">
        <f>IF(AND(ISNUMBER(H1002),ISNUMBER(I1002),H1002&gt;0,ISNUMBER($B$94)),I1002/H1002,"")</f>
        <v/>
      </c>
      <c r="K1002" s="11">
        <f>IF(AND(ISNUMBER(H1002),ISNUMBER(I1002),H1002&gt;0,ISNUMBER($B$94)),MAX(0,$B$94-3*SQRT($B$94*(1-$B$94)/H1002)),"")</f>
        <v/>
      </c>
      <c r="L1002" s="11">
        <f>IF(AND(ISNUMBER(H1002),ISNUMBER(I1002),H1002&gt;0,ISNUMBER($B$94)),$B$94+3*SQRT($B$94*(1-$B$94)/H1002),"")</f>
        <v/>
      </c>
      <c r="M1002" s="13">
        <f>IF(AND(ISNUMBER(J1002),ISNUMBER(K1002),ISNUMBER(L1002)),IF(J1002&gt;L1002,"boven UCL",IF(J1002&lt;K1002,"onder LCL","")),"")</f>
        <v/>
      </c>
      <c r="O1002" t="n">
        <v>896</v>
      </c>
      <c r="P1002" s="7" t="n"/>
      <c r="Q1002" s="7" t="n"/>
      <c r="R1002" s="11">
        <f>IF(AND(ISNUMBER(P1002),ISNUMBER(Q1002),P1002&gt;0,ISNUMBER($B$100)),Q1002/P1002,"")</f>
        <v/>
      </c>
      <c r="S1002" s="11">
        <f>IF(AND(ISNUMBER(P1002),ISNUMBER(Q1002),P1002&gt;0,ISNUMBER($B$100)),MAX(0,$B$100-3*SQRT($B$100/P1002)),"")</f>
        <v/>
      </c>
      <c r="T1002" s="11">
        <f>IF(AND(ISNUMBER(P1002),ISNUMBER(Q1002),P1002&gt;0,ISNUMBER($B$100)),$B$100+3*SQRT($B$100/P1002),"")</f>
        <v/>
      </c>
      <c r="U1002" s="13">
        <f>IF(AND(ISNUMBER(R1002),ISNUMBER(S1002),ISNUMBER(T1002)),IF(R1002&gt;T1002,"boven UCL",IF(R1002&lt;S1002,"onder LCL","")),"")</f>
        <v/>
      </c>
    </row>
    <row r="1003">
      <c r="A1003" t="n">
        <v>897</v>
      </c>
      <c r="B1003" s="7" t="n"/>
      <c r="C1003" s="11">
        <f>IF(AND(ISNUMBER(B1003),ISNUMBER(B1002)),ABS(B1003-B1002),"")</f>
        <v/>
      </c>
      <c r="D1003" s="13">
        <f>IF(AND(ISNUMBER(B1003),ISNUMBER($B$88),ISNUMBER($D$88)),IF(B1003&gt;$D$88,"boven UCL",IF(B1003&lt;$B$88,"onder LCL","")),"")</f>
        <v/>
      </c>
      <c r="E1003" s="13">
        <f>IF(AND(ISNUMBER(C1003),ISNUMBER($B$89),ISNUMBER($D$89)),IF(C1003&gt;$D$89,"boven UCL",IF(C1003&lt;$B$89,"onder LCL","")),"")</f>
        <v/>
      </c>
      <c r="G1003" t="n">
        <v>897</v>
      </c>
      <c r="H1003" s="7" t="n"/>
      <c r="I1003" s="7" t="n"/>
      <c r="J1003" s="11">
        <f>IF(AND(ISNUMBER(H1003),ISNUMBER(I1003),H1003&gt;0,ISNUMBER($B$94)),I1003/H1003,"")</f>
        <v/>
      </c>
      <c r="K1003" s="11">
        <f>IF(AND(ISNUMBER(H1003),ISNUMBER(I1003),H1003&gt;0,ISNUMBER($B$94)),MAX(0,$B$94-3*SQRT($B$94*(1-$B$94)/H1003)),"")</f>
        <v/>
      </c>
      <c r="L1003" s="11">
        <f>IF(AND(ISNUMBER(H1003),ISNUMBER(I1003),H1003&gt;0,ISNUMBER($B$94)),$B$94+3*SQRT($B$94*(1-$B$94)/H1003),"")</f>
        <v/>
      </c>
      <c r="M1003" s="13">
        <f>IF(AND(ISNUMBER(J1003),ISNUMBER(K1003),ISNUMBER(L1003)),IF(J1003&gt;L1003,"boven UCL",IF(J1003&lt;K1003,"onder LCL","")),"")</f>
        <v/>
      </c>
      <c r="O1003" t="n">
        <v>897</v>
      </c>
      <c r="P1003" s="7" t="n"/>
      <c r="Q1003" s="7" t="n"/>
      <c r="R1003" s="11">
        <f>IF(AND(ISNUMBER(P1003),ISNUMBER(Q1003),P1003&gt;0,ISNUMBER($B$100)),Q1003/P1003,"")</f>
        <v/>
      </c>
      <c r="S1003" s="11">
        <f>IF(AND(ISNUMBER(P1003),ISNUMBER(Q1003),P1003&gt;0,ISNUMBER($B$100)),MAX(0,$B$100-3*SQRT($B$100/P1003)),"")</f>
        <v/>
      </c>
      <c r="T1003" s="11">
        <f>IF(AND(ISNUMBER(P1003),ISNUMBER(Q1003),P1003&gt;0,ISNUMBER($B$100)),$B$100+3*SQRT($B$100/P1003),"")</f>
        <v/>
      </c>
      <c r="U1003" s="13">
        <f>IF(AND(ISNUMBER(R1003),ISNUMBER(S1003),ISNUMBER(T1003)),IF(R1003&gt;T1003,"boven UCL",IF(R1003&lt;S1003,"onder LCL","")),"")</f>
        <v/>
      </c>
    </row>
    <row r="1004">
      <c r="A1004" t="n">
        <v>898</v>
      </c>
      <c r="B1004" s="7" t="n"/>
      <c r="C1004" s="11">
        <f>IF(AND(ISNUMBER(B1004),ISNUMBER(B1003)),ABS(B1004-B1003),"")</f>
        <v/>
      </c>
      <c r="D1004" s="13">
        <f>IF(AND(ISNUMBER(B1004),ISNUMBER($B$88),ISNUMBER($D$88)),IF(B1004&gt;$D$88,"boven UCL",IF(B1004&lt;$B$88,"onder LCL","")),"")</f>
        <v/>
      </c>
      <c r="E1004" s="13">
        <f>IF(AND(ISNUMBER(C1004),ISNUMBER($B$89),ISNUMBER($D$89)),IF(C1004&gt;$D$89,"boven UCL",IF(C1004&lt;$B$89,"onder LCL","")),"")</f>
        <v/>
      </c>
      <c r="G1004" t="n">
        <v>898</v>
      </c>
      <c r="H1004" s="7" t="n"/>
      <c r="I1004" s="7" t="n"/>
      <c r="J1004" s="11">
        <f>IF(AND(ISNUMBER(H1004),ISNUMBER(I1004),H1004&gt;0,ISNUMBER($B$94)),I1004/H1004,"")</f>
        <v/>
      </c>
      <c r="K1004" s="11">
        <f>IF(AND(ISNUMBER(H1004),ISNUMBER(I1004),H1004&gt;0,ISNUMBER($B$94)),MAX(0,$B$94-3*SQRT($B$94*(1-$B$94)/H1004)),"")</f>
        <v/>
      </c>
      <c r="L1004" s="11">
        <f>IF(AND(ISNUMBER(H1004),ISNUMBER(I1004),H1004&gt;0,ISNUMBER($B$94)),$B$94+3*SQRT($B$94*(1-$B$94)/H1004),"")</f>
        <v/>
      </c>
      <c r="M1004" s="13">
        <f>IF(AND(ISNUMBER(J1004),ISNUMBER(K1004),ISNUMBER(L1004)),IF(J1004&gt;L1004,"boven UCL",IF(J1004&lt;K1004,"onder LCL","")),"")</f>
        <v/>
      </c>
      <c r="O1004" t="n">
        <v>898</v>
      </c>
      <c r="P1004" s="7" t="n"/>
      <c r="Q1004" s="7" t="n"/>
      <c r="R1004" s="11">
        <f>IF(AND(ISNUMBER(P1004),ISNUMBER(Q1004),P1004&gt;0,ISNUMBER($B$100)),Q1004/P1004,"")</f>
        <v/>
      </c>
      <c r="S1004" s="11">
        <f>IF(AND(ISNUMBER(P1004),ISNUMBER(Q1004),P1004&gt;0,ISNUMBER($B$100)),MAX(0,$B$100-3*SQRT($B$100/P1004)),"")</f>
        <v/>
      </c>
      <c r="T1004" s="11">
        <f>IF(AND(ISNUMBER(P1004),ISNUMBER(Q1004),P1004&gt;0,ISNUMBER($B$100)),$B$100+3*SQRT($B$100/P1004),"")</f>
        <v/>
      </c>
      <c r="U1004" s="13">
        <f>IF(AND(ISNUMBER(R1004),ISNUMBER(S1004),ISNUMBER(T1004)),IF(R1004&gt;T1004,"boven UCL",IF(R1004&lt;S1004,"onder LCL","")),"")</f>
        <v/>
      </c>
    </row>
    <row r="1005">
      <c r="A1005" t="n">
        <v>899</v>
      </c>
      <c r="B1005" s="7" t="n"/>
      <c r="C1005" s="11">
        <f>IF(AND(ISNUMBER(B1005),ISNUMBER(B1004)),ABS(B1005-B1004),"")</f>
        <v/>
      </c>
      <c r="D1005" s="13">
        <f>IF(AND(ISNUMBER(B1005),ISNUMBER($B$88),ISNUMBER($D$88)),IF(B1005&gt;$D$88,"boven UCL",IF(B1005&lt;$B$88,"onder LCL","")),"")</f>
        <v/>
      </c>
      <c r="E1005" s="13">
        <f>IF(AND(ISNUMBER(C1005),ISNUMBER($B$89),ISNUMBER($D$89)),IF(C1005&gt;$D$89,"boven UCL",IF(C1005&lt;$B$89,"onder LCL","")),"")</f>
        <v/>
      </c>
      <c r="G1005" t="n">
        <v>899</v>
      </c>
      <c r="H1005" s="7" t="n"/>
      <c r="I1005" s="7" t="n"/>
      <c r="J1005" s="11">
        <f>IF(AND(ISNUMBER(H1005),ISNUMBER(I1005),H1005&gt;0,ISNUMBER($B$94)),I1005/H1005,"")</f>
        <v/>
      </c>
      <c r="K1005" s="11">
        <f>IF(AND(ISNUMBER(H1005),ISNUMBER(I1005),H1005&gt;0,ISNUMBER($B$94)),MAX(0,$B$94-3*SQRT($B$94*(1-$B$94)/H1005)),"")</f>
        <v/>
      </c>
      <c r="L1005" s="11">
        <f>IF(AND(ISNUMBER(H1005),ISNUMBER(I1005),H1005&gt;0,ISNUMBER($B$94)),$B$94+3*SQRT($B$94*(1-$B$94)/H1005),"")</f>
        <v/>
      </c>
      <c r="M1005" s="13">
        <f>IF(AND(ISNUMBER(J1005),ISNUMBER(K1005),ISNUMBER(L1005)),IF(J1005&gt;L1005,"boven UCL",IF(J1005&lt;K1005,"onder LCL","")),"")</f>
        <v/>
      </c>
      <c r="O1005" t="n">
        <v>899</v>
      </c>
      <c r="P1005" s="7" t="n"/>
      <c r="Q1005" s="7" t="n"/>
      <c r="R1005" s="11">
        <f>IF(AND(ISNUMBER(P1005),ISNUMBER(Q1005),P1005&gt;0,ISNUMBER($B$100)),Q1005/P1005,"")</f>
        <v/>
      </c>
      <c r="S1005" s="11">
        <f>IF(AND(ISNUMBER(P1005),ISNUMBER(Q1005),P1005&gt;0,ISNUMBER($B$100)),MAX(0,$B$100-3*SQRT($B$100/P1005)),"")</f>
        <v/>
      </c>
      <c r="T1005" s="11">
        <f>IF(AND(ISNUMBER(P1005),ISNUMBER(Q1005),P1005&gt;0,ISNUMBER($B$100)),$B$100+3*SQRT($B$100/P1005),"")</f>
        <v/>
      </c>
      <c r="U1005" s="13">
        <f>IF(AND(ISNUMBER(R1005),ISNUMBER(S1005),ISNUMBER(T1005)),IF(R1005&gt;T1005,"boven UCL",IF(R1005&lt;S1005,"onder LCL","")),"")</f>
        <v/>
      </c>
    </row>
    <row r="1006">
      <c r="A1006" t="n">
        <v>900</v>
      </c>
      <c r="B1006" s="7" t="n"/>
      <c r="C1006" s="11">
        <f>IF(AND(ISNUMBER(B1006),ISNUMBER(B1005)),ABS(B1006-B1005),"")</f>
        <v/>
      </c>
      <c r="D1006" s="13">
        <f>IF(AND(ISNUMBER(B1006),ISNUMBER($B$88),ISNUMBER($D$88)),IF(B1006&gt;$D$88,"boven UCL",IF(B1006&lt;$B$88,"onder LCL","")),"")</f>
        <v/>
      </c>
      <c r="E1006" s="13">
        <f>IF(AND(ISNUMBER(C1006),ISNUMBER($B$89),ISNUMBER($D$89)),IF(C1006&gt;$D$89,"boven UCL",IF(C1006&lt;$B$89,"onder LCL","")),"")</f>
        <v/>
      </c>
      <c r="G1006" t="n">
        <v>900</v>
      </c>
      <c r="H1006" s="7" t="n"/>
      <c r="I1006" s="7" t="n"/>
      <c r="J1006" s="11">
        <f>IF(AND(ISNUMBER(H1006),ISNUMBER(I1006),H1006&gt;0,ISNUMBER($B$94)),I1006/H1006,"")</f>
        <v/>
      </c>
      <c r="K1006" s="11">
        <f>IF(AND(ISNUMBER(H1006),ISNUMBER(I1006),H1006&gt;0,ISNUMBER($B$94)),MAX(0,$B$94-3*SQRT($B$94*(1-$B$94)/H1006)),"")</f>
        <v/>
      </c>
      <c r="L1006" s="11">
        <f>IF(AND(ISNUMBER(H1006),ISNUMBER(I1006),H1006&gt;0,ISNUMBER($B$94)),$B$94+3*SQRT($B$94*(1-$B$94)/H1006),"")</f>
        <v/>
      </c>
      <c r="M1006" s="13">
        <f>IF(AND(ISNUMBER(J1006),ISNUMBER(K1006),ISNUMBER(L1006)),IF(J1006&gt;L1006,"boven UCL",IF(J1006&lt;K1006,"onder LCL","")),"")</f>
        <v/>
      </c>
      <c r="O1006" t="n">
        <v>900</v>
      </c>
      <c r="P1006" s="7" t="n"/>
      <c r="Q1006" s="7" t="n"/>
      <c r="R1006" s="11">
        <f>IF(AND(ISNUMBER(P1006),ISNUMBER(Q1006),P1006&gt;0,ISNUMBER($B$100)),Q1006/P1006,"")</f>
        <v/>
      </c>
      <c r="S1006" s="11">
        <f>IF(AND(ISNUMBER(P1006),ISNUMBER(Q1006),P1006&gt;0,ISNUMBER($B$100)),MAX(0,$B$100-3*SQRT($B$100/P1006)),"")</f>
        <v/>
      </c>
      <c r="T1006" s="11">
        <f>IF(AND(ISNUMBER(P1006),ISNUMBER(Q1006),P1006&gt;0,ISNUMBER($B$100)),$B$100+3*SQRT($B$100/P1006),"")</f>
        <v/>
      </c>
      <c r="U1006" s="13">
        <f>IF(AND(ISNUMBER(R1006),ISNUMBER(S1006),ISNUMBER(T1006)),IF(R1006&gt;T1006,"boven UCL",IF(R1006&lt;S1006,"onder LCL","")),"")</f>
        <v/>
      </c>
    </row>
    <row r="1007">
      <c r="A1007" t="n">
        <v>901</v>
      </c>
      <c r="B1007" s="7" t="n"/>
      <c r="C1007" s="11">
        <f>IF(AND(ISNUMBER(B1007),ISNUMBER(B1006)),ABS(B1007-B1006),"")</f>
        <v/>
      </c>
      <c r="D1007" s="13">
        <f>IF(AND(ISNUMBER(B1007),ISNUMBER($B$88),ISNUMBER($D$88)),IF(B1007&gt;$D$88,"boven UCL",IF(B1007&lt;$B$88,"onder LCL","")),"")</f>
        <v/>
      </c>
      <c r="E1007" s="13">
        <f>IF(AND(ISNUMBER(C1007),ISNUMBER($B$89),ISNUMBER($D$89)),IF(C1007&gt;$D$89,"boven UCL",IF(C1007&lt;$B$89,"onder LCL","")),"")</f>
        <v/>
      </c>
      <c r="G1007" t="n">
        <v>901</v>
      </c>
      <c r="H1007" s="7" t="n"/>
      <c r="I1007" s="7" t="n"/>
      <c r="J1007" s="11">
        <f>IF(AND(ISNUMBER(H1007),ISNUMBER(I1007),H1007&gt;0,ISNUMBER($B$94)),I1007/H1007,"")</f>
        <v/>
      </c>
      <c r="K1007" s="11">
        <f>IF(AND(ISNUMBER(H1007),ISNUMBER(I1007),H1007&gt;0,ISNUMBER($B$94)),MAX(0,$B$94-3*SQRT($B$94*(1-$B$94)/H1007)),"")</f>
        <v/>
      </c>
      <c r="L1007" s="11">
        <f>IF(AND(ISNUMBER(H1007),ISNUMBER(I1007),H1007&gt;0,ISNUMBER($B$94)),$B$94+3*SQRT($B$94*(1-$B$94)/H1007),"")</f>
        <v/>
      </c>
      <c r="M1007" s="13">
        <f>IF(AND(ISNUMBER(J1007),ISNUMBER(K1007),ISNUMBER(L1007)),IF(J1007&gt;L1007,"boven UCL",IF(J1007&lt;K1007,"onder LCL","")),"")</f>
        <v/>
      </c>
      <c r="O1007" t="n">
        <v>901</v>
      </c>
      <c r="P1007" s="7" t="n"/>
      <c r="Q1007" s="7" t="n"/>
      <c r="R1007" s="11">
        <f>IF(AND(ISNUMBER(P1007),ISNUMBER(Q1007),P1007&gt;0,ISNUMBER($B$100)),Q1007/P1007,"")</f>
        <v/>
      </c>
      <c r="S1007" s="11">
        <f>IF(AND(ISNUMBER(P1007),ISNUMBER(Q1007),P1007&gt;0,ISNUMBER($B$100)),MAX(0,$B$100-3*SQRT($B$100/P1007)),"")</f>
        <v/>
      </c>
      <c r="T1007" s="11">
        <f>IF(AND(ISNUMBER(P1007),ISNUMBER(Q1007),P1007&gt;0,ISNUMBER($B$100)),$B$100+3*SQRT($B$100/P1007),"")</f>
        <v/>
      </c>
      <c r="U1007" s="13">
        <f>IF(AND(ISNUMBER(R1007),ISNUMBER(S1007),ISNUMBER(T1007)),IF(R1007&gt;T1007,"boven UCL",IF(R1007&lt;S1007,"onder LCL","")),"")</f>
        <v/>
      </c>
    </row>
    <row r="1008">
      <c r="A1008" t="n">
        <v>902</v>
      </c>
      <c r="B1008" s="7" t="n"/>
      <c r="C1008" s="11">
        <f>IF(AND(ISNUMBER(B1008),ISNUMBER(B1007)),ABS(B1008-B1007),"")</f>
        <v/>
      </c>
      <c r="D1008" s="13">
        <f>IF(AND(ISNUMBER(B1008),ISNUMBER($B$88),ISNUMBER($D$88)),IF(B1008&gt;$D$88,"boven UCL",IF(B1008&lt;$B$88,"onder LCL","")),"")</f>
        <v/>
      </c>
      <c r="E1008" s="13">
        <f>IF(AND(ISNUMBER(C1008),ISNUMBER($B$89),ISNUMBER($D$89)),IF(C1008&gt;$D$89,"boven UCL",IF(C1008&lt;$B$89,"onder LCL","")),"")</f>
        <v/>
      </c>
      <c r="G1008" t="n">
        <v>902</v>
      </c>
      <c r="H1008" s="7" t="n"/>
      <c r="I1008" s="7" t="n"/>
      <c r="J1008" s="11">
        <f>IF(AND(ISNUMBER(H1008),ISNUMBER(I1008),H1008&gt;0,ISNUMBER($B$94)),I1008/H1008,"")</f>
        <v/>
      </c>
      <c r="K1008" s="11">
        <f>IF(AND(ISNUMBER(H1008),ISNUMBER(I1008),H1008&gt;0,ISNUMBER($B$94)),MAX(0,$B$94-3*SQRT($B$94*(1-$B$94)/H1008)),"")</f>
        <v/>
      </c>
      <c r="L1008" s="11">
        <f>IF(AND(ISNUMBER(H1008),ISNUMBER(I1008),H1008&gt;0,ISNUMBER($B$94)),$B$94+3*SQRT($B$94*(1-$B$94)/H1008),"")</f>
        <v/>
      </c>
      <c r="M1008" s="13">
        <f>IF(AND(ISNUMBER(J1008),ISNUMBER(K1008),ISNUMBER(L1008)),IF(J1008&gt;L1008,"boven UCL",IF(J1008&lt;K1008,"onder LCL","")),"")</f>
        <v/>
      </c>
      <c r="O1008" t="n">
        <v>902</v>
      </c>
      <c r="P1008" s="7" t="n"/>
      <c r="Q1008" s="7" t="n"/>
      <c r="R1008" s="11">
        <f>IF(AND(ISNUMBER(P1008),ISNUMBER(Q1008),P1008&gt;0,ISNUMBER($B$100)),Q1008/P1008,"")</f>
        <v/>
      </c>
      <c r="S1008" s="11">
        <f>IF(AND(ISNUMBER(P1008),ISNUMBER(Q1008),P1008&gt;0,ISNUMBER($B$100)),MAX(0,$B$100-3*SQRT($B$100/P1008)),"")</f>
        <v/>
      </c>
      <c r="T1008" s="11">
        <f>IF(AND(ISNUMBER(P1008),ISNUMBER(Q1008),P1008&gt;0,ISNUMBER($B$100)),$B$100+3*SQRT($B$100/P1008),"")</f>
        <v/>
      </c>
      <c r="U1008" s="13">
        <f>IF(AND(ISNUMBER(R1008),ISNUMBER(S1008),ISNUMBER(T1008)),IF(R1008&gt;T1008,"boven UCL",IF(R1008&lt;S1008,"onder LCL","")),"")</f>
        <v/>
      </c>
    </row>
    <row r="1009">
      <c r="A1009" t="n">
        <v>903</v>
      </c>
      <c r="B1009" s="7" t="n"/>
      <c r="C1009" s="11">
        <f>IF(AND(ISNUMBER(B1009),ISNUMBER(B1008)),ABS(B1009-B1008),"")</f>
        <v/>
      </c>
      <c r="D1009" s="13">
        <f>IF(AND(ISNUMBER(B1009),ISNUMBER($B$88),ISNUMBER($D$88)),IF(B1009&gt;$D$88,"boven UCL",IF(B1009&lt;$B$88,"onder LCL","")),"")</f>
        <v/>
      </c>
      <c r="E1009" s="13">
        <f>IF(AND(ISNUMBER(C1009),ISNUMBER($B$89),ISNUMBER($D$89)),IF(C1009&gt;$D$89,"boven UCL",IF(C1009&lt;$B$89,"onder LCL","")),"")</f>
        <v/>
      </c>
      <c r="G1009" t="n">
        <v>903</v>
      </c>
      <c r="H1009" s="7" t="n"/>
      <c r="I1009" s="7" t="n"/>
      <c r="J1009" s="11">
        <f>IF(AND(ISNUMBER(H1009),ISNUMBER(I1009),H1009&gt;0,ISNUMBER($B$94)),I1009/H1009,"")</f>
        <v/>
      </c>
      <c r="K1009" s="11">
        <f>IF(AND(ISNUMBER(H1009),ISNUMBER(I1009),H1009&gt;0,ISNUMBER($B$94)),MAX(0,$B$94-3*SQRT($B$94*(1-$B$94)/H1009)),"")</f>
        <v/>
      </c>
      <c r="L1009" s="11">
        <f>IF(AND(ISNUMBER(H1009),ISNUMBER(I1009),H1009&gt;0,ISNUMBER($B$94)),$B$94+3*SQRT($B$94*(1-$B$94)/H1009),"")</f>
        <v/>
      </c>
      <c r="M1009" s="13">
        <f>IF(AND(ISNUMBER(J1009),ISNUMBER(K1009),ISNUMBER(L1009)),IF(J1009&gt;L1009,"boven UCL",IF(J1009&lt;K1009,"onder LCL","")),"")</f>
        <v/>
      </c>
      <c r="O1009" t="n">
        <v>903</v>
      </c>
      <c r="P1009" s="7" t="n"/>
      <c r="Q1009" s="7" t="n"/>
      <c r="R1009" s="11">
        <f>IF(AND(ISNUMBER(P1009),ISNUMBER(Q1009),P1009&gt;0,ISNUMBER($B$100)),Q1009/P1009,"")</f>
        <v/>
      </c>
      <c r="S1009" s="11">
        <f>IF(AND(ISNUMBER(P1009),ISNUMBER(Q1009),P1009&gt;0,ISNUMBER($B$100)),MAX(0,$B$100-3*SQRT($B$100/P1009)),"")</f>
        <v/>
      </c>
      <c r="T1009" s="11">
        <f>IF(AND(ISNUMBER(P1009),ISNUMBER(Q1009),P1009&gt;0,ISNUMBER($B$100)),$B$100+3*SQRT($B$100/P1009),"")</f>
        <v/>
      </c>
      <c r="U1009" s="13">
        <f>IF(AND(ISNUMBER(R1009),ISNUMBER(S1009),ISNUMBER(T1009)),IF(R1009&gt;T1009,"boven UCL",IF(R1009&lt;S1009,"onder LCL","")),"")</f>
        <v/>
      </c>
    </row>
    <row r="1010">
      <c r="A1010" t="n">
        <v>904</v>
      </c>
      <c r="B1010" s="7" t="n"/>
      <c r="C1010" s="11">
        <f>IF(AND(ISNUMBER(B1010),ISNUMBER(B1009)),ABS(B1010-B1009),"")</f>
        <v/>
      </c>
      <c r="D1010" s="13">
        <f>IF(AND(ISNUMBER(B1010),ISNUMBER($B$88),ISNUMBER($D$88)),IF(B1010&gt;$D$88,"boven UCL",IF(B1010&lt;$B$88,"onder LCL","")),"")</f>
        <v/>
      </c>
      <c r="E1010" s="13">
        <f>IF(AND(ISNUMBER(C1010),ISNUMBER($B$89),ISNUMBER($D$89)),IF(C1010&gt;$D$89,"boven UCL",IF(C1010&lt;$B$89,"onder LCL","")),"")</f>
        <v/>
      </c>
      <c r="G1010" t="n">
        <v>904</v>
      </c>
      <c r="H1010" s="7" t="n"/>
      <c r="I1010" s="7" t="n"/>
      <c r="J1010" s="11">
        <f>IF(AND(ISNUMBER(H1010),ISNUMBER(I1010),H1010&gt;0,ISNUMBER($B$94)),I1010/H1010,"")</f>
        <v/>
      </c>
      <c r="K1010" s="11">
        <f>IF(AND(ISNUMBER(H1010),ISNUMBER(I1010),H1010&gt;0,ISNUMBER($B$94)),MAX(0,$B$94-3*SQRT($B$94*(1-$B$94)/H1010)),"")</f>
        <v/>
      </c>
      <c r="L1010" s="11">
        <f>IF(AND(ISNUMBER(H1010),ISNUMBER(I1010),H1010&gt;0,ISNUMBER($B$94)),$B$94+3*SQRT($B$94*(1-$B$94)/H1010),"")</f>
        <v/>
      </c>
      <c r="M1010" s="13">
        <f>IF(AND(ISNUMBER(J1010),ISNUMBER(K1010),ISNUMBER(L1010)),IF(J1010&gt;L1010,"boven UCL",IF(J1010&lt;K1010,"onder LCL","")),"")</f>
        <v/>
      </c>
      <c r="O1010" t="n">
        <v>904</v>
      </c>
      <c r="P1010" s="7" t="n"/>
      <c r="Q1010" s="7" t="n"/>
      <c r="R1010" s="11">
        <f>IF(AND(ISNUMBER(P1010),ISNUMBER(Q1010),P1010&gt;0,ISNUMBER($B$100)),Q1010/P1010,"")</f>
        <v/>
      </c>
      <c r="S1010" s="11">
        <f>IF(AND(ISNUMBER(P1010),ISNUMBER(Q1010),P1010&gt;0,ISNUMBER($B$100)),MAX(0,$B$100-3*SQRT($B$100/P1010)),"")</f>
        <v/>
      </c>
      <c r="T1010" s="11">
        <f>IF(AND(ISNUMBER(P1010),ISNUMBER(Q1010),P1010&gt;0,ISNUMBER($B$100)),$B$100+3*SQRT($B$100/P1010),"")</f>
        <v/>
      </c>
      <c r="U1010" s="13">
        <f>IF(AND(ISNUMBER(R1010),ISNUMBER(S1010),ISNUMBER(T1010)),IF(R1010&gt;T1010,"boven UCL",IF(R1010&lt;S1010,"onder LCL","")),"")</f>
        <v/>
      </c>
    </row>
    <row r="1011">
      <c r="A1011" t="n">
        <v>905</v>
      </c>
      <c r="B1011" s="7" t="n"/>
      <c r="C1011" s="11">
        <f>IF(AND(ISNUMBER(B1011),ISNUMBER(B1010)),ABS(B1011-B1010),"")</f>
        <v/>
      </c>
      <c r="D1011" s="13">
        <f>IF(AND(ISNUMBER(B1011),ISNUMBER($B$88),ISNUMBER($D$88)),IF(B1011&gt;$D$88,"boven UCL",IF(B1011&lt;$B$88,"onder LCL","")),"")</f>
        <v/>
      </c>
      <c r="E1011" s="13">
        <f>IF(AND(ISNUMBER(C1011),ISNUMBER($B$89),ISNUMBER($D$89)),IF(C1011&gt;$D$89,"boven UCL",IF(C1011&lt;$B$89,"onder LCL","")),"")</f>
        <v/>
      </c>
      <c r="G1011" t="n">
        <v>905</v>
      </c>
      <c r="H1011" s="7" t="n"/>
      <c r="I1011" s="7" t="n"/>
      <c r="J1011" s="11">
        <f>IF(AND(ISNUMBER(H1011),ISNUMBER(I1011),H1011&gt;0,ISNUMBER($B$94)),I1011/H1011,"")</f>
        <v/>
      </c>
      <c r="K1011" s="11">
        <f>IF(AND(ISNUMBER(H1011),ISNUMBER(I1011),H1011&gt;0,ISNUMBER($B$94)),MAX(0,$B$94-3*SQRT($B$94*(1-$B$94)/H1011)),"")</f>
        <v/>
      </c>
      <c r="L1011" s="11">
        <f>IF(AND(ISNUMBER(H1011),ISNUMBER(I1011),H1011&gt;0,ISNUMBER($B$94)),$B$94+3*SQRT($B$94*(1-$B$94)/H1011),"")</f>
        <v/>
      </c>
      <c r="M1011" s="13">
        <f>IF(AND(ISNUMBER(J1011),ISNUMBER(K1011),ISNUMBER(L1011)),IF(J1011&gt;L1011,"boven UCL",IF(J1011&lt;K1011,"onder LCL","")),"")</f>
        <v/>
      </c>
      <c r="O1011" t="n">
        <v>905</v>
      </c>
      <c r="P1011" s="7" t="n"/>
      <c r="Q1011" s="7" t="n"/>
      <c r="R1011" s="11">
        <f>IF(AND(ISNUMBER(P1011),ISNUMBER(Q1011),P1011&gt;0,ISNUMBER($B$100)),Q1011/P1011,"")</f>
        <v/>
      </c>
      <c r="S1011" s="11">
        <f>IF(AND(ISNUMBER(P1011),ISNUMBER(Q1011),P1011&gt;0,ISNUMBER($B$100)),MAX(0,$B$100-3*SQRT($B$100/P1011)),"")</f>
        <v/>
      </c>
      <c r="T1011" s="11">
        <f>IF(AND(ISNUMBER(P1011),ISNUMBER(Q1011),P1011&gt;0,ISNUMBER($B$100)),$B$100+3*SQRT($B$100/P1011),"")</f>
        <v/>
      </c>
      <c r="U1011" s="13">
        <f>IF(AND(ISNUMBER(R1011),ISNUMBER(S1011),ISNUMBER(T1011)),IF(R1011&gt;T1011,"boven UCL",IF(R1011&lt;S1011,"onder LCL","")),"")</f>
        <v/>
      </c>
    </row>
    <row r="1012">
      <c r="A1012" t="n">
        <v>906</v>
      </c>
      <c r="B1012" s="7" t="n"/>
      <c r="C1012" s="11">
        <f>IF(AND(ISNUMBER(B1012),ISNUMBER(B1011)),ABS(B1012-B1011),"")</f>
        <v/>
      </c>
      <c r="D1012" s="13">
        <f>IF(AND(ISNUMBER(B1012),ISNUMBER($B$88),ISNUMBER($D$88)),IF(B1012&gt;$D$88,"boven UCL",IF(B1012&lt;$B$88,"onder LCL","")),"")</f>
        <v/>
      </c>
      <c r="E1012" s="13">
        <f>IF(AND(ISNUMBER(C1012),ISNUMBER($B$89),ISNUMBER($D$89)),IF(C1012&gt;$D$89,"boven UCL",IF(C1012&lt;$B$89,"onder LCL","")),"")</f>
        <v/>
      </c>
      <c r="G1012" t="n">
        <v>906</v>
      </c>
      <c r="H1012" s="7" t="n"/>
      <c r="I1012" s="7" t="n"/>
      <c r="J1012" s="11">
        <f>IF(AND(ISNUMBER(H1012),ISNUMBER(I1012),H1012&gt;0,ISNUMBER($B$94)),I1012/H1012,"")</f>
        <v/>
      </c>
      <c r="K1012" s="11">
        <f>IF(AND(ISNUMBER(H1012),ISNUMBER(I1012),H1012&gt;0,ISNUMBER($B$94)),MAX(0,$B$94-3*SQRT($B$94*(1-$B$94)/H1012)),"")</f>
        <v/>
      </c>
      <c r="L1012" s="11">
        <f>IF(AND(ISNUMBER(H1012),ISNUMBER(I1012),H1012&gt;0,ISNUMBER($B$94)),$B$94+3*SQRT($B$94*(1-$B$94)/H1012),"")</f>
        <v/>
      </c>
      <c r="M1012" s="13">
        <f>IF(AND(ISNUMBER(J1012),ISNUMBER(K1012),ISNUMBER(L1012)),IF(J1012&gt;L1012,"boven UCL",IF(J1012&lt;K1012,"onder LCL","")),"")</f>
        <v/>
      </c>
      <c r="O1012" t="n">
        <v>906</v>
      </c>
      <c r="P1012" s="7" t="n"/>
      <c r="Q1012" s="7" t="n"/>
      <c r="R1012" s="11">
        <f>IF(AND(ISNUMBER(P1012),ISNUMBER(Q1012),P1012&gt;0,ISNUMBER($B$100)),Q1012/P1012,"")</f>
        <v/>
      </c>
      <c r="S1012" s="11">
        <f>IF(AND(ISNUMBER(P1012),ISNUMBER(Q1012),P1012&gt;0,ISNUMBER($B$100)),MAX(0,$B$100-3*SQRT($B$100/P1012)),"")</f>
        <v/>
      </c>
      <c r="T1012" s="11">
        <f>IF(AND(ISNUMBER(P1012),ISNUMBER(Q1012),P1012&gt;0,ISNUMBER($B$100)),$B$100+3*SQRT($B$100/P1012),"")</f>
        <v/>
      </c>
      <c r="U1012" s="13">
        <f>IF(AND(ISNUMBER(R1012),ISNUMBER(S1012),ISNUMBER(T1012)),IF(R1012&gt;T1012,"boven UCL",IF(R1012&lt;S1012,"onder LCL","")),"")</f>
        <v/>
      </c>
    </row>
    <row r="1013">
      <c r="A1013" t="n">
        <v>907</v>
      </c>
      <c r="B1013" s="7" t="n"/>
      <c r="C1013" s="11">
        <f>IF(AND(ISNUMBER(B1013),ISNUMBER(B1012)),ABS(B1013-B1012),"")</f>
        <v/>
      </c>
      <c r="D1013" s="13">
        <f>IF(AND(ISNUMBER(B1013),ISNUMBER($B$88),ISNUMBER($D$88)),IF(B1013&gt;$D$88,"boven UCL",IF(B1013&lt;$B$88,"onder LCL","")),"")</f>
        <v/>
      </c>
      <c r="E1013" s="13">
        <f>IF(AND(ISNUMBER(C1013),ISNUMBER($B$89),ISNUMBER($D$89)),IF(C1013&gt;$D$89,"boven UCL",IF(C1013&lt;$B$89,"onder LCL","")),"")</f>
        <v/>
      </c>
      <c r="G1013" t="n">
        <v>907</v>
      </c>
      <c r="H1013" s="7" t="n"/>
      <c r="I1013" s="7" t="n"/>
      <c r="J1013" s="11">
        <f>IF(AND(ISNUMBER(H1013),ISNUMBER(I1013),H1013&gt;0,ISNUMBER($B$94)),I1013/H1013,"")</f>
        <v/>
      </c>
      <c r="K1013" s="11">
        <f>IF(AND(ISNUMBER(H1013),ISNUMBER(I1013),H1013&gt;0,ISNUMBER($B$94)),MAX(0,$B$94-3*SQRT($B$94*(1-$B$94)/H1013)),"")</f>
        <v/>
      </c>
      <c r="L1013" s="11">
        <f>IF(AND(ISNUMBER(H1013),ISNUMBER(I1013),H1013&gt;0,ISNUMBER($B$94)),$B$94+3*SQRT($B$94*(1-$B$94)/H1013),"")</f>
        <v/>
      </c>
      <c r="M1013" s="13">
        <f>IF(AND(ISNUMBER(J1013),ISNUMBER(K1013),ISNUMBER(L1013)),IF(J1013&gt;L1013,"boven UCL",IF(J1013&lt;K1013,"onder LCL","")),"")</f>
        <v/>
      </c>
      <c r="O1013" t="n">
        <v>907</v>
      </c>
      <c r="P1013" s="7" t="n"/>
      <c r="Q1013" s="7" t="n"/>
      <c r="R1013" s="11">
        <f>IF(AND(ISNUMBER(P1013),ISNUMBER(Q1013),P1013&gt;0,ISNUMBER($B$100)),Q1013/P1013,"")</f>
        <v/>
      </c>
      <c r="S1013" s="11">
        <f>IF(AND(ISNUMBER(P1013),ISNUMBER(Q1013),P1013&gt;0,ISNUMBER($B$100)),MAX(0,$B$100-3*SQRT($B$100/P1013)),"")</f>
        <v/>
      </c>
      <c r="T1013" s="11">
        <f>IF(AND(ISNUMBER(P1013),ISNUMBER(Q1013),P1013&gt;0,ISNUMBER($B$100)),$B$100+3*SQRT($B$100/P1013),"")</f>
        <v/>
      </c>
      <c r="U1013" s="13">
        <f>IF(AND(ISNUMBER(R1013),ISNUMBER(S1013),ISNUMBER(T1013)),IF(R1013&gt;T1013,"boven UCL",IF(R1013&lt;S1013,"onder LCL","")),"")</f>
        <v/>
      </c>
    </row>
    <row r="1014">
      <c r="A1014" t="n">
        <v>908</v>
      </c>
      <c r="B1014" s="7" t="n"/>
      <c r="C1014" s="11">
        <f>IF(AND(ISNUMBER(B1014),ISNUMBER(B1013)),ABS(B1014-B1013),"")</f>
        <v/>
      </c>
      <c r="D1014" s="13">
        <f>IF(AND(ISNUMBER(B1014),ISNUMBER($B$88),ISNUMBER($D$88)),IF(B1014&gt;$D$88,"boven UCL",IF(B1014&lt;$B$88,"onder LCL","")),"")</f>
        <v/>
      </c>
      <c r="E1014" s="13">
        <f>IF(AND(ISNUMBER(C1014),ISNUMBER($B$89),ISNUMBER($D$89)),IF(C1014&gt;$D$89,"boven UCL",IF(C1014&lt;$B$89,"onder LCL","")),"")</f>
        <v/>
      </c>
      <c r="G1014" t="n">
        <v>908</v>
      </c>
      <c r="H1014" s="7" t="n"/>
      <c r="I1014" s="7" t="n"/>
      <c r="J1014" s="11">
        <f>IF(AND(ISNUMBER(H1014),ISNUMBER(I1014),H1014&gt;0,ISNUMBER($B$94)),I1014/H1014,"")</f>
        <v/>
      </c>
      <c r="K1014" s="11">
        <f>IF(AND(ISNUMBER(H1014),ISNUMBER(I1014),H1014&gt;0,ISNUMBER($B$94)),MAX(0,$B$94-3*SQRT($B$94*(1-$B$94)/H1014)),"")</f>
        <v/>
      </c>
      <c r="L1014" s="11">
        <f>IF(AND(ISNUMBER(H1014),ISNUMBER(I1014),H1014&gt;0,ISNUMBER($B$94)),$B$94+3*SQRT($B$94*(1-$B$94)/H1014),"")</f>
        <v/>
      </c>
      <c r="M1014" s="13">
        <f>IF(AND(ISNUMBER(J1014),ISNUMBER(K1014),ISNUMBER(L1014)),IF(J1014&gt;L1014,"boven UCL",IF(J1014&lt;K1014,"onder LCL","")),"")</f>
        <v/>
      </c>
      <c r="O1014" t="n">
        <v>908</v>
      </c>
      <c r="P1014" s="7" t="n"/>
      <c r="Q1014" s="7" t="n"/>
      <c r="R1014" s="11">
        <f>IF(AND(ISNUMBER(P1014),ISNUMBER(Q1014),P1014&gt;0,ISNUMBER($B$100)),Q1014/P1014,"")</f>
        <v/>
      </c>
      <c r="S1014" s="11">
        <f>IF(AND(ISNUMBER(P1014),ISNUMBER(Q1014),P1014&gt;0,ISNUMBER($B$100)),MAX(0,$B$100-3*SQRT($B$100/P1014)),"")</f>
        <v/>
      </c>
      <c r="T1014" s="11">
        <f>IF(AND(ISNUMBER(P1014),ISNUMBER(Q1014),P1014&gt;0,ISNUMBER($B$100)),$B$100+3*SQRT($B$100/P1014),"")</f>
        <v/>
      </c>
      <c r="U1014" s="13">
        <f>IF(AND(ISNUMBER(R1014),ISNUMBER(S1014),ISNUMBER(T1014)),IF(R1014&gt;T1014,"boven UCL",IF(R1014&lt;S1014,"onder LCL","")),"")</f>
        <v/>
      </c>
    </row>
    <row r="1015">
      <c r="A1015" t="n">
        <v>909</v>
      </c>
      <c r="B1015" s="7" t="n"/>
      <c r="C1015" s="11">
        <f>IF(AND(ISNUMBER(B1015),ISNUMBER(B1014)),ABS(B1015-B1014),"")</f>
        <v/>
      </c>
      <c r="D1015" s="13">
        <f>IF(AND(ISNUMBER(B1015),ISNUMBER($B$88),ISNUMBER($D$88)),IF(B1015&gt;$D$88,"boven UCL",IF(B1015&lt;$B$88,"onder LCL","")),"")</f>
        <v/>
      </c>
      <c r="E1015" s="13">
        <f>IF(AND(ISNUMBER(C1015),ISNUMBER($B$89),ISNUMBER($D$89)),IF(C1015&gt;$D$89,"boven UCL",IF(C1015&lt;$B$89,"onder LCL","")),"")</f>
        <v/>
      </c>
      <c r="G1015" t="n">
        <v>909</v>
      </c>
      <c r="H1015" s="7" t="n"/>
      <c r="I1015" s="7" t="n"/>
      <c r="J1015" s="11">
        <f>IF(AND(ISNUMBER(H1015),ISNUMBER(I1015),H1015&gt;0,ISNUMBER($B$94)),I1015/H1015,"")</f>
        <v/>
      </c>
      <c r="K1015" s="11">
        <f>IF(AND(ISNUMBER(H1015),ISNUMBER(I1015),H1015&gt;0,ISNUMBER($B$94)),MAX(0,$B$94-3*SQRT($B$94*(1-$B$94)/H1015)),"")</f>
        <v/>
      </c>
      <c r="L1015" s="11">
        <f>IF(AND(ISNUMBER(H1015),ISNUMBER(I1015),H1015&gt;0,ISNUMBER($B$94)),$B$94+3*SQRT($B$94*(1-$B$94)/H1015),"")</f>
        <v/>
      </c>
      <c r="M1015" s="13">
        <f>IF(AND(ISNUMBER(J1015),ISNUMBER(K1015),ISNUMBER(L1015)),IF(J1015&gt;L1015,"boven UCL",IF(J1015&lt;K1015,"onder LCL","")),"")</f>
        <v/>
      </c>
      <c r="O1015" t="n">
        <v>909</v>
      </c>
      <c r="P1015" s="7" t="n"/>
      <c r="Q1015" s="7" t="n"/>
      <c r="R1015" s="11">
        <f>IF(AND(ISNUMBER(P1015),ISNUMBER(Q1015),P1015&gt;0,ISNUMBER($B$100)),Q1015/P1015,"")</f>
        <v/>
      </c>
      <c r="S1015" s="11">
        <f>IF(AND(ISNUMBER(P1015),ISNUMBER(Q1015),P1015&gt;0,ISNUMBER($B$100)),MAX(0,$B$100-3*SQRT($B$100/P1015)),"")</f>
        <v/>
      </c>
      <c r="T1015" s="11">
        <f>IF(AND(ISNUMBER(P1015),ISNUMBER(Q1015),P1015&gt;0,ISNUMBER($B$100)),$B$100+3*SQRT($B$100/P1015),"")</f>
        <v/>
      </c>
      <c r="U1015" s="13">
        <f>IF(AND(ISNUMBER(R1015),ISNUMBER(S1015),ISNUMBER(T1015)),IF(R1015&gt;T1015,"boven UCL",IF(R1015&lt;S1015,"onder LCL","")),"")</f>
        <v/>
      </c>
    </row>
    <row r="1016">
      <c r="A1016" t="n">
        <v>910</v>
      </c>
      <c r="B1016" s="7" t="n"/>
      <c r="C1016" s="11">
        <f>IF(AND(ISNUMBER(B1016),ISNUMBER(B1015)),ABS(B1016-B1015),"")</f>
        <v/>
      </c>
      <c r="D1016" s="13">
        <f>IF(AND(ISNUMBER(B1016),ISNUMBER($B$88),ISNUMBER($D$88)),IF(B1016&gt;$D$88,"boven UCL",IF(B1016&lt;$B$88,"onder LCL","")),"")</f>
        <v/>
      </c>
      <c r="E1016" s="13">
        <f>IF(AND(ISNUMBER(C1016),ISNUMBER($B$89),ISNUMBER($D$89)),IF(C1016&gt;$D$89,"boven UCL",IF(C1016&lt;$B$89,"onder LCL","")),"")</f>
        <v/>
      </c>
      <c r="G1016" t="n">
        <v>910</v>
      </c>
      <c r="H1016" s="7" t="n"/>
      <c r="I1016" s="7" t="n"/>
      <c r="J1016" s="11">
        <f>IF(AND(ISNUMBER(H1016),ISNUMBER(I1016),H1016&gt;0,ISNUMBER($B$94)),I1016/H1016,"")</f>
        <v/>
      </c>
      <c r="K1016" s="11">
        <f>IF(AND(ISNUMBER(H1016),ISNUMBER(I1016),H1016&gt;0,ISNUMBER($B$94)),MAX(0,$B$94-3*SQRT($B$94*(1-$B$94)/H1016)),"")</f>
        <v/>
      </c>
      <c r="L1016" s="11">
        <f>IF(AND(ISNUMBER(H1016),ISNUMBER(I1016),H1016&gt;0,ISNUMBER($B$94)),$B$94+3*SQRT($B$94*(1-$B$94)/H1016),"")</f>
        <v/>
      </c>
      <c r="M1016" s="13">
        <f>IF(AND(ISNUMBER(J1016),ISNUMBER(K1016),ISNUMBER(L1016)),IF(J1016&gt;L1016,"boven UCL",IF(J1016&lt;K1016,"onder LCL","")),"")</f>
        <v/>
      </c>
      <c r="O1016" t="n">
        <v>910</v>
      </c>
      <c r="P1016" s="7" t="n"/>
      <c r="Q1016" s="7" t="n"/>
      <c r="R1016" s="11">
        <f>IF(AND(ISNUMBER(P1016),ISNUMBER(Q1016),P1016&gt;0,ISNUMBER($B$100)),Q1016/P1016,"")</f>
        <v/>
      </c>
      <c r="S1016" s="11">
        <f>IF(AND(ISNUMBER(P1016),ISNUMBER(Q1016),P1016&gt;0,ISNUMBER($B$100)),MAX(0,$B$100-3*SQRT($B$100/P1016)),"")</f>
        <v/>
      </c>
      <c r="T1016" s="11">
        <f>IF(AND(ISNUMBER(P1016),ISNUMBER(Q1016),P1016&gt;0,ISNUMBER($B$100)),$B$100+3*SQRT($B$100/P1016),"")</f>
        <v/>
      </c>
      <c r="U1016" s="13">
        <f>IF(AND(ISNUMBER(R1016),ISNUMBER(S1016),ISNUMBER(T1016)),IF(R1016&gt;T1016,"boven UCL",IF(R1016&lt;S1016,"onder LCL","")),"")</f>
        <v/>
      </c>
    </row>
    <row r="1017">
      <c r="A1017" t="n">
        <v>911</v>
      </c>
      <c r="B1017" s="7" t="n"/>
      <c r="C1017" s="11">
        <f>IF(AND(ISNUMBER(B1017),ISNUMBER(B1016)),ABS(B1017-B1016),"")</f>
        <v/>
      </c>
      <c r="D1017" s="13">
        <f>IF(AND(ISNUMBER(B1017),ISNUMBER($B$88),ISNUMBER($D$88)),IF(B1017&gt;$D$88,"boven UCL",IF(B1017&lt;$B$88,"onder LCL","")),"")</f>
        <v/>
      </c>
      <c r="E1017" s="13">
        <f>IF(AND(ISNUMBER(C1017),ISNUMBER($B$89),ISNUMBER($D$89)),IF(C1017&gt;$D$89,"boven UCL",IF(C1017&lt;$B$89,"onder LCL","")),"")</f>
        <v/>
      </c>
      <c r="G1017" t="n">
        <v>911</v>
      </c>
      <c r="H1017" s="7" t="n"/>
      <c r="I1017" s="7" t="n"/>
      <c r="J1017" s="11">
        <f>IF(AND(ISNUMBER(H1017),ISNUMBER(I1017),H1017&gt;0,ISNUMBER($B$94)),I1017/H1017,"")</f>
        <v/>
      </c>
      <c r="K1017" s="11">
        <f>IF(AND(ISNUMBER(H1017),ISNUMBER(I1017),H1017&gt;0,ISNUMBER($B$94)),MAX(0,$B$94-3*SQRT($B$94*(1-$B$94)/H1017)),"")</f>
        <v/>
      </c>
      <c r="L1017" s="11">
        <f>IF(AND(ISNUMBER(H1017),ISNUMBER(I1017),H1017&gt;0,ISNUMBER($B$94)),$B$94+3*SQRT($B$94*(1-$B$94)/H1017),"")</f>
        <v/>
      </c>
      <c r="M1017" s="13">
        <f>IF(AND(ISNUMBER(J1017),ISNUMBER(K1017),ISNUMBER(L1017)),IF(J1017&gt;L1017,"boven UCL",IF(J1017&lt;K1017,"onder LCL","")),"")</f>
        <v/>
      </c>
      <c r="O1017" t="n">
        <v>911</v>
      </c>
      <c r="P1017" s="7" t="n"/>
      <c r="Q1017" s="7" t="n"/>
      <c r="R1017" s="11">
        <f>IF(AND(ISNUMBER(P1017),ISNUMBER(Q1017),P1017&gt;0,ISNUMBER($B$100)),Q1017/P1017,"")</f>
        <v/>
      </c>
      <c r="S1017" s="11">
        <f>IF(AND(ISNUMBER(P1017),ISNUMBER(Q1017),P1017&gt;0,ISNUMBER($B$100)),MAX(0,$B$100-3*SQRT($B$100/P1017)),"")</f>
        <v/>
      </c>
      <c r="T1017" s="11">
        <f>IF(AND(ISNUMBER(P1017),ISNUMBER(Q1017),P1017&gt;0,ISNUMBER($B$100)),$B$100+3*SQRT($B$100/P1017),"")</f>
        <v/>
      </c>
      <c r="U1017" s="13">
        <f>IF(AND(ISNUMBER(R1017),ISNUMBER(S1017),ISNUMBER(T1017)),IF(R1017&gt;T1017,"boven UCL",IF(R1017&lt;S1017,"onder LCL","")),"")</f>
        <v/>
      </c>
    </row>
    <row r="1018">
      <c r="A1018" t="n">
        <v>912</v>
      </c>
      <c r="B1018" s="7" t="n"/>
      <c r="C1018" s="11">
        <f>IF(AND(ISNUMBER(B1018),ISNUMBER(B1017)),ABS(B1018-B1017),"")</f>
        <v/>
      </c>
      <c r="D1018" s="13">
        <f>IF(AND(ISNUMBER(B1018),ISNUMBER($B$88),ISNUMBER($D$88)),IF(B1018&gt;$D$88,"boven UCL",IF(B1018&lt;$B$88,"onder LCL","")),"")</f>
        <v/>
      </c>
      <c r="E1018" s="13">
        <f>IF(AND(ISNUMBER(C1018),ISNUMBER($B$89),ISNUMBER($D$89)),IF(C1018&gt;$D$89,"boven UCL",IF(C1018&lt;$B$89,"onder LCL","")),"")</f>
        <v/>
      </c>
      <c r="G1018" t="n">
        <v>912</v>
      </c>
      <c r="H1018" s="7" t="n"/>
      <c r="I1018" s="7" t="n"/>
      <c r="J1018" s="11">
        <f>IF(AND(ISNUMBER(H1018),ISNUMBER(I1018),H1018&gt;0,ISNUMBER($B$94)),I1018/H1018,"")</f>
        <v/>
      </c>
      <c r="K1018" s="11">
        <f>IF(AND(ISNUMBER(H1018),ISNUMBER(I1018),H1018&gt;0,ISNUMBER($B$94)),MAX(0,$B$94-3*SQRT($B$94*(1-$B$94)/H1018)),"")</f>
        <v/>
      </c>
      <c r="L1018" s="11">
        <f>IF(AND(ISNUMBER(H1018),ISNUMBER(I1018),H1018&gt;0,ISNUMBER($B$94)),$B$94+3*SQRT($B$94*(1-$B$94)/H1018),"")</f>
        <v/>
      </c>
      <c r="M1018" s="13">
        <f>IF(AND(ISNUMBER(J1018),ISNUMBER(K1018),ISNUMBER(L1018)),IF(J1018&gt;L1018,"boven UCL",IF(J1018&lt;K1018,"onder LCL","")),"")</f>
        <v/>
      </c>
      <c r="O1018" t="n">
        <v>912</v>
      </c>
      <c r="P1018" s="7" t="n"/>
      <c r="Q1018" s="7" t="n"/>
      <c r="R1018" s="11">
        <f>IF(AND(ISNUMBER(P1018),ISNUMBER(Q1018),P1018&gt;0,ISNUMBER($B$100)),Q1018/P1018,"")</f>
        <v/>
      </c>
      <c r="S1018" s="11">
        <f>IF(AND(ISNUMBER(P1018),ISNUMBER(Q1018),P1018&gt;0,ISNUMBER($B$100)),MAX(0,$B$100-3*SQRT($B$100/P1018)),"")</f>
        <v/>
      </c>
      <c r="T1018" s="11">
        <f>IF(AND(ISNUMBER(P1018),ISNUMBER(Q1018),P1018&gt;0,ISNUMBER($B$100)),$B$100+3*SQRT($B$100/P1018),"")</f>
        <v/>
      </c>
      <c r="U1018" s="13">
        <f>IF(AND(ISNUMBER(R1018),ISNUMBER(S1018),ISNUMBER(T1018)),IF(R1018&gt;T1018,"boven UCL",IF(R1018&lt;S1018,"onder LCL","")),"")</f>
        <v/>
      </c>
    </row>
    <row r="1019">
      <c r="A1019" t="n">
        <v>913</v>
      </c>
      <c r="B1019" s="7" t="n"/>
      <c r="C1019" s="11">
        <f>IF(AND(ISNUMBER(B1019),ISNUMBER(B1018)),ABS(B1019-B1018),"")</f>
        <v/>
      </c>
      <c r="D1019" s="13">
        <f>IF(AND(ISNUMBER(B1019),ISNUMBER($B$88),ISNUMBER($D$88)),IF(B1019&gt;$D$88,"boven UCL",IF(B1019&lt;$B$88,"onder LCL","")),"")</f>
        <v/>
      </c>
      <c r="E1019" s="13">
        <f>IF(AND(ISNUMBER(C1019),ISNUMBER($B$89),ISNUMBER($D$89)),IF(C1019&gt;$D$89,"boven UCL",IF(C1019&lt;$B$89,"onder LCL","")),"")</f>
        <v/>
      </c>
      <c r="G1019" t="n">
        <v>913</v>
      </c>
      <c r="H1019" s="7" t="n"/>
      <c r="I1019" s="7" t="n"/>
      <c r="J1019" s="11">
        <f>IF(AND(ISNUMBER(H1019),ISNUMBER(I1019),H1019&gt;0,ISNUMBER($B$94)),I1019/H1019,"")</f>
        <v/>
      </c>
      <c r="K1019" s="11">
        <f>IF(AND(ISNUMBER(H1019),ISNUMBER(I1019),H1019&gt;0,ISNUMBER($B$94)),MAX(0,$B$94-3*SQRT($B$94*(1-$B$94)/H1019)),"")</f>
        <v/>
      </c>
      <c r="L1019" s="11">
        <f>IF(AND(ISNUMBER(H1019),ISNUMBER(I1019),H1019&gt;0,ISNUMBER($B$94)),$B$94+3*SQRT($B$94*(1-$B$94)/H1019),"")</f>
        <v/>
      </c>
      <c r="M1019" s="13">
        <f>IF(AND(ISNUMBER(J1019),ISNUMBER(K1019),ISNUMBER(L1019)),IF(J1019&gt;L1019,"boven UCL",IF(J1019&lt;K1019,"onder LCL","")),"")</f>
        <v/>
      </c>
      <c r="O1019" t="n">
        <v>913</v>
      </c>
      <c r="P1019" s="7" t="n"/>
      <c r="Q1019" s="7" t="n"/>
      <c r="R1019" s="11">
        <f>IF(AND(ISNUMBER(P1019),ISNUMBER(Q1019),P1019&gt;0,ISNUMBER($B$100)),Q1019/P1019,"")</f>
        <v/>
      </c>
      <c r="S1019" s="11">
        <f>IF(AND(ISNUMBER(P1019),ISNUMBER(Q1019),P1019&gt;0,ISNUMBER($B$100)),MAX(0,$B$100-3*SQRT($B$100/P1019)),"")</f>
        <v/>
      </c>
      <c r="T1019" s="11">
        <f>IF(AND(ISNUMBER(P1019),ISNUMBER(Q1019),P1019&gt;0,ISNUMBER($B$100)),$B$100+3*SQRT($B$100/P1019),"")</f>
        <v/>
      </c>
      <c r="U1019" s="13">
        <f>IF(AND(ISNUMBER(R1019),ISNUMBER(S1019),ISNUMBER(T1019)),IF(R1019&gt;T1019,"boven UCL",IF(R1019&lt;S1019,"onder LCL","")),"")</f>
        <v/>
      </c>
    </row>
    <row r="1020">
      <c r="A1020" t="n">
        <v>914</v>
      </c>
      <c r="B1020" s="7" t="n"/>
      <c r="C1020" s="11">
        <f>IF(AND(ISNUMBER(B1020),ISNUMBER(B1019)),ABS(B1020-B1019),"")</f>
        <v/>
      </c>
      <c r="D1020" s="13">
        <f>IF(AND(ISNUMBER(B1020),ISNUMBER($B$88),ISNUMBER($D$88)),IF(B1020&gt;$D$88,"boven UCL",IF(B1020&lt;$B$88,"onder LCL","")),"")</f>
        <v/>
      </c>
      <c r="E1020" s="13">
        <f>IF(AND(ISNUMBER(C1020),ISNUMBER($B$89),ISNUMBER($D$89)),IF(C1020&gt;$D$89,"boven UCL",IF(C1020&lt;$B$89,"onder LCL","")),"")</f>
        <v/>
      </c>
      <c r="G1020" t="n">
        <v>914</v>
      </c>
      <c r="H1020" s="7" t="n"/>
      <c r="I1020" s="7" t="n"/>
      <c r="J1020" s="11">
        <f>IF(AND(ISNUMBER(H1020),ISNUMBER(I1020),H1020&gt;0,ISNUMBER($B$94)),I1020/H1020,"")</f>
        <v/>
      </c>
      <c r="K1020" s="11">
        <f>IF(AND(ISNUMBER(H1020),ISNUMBER(I1020),H1020&gt;0,ISNUMBER($B$94)),MAX(0,$B$94-3*SQRT($B$94*(1-$B$94)/H1020)),"")</f>
        <v/>
      </c>
      <c r="L1020" s="11">
        <f>IF(AND(ISNUMBER(H1020),ISNUMBER(I1020),H1020&gt;0,ISNUMBER($B$94)),$B$94+3*SQRT($B$94*(1-$B$94)/H1020),"")</f>
        <v/>
      </c>
      <c r="M1020" s="13">
        <f>IF(AND(ISNUMBER(J1020),ISNUMBER(K1020),ISNUMBER(L1020)),IF(J1020&gt;L1020,"boven UCL",IF(J1020&lt;K1020,"onder LCL","")),"")</f>
        <v/>
      </c>
      <c r="O1020" t="n">
        <v>914</v>
      </c>
      <c r="P1020" s="7" t="n"/>
      <c r="Q1020" s="7" t="n"/>
      <c r="R1020" s="11">
        <f>IF(AND(ISNUMBER(P1020),ISNUMBER(Q1020),P1020&gt;0,ISNUMBER($B$100)),Q1020/P1020,"")</f>
        <v/>
      </c>
      <c r="S1020" s="11">
        <f>IF(AND(ISNUMBER(P1020),ISNUMBER(Q1020),P1020&gt;0,ISNUMBER($B$100)),MAX(0,$B$100-3*SQRT($B$100/P1020)),"")</f>
        <v/>
      </c>
      <c r="T1020" s="11">
        <f>IF(AND(ISNUMBER(P1020),ISNUMBER(Q1020),P1020&gt;0,ISNUMBER($B$100)),$B$100+3*SQRT($B$100/P1020),"")</f>
        <v/>
      </c>
      <c r="U1020" s="13">
        <f>IF(AND(ISNUMBER(R1020),ISNUMBER(S1020),ISNUMBER(T1020)),IF(R1020&gt;T1020,"boven UCL",IF(R1020&lt;S1020,"onder LCL","")),"")</f>
        <v/>
      </c>
    </row>
    <row r="1021">
      <c r="A1021" t="n">
        <v>915</v>
      </c>
      <c r="B1021" s="7" t="n"/>
      <c r="C1021" s="11">
        <f>IF(AND(ISNUMBER(B1021),ISNUMBER(B1020)),ABS(B1021-B1020),"")</f>
        <v/>
      </c>
      <c r="D1021" s="13">
        <f>IF(AND(ISNUMBER(B1021),ISNUMBER($B$88),ISNUMBER($D$88)),IF(B1021&gt;$D$88,"boven UCL",IF(B1021&lt;$B$88,"onder LCL","")),"")</f>
        <v/>
      </c>
      <c r="E1021" s="13">
        <f>IF(AND(ISNUMBER(C1021),ISNUMBER($B$89),ISNUMBER($D$89)),IF(C1021&gt;$D$89,"boven UCL",IF(C1021&lt;$B$89,"onder LCL","")),"")</f>
        <v/>
      </c>
      <c r="G1021" t="n">
        <v>915</v>
      </c>
      <c r="H1021" s="7" t="n"/>
      <c r="I1021" s="7" t="n"/>
      <c r="J1021" s="11">
        <f>IF(AND(ISNUMBER(H1021),ISNUMBER(I1021),H1021&gt;0,ISNUMBER($B$94)),I1021/H1021,"")</f>
        <v/>
      </c>
      <c r="K1021" s="11">
        <f>IF(AND(ISNUMBER(H1021),ISNUMBER(I1021),H1021&gt;0,ISNUMBER($B$94)),MAX(0,$B$94-3*SQRT($B$94*(1-$B$94)/H1021)),"")</f>
        <v/>
      </c>
      <c r="L1021" s="11">
        <f>IF(AND(ISNUMBER(H1021),ISNUMBER(I1021),H1021&gt;0,ISNUMBER($B$94)),$B$94+3*SQRT($B$94*(1-$B$94)/H1021),"")</f>
        <v/>
      </c>
      <c r="M1021" s="13">
        <f>IF(AND(ISNUMBER(J1021),ISNUMBER(K1021),ISNUMBER(L1021)),IF(J1021&gt;L1021,"boven UCL",IF(J1021&lt;K1021,"onder LCL","")),"")</f>
        <v/>
      </c>
      <c r="O1021" t="n">
        <v>915</v>
      </c>
      <c r="P1021" s="7" t="n"/>
      <c r="Q1021" s="7" t="n"/>
      <c r="R1021" s="11">
        <f>IF(AND(ISNUMBER(P1021),ISNUMBER(Q1021),P1021&gt;0,ISNUMBER($B$100)),Q1021/P1021,"")</f>
        <v/>
      </c>
      <c r="S1021" s="11">
        <f>IF(AND(ISNUMBER(P1021),ISNUMBER(Q1021),P1021&gt;0,ISNUMBER($B$100)),MAX(0,$B$100-3*SQRT($B$100/P1021)),"")</f>
        <v/>
      </c>
      <c r="T1021" s="11">
        <f>IF(AND(ISNUMBER(P1021),ISNUMBER(Q1021),P1021&gt;0,ISNUMBER($B$100)),$B$100+3*SQRT($B$100/P1021),"")</f>
        <v/>
      </c>
      <c r="U1021" s="13">
        <f>IF(AND(ISNUMBER(R1021),ISNUMBER(S1021),ISNUMBER(T1021)),IF(R1021&gt;T1021,"boven UCL",IF(R1021&lt;S1021,"onder LCL","")),"")</f>
        <v/>
      </c>
    </row>
    <row r="1022">
      <c r="A1022" t="n">
        <v>916</v>
      </c>
      <c r="B1022" s="7" t="n"/>
      <c r="C1022" s="11">
        <f>IF(AND(ISNUMBER(B1022),ISNUMBER(B1021)),ABS(B1022-B1021),"")</f>
        <v/>
      </c>
      <c r="D1022" s="13">
        <f>IF(AND(ISNUMBER(B1022),ISNUMBER($B$88),ISNUMBER($D$88)),IF(B1022&gt;$D$88,"boven UCL",IF(B1022&lt;$B$88,"onder LCL","")),"")</f>
        <v/>
      </c>
      <c r="E1022" s="13">
        <f>IF(AND(ISNUMBER(C1022),ISNUMBER($B$89),ISNUMBER($D$89)),IF(C1022&gt;$D$89,"boven UCL",IF(C1022&lt;$B$89,"onder LCL","")),"")</f>
        <v/>
      </c>
      <c r="G1022" t="n">
        <v>916</v>
      </c>
      <c r="H1022" s="7" t="n"/>
      <c r="I1022" s="7" t="n"/>
      <c r="J1022" s="11">
        <f>IF(AND(ISNUMBER(H1022),ISNUMBER(I1022),H1022&gt;0,ISNUMBER($B$94)),I1022/H1022,"")</f>
        <v/>
      </c>
      <c r="K1022" s="11">
        <f>IF(AND(ISNUMBER(H1022),ISNUMBER(I1022),H1022&gt;0,ISNUMBER($B$94)),MAX(0,$B$94-3*SQRT($B$94*(1-$B$94)/H1022)),"")</f>
        <v/>
      </c>
      <c r="L1022" s="11">
        <f>IF(AND(ISNUMBER(H1022),ISNUMBER(I1022),H1022&gt;0,ISNUMBER($B$94)),$B$94+3*SQRT($B$94*(1-$B$94)/H1022),"")</f>
        <v/>
      </c>
      <c r="M1022" s="13">
        <f>IF(AND(ISNUMBER(J1022),ISNUMBER(K1022),ISNUMBER(L1022)),IF(J1022&gt;L1022,"boven UCL",IF(J1022&lt;K1022,"onder LCL","")),"")</f>
        <v/>
      </c>
      <c r="O1022" t="n">
        <v>916</v>
      </c>
      <c r="P1022" s="7" t="n"/>
      <c r="Q1022" s="7" t="n"/>
      <c r="R1022" s="11">
        <f>IF(AND(ISNUMBER(P1022),ISNUMBER(Q1022),P1022&gt;0,ISNUMBER($B$100)),Q1022/P1022,"")</f>
        <v/>
      </c>
      <c r="S1022" s="11">
        <f>IF(AND(ISNUMBER(P1022),ISNUMBER(Q1022),P1022&gt;0,ISNUMBER($B$100)),MAX(0,$B$100-3*SQRT($B$100/P1022)),"")</f>
        <v/>
      </c>
      <c r="T1022" s="11">
        <f>IF(AND(ISNUMBER(P1022),ISNUMBER(Q1022),P1022&gt;0,ISNUMBER($B$100)),$B$100+3*SQRT($B$100/P1022),"")</f>
        <v/>
      </c>
      <c r="U1022" s="13">
        <f>IF(AND(ISNUMBER(R1022),ISNUMBER(S1022),ISNUMBER(T1022)),IF(R1022&gt;T1022,"boven UCL",IF(R1022&lt;S1022,"onder LCL","")),"")</f>
        <v/>
      </c>
    </row>
    <row r="1023">
      <c r="A1023" t="n">
        <v>917</v>
      </c>
      <c r="B1023" s="7" t="n"/>
      <c r="C1023" s="11">
        <f>IF(AND(ISNUMBER(B1023),ISNUMBER(B1022)),ABS(B1023-B1022),"")</f>
        <v/>
      </c>
      <c r="D1023" s="13">
        <f>IF(AND(ISNUMBER(B1023),ISNUMBER($B$88),ISNUMBER($D$88)),IF(B1023&gt;$D$88,"boven UCL",IF(B1023&lt;$B$88,"onder LCL","")),"")</f>
        <v/>
      </c>
      <c r="E1023" s="13">
        <f>IF(AND(ISNUMBER(C1023),ISNUMBER($B$89),ISNUMBER($D$89)),IF(C1023&gt;$D$89,"boven UCL",IF(C1023&lt;$B$89,"onder LCL","")),"")</f>
        <v/>
      </c>
      <c r="G1023" t="n">
        <v>917</v>
      </c>
      <c r="H1023" s="7" t="n"/>
      <c r="I1023" s="7" t="n"/>
      <c r="J1023" s="11">
        <f>IF(AND(ISNUMBER(H1023),ISNUMBER(I1023),H1023&gt;0,ISNUMBER($B$94)),I1023/H1023,"")</f>
        <v/>
      </c>
      <c r="K1023" s="11">
        <f>IF(AND(ISNUMBER(H1023),ISNUMBER(I1023),H1023&gt;0,ISNUMBER($B$94)),MAX(0,$B$94-3*SQRT($B$94*(1-$B$94)/H1023)),"")</f>
        <v/>
      </c>
      <c r="L1023" s="11">
        <f>IF(AND(ISNUMBER(H1023),ISNUMBER(I1023),H1023&gt;0,ISNUMBER($B$94)),$B$94+3*SQRT($B$94*(1-$B$94)/H1023),"")</f>
        <v/>
      </c>
      <c r="M1023" s="13">
        <f>IF(AND(ISNUMBER(J1023),ISNUMBER(K1023),ISNUMBER(L1023)),IF(J1023&gt;L1023,"boven UCL",IF(J1023&lt;K1023,"onder LCL","")),"")</f>
        <v/>
      </c>
      <c r="O1023" t="n">
        <v>917</v>
      </c>
      <c r="P1023" s="7" t="n"/>
      <c r="Q1023" s="7" t="n"/>
      <c r="R1023" s="11">
        <f>IF(AND(ISNUMBER(P1023),ISNUMBER(Q1023),P1023&gt;0,ISNUMBER($B$100)),Q1023/P1023,"")</f>
        <v/>
      </c>
      <c r="S1023" s="11">
        <f>IF(AND(ISNUMBER(P1023),ISNUMBER(Q1023),P1023&gt;0,ISNUMBER($B$100)),MAX(0,$B$100-3*SQRT($B$100/P1023)),"")</f>
        <v/>
      </c>
      <c r="T1023" s="11">
        <f>IF(AND(ISNUMBER(P1023),ISNUMBER(Q1023),P1023&gt;0,ISNUMBER($B$100)),$B$100+3*SQRT($B$100/P1023),"")</f>
        <v/>
      </c>
      <c r="U1023" s="13">
        <f>IF(AND(ISNUMBER(R1023),ISNUMBER(S1023),ISNUMBER(T1023)),IF(R1023&gt;T1023,"boven UCL",IF(R1023&lt;S1023,"onder LCL","")),"")</f>
        <v/>
      </c>
    </row>
    <row r="1024">
      <c r="A1024" t="n">
        <v>918</v>
      </c>
      <c r="B1024" s="7" t="n"/>
      <c r="C1024" s="11">
        <f>IF(AND(ISNUMBER(B1024),ISNUMBER(B1023)),ABS(B1024-B1023),"")</f>
        <v/>
      </c>
      <c r="D1024" s="13">
        <f>IF(AND(ISNUMBER(B1024),ISNUMBER($B$88),ISNUMBER($D$88)),IF(B1024&gt;$D$88,"boven UCL",IF(B1024&lt;$B$88,"onder LCL","")),"")</f>
        <v/>
      </c>
      <c r="E1024" s="13">
        <f>IF(AND(ISNUMBER(C1024),ISNUMBER($B$89),ISNUMBER($D$89)),IF(C1024&gt;$D$89,"boven UCL",IF(C1024&lt;$B$89,"onder LCL","")),"")</f>
        <v/>
      </c>
      <c r="G1024" t="n">
        <v>918</v>
      </c>
      <c r="H1024" s="7" t="n"/>
      <c r="I1024" s="7" t="n"/>
      <c r="J1024" s="11">
        <f>IF(AND(ISNUMBER(H1024),ISNUMBER(I1024),H1024&gt;0,ISNUMBER($B$94)),I1024/H1024,"")</f>
        <v/>
      </c>
      <c r="K1024" s="11">
        <f>IF(AND(ISNUMBER(H1024),ISNUMBER(I1024),H1024&gt;0,ISNUMBER($B$94)),MAX(0,$B$94-3*SQRT($B$94*(1-$B$94)/H1024)),"")</f>
        <v/>
      </c>
      <c r="L1024" s="11">
        <f>IF(AND(ISNUMBER(H1024),ISNUMBER(I1024),H1024&gt;0,ISNUMBER($B$94)),$B$94+3*SQRT($B$94*(1-$B$94)/H1024),"")</f>
        <v/>
      </c>
      <c r="M1024" s="13">
        <f>IF(AND(ISNUMBER(J1024),ISNUMBER(K1024),ISNUMBER(L1024)),IF(J1024&gt;L1024,"boven UCL",IF(J1024&lt;K1024,"onder LCL","")),"")</f>
        <v/>
      </c>
      <c r="O1024" t="n">
        <v>918</v>
      </c>
      <c r="P1024" s="7" t="n"/>
      <c r="Q1024" s="7" t="n"/>
      <c r="R1024" s="11">
        <f>IF(AND(ISNUMBER(P1024),ISNUMBER(Q1024),P1024&gt;0,ISNUMBER($B$100)),Q1024/P1024,"")</f>
        <v/>
      </c>
      <c r="S1024" s="11">
        <f>IF(AND(ISNUMBER(P1024),ISNUMBER(Q1024),P1024&gt;0,ISNUMBER($B$100)),MAX(0,$B$100-3*SQRT($B$100/P1024)),"")</f>
        <v/>
      </c>
      <c r="T1024" s="11">
        <f>IF(AND(ISNUMBER(P1024),ISNUMBER(Q1024),P1024&gt;0,ISNUMBER($B$100)),$B$100+3*SQRT($B$100/P1024),"")</f>
        <v/>
      </c>
      <c r="U1024" s="13">
        <f>IF(AND(ISNUMBER(R1024),ISNUMBER(S1024),ISNUMBER(T1024)),IF(R1024&gt;T1024,"boven UCL",IF(R1024&lt;S1024,"onder LCL","")),"")</f>
        <v/>
      </c>
    </row>
    <row r="1025">
      <c r="A1025" t="n">
        <v>919</v>
      </c>
      <c r="B1025" s="7" t="n"/>
      <c r="C1025" s="11">
        <f>IF(AND(ISNUMBER(B1025),ISNUMBER(B1024)),ABS(B1025-B1024),"")</f>
        <v/>
      </c>
      <c r="D1025" s="13">
        <f>IF(AND(ISNUMBER(B1025),ISNUMBER($B$88),ISNUMBER($D$88)),IF(B1025&gt;$D$88,"boven UCL",IF(B1025&lt;$B$88,"onder LCL","")),"")</f>
        <v/>
      </c>
      <c r="E1025" s="13">
        <f>IF(AND(ISNUMBER(C1025),ISNUMBER($B$89),ISNUMBER($D$89)),IF(C1025&gt;$D$89,"boven UCL",IF(C1025&lt;$B$89,"onder LCL","")),"")</f>
        <v/>
      </c>
      <c r="G1025" t="n">
        <v>919</v>
      </c>
      <c r="H1025" s="7" t="n"/>
      <c r="I1025" s="7" t="n"/>
      <c r="J1025" s="11">
        <f>IF(AND(ISNUMBER(H1025),ISNUMBER(I1025),H1025&gt;0,ISNUMBER($B$94)),I1025/H1025,"")</f>
        <v/>
      </c>
      <c r="K1025" s="11">
        <f>IF(AND(ISNUMBER(H1025),ISNUMBER(I1025),H1025&gt;0,ISNUMBER($B$94)),MAX(0,$B$94-3*SQRT($B$94*(1-$B$94)/H1025)),"")</f>
        <v/>
      </c>
      <c r="L1025" s="11">
        <f>IF(AND(ISNUMBER(H1025),ISNUMBER(I1025),H1025&gt;0,ISNUMBER($B$94)),$B$94+3*SQRT($B$94*(1-$B$94)/H1025),"")</f>
        <v/>
      </c>
      <c r="M1025" s="13">
        <f>IF(AND(ISNUMBER(J1025),ISNUMBER(K1025),ISNUMBER(L1025)),IF(J1025&gt;L1025,"boven UCL",IF(J1025&lt;K1025,"onder LCL","")),"")</f>
        <v/>
      </c>
      <c r="O1025" t="n">
        <v>919</v>
      </c>
      <c r="P1025" s="7" t="n"/>
      <c r="Q1025" s="7" t="n"/>
      <c r="R1025" s="11">
        <f>IF(AND(ISNUMBER(P1025),ISNUMBER(Q1025),P1025&gt;0,ISNUMBER($B$100)),Q1025/P1025,"")</f>
        <v/>
      </c>
      <c r="S1025" s="11">
        <f>IF(AND(ISNUMBER(P1025),ISNUMBER(Q1025),P1025&gt;0,ISNUMBER($B$100)),MAX(0,$B$100-3*SQRT($B$100/P1025)),"")</f>
        <v/>
      </c>
      <c r="T1025" s="11">
        <f>IF(AND(ISNUMBER(P1025),ISNUMBER(Q1025),P1025&gt;0,ISNUMBER($B$100)),$B$100+3*SQRT($B$100/P1025),"")</f>
        <v/>
      </c>
      <c r="U1025" s="13">
        <f>IF(AND(ISNUMBER(R1025),ISNUMBER(S1025),ISNUMBER(T1025)),IF(R1025&gt;T1025,"boven UCL",IF(R1025&lt;S1025,"onder LCL","")),"")</f>
        <v/>
      </c>
    </row>
    <row r="1026">
      <c r="A1026" t="n">
        <v>920</v>
      </c>
      <c r="B1026" s="7" t="n"/>
      <c r="C1026" s="11">
        <f>IF(AND(ISNUMBER(B1026),ISNUMBER(B1025)),ABS(B1026-B1025),"")</f>
        <v/>
      </c>
      <c r="D1026" s="13">
        <f>IF(AND(ISNUMBER(B1026),ISNUMBER($B$88),ISNUMBER($D$88)),IF(B1026&gt;$D$88,"boven UCL",IF(B1026&lt;$B$88,"onder LCL","")),"")</f>
        <v/>
      </c>
      <c r="E1026" s="13">
        <f>IF(AND(ISNUMBER(C1026),ISNUMBER($B$89),ISNUMBER($D$89)),IF(C1026&gt;$D$89,"boven UCL",IF(C1026&lt;$B$89,"onder LCL","")),"")</f>
        <v/>
      </c>
      <c r="G1026" t="n">
        <v>920</v>
      </c>
      <c r="H1026" s="7" t="n"/>
      <c r="I1026" s="7" t="n"/>
      <c r="J1026" s="11">
        <f>IF(AND(ISNUMBER(H1026),ISNUMBER(I1026),H1026&gt;0,ISNUMBER($B$94)),I1026/H1026,"")</f>
        <v/>
      </c>
      <c r="K1026" s="11">
        <f>IF(AND(ISNUMBER(H1026),ISNUMBER(I1026),H1026&gt;0,ISNUMBER($B$94)),MAX(0,$B$94-3*SQRT($B$94*(1-$B$94)/H1026)),"")</f>
        <v/>
      </c>
      <c r="L1026" s="11">
        <f>IF(AND(ISNUMBER(H1026),ISNUMBER(I1026),H1026&gt;0,ISNUMBER($B$94)),$B$94+3*SQRT($B$94*(1-$B$94)/H1026),"")</f>
        <v/>
      </c>
      <c r="M1026" s="13">
        <f>IF(AND(ISNUMBER(J1026),ISNUMBER(K1026),ISNUMBER(L1026)),IF(J1026&gt;L1026,"boven UCL",IF(J1026&lt;K1026,"onder LCL","")),"")</f>
        <v/>
      </c>
      <c r="O1026" t="n">
        <v>920</v>
      </c>
      <c r="P1026" s="7" t="n"/>
      <c r="Q1026" s="7" t="n"/>
      <c r="R1026" s="11">
        <f>IF(AND(ISNUMBER(P1026),ISNUMBER(Q1026),P1026&gt;0,ISNUMBER($B$100)),Q1026/P1026,"")</f>
        <v/>
      </c>
      <c r="S1026" s="11">
        <f>IF(AND(ISNUMBER(P1026),ISNUMBER(Q1026),P1026&gt;0,ISNUMBER($B$100)),MAX(0,$B$100-3*SQRT($B$100/P1026)),"")</f>
        <v/>
      </c>
      <c r="T1026" s="11">
        <f>IF(AND(ISNUMBER(P1026),ISNUMBER(Q1026),P1026&gt;0,ISNUMBER($B$100)),$B$100+3*SQRT($B$100/P1026),"")</f>
        <v/>
      </c>
      <c r="U1026" s="13">
        <f>IF(AND(ISNUMBER(R1026),ISNUMBER(S1026),ISNUMBER(T1026)),IF(R1026&gt;T1026,"boven UCL",IF(R1026&lt;S1026,"onder LCL","")),"")</f>
        <v/>
      </c>
    </row>
    <row r="1027">
      <c r="A1027" t="n">
        <v>921</v>
      </c>
      <c r="B1027" s="7" t="n"/>
      <c r="C1027" s="11">
        <f>IF(AND(ISNUMBER(B1027),ISNUMBER(B1026)),ABS(B1027-B1026),"")</f>
        <v/>
      </c>
      <c r="D1027" s="13">
        <f>IF(AND(ISNUMBER(B1027),ISNUMBER($B$88),ISNUMBER($D$88)),IF(B1027&gt;$D$88,"boven UCL",IF(B1027&lt;$B$88,"onder LCL","")),"")</f>
        <v/>
      </c>
      <c r="E1027" s="13">
        <f>IF(AND(ISNUMBER(C1027),ISNUMBER($B$89),ISNUMBER($D$89)),IF(C1027&gt;$D$89,"boven UCL",IF(C1027&lt;$B$89,"onder LCL","")),"")</f>
        <v/>
      </c>
      <c r="G1027" t="n">
        <v>921</v>
      </c>
      <c r="H1027" s="7" t="n"/>
      <c r="I1027" s="7" t="n"/>
      <c r="J1027" s="11">
        <f>IF(AND(ISNUMBER(H1027),ISNUMBER(I1027),H1027&gt;0,ISNUMBER($B$94)),I1027/H1027,"")</f>
        <v/>
      </c>
      <c r="K1027" s="11">
        <f>IF(AND(ISNUMBER(H1027),ISNUMBER(I1027),H1027&gt;0,ISNUMBER($B$94)),MAX(0,$B$94-3*SQRT($B$94*(1-$B$94)/H1027)),"")</f>
        <v/>
      </c>
      <c r="L1027" s="11">
        <f>IF(AND(ISNUMBER(H1027),ISNUMBER(I1027),H1027&gt;0,ISNUMBER($B$94)),$B$94+3*SQRT($B$94*(1-$B$94)/H1027),"")</f>
        <v/>
      </c>
      <c r="M1027" s="13">
        <f>IF(AND(ISNUMBER(J1027),ISNUMBER(K1027),ISNUMBER(L1027)),IF(J1027&gt;L1027,"boven UCL",IF(J1027&lt;K1027,"onder LCL","")),"")</f>
        <v/>
      </c>
      <c r="O1027" t="n">
        <v>921</v>
      </c>
      <c r="P1027" s="7" t="n"/>
      <c r="Q1027" s="7" t="n"/>
      <c r="R1027" s="11">
        <f>IF(AND(ISNUMBER(P1027),ISNUMBER(Q1027),P1027&gt;0,ISNUMBER($B$100)),Q1027/P1027,"")</f>
        <v/>
      </c>
      <c r="S1027" s="11">
        <f>IF(AND(ISNUMBER(P1027),ISNUMBER(Q1027),P1027&gt;0,ISNUMBER($B$100)),MAX(0,$B$100-3*SQRT($B$100/P1027)),"")</f>
        <v/>
      </c>
      <c r="T1027" s="11">
        <f>IF(AND(ISNUMBER(P1027),ISNUMBER(Q1027),P1027&gt;0,ISNUMBER($B$100)),$B$100+3*SQRT($B$100/P1027),"")</f>
        <v/>
      </c>
      <c r="U1027" s="13">
        <f>IF(AND(ISNUMBER(R1027),ISNUMBER(S1027),ISNUMBER(T1027)),IF(R1027&gt;T1027,"boven UCL",IF(R1027&lt;S1027,"onder LCL","")),"")</f>
        <v/>
      </c>
    </row>
    <row r="1028">
      <c r="A1028" t="n">
        <v>922</v>
      </c>
      <c r="B1028" s="7" t="n"/>
      <c r="C1028" s="11">
        <f>IF(AND(ISNUMBER(B1028),ISNUMBER(B1027)),ABS(B1028-B1027),"")</f>
        <v/>
      </c>
      <c r="D1028" s="13">
        <f>IF(AND(ISNUMBER(B1028),ISNUMBER($B$88),ISNUMBER($D$88)),IF(B1028&gt;$D$88,"boven UCL",IF(B1028&lt;$B$88,"onder LCL","")),"")</f>
        <v/>
      </c>
      <c r="E1028" s="13">
        <f>IF(AND(ISNUMBER(C1028),ISNUMBER($B$89),ISNUMBER($D$89)),IF(C1028&gt;$D$89,"boven UCL",IF(C1028&lt;$B$89,"onder LCL","")),"")</f>
        <v/>
      </c>
      <c r="G1028" t="n">
        <v>922</v>
      </c>
      <c r="H1028" s="7" t="n"/>
      <c r="I1028" s="7" t="n"/>
      <c r="J1028" s="11">
        <f>IF(AND(ISNUMBER(H1028),ISNUMBER(I1028),H1028&gt;0,ISNUMBER($B$94)),I1028/H1028,"")</f>
        <v/>
      </c>
      <c r="K1028" s="11">
        <f>IF(AND(ISNUMBER(H1028),ISNUMBER(I1028),H1028&gt;0,ISNUMBER($B$94)),MAX(0,$B$94-3*SQRT($B$94*(1-$B$94)/H1028)),"")</f>
        <v/>
      </c>
      <c r="L1028" s="11">
        <f>IF(AND(ISNUMBER(H1028),ISNUMBER(I1028),H1028&gt;0,ISNUMBER($B$94)),$B$94+3*SQRT($B$94*(1-$B$94)/H1028),"")</f>
        <v/>
      </c>
      <c r="M1028" s="13">
        <f>IF(AND(ISNUMBER(J1028),ISNUMBER(K1028),ISNUMBER(L1028)),IF(J1028&gt;L1028,"boven UCL",IF(J1028&lt;K1028,"onder LCL","")),"")</f>
        <v/>
      </c>
      <c r="O1028" t="n">
        <v>922</v>
      </c>
      <c r="P1028" s="7" t="n"/>
      <c r="Q1028" s="7" t="n"/>
      <c r="R1028" s="11">
        <f>IF(AND(ISNUMBER(P1028),ISNUMBER(Q1028),P1028&gt;0,ISNUMBER($B$100)),Q1028/P1028,"")</f>
        <v/>
      </c>
      <c r="S1028" s="11">
        <f>IF(AND(ISNUMBER(P1028),ISNUMBER(Q1028),P1028&gt;0,ISNUMBER($B$100)),MAX(0,$B$100-3*SQRT($B$100/P1028)),"")</f>
        <v/>
      </c>
      <c r="T1028" s="11">
        <f>IF(AND(ISNUMBER(P1028),ISNUMBER(Q1028),P1028&gt;0,ISNUMBER($B$100)),$B$100+3*SQRT($B$100/P1028),"")</f>
        <v/>
      </c>
      <c r="U1028" s="13">
        <f>IF(AND(ISNUMBER(R1028),ISNUMBER(S1028),ISNUMBER(T1028)),IF(R1028&gt;T1028,"boven UCL",IF(R1028&lt;S1028,"onder LCL","")),"")</f>
        <v/>
      </c>
    </row>
    <row r="1029">
      <c r="A1029" t="n">
        <v>923</v>
      </c>
      <c r="B1029" s="7" t="n"/>
      <c r="C1029" s="11">
        <f>IF(AND(ISNUMBER(B1029),ISNUMBER(B1028)),ABS(B1029-B1028),"")</f>
        <v/>
      </c>
      <c r="D1029" s="13">
        <f>IF(AND(ISNUMBER(B1029),ISNUMBER($B$88),ISNUMBER($D$88)),IF(B1029&gt;$D$88,"boven UCL",IF(B1029&lt;$B$88,"onder LCL","")),"")</f>
        <v/>
      </c>
      <c r="E1029" s="13">
        <f>IF(AND(ISNUMBER(C1029),ISNUMBER($B$89),ISNUMBER($D$89)),IF(C1029&gt;$D$89,"boven UCL",IF(C1029&lt;$B$89,"onder LCL","")),"")</f>
        <v/>
      </c>
      <c r="G1029" t="n">
        <v>923</v>
      </c>
      <c r="H1029" s="7" t="n"/>
      <c r="I1029" s="7" t="n"/>
      <c r="J1029" s="11">
        <f>IF(AND(ISNUMBER(H1029),ISNUMBER(I1029),H1029&gt;0,ISNUMBER($B$94)),I1029/H1029,"")</f>
        <v/>
      </c>
      <c r="K1029" s="11">
        <f>IF(AND(ISNUMBER(H1029),ISNUMBER(I1029),H1029&gt;0,ISNUMBER($B$94)),MAX(0,$B$94-3*SQRT($B$94*(1-$B$94)/H1029)),"")</f>
        <v/>
      </c>
      <c r="L1029" s="11">
        <f>IF(AND(ISNUMBER(H1029),ISNUMBER(I1029),H1029&gt;0,ISNUMBER($B$94)),$B$94+3*SQRT($B$94*(1-$B$94)/H1029),"")</f>
        <v/>
      </c>
      <c r="M1029" s="13">
        <f>IF(AND(ISNUMBER(J1029),ISNUMBER(K1029),ISNUMBER(L1029)),IF(J1029&gt;L1029,"boven UCL",IF(J1029&lt;K1029,"onder LCL","")),"")</f>
        <v/>
      </c>
      <c r="O1029" t="n">
        <v>923</v>
      </c>
      <c r="P1029" s="7" t="n"/>
      <c r="Q1029" s="7" t="n"/>
      <c r="R1029" s="11">
        <f>IF(AND(ISNUMBER(P1029),ISNUMBER(Q1029),P1029&gt;0,ISNUMBER($B$100)),Q1029/P1029,"")</f>
        <v/>
      </c>
      <c r="S1029" s="11">
        <f>IF(AND(ISNUMBER(P1029),ISNUMBER(Q1029),P1029&gt;0,ISNUMBER($B$100)),MAX(0,$B$100-3*SQRT($B$100/P1029)),"")</f>
        <v/>
      </c>
      <c r="T1029" s="11">
        <f>IF(AND(ISNUMBER(P1029),ISNUMBER(Q1029),P1029&gt;0,ISNUMBER($B$100)),$B$100+3*SQRT($B$100/P1029),"")</f>
        <v/>
      </c>
      <c r="U1029" s="13">
        <f>IF(AND(ISNUMBER(R1029),ISNUMBER(S1029),ISNUMBER(T1029)),IF(R1029&gt;T1029,"boven UCL",IF(R1029&lt;S1029,"onder LCL","")),"")</f>
        <v/>
      </c>
    </row>
    <row r="1030">
      <c r="A1030" t="n">
        <v>924</v>
      </c>
      <c r="B1030" s="7" t="n"/>
      <c r="C1030" s="11">
        <f>IF(AND(ISNUMBER(B1030),ISNUMBER(B1029)),ABS(B1030-B1029),"")</f>
        <v/>
      </c>
      <c r="D1030" s="13">
        <f>IF(AND(ISNUMBER(B1030),ISNUMBER($B$88),ISNUMBER($D$88)),IF(B1030&gt;$D$88,"boven UCL",IF(B1030&lt;$B$88,"onder LCL","")),"")</f>
        <v/>
      </c>
      <c r="E1030" s="13">
        <f>IF(AND(ISNUMBER(C1030),ISNUMBER($B$89),ISNUMBER($D$89)),IF(C1030&gt;$D$89,"boven UCL",IF(C1030&lt;$B$89,"onder LCL","")),"")</f>
        <v/>
      </c>
      <c r="G1030" t="n">
        <v>924</v>
      </c>
      <c r="H1030" s="7" t="n"/>
      <c r="I1030" s="7" t="n"/>
      <c r="J1030" s="11">
        <f>IF(AND(ISNUMBER(H1030),ISNUMBER(I1030),H1030&gt;0,ISNUMBER($B$94)),I1030/H1030,"")</f>
        <v/>
      </c>
      <c r="K1030" s="11">
        <f>IF(AND(ISNUMBER(H1030),ISNUMBER(I1030),H1030&gt;0,ISNUMBER($B$94)),MAX(0,$B$94-3*SQRT($B$94*(1-$B$94)/H1030)),"")</f>
        <v/>
      </c>
      <c r="L1030" s="11">
        <f>IF(AND(ISNUMBER(H1030),ISNUMBER(I1030),H1030&gt;0,ISNUMBER($B$94)),$B$94+3*SQRT($B$94*(1-$B$94)/H1030),"")</f>
        <v/>
      </c>
      <c r="M1030" s="13">
        <f>IF(AND(ISNUMBER(J1030),ISNUMBER(K1030),ISNUMBER(L1030)),IF(J1030&gt;L1030,"boven UCL",IF(J1030&lt;K1030,"onder LCL","")),"")</f>
        <v/>
      </c>
      <c r="O1030" t="n">
        <v>924</v>
      </c>
      <c r="P1030" s="7" t="n"/>
      <c r="Q1030" s="7" t="n"/>
      <c r="R1030" s="11">
        <f>IF(AND(ISNUMBER(P1030),ISNUMBER(Q1030),P1030&gt;0,ISNUMBER($B$100)),Q1030/P1030,"")</f>
        <v/>
      </c>
      <c r="S1030" s="11">
        <f>IF(AND(ISNUMBER(P1030),ISNUMBER(Q1030),P1030&gt;0,ISNUMBER($B$100)),MAX(0,$B$100-3*SQRT($B$100/P1030)),"")</f>
        <v/>
      </c>
      <c r="T1030" s="11">
        <f>IF(AND(ISNUMBER(P1030),ISNUMBER(Q1030),P1030&gt;0,ISNUMBER($B$100)),$B$100+3*SQRT($B$100/P1030),"")</f>
        <v/>
      </c>
      <c r="U1030" s="13">
        <f>IF(AND(ISNUMBER(R1030),ISNUMBER(S1030),ISNUMBER(T1030)),IF(R1030&gt;T1030,"boven UCL",IF(R1030&lt;S1030,"onder LCL","")),"")</f>
        <v/>
      </c>
    </row>
    <row r="1031">
      <c r="A1031" t="n">
        <v>925</v>
      </c>
      <c r="B1031" s="7" t="n"/>
      <c r="C1031" s="11">
        <f>IF(AND(ISNUMBER(B1031),ISNUMBER(B1030)),ABS(B1031-B1030),"")</f>
        <v/>
      </c>
      <c r="D1031" s="13">
        <f>IF(AND(ISNUMBER(B1031),ISNUMBER($B$88),ISNUMBER($D$88)),IF(B1031&gt;$D$88,"boven UCL",IF(B1031&lt;$B$88,"onder LCL","")),"")</f>
        <v/>
      </c>
      <c r="E1031" s="13">
        <f>IF(AND(ISNUMBER(C1031),ISNUMBER($B$89),ISNUMBER($D$89)),IF(C1031&gt;$D$89,"boven UCL",IF(C1031&lt;$B$89,"onder LCL","")),"")</f>
        <v/>
      </c>
      <c r="G1031" t="n">
        <v>925</v>
      </c>
      <c r="H1031" s="7" t="n"/>
      <c r="I1031" s="7" t="n"/>
      <c r="J1031" s="11">
        <f>IF(AND(ISNUMBER(H1031),ISNUMBER(I1031),H1031&gt;0,ISNUMBER($B$94)),I1031/H1031,"")</f>
        <v/>
      </c>
      <c r="K1031" s="11">
        <f>IF(AND(ISNUMBER(H1031),ISNUMBER(I1031),H1031&gt;0,ISNUMBER($B$94)),MAX(0,$B$94-3*SQRT($B$94*(1-$B$94)/H1031)),"")</f>
        <v/>
      </c>
      <c r="L1031" s="11">
        <f>IF(AND(ISNUMBER(H1031),ISNUMBER(I1031),H1031&gt;0,ISNUMBER($B$94)),$B$94+3*SQRT($B$94*(1-$B$94)/H1031),"")</f>
        <v/>
      </c>
      <c r="M1031" s="13">
        <f>IF(AND(ISNUMBER(J1031),ISNUMBER(K1031),ISNUMBER(L1031)),IF(J1031&gt;L1031,"boven UCL",IF(J1031&lt;K1031,"onder LCL","")),"")</f>
        <v/>
      </c>
      <c r="O1031" t="n">
        <v>925</v>
      </c>
      <c r="P1031" s="7" t="n"/>
      <c r="Q1031" s="7" t="n"/>
      <c r="R1031" s="11">
        <f>IF(AND(ISNUMBER(P1031),ISNUMBER(Q1031),P1031&gt;0,ISNUMBER($B$100)),Q1031/P1031,"")</f>
        <v/>
      </c>
      <c r="S1031" s="11">
        <f>IF(AND(ISNUMBER(P1031),ISNUMBER(Q1031),P1031&gt;0,ISNUMBER($B$100)),MAX(0,$B$100-3*SQRT($B$100/P1031)),"")</f>
        <v/>
      </c>
      <c r="T1031" s="11">
        <f>IF(AND(ISNUMBER(P1031),ISNUMBER(Q1031),P1031&gt;0,ISNUMBER($B$100)),$B$100+3*SQRT($B$100/P1031),"")</f>
        <v/>
      </c>
      <c r="U1031" s="13">
        <f>IF(AND(ISNUMBER(R1031),ISNUMBER(S1031),ISNUMBER(T1031)),IF(R1031&gt;T1031,"boven UCL",IF(R1031&lt;S1031,"onder LCL","")),"")</f>
        <v/>
      </c>
    </row>
    <row r="1032">
      <c r="A1032" t="n">
        <v>926</v>
      </c>
      <c r="B1032" s="7" t="n"/>
      <c r="C1032" s="11">
        <f>IF(AND(ISNUMBER(B1032),ISNUMBER(B1031)),ABS(B1032-B1031),"")</f>
        <v/>
      </c>
      <c r="D1032" s="13">
        <f>IF(AND(ISNUMBER(B1032),ISNUMBER($B$88),ISNUMBER($D$88)),IF(B1032&gt;$D$88,"boven UCL",IF(B1032&lt;$B$88,"onder LCL","")),"")</f>
        <v/>
      </c>
      <c r="E1032" s="13">
        <f>IF(AND(ISNUMBER(C1032),ISNUMBER($B$89),ISNUMBER($D$89)),IF(C1032&gt;$D$89,"boven UCL",IF(C1032&lt;$B$89,"onder LCL","")),"")</f>
        <v/>
      </c>
      <c r="G1032" t="n">
        <v>926</v>
      </c>
      <c r="H1032" s="7" t="n"/>
      <c r="I1032" s="7" t="n"/>
      <c r="J1032" s="11">
        <f>IF(AND(ISNUMBER(H1032),ISNUMBER(I1032),H1032&gt;0,ISNUMBER($B$94)),I1032/H1032,"")</f>
        <v/>
      </c>
      <c r="K1032" s="11">
        <f>IF(AND(ISNUMBER(H1032),ISNUMBER(I1032),H1032&gt;0,ISNUMBER($B$94)),MAX(0,$B$94-3*SQRT($B$94*(1-$B$94)/H1032)),"")</f>
        <v/>
      </c>
      <c r="L1032" s="11">
        <f>IF(AND(ISNUMBER(H1032),ISNUMBER(I1032),H1032&gt;0,ISNUMBER($B$94)),$B$94+3*SQRT($B$94*(1-$B$94)/H1032),"")</f>
        <v/>
      </c>
      <c r="M1032" s="13">
        <f>IF(AND(ISNUMBER(J1032),ISNUMBER(K1032),ISNUMBER(L1032)),IF(J1032&gt;L1032,"boven UCL",IF(J1032&lt;K1032,"onder LCL","")),"")</f>
        <v/>
      </c>
      <c r="O1032" t="n">
        <v>926</v>
      </c>
      <c r="P1032" s="7" t="n"/>
      <c r="Q1032" s="7" t="n"/>
      <c r="R1032" s="11">
        <f>IF(AND(ISNUMBER(P1032),ISNUMBER(Q1032),P1032&gt;0,ISNUMBER($B$100)),Q1032/P1032,"")</f>
        <v/>
      </c>
      <c r="S1032" s="11">
        <f>IF(AND(ISNUMBER(P1032),ISNUMBER(Q1032),P1032&gt;0,ISNUMBER($B$100)),MAX(0,$B$100-3*SQRT($B$100/P1032)),"")</f>
        <v/>
      </c>
      <c r="T1032" s="11">
        <f>IF(AND(ISNUMBER(P1032),ISNUMBER(Q1032),P1032&gt;0,ISNUMBER($B$100)),$B$100+3*SQRT($B$100/P1032),"")</f>
        <v/>
      </c>
      <c r="U1032" s="13">
        <f>IF(AND(ISNUMBER(R1032),ISNUMBER(S1032),ISNUMBER(T1032)),IF(R1032&gt;T1032,"boven UCL",IF(R1032&lt;S1032,"onder LCL","")),"")</f>
        <v/>
      </c>
    </row>
    <row r="1033">
      <c r="A1033" t="n">
        <v>927</v>
      </c>
      <c r="B1033" s="7" t="n"/>
      <c r="C1033" s="11">
        <f>IF(AND(ISNUMBER(B1033),ISNUMBER(B1032)),ABS(B1033-B1032),"")</f>
        <v/>
      </c>
      <c r="D1033" s="13">
        <f>IF(AND(ISNUMBER(B1033),ISNUMBER($B$88),ISNUMBER($D$88)),IF(B1033&gt;$D$88,"boven UCL",IF(B1033&lt;$B$88,"onder LCL","")),"")</f>
        <v/>
      </c>
      <c r="E1033" s="13">
        <f>IF(AND(ISNUMBER(C1033),ISNUMBER($B$89),ISNUMBER($D$89)),IF(C1033&gt;$D$89,"boven UCL",IF(C1033&lt;$B$89,"onder LCL","")),"")</f>
        <v/>
      </c>
      <c r="G1033" t="n">
        <v>927</v>
      </c>
      <c r="H1033" s="7" t="n"/>
      <c r="I1033" s="7" t="n"/>
      <c r="J1033" s="11">
        <f>IF(AND(ISNUMBER(H1033),ISNUMBER(I1033),H1033&gt;0,ISNUMBER($B$94)),I1033/H1033,"")</f>
        <v/>
      </c>
      <c r="K1033" s="11">
        <f>IF(AND(ISNUMBER(H1033),ISNUMBER(I1033),H1033&gt;0,ISNUMBER($B$94)),MAX(0,$B$94-3*SQRT($B$94*(1-$B$94)/H1033)),"")</f>
        <v/>
      </c>
      <c r="L1033" s="11">
        <f>IF(AND(ISNUMBER(H1033),ISNUMBER(I1033),H1033&gt;0,ISNUMBER($B$94)),$B$94+3*SQRT($B$94*(1-$B$94)/H1033),"")</f>
        <v/>
      </c>
      <c r="M1033" s="13">
        <f>IF(AND(ISNUMBER(J1033),ISNUMBER(K1033),ISNUMBER(L1033)),IF(J1033&gt;L1033,"boven UCL",IF(J1033&lt;K1033,"onder LCL","")),"")</f>
        <v/>
      </c>
      <c r="O1033" t="n">
        <v>927</v>
      </c>
      <c r="P1033" s="7" t="n"/>
      <c r="Q1033" s="7" t="n"/>
      <c r="R1033" s="11">
        <f>IF(AND(ISNUMBER(P1033),ISNUMBER(Q1033),P1033&gt;0,ISNUMBER($B$100)),Q1033/P1033,"")</f>
        <v/>
      </c>
      <c r="S1033" s="11">
        <f>IF(AND(ISNUMBER(P1033),ISNUMBER(Q1033),P1033&gt;0,ISNUMBER($B$100)),MAX(0,$B$100-3*SQRT($B$100/P1033)),"")</f>
        <v/>
      </c>
      <c r="T1033" s="11">
        <f>IF(AND(ISNUMBER(P1033),ISNUMBER(Q1033),P1033&gt;0,ISNUMBER($B$100)),$B$100+3*SQRT($B$100/P1033),"")</f>
        <v/>
      </c>
      <c r="U1033" s="13">
        <f>IF(AND(ISNUMBER(R1033),ISNUMBER(S1033),ISNUMBER(T1033)),IF(R1033&gt;T1033,"boven UCL",IF(R1033&lt;S1033,"onder LCL","")),"")</f>
        <v/>
      </c>
    </row>
    <row r="1034">
      <c r="A1034" t="n">
        <v>928</v>
      </c>
      <c r="B1034" s="7" t="n"/>
      <c r="C1034" s="11">
        <f>IF(AND(ISNUMBER(B1034),ISNUMBER(B1033)),ABS(B1034-B1033),"")</f>
        <v/>
      </c>
      <c r="D1034" s="13">
        <f>IF(AND(ISNUMBER(B1034),ISNUMBER($B$88),ISNUMBER($D$88)),IF(B1034&gt;$D$88,"boven UCL",IF(B1034&lt;$B$88,"onder LCL","")),"")</f>
        <v/>
      </c>
      <c r="E1034" s="13">
        <f>IF(AND(ISNUMBER(C1034),ISNUMBER($B$89),ISNUMBER($D$89)),IF(C1034&gt;$D$89,"boven UCL",IF(C1034&lt;$B$89,"onder LCL","")),"")</f>
        <v/>
      </c>
      <c r="G1034" t="n">
        <v>928</v>
      </c>
      <c r="H1034" s="7" t="n"/>
      <c r="I1034" s="7" t="n"/>
      <c r="J1034" s="11">
        <f>IF(AND(ISNUMBER(H1034),ISNUMBER(I1034),H1034&gt;0,ISNUMBER($B$94)),I1034/H1034,"")</f>
        <v/>
      </c>
      <c r="K1034" s="11">
        <f>IF(AND(ISNUMBER(H1034),ISNUMBER(I1034),H1034&gt;0,ISNUMBER($B$94)),MAX(0,$B$94-3*SQRT($B$94*(1-$B$94)/H1034)),"")</f>
        <v/>
      </c>
      <c r="L1034" s="11">
        <f>IF(AND(ISNUMBER(H1034),ISNUMBER(I1034),H1034&gt;0,ISNUMBER($B$94)),$B$94+3*SQRT($B$94*(1-$B$94)/H1034),"")</f>
        <v/>
      </c>
      <c r="M1034" s="13">
        <f>IF(AND(ISNUMBER(J1034),ISNUMBER(K1034),ISNUMBER(L1034)),IF(J1034&gt;L1034,"boven UCL",IF(J1034&lt;K1034,"onder LCL","")),"")</f>
        <v/>
      </c>
      <c r="O1034" t="n">
        <v>928</v>
      </c>
      <c r="P1034" s="7" t="n"/>
      <c r="Q1034" s="7" t="n"/>
      <c r="R1034" s="11">
        <f>IF(AND(ISNUMBER(P1034),ISNUMBER(Q1034),P1034&gt;0,ISNUMBER($B$100)),Q1034/P1034,"")</f>
        <v/>
      </c>
      <c r="S1034" s="11">
        <f>IF(AND(ISNUMBER(P1034),ISNUMBER(Q1034),P1034&gt;0,ISNUMBER($B$100)),MAX(0,$B$100-3*SQRT($B$100/P1034)),"")</f>
        <v/>
      </c>
      <c r="T1034" s="11">
        <f>IF(AND(ISNUMBER(P1034),ISNUMBER(Q1034),P1034&gt;0,ISNUMBER($B$100)),$B$100+3*SQRT($B$100/P1034),"")</f>
        <v/>
      </c>
      <c r="U1034" s="13">
        <f>IF(AND(ISNUMBER(R1034),ISNUMBER(S1034),ISNUMBER(T1034)),IF(R1034&gt;T1034,"boven UCL",IF(R1034&lt;S1034,"onder LCL","")),"")</f>
        <v/>
      </c>
    </row>
    <row r="1035">
      <c r="A1035" t="n">
        <v>929</v>
      </c>
      <c r="B1035" s="7" t="n"/>
      <c r="C1035" s="11">
        <f>IF(AND(ISNUMBER(B1035),ISNUMBER(B1034)),ABS(B1035-B1034),"")</f>
        <v/>
      </c>
      <c r="D1035" s="13">
        <f>IF(AND(ISNUMBER(B1035),ISNUMBER($B$88),ISNUMBER($D$88)),IF(B1035&gt;$D$88,"boven UCL",IF(B1035&lt;$B$88,"onder LCL","")),"")</f>
        <v/>
      </c>
      <c r="E1035" s="13">
        <f>IF(AND(ISNUMBER(C1035),ISNUMBER($B$89),ISNUMBER($D$89)),IF(C1035&gt;$D$89,"boven UCL",IF(C1035&lt;$B$89,"onder LCL","")),"")</f>
        <v/>
      </c>
      <c r="G1035" t="n">
        <v>929</v>
      </c>
      <c r="H1035" s="7" t="n"/>
      <c r="I1035" s="7" t="n"/>
      <c r="J1035" s="11">
        <f>IF(AND(ISNUMBER(H1035),ISNUMBER(I1035),H1035&gt;0,ISNUMBER($B$94)),I1035/H1035,"")</f>
        <v/>
      </c>
      <c r="K1035" s="11">
        <f>IF(AND(ISNUMBER(H1035),ISNUMBER(I1035),H1035&gt;0,ISNUMBER($B$94)),MAX(0,$B$94-3*SQRT($B$94*(1-$B$94)/H1035)),"")</f>
        <v/>
      </c>
      <c r="L1035" s="11">
        <f>IF(AND(ISNUMBER(H1035),ISNUMBER(I1035),H1035&gt;0,ISNUMBER($B$94)),$B$94+3*SQRT($B$94*(1-$B$94)/H1035),"")</f>
        <v/>
      </c>
      <c r="M1035" s="13">
        <f>IF(AND(ISNUMBER(J1035),ISNUMBER(K1035),ISNUMBER(L1035)),IF(J1035&gt;L1035,"boven UCL",IF(J1035&lt;K1035,"onder LCL","")),"")</f>
        <v/>
      </c>
      <c r="O1035" t="n">
        <v>929</v>
      </c>
      <c r="P1035" s="7" t="n"/>
      <c r="Q1035" s="7" t="n"/>
      <c r="R1035" s="11">
        <f>IF(AND(ISNUMBER(P1035),ISNUMBER(Q1035),P1035&gt;0,ISNUMBER($B$100)),Q1035/P1035,"")</f>
        <v/>
      </c>
      <c r="S1035" s="11">
        <f>IF(AND(ISNUMBER(P1035),ISNUMBER(Q1035),P1035&gt;0,ISNUMBER($B$100)),MAX(0,$B$100-3*SQRT($B$100/P1035)),"")</f>
        <v/>
      </c>
      <c r="T1035" s="11">
        <f>IF(AND(ISNUMBER(P1035),ISNUMBER(Q1035),P1035&gt;0,ISNUMBER($B$100)),$B$100+3*SQRT($B$100/P1035),"")</f>
        <v/>
      </c>
      <c r="U1035" s="13">
        <f>IF(AND(ISNUMBER(R1035),ISNUMBER(S1035),ISNUMBER(T1035)),IF(R1035&gt;T1035,"boven UCL",IF(R1035&lt;S1035,"onder LCL","")),"")</f>
        <v/>
      </c>
    </row>
    <row r="1036">
      <c r="A1036" t="n">
        <v>930</v>
      </c>
      <c r="B1036" s="7" t="n"/>
      <c r="C1036" s="11">
        <f>IF(AND(ISNUMBER(B1036),ISNUMBER(B1035)),ABS(B1036-B1035),"")</f>
        <v/>
      </c>
      <c r="D1036" s="13">
        <f>IF(AND(ISNUMBER(B1036),ISNUMBER($B$88),ISNUMBER($D$88)),IF(B1036&gt;$D$88,"boven UCL",IF(B1036&lt;$B$88,"onder LCL","")),"")</f>
        <v/>
      </c>
      <c r="E1036" s="13">
        <f>IF(AND(ISNUMBER(C1036),ISNUMBER($B$89),ISNUMBER($D$89)),IF(C1036&gt;$D$89,"boven UCL",IF(C1036&lt;$B$89,"onder LCL","")),"")</f>
        <v/>
      </c>
      <c r="G1036" t="n">
        <v>930</v>
      </c>
      <c r="H1036" s="7" t="n"/>
      <c r="I1036" s="7" t="n"/>
      <c r="J1036" s="11">
        <f>IF(AND(ISNUMBER(H1036),ISNUMBER(I1036),H1036&gt;0,ISNUMBER($B$94)),I1036/H1036,"")</f>
        <v/>
      </c>
      <c r="K1036" s="11">
        <f>IF(AND(ISNUMBER(H1036),ISNUMBER(I1036),H1036&gt;0,ISNUMBER($B$94)),MAX(0,$B$94-3*SQRT($B$94*(1-$B$94)/H1036)),"")</f>
        <v/>
      </c>
      <c r="L1036" s="11">
        <f>IF(AND(ISNUMBER(H1036),ISNUMBER(I1036),H1036&gt;0,ISNUMBER($B$94)),$B$94+3*SQRT($B$94*(1-$B$94)/H1036),"")</f>
        <v/>
      </c>
      <c r="M1036" s="13">
        <f>IF(AND(ISNUMBER(J1036),ISNUMBER(K1036),ISNUMBER(L1036)),IF(J1036&gt;L1036,"boven UCL",IF(J1036&lt;K1036,"onder LCL","")),"")</f>
        <v/>
      </c>
      <c r="O1036" t="n">
        <v>930</v>
      </c>
      <c r="P1036" s="7" t="n"/>
      <c r="Q1036" s="7" t="n"/>
      <c r="R1036" s="11">
        <f>IF(AND(ISNUMBER(P1036),ISNUMBER(Q1036),P1036&gt;0,ISNUMBER($B$100)),Q1036/P1036,"")</f>
        <v/>
      </c>
      <c r="S1036" s="11">
        <f>IF(AND(ISNUMBER(P1036),ISNUMBER(Q1036),P1036&gt;0,ISNUMBER($B$100)),MAX(0,$B$100-3*SQRT($B$100/P1036)),"")</f>
        <v/>
      </c>
      <c r="T1036" s="11">
        <f>IF(AND(ISNUMBER(P1036),ISNUMBER(Q1036),P1036&gt;0,ISNUMBER($B$100)),$B$100+3*SQRT($B$100/P1036),"")</f>
        <v/>
      </c>
      <c r="U1036" s="13">
        <f>IF(AND(ISNUMBER(R1036),ISNUMBER(S1036),ISNUMBER(T1036)),IF(R1036&gt;T1036,"boven UCL",IF(R1036&lt;S1036,"onder LCL","")),"")</f>
        <v/>
      </c>
    </row>
    <row r="1037">
      <c r="A1037" t="n">
        <v>931</v>
      </c>
      <c r="B1037" s="7" t="n"/>
      <c r="C1037" s="11">
        <f>IF(AND(ISNUMBER(B1037),ISNUMBER(B1036)),ABS(B1037-B1036),"")</f>
        <v/>
      </c>
      <c r="D1037" s="13">
        <f>IF(AND(ISNUMBER(B1037),ISNUMBER($B$88),ISNUMBER($D$88)),IF(B1037&gt;$D$88,"boven UCL",IF(B1037&lt;$B$88,"onder LCL","")),"")</f>
        <v/>
      </c>
      <c r="E1037" s="13">
        <f>IF(AND(ISNUMBER(C1037),ISNUMBER($B$89),ISNUMBER($D$89)),IF(C1037&gt;$D$89,"boven UCL",IF(C1037&lt;$B$89,"onder LCL","")),"")</f>
        <v/>
      </c>
      <c r="G1037" t="n">
        <v>931</v>
      </c>
      <c r="H1037" s="7" t="n"/>
      <c r="I1037" s="7" t="n"/>
      <c r="J1037" s="11">
        <f>IF(AND(ISNUMBER(H1037),ISNUMBER(I1037),H1037&gt;0,ISNUMBER($B$94)),I1037/H1037,"")</f>
        <v/>
      </c>
      <c r="K1037" s="11">
        <f>IF(AND(ISNUMBER(H1037),ISNUMBER(I1037),H1037&gt;0,ISNUMBER($B$94)),MAX(0,$B$94-3*SQRT($B$94*(1-$B$94)/H1037)),"")</f>
        <v/>
      </c>
      <c r="L1037" s="11">
        <f>IF(AND(ISNUMBER(H1037),ISNUMBER(I1037),H1037&gt;0,ISNUMBER($B$94)),$B$94+3*SQRT($B$94*(1-$B$94)/H1037),"")</f>
        <v/>
      </c>
      <c r="M1037" s="13">
        <f>IF(AND(ISNUMBER(J1037),ISNUMBER(K1037),ISNUMBER(L1037)),IF(J1037&gt;L1037,"boven UCL",IF(J1037&lt;K1037,"onder LCL","")),"")</f>
        <v/>
      </c>
      <c r="O1037" t="n">
        <v>931</v>
      </c>
      <c r="P1037" s="7" t="n"/>
      <c r="Q1037" s="7" t="n"/>
      <c r="R1037" s="11">
        <f>IF(AND(ISNUMBER(P1037),ISNUMBER(Q1037),P1037&gt;0,ISNUMBER($B$100)),Q1037/P1037,"")</f>
        <v/>
      </c>
      <c r="S1037" s="11">
        <f>IF(AND(ISNUMBER(P1037),ISNUMBER(Q1037),P1037&gt;0,ISNUMBER($B$100)),MAX(0,$B$100-3*SQRT($B$100/P1037)),"")</f>
        <v/>
      </c>
      <c r="T1037" s="11">
        <f>IF(AND(ISNUMBER(P1037),ISNUMBER(Q1037),P1037&gt;0,ISNUMBER($B$100)),$B$100+3*SQRT($B$100/P1037),"")</f>
        <v/>
      </c>
      <c r="U1037" s="13">
        <f>IF(AND(ISNUMBER(R1037),ISNUMBER(S1037),ISNUMBER(T1037)),IF(R1037&gt;T1037,"boven UCL",IF(R1037&lt;S1037,"onder LCL","")),"")</f>
        <v/>
      </c>
    </row>
    <row r="1038">
      <c r="A1038" t="n">
        <v>932</v>
      </c>
      <c r="B1038" s="7" t="n"/>
      <c r="C1038" s="11">
        <f>IF(AND(ISNUMBER(B1038),ISNUMBER(B1037)),ABS(B1038-B1037),"")</f>
        <v/>
      </c>
      <c r="D1038" s="13">
        <f>IF(AND(ISNUMBER(B1038),ISNUMBER($B$88),ISNUMBER($D$88)),IF(B1038&gt;$D$88,"boven UCL",IF(B1038&lt;$B$88,"onder LCL","")),"")</f>
        <v/>
      </c>
      <c r="E1038" s="13">
        <f>IF(AND(ISNUMBER(C1038),ISNUMBER($B$89),ISNUMBER($D$89)),IF(C1038&gt;$D$89,"boven UCL",IF(C1038&lt;$B$89,"onder LCL","")),"")</f>
        <v/>
      </c>
      <c r="G1038" t="n">
        <v>932</v>
      </c>
      <c r="H1038" s="7" t="n"/>
      <c r="I1038" s="7" t="n"/>
      <c r="J1038" s="11">
        <f>IF(AND(ISNUMBER(H1038),ISNUMBER(I1038),H1038&gt;0,ISNUMBER($B$94)),I1038/H1038,"")</f>
        <v/>
      </c>
      <c r="K1038" s="11">
        <f>IF(AND(ISNUMBER(H1038),ISNUMBER(I1038),H1038&gt;0,ISNUMBER($B$94)),MAX(0,$B$94-3*SQRT($B$94*(1-$B$94)/H1038)),"")</f>
        <v/>
      </c>
      <c r="L1038" s="11">
        <f>IF(AND(ISNUMBER(H1038),ISNUMBER(I1038),H1038&gt;0,ISNUMBER($B$94)),$B$94+3*SQRT($B$94*(1-$B$94)/H1038),"")</f>
        <v/>
      </c>
      <c r="M1038" s="13">
        <f>IF(AND(ISNUMBER(J1038),ISNUMBER(K1038),ISNUMBER(L1038)),IF(J1038&gt;L1038,"boven UCL",IF(J1038&lt;K1038,"onder LCL","")),"")</f>
        <v/>
      </c>
      <c r="O1038" t="n">
        <v>932</v>
      </c>
      <c r="P1038" s="7" t="n"/>
      <c r="Q1038" s="7" t="n"/>
      <c r="R1038" s="11">
        <f>IF(AND(ISNUMBER(P1038),ISNUMBER(Q1038),P1038&gt;0,ISNUMBER($B$100)),Q1038/P1038,"")</f>
        <v/>
      </c>
      <c r="S1038" s="11">
        <f>IF(AND(ISNUMBER(P1038),ISNUMBER(Q1038),P1038&gt;0,ISNUMBER($B$100)),MAX(0,$B$100-3*SQRT($B$100/P1038)),"")</f>
        <v/>
      </c>
      <c r="T1038" s="11">
        <f>IF(AND(ISNUMBER(P1038),ISNUMBER(Q1038),P1038&gt;0,ISNUMBER($B$100)),$B$100+3*SQRT($B$100/P1038),"")</f>
        <v/>
      </c>
      <c r="U1038" s="13">
        <f>IF(AND(ISNUMBER(R1038),ISNUMBER(S1038),ISNUMBER(T1038)),IF(R1038&gt;T1038,"boven UCL",IF(R1038&lt;S1038,"onder LCL","")),"")</f>
        <v/>
      </c>
    </row>
    <row r="1039">
      <c r="A1039" t="n">
        <v>933</v>
      </c>
      <c r="B1039" s="7" t="n"/>
      <c r="C1039" s="11">
        <f>IF(AND(ISNUMBER(B1039),ISNUMBER(B1038)),ABS(B1039-B1038),"")</f>
        <v/>
      </c>
      <c r="D1039" s="13">
        <f>IF(AND(ISNUMBER(B1039),ISNUMBER($B$88),ISNUMBER($D$88)),IF(B1039&gt;$D$88,"boven UCL",IF(B1039&lt;$B$88,"onder LCL","")),"")</f>
        <v/>
      </c>
      <c r="E1039" s="13">
        <f>IF(AND(ISNUMBER(C1039),ISNUMBER($B$89),ISNUMBER($D$89)),IF(C1039&gt;$D$89,"boven UCL",IF(C1039&lt;$B$89,"onder LCL","")),"")</f>
        <v/>
      </c>
      <c r="G1039" t="n">
        <v>933</v>
      </c>
      <c r="H1039" s="7" t="n"/>
      <c r="I1039" s="7" t="n"/>
      <c r="J1039" s="11">
        <f>IF(AND(ISNUMBER(H1039),ISNUMBER(I1039),H1039&gt;0,ISNUMBER($B$94)),I1039/H1039,"")</f>
        <v/>
      </c>
      <c r="K1039" s="11">
        <f>IF(AND(ISNUMBER(H1039),ISNUMBER(I1039),H1039&gt;0,ISNUMBER($B$94)),MAX(0,$B$94-3*SQRT($B$94*(1-$B$94)/H1039)),"")</f>
        <v/>
      </c>
      <c r="L1039" s="11">
        <f>IF(AND(ISNUMBER(H1039),ISNUMBER(I1039),H1039&gt;0,ISNUMBER($B$94)),$B$94+3*SQRT($B$94*(1-$B$94)/H1039),"")</f>
        <v/>
      </c>
      <c r="M1039" s="13">
        <f>IF(AND(ISNUMBER(J1039),ISNUMBER(K1039),ISNUMBER(L1039)),IF(J1039&gt;L1039,"boven UCL",IF(J1039&lt;K1039,"onder LCL","")),"")</f>
        <v/>
      </c>
      <c r="O1039" t="n">
        <v>933</v>
      </c>
      <c r="P1039" s="7" t="n"/>
      <c r="Q1039" s="7" t="n"/>
      <c r="R1039" s="11">
        <f>IF(AND(ISNUMBER(P1039),ISNUMBER(Q1039),P1039&gt;0,ISNUMBER($B$100)),Q1039/P1039,"")</f>
        <v/>
      </c>
      <c r="S1039" s="11">
        <f>IF(AND(ISNUMBER(P1039),ISNUMBER(Q1039),P1039&gt;0,ISNUMBER($B$100)),MAX(0,$B$100-3*SQRT($B$100/P1039)),"")</f>
        <v/>
      </c>
      <c r="T1039" s="11">
        <f>IF(AND(ISNUMBER(P1039),ISNUMBER(Q1039),P1039&gt;0,ISNUMBER($B$100)),$B$100+3*SQRT($B$100/P1039),"")</f>
        <v/>
      </c>
      <c r="U1039" s="13">
        <f>IF(AND(ISNUMBER(R1039),ISNUMBER(S1039),ISNUMBER(T1039)),IF(R1039&gt;T1039,"boven UCL",IF(R1039&lt;S1039,"onder LCL","")),"")</f>
        <v/>
      </c>
    </row>
    <row r="1040">
      <c r="A1040" t="n">
        <v>934</v>
      </c>
      <c r="B1040" s="7" t="n"/>
      <c r="C1040" s="11">
        <f>IF(AND(ISNUMBER(B1040),ISNUMBER(B1039)),ABS(B1040-B1039),"")</f>
        <v/>
      </c>
      <c r="D1040" s="13">
        <f>IF(AND(ISNUMBER(B1040),ISNUMBER($B$88),ISNUMBER($D$88)),IF(B1040&gt;$D$88,"boven UCL",IF(B1040&lt;$B$88,"onder LCL","")),"")</f>
        <v/>
      </c>
      <c r="E1040" s="13">
        <f>IF(AND(ISNUMBER(C1040),ISNUMBER($B$89),ISNUMBER($D$89)),IF(C1040&gt;$D$89,"boven UCL",IF(C1040&lt;$B$89,"onder LCL","")),"")</f>
        <v/>
      </c>
      <c r="G1040" t="n">
        <v>934</v>
      </c>
      <c r="H1040" s="7" t="n"/>
      <c r="I1040" s="7" t="n"/>
      <c r="J1040" s="11">
        <f>IF(AND(ISNUMBER(H1040),ISNUMBER(I1040),H1040&gt;0,ISNUMBER($B$94)),I1040/H1040,"")</f>
        <v/>
      </c>
      <c r="K1040" s="11">
        <f>IF(AND(ISNUMBER(H1040),ISNUMBER(I1040),H1040&gt;0,ISNUMBER($B$94)),MAX(0,$B$94-3*SQRT($B$94*(1-$B$94)/H1040)),"")</f>
        <v/>
      </c>
      <c r="L1040" s="11">
        <f>IF(AND(ISNUMBER(H1040),ISNUMBER(I1040),H1040&gt;0,ISNUMBER($B$94)),$B$94+3*SQRT($B$94*(1-$B$94)/H1040),"")</f>
        <v/>
      </c>
      <c r="M1040" s="13">
        <f>IF(AND(ISNUMBER(J1040),ISNUMBER(K1040),ISNUMBER(L1040)),IF(J1040&gt;L1040,"boven UCL",IF(J1040&lt;K1040,"onder LCL","")),"")</f>
        <v/>
      </c>
      <c r="O1040" t="n">
        <v>934</v>
      </c>
      <c r="P1040" s="7" t="n"/>
      <c r="Q1040" s="7" t="n"/>
      <c r="R1040" s="11">
        <f>IF(AND(ISNUMBER(P1040),ISNUMBER(Q1040),P1040&gt;0,ISNUMBER($B$100)),Q1040/P1040,"")</f>
        <v/>
      </c>
      <c r="S1040" s="11">
        <f>IF(AND(ISNUMBER(P1040),ISNUMBER(Q1040),P1040&gt;0,ISNUMBER($B$100)),MAX(0,$B$100-3*SQRT($B$100/P1040)),"")</f>
        <v/>
      </c>
      <c r="T1040" s="11">
        <f>IF(AND(ISNUMBER(P1040),ISNUMBER(Q1040),P1040&gt;0,ISNUMBER($B$100)),$B$100+3*SQRT($B$100/P1040),"")</f>
        <v/>
      </c>
      <c r="U1040" s="13">
        <f>IF(AND(ISNUMBER(R1040),ISNUMBER(S1040),ISNUMBER(T1040)),IF(R1040&gt;T1040,"boven UCL",IF(R1040&lt;S1040,"onder LCL","")),"")</f>
        <v/>
      </c>
    </row>
    <row r="1041">
      <c r="A1041" t="n">
        <v>935</v>
      </c>
      <c r="B1041" s="7" t="n"/>
      <c r="C1041" s="11">
        <f>IF(AND(ISNUMBER(B1041),ISNUMBER(B1040)),ABS(B1041-B1040),"")</f>
        <v/>
      </c>
      <c r="D1041" s="13">
        <f>IF(AND(ISNUMBER(B1041),ISNUMBER($B$88),ISNUMBER($D$88)),IF(B1041&gt;$D$88,"boven UCL",IF(B1041&lt;$B$88,"onder LCL","")),"")</f>
        <v/>
      </c>
      <c r="E1041" s="13">
        <f>IF(AND(ISNUMBER(C1041),ISNUMBER($B$89),ISNUMBER($D$89)),IF(C1041&gt;$D$89,"boven UCL",IF(C1041&lt;$B$89,"onder LCL","")),"")</f>
        <v/>
      </c>
      <c r="G1041" t="n">
        <v>935</v>
      </c>
      <c r="H1041" s="7" t="n"/>
      <c r="I1041" s="7" t="n"/>
      <c r="J1041" s="11">
        <f>IF(AND(ISNUMBER(H1041),ISNUMBER(I1041),H1041&gt;0,ISNUMBER($B$94)),I1041/H1041,"")</f>
        <v/>
      </c>
      <c r="K1041" s="11">
        <f>IF(AND(ISNUMBER(H1041),ISNUMBER(I1041),H1041&gt;0,ISNUMBER($B$94)),MAX(0,$B$94-3*SQRT($B$94*(1-$B$94)/H1041)),"")</f>
        <v/>
      </c>
      <c r="L1041" s="11">
        <f>IF(AND(ISNUMBER(H1041),ISNUMBER(I1041),H1041&gt;0,ISNUMBER($B$94)),$B$94+3*SQRT($B$94*(1-$B$94)/H1041),"")</f>
        <v/>
      </c>
      <c r="M1041" s="13">
        <f>IF(AND(ISNUMBER(J1041),ISNUMBER(K1041),ISNUMBER(L1041)),IF(J1041&gt;L1041,"boven UCL",IF(J1041&lt;K1041,"onder LCL","")),"")</f>
        <v/>
      </c>
      <c r="O1041" t="n">
        <v>935</v>
      </c>
      <c r="P1041" s="7" t="n"/>
      <c r="Q1041" s="7" t="n"/>
      <c r="R1041" s="11">
        <f>IF(AND(ISNUMBER(P1041),ISNUMBER(Q1041),P1041&gt;0,ISNUMBER($B$100)),Q1041/P1041,"")</f>
        <v/>
      </c>
      <c r="S1041" s="11">
        <f>IF(AND(ISNUMBER(P1041),ISNUMBER(Q1041),P1041&gt;0,ISNUMBER($B$100)),MAX(0,$B$100-3*SQRT($B$100/P1041)),"")</f>
        <v/>
      </c>
      <c r="T1041" s="11">
        <f>IF(AND(ISNUMBER(P1041),ISNUMBER(Q1041),P1041&gt;0,ISNUMBER($B$100)),$B$100+3*SQRT($B$100/P1041),"")</f>
        <v/>
      </c>
      <c r="U1041" s="13">
        <f>IF(AND(ISNUMBER(R1041),ISNUMBER(S1041),ISNUMBER(T1041)),IF(R1041&gt;T1041,"boven UCL",IF(R1041&lt;S1041,"onder LCL","")),"")</f>
        <v/>
      </c>
    </row>
    <row r="1042">
      <c r="A1042" t="n">
        <v>936</v>
      </c>
      <c r="B1042" s="7" t="n"/>
      <c r="C1042" s="11">
        <f>IF(AND(ISNUMBER(B1042),ISNUMBER(B1041)),ABS(B1042-B1041),"")</f>
        <v/>
      </c>
      <c r="D1042" s="13">
        <f>IF(AND(ISNUMBER(B1042),ISNUMBER($B$88),ISNUMBER($D$88)),IF(B1042&gt;$D$88,"boven UCL",IF(B1042&lt;$B$88,"onder LCL","")),"")</f>
        <v/>
      </c>
      <c r="E1042" s="13">
        <f>IF(AND(ISNUMBER(C1042),ISNUMBER($B$89),ISNUMBER($D$89)),IF(C1042&gt;$D$89,"boven UCL",IF(C1042&lt;$B$89,"onder LCL","")),"")</f>
        <v/>
      </c>
      <c r="G1042" t="n">
        <v>936</v>
      </c>
      <c r="H1042" s="7" t="n"/>
      <c r="I1042" s="7" t="n"/>
      <c r="J1042" s="11">
        <f>IF(AND(ISNUMBER(H1042),ISNUMBER(I1042),H1042&gt;0,ISNUMBER($B$94)),I1042/H1042,"")</f>
        <v/>
      </c>
      <c r="K1042" s="11">
        <f>IF(AND(ISNUMBER(H1042),ISNUMBER(I1042),H1042&gt;0,ISNUMBER($B$94)),MAX(0,$B$94-3*SQRT($B$94*(1-$B$94)/H1042)),"")</f>
        <v/>
      </c>
      <c r="L1042" s="11">
        <f>IF(AND(ISNUMBER(H1042),ISNUMBER(I1042),H1042&gt;0,ISNUMBER($B$94)),$B$94+3*SQRT($B$94*(1-$B$94)/H1042),"")</f>
        <v/>
      </c>
      <c r="M1042" s="13">
        <f>IF(AND(ISNUMBER(J1042),ISNUMBER(K1042),ISNUMBER(L1042)),IF(J1042&gt;L1042,"boven UCL",IF(J1042&lt;K1042,"onder LCL","")),"")</f>
        <v/>
      </c>
      <c r="O1042" t="n">
        <v>936</v>
      </c>
      <c r="P1042" s="7" t="n"/>
      <c r="Q1042" s="7" t="n"/>
      <c r="R1042" s="11">
        <f>IF(AND(ISNUMBER(P1042),ISNUMBER(Q1042),P1042&gt;0,ISNUMBER($B$100)),Q1042/P1042,"")</f>
        <v/>
      </c>
      <c r="S1042" s="11">
        <f>IF(AND(ISNUMBER(P1042),ISNUMBER(Q1042),P1042&gt;0,ISNUMBER($B$100)),MAX(0,$B$100-3*SQRT($B$100/P1042)),"")</f>
        <v/>
      </c>
      <c r="T1042" s="11">
        <f>IF(AND(ISNUMBER(P1042),ISNUMBER(Q1042),P1042&gt;0,ISNUMBER($B$100)),$B$100+3*SQRT($B$100/P1042),"")</f>
        <v/>
      </c>
      <c r="U1042" s="13">
        <f>IF(AND(ISNUMBER(R1042),ISNUMBER(S1042),ISNUMBER(T1042)),IF(R1042&gt;T1042,"boven UCL",IF(R1042&lt;S1042,"onder LCL","")),"")</f>
        <v/>
      </c>
    </row>
    <row r="1043">
      <c r="A1043" t="n">
        <v>937</v>
      </c>
      <c r="B1043" s="7" t="n"/>
      <c r="C1043" s="11">
        <f>IF(AND(ISNUMBER(B1043),ISNUMBER(B1042)),ABS(B1043-B1042),"")</f>
        <v/>
      </c>
      <c r="D1043" s="13">
        <f>IF(AND(ISNUMBER(B1043),ISNUMBER($B$88),ISNUMBER($D$88)),IF(B1043&gt;$D$88,"boven UCL",IF(B1043&lt;$B$88,"onder LCL","")),"")</f>
        <v/>
      </c>
      <c r="E1043" s="13">
        <f>IF(AND(ISNUMBER(C1043),ISNUMBER($B$89),ISNUMBER($D$89)),IF(C1043&gt;$D$89,"boven UCL",IF(C1043&lt;$B$89,"onder LCL","")),"")</f>
        <v/>
      </c>
      <c r="G1043" t="n">
        <v>937</v>
      </c>
      <c r="H1043" s="7" t="n"/>
      <c r="I1043" s="7" t="n"/>
      <c r="J1043" s="11">
        <f>IF(AND(ISNUMBER(H1043),ISNUMBER(I1043),H1043&gt;0,ISNUMBER($B$94)),I1043/H1043,"")</f>
        <v/>
      </c>
      <c r="K1043" s="11">
        <f>IF(AND(ISNUMBER(H1043),ISNUMBER(I1043),H1043&gt;0,ISNUMBER($B$94)),MAX(0,$B$94-3*SQRT($B$94*(1-$B$94)/H1043)),"")</f>
        <v/>
      </c>
      <c r="L1043" s="11">
        <f>IF(AND(ISNUMBER(H1043),ISNUMBER(I1043),H1043&gt;0,ISNUMBER($B$94)),$B$94+3*SQRT($B$94*(1-$B$94)/H1043),"")</f>
        <v/>
      </c>
      <c r="M1043" s="13">
        <f>IF(AND(ISNUMBER(J1043),ISNUMBER(K1043),ISNUMBER(L1043)),IF(J1043&gt;L1043,"boven UCL",IF(J1043&lt;K1043,"onder LCL","")),"")</f>
        <v/>
      </c>
      <c r="O1043" t="n">
        <v>937</v>
      </c>
      <c r="P1043" s="7" t="n"/>
      <c r="Q1043" s="7" t="n"/>
      <c r="R1043" s="11">
        <f>IF(AND(ISNUMBER(P1043),ISNUMBER(Q1043),P1043&gt;0,ISNUMBER($B$100)),Q1043/P1043,"")</f>
        <v/>
      </c>
      <c r="S1043" s="11">
        <f>IF(AND(ISNUMBER(P1043),ISNUMBER(Q1043),P1043&gt;0,ISNUMBER($B$100)),MAX(0,$B$100-3*SQRT($B$100/P1043)),"")</f>
        <v/>
      </c>
      <c r="T1043" s="11">
        <f>IF(AND(ISNUMBER(P1043),ISNUMBER(Q1043),P1043&gt;0,ISNUMBER($B$100)),$B$100+3*SQRT($B$100/P1043),"")</f>
        <v/>
      </c>
      <c r="U1043" s="13">
        <f>IF(AND(ISNUMBER(R1043),ISNUMBER(S1043),ISNUMBER(T1043)),IF(R1043&gt;T1043,"boven UCL",IF(R1043&lt;S1043,"onder LCL","")),"")</f>
        <v/>
      </c>
    </row>
    <row r="1044">
      <c r="A1044" t="n">
        <v>938</v>
      </c>
      <c r="B1044" s="7" t="n"/>
      <c r="C1044" s="11">
        <f>IF(AND(ISNUMBER(B1044),ISNUMBER(B1043)),ABS(B1044-B1043),"")</f>
        <v/>
      </c>
      <c r="D1044" s="13">
        <f>IF(AND(ISNUMBER(B1044),ISNUMBER($B$88),ISNUMBER($D$88)),IF(B1044&gt;$D$88,"boven UCL",IF(B1044&lt;$B$88,"onder LCL","")),"")</f>
        <v/>
      </c>
      <c r="E1044" s="13">
        <f>IF(AND(ISNUMBER(C1044),ISNUMBER($B$89),ISNUMBER($D$89)),IF(C1044&gt;$D$89,"boven UCL",IF(C1044&lt;$B$89,"onder LCL","")),"")</f>
        <v/>
      </c>
      <c r="G1044" t="n">
        <v>938</v>
      </c>
      <c r="H1044" s="7" t="n"/>
      <c r="I1044" s="7" t="n"/>
      <c r="J1044" s="11">
        <f>IF(AND(ISNUMBER(H1044),ISNUMBER(I1044),H1044&gt;0,ISNUMBER($B$94)),I1044/H1044,"")</f>
        <v/>
      </c>
      <c r="K1044" s="11">
        <f>IF(AND(ISNUMBER(H1044),ISNUMBER(I1044),H1044&gt;0,ISNUMBER($B$94)),MAX(0,$B$94-3*SQRT($B$94*(1-$B$94)/H1044)),"")</f>
        <v/>
      </c>
      <c r="L1044" s="11">
        <f>IF(AND(ISNUMBER(H1044),ISNUMBER(I1044),H1044&gt;0,ISNUMBER($B$94)),$B$94+3*SQRT($B$94*(1-$B$94)/H1044),"")</f>
        <v/>
      </c>
      <c r="M1044" s="13">
        <f>IF(AND(ISNUMBER(J1044),ISNUMBER(K1044),ISNUMBER(L1044)),IF(J1044&gt;L1044,"boven UCL",IF(J1044&lt;K1044,"onder LCL","")),"")</f>
        <v/>
      </c>
      <c r="O1044" t="n">
        <v>938</v>
      </c>
      <c r="P1044" s="7" t="n"/>
      <c r="Q1044" s="7" t="n"/>
      <c r="R1044" s="11">
        <f>IF(AND(ISNUMBER(P1044),ISNUMBER(Q1044),P1044&gt;0,ISNUMBER($B$100)),Q1044/P1044,"")</f>
        <v/>
      </c>
      <c r="S1044" s="11">
        <f>IF(AND(ISNUMBER(P1044),ISNUMBER(Q1044),P1044&gt;0,ISNUMBER($B$100)),MAX(0,$B$100-3*SQRT($B$100/P1044)),"")</f>
        <v/>
      </c>
      <c r="T1044" s="11">
        <f>IF(AND(ISNUMBER(P1044),ISNUMBER(Q1044),P1044&gt;0,ISNUMBER($B$100)),$B$100+3*SQRT($B$100/P1044),"")</f>
        <v/>
      </c>
      <c r="U1044" s="13">
        <f>IF(AND(ISNUMBER(R1044),ISNUMBER(S1044),ISNUMBER(T1044)),IF(R1044&gt;T1044,"boven UCL",IF(R1044&lt;S1044,"onder LCL","")),"")</f>
        <v/>
      </c>
    </row>
    <row r="1045">
      <c r="A1045" t="n">
        <v>939</v>
      </c>
      <c r="B1045" s="7" t="n"/>
      <c r="C1045" s="11">
        <f>IF(AND(ISNUMBER(B1045),ISNUMBER(B1044)),ABS(B1045-B1044),"")</f>
        <v/>
      </c>
      <c r="D1045" s="13">
        <f>IF(AND(ISNUMBER(B1045),ISNUMBER($B$88),ISNUMBER($D$88)),IF(B1045&gt;$D$88,"boven UCL",IF(B1045&lt;$B$88,"onder LCL","")),"")</f>
        <v/>
      </c>
      <c r="E1045" s="13">
        <f>IF(AND(ISNUMBER(C1045),ISNUMBER($B$89),ISNUMBER($D$89)),IF(C1045&gt;$D$89,"boven UCL",IF(C1045&lt;$B$89,"onder LCL","")),"")</f>
        <v/>
      </c>
      <c r="G1045" t="n">
        <v>939</v>
      </c>
      <c r="H1045" s="7" t="n"/>
      <c r="I1045" s="7" t="n"/>
      <c r="J1045" s="11">
        <f>IF(AND(ISNUMBER(H1045),ISNUMBER(I1045),H1045&gt;0,ISNUMBER($B$94)),I1045/H1045,"")</f>
        <v/>
      </c>
      <c r="K1045" s="11">
        <f>IF(AND(ISNUMBER(H1045),ISNUMBER(I1045),H1045&gt;0,ISNUMBER($B$94)),MAX(0,$B$94-3*SQRT($B$94*(1-$B$94)/H1045)),"")</f>
        <v/>
      </c>
      <c r="L1045" s="11">
        <f>IF(AND(ISNUMBER(H1045),ISNUMBER(I1045),H1045&gt;0,ISNUMBER($B$94)),$B$94+3*SQRT($B$94*(1-$B$94)/H1045),"")</f>
        <v/>
      </c>
      <c r="M1045" s="13">
        <f>IF(AND(ISNUMBER(J1045),ISNUMBER(K1045),ISNUMBER(L1045)),IF(J1045&gt;L1045,"boven UCL",IF(J1045&lt;K1045,"onder LCL","")),"")</f>
        <v/>
      </c>
      <c r="O1045" t="n">
        <v>939</v>
      </c>
      <c r="P1045" s="7" t="n"/>
      <c r="Q1045" s="7" t="n"/>
      <c r="R1045" s="11">
        <f>IF(AND(ISNUMBER(P1045),ISNUMBER(Q1045),P1045&gt;0,ISNUMBER($B$100)),Q1045/P1045,"")</f>
        <v/>
      </c>
      <c r="S1045" s="11">
        <f>IF(AND(ISNUMBER(P1045),ISNUMBER(Q1045),P1045&gt;0,ISNUMBER($B$100)),MAX(0,$B$100-3*SQRT($B$100/P1045)),"")</f>
        <v/>
      </c>
      <c r="T1045" s="11">
        <f>IF(AND(ISNUMBER(P1045),ISNUMBER(Q1045),P1045&gt;0,ISNUMBER($B$100)),$B$100+3*SQRT($B$100/P1045),"")</f>
        <v/>
      </c>
      <c r="U1045" s="13">
        <f>IF(AND(ISNUMBER(R1045),ISNUMBER(S1045),ISNUMBER(T1045)),IF(R1045&gt;T1045,"boven UCL",IF(R1045&lt;S1045,"onder LCL","")),"")</f>
        <v/>
      </c>
    </row>
    <row r="1046">
      <c r="A1046" t="n">
        <v>940</v>
      </c>
      <c r="B1046" s="7" t="n"/>
      <c r="C1046" s="11">
        <f>IF(AND(ISNUMBER(B1046),ISNUMBER(B1045)),ABS(B1046-B1045),"")</f>
        <v/>
      </c>
      <c r="D1046" s="13">
        <f>IF(AND(ISNUMBER(B1046),ISNUMBER($B$88),ISNUMBER($D$88)),IF(B1046&gt;$D$88,"boven UCL",IF(B1046&lt;$B$88,"onder LCL","")),"")</f>
        <v/>
      </c>
      <c r="E1046" s="13">
        <f>IF(AND(ISNUMBER(C1046),ISNUMBER($B$89),ISNUMBER($D$89)),IF(C1046&gt;$D$89,"boven UCL",IF(C1046&lt;$B$89,"onder LCL","")),"")</f>
        <v/>
      </c>
      <c r="G1046" t="n">
        <v>940</v>
      </c>
      <c r="H1046" s="7" t="n"/>
      <c r="I1046" s="7" t="n"/>
      <c r="J1046" s="11">
        <f>IF(AND(ISNUMBER(H1046),ISNUMBER(I1046),H1046&gt;0,ISNUMBER($B$94)),I1046/H1046,"")</f>
        <v/>
      </c>
      <c r="K1046" s="11">
        <f>IF(AND(ISNUMBER(H1046),ISNUMBER(I1046),H1046&gt;0,ISNUMBER($B$94)),MAX(0,$B$94-3*SQRT($B$94*(1-$B$94)/H1046)),"")</f>
        <v/>
      </c>
      <c r="L1046" s="11">
        <f>IF(AND(ISNUMBER(H1046),ISNUMBER(I1046),H1046&gt;0,ISNUMBER($B$94)),$B$94+3*SQRT($B$94*(1-$B$94)/H1046),"")</f>
        <v/>
      </c>
      <c r="M1046" s="13">
        <f>IF(AND(ISNUMBER(J1046),ISNUMBER(K1046),ISNUMBER(L1046)),IF(J1046&gt;L1046,"boven UCL",IF(J1046&lt;K1046,"onder LCL","")),"")</f>
        <v/>
      </c>
      <c r="O1046" t="n">
        <v>940</v>
      </c>
      <c r="P1046" s="7" t="n"/>
      <c r="Q1046" s="7" t="n"/>
      <c r="R1046" s="11">
        <f>IF(AND(ISNUMBER(P1046),ISNUMBER(Q1046),P1046&gt;0,ISNUMBER($B$100)),Q1046/P1046,"")</f>
        <v/>
      </c>
      <c r="S1046" s="11">
        <f>IF(AND(ISNUMBER(P1046),ISNUMBER(Q1046),P1046&gt;0,ISNUMBER($B$100)),MAX(0,$B$100-3*SQRT($B$100/P1046)),"")</f>
        <v/>
      </c>
      <c r="T1046" s="11">
        <f>IF(AND(ISNUMBER(P1046),ISNUMBER(Q1046),P1046&gt;0,ISNUMBER($B$100)),$B$100+3*SQRT($B$100/P1046),"")</f>
        <v/>
      </c>
      <c r="U1046" s="13">
        <f>IF(AND(ISNUMBER(R1046),ISNUMBER(S1046),ISNUMBER(T1046)),IF(R1046&gt;T1046,"boven UCL",IF(R1046&lt;S1046,"onder LCL","")),"")</f>
        <v/>
      </c>
    </row>
    <row r="1047">
      <c r="A1047" t="n">
        <v>941</v>
      </c>
      <c r="B1047" s="7" t="n"/>
      <c r="C1047" s="11">
        <f>IF(AND(ISNUMBER(B1047),ISNUMBER(B1046)),ABS(B1047-B1046),"")</f>
        <v/>
      </c>
      <c r="D1047" s="13">
        <f>IF(AND(ISNUMBER(B1047),ISNUMBER($B$88),ISNUMBER($D$88)),IF(B1047&gt;$D$88,"boven UCL",IF(B1047&lt;$B$88,"onder LCL","")),"")</f>
        <v/>
      </c>
      <c r="E1047" s="13">
        <f>IF(AND(ISNUMBER(C1047),ISNUMBER($B$89),ISNUMBER($D$89)),IF(C1047&gt;$D$89,"boven UCL",IF(C1047&lt;$B$89,"onder LCL","")),"")</f>
        <v/>
      </c>
      <c r="G1047" t="n">
        <v>941</v>
      </c>
      <c r="H1047" s="7" t="n"/>
      <c r="I1047" s="7" t="n"/>
      <c r="J1047" s="11">
        <f>IF(AND(ISNUMBER(H1047),ISNUMBER(I1047),H1047&gt;0,ISNUMBER($B$94)),I1047/H1047,"")</f>
        <v/>
      </c>
      <c r="K1047" s="11">
        <f>IF(AND(ISNUMBER(H1047),ISNUMBER(I1047),H1047&gt;0,ISNUMBER($B$94)),MAX(0,$B$94-3*SQRT($B$94*(1-$B$94)/H1047)),"")</f>
        <v/>
      </c>
      <c r="L1047" s="11">
        <f>IF(AND(ISNUMBER(H1047),ISNUMBER(I1047),H1047&gt;0,ISNUMBER($B$94)),$B$94+3*SQRT($B$94*(1-$B$94)/H1047),"")</f>
        <v/>
      </c>
      <c r="M1047" s="13">
        <f>IF(AND(ISNUMBER(J1047),ISNUMBER(K1047),ISNUMBER(L1047)),IF(J1047&gt;L1047,"boven UCL",IF(J1047&lt;K1047,"onder LCL","")),"")</f>
        <v/>
      </c>
      <c r="O1047" t="n">
        <v>941</v>
      </c>
      <c r="P1047" s="7" t="n"/>
      <c r="Q1047" s="7" t="n"/>
      <c r="R1047" s="11">
        <f>IF(AND(ISNUMBER(P1047),ISNUMBER(Q1047),P1047&gt;0,ISNUMBER($B$100)),Q1047/P1047,"")</f>
        <v/>
      </c>
      <c r="S1047" s="11">
        <f>IF(AND(ISNUMBER(P1047),ISNUMBER(Q1047),P1047&gt;0,ISNUMBER($B$100)),MAX(0,$B$100-3*SQRT($B$100/P1047)),"")</f>
        <v/>
      </c>
      <c r="T1047" s="11">
        <f>IF(AND(ISNUMBER(P1047),ISNUMBER(Q1047),P1047&gt;0,ISNUMBER($B$100)),$B$100+3*SQRT($B$100/P1047),"")</f>
        <v/>
      </c>
      <c r="U1047" s="13">
        <f>IF(AND(ISNUMBER(R1047),ISNUMBER(S1047),ISNUMBER(T1047)),IF(R1047&gt;T1047,"boven UCL",IF(R1047&lt;S1047,"onder LCL","")),"")</f>
        <v/>
      </c>
    </row>
    <row r="1048">
      <c r="A1048" t="n">
        <v>942</v>
      </c>
      <c r="B1048" s="7" t="n"/>
      <c r="C1048" s="11">
        <f>IF(AND(ISNUMBER(B1048),ISNUMBER(B1047)),ABS(B1048-B1047),"")</f>
        <v/>
      </c>
      <c r="D1048" s="13">
        <f>IF(AND(ISNUMBER(B1048),ISNUMBER($B$88),ISNUMBER($D$88)),IF(B1048&gt;$D$88,"boven UCL",IF(B1048&lt;$B$88,"onder LCL","")),"")</f>
        <v/>
      </c>
      <c r="E1048" s="13">
        <f>IF(AND(ISNUMBER(C1048),ISNUMBER($B$89),ISNUMBER($D$89)),IF(C1048&gt;$D$89,"boven UCL",IF(C1048&lt;$B$89,"onder LCL","")),"")</f>
        <v/>
      </c>
      <c r="G1048" t="n">
        <v>942</v>
      </c>
      <c r="H1048" s="7" t="n"/>
      <c r="I1048" s="7" t="n"/>
      <c r="J1048" s="11">
        <f>IF(AND(ISNUMBER(H1048),ISNUMBER(I1048),H1048&gt;0,ISNUMBER($B$94)),I1048/H1048,"")</f>
        <v/>
      </c>
      <c r="K1048" s="11">
        <f>IF(AND(ISNUMBER(H1048),ISNUMBER(I1048),H1048&gt;0,ISNUMBER($B$94)),MAX(0,$B$94-3*SQRT($B$94*(1-$B$94)/H1048)),"")</f>
        <v/>
      </c>
      <c r="L1048" s="11">
        <f>IF(AND(ISNUMBER(H1048),ISNUMBER(I1048),H1048&gt;0,ISNUMBER($B$94)),$B$94+3*SQRT($B$94*(1-$B$94)/H1048),"")</f>
        <v/>
      </c>
      <c r="M1048" s="13">
        <f>IF(AND(ISNUMBER(J1048),ISNUMBER(K1048),ISNUMBER(L1048)),IF(J1048&gt;L1048,"boven UCL",IF(J1048&lt;K1048,"onder LCL","")),"")</f>
        <v/>
      </c>
      <c r="O1048" t="n">
        <v>942</v>
      </c>
      <c r="P1048" s="7" t="n"/>
      <c r="Q1048" s="7" t="n"/>
      <c r="R1048" s="11">
        <f>IF(AND(ISNUMBER(P1048),ISNUMBER(Q1048),P1048&gt;0,ISNUMBER($B$100)),Q1048/P1048,"")</f>
        <v/>
      </c>
      <c r="S1048" s="11">
        <f>IF(AND(ISNUMBER(P1048),ISNUMBER(Q1048),P1048&gt;0,ISNUMBER($B$100)),MAX(0,$B$100-3*SQRT($B$100/P1048)),"")</f>
        <v/>
      </c>
      <c r="T1048" s="11">
        <f>IF(AND(ISNUMBER(P1048),ISNUMBER(Q1048),P1048&gt;0,ISNUMBER($B$100)),$B$100+3*SQRT($B$100/P1048),"")</f>
        <v/>
      </c>
      <c r="U1048" s="13">
        <f>IF(AND(ISNUMBER(R1048),ISNUMBER(S1048),ISNUMBER(T1048)),IF(R1048&gt;T1048,"boven UCL",IF(R1048&lt;S1048,"onder LCL","")),"")</f>
        <v/>
      </c>
    </row>
    <row r="1049">
      <c r="A1049" t="n">
        <v>943</v>
      </c>
      <c r="B1049" s="7" t="n"/>
      <c r="C1049" s="11">
        <f>IF(AND(ISNUMBER(B1049),ISNUMBER(B1048)),ABS(B1049-B1048),"")</f>
        <v/>
      </c>
      <c r="D1049" s="13">
        <f>IF(AND(ISNUMBER(B1049),ISNUMBER($B$88),ISNUMBER($D$88)),IF(B1049&gt;$D$88,"boven UCL",IF(B1049&lt;$B$88,"onder LCL","")),"")</f>
        <v/>
      </c>
      <c r="E1049" s="13">
        <f>IF(AND(ISNUMBER(C1049),ISNUMBER($B$89),ISNUMBER($D$89)),IF(C1049&gt;$D$89,"boven UCL",IF(C1049&lt;$B$89,"onder LCL","")),"")</f>
        <v/>
      </c>
      <c r="G1049" t="n">
        <v>943</v>
      </c>
      <c r="H1049" s="7" t="n"/>
      <c r="I1049" s="7" t="n"/>
      <c r="J1049" s="11">
        <f>IF(AND(ISNUMBER(H1049),ISNUMBER(I1049),H1049&gt;0,ISNUMBER($B$94)),I1049/H1049,"")</f>
        <v/>
      </c>
      <c r="K1049" s="11">
        <f>IF(AND(ISNUMBER(H1049),ISNUMBER(I1049),H1049&gt;0,ISNUMBER($B$94)),MAX(0,$B$94-3*SQRT($B$94*(1-$B$94)/H1049)),"")</f>
        <v/>
      </c>
      <c r="L1049" s="11">
        <f>IF(AND(ISNUMBER(H1049),ISNUMBER(I1049),H1049&gt;0,ISNUMBER($B$94)),$B$94+3*SQRT($B$94*(1-$B$94)/H1049),"")</f>
        <v/>
      </c>
      <c r="M1049" s="13">
        <f>IF(AND(ISNUMBER(J1049),ISNUMBER(K1049),ISNUMBER(L1049)),IF(J1049&gt;L1049,"boven UCL",IF(J1049&lt;K1049,"onder LCL","")),"")</f>
        <v/>
      </c>
      <c r="O1049" t="n">
        <v>943</v>
      </c>
      <c r="P1049" s="7" t="n"/>
      <c r="Q1049" s="7" t="n"/>
      <c r="R1049" s="11">
        <f>IF(AND(ISNUMBER(P1049),ISNUMBER(Q1049),P1049&gt;0,ISNUMBER($B$100)),Q1049/P1049,"")</f>
        <v/>
      </c>
      <c r="S1049" s="11">
        <f>IF(AND(ISNUMBER(P1049),ISNUMBER(Q1049),P1049&gt;0,ISNUMBER($B$100)),MAX(0,$B$100-3*SQRT($B$100/P1049)),"")</f>
        <v/>
      </c>
      <c r="T1049" s="11">
        <f>IF(AND(ISNUMBER(P1049),ISNUMBER(Q1049),P1049&gt;0,ISNUMBER($B$100)),$B$100+3*SQRT($B$100/P1049),"")</f>
        <v/>
      </c>
      <c r="U1049" s="13">
        <f>IF(AND(ISNUMBER(R1049),ISNUMBER(S1049),ISNUMBER(T1049)),IF(R1049&gt;T1049,"boven UCL",IF(R1049&lt;S1049,"onder LCL","")),"")</f>
        <v/>
      </c>
    </row>
    <row r="1050">
      <c r="A1050" t="n">
        <v>944</v>
      </c>
      <c r="B1050" s="7" t="n"/>
      <c r="C1050" s="11">
        <f>IF(AND(ISNUMBER(B1050),ISNUMBER(B1049)),ABS(B1050-B1049),"")</f>
        <v/>
      </c>
      <c r="D1050" s="13">
        <f>IF(AND(ISNUMBER(B1050),ISNUMBER($B$88),ISNUMBER($D$88)),IF(B1050&gt;$D$88,"boven UCL",IF(B1050&lt;$B$88,"onder LCL","")),"")</f>
        <v/>
      </c>
      <c r="E1050" s="13">
        <f>IF(AND(ISNUMBER(C1050),ISNUMBER($B$89),ISNUMBER($D$89)),IF(C1050&gt;$D$89,"boven UCL",IF(C1050&lt;$B$89,"onder LCL","")),"")</f>
        <v/>
      </c>
      <c r="G1050" t="n">
        <v>944</v>
      </c>
      <c r="H1050" s="7" t="n"/>
      <c r="I1050" s="7" t="n"/>
      <c r="J1050" s="11">
        <f>IF(AND(ISNUMBER(H1050),ISNUMBER(I1050),H1050&gt;0,ISNUMBER($B$94)),I1050/H1050,"")</f>
        <v/>
      </c>
      <c r="K1050" s="11">
        <f>IF(AND(ISNUMBER(H1050),ISNUMBER(I1050),H1050&gt;0,ISNUMBER($B$94)),MAX(0,$B$94-3*SQRT($B$94*(1-$B$94)/H1050)),"")</f>
        <v/>
      </c>
      <c r="L1050" s="11">
        <f>IF(AND(ISNUMBER(H1050),ISNUMBER(I1050),H1050&gt;0,ISNUMBER($B$94)),$B$94+3*SQRT($B$94*(1-$B$94)/H1050),"")</f>
        <v/>
      </c>
      <c r="M1050" s="13">
        <f>IF(AND(ISNUMBER(J1050),ISNUMBER(K1050),ISNUMBER(L1050)),IF(J1050&gt;L1050,"boven UCL",IF(J1050&lt;K1050,"onder LCL","")),"")</f>
        <v/>
      </c>
      <c r="O1050" t="n">
        <v>944</v>
      </c>
      <c r="P1050" s="7" t="n"/>
      <c r="Q1050" s="7" t="n"/>
      <c r="R1050" s="11">
        <f>IF(AND(ISNUMBER(P1050),ISNUMBER(Q1050),P1050&gt;0,ISNUMBER($B$100)),Q1050/P1050,"")</f>
        <v/>
      </c>
      <c r="S1050" s="11">
        <f>IF(AND(ISNUMBER(P1050),ISNUMBER(Q1050),P1050&gt;0,ISNUMBER($B$100)),MAX(0,$B$100-3*SQRT($B$100/P1050)),"")</f>
        <v/>
      </c>
      <c r="T1050" s="11">
        <f>IF(AND(ISNUMBER(P1050),ISNUMBER(Q1050),P1050&gt;0,ISNUMBER($B$100)),$B$100+3*SQRT($B$100/P1050),"")</f>
        <v/>
      </c>
      <c r="U1050" s="13">
        <f>IF(AND(ISNUMBER(R1050),ISNUMBER(S1050),ISNUMBER(T1050)),IF(R1050&gt;T1050,"boven UCL",IF(R1050&lt;S1050,"onder LCL","")),"")</f>
        <v/>
      </c>
    </row>
    <row r="1051">
      <c r="A1051" t="n">
        <v>945</v>
      </c>
      <c r="B1051" s="7" t="n"/>
      <c r="C1051" s="11">
        <f>IF(AND(ISNUMBER(B1051),ISNUMBER(B1050)),ABS(B1051-B1050),"")</f>
        <v/>
      </c>
      <c r="D1051" s="13">
        <f>IF(AND(ISNUMBER(B1051),ISNUMBER($B$88),ISNUMBER($D$88)),IF(B1051&gt;$D$88,"boven UCL",IF(B1051&lt;$B$88,"onder LCL","")),"")</f>
        <v/>
      </c>
      <c r="E1051" s="13">
        <f>IF(AND(ISNUMBER(C1051),ISNUMBER($B$89),ISNUMBER($D$89)),IF(C1051&gt;$D$89,"boven UCL",IF(C1051&lt;$B$89,"onder LCL","")),"")</f>
        <v/>
      </c>
      <c r="G1051" t="n">
        <v>945</v>
      </c>
      <c r="H1051" s="7" t="n"/>
      <c r="I1051" s="7" t="n"/>
      <c r="J1051" s="11">
        <f>IF(AND(ISNUMBER(H1051),ISNUMBER(I1051),H1051&gt;0,ISNUMBER($B$94)),I1051/H1051,"")</f>
        <v/>
      </c>
      <c r="K1051" s="11">
        <f>IF(AND(ISNUMBER(H1051),ISNUMBER(I1051),H1051&gt;0,ISNUMBER($B$94)),MAX(0,$B$94-3*SQRT($B$94*(1-$B$94)/H1051)),"")</f>
        <v/>
      </c>
      <c r="L1051" s="11">
        <f>IF(AND(ISNUMBER(H1051),ISNUMBER(I1051),H1051&gt;0,ISNUMBER($B$94)),$B$94+3*SQRT($B$94*(1-$B$94)/H1051),"")</f>
        <v/>
      </c>
      <c r="M1051" s="13">
        <f>IF(AND(ISNUMBER(J1051),ISNUMBER(K1051),ISNUMBER(L1051)),IF(J1051&gt;L1051,"boven UCL",IF(J1051&lt;K1051,"onder LCL","")),"")</f>
        <v/>
      </c>
      <c r="O1051" t="n">
        <v>945</v>
      </c>
      <c r="P1051" s="7" t="n"/>
      <c r="Q1051" s="7" t="n"/>
      <c r="R1051" s="11">
        <f>IF(AND(ISNUMBER(P1051),ISNUMBER(Q1051),P1051&gt;0,ISNUMBER($B$100)),Q1051/P1051,"")</f>
        <v/>
      </c>
      <c r="S1051" s="11">
        <f>IF(AND(ISNUMBER(P1051),ISNUMBER(Q1051),P1051&gt;0,ISNUMBER($B$100)),MAX(0,$B$100-3*SQRT($B$100/P1051)),"")</f>
        <v/>
      </c>
      <c r="T1051" s="11">
        <f>IF(AND(ISNUMBER(P1051),ISNUMBER(Q1051),P1051&gt;0,ISNUMBER($B$100)),$B$100+3*SQRT($B$100/P1051),"")</f>
        <v/>
      </c>
      <c r="U1051" s="13">
        <f>IF(AND(ISNUMBER(R1051),ISNUMBER(S1051),ISNUMBER(T1051)),IF(R1051&gt;T1051,"boven UCL",IF(R1051&lt;S1051,"onder LCL","")),"")</f>
        <v/>
      </c>
    </row>
    <row r="1052">
      <c r="A1052" t="n">
        <v>946</v>
      </c>
      <c r="B1052" s="7" t="n"/>
      <c r="C1052" s="11">
        <f>IF(AND(ISNUMBER(B1052),ISNUMBER(B1051)),ABS(B1052-B1051),"")</f>
        <v/>
      </c>
      <c r="D1052" s="13">
        <f>IF(AND(ISNUMBER(B1052),ISNUMBER($B$88),ISNUMBER($D$88)),IF(B1052&gt;$D$88,"boven UCL",IF(B1052&lt;$B$88,"onder LCL","")),"")</f>
        <v/>
      </c>
      <c r="E1052" s="13">
        <f>IF(AND(ISNUMBER(C1052),ISNUMBER($B$89),ISNUMBER($D$89)),IF(C1052&gt;$D$89,"boven UCL",IF(C1052&lt;$B$89,"onder LCL","")),"")</f>
        <v/>
      </c>
      <c r="G1052" t="n">
        <v>946</v>
      </c>
      <c r="H1052" s="7" t="n"/>
      <c r="I1052" s="7" t="n"/>
      <c r="J1052" s="11">
        <f>IF(AND(ISNUMBER(H1052),ISNUMBER(I1052),H1052&gt;0,ISNUMBER($B$94)),I1052/H1052,"")</f>
        <v/>
      </c>
      <c r="K1052" s="11">
        <f>IF(AND(ISNUMBER(H1052),ISNUMBER(I1052),H1052&gt;0,ISNUMBER($B$94)),MAX(0,$B$94-3*SQRT($B$94*(1-$B$94)/H1052)),"")</f>
        <v/>
      </c>
      <c r="L1052" s="11">
        <f>IF(AND(ISNUMBER(H1052),ISNUMBER(I1052),H1052&gt;0,ISNUMBER($B$94)),$B$94+3*SQRT($B$94*(1-$B$94)/H1052),"")</f>
        <v/>
      </c>
      <c r="M1052" s="13">
        <f>IF(AND(ISNUMBER(J1052),ISNUMBER(K1052),ISNUMBER(L1052)),IF(J1052&gt;L1052,"boven UCL",IF(J1052&lt;K1052,"onder LCL","")),"")</f>
        <v/>
      </c>
      <c r="O1052" t="n">
        <v>946</v>
      </c>
      <c r="P1052" s="7" t="n"/>
      <c r="Q1052" s="7" t="n"/>
      <c r="R1052" s="11">
        <f>IF(AND(ISNUMBER(P1052),ISNUMBER(Q1052),P1052&gt;0,ISNUMBER($B$100)),Q1052/P1052,"")</f>
        <v/>
      </c>
      <c r="S1052" s="11">
        <f>IF(AND(ISNUMBER(P1052),ISNUMBER(Q1052),P1052&gt;0,ISNUMBER($B$100)),MAX(0,$B$100-3*SQRT($B$100/P1052)),"")</f>
        <v/>
      </c>
      <c r="T1052" s="11">
        <f>IF(AND(ISNUMBER(P1052),ISNUMBER(Q1052),P1052&gt;0,ISNUMBER($B$100)),$B$100+3*SQRT($B$100/P1052),"")</f>
        <v/>
      </c>
      <c r="U1052" s="13">
        <f>IF(AND(ISNUMBER(R1052),ISNUMBER(S1052),ISNUMBER(T1052)),IF(R1052&gt;T1052,"boven UCL",IF(R1052&lt;S1052,"onder LCL","")),"")</f>
        <v/>
      </c>
    </row>
    <row r="1053">
      <c r="A1053" t="n">
        <v>947</v>
      </c>
      <c r="B1053" s="7" t="n"/>
      <c r="C1053" s="11">
        <f>IF(AND(ISNUMBER(B1053),ISNUMBER(B1052)),ABS(B1053-B1052),"")</f>
        <v/>
      </c>
      <c r="D1053" s="13">
        <f>IF(AND(ISNUMBER(B1053),ISNUMBER($B$88),ISNUMBER($D$88)),IF(B1053&gt;$D$88,"boven UCL",IF(B1053&lt;$B$88,"onder LCL","")),"")</f>
        <v/>
      </c>
      <c r="E1053" s="13">
        <f>IF(AND(ISNUMBER(C1053),ISNUMBER($B$89),ISNUMBER($D$89)),IF(C1053&gt;$D$89,"boven UCL",IF(C1053&lt;$B$89,"onder LCL","")),"")</f>
        <v/>
      </c>
      <c r="G1053" t="n">
        <v>947</v>
      </c>
      <c r="H1053" s="7" t="n"/>
      <c r="I1053" s="7" t="n"/>
      <c r="J1053" s="11">
        <f>IF(AND(ISNUMBER(H1053),ISNUMBER(I1053),H1053&gt;0,ISNUMBER($B$94)),I1053/H1053,"")</f>
        <v/>
      </c>
      <c r="K1053" s="11">
        <f>IF(AND(ISNUMBER(H1053),ISNUMBER(I1053),H1053&gt;0,ISNUMBER($B$94)),MAX(0,$B$94-3*SQRT($B$94*(1-$B$94)/H1053)),"")</f>
        <v/>
      </c>
      <c r="L1053" s="11">
        <f>IF(AND(ISNUMBER(H1053),ISNUMBER(I1053),H1053&gt;0,ISNUMBER($B$94)),$B$94+3*SQRT($B$94*(1-$B$94)/H1053),"")</f>
        <v/>
      </c>
      <c r="M1053" s="13">
        <f>IF(AND(ISNUMBER(J1053),ISNUMBER(K1053),ISNUMBER(L1053)),IF(J1053&gt;L1053,"boven UCL",IF(J1053&lt;K1053,"onder LCL","")),"")</f>
        <v/>
      </c>
      <c r="O1053" t="n">
        <v>947</v>
      </c>
      <c r="P1053" s="7" t="n"/>
      <c r="Q1053" s="7" t="n"/>
      <c r="R1053" s="11">
        <f>IF(AND(ISNUMBER(P1053),ISNUMBER(Q1053),P1053&gt;0,ISNUMBER($B$100)),Q1053/P1053,"")</f>
        <v/>
      </c>
      <c r="S1053" s="11">
        <f>IF(AND(ISNUMBER(P1053),ISNUMBER(Q1053),P1053&gt;0,ISNUMBER($B$100)),MAX(0,$B$100-3*SQRT($B$100/P1053)),"")</f>
        <v/>
      </c>
      <c r="T1053" s="11">
        <f>IF(AND(ISNUMBER(P1053),ISNUMBER(Q1053),P1053&gt;0,ISNUMBER($B$100)),$B$100+3*SQRT($B$100/P1053),"")</f>
        <v/>
      </c>
      <c r="U1053" s="13">
        <f>IF(AND(ISNUMBER(R1053),ISNUMBER(S1053),ISNUMBER(T1053)),IF(R1053&gt;T1053,"boven UCL",IF(R1053&lt;S1053,"onder LCL","")),"")</f>
        <v/>
      </c>
    </row>
    <row r="1054">
      <c r="A1054" t="n">
        <v>948</v>
      </c>
      <c r="B1054" s="7" t="n"/>
      <c r="C1054" s="11">
        <f>IF(AND(ISNUMBER(B1054),ISNUMBER(B1053)),ABS(B1054-B1053),"")</f>
        <v/>
      </c>
      <c r="D1054" s="13">
        <f>IF(AND(ISNUMBER(B1054),ISNUMBER($B$88),ISNUMBER($D$88)),IF(B1054&gt;$D$88,"boven UCL",IF(B1054&lt;$B$88,"onder LCL","")),"")</f>
        <v/>
      </c>
      <c r="E1054" s="13">
        <f>IF(AND(ISNUMBER(C1054),ISNUMBER($B$89),ISNUMBER($D$89)),IF(C1054&gt;$D$89,"boven UCL",IF(C1054&lt;$B$89,"onder LCL","")),"")</f>
        <v/>
      </c>
      <c r="G1054" t="n">
        <v>948</v>
      </c>
      <c r="H1054" s="7" t="n"/>
      <c r="I1054" s="7" t="n"/>
      <c r="J1054" s="11">
        <f>IF(AND(ISNUMBER(H1054),ISNUMBER(I1054),H1054&gt;0,ISNUMBER($B$94)),I1054/H1054,"")</f>
        <v/>
      </c>
      <c r="K1054" s="11">
        <f>IF(AND(ISNUMBER(H1054),ISNUMBER(I1054),H1054&gt;0,ISNUMBER($B$94)),MAX(0,$B$94-3*SQRT($B$94*(1-$B$94)/H1054)),"")</f>
        <v/>
      </c>
      <c r="L1054" s="11">
        <f>IF(AND(ISNUMBER(H1054),ISNUMBER(I1054),H1054&gt;0,ISNUMBER($B$94)),$B$94+3*SQRT($B$94*(1-$B$94)/H1054),"")</f>
        <v/>
      </c>
      <c r="M1054" s="13">
        <f>IF(AND(ISNUMBER(J1054),ISNUMBER(K1054),ISNUMBER(L1054)),IF(J1054&gt;L1054,"boven UCL",IF(J1054&lt;K1054,"onder LCL","")),"")</f>
        <v/>
      </c>
      <c r="O1054" t="n">
        <v>948</v>
      </c>
      <c r="P1054" s="7" t="n"/>
      <c r="Q1054" s="7" t="n"/>
      <c r="R1054" s="11">
        <f>IF(AND(ISNUMBER(P1054),ISNUMBER(Q1054),P1054&gt;0,ISNUMBER($B$100)),Q1054/P1054,"")</f>
        <v/>
      </c>
      <c r="S1054" s="11">
        <f>IF(AND(ISNUMBER(P1054),ISNUMBER(Q1054),P1054&gt;0,ISNUMBER($B$100)),MAX(0,$B$100-3*SQRT($B$100/P1054)),"")</f>
        <v/>
      </c>
      <c r="T1054" s="11">
        <f>IF(AND(ISNUMBER(P1054),ISNUMBER(Q1054),P1054&gt;0,ISNUMBER($B$100)),$B$100+3*SQRT($B$100/P1054),"")</f>
        <v/>
      </c>
      <c r="U1054" s="13">
        <f>IF(AND(ISNUMBER(R1054),ISNUMBER(S1054),ISNUMBER(T1054)),IF(R1054&gt;T1054,"boven UCL",IF(R1054&lt;S1054,"onder LCL","")),"")</f>
        <v/>
      </c>
    </row>
    <row r="1055">
      <c r="A1055" t="n">
        <v>949</v>
      </c>
      <c r="B1055" s="7" t="n"/>
      <c r="C1055" s="11">
        <f>IF(AND(ISNUMBER(B1055),ISNUMBER(B1054)),ABS(B1055-B1054),"")</f>
        <v/>
      </c>
      <c r="D1055" s="13">
        <f>IF(AND(ISNUMBER(B1055),ISNUMBER($B$88),ISNUMBER($D$88)),IF(B1055&gt;$D$88,"boven UCL",IF(B1055&lt;$B$88,"onder LCL","")),"")</f>
        <v/>
      </c>
      <c r="E1055" s="13">
        <f>IF(AND(ISNUMBER(C1055),ISNUMBER($B$89),ISNUMBER($D$89)),IF(C1055&gt;$D$89,"boven UCL",IF(C1055&lt;$B$89,"onder LCL","")),"")</f>
        <v/>
      </c>
      <c r="G1055" t="n">
        <v>949</v>
      </c>
      <c r="H1055" s="7" t="n"/>
      <c r="I1055" s="7" t="n"/>
      <c r="J1055" s="11">
        <f>IF(AND(ISNUMBER(H1055),ISNUMBER(I1055),H1055&gt;0,ISNUMBER($B$94)),I1055/H1055,"")</f>
        <v/>
      </c>
      <c r="K1055" s="11">
        <f>IF(AND(ISNUMBER(H1055),ISNUMBER(I1055),H1055&gt;0,ISNUMBER($B$94)),MAX(0,$B$94-3*SQRT($B$94*(1-$B$94)/H1055)),"")</f>
        <v/>
      </c>
      <c r="L1055" s="11">
        <f>IF(AND(ISNUMBER(H1055),ISNUMBER(I1055),H1055&gt;0,ISNUMBER($B$94)),$B$94+3*SQRT($B$94*(1-$B$94)/H1055),"")</f>
        <v/>
      </c>
      <c r="M1055" s="13">
        <f>IF(AND(ISNUMBER(J1055),ISNUMBER(K1055),ISNUMBER(L1055)),IF(J1055&gt;L1055,"boven UCL",IF(J1055&lt;K1055,"onder LCL","")),"")</f>
        <v/>
      </c>
      <c r="O1055" t="n">
        <v>949</v>
      </c>
      <c r="P1055" s="7" t="n"/>
      <c r="Q1055" s="7" t="n"/>
      <c r="R1055" s="11">
        <f>IF(AND(ISNUMBER(P1055),ISNUMBER(Q1055),P1055&gt;0,ISNUMBER($B$100)),Q1055/P1055,"")</f>
        <v/>
      </c>
      <c r="S1055" s="11">
        <f>IF(AND(ISNUMBER(P1055),ISNUMBER(Q1055),P1055&gt;0,ISNUMBER($B$100)),MAX(0,$B$100-3*SQRT($B$100/P1055)),"")</f>
        <v/>
      </c>
      <c r="T1055" s="11">
        <f>IF(AND(ISNUMBER(P1055),ISNUMBER(Q1055),P1055&gt;0,ISNUMBER($B$100)),$B$100+3*SQRT($B$100/P1055),"")</f>
        <v/>
      </c>
      <c r="U1055" s="13">
        <f>IF(AND(ISNUMBER(R1055),ISNUMBER(S1055),ISNUMBER(T1055)),IF(R1055&gt;T1055,"boven UCL",IF(R1055&lt;S1055,"onder LCL","")),"")</f>
        <v/>
      </c>
    </row>
    <row r="1056">
      <c r="A1056" t="n">
        <v>950</v>
      </c>
      <c r="B1056" s="7" t="n"/>
      <c r="C1056" s="11">
        <f>IF(AND(ISNUMBER(B1056),ISNUMBER(B1055)),ABS(B1056-B1055),"")</f>
        <v/>
      </c>
      <c r="D1056" s="13">
        <f>IF(AND(ISNUMBER(B1056),ISNUMBER($B$88),ISNUMBER($D$88)),IF(B1056&gt;$D$88,"boven UCL",IF(B1056&lt;$B$88,"onder LCL","")),"")</f>
        <v/>
      </c>
      <c r="E1056" s="13">
        <f>IF(AND(ISNUMBER(C1056),ISNUMBER($B$89),ISNUMBER($D$89)),IF(C1056&gt;$D$89,"boven UCL",IF(C1056&lt;$B$89,"onder LCL","")),"")</f>
        <v/>
      </c>
      <c r="G1056" t="n">
        <v>950</v>
      </c>
      <c r="H1056" s="7" t="n"/>
      <c r="I1056" s="7" t="n"/>
      <c r="J1056" s="11">
        <f>IF(AND(ISNUMBER(H1056),ISNUMBER(I1056),H1056&gt;0,ISNUMBER($B$94)),I1056/H1056,"")</f>
        <v/>
      </c>
      <c r="K1056" s="11">
        <f>IF(AND(ISNUMBER(H1056),ISNUMBER(I1056),H1056&gt;0,ISNUMBER($B$94)),MAX(0,$B$94-3*SQRT($B$94*(1-$B$94)/H1056)),"")</f>
        <v/>
      </c>
      <c r="L1056" s="11">
        <f>IF(AND(ISNUMBER(H1056),ISNUMBER(I1056),H1056&gt;0,ISNUMBER($B$94)),$B$94+3*SQRT($B$94*(1-$B$94)/H1056),"")</f>
        <v/>
      </c>
      <c r="M1056" s="13">
        <f>IF(AND(ISNUMBER(J1056),ISNUMBER(K1056),ISNUMBER(L1056)),IF(J1056&gt;L1056,"boven UCL",IF(J1056&lt;K1056,"onder LCL","")),"")</f>
        <v/>
      </c>
      <c r="O1056" t="n">
        <v>950</v>
      </c>
      <c r="P1056" s="7" t="n"/>
      <c r="Q1056" s="7" t="n"/>
      <c r="R1056" s="11">
        <f>IF(AND(ISNUMBER(P1056),ISNUMBER(Q1056),P1056&gt;0,ISNUMBER($B$100)),Q1056/P1056,"")</f>
        <v/>
      </c>
      <c r="S1056" s="11">
        <f>IF(AND(ISNUMBER(P1056),ISNUMBER(Q1056),P1056&gt;0,ISNUMBER($B$100)),MAX(0,$B$100-3*SQRT($B$100/P1056)),"")</f>
        <v/>
      </c>
      <c r="T1056" s="11">
        <f>IF(AND(ISNUMBER(P1056),ISNUMBER(Q1056),P1056&gt;0,ISNUMBER($B$100)),$B$100+3*SQRT($B$100/P1056),"")</f>
        <v/>
      </c>
      <c r="U1056" s="13">
        <f>IF(AND(ISNUMBER(R1056),ISNUMBER(S1056),ISNUMBER(T1056)),IF(R1056&gt;T1056,"boven UCL",IF(R1056&lt;S1056,"onder LCL","")),"")</f>
        <v/>
      </c>
    </row>
    <row r="1057">
      <c r="A1057" t="n">
        <v>951</v>
      </c>
      <c r="B1057" s="7" t="n"/>
      <c r="C1057" s="11">
        <f>IF(AND(ISNUMBER(B1057),ISNUMBER(B1056)),ABS(B1057-B1056),"")</f>
        <v/>
      </c>
      <c r="D1057" s="13">
        <f>IF(AND(ISNUMBER(B1057),ISNUMBER($B$88),ISNUMBER($D$88)),IF(B1057&gt;$D$88,"boven UCL",IF(B1057&lt;$B$88,"onder LCL","")),"")</f>
        <v/>
      </c>
      <c r="E1057" s="13">
        <f>IF(AND(ISNUMBER(C1057),ISNUMBER($B$89),ISNUMBER($D$89)),IF(C1057&gt;$D$89,"boven UCL",IF(C1057&lt;$B$89,"onder LCL","")),"")</f>
        <v/>
      </c>
      <c r="G1057" t="n">
        <v>951</v>
      </c>
      <c r="H1057" s="7" t="n"/>
      <c r="I1057" s="7" t="n"/>
      <c r="J1057" s="11">
        <f>IF(AND(ISNUMBER(H1057),ISNUMBER(I1057),H1057&gt;0,ISNUMBER($B$94)),I1057/H1057,"")</f>
        <v/>
      </c>
      <c r="K1057" s="11">
        <f>IF(AND(ISNUMBER(H1057),ISNUMBER(I1057),H1057&gt;0,ISNUMBER($B$94)),MAX(0,$B$94-3*SQRT($B$94*(1-$B$94)/H1057)),"")</f>
        <v/>
      </c>
      <c r="L1057" s="11">
        <f>IF(AND(ISNUMBER(H1057),ISNUMBER(I1057),H1057&gt;0,ISNUMBER($B$94)),$B$94+3*SQRT($B$94*(1-$B$94)/H1057),"")</f>
        <v/>
      </c>
      <c r="M1057" s="13">
        <f>IF(AND(ISNUMBER(J1057),ISNUMBER(K1057),ISNUMBER(L1057)),IF(J1057&gt;L1057,"boven UCL",IF(J1057&lt;K1057,"onder LCL","")),"")</f>
        <v/>
      </c>
      <c r="O1057" t="n">
        <v>951</v>
      </c>
      <c r="P1057" s="7" t="n"/>
      <c r="Q1057" s="7" t="n"/>
      <c r="R1057" s="11">
        <f>IF(AND(ISNUMBER(P1057),ISNUMBER(Q1057),P1057&gt;0,ISNUMBER($B$100)),Q1057/P1057,"")</f>
        <v/>
      </c>
      <c r="S1057" s="11">
        <f>IF(AND(ISNUMBER(P1057),ISNUMBER(Q1057),P1057&gt;0,ISNUMBER($B$100)),MAX(0,$B$100-3*SQRT($B$100/P1057)),"")</f>
        <v/>
      </c>
      <c r="T1057" s="11">
        <f>IF(AND(ISNUMBER(P1057),ISNUMBER(Q1057),P1057&gt;0,ISNUMBER($B$100)),$B$100+3*SQRT($B$100/P1057),"")</f>
        <v/>
      </c>
      <c r="U1057" s="13">
        <f>IF(AND(ISNUMBER(R1057),ISNUMBER(S1057),ISNUMBER(T1057)),IF(R1057&gt;T1057,"boven UCL",IF(R1057&lt;S1057,"onder LCL","")),"")</f>
        <v/>
      </c>
    </row>
    <row r="1058">
      <c r="A1058" t="n">
        <v>952</v>
      </c>
      <c r="B1058" s="7" t="n"/>
      <c r="C1058" s="11">
        <f>IF(AND(ISNUMBER(B1058),ISNUMBER(B1057)),ABS(B1058-B1057),"")</f>
        <v/>
      </c>
      <c r="D1058" s="13">
        <f>IF(AND(ISNUMBER(B1058),ISNUMBER($B$88),ISNUMBER($D$88)),IF(B1058&gt;$D$88,"boven UCL",IF(B1058&lt;$B$88,"onder LCL","")),"")</f>
        <v/>
      </c>
      <c r="E1058" s="13">
        <f>IF(AND(ISNUMBER(C1058),ISNUMBER($B$89),ISNUMBER($D$89)),IF(C1058&gt;$D$89,"boven UCL",IF(C1058&lt;$B$89,"onder LCL","")),"")</f>
        <v/>
      </c>
      <c r="G1058" t="n">
        <v>952</v>
      </c>
      <c r="H1058" s="7" t="n"/>
      <c r="I1058" s="7" t="n"/>
      <c r="J1058" s="11">
        <f>IF(AND(ISNUMBER(H1058),ISNUMBER(I1058),H1058&gt;0,ISNUMBER($B$94)),I1058/H1058,"")</f>
        <v/>
      </c>
      <c r="K1058" s="11">
        <f>IF(AND(ISNUMBER(H1058),ISNUMBER(I1058),H1058&gt;0,ISNUMBER($B$94)),MAX(0,$B$94-3*SQRT($B$94*(1-$B$94)/H1058)),"")</f>
        <v/>
      </c>
      <c r="L1058" s="11">
        <f>IF(AND(ISNUMBER(H1058),ISNUMBER(I1058),H1058&gt;0,ISNUMBER($B$94)),$B$94+3*SQRT($B$94*(1-$B$94)/H1058),"")</f>
        <v/>
      </c>
      <c r="M1058" s="13">
        <f>IF(AND(ISNUMBER(J1058),ISNUMBER(K1058),ISNUMBER(L1058)),IF(J1058&gt;L1058,"boven UCL",IF(J1058&lt;K1058,"onder LCL","")),"")</f>
        <v/>
      </c>
      <c r="O1058" t="n">
        <v>952</v>
      </c>
      <c r="P1058" s="7" t="n"/>
      <c r="Q1058" s="7" t="n"/>
      <c r="R1058" s="11">
        <f>IF(AND(ISNUMBER(P1058),ISNUMBER(Q1058),P1058&gt;0,ISNUMBER($B$100)),Q1058/P1058,"")</f>
        <v/>
      </c>
      <c r="S1058" s="11">
        <f>IF(AND(ISNUMBER(P1058),ISNUMBER(Q1058),P1058&gt;0,ISNUMBER($B$100)),MAX(0,$B$100-3*SQRT($B$100/P1058)),"")</f>
        <v/>
      </c>
      <c r="T1058" s="11">
        <f>IF(AND(ISNUMBER(P1058),ISNUMBER(Q1058),P1058&gt;0,ISNUMBER($B$100)),$B$100+3*SQRT($B$100/P1058),"")</f>
        <v/>
      </c>
      <c r="U1058" s="13">
        <f>IF(AND(ISNUMBER(R1058),ISNUMBER(S1058),ISNUMBER(T1058)),IF(R1058&gt;T1058,"boven UCL",IF(R1058&lt;S1058,"onder LCL","")),"")</f>
        <v/>
      </c>
    </row>
    <row r="1059">
      <c r="A1059" t="n">
        <v>953</v>
      </c>
      <c r="B1059" s="7" t="n"/>
      <c r="C1059" s="11">
        <f>IF(AND(ISNUMBER(B1059),ISNUMBER(B1058)),ABS(B1059-B1058),"")</f>
        <v/>
      </c>
      <c r="D1059" s="13">
        <f>IF(AND(ISNUMBER(B1059),ISNUMBER($B$88),ISNUMBER($D$88)),IF(B1059&gt;$D$88,"boven UCL",IF(B1059&lt;$B$88,"onder LCL","")),"")</f>
        <v/>
      </c>
      <c r="E1059" s="13">
        <f>IF(AND(ISNUMBER(C1059),ISNUMBER($B$89),ISNUMBER($D$89)),IF(C1059&gt;$D$89,"boven UCL",IF(C1059&lt;$B$89,"onder LCL","")),"")</f>
        <v/>
      </c>
      <c r="G1059" t="n">
        <v>953</v>
      </c>
      <c r="H1059" s="7" t="n"/>
      <c r="I1059" s="7" t="n"/>
      <c r="J1059" s="11">
        <f>IF(AND(ISNUMBER(H1059),ISNUMBER(I1059),H1059&gt;0,ISNUMBER($B$94)),I1059/H1059,"")</f>
        <v/>
      </c>
      <c r="K1059" s="11">
        <f>IF(AND(ISNUMBER(H1059),ISNUMBER(I1059),H1059&gt;0,ISNUMBER($B$94)),MAX(0,$B$94-3*SQRT($B$94*(1-$B$94)/H1059)),"")</f>
        <v/>
      </c>
      <c r="L1059" s="11">
        <f>IF(AND(ISNUMBER(H1059),ISNUMBER(I1059),H1059&gt;0,ISNUMBER($B$94)),$B$94+3*SQRT($B$94*(1-$B$94)/H1059),"")</f>
        <v/>
      </c>
      <c r="M1059" s="13">
        <f>IF(AND(ISNUMBER(J1059),ISNUMBER(K1059),ISNUMBER(L1059)),IF(J1059&gt;L1059,"boven UCL",IF(J1059&lt;K1059,"onder LCL","")),"")</f>
        <v/>
      </c>
      <c r="O1059" t="n">
        <v>953</v>
      </c>
      <c r="P1059" s="7" t="n"/>
      <c r="Q1059" s="7" t="n"/>
      <c r="R1059" s="11">
        <f>IF(AND(ISNUMBER(P1059),ISNUMBER(Q1059),P1059&gt;0,ISNUMBER($B$100)),Q1059/P1059,"")</f>
        <v/>
      </c>
      <c r="S1059" s="11">
        <f>IF(AND(ISNUMBER(P1059),ISNUMBER(Q1059),P1059&gt;0,ISNUMBER($B$100)),MAX(0,$B$100-3*SQRT($B$100/P1059)),"")</f>
        <v/>
      </c>
      <c r="T1059" s="11">
        <f>IF(AND(ISNUMBER(P1059),ISNUMBER(Q1059),P1059&gt;0,ISNUMBER($B$100)),$B$100+3*SQRT($B$100/P1059),"")</f>
        <v/>
      </c>
      <c r="U1059" s="13">
        <f>IF(AND(ISNUMBER(R1059),ISNUMBER(S1059),ISNUMBER(T1059)),IF(R1059&gt;T1059,"boven UCL",IF(R1059&lt;S1059,"onder LCL","")),"")</f>
        <v/>
      </c>
    </row>
    <row r="1060">
      <c r="A1060" t="n">
        <v>954</v>
      </c>
      <c r="B1060" s="7" t="n"/>
      <c r="C1060" s="11">
        <f>IF(AND(ISNUMBER(B1060),ISNUMBER(B1059)),ABS(B1060-B1059),"")</f>
        <v/>
      </c>
      <c r="D1060" s="13">
        <f>IF(AND(ISNUMBER(B1060),ISNUMBER($B$88),ISNUMBER($D$88)),IF(B1060&gt;$D$88,"boven UCL",IF(B1060&lt;$B$88,"onder LCL","")),"")</f>
        <v/>
      </c>
      <c r="E1060" s="13">
        <f>IF(AND(ISNUMBER(C1060),ISNUMBER($B$89),ISNUMBER($D$89)),IF(C1060&gt;$D$89,"boven UCL",IF(C1060&lt;$B$89,"onder LCL","")),"")</f>
        <v/>
      </c>
      <c r="G1060" t="n">
        <v>954</v>
      </c>
      <c r="H1060" s="7" t="n"/>
      <c r="I1060" s="7" t="n"/>
      <c r="J1060" s="11">
        <f>IF(AND(ISNUMBER(H1060),ISNUMBER(I1060),H1060&gt;0,ISNUMBER($B$94)),I1060/H1060,"")</f>
        <v/>
      </c>
      <c r="K1060" s="11">
        <f>IF(AND(ISNUMBER(H1060),ISNUMBER(I1060),H1060&gt;0,ISNUMBER($B$94)),MAX(0,$B$94-3*SQRT($B$94*(1-$B$94)/H1060)),"")</f>
        <v/>
      </c>
      <c r="L1060" s="11">
        <f>IF(AND(ISNUMBER(H1060),ISNUMBER(I1060),H1060&gt;0,ISNUMBER($B$94)),$B$94+3*SQRT($B$94*(1-$B$94)/H1060),"")</f>
        <v/>
      </c>
      <c r="M1060" s="13">
        <f>IF(AND(ISNUMBER(J1060),ISNUMBER(K1060),ISNUMBER(L1060)),IF(J1060&gt;L1060,"boven UCL",IF(J1060&lt;K1060,"onder LCL","")),"")</f>
        <v/>
      </c>
      <c r="O1060" t="n">
        <v>954</v>
      </c>
      <c r="P1060" s="7" t="n"/>
      <c r="Q1060" s="7" t="n"/>
      <c r="R1060" s="11">
        <f>IF(AND(ISNUMBER(P1060),ISNUMBER(Q1060),P1060&gt;0,ISNUMBER($B$100)),Q1060/P1060,"")</f>
        <v/>
      </c>
      <c r="S1060" s="11">
        <f>IF(AND(ISNUMBER(P1060),ISNUMBER(Q1060),P1060&gt;0,ISNUMBER($B$100)),MAX(0,$B$100-3*SQRT($B$100/P1060)),"")</f>
        <v/>
      </c>
      <c r="T1060" s="11">
        <f>IF(AND(ISNUMBER(P1060),ISNUMBER(Q1060),P1060&gt;0,ISNUMBER($B$100)),$B$100+3*SQRT($B$100/P1060),"")</f>
        <v/>
      </c>
      <c r="U1060" s="13">
        <f>IF(AND(ISNUMBER(R1060),ISNUMBER(S1060),ISNUMBER(T1060)),IF(R1060&gt;T1060,"boven UCL",IF(R1060&lt;S1060,"onder LCL","")),"")</f>
        <v/>
      </c>
    </row>
    <row r="1061">
      <c r="A1061" t="n">
        <v>955</v>
      </c>
      <c r="B1061" s="7" t="n"/>
      <c r="C1061" s="11">
        <f>IF(AND(ISNUMBER(B1061),ISNUMBER(B1060)),ABS(B1061-B1060),"")</f>
        <v/>
      </c>
      <c r="D1061" s="13">
        <f>IF(AND(ISNUMBER(B1061),ISNUMBER($B$88),ISNUMBER($D$88)),IF(B1061&gt;$D$88,"boven UCL",IF(B1061&lt;$B$88,"onder LCL","")),"")</f>
        <v/>
      </c>
      <c r="E1061" s="13">
        <f>IF(AND(ISNUMBER(C1061),ISNUMBER($B$89),ISNUMBER($D$89)),IF(C1061&gt;$D$89,"boven UCL",IF(C1061&lt;$B$89,"onder LCL","")),"")</f>
        <v/>
      </c>
      <c r="G1061" t="n">
        <v>955</v>
      </c>
      <c r="H1061" s="7" t="n"/>
      <c r="I1061" s="7" t="n"/>
      <c r="J1061" s="11">
        <f>IF(AND(ISNUMBER(H1061),ISNUMBER(I1061),H1061&gt;0,ISNUMBER($B$94)),I1061/H1061,"")</f>
        <v/>
      </c>
      <c r="K1061" s="11">
        <f>IF(AND(ISNUMBER(H1061),ISNUMBER(I1061),H1061&gt;0,ISNUMBER($B$94)),MAX(0,$B$94-3*SQRT($B$94*(1-$B$94)/H1061)),"")</f>
        <v/>
      </c>
      <c r="L1061" s="11">
        <f>IF(AND(ISNUMBER(H1061),ISNUMBER(I1061),H1061&gt;0,ISNUMBER($B$94)),$B$94+3*SQRT($B$94*(1-$B$94)/H1061),"")</f>
        <v/>
      </c>
      <c r="M1061" s="13">
        <f>IF(AND(ISNUMBER(J1061),ISNUMBER(K1061),ISNUMBER(L1061)),IF(J1061&gt;L1061,"boven UCL",IF(J1061&lt;K1061,"onder LCL","")),"")</f>
        <v/>
      </c>
      <c r="O1061" t="n">
        <v>955</v>
      </c>
      <c r="P1061" s="7" t="n"/>
      <c r="Q1061" s="7" t="n"/>
      <c r="R1061" s="11">
        <f>IF(AND(ISNUMBER(P1061),ISNUMBER(Q1061),P1061&gt;0,ISNUMBER($B$100)),Q1061/P1061,"")</f>
        <v/>
      </c>
      <c r="S1061" s="11">
        <f>IF(AND(ISNUMBER(P1061),ISNUMBER(Q1061),P1061&gt;0,ISNUMBER($B$100)),MAX(0,$B$100-3*SQRT($B$100/P1061)),"")</f>
        <v/>
      </c>
      <c r="T1061" s="11">
        <f>IF(AND(ISNUMBER(P1061),ISNUMBER(Q1061),P1061&gt;0,ISNUMBER($B$100)),$B$100+3*SQRT($B$100/P1061),"")</f>
        <v/>
      </c>
      <c r="U1061" s="13">
        <f>IF(AND(ISNUMBER(R1061),ISNUMBER(S1061),ISNUMBER(T1061)),IF(R1061&gt;T1061,"boven UCL",IF(R1061&lt;S1061,"onder LCL","")),"")</f>
        <v/>
      </c>
    </row>
    <row r="1062">
      <c r="A1062" t="n">
        <v>956</v>
      </c>
      <c r="B1062" s="7" t="n"/>
      <c r="C1062" s="11">
        <f>IF(AND(ISNUMBER(B1062),ISNUMBER(B1061)),ABS(B1062-B1061),"")</f>
        <v/>
      </c>
      <c r="D1062" s="13">
        <f>IF(AND(ISNUMBER(B1062),ISNUMBER($B$88),ISNUMBER($D$88)),IF(B1062&gt;$D$88,"boven UCL",IF(B1062&lt;$B$88,"onder LCL","")),"")</f>
        <v/>
      </c>
      <c r="E1062" s="13">
        <f>IF(AND(ISNUMBER(C1062),ISNUMBER($B$89),ISNUMBER($D$89)),IF(C1062&gt;$D$89,"boven UCL",IF(C1062&lt;$B$89,"onder LCL","")),"")</f>
        <v/>
      </c>
      <c r="G1062" t="n">
        <v>956</v>
      </c>
      <c r="H1062" s="7" t="n"/>
      <c r="I1062" s="7" t="n"/>
      <c r="J1062" s="11">
        <f>IF(AND(ISNUMBER(H1062),ISNUMBER(I1062),H1062&gt;0,ISNUMBER($B$94)),I1062/H1062,"")</f>
        <v/>
      </c>
      <c r="K1062" s="11">
        <f>IF(AND(ISNUMBER(H1062),ISNUMBER(I1062),H1062&gt;0,ISNUMBER($B$94)),MAX(0,$B$94-3*SQRT($B$94*(1-$B$94)/H1062)),"")</f>
        <v/>
      </c>
      <c r="L1062" s="11">
        <f>IF(AND(ISNUMBER(H1062),ISNUMBER(I1062),H1062&gt;0,ISNUMBER($B$94)),$B$94+3*SQRT($B$94*(1-$B$94)/H1062),"")</f>
        <v/>
      </c>
      <c r="M1062" s="13">
        <f>IF(AND(ISNUMBER(J1062),ISNUMBER(K1062),ISNUMBER(L1062)),IF(J1062&gt;L1062,"boven UCL",IF(J1062&lt;K1062,"onder LCL","")),"")</f>
        <v/>
      </c>
      <c r="O1062" t="n">
        <v>956</v>
      </c>
      <c r="P1062" s="7" t="n"/>
      <c r="Q1062" s="7" t="n"/>
      <c r="R1062" s="11">
        <f>IF(AND(ISNUMBER(P1062),ISNUMBER(Q1062),P1062&gt;0,ISNUMBER($B$100)),Q1062/P1062,"")</f>
        <v/>
      </c>
      <c r="S1062" s="11">
        <f>IF(AND(ISNUMBER(P1062),ISNUMBER(Q1062),P1062&gt;0,ISNUMBER($B$100)),MAX(0,$B$100-3*SQRT($B$100/P1062)),"")</f>
        <v/>
      </c>
      <c r="T1062" s="11">
        <f>IF(AND(ISNUMBER(P1062),ISNUMBER(Q1062),P1062&gt;0,ISNUMBER($B$100)),$B$100+3*SQRT($B$100/P1062),"")</f>
        <v/>
      </c>
      <c r="U1062" s="13">
        <f>IF(AND(ISNUMBER(R1062),ISNUMBER(S1062),ISNUMBER(T1062)),IF(R1062&gt;T1062,"boven UCL",IF(R1062&lt;S1062,"onder LCL","")),"")</f>
        <v/>
      </c>
    </row>
    <row r="1063">
      <c r="A1063" t="n">
        <v>957</v>
      </c>
      <c r="B1063" s="7" t="n"/>
      <c r="C1063" s="11">
        <f>IF(AND(ISNUMBER(B1063),ISNUMBER(B1062)),ABS(B1063-B1062),"")</f>
        <v/>
      </c>
      <c r="D1063" s="13">
        <f>IF(AND(ISNUMBER(B1063),ISNUMBER($B$88),ISNUMBER($D$88)),IF(B1063&gt;$D$88,"boven UCL",IF(B1063&lt;$B$88,"onder LCL","")),"")</f>
        <v/>
      </c>
      <c r="E1063" s="13">
        <f>IF(AND(ISNUMBER(C1063),ISNUMBER($B$89),ISNUMBER($D$89)),IF(C1063&gt;$D$89,"boven UCL",IF(C1063&lt;$B$89,"onder LCL","")),"")</f>
        <v/>
      </c>
      <c r="G1063" t="n">
        <v>957</v>
      </c>
      <c r="H1063" s="7" t="n"/>
      <c r="I1063" s="7" t="n"/>
      <c r="J1063" s="11">
        <f>IF(AND(ISNUMBER(H1063),ISNUMBER(I1063),H1063&gt;0,ISNUMBER($B$94)),I1063/H1063,"")</f>
        <v/>
      </c>
      <c r="K1063" s="11">
        <f>IF(AND(ISNUMBER(H1063),ISNUMBER(I1063),H1063&gt;0,ISNUMBER($B$94)),MAX(0,$B$94-3*SQRT($B$94*(1-$B$94)/H1063)),"")</f>
        <v/>
      </c>
      <c r="L1063" s="11">
        <f>IF(AND(ISNUMBER(H1063),ISNUMBER(I1063),H1063&gt;0,ISNUMBER($B$94)),$B$94+3*SQRT($B$94*(1-$B$94)/H1063),"")</f>
        <v/>
      </c>
      <c r="M1063" s="13">
        <f>IF(AND(ISNUMBER(J1063),ISNUMBER(K1063),ISNUMBER(L1063)),IF(J1063&gt;L1063,"boven UCL",IF(J1063&lt;K1063,"onder LCL","")),"")</f>
        <v/>
      </c>
      <c r="O1063" t="n">
        <v>957</v>
      </c>
      <c r="P1063" s="7" t="n"/>
      <c r="Q1063" s="7" t="n"/>
      <c r="R1063" s="11">
        <f>IF(AND(ISNUMBER(P1063),ISNUMBER(Q1063),P1063&gt;0,ISNUMBER($B$100)),Q1063/P1063,"")</f>
        <v/>
      </c>
      <c r="S1063" s="11">
        <f>IF(AND(ISNUMBER(P1063),ISNUMBER(Q1063),P1063&gt;0,ISNUMBER($B$100)),MAX(0,$B$100-3*SQRT($B$100/P1063)),"")</f>
        <v/>
      </c>
      <c r="T1063" s="11">
        <f>IF(AND(ISNUMBER(P1063),ISNUMBER(Q1063),P1063&gt;0,ISNUMBER($B$100)),$B$100+3*SQRT($B$100/P1063),"")</f>
        <v/>
      </c>
      <c r="U1063" s="13">
        <f>IF(AND(ISNUMBER(R1063),ISNUMBER(S1063),ISNUMBER(T1063)),IF(R1063&gt;T1063,"boven UCL",IF(R1063&lt;S1063,"onder LCL","")),"")</f>
        <v/>
      </c>
    </row>
    <row r="1064">
      <c r="A1064" t="n">
        <v>958</v>
      </c>
      <c r="B1064" s="7" t="n"/>
      <c r="C1064" s="11">
        <f>IF(AND(ISNUMBER(B1064),ISNUMBER(B1063)),ABS(B1064-B1063),"")</f>
        <v/>
      </c>
      <c r="D1064" s="13">
        <f>IF(AND(ISNUMBER(B1064),ISNUMBER($B$88),ISNUMBER($D$88)),IF(B1064&gt;$D$88,"boven UCL",IF(B1064&lt;$B$88,"onder LCL","")),"")</f>
        <v/>
      </c>
      <c r="E1064" s="13">
        <f>IF(AND(ISNUMBER(C1064),ISNUMBER($B$89),ISNUMBER($D$89)),IF(C1064&gt;$D$89,"boven UCL",IF(C1064&lt;$B$89,"onder LCL","")),"")</f>
        <v/>
      </c>
      <c r="G1064" t="n">
        <v>958</v>
      </c>
      <c r="H1064" s="7" t="n"/>
      <c r="I1064" s="7" t="n"/>
      <c r="J1064" s="11">
        <f>IF(AND(ISNUMBER(H1064),ISNUMBER(I1064),H1064&gt;0,ISNUMBER($B$94)),I1064/H1064,"")</f>
        <v/>
      </c>
      <c r="K1064" s="11">
        <f>IF(AND(ISNUMBER(H1064),ISNUMBER(I1064),H1064&gt;0,ISNUMBER($B$94)),MAX(0,$B$94-3*SQRT($B$94*(1-$B$94)/H1064)),"")</f>
        <v/>
      </c>
      <c r="L1064" s="11">
        <f>IF(AND(ISNUMBER(H1064),ISNUMBER(I1064),H1064&gt;0,ISNUMBER($B$94)),$B$94+3*SQRT($B$94*(1-$B$94)/H1064),"")</f>
        <v/>
      </c>
      <c r="M1064" s="13">
        <f>IF(AND(ISNUMBER(J1064),ISNUMBER(K1064),ISNUMBER(L1064)),IF(J1064&gt;L1064,"boven UCL",IF(J1064&lt;K1064,"onder LCL","")),"")</f>
        <v/>
      </c>
      <c r="O1064" t="n">
        <v>958</v>
      </c>
      <c r="P1064" s="7" t="n"/>
      <c r="Q1064" s="7" t="n"/>
      <c r="R1064" s="11">
        <f>IF(AND(ISNUMBER(P1064),ISNUMBER(Q1064),P1064&gt;0,ISNUMBER($B$100)),Q1064/P1064,"")</f>
        <v/>
      </c>
      <c r="S1064" s="11">
        <f>IF(AND(ISNUMBER(P1064),ISNUMBER(Q1064),P1064&gt;0,ISNUMBER($B$100)),MAX(0,$B$100-3*SQRT($B$100/P1064)),"")</f>
        <v/>
      </c>
      <c r="T1064" s="11">
        <f>IF(AND(ISNUMBER(P1064),ISNUMBER(Q1064),P1064&gt;0,ISNUMBER($B$100)),$B$100+3*SQRT($B$100/P1064),"")</f>
        <v/>
      </c>
      <c r="U1064" s="13">
        <f>IF(AND(ISNUMBER(R1064),ISNUMBER(S1064),ISNUMBER(T1064)),IF(R1064&gt;T1064,"boven UCL",IF(R1064&lt;S1064,"onder LCL","")),"")</f>
        <v/>
      </c>
    </row>
    <row r="1065">
      <c r="A1065" t="n">
        <v>959</v>
      </c>
      <c r="B1065" s="7" t="n"/>
      <c r="C1065" s="11">
        <f>IF(AND(ISNUMBER(B1065),ISNUMBER(B1064)),ABS(B1065-B1064),"")</f>
        <v/>
      </c>
      <c r="D1065" s="13">
        <f>IF(AND(ISNUMBER(B1065),ISNUMBER($B$88),ISNUMBER($D$88)),IF(B1065&gt;$D$88,"boven UCL",IF(B1065&lt;$B$88,"onder LCL","")),"")</f>
        <v/>
      </c>
      <c r="E1065" s="13">
        <f>IF(AND(ISNUMBER(C1065),ISNUMBER($B$89),ISNUMBER($D$89)),IF(C1065&gt;$D$89,"boven UCL",IF(C1065&lt;$B$89,"onder LCL","")),"")</f>
        <v/>
      </c>
      <c r="G1065" t="n">
        <v>959</v>
      </c>
      <c r="H1065" s="7" t="n"/>
      <c r="I1065" s="7" t="n"/>
      <c r="J1065" s="11">
        <f>IF(AND(ISNUMBER(H1065),ISNUMBER(I1065),H1065&gt;0,ISNUMBER($B$94)),I1065/H1065,"")</f>
        <v/>
      </c>
      <c r="K1065" s="11">
        <f>IF(AND(ISNUMBER(H1065),ISNUMBER(I1065),H1065&gt;0,ISNUMBER($B$94)),MAX(0,$B$94-3*SQRT($B$94*(1-$B$94)/H1065)),"")</f>
        <v/>
      </c>
      <c r="L1065" s="11">
        <f>IF(AND(ISNUMBER(H1065),ISNUMBER(I1065),H1065&gt;0,ISNUMBER($B$94)),$B$94+3*SQRT($B$94*(1-$B$94)/H1065),"")</f>
        <v/>
      </c>
      <c r="M1065" s="13">
        <f>IF(AND(ISNUMBER(J1065),ISNUMBER(K1065),ISNUMBER(L1065)),IF(J1065&gt;L1065,"boven UCL",IF(J1065&lt;K1065,"onder LCL","")),"")</f>
        <v/>
      </c>
      <c r="O1065" t="n">
        <v>959</v>
      </c>
      <c r="P1065" s="7" t="n"/>
      <c r="Q1065" s="7" t="n"/>
      <c r="R1065" s="11">
        <f>IF(AND(ISNUMBER(P1065),ISNUMBER(Q1065),P1065&gt;0,ISNUMBER($B$100)),Q1065/P1065,"")</f>
        <v/>
      </c>
      <c r="S1065" s="11">
        <f>IF(AND(ISNUMBER(P1065),ISNUMBER(Q1065),P1065&gt;0,ISNUMBER($B$100)),MAX(0,$B$100-3*SQRT($B$100/P1065)),"")</f>
        <v/>
      </c>
      <c r="T1065" s="11">
        <f>IF(AND(ISNUMBER(P1065),ISNUMBER(Q1065),P1065&gt;0,ISNUMBER($B$100)),$B$100+3*SQRT($B$100/P1065),"")</f>
        <v/>
      </c>
      <c r="U1065" s="13">
        <f>IF(AND(ISNUMBER(R1065),ISNUMBER(S1065),ISNUMBER(T1065)),IF(R1065&gt;T1065,"boven UCL",IF(R1065&lt;S1065,"onder LCL","")),"")</f>
        <v/>
      </c>
    </row>
    <row r="1066">
      <c r="A1066" t="n">
        <v>960</v>
      </c>
      <c r="B1066" s="7" t="n"/>
      <c r="C1066" s="11">
        <f>IF(AND(ISNUMBER(B1066),ISNUMBER(B1065)),ABS(B1066-B1065),"")</f>
        <v/>
      </c>
      <c r="D1066" s="13">
        <f>IF(AND(ISNUMBER(B1066),ISNUMBER($B$88),ISNUMBER($D$88)),IF(B1066&gt;$D$88,"boven UCL",IF(B1066&lt;$B$88,"onder LCL","")),"")</f>
        <v/>
      </c>
      <c r="E1066" s="13">
        <f>IF(AND(ISNUMBER(C1066),ISNUMBER($B$89),ISNUMBER($D$89)),IF(C1066&gt;$D$89,"boven UCL",IF(C1066&lt;$B$89,"onder LCL","")),"")</f>
        <v/>
      </c>
      <c r="G1066" t="n">
        <v>960</v>
      </c>
      <c r="H1066" s="7" t="n"/>
      <c r="I1066" s="7" t="n"/>
      <c r="J1066" s="11">
        <f>IF(AND(ISNUMBER(H1066),ISNUMBER(I1066),H1066&gt;0,ISNUMBER($B$94)),I1066/H1066,"")</f>
        <v/>
      </c>
      <c r="K1066" s="11">
        <f>IF(AND(ISNUMBER(H1066),ISNUMBER(I1066),H1066&gt;0,ISNUMBER($B$94)),MAX(0,$B$94-3*SQRT($B$94*(1-$B$94)/H1066)),"")</f>
        <v/>
      </c>
      <c r="L1066" s="11">
        <f>IF(AND(ISNUMBER(H1066),ISNUMBER(I1066),H1066&gt;0,ISNUMBER($B$94)),$B$94+3*SQRT($B$94*(1-$B$94)/H1066),"")</f>
        <v/>
      </c>
      <c r="M1066" s="13">
        <f>IF(AND(ISNUMBER(J1066),ISNUMBER(K1066),ISNUMBER(L1066)),IF(J1066&gt;L1066,"boven UCL",IF(J1066&lt;K1066,"onder LCL","")),"")</f>
        <v/>
      </c>
      <c r="O1066" t="n">
        <v>960</v>
      </c>
      <c r="P1066" s="7" t="n"/>
      <c r="Q1066" s="7" t="n"/>
      <c r="R1066" s="11">
        <f>IF(AND(ISNUMBER(P1066),ISNUMBER(Q1066),P1066&gt;0,ISNUMBER($B$100)),Q1066/P1066,"")</f>
        <v/>
      </c>
      <c r="S1066" s="11">
        <f>IF(AND(ISNUMBER(P1066),ISNUMBER(Q1066),P1066&gt;0,ISNUMBER($B$100)),MAX(0,$B$100-3*SQRT($B$100/P1066)),"")</f>
        <v/>
      </c>
      <c r="T1066" s="11">
        <f>IF(AND(ISNUMBER(P1066),ISNUMBER(Q1066),P1066&gt;0,ISNUMBER($B$100)),$B$100+3*SQRT($B$100/P1066),"")</f>
        <v/>
      </c>
      <c r="U1066" s="13">
        <f>IF(AND(ISNUMBER(R1066),ISNUMBER(S1066),ISNUMBER(T1066)),IF(R1066&gt;T1066,"boven UCL",IF(R1066&lt;S1066,"onder LCL","")),"")</f>
        <v/>
      </c>
    </row>
    <row r="1067">
      <c r="A1067" t="n">
        <v>961</v>
      </c>
      <c r="B1067" s="7" t="n"/>
      <c r="C1067" s="11">
        <f>IF(AND(ISNUMBER(B1067),ISNUMBER(B1066)),ABS(B1067-B1066),"")</f>
        <v/>
      </c>
      <c r="D1067" s="13">
        <f>IF(AND(ISNUMBER(B1067),ISNUMBER($B$88),ISNUMBER($D$88)),IF(B1067&gt;$D$88,"boven UCL",IF(B1067&lt;$B$88,"onder LCL","")),"")</f>
        <v/>
      </c>
      <c r="E1067" s="13">
        <f>IF(AND(ISNUMBER(C1067),ISNUMBER($B$89),ISNUMBER($D$89)),IF(C1067&gt;$D$89,"boven UCL",IF(C1067&lt;$B$89,"onder LCL","")),"")</f>
        <v/>
      </c>
      <c r="G1067" t="n">
        <v>961</v>
      </c>
      <c r="H1067" s="7" t="n"/>
      <c r="I1067" s="7" t="n"/>
      <c r="J1067" s="11">
        <f>IF(AND(ISNUMBER(H1067),ISNUMBER(I1067),H1067&gt;0,ISNUMBER($B$94)),I1067/H1067,"")</f>
        <v/>
      </c>
      <c r="K1067" s="11">
        <f>IF(AND(ISNUMBER(H1067),ISNUMBER(I1067),H1067&gt;0,ISNUMBER($B$94)),MAX(0,$B$94-3*SQRT($B$94*(1-$B$94)/H1067)),"")</f>
        <v/>
      </c>
      <c r="L1067" s="11">
        <f>IF(AND(ISNUMBER(H1067),ISNUMBER(I1067),H1067&gt;0,ISNUMBER($B$94)),$B$94+3*SQRT($B$94*(1-$B$94)/H1067),"")</f>
        <v/>
      </c>
      <c r="M1067" s="13">
        <f>IF(AND(ISNUMBER(J1067),ISNUMBER(K1067),ISNUMBER(L1067)),IF(J1067&gt;L1067,"boven UCL",IF(J1067&lt;K1067,"onder LCL","")),"")</f>
        <v/>
      </c>
      <c r="O1067" t="n">
        <v>961</v>
      </c>
      <c r="P1067" s="7" t="n"/>
      <c r="Q1067" s="7" t="n"/>
      <c r="R1067" s="11">
        <f>IF(AND(ISNUMBER(P1067),ISNUMBER(Q1067),P1067&gt;0,ISNUMBER($B$100)),Q1067/P1067,"")</f>
        <v/>
      </c>
      <c r="S1067" s="11">
        <f>IF(AND(ISNUMBER(P1067),ISNUMBER(Q1067),P1067&gt;0,ISNUMBER($B$100)),MAX(0,$B$100-3*SQRT($B$100/P1067)),"")</f>
        <v/>
      </c>
      <c r="T1067" s="11">
        <f>IF(AND(ISNUMBER(P1067),ISNUMBER(Q1067),P1067&gt;0,ISNUMBER($B$100)),$B$100+3*SQRT($B$100/P1067),"")</f>
        <v/>
      </c>
      <c r="U1067" s="13">
        <f>IF(AND(ISNUMBER(R1067),ISNUMBER(S1067),ISNUMBER(T1067)),IF(R1067&gt;T1067,"boven UCL",IF(R1067&lt;S1067,"onder LCL","")),"")</f>
        <v/>
      </c>
    </row>
    <row r="1068">
      <c r="A1068" t="n">
        <v>962</v>
      </c>
      <c r="B1068" s="7" t="n"/>
      <c r="C1068" s="11">
        <f>IF(AND(ISNUMBER(B1068),ISNUMBER(B1067)),ABS(B1068-B1067),"")</f>
        <v/>
      </c>
      <c r="D1068" s="13">
        <f>IF(AND(ISNUMBER(B1068),ISNUMBER($B$88),ISNUMBER($D$88)),IF(B1068&gt;$D$88,"boven UCL",IF(B1068&lt;$B$88,"onder LCL","")),"")</f>
        <v/>
      </c>
      <c r="E1068" s="13">
        <f>IF(AND(ISNUMBER(C1068),ISNUMBER($B$89),ISNUMBER($D$89)),IF(C1068&gt;$D$89,"boven UCL",IF(C1068&lt;$B$89,"onder LCL","")),"")</f>
        <v/>
      </c>
      <c r="G1068" t="n">
        <v>962</v>
      </c>
      <c r="H1068" s="7" t="n"/>
      <c r="I1068" s="7" t="n"/>
      <c r="J1068" s="11">
        <f>IF(AND(ISNUMBER(H1068),ISNUMBER(I1068),H1068&gt;0,ISNUMBER($B$94)),I1068/H1068,"")</f>
        <v/>
      </c>
      <c r="K1068" s="11">
        <f>IF(AND(ISNUMBER(H1068),ISNUMBER(I1068),H1068&gt;0,ISNUMBER($B$94)),MAX(0,$B$94-3*SQRT($B$94*(1-$B$94)/H1068)),"")</f>
        <v/>
      </c>
      <c r="L1068" s="11">
        <f>IF(AND(ISNUMBER(H1068),ISNUMBER(I1068),H1068&gt;0,ISNUMBER($B$94)),$B$94+3*SQRT($B$94*(1-$B$94)/H1068),"")</f>
        <v/>
      </c>
      <c r="M1068" s="13">
        <f>IF(AND(ISNUMBER(J1068),ISNUMBER(K1068),ISNUMBER(L1068)),IF(J1068&gt;L1068,"boven UCL",IF(J1068&lt;K1068,"onder LCL","")),"")</f>
        <v/>
      </c>
      <c r="O1068" t="n">
        <v>962</v>
      </c>
      <c r="P1068" s="7" t="n"/>
      <c r="Q1068" s="7" t="n"/>
      <c r="R1068" s="11">
        <f>IF(AND(ISNUMBER(P1068),ISNUMBER(Q1068),P1068&gt;0,ISNUMBER($B$100)),Q1068/P1068,"")</f>
        <v/>
      </c>
      <c r="S1068" s="11">
        <f>IF(AND(ISNUMBER(P1068),ISNUMBER(Q1068),P1068&gt;0,ISNUMBER($B$100)),MAX(0,$B$100-3*SQRT($B$100/P1068)),"")</f>
        <v/>
      </c>
      <c r="T1068" s="11">
        <f>IF(AND(ISNUMBER(P1068),ISNUMBER(Q1068),P1068&gt;0,ISNUMBER($B$100)),$B$100+3*SQRT($B$100/P1068),"")</f>
        <v/>
      </c>
      <c r="U1068" s="13">
        <f>IF(AND(ISNUMBER(R1068),ISNUMBER(S1068),ISNUMBER(T1068)),IF(R1068&gt;T1068,"boven UCL",IF(R1068&lt;S1068,"onder LCL","")),"")</f>
        <v/>
      </c>
    </row>
    <row r="1069">
      <c r="A1069" t="n">
        <v>963</v>
      </c>
      <c r="B1069" s="7" t="n"/>
      <c r="C1069" s="11">
        <f>IF(AND(ISNUMBER(B1069),ISNUMBER(B1068)),ABS(B1069-B1068),"")</f>
        <v/>
      </c>
      <c r="D1069" s="13">
        <f>IF(AND(ISNUMBER(B1069),ISNUMBER($B$88),ISNUMBER($D$88)),IF(B1069&gt;$D$88,"boven UCL",IF(B1069&lt;$B$88,"onder LCL","")),"")</f>
        <v/>
      </c>
      <c r="E1069" s="13">
        <f>IF(AND(ISNUMBER(C1069),ISNUMBER($B$89),ISNUMBER($D$89)),IF(C1069&gt;$D$89,"boven UCL",IF(C1069&lt;$B$89,"onder LCL","")),"")</f>
        <v/>
      </c>
      <c r="G1069" t="n">
        <v>963</v>
      </c>
      <c r="H1069" s="7" t="n"/>
      <c r="I1069" s="7" t="n"/>
      <c r="J1069" s="11">
        <f>IF(AND(ISNUMBER(H1069),ISNUMBER(I1069),H1069&gt;0,ISNUMBER($B$94)),I1069/H1069,"")</f>
        <v/>
      </c>
      <c r="K1069" s="11">
        <f>IF(AND(ISNUMBER(H1069),ISNUMBER(I1069),H1069&gt;0,ISNUMBER($B$94)),MAX(0,$B$94-3*SQRT($B$94*(1-$B$94)/H1069)),"")</f>
        <v/>
      </c>
      <c r="L1069" s="11">
        <f>IF(AND(ISNUMBER(H1069),ISNUMBER(I1069),H1069&gt;0,ISNUMBER($B$94)),$B$94+3*SQRT($B$94*(1-$B$94)/H1069),"")</f>
        <v/>
      </c>
      <c r="M1069" s="13">
        <f>IF(AND(ISNUMBER(J1069),ISNUMBER(K1069),ISNUMBER(L1069)),IF(J1069&gt;L1069,"boven UCL",IF(J1069&lt;K1069,"onder LCL","")),"")</f>
        <v/>
      </c>
      <c r="O1069" t="n">
        <v>963</v>
      </c>
      <c r="P1069" s="7" t="n"/>
      <c r="Q1069" s="7" t="n"/>
      <c r="R1069" s="11">
        <f>IF(AND(ISNUMBER(P1069),ISNUMBER(Q1069),P1069&gt;0,ISNUMBER($B$100)),Q1069/P1069,"")</f>
        <v/>
      </c>
      <c r="S1069" s="11">
        <f>IF(AND(ISNUMBER(P1069),ISNUMBER(Q1069),P1069&gt;0,ISNUMBER($B$100)),MAX(0,$B$100-3*SQRT($B$100/P1069)),"")</f>
        <v/>
      </c>
      <c r="T1069" s="11">
        <f>IF(AND(ISNUMBER(P1069),ISNUMBER(Q1069),P1069&gt;0,ISNUMBER($B$100)),$B$100+3*SQRT($B$100/P1069),"")</f>
        <v/>
      </c>
      <c r="U1069" s="13">
        <f>IF(AND(ISNUMBER(R1069),ISNUMBER(S1069),ISNUMBER(T1069)),IF(R1069&gt;T1069,"boven UCL",IF(R1069&lt;S1069,"onder LCL","")),"")</f>
        <v/>
      </c>
    </row>
    <row r="1070">
      <c r="A1070" t="n">
        <v>964</v>
      </c>
      <c r="B1070" s="7" t="n"/>
      <c r="C1070" s="11">
        <f>IF(AND(ISNUMBER(B1070),ISNUMBER(B1069)),ABS(B1070-B1069),"")</f>
        <v/>
      </c>
      <c r="D1070" s="13">
        <f>IF(AND(ISNUMBER(B1070),ISNUMBER($B$88),ISNUMBER($D$88)),IF(B1070&gt;$D$88,"boven UCL",IF(B1070&lt;$B$88,"onder LCL","")),"")</f>
        <v/>
      </c>
      <c r="E1070" s="13">
        <f>IF(AND(ISNUMBER(C1070),ISNUMBER($B$89),ISNUMBER($D$89)),IF(C1070&gt;$D$89,"boven UCL",IF(C1070&lt;$B$89,"onder LCL","")),"")</f>
        <v/>
      </c>
      <c r="G1070" t="n">
        <v>964</v>
      </c>
      <c r="H1070" s="7" t="n"/>
      <c r="I1070" s="7" t="n"/>
      <c r="J1070" s="11">
        <f>IF(AND(ISNUMBER(H1070),ISNUMBER(I1070),H1070&gt;0,ISNUMBER($B$94)),I1070/H1070,"")</f>
        <v/>
      </c>
      <c r="K1070" s="11">
        <f>IF(AND(ISNUMBER(H1070),ISNUMBER(I1070),H1070&gt;0,ISNUMBER($B$94)),MAX(0,$B$94-3*SQRT($B$94*(1-$B$94)/H1070)),"")</f>
        <v/>
      </c>
      <c r="L1070" s="11">
        <f>IF(AND(ISNUMBER(H1070),ISNUMBER(I1070),H1070&gt;0,ISNUMBER($B$94)),$B$94+3*SQRT($B$94*(1-$B$94)/H1070),"")</f>
        <v/>
      </c>
      <c r="M1070" s="13">
        <f>IF(AND(ISNUMBER(J1070),ISNUMBER(K1070),ISNUMBER(L1070)),IF(J1070&gt;L1070,"boven UCL",IF(J1070&lt;K1070,"onder LCL","")),"")</f>
        <v/>
      </c>
      <c r="O1070" t="n">
        <v>964</v>
      </c>
      <c r="P1070" s="7" t="n"/>
      <c r="Q1070" s="7" t="n"/>
      <c r="R1070" s="11">
        <f>IF(AND(ISNUMBER(P1070),ISNUMBER(Q1070),P1070&gt;0,ISNUMBER($B$100)),Q1070/P1070,"")</f>
        <v/>
      </c>
      <c r="S1070" s="11">
        <f>IF(AND(ISNUMBER(P1070),ISNUMBER(Q1070),P1070&gt;0,ISNUMBER($B$100)),MAX(0,$B$100-3*SQRT($B$100/P1070)),"")</f>
        <v/>
      </c>
      <c r="T1070" s="11">
        <f>IF(AND(ISNUMBER(P1070),ISNUMBER(Q1070),P1070&gt;0,ISNUMBER($B$100)),$B$100+3*SQRT($B$100/P1070),"")</f>
        <v/>
      </c>
      <c r="U1070" s="13">
        <f>IF(AND(ISNUMBER(R1070),ISNUMBER(S1070),ISNUMBER(T1070)),IF(R1070&gt;T1070,"boven UCL",IF(R1070&lt;S1070,"onder LCL","")),"")</f>
        <v/>
      </c>
    </row>
    <row r="1071">
      <c r="A1071" t="n">
        <v>965</v>
      </c>
      <c r="B1071" s="7" t="n"/>
      <c r="C1071" s="11">
        <f>IF(AND(ISNUMBER(B1071),ISNUMBER(B1070)),ABS(B1071-B1070),"")</f>
        <v/>
      </c>
      <c r="D1071" s="13">
        <f>IF(AND(ISNUMBER(B1071),ISNUMBER($B$88),ISNUMBER($D$88)),IF(B1071&gt;$D$88,"boven UCL",IF(B1071&lt;$B$88,"onder LCL","")),"")</f>
        <v/>
      </c>
      <c r="E1071" s="13">
        <f>IF(AND(ISNUMBER(C1071),ISNUMBER($B$89),ISNUMBER($D$89)),IF(C1071&gt;$D$89,"boven UCL",IF(C1071&lt;$B$89,"onder LCL","")),"")</f>
        <v/>
      </c>
      <c r="G1071" t="n">
        <v>965</v>
      </c>
      <c r="H1071" s="7" t="n"/>
      <c r="I1071" s="7" t="n"/>
      <c r="J1071" s="11">
        <f>IF(AND(ISNUMBER(H1071),ISNUMBER(I1071),H1071&gt;0,ISNUMBER($B$94)),I1071/H1071,"")</f>
        <v/>
      </c>
      <c r="K1071" s="11">
        <f>IF(AND(ISNUMBER(H1071),ISNUMBER(I1071),H1071&gt;0,ISNUMBER($B$94)),MAX(0,$B$94-3*SQRT($B$94*(1-$B$94)/H1071)),"")</f>
        <v/>
      </c>
      <c r="L1071" s="11">
        <f>IF(AND(ISNUMBER(H1071),ISNUMBER(I1071),H1071&gt;0,ISNUMBER($B$94)),$B$94+3*SQRT($B$94*(1-$B$94)/H1071),"")</f>
        <v/>
      </c>
      <c r="M1071" s="13">
        <f>IF(AND(ISNUMBER(J1071),ISNUMBER(K1071),ISNUMBER(L1071)),IF(J1071&gt;L1071,"boven UCL",IF(J1071&lt;K1071,"onder LCL","")),"")</f>
        <v/>
      </c>
      <c r="O1071" t="n">
        <v>965</v>
      </c>
      <c r="P1071" s="7" t="n"/>
      <c r="Q1071" s="7" t="n"/>
      <c r="R1071" s="11">
        <f>IF(AND(ISNUMBER(P1071),ISNUMBER(Q1071),P1071&gt;0,ISNUMBER($B$100)),Q1071/P1071,"")</f>
        <v/>
      </c>
      <c r="S1071" s="11">
        <f>IF(AND(ISNUMBER(P1071),ISNUMBER(Q1071),P1071&gt;0,ISNUMBER($B$100)),MAX(0,$B$100-3*SQRT($B$100/P1071)),"")</f>
        <v/>
      </c>
      <c r="T1071" s="11">
        <f>IF(AND(ISNUMBER(P1071),ISNUMBER(Q1071),P1071&gt;0,ISNUMBER($B$100)),$B$100+3*SQRT($B$100/P1071),"")</f>
        <v/>
      </c>
      <c r="U1071" s="13">
        <f>IF(AND(ISNUMBER(R1071),ISNUMBER(S1071),ISNUMBER(T1071)),IF(R1071&gt;T1071,"boven UCL",IF(R1071&lt;S1071,"onder LCL","")),"")</f>
        <v/>
      </c>
    </row>
    <row r="1072">
      <c r="A1072" t="n">
        <v>966</v>
      </c>
      <c r="B1072" s="7" t="n"/>
      <c r="C1072" s="11">
        <f>IF(AND(ISNUMBER(B1072),ISNUMBER(B1071)),ABS(B1072-B1071),"")</f>
        <v/>
      </c>
      <c r="D1072" s="13">
        <f>IF(AND(ISNUMBER(B1072),ISNUMBER($B$88),ISNUMBER($D$88)),IF(B1072&gt;$D$88,"boven UCL",IF(B1072&lt;$B$88,"onder LCL","")),"")</f>
        <v/>
      </c>
      <c r="E1072" s="13">
        <f>IF(AND(ISNUMBER(C1072),ISNUMBER($B$89),ISNUMBER($D$89)),IF(C1072&gt;$D$89,"boven UCL",IF(C1072&lt;$B$89,"onder LCL","")),"")</f>
        <v/>
      </c>
      <c r="G1072" t="n">
        <v>966</v>
      </c>
      <c r="H1072" s="7" t="n"/>
      <c r="I1072" s="7" t="n"/>
      <c r="J1072" s="11">
        <f>IF(AND(ISNUMBER(H1072),ISNUMBER(I1072),H1072&gt;0,ISNUMBER($B$94)),I1072/H1072,"")</f>
        <v/>
      </c>
      <c r="K1072" s="11">
        <f>IF(AND(ISNUMBER(H1072),ISNUMBER(I1072),H1072&gt;0,ISNUMBER($B$94)),MAX(0,$B$94-3*SQRT($B$94*(1-$B$94)/H1072)),"")</f>
        <v/>
      </c>
      <c r="L1072" s="11">
        <f>IF(AND(ISNUMBER(H1072),ISNUMBER(I1072),H1072&gt;0,ISNUMBER($B$94)),$B$94+3*SQRT($B$94*(1-$B$94)/H1072),"")</f>
        <v/>
      </c>
      <c r="M1072" s="13">
        <f>IF(AND(ISNUMBER(J1072),ISNUMBER(K1072),ISNUMBER(L1072)),IF(J1072&gt;L1072,"boven UCL",IF(J1072&lt;K1072,"onder LCL","")),"")</f>
        <v/>
      </c>
      <c r="O1072" t="n">
        <v>966</v>
      </c>
      <c r="P1072" s="7" t="n"/>
      <c r="Q1072" s="7" t="n"/>
      <c r="R1072" s="11">
        <f>IF(AND(ISNUMBER(P1072),ISNUMBER(Q1072),P1072&gt;0,ISNUMBER($B$100)),Q1072/P1072,"")</f>
        <v/>
      </c>
      <c r="S1072" s="11">
        <f>IF(AND(ISNUMBER(P1072),ISNUMBER(Q1072),P1072&gt;0,ISNUMBER($B$100)),MAX(0,$B$100-3*SQRT($B$100/P1072)),"")</f>
        <v/>
      </c>
      <c r="T1072" s="11">
        <f>IF(AND(ISNUMBER(P1072),ISNUMBER(Q1072),P1072&gt;0,ISNUMBER($B$100)),$B$100+3*SQRT($B$100/P1072),"")</f>
        <v/>
      </c>
      <c r="U1072" s="13">
        <f>IF(AND(ISNUMBER(R1072),ISNUMBER(S1072),ISNUMBER(T1072)),IF(R1072&gt;T1072,"boven UCL",IF(R1072&lt;S1072,"onder LCL","")),"")</f>
        <v/>
      </c>
    </row>
    <row r="1073">
      <c r="A1073" t="n">
        <v>967</v>
      </c>
      <c r="B1073" s="7" t="n"/>
      <c r="C1073" s="11">
        <f>IF(AND(ISNUMBER(B1073),ISNUMBER(B1072)),ABS(B1073-B1072),"")</f>
        <v/>
      </c>
      <c r="D1073" s="13">
        <f>IF(AND(ISNUMBER(B1073),ISNUMBER($B$88),ISNUMBER($D$88)),IF(B1073&gt;$D$88,"boven UCL",IF(B1073&lt;$B$88,"onder LCL","")),"")</f>
        <v/>
      </c>
      <c r="E1073" s="13">
        <f>IF(AND(ISNUMBER(C1073),ISNUMBER($B$89),ISNUMBER($D$89)),IF(C1073&gt;$D$89,"boven UCL",IF(C1073&lt;$B$89,"onder LCL","")),"")</f>
        <v/>
      </c>
      <c r="G1073" t="n">
        <v>967</v>
      </c>
      <c r="H1073" s="7" t="n"/>
      <c r="I1073" s="7" t="n"/>
      <c r="J1073" s="11">
        <f>IF(AND(ISNUMBER(H1073),ISNUMBER(I1073),H1073&gt;0,ISNUMBER($B$94)),I1073/H1073,"")</f>
        <v/>
      </c>
      <c r="K1073" s="11">
        <f>IF(AND(ISNUMBER(H1073),ISNUMBER(I1073),H1073&gt;0,ISNUMBER($B$94)),MAX(0,$B$94-3*SQRT($B$94*(1-$B$94)/H1073)),"")</f>
        <v/>
      </c>
      <c r="L1073" s="11">
        <f>IF(AND(ISNUMBER(H1073),ISNUMBER(I1073),H1073&gt;0,ISNUMBER($B$94)),$B$94+3*SQRT($B$94*(1-$B$94)/H1073),"")</f>
        <v/>
      </c>
      <c r="M1073" s="13">
        <f>IF(AND(ISNUMBER(J1073),ISNUMBER(K1073),ISNUMBER(L1073)),IF(J1073&gt;L1073,"boven UCL",IF(J1073&lt;K1073,"onder LCL","")),"")</f>
        <v/>
      </c>
      <c r="O1073" t="n">
        <v>967</v>
      </c>
      <c r="P1073" s="7" t="n"/>
      <c r="Q1073" s="7" t="n"/>
      <c r="R1073" s="11">
        <f>IF(AND(ISNUMBER(P1073),ISNUMBER(Q1073),P1073&gt;0,ISNUMBER($B$100)),Q1073/P1073,"")</f>
        <v/>
      </c>
      <c r="S1073" s="11">
        <f>IF(AND(ISNUMBER(P1073),ISNUMBER(Q1073),P1073&gt;0,ISNUMBER($B$100)),MAX(0,$B$100-3*SQRT($B$100/P1073)),"")</f>
        <v/>
      </c>
      <c r="T1073" s="11">
        <f>IF(AND(ISNUMBER(P1073),ISNUMBER(Q1073),P1073&gt;0,ISNUMBER($B$100)),$B$100+3*SQRT($B$100/P1073),"")</f>
        <v/>
      </c>
      <c r="U1073" s="13">
        <f>IF(AND(ISNUMBER(R1073),ISNUMBER(S1073),ISNUMBER(T1073)),IF(R1073&gt;T1073,"boven UCL",IF(R1073&lt;S1073,"onder LCL","")),"")</f>
        <v/>
      </c>
    </row>
    <row r="1074">
      <c r="A1074" t="n">
        <v>968</v>
      </c>
      <c r="B1074" s="7" t="n"/>
      <c r="C1074" s="11">
        <f>IF(AND(ISNUMBER(B1074),ISNUMBER(B1073)),ABS(B1074-B1073),"")</f>
        <v/>
      </c>
      <c r="D1074" s="13">
        <f>IF(AND(ISNUMBER(B1074),ISNUMBER($B$88),ISNUMBER($D$88)),IF(B1074&gt;$D$88,"boven UCL",IF(B1074&lt;$B$88,"onder LCL","")),"")</f>
        <v/>
      </c>
      <c r="E1074" s="13">
        <f>IF(AND(ISNUMBER(C1074),ISNUMBER($B$89),ISNUMBER($D$89)),IF(C1074&gt;$D$89,"boven UCL",IF(C1074&lt;$B$89,"onder LCL","")),"")</f>
        <v/>
      </c>
      <c r="G1074" t="n">
        <v>968</v>
      </c>
      <c r="H1074" s="7" t="n"/>
      <c r="I1074" s="7" t="n"/>
      <c r="J1074" s="11">
        <f>IF(AND(ISNUMBER(H1074),ISNUMBER(I1074),H1074&gt;0,ISNUMBER($B$94)),I1074/H1074,"")</f>
        <v/>
      </c>
      <c r="K1074" s="11">
        <f>IF(AND(ISNUMBER(H1074),ISNUMBER(I1074),H1074&gt;0,ISNUMBER($B$94)),MAX(0,$B$94-3*SQRT($B$94*(1-$B$94)/H1074)),"")</f>
        <v/>
      </c>
      <c r="L1074" s="11">
        <f>IF(AND(ISNUMBER(H1074),ISNUMBER(I1074),H1074&gt;0,ISNUMBER($B$94)),$B$94+3*SQRT($B$94*(1-$B$94)/H1074),"")</f>
        <v/>
      </c>
      <c r="M1074" s="13">
        <f>IF(AND(ISNUMBER(J1074),ISNUMBER(K1074),ISNUMBER(L1074)),IF(J1074&gt;L1074,"boven UCL",IF(J1074&lt;K1074,"onder LCL","")),"")</f>
        <v/>
      </c>
      <c r="O1074" t="n">
        <v>968</v>
      </c>
      <c r="P1074" s="7" t="n"/>
      <c r="Q1074" s="7" t="n"/>
      <c r="R1074" s="11">
        <f>IF(AND(ISNUMBER(P1074),ISNUMBER(Q1074),P1074&gt;0,ISNUMBER($B$100)),Q1074/P1074,"")</f>
        <v/>
      </c>
      <c r="S1074" s="11">
        <f>IF(AND(ISNUMBER(P1074),ISNUMBER(Q1074),P1074&gt;0,ISNUMBER($B$100)),MAX(0,$B$100-3*SQRT($B$100/P1074)),"")</f>
        <v/>
      </c>
      <c r="T1074" s="11">
        <f>IF(AND(ISNUMBER(P1074),ISNUMBER(Q1074),P1074&gt;0,ISNUMBER($B$100)),$B$100+3*SQRT($B$100/P1074),"")</f>
        <v/>
      </c>
      <c r="U1074" s="13">
        <f>IF(AND(ISNUMBER(R1074),ISNUMBER(S1074),ISNUMBER(T1074)),IF(R1074&gt;T1074,"boven UCL",IF(R1074&lt;S1074,"onder LCL","")),"")</f>
        <v/>
      </c>
    </row>
    <row r="1075">
      <c r="A1075" t="n">
        <v>969</v>
      </c>
      <c r="B1075" s="7" t="n"/>
      <c r="C1075" s="11">
        <f>IF(AND(ISNUMBER(B1075),ISNUMBER(B1074)),ABS(B1075-B1074),"")</f>
        <v/>
      </c>
      <c r="D1075" s="13">
        <f>IF(AND(ISNUMBER(B1075),ISNUMBER($B$88),ISNUMBER($D$88)),IF(B1075&gt;$D$88,"boven UCL",IF(B1075&lt;$B$88,"onder LCL","")),"")</f>
        <v/>
      </c>
      <c r="E1075" s="13">
        <f>IF(AND(ISNUMBER(C1075),ISNUMBER($B$89),ISNUMBER($D$89)),IF(C1075&gt;$D$89,"boven UCL",IF(C1075&lt;$B$89,"onder LCL","")),"")</f>
        <v/>
      </c>
      <c r="G1075" t="n">
        <v>969</v>
      </c>
      <c r="H1075" s="7" t="n"/>
      <c r="I1075" s="7" t="n"/>
      <c r="J1075" s="11">
        <f>IF(AND(ISNUMBER(H1075),ISNUMBER(I1075),H1075&gt;0,ISNUMBER($B$94)),I1075/H1075,"")</f>
        <v/>
      </c>
      <c r="K1075" s="11">
        <f>IF(AND(ISNUMBER(H1075),ISNUMBER(I1075),H1075&gt;0,ISNUMBER($B$94)),MAX(0,$B$94-3*SQRT($B$94*(1-$B$94)/H1075)),"")</f>
        <v/>
      </c>
      <c r="L1075" s="11">
        <f>IF(AND(ISNUMBER(H1075),ISNUMBER(I1075),H1075&gt;0,ISNUMBER($B$94)),$B$94+3*SQRT($B$94*(1-$B$94)/H1075),"")</f>
        <v/>
      </c>
      <c r="M1075" s="13">
        <f>IF(AND(ISNUMBER(J1075),ISNUMBER(K1075),ISNUMBER(L1075)),IF(J1075&gt;L1075,"boven UCL",IF(J1075&lt;K1075,"onder LCL","")),"")</f>
        <v/>
      </c>
      <c r="O1075" t="n">
        <v>969</v>
      </c>
      <c r="P1075" s="7" t="n"/>
      <c r="Q1075" s="7" t="n"/>
      <c r="R1075" s="11">
        <f>IF(AND(ISNUMBER(P1075),ISNUMBER(Q1075),P1075&gt;0,ISNUMBER($B$100)),Q1075/P1075,"")</f>
        <v/>
      </c>
      <c r="S1075" s="11">
        <f>IF(AND(ISNUMBER(P1075),ISNUMBER(Q1075),P1075&gt;0,ISNUMBER($B$100)),MAX(0,$B$100-3*SQRT($B$100/P1075)),"")</f>
        <v/>
      </c>
      <c r="T1075" s="11">
        <f>IF(AND(ISNUMBER(P1075),ISNUMBER(Q1075),P1075&gt;0,ISNUMBER($B$100)),$B$100+3*SQRT($B$100/P1075),"")</f>
        <v/>
      </c>
      <c r="U1075" s="13">
        <f>IF(AND(ISNUMBER(R1075),ISNUMBER(S1075),ISNUMBER(T1075)),IF(R1075&gt;T1075,"boven UCL",IF(R1075&lt;S1075,"onder LCL","")),"")</f>
        <v/>
      </c>
    </row>
    <row r="1076">
      <c r="A1076" t="n">
        <v>970</v>
      </c>
      <c r="B1076" s="7" t="n"/>
      <c r="C1076" s="11">
        <f>IF(AND(ISNUMBER(B1076),ISNUMBER(B1075)),ABS(B1076-B1075),"")</f>
        <v/>
      </c>
      <c r="D1076" s="13">
        <f>IF(AND(ISNUMBER(B1076),ISNUMBER($B$88),ISNUMBER($D$88)),IF(B1076&gt;$D$88,"boven UCL",IF(B1076&lt;$B$88,"onder LCL","")),"")</f>
        <v/>
      </c>
      <c r="E1076" s="13">
        <f>IF(AND(ISNUMBER(C1076),ISNUMBER($B$89),ISNUMBER($D$89)),IF(C1076&gt;$D$89,"boven UCL",IF(C1076&lt;$B$89,"onder LCL","")),"")</f>
        <v/>
      </c>
      <c r="G1076" t="n">
        <v>970</v>
      </c>
      <c r="H1076" s="7" t="n"/>
      <c r="I1076" s="7" t="n"/>
      <c r="J1076" s="11">
        <f>IF(AND(ISNUMBER(H1076),ISNUMBER(I1076),H1076&gt;0,ISNUMBER($B$94)),I1076/H1076,"")</f>
        <v/>
      </c>
      <c r="K1076" s="11">
        <f>IF(AND(ISNUMBER(H1076),ISNUMBER(I1076),H1076&gt;0,ISNUMBER($B$94)),MAX(0,$B$94-3*SQRT($B$94*(1-$B$94)/H1076)),"")</f>
        <v/>
      </c>
      <c r="L1076" s="11">
        <f>IF(AND(ISNUMBER(H1076),ISNUMBER(I1076),H1076&gt;0,ISNUMBER($B$94)),$B$94+3*SQRT($B$94*(1-$B$94)/H1076),"")</f>
        <v/>
      </c>
      <c r="M1076" s="13">
        <f>IF(AND(ISNUMBER(J1076),ISNUMBER(K1076),ISNUMBER(L1076)),IF(J1076&gt;L1076,"boven UCL",IF(J1076&lt;K1076,"onder LCL","")),"")</f>
        <v/>
      </c>
      <c r="O1076" t="n">
        <v>970</v>
      </c>
      <c r="P1076" s="7" t="n"/>
      <c r="Q1076" s="7" t="n"/>
      <c r="R1076" s="11">
        <f>IF(AND(ISNUMBER(P1076),ISNUMBER(Q1076),P1076&gt;0,ISNUMBER($B$100)),Q1076/P1076,"")</f>
        <v/>
      </c>
      <c r="S1076" s="11">
        <f>IF(AND(ISNUMBER(P1076),ISNUMBER(Q1076),P1076&gt;0,ISNUMBER($B$100)),MAX(0,$B$100-3*SQRT($B$100/P1076)),"")</f>
        <v/>
      </c>
      <c r="T1076" s="11">
        <f>IF(AND(ISNUMBER(P1076),ISNUMBER(Q1076),P1076&gt;0,ISNUMBER($B$100)),$B$100+3*SQRT($B$100/P1076),"")</f>
        <v/>
      </c>
      <c r="U1076" s="13">
        <f>IF(AND(ISNUMBER(R1076),ISNUMBER(S1076),ISNUMBER(T1076)),IF(R1076&gt;T1076,"boven UCL",IF(R1076&lt;S1076,"onder LCL","")),"")</f>
        <v/>
      </c>
    </row>
    <row r="1077">
      <c r="A1077" t="n">
        <v>971</v>
      </c>
      <c r="B1077" s="7" t="n"/>
      <c r="C1077" s="11">
        <f>IF(AND(ISNUMBER(B1077),ISNUMBER(B1076)),ABS(B1077-B1076),"")</f>
        <v/>
      </c>
      <c r="D1077" s="13">
        <f>IF(AND(ISNUMBER(B1077),ISNUMBER($B$88),ISNUMBER($D$88)),IF(B1077&gt;$D$88,"boven UCL",IF(B1077&lt;$B$88,"onder LCL","")),"")</f>
        <v/>
      </c>
      <c r="E1077" s="13">
        <f>IF(AND(ISNUMBER(C1077),ISNUMBER($B$89),ISNUMBER($D$89)),IF(C1077&gt;$D$89,"boven UCL",IF(C1077&lt;$B$89,"onder LCL","")),"")</f>
        <v/>
      </c>
      <c r="G1077" t="n">
        <v>971</v>
      </c>
      <c r="H1077" s="7" t="n"/>
      <c r="I1077" s="7" t="n"/>
      <c r="J1077" s="11">
        <f>IF(AND(ISNUMBER(H1077),ISNUMBER(I1077),H1077&gt;0,ISNUMBER($B$94)),I1077/H1077,"")</f>
        <v/>
      </c>
      <c r="K1077" s="11">
        <f>IF(AND(ISNUMBER(H1077),ISNUMBER(I1077),H1077&gt;0,ISNUMBER($B$94)),MAX(0,$B$94-3*SQRT($B$94*(1-$B$94)/H1077)),"")</f>
        <v/>
      </c>
      <c r="L1077" s="11">
        <f>IF(AND(ISNUMBER(H1077),ISNUMBER(I1077),H1077&gt;0,ISNUMBER($B$94)),$B$94+3*SQRT($B$94*(1-$B$94)/H1077),"")</f>
        <v/>
      </c>
      <c r="M1077" s="13">
        <f>IF(AND(ISNUMBER(J1077),ISNUMBER(K1077),ISNUMBER(L1077)),IF(J1077&gt;L1077,"boven UCL",IF(J1077&lt;K1077,"onder LCL","")),"")</f>
        <v/>
      </c>
      <c r="O1077" t="n">
        <v>971</v>
      </c>
      <c r="P1077" s="7" t="n"/>
      <c r="Q1077" s="7" t="n"/>
      <c r="R1077" s="11">
        <f>IF(AND(ISNUMBER(P1077),ISNUMBER(Q1077),P1077&gt;0,ISNUMBER($B$100)),Q1077/P1077,"")</f>
        <v/>
      </c>
      <c r="S1077" s="11">
        <f>IF(AND(ISNUMBER(P1077),ISNUMBER(Q1077),P1077&gt;0,ISNUMBER($B$100)),MAX(0,$B$100-3*SQRT($B$100/P1077)),"")</f>
        <v/>
      </c>
      <c r="T1077" s="11">
        <f>IF(AND(ISNUMBER(P1077),ISNUMBER(Q1077),P1077&gt;0,ISNUMBER($B$100)),$B$100+3*SQRT($B$100/P1077),"")</f>
        <v/>
      </c>
      <c r="U1077" s="13">
        <f>IF(AND(ISNUMBER(R1077),ISNUMBER(S1077),ISNUMBER(T1077)),IF(R1077&gt;T1077,"boven UCL",IF(R1077&lt;S1077,"onder LCL","")),"")</f>
        <v/>
      </c>
    </row>
    <row r="1078">
      <c r="A1078" t="n">
        <v>972</v>
      </c>
      <c r="B1078" s="7" t="n"/>
      <c r="C1078" s="11">
        <f>IF(AND(ISNUMBER(B1078),ISNUMBER(B1077)),ABS(B1078-B1077),"")</f>
        <v/>
      </c>
      <c r="D1078" s="13">
        <f>IF(AND(ISNUMBER(B1078),ISNUMBER($B$88),ISNUMBER($D$88)),IF(B1078&gt;$D$88,"boven UCL",IF(B1078&lt;$B$88,"onder LCL","")),"")</f>
        <v/>
      </c>
      <c r="E1078" s="13">
        <f>IF(AND(ISNUMBER(C1078),ISNUMBER($B$89),ISNUMBER($D$89)),IF(C1078&gt;$D$89,"boven UCL",IF(C1078&lt;$B$89,"onder LCL","")),"")</f>
        <v/>
      </c>
      <c r="G1078" t="n">
        <v>972</v>
      </c>
      <c r="H1078" s="7" t="n"/>
      <c r="I1078" s="7" t="n"/>
      <c r="J1078" s="11">
        <f>IF(AND(ISNUMBER(H1078),ISNUMBER(I1078),H1078&gt;0,ISNUMBER($B$94)),I1078/H1078,"")</f>
        <v/>
      </c>
      <c r="K1078" s="11">
        <f>IF(AND(ISNUMBER(H1078),ISNUMBER(I1078),H1078&gt;0,ISNUMBER($B$94)),MAX(0,$B$94-3*SQRT($B$94*(1-$B$94)/H1078)),"")</f>
        <v/>
      </c>
      <c r="L1078" s="11">
        <f>IF(AND(ISNUMBER(H1078),ISNUMBER(I1078),H1078&gt;0,ISNUMBER($B$94)),$B$94+3*SQRT($B$94*(1-$B$94)/H1078),"")</f>
        <v/>
      </c>
      <c r="M1078" s="13">
        <f>IF(AND(ISNUMBER(J1078),ISNUMBER(K1078),ISNUMBER(L1078)),IF(J1078&gt;L1078,"boven UCL",IF(J1078&lt;K1078,"onder LCL","")),"")</f>
        <v/>
      </c>
      <c r="O1078" t="n">
        <v>972</v>
      </c>
      <c r="P1078" s="7" t="n"/>
      <c r="Q1078" s="7" t="n"/>
      <c r="R1078" s="11">
        <f>IF(AND(ISNUMBER(P1078),ISNUMBER(Q1078),P1078&gt;0,ISNUMBER($B$100)),Q1078/P1078,"")</f>
        <v/>
      </c>
      <c r="S1078" s="11">
        <f>IF(AND(ISNUMBER(P1078),ISNUMBER(Q1078),P1078&gt;0,ISNUMBER($B$100)),MAX(0,$B$100-3*SQRT($B$100/P1078)),"")</f>
        <v/>
      </c>
      <c r="T1078" s="11">
        <f>IF(AND(ISNUMBER(P1078),ISNUMBER(Q1078),P1078&gt;0,ISNUMBER($B$100)),$B$100+3*SQRT($B$100/P1078),"")</f>
        <v/>
      </c>
      <c r="U1078" s="13">
        <f>IF(AND(ISNUMBER(R1078),ISNUMBER(S1078),ISNUMBER(T1078)),IF(R1078&gt;T1078,"boven UCL",IF(R1078&lt;S1078,"onder LCL","")),"")</f>
        <v/>
      </c>
    </row>
    <row r="1079">
      <c r="A1079" t="n">
        <v>973</v>
      </c>
      <c r="B1079" s="7" t="n"/>
      <c r="C1079" s="11">
        <f>IF(AND(ISNUMBER(B1079),ISNUMBER(B1078)),ABS(B1079-B1078),"")</f>
        <v/>
      </c>
      <c r="D1079" s="13">
        <f>IF(AND(ISNUMBER(B1079),ISNUMBER($B$88),ISNUMBER($D$88)),IF(B1079&gt;$D$88,"boven UCL",IF(B1079&lt;$B$88,"onder LCL","")),"")</f>
        <v/>
      </c>
      <c r="E1079" s="13">
        <f>IF(AND(ISNUMBER(C1079),ISNUMBER($B$89),ISNUMBER($D$89)),IF(C1079&gt;$D$89,"boven UCL",IF(C1079&lt;$B$89,"onder LCL","")),"")</f>
        <v/>
      </c>
      <c r="G1079" t="n">
        <v>973</v>
      </c>
      <c r="H1079" s="7" t="n"/>
      <c r="I1079" s="7" t="n"/>
      <c r="J1079" s="11">
        <f>IF(AND(ISNUMBER(H1079),ISNUMBER(I1079),H1079&gt;0,ISNUMBER($B$94)),I1079/H1079,"")</f>
        <v/>
      </c>
      <c r="K1079" s="11">
        <f>IF(AND(ISNUMBER(H1079),ISNUMBER(I1079),H1079&gt;0,ISNUMBER($B$94)),MAX(0,$B$94-3*SQRT($B$94*(1-$B$94)/H1079)),"")</f>
        <v/>
      </c>
      <c r="L1079" s="11">
        <f>IF(AND(ISNUMBER(H1079),ISNUMBER(I1079),H1079&gt;0,ISNUMBER($B$94)),$B$94+3*SQRT($B$94*(1-$B$94)/H1079),"")</f>
        <v/>
      </c>
      <c r="M1079" s="13">
        <f>IF(AND(ISNUMBER(J1079),ISNUMBER(K1079),ISNUMBER(L1079)),IF(J1079&gt;L1079,"boven UCL",IF(J1079&lt;K1079,"onder LCL","")),"")</f>
        <v/>
      </c>
      <c r="O1079" t="n">
        <v>973</v>
      </c>
      <c r="P1079" s="7" t="n"/>
      <c r="Q1079" s="7" t="n"/>
      <c r="R1079" s="11">
        <f>IF(AND(ISNUMBER(P1079),ISNUMBER(Q1079),P1079&gt;0,ISNUMBER($B$100)),Q1079/P1079,"")</f>
        <v/>
      </c>
      <c r="S1079" s="11">
        <f>IF(AND(ISNUMBER(P1079),ISNUMBER(Q1079),P1079&gt;0,ISNUMBER($B$100)),MAX(0,$B$100-3*SQRT($B$100/P1079)),"")</f>
        <v/>
      </c>
      <c r="T1079" s="11">
        <f>IF(AND(ISNUMBER(P1079),ISNUMBER(Q1079),P1079&gt;0,ISNUMBER($B$100)),$B$100+3*SQRT($B$100/P1079),"")</f>
        <v/>
      </c>
      <c r="U1079" s="13">
        <f>IF(AND(ISNUMBER(R1079),ISNUMBER(S1079),ISNUMBER(T1079)),IF(R1079&gt;T1079,"boven UCL",IF(R1079&lt;S1079,"onder LCL","")),"")</f>
        <v/>
      </c>
    </row>
    <row r="1080">
      <c r="A1080" t="n">
        <v>974</v>
      </c>
      <c r="B1080" s="7" t="n"/>
      <c r="C1080" s="11">
        <f>IF(AND(ISNUMBER(B1080),ISNUMBER(B1079)),ABS(B1080-B1079),"")</f>
        <v/>
      </c>
      <c r="D1080" s="13">
        <f>IF(AND(ISNUMBER(B1080),ISNUMBER($B$88),ISNUMBER($D$88)),IF(B1080&gt;$D$88,"boven UCL",IF(B1080&lt;$B$88,"onder LCL","")),"")</f>
        <v/>
      </c>
      <c r="E1080" s="13">
        <f>IF(AND(ISNUMBER(C1080),ISNUMBER($B$89),ISNUMBER($D$89)),IF(C1080&gt;$D$89,"boven UCL",IF(C1080&lt;$B$89,"onder LCL","")),"")</f>
        <v/>
      </c>
      <c r="G1080" t="n">
        <v>974</v>
      </c>
      <c r="H1080" s="7" t="n"/>
      <c r="I1080" s="7" t="n"/>
      <c r="J1080" s="11">
        <f>IF(AND(ISNUMBER(H1080),ISNUMBER(I1080),H1080&gt;0,ISNUMBER($B$94)),I1080/H1080,"")</f>
        <v/>
      </c>
      <c r="K1080" s="11">
        <f>IF(AND(ISNUMBER(H1080),ISNUMBER(I1080),H1080&gt;0,ISNUMBER($B$94)),MAX(0,$B$94-3*SQRT($B$94*(1-$B$94)/H1080)),"")</f>
        <v/>
      </c>
      <c r="L1080" s="11">
        <f>IF(AND(ISNUMBER(H1080),ISNUMBER(I1080),H1080&gt;0,ISNUMBER($B$94)),$B$94+3*SQRT($B$94*(1-$B$94)/H1080),"")</f>
        <v/>
      </c>
      <c r="M1080" s="13">
        <f>IF(AND(ISNUMBER(J1080),ISNUMBER(K1080),ISNUMBER(L1080)),IF(J1080&gt;L1080,"boven UCL",IF(J1080&lt;K1080,"onder LCL","")),"")</f>
        <v/>
      </c>
      <c r="O1080" t="n">
        <v>974</v>
      </c>
      <c r="P1080" s="7" t="n"/>
      <c r="Q1080" s="7" t="n"/>
      <c r="R1080" s="11">
        <f>IF(AND(ISNUMBER(P1080),ISNUMBER(Q1080),P1080&gt;0,ISNUMBER($B$100)),Q1080/P1080,"")</f>
        <v/>
      </c>
      <c r="S1080" s="11">
        <f>IF(AND(ISNUMBER(P1080),ISNUMBER(Q1080),P1080&gt;0,ISNUMBER($B$100)),MAX(0,$B$100-3*SQRT($B$100/P1080)),"")</f>
        <v/>
      </c>
      <c r="T1080" s="11">
        <f>IF(AND(ISNUMBER(P1080),ISNUMBER(Q1080),P1080&gt;0,ISNUMBER($B$100)),$B$100+3*SQRT($B$100/P1080),"")</f>
        <v/>
      </c>
      <c r="U1080" s="13">
        <f>IF(AND(ISNUMBER(R1080),ISNUMBER(S1080),ISNUMBER(T1080)),IF(R1080&gt;T1080,"boven UCL",IF(R1080&lt;S1080,"onder LCL","")),"")</f>
        <v/>
      </c>
    </row>
    <row r="1081">
      <c r="A1081" t="n">
        <v>975</v>
      </c>
      <c r="B1081" s="7" t="n"/>
      <c r="C1081" s="11">
        <f>IF(AND(ISNUMBER(B1081),ISNUMBER(B1080)),ABS(B1081-B1080),"")</f>
        <v/>
      </c>
      <c r="D1081" s="13">
        <f>IF(AND(ISNUMBER(B1081),ISNUMBER($B$88),ISNUMBER($D$88)),IF(B1081&gt;$D$88,"boven UCL",IF(B1081&lt;$B$88,"onder LCL","")),"")</f>
        <v/>
      </c>
      <c r="E1081" s="13">
        <f>IF(AND(ISNUMBER(C1081),ISNUMBER($B$89),ISNUMBER($D$89)),IF(C1081&gt;$D$89,"boven UCL",IF(C1081&lt;$B$89,"onder LCL","")),"")</f>
        <v/>
      </c>
      <c r="G1081" t="n">
        <v>975</v>
      </c>
      <c r="H1081" s="7" t="n"/>
      <c r="I1081" s="7" t="n"/>
      <c r="J1081" s="11">
        <f>IF(AND(ISNUMBER(H1081),ISNUMBER(I1081),H1081&gt;0,ISNUMBER($B$94)),I1081/H1081,"")</f>
        <v/>
      </c>
      <c r="K1081" s="11">
        <f>IF(AND(ISNUMBER(H1081),ISNUMBER(I1081),H1081&gt;0,ISNUMBER($B$94)),MAX(0,$B$94-3*SQRT($B$94*(1-$B$94)/H1081)),"")</f>
        <v/>
      </c>
      <c r="L1081" s="11">
        <f>IF(AND(ISNUMBER(H1081),ISNUMBER(I1081),H1081&gt;0,ISNUMBER($B$94)),$B$94+3*SQRT($B$94*(1-$B$94)/H1081),"")</f>
        <v/>
      </c>
      <c r="M1081" s="13">
        <f>IF(AND(ISNUMBER(J1081),ISNUMBER(K1081),ISNUMBER(L1081)),IF(J1081&gt;L1081,"boven UCL",IF(J1081&lt;K1081,"onder LCL","")),"")</f>
        <v/>
      </c>
      <c r="O1081" t="n">
        <v>975</v>
      </c>
      <c r="P1081" s="7" t="n"/>
      <c r="Q1081" s="7" t="n"/>
      <c r="R1081" s="11">
        <f>IF(AND(ISNUMBER(P1081),ISNUMBER(Q1081),P1081&gt;0,ISNUMBER($B$100)),Q1081/P1081,"")</f>
        <v/>
      </c>
      <c r="S1081" s="11">
        <f>IF(AND(ISNUMBER(P1081),ISNUMBER(Q1081),P1081&gt;0,ISNUMBER($B$100)),MAX(0,$B$100-3*SQRT($B$100/P1081)),"")</f>
        <v/>
      </c>
      <c r="T1081" s="11">
        <f>IF(AND(ISNUMBER(P1081),ISNUMBER(Q1081),P1081&gt;0,ISNUMBER($B$100)),$B$100+3*SQRT($B$100/P1081),"")</f>
        <v/>
      </c>
      <c r="U1081" s="13">
        <f>IF(AND(ISNUMBER(R1081),ISNUMBER(S1081),ISNUMBER(T1081)),IF(R1081&gt;T1081,"boven UCL",IF(R1081&lt;S1081,"onder LCL","")),"")</f>
        <v/>
      </c>
    </row>
    <row r="1082">
      <c r="A1082" t="n">
        <v>976</v>
      </c>
      <c r="B1082" s="7" t="n"/>
      <c r="C1082" s="11">
        <f>IF(AND(ISNUMBER(B1082),ISNUMBER(B1081)),ABS(B1082-B1081),"")</f>
        <v/>
      </c>
      <c r="D1082" s="13">
        <f>IF(AND(ISNUMBER(B1082),ISNUMBER($B$88),ISNUMBER($D$88)),IF(B1082&gt;$D$88,"boven UCL",IF(B1082&lt;$B$88,"onder LCL","")),"")</f>
        <v/>
      </c>
      <c r="E1082" s="13">
        <f>IF(AND(ISNUMBER(C1082),ISNUMBER($B$89),ISNUMBER($D$89)),IF(C1082&gt;$D$89,"boven UCL",IF(C1082&lt;$B$89,"onder LCL","")),"")</f>
        <v/>
      </c>
      <c r="G1082" t="n">
        <v>976</v>
      </c>
      <c r="H1082" s="7" t="n"/>
      <c r="I1082" s="7" t="n"/>
      <c r="J1082" s="11">
        <f>IF(AND(ISNUMBER(H1082),ISNUMBER(I1082),H1082&gt;0,ISNUMBER($B$94)),I1082/H1082,"")</f>
        <v/>
      </c>
      <c r="K1082" s="11">
        <f>IF(AND(ISNUMBER(H1082),ISNUMBER(I1082),H1082&gt;0,ISNUMBER($B$94)),MAX(0,$B$94-3*SQRT($B$94*(1-$B$94)/H1082)),"")</f>
        <v/>
      </c>
      <c r="L1082" s="11">
        <f>IF(AND(ISNUMBER(H1082),ISNUMBER(I1082),H1082&gt;0,ISNUMBER($B$94)),$B$94+3*SQRT($B$94*(1-$B$94)/H1082),"")</f>
        <v/>
      </c>
      <c r="M1082" s="13">
        <f>IF(AND(ISNUMBER(J1082),ISNUMBER(K1082),ISNUMBER(L1082)),IF(J1082&gt;L1082,"boven UCL",IF(J1082&lt;K1082,"onder LCL","")),"")</f>
        <v/>
      </c>
      <c r="O1082" t="n">
        <v>976</v>
      </c>
      <c r="P1082" s="7" t="n"/>
      <c r="Q1082" s="7" t="n"/>
      <c r="R1082" s="11">
        <f>IF(AND(ISNUMBER(P1082),ISNUMBER(Q1082),P1082&gt;0,ISNUMBER($B$100)),Q1082/P1082,"")</f>
        <v/>
      </c>
      <c r="S1082" s="11">
        <f>IF(AND(ISNUMBER(P1082),ISNUMBER(Q1082),P1082&gt;0,ISNUMBER($B$100)),MAX(0,$B$100-3*SQRT($B$100/P1082)),"")</f>
        <v/>
      </c>
      <c r="T1082" s="11">
        <f>IF(AND(ISNUMBER(P1082),ISNUMBER(Q1082),P1082&gt;0,ISNUMBER($B$100)),$B$100+3*SQRT($B$100/P1082),"")</f>
        <v/>
      </c>
      <c r="U1082" s="13">
        <f>IF(AND(ISNUMBER(R1082),ISNUMBER(S1082),ISNUMBER(T1082)),IF(R1082&gt;T1082,"boven UCL",IF(R1082&lt;S1082,"onder LCL","")),"")</f>
        <v/>
      </c>
    </row>
    <row r="1083">
      <c r="A1083" t="n">
        <v>977</v>
      </c>
      <c r="B1083" s="7" t="n"/>
      <c r="C1083" s="11">
        <f>IF(AND(ISNUMBER(B1083),ISNUMBER(B1082)),ABS(B1083-B1082),"")</f>
        <v/>
      </c>
      <c r="D1083" s="13">
        <f>IF(AND(ISNUMBER(B1083),ISNUMBER($B$88),ISNUMBER($D$88)),IF(B1083&gt;$D$88,"boven UCL",IF(B1083&lt;$B$88,"onder LCL","")),"")</f>
        <v/>
      </c>
      <c r="E1083" s="13">
        <f>IF(AND(ISNUMBER(C1083),ISNUMBER($B$89),ISNUMBER($D$89)),IF(C1083&gt;$D$89,"boven UCL",IF(C1083&lt;$B$89,"onder LCL","")),"")</f>
        <v/>
      </c>
      <c r="G1083" t="n">
        <v>977</v>
      </c>
      <c r="H1083" s="7" t="n"/>
      <c r="I1083" s="7" t="n"/>
      <c r="J1083" s="11">
        <f>IF(AND(ISNUMBER(H1083),ISNUMBER(I1083),H1083&gt;0,ISNUMBER($B$94)),I1083/H1083,"")</f>
        <v/>
      </c>
      <c r="K1083" s="11">
        <f>IF(AND(ISNUMBER(H1083),ISNUMBER(I1083),H1083&gt;0,ISNUMBER($B$94)),MAX(0,$B$94-3*SQRT($B$94*(1-$B$94)/H1083)),"")</f>
        <v/>
      </c>
      <c r="L1083" s="11">
        <f>IF(AND(ISNUMBER(H1083),ISNUMBER(I1083),H1083&gt;0,ISNUMBER($B$94)),$B$94+3*SQRT($B$94*(1-$B$94)/H1083),"")</f>
        <v/>
      </c>
      <c r="M1083" s="13">
        <f>IF(AND(ISNUMBER(J1083),ISNUMBER(K1083),ISNUMBER(L1083)),IF(J1083&gt;L1083,"boven UCL",IF(J1083&lt;K1083,"onder LCL","")),"")</f>
        <v/>
      </c>
      <c r="O1083" t="n">
        <v>977</v>
      </c>
      <c r="P1083" s="7" t="n"/>
      <c r="Q1083" s="7" t="n"/>
      <c r="R1083" s="11">
        <f>IF(AND(ISNUMBER(P1083),ISNUMBER(Q1083),P1083&gt;0,ISNUMBER($B$100)),Q1083/P1083,"")</f>
        <v/>
      </c>
      <c r="S1083" s="11">
        <f>IF(AND(ISNUMBER(P1083),ISNUMBER(Q1083),P1083&gt;0,ISNUMBER($B$100)),MAX(0,$B$100-3*SQRT($B$100/P1083)),"")</f>
        <v/>
      </c>
      <c r="T1083" s="11">
        <f>IF(AND(ISNUMBER(P1083),ISNUMBER(Q1083),P1083&gt;0,ISNUMBER($B$100)),$B$100+3*SQRT($B$100/P1083),"")</f>
        <v/>
      </c>
      <c r="U1083" s="13">
        <f>IF(AND(ISNUMBER(R1083),ISNUMBER(S1083),ISNUMBER(T1083)),IF(R1083&gt;T1083,"boven UCL",IF(R1083&lt;S1083,"onder LCL","")),"")</f>
        <v/>
      </c>
    </row>
    <row r="1084">
      <c r="A1084" t="n">
        <v>978</v>
      </c>
      <c r="B1084" s="7" t="n"/>
      <c r="C1084" s="11">
        <f>IF(AND(ISNUMBER(B1084),ISNUMBER(B1083)),ABS(B1084-B1083),"")</f>
        <v/>
      </c>
      <c r="D1084" s="13">
        <f>IF(AND(ISNUMBER(B1084),ISNUMBER($B$88),ISNUMBER($D$88)),IF(B1084&gt;$D$88,"boven UCL",IF(B1084&lt;$B$88,"onder LCL","")),"")</f>
        <v/>
      </c>
      <c r="E1084" s="13">
        <f>IF(AND(ISNUMBER(C1084),ISNUMBER($B$89),ISNUMBER($D$89)),IF(C1084&gt;$D$89,"boven UCL",IF(C1084&lt;$B$89,"onder LCL","")),"")</f>
        <v/>
      </c>
      <c r="G1084" t="n">
        <v>978</v>
      </c>
      <c r="H1084" s="7" t="n"/>
      <c r="I1084" s="7" t="n"/>
      <c r="J1084" s="11">
        <f>IF(AND(ISNUMBER(H1084),ISNUMBER(I1084),H1084&gt;0,ISNUMBER($B$94)),I1084/H1084,"")</f>
        <v/>
      </c>
      <c r="K1084" s="11">
        <f>IF(AND(ISNUMBER(H1084),ISNUMBER(I1084),H1084&gt;0,ISNUMBER($B$94)),MAX(0,$B$94-3*SQRT($B$94*(1-$B$94)/H1084)),"")</f>
        <v/>
      </c>
      <c r="L1084" s="11">
        <f>IF(AND(ISNUMBER(H1084),ISNUMBER(I1084),H1084&gt;0,ISNUMBER($B$94)),$B$94+3*SQRT($B$94*(1-$B$94)/H1084),"")</f>
        <v/>
      </c>
      <c r="M1084" s="13">
        <f>IF(AND(ISNUMBER(J1084),ISNUMBER(K1084),ISNUMBER(L1084)),IF(J1084&gt;L1084,"boven UCL",IF(J1084&lt;K1084,"onder LCL","")),"")</f>
        <v/>
      </c>
      <c r="O1084" t="n">
        <v>978</v>
      </c>
      <c r="P1084" s="7" t="n"/>
      <c r="Q1084" s="7" t="n"/>
      <c r="R1084" s="11">
        <f>IF(AND(ISNUMBER(P1084),ISNUMBER(Q1084),P1084&gt;0,ISNUMBER($B$100)),Q1084/P1084,"")</f>
        <v/>
      </c>
      <c r="S1084" s="11">
        <f>IF(AND(ISNUMBER(P1084),ISNUMBER(Q1084),P1084&gt;0,ISNUMBER($B$100)),MAX(0,$B$100-3*SQRT($B$100/P1084)),"")</f>
        <v/>
      </c>
      <c r="T1084" s="11">
        <f>IF(AND(ISNUMBER(P1084),ISNUMBER(Q1084),P1084&gt;0,ISNUMBER($B$100)),$B$100+3*SQRT($B$100/P1084),"")</f>
        <v/>
      </c>
      <c r="U1084" s="13">
        <f>IF(AND(ISNUMBER(R1084),ISNUMBER(S1084),ISNUMBER(T1084)),IF(R1084&gt;T1084,"boven UCL",IF(R1084&lt;S1084,"onder LCL","")),"")</f>
        <v/>
      </c>
    </row>
    <row r="1085">
      <c r="A1085" t="n">
        <v>979</v>
      </c>
      <c r="B1085" s="7" t="n"/>
      <c r="C1085" s="11">
        <f>IF(AND(ISNUMBER(B1085),ISNUMBER(B1084)),ABS(B1085-B1084),"")</f>
        <v/>
      </c>
      <c r="D1085" s="13">
        <f>IF(AND(ISNUMBER(B1085),ISNUMBER($B$88),ISNUMBER($D$88)),IF(B1085&gt;$D$88,"boven UCL",IF(B1085&lt;$B$88,"onder LCL","")),"")</f>
        <v/>
      </c>
      <c r="E1085" s="13">
        <f>IF(AND(ISNUMBER(C1085),ISNUMBER($B$89),ISNUMBER($D$89)),IF(C1085&gt;$D$89,"boven UCL",IF(C1085&lt;$B$89,"onder LCL","")),"")</f>
        <v/>
      </c>
      <c r="G1085" t="n">
        <v>979</v>
      </c>
      <c r="H1085" s="7" t="n"/>
      <c r="I1085" s="7" t="n"/>
      <c r="J1085" s="11">
        <f>IF(AND(ISNUMBER(H1085),ISNUMBER(I1085),H1085&gt;0,ISNUMBER($B$94)),I1085/H1085,"")</f>
        <v/>
      </c>
      <c r="K1085" s="11">
        <f>IF(AND(ISNUMBER(H1085),ISNUMBER(I1085),H1085&gt;0,ISNUMBER($B$94)),MAX(0,$B$94-3*SQRT($B$94*(1-$B$94)/H1085)),"")</f>
        <v/>
      </c>
      <c r="L1085" s="11">
        <f>IF(AND(ISNUMBER(H1085),ISNUMBER(I1085),H1085&gt;0,ISNUMBER($B$94)),$B$94+3*SQRT($B$94*(1-$B$94)/H1085),"")</f>
        <v/>
      </c>
      <c r="M1085" s="13">
        <f>IF(AND(ISNUMBER(J1085),ISNUMBER(K1085),ISNUMBER(L1085)),IF(J1085&gt;L1085,"boven UCL",IF(J1085&lt;K1085,"onder LCL","")),"")</f>
        <v/>
      </c>
      <c r="O1085" t="n">
        <v>979</v>
      </c>
      <c r="P1085" s="7" t="n"/>
      <c r="Q1085" s="7" t="n"/>
      <c r="R1085" s="11">
        <f>IF(AND(ISNUMBER(P1085),ISNUMBER(Q1085),P1085&gt;0,ISNUMBER($B$100)),Q1085/P1085,"")</f>
        <v/>
      </c>
      <c r="S1085" s="11">
        <f>IF(AND(ISNUMBER(P1085),ISNUMBER(Q1085),P1085&gt;0,ISNUMBER($B$100)),MAX(0,$B$100-3*SQRT($B$100/P1085)),"")</f>
        <v/>
      </c>
      <c r="T1085" s="11">
        <f>IF(AND(ISNUMBER(P1085),ISNUMBER(Q1085),P1085&gt;0,ISNUMBER($B$100)),$B$100+3*SQRT($B$100/P1085),"")</f>
        <v/>
      </c>
      <c r="U1085" s="13">
        <f>IF(AND(ISNUMBER(R1085),ISNUMBER(S1085),ISNUMBER(T1085)),IF(R1085&gt;T1085,"boven UCL",IF(R1085&lt;S1085,"onder LCL","")),"")</f>
        <v/>
      </c>
    </row>
    <row r="1086">
      <c r="A1086" t="n">
        <v>980</v>
      </c>
      <c r="B1086" s="7" t="n"/>
      <c r="C1086" s="11">
        <f>IF(AND(ISNUMBER(B1086),ISNUMBER(B1085)),ABS(B1086-B1085),"")</f>
        <v/>
      </c>
      <c r="D1086" s="13">
        <f>IF(AND(ISNUMBER(B1086),ISNUMBER($B$88),ISNUMBER($D$88)),IF(B1086&gt;$D$88,"boven UCL",IF(B1086&lt;$B$88,"onder LCL","")),"")</f>
        <v/>
      </c>
      <c r="E1086" s="13">
        <f>IF(AND(ISNUMBER(C1086),ISNUMBER($B$89),ISNUMBER($D$89)),IF(C1086&gt;$D$89,"boven UCL",IF(C1086&lt;$B$89,"onder LCL","")),"")</f>
        <v/>
      </c>
      <c r="G1086" t="n">
        <v>980</v>
      </c>
      <c r="H1086" s="7" t="n"/>
      <c r="I1086" s="7" t="n"/>
      <c r="J1086" s="11">
        <f>IF(AND(ISNUMBER(H1086),ISNUMBER(I1086),H1086&gt;0,ISNUMBER($B$94)),I1086/H1086,"")</f>
        <v/>
      </c>
      <c r="K1086" s="11">
        <f>IF(AND(ISNUMBER(H1086),ISNUMBER(I1086),H1086&gt;0,ISNUMBER($B$94)),MAX(0,$B$94-3*SQRT($B$94*(1-$B$94)/H1086)),"")</f>
        <v/>
      </c>
      <c r="L1086" s="11">
        <f>IF(AND(ISNUMBER(H1086),ISNUMBER(I1086),H1086&gt;0,ISNUMBER($B$94)),$B$94+3*SQRT($B$94*(1-$B$94)/H1086),"")</f>
        <v/>
      </c>
      <c r="M1086" s="13">
        <f>IF(AND(ISNUMBER(J1086),ISNUMBER(K1086),ISNUMBER(L1086)),IF(J1086&gt;L1086,"boven UCL",IF(J1086&lt;K1086,"onder LCL","")),"")</f>
        <v/>
      </c>
      <c r="O1086" t="n">
        <v>980</v>
      </c>
      <c r="P1086" s="7" t="n"/>
      <c r="Q1086" s="7" t="n"/>
      <c r="R1086" s="11">
        <f>IF(AND(ISNUMBER(P1086),ISNUMBER(Q1086),P1086&gt;0,ISNUMBER($B$100)),Q1086/P1086,"")</f>
        <v/>
      </c>
      <c r="S1086" s="11">
        <f>IF(AND(ISNUMBER(P1086),ISNUMBER(Q1086),P1086&gt;0,ISNUMBER($B$100)),MAX(0,$B$100-3*SQRT($B$100/P1086)),"")</f>
        <v/>
      </c>
      <c r="T1086" s="11">
        <f>IF(AND(ISNUMBER(P1086),ISNUMBER(Q1086),P1086&gt;0,ISNUMBER($B$100)),$B$100+3*SQRT($B$100/P1086),"")</f>
        <v/>
      </c>
      <c r="U1086" s="13">
        <f>IF(AND(ISNUMBER(R1086),ISNUMBER(S1086),ISNUMBER(T1086)),IF(R1086&gt;T1086,"boven UCL",IF(R1086&lt;S1086,"onder LCL","")),"")</f>
        <v/>
      </c>
    </row>
    <row r="1087">
      <c r="A1087" t="n">
        <v>981</v>
      </c>
      <c r="B1087" s="7" t="n"/>
      <c r="C1087" s="11">
        <f>IF(AND(ISNUMBER(B1087),ISNUMBER(B1086)),ABS(B1087-B1086),"")</f>
        <v/>
      </c>
      <c r="D1087" s="13">
        <f>IF(AND(ISNUMBER(B1087),ISNUMBER($B$88),ISNUMBER($D$88)),IF(B1087&gt;$D$88,"boven UCL",IF(B1087&lt;$B$88,"onder LCL","")),"")</f>
        <v/>
      </c>
      <c r="E1087" s="13">
        <f>IF(AND(ISNUMBER(C1087),ISNUMBER($B$89),ISNUMBER($D$89)),IF(C1087&gt;$D$89,"boven UCL",IF(C1087&lt;$B$89,"onder LCL","")),"")</f>
        <v/>
      </c>
      <c r="G1087" t="n">
        <v>981</v>
      </c>
      <c r="H1087" s="7" t="n"/>
      <c r="I1087" s="7" t="n"/>
      <c r="J1087" s="11">
        <f>IF(AND(ISNUMBER(H1087),ISNUMBER(I1087),H1087&gt;0,ISNUMBER($B$94)),I1087/H1087,"")</f>
        <v/>
      </c>
      <c r="K1087" s="11">
        <f>IF(AND(ISNUMBER(H1087),ISNUMBER(I1087),H1087&gt;0,ISNUMBER($B$94)),MAX(0,$B$94-3*SQRT($B$94*(1-$B$94)/H1087)),"")</f>
        <v/>
      </c>
      <c r="L1087" s="11">
        <f>IF(AND(ISNUMBER(H1087),ISNUMBER(I1087),H1087&gt;0,ISNUMBER($B$94)),$B$94+3*SQRT($B$94*(1-$B$94)/H1087),"")</f>
        <v/>
      </c>
      <c r="M1087" s="13">
        <f>IF(AND(ISNUMBER(J1087),ISNUMBER(K1087),ISNUMBER(L1087)),IF(J1087&gt;L1087,"boven UCL",IF(J1087&lt;K1087,"onder LCL","")),"")</f>
        <v/>
      </c>
      <c r="O1087" t="n">
        <v>981</v>
      </c>
      <c r="P1087" s="7" t="n"/>
      <c r="Q1087" s="7" t="n"/>
      <c r="R1087" s="11">
        <f>IF(AND(ISNUMBER(P1087),ISNUMBER(Q1087),P1087&gt;0,ISNUMBER($B$100)),Q1087/P1087,"")</f>
        <v/>
      </c>
      <c r="S1087" s="11">
        <f>IF(AND(ISNUMBER(P1087),ISNUMBER(Q1087),P1087&gt;0,ISNUMBER($B$100)),MAX(0,$B$100-3*SQRT($B$100/P1087)),"")</f>
        <v/>
      </c>
      <c r="T1087" s="11">
        <f>IF(AND(ISNUMBER(P1087),ISNUMBER(Q1087),P1087&gt;0,ISNUMBER($B$100)),$B$100+3*SQRT($B$100/P1087),"")</f>
        <v/>
      </c>
      <c r="U1087" s="13">
        <f>IF(AND(ISNUMBER(R1087),ISNUMBER(S1087),ISNUMBER(T1087)),IF(R1087&gt;T1087,"boven UCL",IF(R1087&lt;S1087,"onder LCL","")),"")</f>
        <v/>
      </c>
    </row>
    <row r="1088">
      <c r="A1088" t="n">
        <v>982</v>
      </c>
      <c r="B1088" s="7" t="n"/>
      <c r="C1088" s="11">
        <f>IF(AND(ISNUMBER(B1088),ISNUMBER(B1087)),ABS(B1088-B1087),"")</f>
        <v/>
      </c>
      <c r="D1088" s="13">
        <f>IF(AND(ISNUMBER(B1088),ISNUMBER($B$88),ISNUMBER($D$88)),IF(B1088&gt;$D$88,"boven UCL",IF(B1088&lt;$B$88,"onder LCL","")),"")</f>
        <v/>
      </c>
      <c r="E1088" s="13">
        <f>IF(AND(ISNUMBER(C1088),ISNUMBER($B$89),ISNUMBER($D$89)),IF(C1088&gt;$D$89,"boven UCL",IF(C1088&lt;$B$89,"onder LCL","")),"")</f>
        <v/>
      </c>
      <c r="G1088" t="n">
        <v>982</v>
      </c>
      <c r="H1088" s="7" t="n"/>
      <c r="I1088" s="7" t="n"/>
      <c r="J1088" s="11">
        <f>IF(AND(ISNUMBER(H1088),ISNUMBER(I1088),H1088&gt;0,ISNUMBER($B$94)),I1088/H1088,"")</f>
        <v/>
      </c>
      <c r="K1088" s="11">
        <f>IF(AND(ISNUMBER(H1088),ISNUMBER(I1088),H1088&gt;0,ISNUMBER($B$94)),MAX(0,$B$94-3*SQRT($B$94*(1-$B$94)/H1088)),"")</f>
        <v/>
      </c>
      <c r="L1088" s="11">
        <f>IF(AND(ISNUMBER(H1088),ISNUMBER(I1088),H1088&gt;0,ISNUMBER($B$94)),$B$94+3*SQRT($B$94*(1-$B$94)/H1088),"")</f>
        <v/>
      </c>
      <c r="M1088" s="13">
        <f>IF(AND(ISNUMBER(J1088),ISNUMBER(K1088),ISNUMBER(L1088)),IF(J1088&gt;L1088,"boven UCL",IF(J1088&lt;K1088,"onder LCL","")),"")</f>
        <v/>
      </c>
      <c r="O1088" t="n">
        <v>982</v>
      </c>
      <c r="P1088" s="7" t="n"/>
      <c r="Q1088" s="7" t="n"/>
      <c r="R1088" s="11">
        <f>IF(AND(ISNUMBER(P1088),ISNUMBER(Q1088),P1088&gt;0,ISNUMBER($B$100)),Q1088/P1088,"")</f>
        <v/>
      </c>
      <c r="S1088" s="11">
        <f>IF(AND(ISNUMBER(P1088),ISNUMBER(Q1088),P1088&gt;0,ISNUMBER($B$100)),MAX(0,$B$100-3*SQRT($B$100/P1088)),"")</f>
        <v/>
      </c>
      <c r="T1088" s="11">
        <f>IF(AND(ISNUMBER(P1088),ISNUMBER(Q1088),P1088&gt;0,ISNUMBER($B$100)),$B$100+3*SQRT($B$100/P1088),"")</f>
        <v/>
      </c>
      <c r="U1088" s="13">
        <f>IF(AND(ISNUMBER(R1088),ISNUMBER(S1088),ISNUMBER(T1088)),IF(R1088&gt;T1088,"boven UCL",IF(R1088&lt;S1088,"onder LCL","")),"")</f>
        <v/>
      </c>
    </row>
    <row r="1089">
      <c r="A1089" t="n">
        <v>983</v>
      </c>
      <c r="B1089" s="7" t="n"/>
      <c r="C1089" s="11">
        <f>IF(AND(ISNUMBER(B1089),ISNUMBER(B1088)),ABS(B1089-B1088),"")</f>
        <v/>
      </c>
      <c r="D1089" s="13">
        <f>IF(AND(ISNUMBER(B1089),ISNUMBER($B$88),ISNUMBER($D$88)),IF(B1089&gt;$D$88,"boven UCL",IF(B1089&lt;$B$88,"onder LCL","")),"")</f>
        <v/>
      </c>
      <c r="E1089" s="13">
        <f>IF(AND(ISNUMBER(C1089),ISNUMBER($B$89),ISNUMBER($D$89)),IF(C1089&gt;$D$89,"boven UCL",IF(C1089&lt;$B$89,"onder LCL","")),"")</f>
        <v/>
      </c>
      <c r="G1089" t="n">
        <v>983</v>
      </c>
      <c r="H1089" s="7" t="n"/>
      <c r="I1089" s="7" t="n"/>
      <c r="J1089" s="11">
        <f>IF(AND(ISNUMBER(H1089),ISNUMBER(I1089),H1089&gt;0,ISNUMBER($B$94)),I1089/H1089,"")</f>
        <v/>
      </c>
      <c r="K1089" s="11">
        <f>IF(AND(ISNUMBER(H1089),ISNUMBER(I1089),H1089&gt;0,ISNUMBER($B$94)),MAX(0,$B$94-3*SQRT($B$94*(1-$B$94)/H1089)),"")</f>
        <v/>
      </c>
      <c r="L1089" s="11">
        <f>IF(AND(ISNUMBER(H1089),ISNUMBER(I1089),H1089&gt;0,ISNUMBER($B$94)),$B$94+3*SQRT($B$94*(1-$B$94)/H1089),"")</f>
        <v/>
      </c>
      <c r="M1089" s="13">
        <f>IF(AND(ISNUMBER(J1089),ISNUMBER(K1089),ISNUMBER(L1089)),IF(J1089&gt;L1089,"boven UCL",IF(J1089&lt;K1089,"onder LCL","")),"")</f>
        <v/>
      </c>
      <c r="O1089" t="n">
        <v>983</v>
      </c>
      <c r="P1089" s="7" t="n"/>
      <c r="Q1089" s="7" t="n"/>
      <c r="R1089" s="11">
        <f>IF(AND(ISNUMBER(P1089),ISNUMBER(Q1089),P1089&gt;0,ISNUMBER($B$100)),Q1089/P1089,"")</f>
        <v/>
      </c>
      <c r="S1089" s="11">
        <f>IF(AND(ISNUMBER(P1089),ISNUMBER(Q1089),P1089&gt;0,ISNUMBER($B$100)),MAX(0,$B$100-3*SQRT($B$100/P1089)),"")</f>
        <v/>
      </c>
      <c r="T1089" s="11">
        <f>IF(AND(ISNUMBER(P1089),ISNUMBER(Q1089),P1089&gt;0,ISNUMBER($B$100)),$B$100+3*SQRT($B$100/P1089),"")</f>
        <v/>
      </c>
      <c r="U1089" s="13">
        <f>IF(AND(ISNUMBER(R1089),ISNUMBER(S1089),ISNUMBER(T1089)),IF(R1089&gt;T1089,"boven UCL",IF(R1089&lt;S1089,"onder LCL","")),"")</f>
        <v/>
      </c>
    </row>
    <row r="1090">
      <c r="A1090" t="n">
        <v>984</v>
      </c>
      <c r="B1090" s="7" t="n"/>
      <c r="C1090" s="11">
        <f>IF(AND(ISNUMBER(B1090),ISNUMBER(B1089)),ABS(B1090-B1089),"")</f>
        <v/>
      </c>
      <c r="D1090" s="13">
        <f>IF(AND(ISNUMBER(B1090),ISNUMBER($B$88),ISNUMBER($D$88)),IF(B1090&gt;$D$88,"boven UCL",IF(B1090&lt;$B$88,"onder LCL","")),"")</f>
        <v/>
      </c>
      <c r="E1090" s="13">
        <f>IF(AND(ISNUMBER(C1090),ISNUMBER($B$89),ISNUMBER($D$89)),IF(C1090&gt;$D$89,"boven UCL",IF(C1090&lt;$B$89,"onder LCL","")),"")</f>
        <v/>
      </c>
      <c r="G1090" t="n">
        <v>984</v>
      </c>
      <c r="H1090" s="7" t="n"/>
      <c r="I1090" s="7" t="n"/>
      <c r="J1090" s="11">
        <f>IF(AND(ISNUMBER(H1090),ISNUMBER(I1090),H1090&gt;0,ISNUMBER($B$94)),I1090/H1090,"")</f>
        <v/>
      </c>
      <c r="K1090" s="11">
        <f>IF(AND(ISNUMBER(H1090),ISNUMBER(I1090),H1090&gt;0,ISNUMBER($B$94)),MAX(0,$B$94-3*SQRT($B$94*(1-$B$94)/H1090)),"")</f>
        <v/>
      </c>
      <c r="L1090" s="11">
        <f>IF(AND(ISNUMBER(H1090),ISNUMBER(I1090),H1090&gt;0,ISNUMBER($B$94)),$B$94+3*SQRT($B$94*(1-$B$94)/H1090),"")</f>
        <v/>
      </c>
      <c r="M1090" s="13">
        <f>IF(AND(ISNUMBER(J1090),ISNUMBER(K1090),ISNUMBER(L1090)),IF(J1090&gt;L1090,"boven UCL",IF(J1090&lt;K1090,"onder LCL","")),"")</f>
        <v/>
      </c>
      <c r="O1090" t="n">
        <v>984</v>
      </c>
      <c r="P1090" s="7" t="n"/>
      <c r="Q1090" s="7" t="n"/>
      <c r="R1090" s="11">
        <f>IF(AND(ISNUMBER(P1090),ISNUMBER(Q1090),P1090&gt;0,ISNUMBER($B$100)),Q1090/P1090,"")</f>
        <v/>
      </c>
      <c r="S1090" s="11">
        <f>IF(AND(ISNUMBER(P1090),ISNUMBER(Q1090),P1090&gt;0,ISNUMBER($B$100)),MAX(0,$B$100-3*SQRT($B$100/P1090)),"")</f>
        <v/>
      </c>
      <c r="T1090" s="11">
        <f>IF(AND(ISNUMBER(P1090),ISNUMBER(Q1090),P1090&gt;0,ISNUMBER($B$100)),$B$100+3*SQRT($B$100/P1090),"")</f>
        <v/>
      </c>
      <c r="U1090" s="13">
        <f>IF(AND(ISNUMBER(R1090),ISNUMBER(S1090),ISNUMBER(T1090)),IF(R1090&gt;T1090,"boven UCL",IF(R1090&lt;S1090,"onder LCL","")),"")</f>
        <v/>
      </c>
    </row>
    <row r="1091">
      <c r="A1091" t="n">
        <v>985</v>
      </c>
      <c r="B1091" s="7" t="n"/>
      <c r="C1091" s="11">
        <f>IF(AND(ISNUMBER(B1091),ISNUMBER(B1090)),ABS(B1091-B1090),"")</f>
        <v/>
      </c>
      <c r="D1091" s="13">
        <f>IF(AND(ISNUMBER(B1091),ISNUMBER($B$88),ISNUMBER($D$88)),IF(B1091&gt;$D$88,"boven UCL",IF(B1091&lt;$B$88,"onder LCL","")),"")</f>
        <v/>
      </c>
      <c r="E1091" s="13">
        <f>IF(AND(ISNUMBER(C1091),ISNUMBER($B$89),ISNUMBER($D$89)),IF(C1091&gt;$D$89,"boven UCL",IF(C1091&lt;$B$89,"onder LCL","")),"")</f>
        <v/>
      </c>
      <c r="G1091" t="n">
        <v>985</v>
      </c>
      <c r="H1091" s="7" t="n"/>
      <c r="I1091" s="7" t="n"/>
      <c r="J1091" s="11">
        <f>IF(AND(ISNUMBER(H1091),ISNUMBER(I1091),H1091&gt;0,ISNUMBER($B$94)),I1091/H1091,"")</f>
        <v/>
      </c>
      <c r="K1091" s="11">
        <f>IF(AND(ISNUMBER(H1091),ISNUMBER(I1091),H1091&gt;0,ISNUMBER($B$94)),MAX(0,$B$94-3*SQRT($B$94*(1-$B$94)/H1091)),"")</f>
        <v/>
      </c>
      <c r="L1091" s="11">
        <f>IF(AND(ISNUMBER(H1091),ISNUMBER(I1091),H1091&gt;0,ISNUMBER($B$94)),$B$94+3*SQRT($B$94*(1-$B$94)/H1091),"")</f>
        <v/>
      </c>
      <c r="M1091" s="13">
        <f>IF(AND(ISNUMBER(J1091),ISNUMBER(K1091),ISNUMBER(L1091)),IF(J1091&gt;L1091,"boven UCL",IF(J1091&lt;K1091,"onder LCL","")),"")</f>
        <v/>
      </c>
      <c r="O1091" t="n">
        <v>985</v>
      </c>
      <c r="P1091" s="7" t="n"/>
      <c r="Q1091" s="7" t="n"/>
      <c r="R1091" s="11">
        <f>IF(AND(ISNUMBER(P1091),ISNUMBER(Q1091),P1091&gt;0,ISNUMBER($B$100)),Q1091/P1091,"")</f>
        <v/>
      </c>
      <c r="S1091" s="11">
        <f>IF(AND(ISNUMBER(P1091),ISNUMBER(Q1091),P1091&gt;0,ISNUMBER($B$100)),MAX(0,$B$100-3*SQRT($B$100/P1091)),"")</f>
        <v/>
      </c>
      <c r="T1091" s="11">
        <f>IF(AND(ISNUMBER(P1091),ISNUMBER(Q1091),P1091&gt;0,ISNUMBER($B$100)),$B$100+3*SQRT($B$100/P1091),"")</f>
        <v/>
      </c>
      <c r="U1091" s="13">
        <f>IF(AND(ISNUMBER(R1091),ISNUMBER(S1091),ISNUMBER(T1091)),IF(R1091&gt;T1091,"boven UCL",IF(R1091&lt;S1091,"onder LCL","")),"")</f>
        <v/>
      </c>
    </row>
    <row r="1092">
      <c r="A1092" t="n">
        <v>986</v>
      </c>
      <c r="B1092" s="7" t="n"/>
      <c r="C1092" s="11">
        <f>IF(AND(ISNUMBER(B1092),ISNUMBER(B1091)),ABS(B1092-B1091),"")</f>
        <v/>
      </c>
      <c r="D1092" s="13">
        <f>IF(AND(ISNUMBER(B1092),ISNUMBER($B$88),ISNUMBER($D$88)),IF(B1092&gt;$D$88,"boven UCL",IF(B1092&lt;$B$88,"onder LCL","")),"")</f>
        <v/>
      </c>
      <c r="E1092" s="13">
        <f>IF(AND(ISNUMBER(C1092),ISNUMBER($B$89),ISNUMBER($D$89)),IF(C1092&gt;$D$89,"boven UCL",IF(C1092&lt;$B$89,"onder LCL","")),"")</f>
        <v/>
      </c>
      <c r="G1092" t="n">
        <v>986</v>
      </c>
      <c r="H1092" s="7" t="n"/>
      <c r="I1092" s="7" t="n"/>
      <c r="J1092" s="11">
        <f>IF(AND(ISNUMBER(H1092),ISNUMBER(I1092),H1092&gt;0,ISNUMBER($B$94)),I1092/H1092,"")</f>
        <v/>
      </c>
      <c r="K1092" s="11">
        <f>IF(AND(ISNUMBER(H1092),ISNUMBER(I1092),H1092&gt;0,ISNUMBER($B$94)),MAX(0,$B$94-3*SQRT($B$94*(1-$B$94)/H1092)),"")</f>
        <v/>
      </c>
      <c r="L1092" s="11">
        <f>IF(AND(ISNUMBER(H1092),ISNUMBER(I1092),H1092&gt;0,ISNUMBER($B$94)),$B$94+3*SQRT($B$94*(1-$B$94)/H1092),"")</f>
        <v/>
      </c>
      <c r="M1092" s="13">
        <f>IF(AND(ISNUMBER(J1092),ISNUMBER(K1092),ISNUMBER(L1092)),IF(J1092&gt;L1092,"boven UCL",IF(J1092&lt;K1092,"onder LCL","")),"")</f>
        <v/>
      </c>
      <c r="O1092" t="n">
        <v>986</v>
      </c>
      <c r="P1092" s="7" t="n"/>
      <c r="Q1092" s="7" t="n"/>
      <c r="R1092" s="11">
        <f>IF(AND(ISNUMBER(P1092),ISNUMBER(Q1092),P1092&gt;0,ISNUMBER($B$100)),Q1092/P1092,"")</f>
        <v/>
      </c>
      <c r="S1092" s="11">
        <f>IF(AND(ISNUMBER(P1092),ISNUMBER(Q1092),P1092&gt;0,ISNUMBER($B$100)),MAX(0,$B$100-3*SQRT($B$100/P1092)),"")</f>
        <v/>
      </c>
      <c r="T1092" s="11">
        <f>IF(AND(ISNUMBER(P1092),ISNUMBER(Q1092),P1092&gt;0,ISNUMBER($B$100)),$B$100+3*SQRT($B$100/P1092),"")</f>
        <v/>
      </c>
      <c r="U1092" s="13">
        <f>IF(AND(ISNUMBER(R1092),ISNUMBER(S1092),ISNUMBER(T1092)),IF(R1092&gt;T1092,"boven UCL",IF(R1092&lt;S1092,"onder LCL","")),"")</f>
        <v/>
      </c>
    </row>
    <row r="1093">
      <c r="A1093" t="n">
        <v>987</v>
      </c>
      <c r="B1093" s="7" t="n"/>
      <c r="C1093" s="11">
        <f>IF(AND(ISNUMBER(B1093),ISNUMBER(B1092)),ABS(B1093-B1092),"")</f>
        <v/>
      </c>
      <c r="D1093" s="13">
        <f>IF(AND(ISNUMBER(B1093),ISNUMBER($B$88),ISNUMBER($D$88)),IF(B1093&gt;$D$88,"boven UCL",IF(B1093&lt;$B$88,"onder LCL","")),"")</f>
        <v/>
      </c>
      <c r="E1093" s="13">
        <f>IF(AND(ISNUMBER(C1093),ISNUMBER($B$89),ISNUMBER($D$89)),IF(C1093&gt;$D$89,"boven UCL",IF(C1093&lt;$B$89,"onder LCL","")),"")</f>
        <v/>
      </c>
      <c r="G1093" t="n">
        <v>987</v>
      </c>
      <c r="H1093" s="7" t="n"/>
      <c r="I1093" s="7" t="n"/>
      <c r="J1093" s="11">
        <f>IF(AND(ISNUMBER(H1093),ISNUMBER(I1093),H1093&gt;0,ISNUMBER($B$94)),I1093/H1093,"")</f>
        <v/>
      </c>
      <c r="K1093" s="11">
        <f>IF(AND(ISNUMBER(H1093),ISNUMBER(I1093),H1093&gt;0,ISNUMBER($B$94)),MAX(0,$B$94-3*SQRT($B$94*(1-$B$94)/H1093)),"")</f>
        <v/>
      </c>
      <c r="L1093" s="11">
        <f>IF(AND(ISNUMBER(H1093),ISNUMBER(I1093),H1093&gt;0,ISNUMBER($B$94)),$B$94+3*SQRT($B$94*(1-$B$94)/H1093),"")</f>
        <v/>
      </c>
      <c r="M1093" s="13">
        <f>IF(AND(ISNUMBER(J1093),ISNUMBER(K1093),ISNUMBER(L1093)),IF(J1093&gt;L1093,"boven UCL",IF(J1093&lt;K1093,"onder LCL","")),"")</f>
        <v/>
      </c>
      <c r="O1093" t="n">
        <v>987</v>
      </c>
      <c r="P1093" s="7" t="n"/>
      <c r="Q1093" s="7" t="n"/>
      <c r="R1093" s="11">
        <f>IF(AND(ISNUMBER(P1093),ISNUMBER(Q1093),P1093&gt;0,ISNUMBER($B$100)),Q1093/P1093,"")</f>
        <v/>
      </c>
      <c r="S1093" s="11">
        <f>IF(AND(ISNUMBER(P1093),ISNUMBER(Q1093),P1093&gt;0,ISNUMBER($B$100)),MAX(0,$B$100-3*SQRT($B$100/P1093)),"")</f>
        <v/>
      </c>
      <c r="T1093" s="11">
        <f>IF(AND(ISNUMBER(P1093),ISNUMBER(Q1093),P1093&gt;0,ISNUMBER($B$100)),$B$100+3*SQRT($B$100/P1093),"")</f>
        <v/>
      </c>
      <c r="U1093" s="13">
        <f>IF(AND(ISNUMBER(R1093),ISNUMBER(S1093),ISNUMBER(T1093)),IF(R1093&gt;T1093,"boven UCL",IF(R1093&lt;S1093,"onder LCL","")),"")</f>
        <v/>
      </c>
    </row>
    <row r="1094">
      <c r="A1094" t="n">
        <v>988</v>
      </c>
      <c r="B1094" s="7" t="n"/>
      <c r="C1094" s="11">
        <f>IF(AND(ISNUMBER(B1094),ISNUMBER(B1093)),ABS(B1094-B1093),"")</f>
        <v/>
      </c>
      <c r="D1094" s="13">
        <f>IF(AND(ISNUMBER(B1094),ISNUMBER($B$88),ISNUMBER($D$88)),IF(B1094&gt;$D$88,"boven UCL",IF(B1094&lt;$B$88,"onder LCL","")),"")</f>
        <v/>
      </c>
      <c r="E1094" s="13">
        <f>IF(AND(ISNUMBER(C1094),ISNUMBER($B$89),ISNUMBER($D$89)),IF(C1094&gt;$D$89,"boven UCL",IF(C1094&lt;$B$89,"onder LCL","")),"")</f>
        <v/>
      </c>
      <c r="G1094" t="n">
        <v>988</v>
      </c>
      <c r="H1094" s="7" t="n"/>
      <c r="I1094" s="7" t="n"/>
      <c r="J1094" s="11">
        <f>IF(AND(ISNUMBER(H1094),ISNUMBER(I1094),H1094&gt;0,ISNUMBER($B$94)),I1094/H1094,"")</f>
        <v/>
      </c>
      <c r="K1094" s="11">
        <f>IF(AND(ISNUMBER(H1094),ISNUMBER(I1094),H1094&gt;0,ISNUMBER($B$94)),MAX(0,$B$94-3*SQRT($B$94*(1-$B$94)/H1094)),"")</f>
        <v/>
      </c>
      <c r="L1094" s="11">
        <f>IF(AND(ISNUMBER(H1094),ISNUMBER(I1094),H1094&gt;0,ISNUMBER($B$94)),$B$94+3*SQRT($B$94*(1-$B$94)/H1094),"")</f>
        <v/>
      </c>
      <c r="M1094" s="13">
        <f>IF(AND(ISNUMBER(J1094),ISNUMBER(K1094),ISNUMBER(L1094)),IF(J1094&gt;L1094,"boven UCL",IF(J1094&lt;K1094,"onder LCL","")),"")</f>
        <v/>
      </c>
      <c r="O1094" t="n">
        <v>988</v>
      </c>
      <c r="P1094" s="7" t="n"/>
      <c r="Q1094" s="7" t="n"/>
      <c r="R1094" s="11">
        <f>IF(AND(ISNUMBER(P1094),ISNUMBER(Q1094),P1094&gt;0,ISNUMBER($B$100)),Q1094/P1094,"")</f>
        <v/>
      </c>
      <c r="S1094" s="11">
        <f>IF(AND(ISNUMBER(P1094),ISNUMBER(Q1094),P1094&gt;0,ISNUMBER($B$100)),MAX(0,$B$100-3*SQRT($B$100/P1094)),"")</f>
        <v/>
      </c>
      <c r="T1094" s="11">
        <f>IF(AND(ISNUMBER(P1094),ISNUMBER(Q1094),P1094&gt;0,ISNUMBER($B$100)),$B$100+3*SQRT($B$100/P1094),"")</f>
        <v/>
      </c>
      <c r="U1094" s="13">
        <f>IF(AND(ISNUMBER(R1094),ISNUMBER(S1094),ISNUMBER(T1094)),IF(R1094&gt;T1094,"boven UCL",IF(R1094&lt;S1094,"onder LCL","")),"")</f>
        <v/>
      </c>
    </row>
    <row r="1095">
      <c r="A1095" t="n">
        <v>989</v>
      </c>
      <c r="B1095" s="7" t="n"/>
      <c r="C1095" s="11">
        <f>IF(AND(ISNUMBER(B1095),ISNUMBER(B1094)),ABS(B1095-B1094),"")</f>
        <v/>
      </c>
      <c r="D1095" s="13">
        <f>IF(AND(ISNUMBER(B1095),ISNUMBER($B$88),ISNUMBER($D$88)),IF(B1095&gt;$D$88,"boven UCL",IF(B1095&lt;$B$88,"onder LCL","")),"")</f>
        <v/>
      </c>
      <c r="E1095" s="13">
        <f>IF(AND(ISNUMBER(C1095),ISNUMBER($B$89),ISNUMBER($D$89)),IF(C1095&gt;$D$89,"boven UCL",IF(C1095&lt;$B$89,"onder LCL","")),"")</f>
        <v/>
      </c>
      <c r="G1095" t="n">
        <v>989</v>
      </c>
      <c r="H1095" s="7" t="n"/>
      <c r="I1095" s="7" t="n"/>
      <c r="J1095" s="11">
        <f>IF(AND(ISNUMBER(H1095),ISNUMBER(I1095),H1095&gt;0,ISNUMBER($B$94)),I1095/H1095,"")</f>
        <v/>
      </c>
      <c r="K1095" s="11">
        <f>IF(AND(ISNUMBER(H1095),ISNUMBER(I1095),H1095&gt;0,ISNUMBER($B$94)),MAX(0,$B$94-3*SQRT($B$94*(1-$B$94)/H1095)),"")</f>
        <v/>
      </c>
      <c r="L1095" s="11">
        <f>IF(AND(ISNUMBER(H1095),ISNUMBER(I1095),H1095&gt;0,ISNUMBER($B$94)),$B$94+3*SQRT($B$94*(1-$B$94)/H1095),"")</f>
        <v/>
      </c>
      <c r="M1095" s="13">
        <f>IF(AND(ISNUMBER(J1095),ISNUMBER(K1095),ISNUMBER(L1095)),IF(J1095&gt;L1095,"boven UCL",IF(J1095&lt;K1095,"onder LCL","")),"")</f>
        <v/>
      </c>
      <c r="O1095" t="n">
        <v>989</v>
      </c>
      <c r="P1095" s="7" t="n"/>
      <c r="Q1095" s="7" t="n"/>
      <c r="R1095" s="11">
        <f>IF(AND(ISNUMBER(P1095),ISNUMBER(Q1095),P1095&gt;0,ISNUMBER($B$100)),Q1095/P1095,"")</f>
        <v/>
      </c>
      <c r="S1095" s="11">
        <f>IF(AND(ISNUMBER(P1095),ISNUMBER(Q1095),P1095&gt;0,ISNUMBER($B$100)),MAX(0,$B$100-3*SQRT($B$100/P1095)),"")</f>
        <v/>
      </c>
      <c r="T1095" s="11">
        <f>IF(AND(ISNUMBER(P1095),ISNUMBER(Q1095),P1095&gt;0,ISNUMBER($B$100)),$B$100+3*SQRT($B$100/P1095),"")</f>
        <v/>
      </c>
      <c r="U1095" s="13">
        <f>IF(AND(ISNUMBER(R1095),ISNUMBER(S1095),ISNUMBER(T1095)),IF(R1095&gt;T1095,"boven UCL",IF(R1095&lt;S1095,"onder LCL","")),"")</f>
        <v/>
      </c>
    </row>
    <row r="1096">
      <c r="A1096" t="n">
        <v>990</v>
      </c>
      <c r="B1096" s="7" t="n"/>
      <c r="C1096" s="11">
        <f>IF(AND(ISNUMBER(B1096),ISNUMBER(B1095)),ABS(B1096-B1095),"")</f>
        <v/>
      </c>
      <c r="D1096" s="13">
        <f>IF(AND(ISNUMBER(B1096),ISNUMBER($B$88),ISNUMBER($D$88)),IF(B1096&gt;$D$88,"boven UCL",IF(B1096&lt;$B$88,"onder LCL","")),"")</f>
        <v/>
      </c>
      <c r="E1096" s="13">
        <f>IF(AND(ISNUMBER(C1096),ISNUMBER($B$89),ISNUMBER($D$89)),IF(C1096&gt;$D$89,"boven UCL",IF(C1096&lt;$B$89,"onder LCL","")),"")</f>
        <v/>
      </c>
      <c r="G1096" t="n">
        <v>990</v>
      </c>
      <c r="H1096" s="7" t="n"/>
      <c r="I1096" s="7" t="n"/>
      <c r="J1096" s="11">
        <f>IF(AND(ISNUMBER(H1096),ISNUMBER(I1096),H1096&gt;0,ISNUMBER($B$94)),I1096/H1096,"")</f>
        <v/>
      </c>
      <c r="K1096" s="11">
        <f>IF(AND(ISNUMBER(H1096),ISNUMBER(I1096),H1096&gt;0,ISNUMBER($B$94)),MAX(0,$B$94-3*SQRT($B$94*(1-$B$94)/H1096)),"")</f>
        <v/>
      </c>
      <c r="L1096" s="11">
        <f>IF(AND(ISNUMBER(H1096),ISNUMBER(I1096),H1096&gt;0,ISNUMBER($B$94)),$B$94+3*SQRT($B$94*(1-$B$94)/H1096),"")</f>
        <v/>
      </c>
      <c r="M1096" s="13">
        <f>IF(AND(ISNUMBER(J1096),ISNUMBER(K1096),ISNUMBER(L1096)),IF(J1096&gt;L1096,"boven UCL",IF(J1096&lt;K1096,"onder LCL","")),"")</f>
        <v/>
      </c>
      <c r="O1096" t="n">
        <v>990</v>
      </c>
      <c r="P1096" s="7" t="n"/>
      <c r="Q1096" s="7" t="n"/>
      <c r="R1096" s="11">
        <f>IF(AND(ISNUMBER(P1096),ISNUMBER(Q1096),P1096&gt;0,ISNUMBER($B$100)),Q1096/P1096,"")</f>
        <v/>
      </c>
      <c r="S1096" s="11">
        <f>IF(AND(ISNUMBER(P1096),ISNUMBER(Q1096),P1096&gt;0,ISNUMBER($B$100)),MAX(0,$B$100-3*SQRT($B$100/P1096)),"")</f>
        <v/>
      </c>
      <c r="T1096" s="11">
        <f>IF(AND(ISNUMBER(P1096),ISNUMBER(Q1096),P1096&gt;0,ISNUMBER($B$100)),$B$100+3*SQRT($B$100/P1096),"")</f>
        <v/>
      </c>
      <c r="U1096" s="13">
        <f>IF(AND(ISNUMBER(R1096),ISNUMBER(S1096),ISNUMBER(T1096)),IF(R1096&gt;T1096,"boven UCL",IF(R1096&lt;S1096,"onder LCL","")),"")</f>
        <v/>
      </c>
    </row>
    <row r="1097">
      <c r="A1097" t="n">
        <v>991</v>
      </c>
      <c r="B1097" s="7" t="n"/>
      <c r="C1097" s="11">
        <f>IF(AND(ISNUMBER(B1097),ISNUMBER(B1096)),ABS(B1097-B1096),"")</f>
        <v/>
      </c>
      <c r="D1097" s="13">
        <f>IF(AND(ISNUMBER(B1097),ISNUMBER($B$88),ISNUMBER($D$88)),IF(B1097&gt;$D$88,"boven UCL",IF(B1097&lt;$B$88,"onder LCL","")),"")</f>
        <v/>
      </c>
      <c r="E1097" s="13">
        <f>IF(AND(ISNUMBER(C1097),ISNUMBER($B$89),ISNUMBER($D$89)),IF(C1097&gt;$D$89,"boven UCL",IF(C1097&lt;$B$89,"onder LCL","")),"")</f>
        <v/>
      </c>
      <c r="G1097" t="n">
        <v>991</v>
      </c>
      <c r="H1097" s="7" t="n"/>
      <c r="I1097" s="7" t="n"/>
      <c r="J1097" s="11">
        <f>IF(AND(ISNUMBER(H1097),ISNUMBER(I1097),H1097&gt;0,ISNUMBER($B$94)),I1097/H1097,"")</f>
        <v/>
      </c>
      <c r="K1097" s="11">
        <f>IF(AND(ISNUMBER(H1097),ISNUMBER(I1097),H1097&gt;0,ISNUMBER($B$94)),MAX(0,$B$94-3*SQRT($B$94*(1-$B$94)/H1097)),"")</f>
        <v/>
      </c>
      <c r="L1097" s="11">
        <f>IF(AND(ISNUMBER(H1097),ISNUMBER(I1097),H1097&gt;0,ISNUMBER($B$94)),$B$94+3*SQRT($B$94*(1-$B$94)/H1097),"")</f>
        <v/>
      </c>
      <c r="M1097" s="13">
        <f>IF(AND(ISNUMBER(J1097),ISNUMBER(K1097),ISNUMBER(L1097)),IF(J1097&gt;L1097,"boven UCL",IF(J1097&lt;K1097,"onder LCL","")),"")</f>
        <v/>
      </c>
      <c r="O1097" t="n">
        <v>991</v>
      </c>
      <c r="P1097" s="7" t="n"/>
      <c r="Q1097" s="7" t="n"/>
      <c r="R1097" s="11">
        <f>IF(AND(ISNUMBER(P1097),ISNUMBER(Q1097),P1097&gt;0,ISNUMBER($B$100)),Q1097/P1097,"")</f>
        <v/>
      </c>
      <c r="S1097" s="11">
        <f>IF(AND(ISNUMBER(P1097),ISNUMBER(Q1097),P1097&gt;0,ISNUMBER($B$100)),MAX(0,$B$100-3*SQRT($B$100/P1097)),"")</f>
        <v/>
      </c>
      <c r="T1097" s="11">
        <f>IF(AND(ISNUMBER(P1097),ISNUMBER(Q1097),P1097&gt;0,ISNUMBER($B$100)),$B$100+3*SQRT($B$100/P1097),"")</f>
        <v/>
      </c>
      <c r="U1097" s="13">
        <f>IF(AND(ISNUMBER(R1097),ISNUMBER(S1097),ISNUMBER(T1097)),IF(R1097&gt;T1097,"boven UCL",IF(R1097&lt;S1097,"onder LCL","")),"")</f>
        <v/>
      </c>
    </row>
    <row r="1098">
      <c r="A1098" t="n">
        <v>992</v>
      </c>
      <c r="B1098" s="7" t="n"/>
      <c r="C1098" s="11">
        <f>IF(AND(ISNUMBER(B1098),ISNUMBER(B1097)),ABS(B1098-B1097),"")</f>
        <v/>
      </c>
      <c r="D1098" s="13">
        <f>IF(AND(ISNUMBER(B1098),ISNUMBER($B$88),ISNUMBER($D$88)),IF(B1098&gt;$D$88,"boven UCL",IF(B1098&lt;$B$88,"onder LCL","")),"")</f>
        <v/>
      </c>
      <c r="E1098" s="13">
        <f>IF(AND(ISNUMBER(C1098),ISNUMBER($B$89),ISNUMBER($D$89)),IF(C1098&gt;$D$89,"boven UCL",IF(C1098&lt;$B$89,"onder LCL","")),"")</f>
        <v/>
      </c>
      <c r="G1098" t="n">
        <v>992</v>
      </c>
      <c r="H1098" s="7" t="n"/>
      <c r="I1098" s="7" t="n"/>
      <c r="J1098" s="11">
        <f>IF(AND(ISNUMBER(H1098),ISNUMBER(I1098),H1098&gt;0,ISNUMBER($B$94)),I1098/H1098,"")</f>
        <v/>
      </c>
      <c r="K1098" s="11">
        <f>IF(AND(ISNUMBER(H1098),ISNUMBER(I1098),H1098&gt;0,ISNUMBER($B$94)),MAX(0,$B$94-3*SQRT($B$94*(1-$B$94)/H1098)),"")</f>
        <v/>
      </c>
      <c r="L1098" s="11">
        <f>IF(AND(ISNUMBER(H1098),ISNUMBER(I1098),H1098&gt;0,ISNUMBER($B$94)),$B$94+3*SQRT($B$94*(1-$B$94)/H1098),"")</f>
        <v/>
      </c>
      <c r="M1098" s="13">
        <f>IF(AND(ISNUMBER(J1098),ISNUMBER(K1098),ISNUMBER(L1098)),IF(J1098&gt;L1098,"boven UCL",IF(J1098&lt;K1098,"onder LCL","")),"")</f>
        <v/>
      </c>
      <c r="O1098" t="n">
        <v>992</v>
      </c>
      <c r="P1098" s="7" t="n"/>
      <c r="Q1098" s="7" t="n"/>
      <c r="R1098" s="11">
        <f>IF(AND(ISNUMBER(P1098),ISNUMBER(Q1098),P1098&gt;0,ISNUMBER($B$100)),Q1098/P1098,"")</f>
        <v/>
      </c>
      <c r="S1098" s="11">
        <f>IF(AND(ISNUMBER(P1098),ISNUMBER(Q1098),P1098&gt;0,ISNUMBER($B$100)),MAX(0,$B$100-3*SQRT($B$100/P1098)),"")</f>
        <v/>
      </c>
      <c r="T1098" s="11">
        <f>IF(AND(ISNUMBER(P1098),ISNUMBER(Q1098),P1098&gt;0,ISNUMBER($B$100)),$B$100+3*SQRT($B$100/P1098),"")</f>
        <v/>
      </c>
      <c r="U1098" s="13">
        <f>IF(AND(ISNUMBER(R1098),ISNUMBER(S1098),ISNUMBER(T1098)),IF(R1098&gt;T1098,"boven UCL",IF(R1098&lt;S1098,"onder LCL","")),"")</f>
        <v/>
      </c>
    </row>
    <row r="1099">
      <c r="A1099" t="n">
        <v>993</v>
      </c>
      <c r="B1099" s="7" t="n"/>
      <c r="C1099" s="11">
        <f>IF(AND(ISNUMBER(B1099),ISNUMBER(B1098)),ABS(B1099-B1098),"")</f>
        <v/>
      </c>
      <c r="D1099" s="13">
        <f>IF(AND(ISNUMBER(B1099),ISNUMBER($B$88),ISNUMBER($D$88)),IF(B1099&gt;$D$88,"boven UCL",IF(B1099&lt;$B$88,"onder LCL","")),"")</f>
        <v/>
      </c>
      <c r="E1099" s="13">
        <f>IF(AND(ISNUMBER(C1099),ISNUMBER($B$89),ISNUMBER($D$89)),IF(C1099&gt;$D$89,"boven UCL",IF(C1099&lt;$B$89,"onder LCL","")),"")</f>
        <v/>
      </c>
      <c r="G1099" t="n">
        <v>993</v>
      </c>
      <c r="H1099" s="7" t="n"/>
      <c r="I1099" s="7" t="n"/>
      <c r="J1099" s="11">
        <f>IF(AND(ISNUMBER(H1099),ISNUMBER(I1099),H1099&gt;0,ISNUMBER($B$94)),I1099/H1099,"")</f>
        <v/>
      </c>
      <c r="K1099" s="11">
        <f>IF(AND(ISNUMBER(H1099),ISNUMBER(I1099),H1099&gt;0,ISNUMBER($B$94)),MAX(0,$B$94-3*SQRT($B$94*(1-$B$94)/H1099)),"")</f>
        <v/>
      </c>
      <c r="L1099" s="11">
        <f>IF(AND(ISNUMBER(H1099),ISNUMBER(I1099),H1099&gt;0,ISNUMBER($B$94)),$B$94+3*SQRT($B$94*(1-$B$94)/H1099),"")</f>
        <v/>
      </c>
      <c r="M1099" s="13">
        <f>IF(AND(ISNUMBER(J1099),ISNUMBER(K1099),ISNUMBER(L1099)),IF(J1099&gt;L1099,"boven UCL",IF(J1099&lt;K1099,"onder LCL","")),"")</f>
        <v/>
      </c>
      <c r="O1099" t="n">
        <v>993</v>
      </c>
      <c r="P1099" s="7" t="n"/>
      <c r="Q1099" s="7" t="n"/>
      <c r="R1099" s="11">
        <f>IF(AND(ISNUMBER(P1099),ISNUMBER(Q1099),P1099&gt;0,ISNUMBER($B$100)),Q1099/P1099,"")</f>
        <v/>
      </c>
      <c r="S1099" s="11">
        <f>IF(AND(ISNUMBER(P1099),ISNUMBER(Q1099),P1099&gt;0,ISNUMBER($B$100)),MAX(0,$B$100-3*SQRT($B$100/P1099)),"")</f>
        <v/>
      </c>
      <c r="T1099" s="11">
        <f>IF(AND(ISNUMBER(P1099),ISNUMBER(Q1099),P1099&gt;0,ISNUMBER($B$100)),$B$100+3*SQRT($B$100/P1099),"")</f>
        <v/>
      </c>
      <c r="U1099" s="13">
        <f>IF(AND(ISNUMBER(R1099),ISNUMBER(S1099),ISNUMBER(T1099)),IF(R1099&gt;T1099,"boven UCL",IF(R1099&lt;S1099,"onder LCL","")),"")</f>
        <v/>
      </c>
    </row>
    <row r="1100">
      <c r="A1100" t="n">
        <v>994</v>
      </c>
      <c r="B1100" s="7" t="n"/>
      <c r="C1100" s="11">
        <f>IF(AND(ISNUMBER(B1100),ISNUMBER(B1099)),ABS(B1100-B1099),"")</f>
        <v/>
      </c>
      <c r="D1100" s="13">
        <f>IF(AND(ISNUMBER(B1100),ISNUMBER($B$88),ISNUMBER($D$88)),IF(B1100&gt;$D$88,"boven UCL",IF(B1100&lt;$B$88,"onder LCL","")),"")</f>
        <v/>
      </c>
      <c r="E1100" s="13">
        <f>IF(AND(ISNUMBER(C1100),ISNUMBER($B$89),ISNUMBER($D$89)),IF(C1100&gt;$D$89,"boven UCL",IF(C1100&lt;$B$89,"onder LCL","")),"")</f>
        <v/>
      </c>
      <c r="G1100" t="n">
        <v>994</v>
      </c>
      <c r="H1100" s="7" t="n"/>
      <c r="I1100" s="7" t="n"/>
      <c r="J1100" s="11">
        <f>IF(AND(ISNUMBER(H1100),ISNUMBER(I1100),H1100&gt;0,ISNUMBER($B$94)),I1100/H1100,"")</f>
        <v/>
      </c>
      <c r="K1100" s="11">
        <f>IF(AND(ISNUMBER(H1100),ISNUMBER(I1100),H1100&gt;0,ISNUMBER($B$94)),MAX(0,$B$94-3*SQRT($B$94*(1-$B$94)/H1100)),"")</f>
        <v/>
      </c>
      <c r="L1100" s="11">
        <f>IF(AND(ISNUMBER(H1100),ISNUMBER(I1100),H1100&gt;0,ISNUMBER($B$94)),$B$94+3*SQRT($B$94*(1-$B$94)/H1100),"")</f>
        <v/>
      </c>
      <c r="M1100" s="13">
        <f>IF(AND(ISNUMBER(J1100),ISNUMBER(K1100),ISNUMBER(L1100)),IF(J1100&gt;L1100,"boven UCL",IF(J1100&lt;K1100,"onder LCL","")),"")</f>
        <v/>
      </c>
      <c r="O1100" t="n">
        <v>994</v>
      </c>
      <c r="P1100" s="7" t="n"/>
      <c r="Q1100" s="7" t="n"/>
      <c r="R1100" s="11">
        <f>IF(AND(ISNUMBER(P1100),ISNUMBER(Q1100),P1100&gt;0,ISNUMBER($B$100)),Q1100/P1100,"")</f>
        <v/>
      </c>
      <c r="S1100" s="11">
        <f>IF(AND(ISNUMBER(P1100),ISNUMBER(Q1100),P1100&gt;0,ISNUMBER($B$100)),MAX(0,$B$100-3*SQRT($B$100/P1100)),"")</f>
        <v/>
      </c>
      <c r="T1100" s="11">
        <f>IF(AND(ISNUMBER(P1100),ISNUMBER(Q1100),P1100&gt;0,ISNUMBER($B$100)),$B$100+3*SQRT($B$100/P1100),"")</f>
        <v/>
      </c>
      <c r="U1100" s="13">
        <f>IF(AND(ISNUMBER(R1100),ISNUMBER(S1100),ISNUMBER(T1100)),IF(R1100&gt;T1100,"boven UCL",IF(R1100&lt;S1100,"onder LCL","")),"")</f>
        <v/>
      </c>
    </row>
    <row r="1101">
      <c r="A1101" t="n">
        <v>995</v>
      </c>
      <c r="B1101" s="7" t="n"/>
      <c r="C1101" s="11">
        <f>IF(AND(ISNUMBER(B1101),ISNUMBER(B1100)),ABS(B1101-B1100),"")</f>
        <v/>
      </c>
      <c r="D1101" s="13">
        <f>IF(AND(ISNUMBER(B1101),ISNUMBER($B$88),ISNUMBER($D$88)),IF(B1101&gt;$D$88,"boven UCL",IF(B1101&lt;$B$88,"onder LCL","")),"")</f>
        <v/>
      </c>
      <c r="E1101" s="13">
        <f>IF(AND(ISNUMBER(C1101),ISNUMBER($B$89),ISNUMBER($D$89)),IF(C1101&gt;$D$89,"boven UCL",IF(C1101&lt;$B$89,"onder LCL","")),"")</f>
        <v/>
      </c>
      <c r="G1101" t="n">
        <v>995</v>
      </c>
      <c r="H1101" s="7" t="n"/>
      <c r="I1101" s="7" t="n"/>
      <c r="J1101" s="11">
        <f>IF(AND(ISNUMBER(H1101),ISNUMBER(I1101),H1101&gt;0,ISNUMBER($B$94)),I1101/H1101,"")</f>
        <v/>
      </c>
      <c r="K1101" s="11">
        <f>IF(AND(ISNUMBER(H1101),ISNUMBER(I1101),H1101&gt;0,ISNUMBER($B$94)),MAX(0,$B$94-3*SQRT($B$94*(1-$B$94)/H1101)),"")</f>
        <v/>
      </c>
      <c r="L1101" s="11">
        <f>IF(AND(ISNUMBER(H1101),ISNUMBER(I1101),H1101&gt;0,ISNUMBER($B$94)),$B$94+3*SQRT($B$94*(1-$B$94)/H1101),"")</f>
        <v/>
      </c>
      <c r="M1101" s="13">
        <f>IF(AND(ISNUMBER(J1101),ISNUMBER(K1101),ISNUMBER(L1101)),IF(J1101&gt;L1101,"boven UCL",IF(J1101&lt;K1101,"onder LCL","")),"")</f>
        <v/>
      </c>
      <c r="O1101" t="n">
        <v>995</v>
      </c>
      <c r="P1101" s="7" t="n"/>
      <c r="Q1101" s="7" t="n"/>
      <c r="R1101" s="11">
        <f>IF(AND(ISNUMBER(P1101),ISNUMBER(Q1101),P1101&gt;0,ISNUMBER($B$100)),Q1101/P1101,"")</f>
        <v/>
      </c>
      <c r="S1101" s="11">
        <f>IF(AND(ISNUMBER(P1101),ISNUMBER(Q1101),P1101&gt;0,ISNUMBER($B$100)),MAX(0,$B$100-3*SQRT($B$100/P1101)),"")</f>
        <v/>
      </c>
      <c r="T1101" s="11">
        <f>IF(AND(ISNUMBER(P1101),ISNUMBER(Q1101),P1101&gt;0,ISNUMBER($B$100)),$B$100+3*SQRT($B$100/P1101),"")</f>
        <v/>
      </c>
      <c r="U1101" s="13">
        <f>IF(AND(ISNUMBER(R1101),ISNUMBER(S1101),ISNUMBER(T1101)),IF(R1101&gt;T1101,"boven UCL",IF(R1101&lt;S1101,"onder LCL","")),"")</f>
        <v/>
      </c>
    </row>
    <row r="1102">
      <c r="A1102" t="n">
        <v>996</v>
      </c>
      <c r="B1102" s="7" t="n"/>
      <c r="C1102" s="11">
        <f>IF(AND(ISNUMBER(B1102),ISNUMBER(B1101)),ABS(B1102-B1101),"")</f>
        <v/>
      </c>
      <c r="D1102" s="13">
        <f>IF(AND(ISNUMBER(B1102),ISNUMBER($B$88),ISNUMBER($D$88)),IF(B1102&gt;$D$88,"boven UCL",IF(B1102&lt;$B$88,"onder LCL","")),"")</f>
        <v/>
      </c>
      <c r="E1102" s="13">
        <f>IF(AND(ISNUMBER(C1102),ISNUMBER($B$89),ISNUMBER($D$89)),IF(C1102&gt;$D$89,"boven UCL",IF(C1102&lt;$B$89,"onder LCL","")),"")</f>
        <v/>
      </c>
      <c r="G1102" t="n">
        <v>996</v>
      </c>
      <c r="H1102" s="7" t="n"/>
      <c r="I1102" s="7" t="n"/>
      <c r="J1102" s="11">
        <f>IF(AND(ISNUMBER(H1102),ISNUMBER(I1102),H1102&gt;0,ISNUMBER($B$94)),I1102/H1102,"")</f>
        <v/>
      </c>
      <c r="K1102" s="11">
        <f>IF(AND(ISNUMBER(H1102),ISNUMBER(I1102),H1102&gt;0,ISNUMBER($B$94)),MAX(0,$B$94-3*SQRT($B$94*(1-$B$94)/H1102)),"")</f>
        <v/>
      </c>
      <c r="L1102" s="11">
        <f>IF(AND(ISNUMBER(H1102),ISNUMBER(I1102),H1102&gt;0,ISNUMBER($B$94)),$B$94+3*SQRT($B$94*(1-$B$94)/H1102),"")</f>
        <v/>
      </c>
      <c r="M1102" s="13">
        <f>IF(AND(ISNUMBER(J1102),ISNUMBER(K1102),ISNUMBER(L1102)),IF(J1102&gt;L1102,"boven UCL",IF(J1102&lt;K1102,"onder LCL","")),"")</f>
        <v/>
      </c>
      <c r="O1102" t="n">
        <v>996</v>
      </c>
      <c r="P1102" s="7" t="n"/>
      <c r="Q1102" s="7" t="n"/>
      <c r="R1102" s="11">
        <f>IF(AND(ISNUMBER(P1102),ISNUMBER(Q1102),P1102&gt;0,ISNUMBER($B$100)),Q1102/P1102,"")</f>
        <v/>
      </c>
      <c r="S1102" s="11">
        <f>IF(AND(ISNUMBER(P1102),ISNUMBER(Q1102),P1102&gt;0,ISNUMBER($B$100)),MAX(0,$B$100-3*SQRT($B$100/P1102)),"")</f>
        <v/>
      </c>
      <c r="T1102" s="11">
        <f>IF(AND(ISNUMBER(P1102),ISNUMBER(Q1102),P1102&gt;0,ISNUMBER($B$100)),$B$100+3*SQRT($B$100/P1102),"")</f>
        <v/>
      </c>
      <c r="U1102" s="13">
        <f>IF(AND(ISNUMBER(R1102),ISNUMBER(S1102),ISNUMBER(T1102)),IF(R1102&gt;T1102,"boven UCL",IF(R1102&lt;S1102,"onder LCL","")),"")</f>
        <v/>
      </c>
    </row>
    <row r="1103">
      <c r="A1103" t="n">
        <v>997</v>
      </c>
      <c r="B1103" s="7" t="n"/>
      <c r="C1103" s="11">
        <f>IF(AND(ISNUMBER(B1103),ISNUMBER(B1102)),ABS(B1103-B1102),"")</f>
        <v/>
      </c>
      <c r="D1103" s="13">
        <f>IF(AND(ISNUMBER(B1103),ISNUMBER($B$88),ISNUMBER($D$88)),IF(B1103&gt;$D$88,"boven UCL",IF(B1103&lt;$B$88,"onder LCL","")),"")</f>
        <v/>
      </c>
      <c r="E1103" s="13">
        <f>IF(AND(ISNUMBER(C1103),ISNUMBER($B$89),ISNUMBER($D$89)),IF(C1103&gt;$D$89,"boven UCL",IF(C1103&lt;$B$89,"onder LCL","")),"")</f>
        <v/>
      </c>
      <c r="G1103" t="n">
        <v>997</v>
      </c>
      <c r="H1103" s="7" t="n"/>
      <c r="I1103" s="7" t="n"/>
      <c r="J1103" s="11">
        <f>IF(AND(ISNUMBER(H1103),ISNUMBER(I1103),H1103&gt;0,ISNUMBER($B$94)),I1103/H1103,"")</f>
        <v/>
      </c>
      <c r="K1103" s="11">
        <f>IF(AND(ISNUMBER(H1103),ISNUMBER(I1103),H1103&gt;0,ISNUMBER($B$94)),MAX(0,$B$94-3*SQRT($B$94*(1-$B$94)/H1103)),"")</f>
        <v/>
      </c>
      <c r="L1103" s="11">
        <f>IF(AND(ISNUMBER(H1103),ISNUMBER(I1103),H1103&gt;0,ISNUMBER($B$94)),$B$94+3*SQRT($B$94*(1-$B$94)/H1103),"")</f>
        <v/>
      </c>
      <c r="M1103" s="13">
        <f>IF(AND(ISNUMBER(J1103),ISNUMBER(K1103),ISNUMBER(L1103)),IF(J1103&gt;L1103,"boven UCL",IF(J1103&lt;K1103,"onder LCL","")),"")</f>
        <v/>
      </c>
      <c r="O1103" t="n">
        <v>997</v>
      </c>
      <c r="P1103" s="7" t="n"/>
      <c r="Q1103" s="7" t="n"/>
      <c r="R1103" s="11">
        <f>IF(AND(ISNUMBER(P1103),ISNUMBER(Q1103),P1103&gt;0,ISNUMBER($B$100)),Q1103/P1103,"")</f>
        <v/>
      </c>
      <c r="S1103" s="11">
        <f>IF(AND(ISNUMBER(P1103),ISNUMBER(Q1103),P1103&gt;0,ISNUMBER($B$100)),MAX(0,$B$100-3*SQRT($B$100/P1103)),"")</f>
        <v/>
      </c>
      <c r="T1103" s="11">
        <f>IF(AND(ISNUMBER(P1103),ISNUMBER(Q1103),P1103&gt;0,ISNUMBER($B$100)),$B$100+3*SQRT($B$100/P1103),"")</f>
        <v/>
      </c>
      <c r="U1103" s="13">
        <f>IF(AND(ISNUMBER(R1103),ISNUMBER(S1103),ISNUMBER(T1103)),IF(R1103&gt;T1103,"boven UCL",IF(R1103&lt;S1103,"onder LCL","")),"")</f>
        <v/>
      </c>
    </row>
    <row r="1104">
      <c r="A1104" t="n">
        <v>998</v>
      </c>
      <c r="B1104" s="7" t="n"/>
      <c r="C1104" s="11">
        <f>IF(AND(ISNUMBER(B1104),ISNUMBER(B1103)),ABS(B1104-B1103),"")</f>
        <v/>
      </c>
      <c r="D1104" s="13">
        <f>IF(AND(ISNUMBER(B1104),ISNUMBER($B$88),ISNUMBER($D$88)),IF(B1104&gt;$D$88,"boven UCL",IF(B1104&lt;$B$88,"onder LCL","")),"")</f>
        <v/>
      </c>
      <c r="E1104" s="13">
        <f>IF(AND(ISNUMBER(C1104),ISNUMBER($B$89),ISNUMBER($D$89)),IF(C1104&gt;$D$89,"boven UCL",IF(C1104&lt;$B$89,"onder LCL","")),"")</f>
        <v/>
      </c>
      <c r="G1104" t="n">
        <v>998</v>
      </c>
      <c r="H1104" s="7" t="n"/>
      <c r="I1104" s="7" t="n"/>
      <c r="J1104" s="11">
        <f>IF(AND(ISNUMBER(H1104),ISNUMBER(I1104),H1104&gt;0,ISNUMBER($B$94)),I1104/H1104,"")</f>
        <v/>
      </c>
      <c r="K1104" s="11">
        <f>IF(AND(ISNUMBER(H1104),ISNUMBER(I1104),H1104&gt;0,ISNUMBER($B$94)),MAX(0,$B$94-3*SQRT($B$94*(1-$B$94)/H1104)),"")</f>
        <v/>
      </c>
      <c r="L1104" s="11">
        <f>IF(AND(ISNUMBER(H1104),ISNUMBER(I1104),H1104&gt;0,ISNUMBER($B$94)),$B$94+3*SQRT($B$94*(1-$B$94)/H1104),"")</f>
        <v/>
      </c>
      <c r="M1104" s="13">
        <f>IF(AND(ISNUMBER(J1104),ISNUMBER(K1104),ISNUMBER(L1104)),IF(J1104&gt;L1104,"boven UCL",IF(J1104&lt;K1104,"onder LCL","")),"")</f>
        <v/>
      </c>
      <c r="O1104" t="n">
        <v>998</v>
      </c>
      <c r="P1104" s="7" t="n"/>
      <c r="Q1104" s="7" t="n"/>
      <c r="R1104" s="11">
        <f>IF(AND(ISNUMBER(P1104),ISNUMBER(Q1104),P1104&gt;0,ISNUMBER($B$100)),Q1104/P1104,"")</f>
        <v/>
      </c>
      <c r="S1104" s="11">
        <f>IF(AND(ISNUMBER(P1104),ISNUMBER(Q1104),P1104&gt;0,ISNUMBER($B$100)),MAX(0,$B$100-3*SQRT($B$100/P1104)),"")</f>
        <v/>
      </c>
      <c r="T1104" s="11">
        <f>IF(AND(ISNUMBER(P1104),ISNUMBER(Q1104),P1104&gt;0,ISNUMBER($B$100)),$B$100+3*SQRT($B$100/P1104),"")</f>
        <v/>
      </c>
      <c r="U1104" s="13">
        <f>IF(AND(ISNUMBER(R1104),ISNUMBER(S1104),ISNUMBER(T1104)),IF(R1104&gt;T1104,"boven UCL",IF(R1104&lt;S1104,"onder LCL","")),"")</f>
        <v/>
      </c>
    </row>
    <row r="1105">
      <c r="A1105" t="n">
        <v>999</v>
      </c>
      <c r="B1105" s="7" t="n"/>
      <c r="C1105" s="11">
        <f>IF(AND(ISNUMBER(B1105),ISNUMBER(B1104)),ABS(B1105-B1104),"")</f>
        <v/>
      </c>
      <c r="D1105" s="13">
        <f>IF(AND(ISNUMBER(B1105),ISNUMBER($B$88),ISNUMBER($D$88)),IF(B1105&gt;$D$88,"boven UCL",IF(B1105&lt;$B$88,"onder LCL","")),"")</f>
        <v/>
      </c>
      <c r="E1105" s="13">
        <f>IF(AND(ISNUMBER(C1105),ISNUMBER($B$89),ISNUMBER($D$89)),IF(C1105&gt;$D$89,"boven UCL",IF(C1105&lt;$B$89,"onder LCL","")),"")</f>
        <v/>
      </c>
      <c r="G1105" t="n">
        <v>999</v>
      </c>
      <c r="H1105" s="7" t="n"/>
      <c r="I1105" s="7" t="n"/>
      <c r="J1105" s="11">
        <f>IF(AND(ISNUMBER(H1105),ISNUMBER(I1105),H1105&gt;0,ISNUMBER($B$94)),I1105/H1105,"")</f>
        <v/>
      </c>
      <c r="K1105" s="11">
        <f>IF(AND(ISNUMBER(H1105),ISNUMBER(I1105),H1105&gt;0,ISNUMBER($B$94)),MAX(0,$B$94-3*SQRT($B$94*(1-$B$94)/H1105)),"")</f>
        <v/>
      </c>
      <c r="L1105" s="11">
        <f>IF(AND(ISNUMBER(H1105),ISNUMBER(I1105),H1105&gt;0,ISNUMBER($B$94)),$B$94+3*SQRT($B$94*(1-$B$94)/H1105),"")</f>
        <v/>
      </c>
      <c r="M1105" s="13">
        <f>IF(AND(ISNUMBER(J1105),ISNUMBER(K1105),ISNUMBER(L1105)),IF(J1105&gt;L1105,"boven UCL",IF(J1105&lt;K1105,"onder LCL","")),"")</f>
        <v/>
      </c>
      <c r="O1105" t="n">
        <v>999</v>
      </c>
      <c r="P1105" s="7" t="n"/>
      <c r="Q1105" s="7" t="n"/>
      <c r="R1105" s="11">
        <f>IF(AND(ISNUMBER(P1105),ISNUMBER(Q1105),P1105&gt;0,ISNUMBER($B$100)),Q1105/P1105,"")</f>
        <v/>
      </c>
      <c r="S1105" s="11">
        <f>IF(AND(ISNUMBER(P1105),ISNUMBER(Q1105),P1105&gt;0,ISNUMBER($B$100)),MAX(0,$B$100-3*SQRT($B$100/P1105)),"")</f>
        <v/>
      </c>
      <c r="T1105" s="11">
        <f>IF(AND(ISNUMBER(P1105),ISNUMBER(Q1105),P1105&gt;0,ISNUMBER($B$100)),$B$100+3*SQRT($B$100/P1105),"")</f>
        <v/>
      </c>
      <c r="U1105" s="13">
        <f>IF(AND(ISNUMBER(R1105),ISNUMBER(S1105),ISNUMBER(T1105)),IF(R1105&gt;T1105,"boven UCL",IF(R1105&lt;S1105,"onder LCL","")),"")</f>
        <v/>
      </c>
    </row>
    <row r="1106">
      <c r="A1106" t="n">
        <v>1000</v>
      </c>
      <c r="B1106" s="7" t="n"/>
      <c r="C1106" s="11">
        <f>IF(AND(ISNUMBER(B1106),ISNUMBER(B1105)),ABS(B1106-B1105),"")</f>
        <v/>
      </c>
      <c r="D1106" s="13">
        <f>IF(AND(ISNUMBER(B1106),ISNUMBER($B$88),ISNUMBER($D$88)),IF(B1106&gt;$D$88,"boven UCL",IF(B1106&lt;$B$88,"onder LCL","")),"")</f>
        <v/>
      </c>
      <c r="E1106" s="13">
        <f>IF(AND(ISNUMBER(C1106),ISNUMBER($B$89),ISNUMBER($D$89)),IF(C1106&gt;$D$89,"boven UCL",IF(C1106&lt;$B$89,"onder LCL","")),"")</f>
        <v/>
      </c>
      <c r="G1106" t="n">
        <v>1000</v>
      </c>
      <c r="H1106" s="7" t="n"/>
      <c r="I1106" s="7" t="n"/>
      <c r="J1106" s="11">
        <f>IF(AND(ISNUMBER(H1106),ISNUMBER(I1106),H1106&gt;0,ISNUMBER($B$94)),I1106/H1106,"")</f>
        <v/>
      </c>
      <c r="K1106" s="11">
        <f>IF(AND(ISNUMBER(H1106),ISNUMBER(I1106),H1106&gt;0,ISNUMBER($B$94)),MAX(0,$B$94-3*SQRT($B$94*(1-$B$94)/H1106)),"")</f>
        <v/>
      </c>
      <c r="L1106" s="11">
        <f>IF(AND(ISNUMBER(H1106),ISNUMBER(I1106),H1106&gt;0,ISNUMBER($B$94)),$B$94+3*SQRT($B$94*(1-$B$94)/H1106),"")</f>
        <v/>
      </c>
      <c r="M1106" s="13">
        <f>IF(AND(ISNUMBER(J1106),ISNUMBER(K1106),ISNUMBER(L1106)),IF(J1106&gt;L1106,"boven UCL",IF(J1106&lt;K1106,"onder LCL","")),"")</f>
        <v/>
      </c>
      <c r="O1106" t="n">
        <v>1000</v>
      </c>
      <c r="P1106" s="7" t="n"/>
      <c r="Q1106" s="7" t="n"/>
      <c r="R1106" s="11">
        <f>IF(AND(ISNUMBER(P1106),ISNUMBER(Q1106),P1106&gt;0,ISNUMBER($B$100)),Q1106/P1106,"")</f>
        <v/>
      </c>
      <c r="S1106" s="11">
        <f>IF(AND(ISNUMBER(P1106),ISNUMBER(Q1106),P1106&gt;0,ISNUMBER($B$100)),MAX(0,$B$100-3*SQRT($B$100/P1106)),"")</f>
        <v/>
      </c>
      <c r="T1106" s="11">
        <f>IF(AND(ISNUMBER(P1106),ISNUMBER(Q1106),P1106&gt;0,ISNUMBER($B$100)),$B$100+3*SQRT($B$100/P1106),"")</f>
        <v/>
      </c>
      <c r="U1106" s="13">
        <f>IF(AND(ISNUMBER(R1106),ISNUMBER(S1106),ISNUMBER(T1106)),IF(R1106&gt;T1106,"boven UCL",IF(R1106&lt;S1106,"onder LCL","")),"")</f>
        <v/>
      </c>
    </row>
    <row r="1107">
      <c r="A1107" t="n">
        <v>1001</v>
      </c>
      <c r="B1107" s="7" t="n"/>
      <c r="C1107" s="11">
        <f>IF(AND(ISNUMBER(B1107),ISNUMBER(B1106)),ABS(B1107-B1106),"")</f>
        <v/>
      </c>
      <c r="D1107" s="13">
        <f>IF(AND(ISNUMBER(B1107),ISNUMBER($B$88),ISNUMBER($D$88)),IF(B1107&gt;$D$88,"boven UCL",IF(B1107&lt;$B$88,"onder LCL","")),"")</f>
        <v/>
      </c>
      <c r="E1107" s="13">
        <f>IF(AND(ISNUMBER(C1107),ISNUMBER($B$89),ISNUMBER($D$89)),IF(C1107&gt;$D$89,"boven UCL",IF(C1107&lt;$B$89,"onder LCL","")),"")</f>
        <v/>
      </c>
      <c r="G1107" t="n">
        <v>1001</v>
      </c>
      <c r="H1107" s="7" t="n"/>
      <c r="I1107" s="7" t="n"/>
      <c r="J1107" s="11">
        <f>IF(AND(ISNUMBER(H1107),ISNUMBER(I1107),H1107&gt;0,ISNUMBER($B$94)),I1107/H1107,"")</f>
        <v/>
      </c>
      <c r="K1107" s="11">
        <f>IF(AND(ISNUMBER(H1107),ISNUMBER(I1107),H1107&gt;0,ISNUMBER($B$94)),MAX(0,$B$94-3*SQRT($B$94*(1-$B$94)/H1107)),"")</f>
        <v/>
      </c>
      <c r="L1107" s="11">
        <f>IF(AND(ISNUMBER(H1107),ISNUMBER(I1107),H1107&gt;0,ISNUMBER($B$94)),$B$94+3*SQRT($B$94*(1-$B$94)/H1107),"")</f>
        <v/>
      </c>
      <c r="M1107" s="13">
        <f>IF(AND(ISNUMBER(J1107),ISNUMBER(K1107),ISNUMBER(L1107)),IF(J1107&gt;L1107,"boven UCL",IF(J1107&lt;K1107,"onder LCL","")),"")</f>
        <v/>
      </c>
      <c r="O1107" t="n">
        <v>1001</v>
      </c>
      <c r="P1107" s="7" t="n"/>
      <c r="Q1107" s="7" t="n"/>
      <c r="R1107" s="11">
        <f>IF(AND(ISNUMBER(P1107),ISNUMBER(Q1107),P1107&gt;0,ISNUMBER($B$100)),Q1107/P1107,"")</f>
        <v/>
      </c>
      <c r="S1107" s="11">
        <f>IF(AND(ISNUMBER(P1107),ISNUMBER(Q1107),P1107&gt;0,ISNUMBER($B$100)),MAX(0,$B$100-3*SQRT($B$100/P1107)),"")</f>
        <v/>
      </c>
      <c r="T1107" s="11">
        <f>IF(AND(ISNUMBER(P1107),ISNUMBER(Q1107),P1107&gt;0,ISNUMBER($B$100)),$B$100+3*SQRT($B$100/P1107),"")</f>
        <v/>
      </c>
      <c r="U1107" s="13">
        <f>IF(AND(ISNUMBER(R1107),ISNUMBER(S1107),ISNUMBER(T1107)),IF(R1107&gt;T1107,"boven UCL",IF(R1107&lt;S1107,"onder LCL","")),"")</f>
        <v/>
      </c>
    </row>
    <row r="1108">
      <c r="A1108" t="n">
        <v>1002</v>
      </c>
      <c r="B1108" s="7" t="n"/>
      <c r="C1108" s="11">
        <f>IF(AND(ISNUMBER(B1108),ISNUMBER(B1107)),ABS(B1108-B1107),"")</f>
        <v/>
      </c>
      <c r="D1108" s="13">
        <f>IF(AND(ISNUMBER(B1108),ISNUMBER($B$88),ISNUMBER($D$88)),IF(B1108&gt;$D$88,"boven UCL",IF(B1108&lt;$B$88,"onder LCL","")),"")</f>
        <v/>
      </c>
      <c r="E1108" s="13">
        <f>IF(AND(ISNUMBER(C1108),ISNUMBER($B$89),ISNUMBER($D$89)),IF(C1108&gt;$D$89,"boven UCL",IF(C1108&lt;$B$89,"onder LCL","")),"")</f>
        <v/>
      </c>
      <c r="G1108" t="n">
        <v>1002</v>
      </c>
      <c r="H1108" s="7" t="n"/>
      <c r="I1108" s="7" t="n"/>
      <c r="J1108" s="11">
        <f>IF(AND(ISNUMBER(H1108),ISNUMBER(I1108),H1108&gt;0,ISNUMBER($B$94)),I1108/H1108,"")</f>
        <v/>
      </c>
      <c r="K1108" s="11">
        <f>IF(AND(ISNUMBER(H1108),ISNUMBER(I1108),H1108&gt;0,ISNUMBER($B$94)),MAX(0,$B$94-3*SQRT($B$94*(1-$B$94)/H1108)),"")</f>
        <v/>
      </c>
      <c r="L1108" s="11">
        <f>IF(AND(ISNUMBER(H1108),ISNUMBER(I1108),H1108&gt;0,ISNUMBER($B$94)),$B$94+3*SQRT($B$94*(1-$B$94)/H1108),"")</f>
        <v/>
      </c>
      <c r="M1108" s="13">
        <f>IF(AND(ISNUMBER(J1108),ISNUMBER(K1108),ISNUMBER(L1108)),IF(J1108&gt;L1108,"boven UCL",IF(J1108&lt;K1108,"onder LCL","")),"")</f>
        <v/>
      </c>
      <c r="O1108" t="n">
        <v>1002</v>
      </c>
      <c r="P1108" s="7" t="n"/>
      <c r="Q1108" s="7" t="n"/>
      <c r="R1108" s="11">
        <f>IF(AND(ISNUMBER(P1108),ISNUMBER(Q1108),P1108&gt;0,ISNUMBER($B$100)),Q1108/P1108,"")</f>
        <v/>
      </c>
      <c r="S1108" s="11">
        <f>IF(AND(ISNUMBER(P1108),ISNUMBER(Q1108),P1108&gt;0,ISNUMBER($B$100)),MAX(0,$B$100-3*SQRT($B$100/P1108)),"")</f>
        <v/>
      </c>
      <c r="T1108" s="11">
        <f>IF(AND(ISNUMBER(P1108),ISNUMBER(Q1108),P1108&gt;0,ISNUMBER($B$100)),$B$100+3*SQRT($B$100/P1108),"")</f>
        <v/>
      </c>
      <c r="U1108" s="13">
        <f>IF(AND(ISNUMBER(R1108),ISNUMBER(S1108),ISNUMBER(T1108)),IF(R1108&gt;T1108,"boven UCL",IF(R1108&lt;S1108,"onder LCL","")),"")</f>
        <v/>
      </c>
    </row>
    <row r="1109">
      <c r="A1109" t="n">
        <v>1003</v>
      </c>
      <c r="B1109" s="7" t="n"/>
      <c r="C1109" s="11">
        <f>IF(AND(ISNUMBER(B1109),ISNUMBER(B1108)),ABS(B1109-B1108),"")</f>
        <v/>
      </c>
      <c r="D1109" s="13">
        <f>IF(AND(ISNUMBER(B1109),ISNUMBER($B$88),ISNUMBER($D$88)),IF(B1109&gt;$D$88,"boven UCL",IF(B1109&lt;$B$88,"onder LCL","")),"")</f>
        <v/>
      </c>
      <c r="E1109" s="13">
        <f>IF(AND(ISNUMBER(C1109),ISNUMBER($B$89),ISNUMBER($D$89)),IF(C1109&gt;$D$89,"boven UCL",IF(C1109&lt;$B$89,"onder LCL","")),"")</f>
        <v/>
      </c>
      <c r="G1109" t="n">
        <v>1003</v>
      </c>
      <c r="H1109" s="7" t="n"/>
      <c r="I1109" s="7" t="n"/>
      <c r="J1109" s="11">
        <f>IF(AND(ISNUMBER(H1109),ISNUMBER(I1109),H1109&gt;0,ISNUMBER($B$94)),I1109/H1109,"")</f>
        <v/>
      </c>
      <c r="K1109" s="11">
        <f>IF(AND(ISNUMBER(H1109),ISNUMBER(I1109),H1109&gt;0,ISNUMBER($B$94)),MAX(0,$B$94-3*SQRT($B$94*(1-$B$94)/H1109)),"")</f>
        <v/>
      </c>
      <c r="L1109" s="11">
        <f>IF(AND(ISNUMBER(H1109),ISNUMBER(I1109),H1109&gt;0,ISNUMBER($B$94)),$B$94+3*SQRT($B$94*(1-$B$94)/H1109),"")</f>
        <v/>
      </c>
      <c r="M1109" s="13">
        <f>IF(AND(ISNUMBER(J1109),ISNUMBER(K1109),ISNUMBER(L1109)),IF(J1109&gt;L1109,"boven UCL",IF(J1109&lt;K1109,"onder LCL","")),"")</f>
        <v/>
      </c>
      <c r="O1109" t="n">
        <v>1003</v>
      </c>
      <c r="P1109" s="7" t="n"/>
      <c r="Q1109" s="7" t="n"/>
      <c r="R1109" s="11">
        <f>IF(AND(ISNUMBER(P1109),ISNUMBER(Q1109),P1109&gt;0,ISNUMBER($B$100)),Q1109/P1109,"")</f>
        <v/>
      </c>
      <c r="S1109" s="11">
        <f>IF(AND(ISNUMBER(P1109),ISNUMBER(Q1109),P1109&gt;0,ISNUMBER($B$100)),MAX(0,$B$100-3*SQRT($B$100/P1109)),"")</f>
        <v/>
      </c>
      <c r="T1109" s="11">
        <f>IF(AND(ISNUMBER(P1109),ISNUMBER(Q1109),P1109&gt;0,ISNUMBER($B$100)),$B$100+3*SQRT($B$100/P1109),"")</f>
        <v/>
      </c>
      <c r="U1109" s="13">
        <f>IF(AND(ISNUMBER(R1109),ISNUMBER(S1109),ISNUMBER(T1109)),IF(R1109&gt;T1109,"boven UCL",IF(R1109&lt;S1109,"onder LCL","")),"")</f>
        <v/>
      </c>
    </row>
    <row r="1110">
      <c r="A1110" t="n">
        <v>1004</v>
      </c>
      <c r="B1110" s="7" t="n"/>
      <c r="C1110" s="11">
        <f>IF(AND(ISNUMBER(B1110),ISNUMBER(B1109)),ABS(B1110-B1109),"")</f>
        <v/>
      </c>
      <c r="D1110" s="13">
        <f>IF(AND(ISNUMBER(B1110),ISNUMBER($B$88),ISNUMBER($D$88)),IF(B1110&gt;$D$88,"boven UCL",IF(B1110&lt;$B$88,"onder LCL","")),"")</f>
        <v/>
      </c>
      <c r="E1110" s="13">
        <f>IF(AND(ISNUMBER(C1110),ISNUMBER($B$89),ISNUMBER($D$89)),IF(C1110&gt;$D$89,"boven UCL",IF(C1110&lt;$B$89,"onder LCL","")),"")</f>
        <v/>
      </c>
      <c r="G1110" t="n">
        <v>1004</v>
      </c>
      <c r="H1110" s="7" t="n"/>
      <c r="I1110" s="7" t="n"/>
      <c r="J1110" s="11">
        <f>IF(AND(ISNUMBER(H1110),ISNUMBER(I1110),H1110&gt;0,ISNUMBER($B$94)),I1110/H1110,"")</f>
        <v/>
      </c>
      <c r="K1110" s="11">
        <f>IF(AND(ISNUMBER(H1110),ISNUMBER(I1110),H1110&gt;0,ISNUMBER($B$94)),MAX(0,$B$94-3*SQRT($B$94*(1-$B$94)/H1110)),"")</f>
        <v/>
      </c>
      <c r="L1110" s="11">
        <f>IF(AND(ISNUMBER(H1110),ISNUMBER(I1110),H1110&gt;0,ISNUMBER($B$94)),$B$94+3*SQRT($B$94*(1-$B$94)/H1110),"")</f>
        <v/>
      </c>
      <c r="M1110" s="13">
        <f>IF(AND(ISNUMBER(J1110),ISNUMBER(K1110),ISNUMBER(L1110)),IF(J1110&gt;L1110,"boven UCL",IF(J1110&lt;K1110,"onder LCL","")),"")</f>
        <v/>
      </c>
      <c r="O1110" t="n">
        <v>1004</v>
      </c>
      <c r="P1110" s="7" t="n"/>
      <c r="Q1110" s="7" t="n"/>
      <c r="R1110" s="11">
        <f>IF(AND(ISNUMBER(P1110),ISNUMBER(Q1110),P1110&gt;0,ISNUMBER($B$100)),Q1110/P1110,"")</f>
        <v/>
      </c>
      <c r="S1110" s="11">
        <f>IF(AND(ISNUMBER(P1110),ISNUMBER(Q1110),P1110&gt;0,ISNUMBER($B$100)),MAX(0,$B$100-3*SQRT($B$100/P1110)),"")</f>
        <v/>
      </c>
      <c r="T1110" s="11">
        <f>IF(AND(ISNUMBER(P1110),ISNUMBER(Q1110),P1110&gt;0,ISNUMBER($B$100)),$B$100+3*SQRT($B$100/P1110),"")</f>
        <v/>
      </c>
      <c r="U1110" s="13">
        <f>IF(AND(ISNUMBER(R1110),ISNUMBER(S1110),ISNUMBER(T1110)),IF(R1110&gt;T1110,"boven UCL",IF(R1110&lt;S1110,"onder LCL","")),"")</f>
        <v/>
      </c>
    </row>
    <row r="1111">
      <c r="A1111" t="n">
        <v>1005</v>
      </c>
      <c r="B1111" s="7" t="n"/>
      <c r="C1111" s="11">
        <f>IF(AND(ISNUMBER(B1111),ISNUMBER(B1110)),ABS(B1111-B1110),"")</f>
        <v/>
      </c>
      <c r="D1111" s="13">
        <f>IF(AND(ISNUMBER(B1111),ISNUMBER($B$88),ISNUMBER($D$88)),IF(B1111&gt;$D$88,"boven UCL",IF(B1111&lt;$B$88,"onder LCL","")),"")</f>
        <v/>
      </c>
      <c r="E1111" s="13">
        <f>IF(AND(ISNUMBER(C1111),ISNUMBER($B$89),ISNUMBER($D$89)),IF(C1111&gt;$D$89,"boven UCL",IF(C1111&lt;$B$89,"onder LCL","")),"")</f>
        <v/>
      </c>
      <c r="G1111" t="n">
        <v>1005</v>
      </c>
      <c r="H1111" s="7" t="n"/>
      <c r="I1111" s="7" t="n"/>
      <c r="J1111" s="11">
        <f>IF(AND(ISNUMBER(H1111),ISNUMBER(I1111),H1111&gt;0,ISNUMBER($B$94)),I1111/H1111,"")</f>
        <v/>
      </c>
      <c r="K1111" s="11">
        <f>IF(AND(ISNUMBER(H1111),ISNUMBER(I1111),H1111&gt;0,ISNUMBER($B$94)),MAX(0,$B$94-3*SQRT($B$94*(1-$B$94)/H1111)),"")</f>
        <v/>
      </c>
      <c r="L1111" s="11">
        <f>IF(AND(ISNUMBER(H1111),ISNUMBER(I1111),H1111&gt;0,ISNUMBER($B$94)),$B$94+3*SQRT($B$94*(1-$B$94)/H1111),"")</f>
        <v/>
      </c>
      <c r="M1111" s="13">
        <f>IF(AND(ISNUMBER(J1111),ISNUMBER(K1111),ISNUMBER(L1111)),IF(J1111&gt;L1111,"boven UCL",IF(J1111&lt;K1111,"onder LCL","")),"")</f>
        <v/>
      </c>
      <c r="O1111" t="n">
        <v>1005</v>
      </c>
      <c r="P1111" s="7" t="n"/>
      <c r="Q1111" s="7" t="n"/>
      <c r="R1111" s="11">
        <f>IF(AND(ISNUMBER(P1111),ISNUMBER(Q1111),P1111&gt;0,ISNUMBER($B$100)),Q1111/P1111,"")</f>
        <v/>
      </c>
      <c r="S1111" s="11">
        <f>IF(AND(ISNUMBER(P1111),ISNUMBER(Q1111),P1111&gt;0,ISNUMBER($B$100)),MAX(0,$B$100-3*SQRT($B$100/P1111)),"")</f>
        <v/>
      </c>
      <c r="T1111" s="11">
        <f>IF(AND(ISNUMBER(P1111),ISNUMBER(Q1111),P1111&gt;0,ISNUMBER($B$100)),$B$100+3*SQRT($B$100/P1111),"")</f>
        <v/>
      </c>
      <c r="U1111" s="13">
        <f>IF(AND(ISNUMBER(R1111),ISNUMBER(S1111),ISNUMBER(T1111)),IF(R1111&gt;T1111,"boven UCL",IF(R1111&lt;S1111,"onder LCL","")),"")</f>
        <v/>
      </c>
    </row>
    <row r="1112">
      <c r="A1112" t="n">
        <v>1006</v>
      </c>
      <c r="B1112" s="7" t="n"/>
      <c r="C1112" s="11">
        <f>IF(AND(ISNUMBER(B1112),ISNUMBER(B1111)),ABS(B1112-B1111),"")</f>
        <v/>
      </c>
      <c r="D1112" s="13">
        <f>IF(AND(ISNUMBER(B1112),ISNUMBER($B$88),ISNUMBER($D$88)),IF(B1112&gt;$D$88,"boven UCL",IF(B1112&lt;$B$88,"onder LCL","")),"")</f>
        <v/>
      </c>
      <c r="E1112" s="13">
        <f>IF(AND(ISNUMBER(C1112),ISNUMBER($B$89),ISNUMBER($D$89)),IF(C1112&gt;$D$89,"boven UCL",IF(C1112&lt;$B$89,"onder LCL","")),"")</f>
        <v/>
      </c>
      <c r="G1112" t="n">
        <v>1006</v>
      </c>
      <c r="H1112" s="7" t="n"/>
      <c r="I1112" s="7" t="n"/>
      <c r="J1112" s="11">
        <f>IF(AND(ISNUMBER(H1112),ISNUMBER(I1112),H1112&gt;0,ISNUMBER($B$94)),I1112/H1112,"")</f>
        <v/>
      </c>
      <c r="K1112" s="11">
        <f>IF(AND(ISNUMBER(H1112),ISNUMBER(I1112),H1112&gt;0,ISNUMBER($B$94)),MAX(0,$B$94-3*SQRT($B$94*(1-$B$94)/H1112)),"")</f>
        <v/>
      </c>
      <c r="L1112" s="11">
        <f>IF(AND(ISNUMBER(H1112),ISNUMBER(I1112),H1112&gt;0,ISNUMBER($B$94)),$B$94+3*SQRT($B$94*(1-$B$94)/H1112),"")</f>
        <v/>
      </c>
      <c r="M1112" s="13">
        <f>IF(AND(ISNUMBER(J1112),ISNUMBER(K1112),ISNUMBER(L1112)),IF(J1112&gt;L1112,"boven UCL",IF(J1112&lt;K1112,"onder LCL","")),"")</f>
        <v/>
      </c>
      <c r="O1112" t="n">
        <v>1006</v>
      </c>
      <c r="P1112" s="7" t="n"/>
      <c r="Q1112" s="7" t="n"/>
      <c r="R1112" s="11">
        <f>IF(AND(ISNUMBER(P1112),ISNUMBER(Q1112),P1112&gt;0,ISNUMBER($B$100)),Q1112/P1112,"")</f>
        <v/>
      </c>
      <c r="S1112" s="11">
        <f>IF(AND(ISNUMBER(P1112),ISNUMBER(Q1112),P1112&gt;0,ISNUMBER($B$100)),MAX(0,$B$100-3*SQRT($B$100/P1112)),"")</f>
        <v/>
      </c>
      <c r="T1112" s="11">
        <f>IF(AND(ISNUMBER(P1112),ISNUMBER(Q1112),P1112&gt;0,ISNUMBER($B$100)),$B$100+3*SQRT($B$100/P1112),"")</f>
        <v/>
      </c>
      <c r="U1112" s="13">
        <f>IF(AND(ISNUMBER(R1112),ISNUMBER(S1112),ISNUMBER(T1112)),IF(R1112&gt;T1112,"boven UCL",IF(R1112&lt;S1112,"onder LCL","")),"")</f>
        <v/>
      </c>
    </row>
    <row r="1113">
      <c r="A1113" t="n">
        <v>1007</v>
      </c>
      <c r="B1113" s="7" t="n"/>
      <c r="C1113" s="11">
        <f>IF(AND(ISNUMBER(B1113),ISNUMBER(B1112)),ABS(B1113-B1112),"")</f>
        <v/>
      </c>
      <c r="D1113" s="13">
        <f>IF(AND(ISNUMBER(B1113),ISNUMBER($B$88),ISNUMBER($D$88)),IF(B1113&gt;$D$88,"boven UCL",IF(B1113&lt;$B$88,"onder LCL","")),"")</f>
        <v/>
      </c>
      <c r="E1113" s="13">
        <f>IF(AND(ISNUMBER(C1113),ISNUMBER($B$89),ISNUMBER($D$89)),IF(C1113&gt;$D$89,"boven UCL",IF(C1113&lt;$B$89,"onder LCL","")),"")</f>
        <v/>
      </c>
      <c r="G1113" t="n">
        <v>1007</v>
      </c>
      <c r="H1113" s="7" t="n"/>
      <c r="I1113" s="7" t="n"/>
      <c r="J1113" s="11">
        <f>IF(AND(ISNUMBER(H1113),ISNUMBER(I1113),H1113&gt;0,ISNUMBER($B$94)),I1113/H1113,"")</f>
        <v/>
      </c>
      <c r="K1113" s="11">
        <f>IF(AND(ISNUMBER(H1113),ISNUMBER(I1113),H1113&gt;0,ISNUMBER($B$94)),MAX(0,$B$94-3*SQRT($B$94*(1-$B$94)/H1113)),"")</f>
        <v/>
      </c>
      <c r="L1113" s="11">
        <f>IF(AND(ISNUMBER(H1113),ISNUMBER(I1113),H1113&gt;0,ISNUMBER($B$94)),$B$94+3*SQRT($B$94*(1-$B$94)/H1113),"")</f>
        <v/>
      </c>
      <c r="M1113" s="13">
        <f>IF(AND(ISNUMBER(J1113),ISNUMBER(K1113),ISNUMBER(L1113)),IF(J1113&gt;L1113,"boven UCL",IF(J1113&lt;K1113,"onder LCL","")),"")</f>
        <v/>
      </c>
      <c r="O1113" t="n">
        <v>1007</v>
      </c>
      <c r="P1113" s="7" t="n"/>
      <c r="Q1113" s="7" t="n"/>
      <c r="R1113" s="11">
        <f>IF(AND(ISNUMBER(P1113),ISNUMBER(Q1113),P1113&gt;0,ISNUMBER($B$100)),Q1113/P1113,"")</f>
        <v/>
      </c>
      <c r="S1113" s="11">
        <f>IF(AND(ISNUMBER(P1113),ISNUMBER(Q1113),P1113&gt;0,ISNUMBER($B$100)),MAX(0,$B$100-3*SQRT($B$100/P1113)),"")</f>
        <v/>
      </c>
      <c r="T1113" s="11">
        <f>IF(AND(ISNUMBER(P1113),ISNUMBER(Q1113),P1113&gt;0,ISNUMBER($B$100)),$B$100+3*SQRT($B$100/P1113),"")</f>
        <v/>
      </c>
      <c r="U1113" s="13">
        <f>IF(AND(ISNUMBER(R1113),ISNUMBER(S1113),ISNUMBER(T1113)),IF(R1113&gt;T1113,"boven UCL",IF(R1113&lt;S1113,"onder LCL","")),"")</f>
        <v/>
      </c>
    </row>
    <row r="1114">
      <c r="A1114" t="n">
        <v>1008</v>
      </c>
      <c r="B1114" s="7" t="n"/>
      <c r="C1114" s="11">
        <f>IF(AND(ISNUMBER(B1114),ISNUMBER(B1113)),ABS(B1114-B1113),"")</f>
        <v/>
      </c>
      <c r="D1114" s="13">
        <f>IF(AND(ISNUMBER(B1114),ISNUMBER($B$88),ISNUMBER($D$88)),IF(B1114&gt;$D$88,"boven UCL",IF(B1114&lt;$B$88,"onder LCL","")),"")</f>
        <v/>
      </c>
      <c r="E1114" s="13">
        <f>IF(AND(ISNUMBER(C1114),ISNUMBER($B$89),ISNUMBER($D$89)),IF(C1114&gt;$D$89,"boven UCL",IF(C1114&lt;$B$89,"onder LCL","")),"")</f>
        <v/>
      </c>
      <c r="G1114" t="n">
        <v>1008</v>
      </c>
      <c r="H1114" s="7" t="n"/>
      <c r="I1114" s="7" t="n"/>
      <c r="J1114" s="11">
        <f>IF(AND(ISNUMBER(H1114),ISNUMBER(I1114),H1114&gt;0,ISNUMBER($B$94)),I1114/H1114,"")</f>
        <v/>
      </c>
      <c r="K1114" s="11">
        <f>IF(AND(ISNUMBER(H1114),ISNUMBER(I1114),H1114&gt;0,ISNUMBER($B$94)),MAX(0,$B$94-3*SQRT($B$94*(1-$B$94)/H1114)),"")</f>
        <v/>
      </c>
      <c r="L1114" s="11">
        <f>IF(AND(ISNUMBER(H1114),ISNUMBER(I1114),H1114&gt;0,ISNUMBER($B$94)),$B$94+3*SQRT($B$94*(1-$B$94)/H1114),"")</f>
        <v/>
      </c>
      <c r="M1114" s="13">
        <f>IF(AND(ISNUMBER(J1114),ISNUMBER(K1114),ISNUMBER(L1114)),IF(J1114&gt;L1114,"boven UCL",IF(J1114&lt;K1114,"onder LCL","")),"")</f>
        <v/>
      </c>
      <c r="O1114" t="n">
        <v>1008</v>
      </c>
      <c r="P1114" s="7" t="n"/>
      <c r="Q1114" s="7" t="n"/>
      <c r="R1114" s="11">
        <f>IF(AND(ISNUMBER(P1114),ISNUMBER(Q1114),P1114&gt;0,ISNUMBER($B$100)),Q1114/P1114,"")</f>
        <v/>
      </c>
      <c r="S1114" s="11">
        <f>IF(AND(ISNUMBER(P1114),ISNUMBER(Q1114),P1114&gt;0,ISNUMBER($B$100)),MAX(0,$B$100-3*SQRT($B$100/P1114)),"")</f>
        <v/>
      </c>
      <c r="T1114" s="11">
        <f>IF(AND(ISNUMBER(P1114),ISNUMBER(Q1114),P1114&gt;0,ISNUMBER($B$100)),$B$100+3*SQRT($B$100/P1114),"")</f>
        <v/>
      </c>
      <c r="U1114" s="13">
        <f>IF(AND(ISNUMBER(R1114),ISNUMBER(S1114),ISNUMBER(T1114)),IF(R1114&gt;T1114,"boven UCL",IF(R1114&lt;S1114,"onder LCL","")),"")</f>
        <v/>
      </c>
    </row>
    <row r="1115">
      <c r="A1115" t="n">
        <v>1009</v>
      </c>
      <c r="B1115" s="7" t="n"/>
      <c r="C1115" s="11">
        <f>IF(AND(ISNUMBER(B1115),ISNUMBER(B1114)),ABS(B1115-B1114),"")</f>
        <v/>
      </c>
      <c r="D1115" s="13">
        <f>IF(AND(ISNUMBER(B1115),ISNUMBER($B$88),ISNUMBER($D$88)),IF(B1115&gt;$D$88,"boven UCL",IF(B1115&lt;$B$88,"onder LCL","")),"")</f>
        <v/>
      </c>
      <c r="E1115" s="13">
        <f>IF(AND(ISNUMBER(C1115),ISNUMBER($B$89),ISNUMBER($D$89)),IF(C1115&gt;$D$89,"boven UCL",IF(C1115&lt;$B$89,"onder LCL","")),"")</f>
        <v/>
      </c>
      <c r="G1115" t="n">
        <v>1009</v>
      </c>
      <c r="H1115" s="7" t="n"/>
      <c r="I1115" s="7" t="n"/>
      <c r="J1115" s="11">
        <f>IF(AND(ISNUMBER(H1115),ISNUMBER(I1115),H1115&gt;0,ISNUMBER($B$94)),I1115/H1115,"")</f>
        <v/>
      </c>
      <c r="K1115" s="11">
        <f>IF(AND(ISNUMBER(H1115),ISNUMBER(I1115),H1115&gt;0,ISNUMBER($B$94)),MAX(0,$B$94-3*SQRT($B$94*(1-$B$94)/H1115)),"")</f>
        <v/>
      </c>
      <c r="L1115" s="11">
        <f>IF(AND(ISNUMBER(H1115),ISNUMBER(I1115),H1115&gt;0,ISNUMBER($B$94)),$B$94+3*SQRT($B$94*(1-$B$94)/H1115),"")</f>
        <v/>
      </c>
      <c r="M1115" s="13">
        <f>IF(AND(ISNUMBER(J1115),ISNUMBER(K1115),ISNUMBER(L1115)),IF(J1115&gt;L1115,"boven UCL",IF(J1115&lt;K1115,"onder LCL","")),"")</f>
        <v/>
      </c>
      <c r="O1115" t="n">
        <v>1009</v>
      </c>
      <c r="P1115" s="7" t="n"/>
      <c r="Q1115" s="7" t="n"/>
      <c r="R1115" s="11">
        <f>IF(AND(ISNUMBER(P1115),ISNUMBER(Q1115),P1115&gt;0,ISNUMBER($B$100)),Q1115/P1115,"")</f>
        <v/>
      </c>
      <c r="S1115" s="11">
        <f>IF(AND(ISNUMBER(P1115),ISNUMBER(Q1115),P1115&gt;0,ISNUMBER($B$100)),MAX(0,$B$100-3*SQRT($B$100/P1115)),"")</f>
        <v/>
      </c>
      <c r="T1115" s="11">
        <f>IF(AND(ISNUMBER(P1115),ISNUMBER(Q1115),P1115&gt;0,ISNUMBER($B$100)),$B$100+3*SQRT($B$100/P1115),"")</f>
        <v/>
      </c>
      <c r="U1115" s="13">
        <f>IF(AND(ISNUMBER(R1115),ISNUMBER(S1115),ISNUMBER(T1115)),IF(R1115&gt;T1115,"boven UCL",IF(R1115&lt;S1115,"onder LCL","")),"")</f>
        <v/>
      </c>
    </row>
    <row r="1116">
      <c r="A1116" t="n">
        <v>1010</v>
      </c>
      <c r="B1116" s="7" t="n"/>
      <c r="C1116" s="11">
        <f>IF(AND(ISNUMBER(B1116),ISNUMBER(B1115)),ABS(B1116-B1115),"")</f>
        <v/>
      </c>
      <c r="D1116" s="13">
        <f>IF(AND(ISNUMBER(B1116),ISNUMBER($B$88),ISNUMBER($D$88)),IF(B1116&gt;$D$88,"boven UCL",IF(B1116&lt;$B$88,"onder LCL","")),"")</f>
        <v/>
      </c>
      <c r="E1116" s="13">
        <f>IF(AND(ISNUMBER(C1116),ISNUMBER($B$89),ISNUMBER($D$89)),IF(C1116&gt;$D$89,"boven UCL",IF(C1116&lt;$B$89,"onder LCL","")),"")</f>
        <v/>
      </c>
      <c r="G1116" t="n">
        <v>1010</v>
      </c>
      <c r="H1116" s="7" t="n"/>
      <c r="I1116" s="7" t="n"/>
      <c r="J1116" s="11">
        <f>IF(AND(ISNUMBER(H1116),ISNUMBER(I1116),H1116&gt;0,ISNUMBER($B$94)),I1116/H1116,"")</f>
        <v/>
      </c>
      <c r="K1116" s="11">
        <f>IF(AND(ISNUMBER(H1116),ISNUMBER(I1116),H1116&gt;0,ISNUMBER($B$94)),MAX(0,$B$94-3*SQRT($B$94*(1-$B$94)/H1116)),"")</f>
        <v/>
      </c>
      <c r="L1116" s="11">
        <f>IF(AND(ISNUMBER(H1116),ISNUMBER(I1116),H1116&gt;0,ISNUMBER($B$94)),$B$94+3*SQRT($B$94*(1-$B$94)/H1116),"")</f>
        <v/>
      </c>
      <c r="M1116" s="13">
        <f>IF(AND(ISNUMBER(J1116),ISNUMBER(K1116),ISNUMBER(L1116)),IF(J1116&gt;L1116,"boven UCL",IF(J1116&lt;K1116,"onder LCL","")),"")</f>
        <v/>
      </c>
      <c r="O1116" t="n">
        <v>1010</v>
      </c>
      <c r="P1116" s="7" t="n"/>
      <c r="Q1116" s="7" t="n"/>
      <c r="R1116" s="11">
        <f>IF(AND(ISNUMBER(P1116),ISNUMBER(Q1116),P1116&gt;0,ISNUMBER($B$100)),Q1116/P1116,"")</f>
        <v/>
      </c>
      <c r="S1116" s="11">
        <f>IF(AND(ISNUMBER(P1116),ISNUMBER(Q1116),P1116&gt;0,ISNUMBER($B$100)),MAX(0,$B$100-3*SQRT($B$100/P1116)),"")</f>
        <v/>
      </c>
      <c r="T1116" s="11">
        <f>IF(AND(ISNUMBER(P1116),ISNUMBER(Q1116),P1116&gt;0,ISNUMBER($B$100)),$B$100+3*SQRT($B$100/P1116),"")</f>
        <v/>
      </c>
      <c r="U1116" s="13">
        <f>IF(AND(ISNUMBER(R1116),ISNUMBER(S1116),ISNUMBER(T1116)),IF(R1116&gt;T1116,"boven UCL",IF(R1116&lt;S1116,"onder LCL","")),"")</f>
        <v/>
      </c>
    </row>
    <row r="1117">
      <c r="A1117" t="n">
        <v>1011</v>
      </c>
      <c r="B1117" s="7" t="n"/>
      <c r="C1117" s="11">
        <f>IF(AND(ISNUMBER(B1117),ISNUMBER(B1116)),ABS(B1117-B1116),"")</f>
        <v/>
      </c>
      <c r="D1117" s="13">
        <f>IF(AND(ISNUMBER(B1117),ISNUMBER($B$88),ISNUMBER($D$88)),IF(B1117&gt;$D$88,"boven UCL",IF(B1117&lt;$B$88,"onder LCL","")),"")</f>
        <v/>
      </c>
      <c r="E1117" s="13">
        <f>IF(AND(ISNUMBER(C1117),ISNUMBER($B$89),ISNUMBER($D$89)),IF(C1117&gt;$D$89,"boven UCL",IF(C1117&lt;$B$89,"onder LCL","")),"")</f>
        <v/>
      </c>
      <c r="G1117" t="n">
        <v>1011</v>
      </c>
      <c r="H1117" s="7" t="n"/>
      <c r="I1117" s="7" t="n"/>
      <c r="J1117" s="11">
        <f>IF(AND(ISNUMBER(H1117),ISNUMBER(I1117),H1117&gt;0,ISNUMBER($B$94)),I1117/H1117,"")</f>
        <v/>
      </c>
      <c r="K1117" s="11">
        <f>IF(AND(ISNUMBER(H1117),ISNUMBER(I1117),H1117&gt;0,ISNUMBER($B$94)),MAX(0,$B$94-3*SQRT($B$94*(1-$B$94)/H1117)),"")</f>
        <v/>
      </c>
      <c r="L1117" s="11">
        <f>IF(AND(ISNUMBER(H1117),ISNUMBER(I1117),H1117&gt;0,ISNUMBER($B$94)),$B$94+3*SQRT($B$94*(1-$B$94)/H1117),"")</f>
        <v/>
      </c>
      <c r="M1117" s="13">
        <f>IF(AND(ISNUMBER(J1117),ISNUMBER(K1117),ISNUMBER(L1117)),IF(J1117&gt;L1117,"boven UCL",IF(J1117&lt;K1117,"onder LCL","")),"")</f>
        <v/>
      </c>
      <c r="O1117" t="n">
        <v>1011</v>
      </c>
      <c r="P1117" s="7" t="n"/>
      <c r="Q1117" s="7" t="n"/>
      <c r="R1117" s="11">
        <f>IF(AND(ISNUMBER(P1117),ISNUMBER(Q1117),P1117&gt;0,ISNUMBER($B$100)),Q1117/P1117,"")</f>
        <v/>
      </c>
      <c r="S1117" s="11">
        <f>IF(AND(ISNUMBER(P1117),ISNUMBER(Q1117),P1117&gt;0,ISNUMBER($B$100)),MAX(0,$B$100-3*SQRT($B$100/P1117)),"")</f>
        <v/>
      </c>
      <c r="T1117" s="11">
        <f>IF(AND(ISNUMBER(P1117),ISNUMBER(Q1117),P1117&gt;0,ISNUMBER($B$100)),$B$100+3*SQRT($B$100/P1117),"")</f>
        <v/>
      </c>
      <c r="U1117" s="13">
        <f>IF(AND(ISNUMBER(R1117),ISNUMBER(S1117),ISNUMBER(T1117)),IF(R1117&gt;T1117,"boven UCL",IF(R1117&lt;S1117,"onder LCL","")),"")</f>
        <v/>
      </c>
    </row>
    <row r="1118">
      <c r="A1118" t="n">
        <v>1012</v>
      </c>
      <c r="B1118" s="7" t="n"/>
      <c r="C1118" s="11">
        <f>IF(AND(ISNUMBER(B1118),ISNUMBER(B1117)),ABS(B1118-B1117),"")</f>
        <v/>
      </c>
      <c r="D1118" s="13">
        <f>IF(AND(ISNUMBER(B1118),ISNUMBER($B$88),ISNUMBER($D$88)),IF(B1118&gt;$D$88,"boven UCL",IF(B1118&lt;$B$88,"onder LCL","")),"")</f>
        <v/>
      </c>
      <c r="E1118" s="13">
        <f>IF(AND(ISNUMBER(C1118),ISNUMBER($B$89),ISNUMBER($D$89)),IF(C1118&gt;$D$89,"boven UCL",IF(C1118&lt;$B$89,"onder LCL","")),"")</f>
        <v/>
      </c>
      <c r="G1118" t="n">
        <v>1012</v>
      </c>
      <c r="H1118" s="7" t="n"/>
      <c r="I1118" s="7" t="n"/>
      <c r="J1118" s="11">
        <f>IF(AND(ISNUMBER(H1118),ISNUMBER(I1118),H1118&gt;0,ISNUMBER($B$94)),I1118/H1118,"")</f>
        <v/>
      </c>
      <c r="K1118" s="11">
        <f>IF(AND(ISNUMBER(H1118),ISNUMBER(I1118),H1118&gt;0,ISNUMBER($B$94)),MAX(0,$B$94-3*SQRT($B$94*(1-$B$94)/H1118)),"")</f>
        <v/>
      </c>
      <c r="L1118" s="11">
        <f>IF(AND(ISNUMBER(H1118),ISNUMBER(I1118),H1118&gt;0,ISNUMBER($B$94)),$B$94+3*SQRT($B$94*(1-$B$94)/H1118),"")</f>
        <v/>
      </c>
      <c r="M1118" s="13">
        <f>IF(AND(ISNUMBER(J1118),ISNUMBER(K1118),ISNUMBER(L1118)),IF(J1118&gt;L1118,"boven UCL",IF(J1118&lt;K1118,"onder LCL","")),"")</f>
        <v/>
      </c>
      <c r="O1118" t="n">
        <v>1012</v>
      </c>
      <c r="P1118" s="7" t="n"/>
      <c r="Q1118" s="7" t="n"/>
      <c r="R1118" s="11">
        <f>IF(AND(ISNUMBER(P1118),ISNUMBER(Q1118),P1118&gt;0,ISNUMBER($B$100)),Q1118/P1118,"")</f>
        <v/>
      </c>
      <c r="S1118" s="11">
        <f>IF(AND(ISNUMBER(P1118),ISNUMBER(Q1118),P1118&gt;0,ISNUMBER($B$100)),MAX(0,$B$100-3*SQRT($B$100/P1118)),"")</f>
        <v/>
      </c>
      <c r="T1118" s="11">
        <f>IF(AND(ISNUMBER(P1118),ISNUMBER(Q1118),P1118&gt;0,ISNUMBER($B$100)),$B$100+3*SQRT($B$100/P1118),"")</f>
        <v/>
      </c>
      <c r="U1118" s="13">
        <f>IF(AND(ISNUMBER(R1118),ISNUMBER(S1118),ISNUMBER(T1118)),IF(R1118&gt;T1118,"boven UCL",IF(R1118&lt;S1118,"onder LCL","")),"")</f>
        <v/>
      </c>
    </row>
    <row r="1119">
      <c r="A1119" t="n">
        <v>1013</v>
      </c>
      <c r="B1119" s="7" t="n"/>
      <c r="C1119" s="11">
        <f>IF(AND(ISNUMBER(B1119),ISNUMBER(B1118)),ABS(B1119-B1118),"")</f>
        <v/>
      </c>
      <c r="D1119" s="13">
        <f>IF(AND(ISNUMBER(B1119),ISNUMBER($B$88),ISNUMBER($D$88)),IF(B1119&gt;$D$88,"boven UCL",IF(B1119&lt;$B$88,"onder LCL","")),"")</f>
        <v/>
      </c>
      <c r="E1119" s="13">
        <f>IF(AND(ISNUMBER(C1119),ISNUMBER($B$89),ISNUMBER($D$89)),IF(C1119&gt;$D$89,"boven UCL",IF(C1119&lt;$B$89,"onder LCL","")),"")</f>
        <v/>
      </c>
      <c r="G1119" t="n">
        <v>1013</v>
      </c>
      <c r="H1119" s="7" t="n"/>
      <c r="I1119" s="7" t="n"/>
      <c r="J1119" s="11">
        <f>IF(AND(ISNUMBER(H1119),ISNUMBER(I1119),H1119&gt;0,ISNUMBER($B$94)),I1119/H1119,"")</f>
        <v/>
      </c>
      <c r="K1119" s="11">
        <f>IF(AND(ISNUMBER(H1119),ISNUMBER(I1119),H1119&gt;0,ISNUMBER($B$94)),MAX(0,$B$94-3*SQRT($B$94*(1-$B$94)/H1119)),"")</f>
        <v/>
      </c>
      <c r="L1119" s="11">
        <f>IF(AND(ISNUMBER(H1119),ISNUMBER(I1119),H1119&gt;0,ISNUMBER($B$94)),$B$94+3*SQRT($B$94*(1-$B$94)/H1119),"")</f>
        <v/>
      </c>
      <c r="M1119" s="13">
        <f>IF(AND(ISNUMBER(J1119),ISNUMBER(K1119),ISNUMBER(L1119)),IF(J1119&gt;L1119,"boven UCL",IF(J1119&lt;K1119,"onder LCL","")),"")</f>
        <v/>
      </c>
      <c r="O1119" t="n">
        <v>1013</v>
      </c>
      <c r="P1119" s="7" t="n"/>
      <c r="Q1119" s="7" t="n"/>
      <c r="R1119" s="11">
        <f>IF(AND(ISNUMBER(P1119),ISNUMBER(Q1119),P1119&gt;0,ISNUMBER($B$100)),Q1119/P1119,"")</f>
        <v/>
      </c>
      <c r="S1119" s="11">
        <f>IF(AND(ISNUMBER(P1119),ISNUMBER(Q1119),P1119&gt;0,ISNUMBER($B$100)),MAX(0,$B$100-3*SQRT($B$100/P1119)),"")</f>
        <v/>
      </c>
      <c r="T1119" s="11">
        <f>IF(AND(ISNUMBER(P1119),ISNUMBER(Q1119),P1119&gt;0,ISNUMBER($B$100)),$B$100+3*SQRT($B$100/P1119),"")</f>
        <v/>
      </c>
      <c r="U1119" s="13">
        <f>IF(AND(ISNUMBER(R1119),ISNUMBER(S1119),ISNUMBER(T1119)),IF(R1119&gt;T1119,"boven UCL",IF(R1119&lt;S1119,"onder LCL","")),"")</f>
        <v/>
      </c>
    </row>
    <row r="1120">
      <c r="A1120" t="n">
        <v>1014</v>
      </c>
      <c r="B1120" s="7" t="n"/>
      <c r="C1120" s="11">
        <f>IF(AND(ISNUMBER(B1120),ISNUMBER(B1119)),ABS(B1120-B1119),"")</f>
        <v/>
      </c>
      <c r="D1120" s="13">
        <f>IF(AND(ISNUMBER(B1120),ISNUMBER($B$88),ISNUMBER($D$88)),IF(B1120&gt;$D$88,"boven UCL",IF(B1120&lt;$B$88,"onder LCL","")),"")</f>
        <v/>
      </c>
      <c r="E1120" s="13">
        <f>IF(AND(ISNUMBER(C1120),ISNUMBER($B$89),ISNUMBER($D$89)),IF(C1120&gt;$D$89,"boven UCL",IF(C1120&lt;$B$89,"onder LCL","")),"")</f>
        <v/>
      </c>
      <c r="G1120" t="n">
        <v>1014</v>
      </c>
      <c r="H1120" s="7" t="n"/>
      <c r="I1120" s="7" t="n"/>
      <c r="J1120" s="11">
        <f>IF(AND(ISNUMBER(H1120),ISNUMBER(I1120),H1120&gt;0,ISNUMBER($B$94)),I1120/H1120,"")</f>
        <v/>
      </c>
      <c r="K1120" s="11">
        <f>IF(AND(ISNUMBER(H1120),ISNUMBER(I1120),H1120&gt;0,ISNUMBER($B$94)),MAX(0,$B$94-3*SQRT($B$94*(1-$B$94)/H1120)),"")</f>
        <v/>
      </c>
      <c r="L1120" s="11">
        <f>IF(AND(ISNUMBER(H1120),ISNUMBER(I1120),H1120&gt;0,ISNUMBER($B$94)),$B$94+3*SQRT($B$94*(1-$B$94)/H1120),"")</f>
        <v/>
      </c>
      <c r="M1120" s="13">
        <f>IF(AND(ISNUMBER(J1120),ISNUMBER(K1120),ISNUMBER(L1120)),IF(J1120&gt;L1120,"boven UCL",IF(J1120&lt;K1120,"onder LCL","")),"")</f>
        <v/>
      </c>
      <c r="O1120" t="n">
        <v>1014</v>
      </c>
      <c r="P1120" s="7" t="n"/>
      <c r="Q1120" s="7" t="n"/>
      <c r="R1120" s="11">
        <f>IF(AND(ISNUMBER(P1120),ISNUMBER(Q1120),P1120&gt;0,ISNUMBER($B$100)),Q1120/P1120,"")</f>
        <v/>
      </c>
      <c r="S1120" s="11">
        <f>IF(AND(ISNUMBER(P1120),ISNUMBER(Q1120),P1120&gt;0,ISNUMBER($B$100)),MAX(0,$B$100-3*SQRT($B$100/P1120)),"")</f>
        <v/>
      </c>
      <c r="T1120" s="11">
        <f>IF(AND(ISNUMBER(P1120),ISNUMBER(Q1120),P1120&gt;0,ISNUMBER($B$100)),$B$100+3*SQRT($B$100/P1120),"")</f>
        <v/>
      </c>
      <c r="U1120" s="13">
        <f>IF(AND(ISNUMBER(R1120),ISNUMBER(S1120),ISNUMBER(T1120)),IF(R1120&gt;T1120,"boven UCL",IF(R1120&lt;S1120,"onder LCL","")),"")</f>
        <v/>
      </c>
    </row>
    <row r="1121">
      <c r="A1121" t="n">
        <v>1015</v>
      </c>
      <c r="B1121" s="7" t="n"/>
      <c r="C1121" s="11">
        <f>IF(AND(ISNUMBER(B1121),ISNUMBER(B1120)),ABS(B1121-B1120),"")</f>
        <v/>
      </c>
      <c r="D1121" s="13">
        <f>IF(AND(ISNUMBER(B1121),ISNUMBER($B$88),ISNUMBER($D$88)),IF(B1121&gt;$D$88,"boven UCL",IF(B1121&lt;$B$88,"onder LCL","")),"")</f>
        <v/>
      </c>
      <c r="E1121" s="13">
        <f>IF(AND(ISNUMBER(C1121),ISNUMBER($B$89),ISNUMBER($D$89)),IF(C1121&gt;$D$89,"boven UCL",IF(C1121&lt;$B$89,"onder LCL","")),"")</f>
        <v/>
      </c>
      <c r="G1121" t="n">
        <v>1015</v>
      </c>
      <c r="H1121" s="7" t="n"/>
      <c r="I1121" s="7" t="n"/>
      <c r="J1121" s="11">
        <f>IF(AND(ISNUMBER(H1121),ISNUMBER(I1121),H1121&gt;0,ISNUMBER($B$94)),I1121/H1121,"")</f>
        <v/>
      </c>
      <c r="K1121" s="11">
        <f>IF(AND(ISNUMBER(H1121),ISNUMBER(I1121),H1121&gt;0,ISNUMBER($B$94)),MAX(0,$B$94-3*SQRT($B$94*(1-$B$94)/H1121)),"")</f>
        <v/>
      </c>
      <c r="L1121" s="11">
        <f>IF(AND(ISNUMBER(H1121),ISNUMBER(I1121),H1121&gt;0,ISNUMBER($B$94)),$B$94+3*SQRT($B$94*(1-$B$94)/H1121),"")</f>
        <v/>
      </c>
      <c r="M1121" s="13">
        <f>IF(AND(ISNUMBER(J1121),ISNUMBER(K1121),ISNUMBER(L1121)),IF(J1121&gt;L1121,"boven UCL",IF(J1121&lt;K1121,"onder LCL","")),"")</f>
        <v/>
      </c>
      <c r="O1121" t="n">
        <v>1015</v>
      </c>
      <c r="P1121" s="7" t="n"/>
      <c r="Q1121" s="7" t="n"/>
      <c r="R1121" s="11">
        <f>IF(AND(ISNUMBER(P1121),ISNUMBER(Q1121),P1121&gt;0,ISNUMBER($B$100)),Q1121/P1121,"")</f>
        <v/>
      </c>
      <c r="S1121" s="11">
        <f>IF(AND(ISNUMBER(P1121),ISNUMBER(Q1121),P1121&gt;0,ISNUMBER($B$100)),MAX(0,$B$100-3*SQRT($B$100/P1121)),"")</f>
        <v/>
      </c>
      <c r="T1121" s="11">
        <f>IF(AND(ISNUMBER(P1121),ISNUMBER(Q1121),P1121&gt;0,ISNUMBER($B$100)),$B$100+3*SQRT($B$100/P1121),"")</f>
        <v/>
      </c>
      <c r="U1121" s="13">
        <f>IF(AND(ISNUMBER(R1121),ISNUMBER(S1121),ISNUMBER(T1121)),IF(R1121&gt;T1121,"boven UCL",IF(R1121&lt;S1121,"onder LCL","")),"")</f>
        <v/>
      </c>
    </row>
    <row r="1122">
      <c r="A1122" t="n">
        <v>1016</v>
      </c>
      <c r="B1122" s="7" t="n"/>
      <c r="C1122" s="11">
        <f>IF(AND(ISNUMBER(B1122),ISNUMBER(B1121)),ABS(B1122-B1121),"")</f>
        <v/>
      </c>
      <c r="D1122" s="13">
        <f>IF(AND(ISNUMBER(B1122),ISNUMBER($B$88),ISNUMBER($D$88)),IF(B1122&gt;$D$88,"boven UCL",IF(B1122&lt;$B$88,"onder LCL","")),"")</f>
        <v/>
      </c>
      <c r="E1122" s="13">
        <f>IF(AND(ISNUMBER(C1122),ISNUMBER($B$89),ISNUMBER($D$89)),IF(C1122&gt;$D$89,"boven UCL",IF(C1122&lt;$B$89,"onder LCL","")),"")</f>
        <v/>
      </c>
      <c r="G1122" t="n">
        <v>1016</v>
      </c>
      <c r="H1122" s="7" t="n"/>
      <c r="I1122" s="7" t="n"/>
      <c r="J1122" s="11">
        <f>IF(AND(ISNUMBER(H1122),ISNUMBER(I1122),H1122&gt;0,ISNUMBER($B$94)),I1122/H1122,"")</f>
        <v/>
      </c>
      <c r="K1122" s="11">
        <f>IF(AND(ISNUMBER(H1122),ISNUMBER(I1122),H1122&gt;0,ISNUMBER($B$94)),MAX(0,$B$94-3*SQRT($B$94*(1-$B$94)/H1122)),"")</f>
        <v/>
      </c>
      <c r="L1122" s="11">
        <f>IF(AND(ISNUMBER(H1122),ISNUMBER(I1122),H1122&gt;0,ISNUMBER($B$94)),$B$94+3*SQRT($B$94*(1-$B$94)/H1122),"")</f>
        <v/>
      </c>
      <c r="M1122" s="13">
        <f>IF(AND(ISNUMBER(J1122),ISNUMBER(K1122),ISNUMBER(L1122)),IF(J1122&gt;L1122,"boven UCL",IF(J1122&lt;K1122,"onder LCL","")),"")</f>
        <v/>
      </c>
      <c r="O1122" t="n">
        <v>1016</v>
      </c>
      <c r="P1122" s="7" t="n"/>
      <c r="Q1122" s="7" t="n"/>
      <c r="R1122" s="11">
        <f>IF(AND(ISNUMBER(P1122),ISNUMBER(Q1122),P1122&gt;0,ISNUMBER($B$100)),Q1122/P1122,"")</f>
        <v/>
      </c>
      <c r="S1122" s="11">
        <f>IF(AND(ISNUMBER(P1122),ISNUMBER(Q1122),P1122&gt;0,ISNUMBER($B$100)),MAX(0,$B$100-3*SQRT($B$100/P1122)),"")</f>
        <v/>
      </c>
      <c r="T1122" s="11">
        <f>IF(AND(ISNUMBER(P1122),ISNUMBER(Q1122),P1122&gt;0,ISNUMBER($B$100)),$B$100+3*SQRT($B$100/P1122),"")</f>
        <v/>
      </c>
      <c r="U1122" s="13">
        <f>IF(AND(ISNUMBER(R1122),ISNUMBER(S1122),ISNUMBER(T1122)),IF(R1122&gt;T1122,"boven UCL",IF(R1122&lt;S1122,"onder LCL","")),"")</f>
        <v/>
      </c>
    </row>
    <row r="1123">
      <c r="A1123" t="n">
        <v>1017</v>
      </c>
      <c r="B1123" s="7" t="n"/>
      <c r="C1123" s="11">
        <f>IF(AND(ISNUMBER(B1123),ISNUMBER(B1122)),ABS(B1123-B1122),"")</f>
        <v/>
      </c>
      <c r="D1123" s="13">
        <f>IF(AND(ISNUMBER(B1123),ISNUMBER($B$88),ISNUMBER($D$88)),IF(B1123&gt;$D$88,"boven UCL",IF(B1123&lt;$B$88,"onder LCL","")),"")</f>
        <v/>
      </c>
      <c r="E1123" s="13">
        <f>IF(AND(ISNUMBER(C1123),ISNUMBER($B$89),ISNUMBER($D$89)),IF(C1123&gt;$D$89,"boven UCL",IF(C1123&lt;$B$89,"onder LCL","")),"")</f>
        <v/>
      </c>
      <c r="G1123" t="n">
        <v>1017</v>
      </c>
      <c r="H1123" s="7" t="n"/>
      <c r="I1123" s="7" t="n"/>
      <c r="J1123" s="11">
        <f>IF(AND(ISNUMBER(H1123),ISNUMBER(I1123),H1123&gt;0,ISNUMBER($B$94)),I1123/H1123,"")</f>
        <v/>
      </c>
      <c r="K1123" s="11">
        <f>IF(AND(ISNUMBER(H1123),ISNUMBER(I1123),H1123&gt;0,ISNUMBER($B$94)),MAX(0,$B$94-3*SQRT($B$94*(1-$B$94)/H1123)),"")</f>
        <v/>
      </c>
      <c r="L1123" s="11">
        <f>IF(AND(ISNUMBER(H1123),ISNUMBER(I1123),H1123&gt;0,ISNUMBER($B$94)),$B$94+3*SQRT($B$94*(1-$B$94)/H1123),"")</f>
        <v/>
      </c>
      <c r="M1123" s="13">
        <f>IF(AND(ISNUMBER(J1123),ISNUMBER(K1123),ISNUMBER(L1123)),IF(J1123&gt;L1123,"boven UCL",IF(J1123&lt;K1123,"onder LCL","")),"")</f>
        <v/>
      </c>
      <c r="O1123" t="n">
        <v>1017</v>
      </c>
      <c r="P1123" s="7" t="n"/>
      <c r="Q1123" s="7" t="n"/>
      <c r="R1123" s="11">
        <f>IF(AND(ISNUMBER(P1123),ISNUMBER(Q1123),P1123&gt;0,ISNUMBER($B$100)),Q1123/P1123,"")</f>
        <v/>
      </c>
      <c r="S1123" s="11">
        <f>IF(AND(ISNUMBER(P1123),ISNUMBER(Q1123),P1123&gt;0,ISNUMBER($B$100)),MAX(0,$B$100-3*SQRT($B$100/P1123)),"")</f>
        <v/>
      </c>
      <c r="T1123" s="11">
        <f>IF(AND(ISNUMBER(P1123),ISNUMBER(Q1123),P1123&gt;0,ISNUMBER($B$100)),$B$100+3*SQRT($B$100/P1123),"")</f>
        <v/>
      </c>
      <c r="U1123" s="13">
        <f>IF(AND(ISNUMBER(R1123),ISNUMBER(S1123),ISNUMBER(T1123)),IF(R1123&gt;T1123,"boven UCL",IF(R1123&lt;S1123,"onder LCL","")),"")</f>
        <v/>
      </c>
    </row>
    <row r="1124">
      <c r="A1124" t="n">
        <v>1018</v>
      </c>
      <c r="B1124" s="7" t="n"/>
      <c r="C1124" s="11">
        <f>IF(AND(ISNUMBER(B1124),ISNUMBER(B1123)),ABS(B1124-B1123),"")</f>
        <v/>
      </c>
      <c r="D1124" s="13">
        <f>IF(AND(ISNUMBER(B1124),ISNUMBER($B$88),ISNUMBER($D$88)),IF(B1124&gt;$D$88,"boven UCL",IF(B1124&lt;$B$88,"onder LCL","")),"")</f>
        <v/>
      </c>
      <c r="E1124" s="13">
        <f>IF(AND(ISNUMBER(C1124),ISNUMBER($B$89),ISNUMBER($D$89)),IF(C1124&gt;$D$89,"boven UCL",IF(C1124&lt;$B$89,"onder LCL","")),"")</f>
        <v/>
      </c>
      <c r="G1124" t="n">
        <v>1018</v>
      </c>
      <c r="H1124" s="7" t="n"/>
      <c r="I1124" s="7" t="n"/>
      <c r="J1124" s="11">
        <f>IF(AND(ISNUMBER(H1124),ISNUMBER(I1124),H1124&gt;0,ISNUMBER($B$94)),I1124/H1124,"")</f>
        <v/>
      </c>
      <c r="K1124" s="11">
        <f>IF(AND(ISNUMBER(H1124),ISNUMBER(I1124),H1124&gt;0,ISNUMBER($B$94)),MAX(0,$B$94-3*SQRT($B$94*(1-$B$94)/H1124)),"")</f>
        <v/>
      </c>
      <c r="L1124" s="11">
        <f>IF(AND(ISNUMBER(H1124),ISNUMBER(I1124),H1124&gt;0,ISNUMBER($B$94)),$B$94+3*SQRT($B$94*(1-$B$94)/H1124),"")</f>
        <v/>
      </c>
      <c r="M1124" s="13">
        <f>IF(AND(ISNUMBER(J1124),ISNUMBER(K1124),ISNUMBER(L1124)),IF(J1124&gt;L1124,"boven UCL",IF(J1124&lt;K1124,"onder LCL","")),"")</f>
        <v/>
      </c>
      <c r="O1124" t="n">
        <v>1018</v>
      </c>
      <c r="P1124" s="7" t="n"/>
      <c r="Q1124" s="7" t="n"/>
      <c r="R1124" s="11">
        <f>IF(AND(ISNUMBER(P1124),ISNUMBER(Q1124),P1124&gt;0,ISNUMBER($B$100)),Q1124/P1124,"")</f>
        <v/>
      </c>
      <c r="S1124" s="11">
        <f>IF(AND(ISNUMBER(P1124),ISNUMBER(Q1124),P1124&gt;0,ISNUMBER($B$100)),MAX(0,$B$100-3*SQRT($B$100/P1124)),"")</f>
        <v/>
      </c>
      <c r="T1124" s="11">
        <f>IF(AND(ISNUMBER(P1124),ISNUMBER(Q1124),P1124&gt;0,ISNUMBER($B$100)),$B$100+3*SQRT($B$100/P1124),"")</f>
        <v/>
      </c>
      <c r="U1124" s="13">
        <f>IF(AND(ISNUMBER(R1124),ISNUMBER(S1124),ISNUMBER(T1124)),IF(R1124&gt;T1124,"boven UCL",IF(R1124&lt;S1124,"onder LCL","")),"")</f>
        <v/>
      </c>
    </row>
    <row r="1125">
      <c r="A1125" t="n">
        <v>1019</v>
      </c>
      <c r="B1125" s="7" t="n"/>
      <c r="C1125" s="11">
        <f>IF(AND(ISNUMBER(B1125),ISNUMBER(B1124)),ABS(B1125-B1124),"")</f>
        <v/>
      </c>
      <c r="D1125" s="13">
        <f>IF(AND(ISNUMBER(B1125),ISNUMBER($B$88),ISNUMBER($D$88)),IF(B1125&gt;$D$88,"boven UCL",IF(B1125&lt;$B$88,"onder LCL","")),"")</f>
        <v/>
      </c>
      <c r="E1125" s="13">
        <f>IF(AND(ISNUMBER(C1125),ISNUMBER($B$89),ISNUMBER($D$89)),IF(C1125&gt;$D$89,"boven UCL",IF(C1125&lt;$B$89,"onder LCL","")),"")</f>
        <v/>
      </c>
      <c r="G1125" t="n">
        <v>1019</v>
      </c>
      <c r="H1125" s="7" t="n"/>
      <c r="I1125" s="7" t="n"/>
      <c r="J1125" s="11">
        <f>IF(AND(ISNUMBER(H1125),ISNUMBER(I1125),H1125&gt;0,ISNUMBER($B$94)),I1125/H1125,"")</f>
        <v/>
      </c>
      <c r="K1125" s="11">
        <f>IF(AND(ISNUMBER(H1125),ISNUMBER(I1125),H1125&gt;0,ISNUMBER($B$94)),MAX(0,$B$94-3*SQRT($B$94*(1-$B$94)/H1125)),"")</f>
        <v/>
      </c>
      <c r="L1125" s="11">
        <f>IF(AND(ISNUMBER(H1125),ISNUMBER(I1125),H1125&gt;0,ISNUMBER($B$94)),$B$94+3*SQRT($B$94*(1-$B$94)/H1125),"")</f>
        <v/>
      </c>
      <c r="M1125" s="13">
        <f>IF(AND(ISNUMBER(J1125),ISNUMBER(K1125),ISNUMBER(L1125)),IF(J1125&gt;L1125,"boven UCL",IF(J1125&lt;K1125,"onder LCL","")),"")</f>
        <v/>
      </c>
      <c r="O1125" t="n">
        <v>1019</v>
      </c>
      <c r="P1125" s="7" t="n"/>
      <c r="Q1125" s="7" t="n"/>
      <c r="R1125" s="11">
        <f>IF(AND(ISNUMBER(P1125),ISNUMBER(Q1125),P1125&gt;0,ISNUMBER($B$100)),Q1125/P1125,"")</f>
        <v/>
      </c>
      <c r="S1125" s="11">
        <f>IF(AND(ISNUMBER(P1125),ISNUMBER(Q1125),P1125&gt;0,ISNUMBER($B$100)),MAX(0,$B$100-3*SQRT($B$100/P1125)),"")</f>
        <v/>
      </c>
      <c r="T1125" s="11">
        <f>IF(AND(ISNUMBER(P1125),ISNUMBER(Q1125),P1125&gt;0,ISNUMBER($B$100)),$B$100+3*SQRT($B$100/P1125),"")</f>
        <v/>
      </c>
      <c r="U1125" s="13">
        <f>IF(AND(ISNUMBER(R1125),ISNUMBER(S1125),ISNUMBER(T1125)),IF(R1125&gt;T1125,"boven UCL",IF(R1125&lt;S1125,"onder LCL","")),"")</f>
        <v/>
      </c>
    </row>
    <row r="1126">
      <c r="A1126" t="n">
        <v>1020</v>
      </c>
      <c r="B1126" s="7" t="n"/>
      <c r="C1126" s="11">
        <f>IF(AND(ISNUMBER(B1126),ISNUMBER(B1125)),ABS(B1126-B1125),"")</f>
        <v/>
      </c>
      <c r="D1126" s="13">
        <f>IF(AND(ISNUMBER(B1126),ISNUMBER($B$88),ISNUMBER($D$88)),IF(B1126&gt;$D$88,"boven UCL",IF(B1126&lt;$B$88,"onder LCL","")),"")</f>
        <v/>
      </c>
      <c r="E1126" s="13">
        <f>IF(AND(ISNUMBER(C1126),ISNUMBER($B$89),ISNUMBER($D$89)),IF(C1126&gt;$D$89,"boven UCL",IF(C1126&lt;$B$89,"onder LCL","")),"")</f>
        <v/>
      </c>
      <c r="G1126" t="n">
        <v>1020</v>
      </c>
      <c r="H1126" s="7" t="n"/>
      <c r="I1126" s="7" t="n"/>
      <c r="J1126" s="11">
        <f>IF(AND(ISNUMBER(H1126),ISNUMBER(I1126),H1126&gt;0,ISNUMBER($B$94)),I1126/H1126,"")</f>
        <v/>
      </c>
      <c r="K1126" s="11">
        <f>IF(AND(ISNUMBER(H1126),ISNUMBER(I1126),H1126&gt;0,ISNUMBER($B$94)),MAX(0,$B$94-3*SQRT($B$94*(1-$B$94)/H1126)),"")</f>
        <v/>
      </c>
      <c r="L1126" s="11">
        <f>IF(AND(ISNUMBER(H1126),ISNUMBER(I1126),H1126&gt;0,ISNUMBER($B$94)),$B$94+3*SQRT($B$94*(1-$B$94)/H1126),"")</f>
        <v/>
      </c>
      <c r="M1126" s="13">
        <f>IF(AND(ISNUMBER(J1126),ISNUMBER(K1126),ISNUMBER(L1126)),IF(J1126&gt;L1126,"boven UCL",IF(J1126&lt;K1126,"onder LCL","")),"")</f>
        <v/>
      </c>
      <c r="O1126" t="n">
        <v>1020</v>
      </c>
      <c r="P1126" s="7" t="n"/>
      <c r="Q1126" s="7" t="n"/>
      <c r="R1126" s="11">
        <f>IF(AND(ISNUMBER(P1126),ISNUMBER(Q1126),P1126&gt;0,ISNUMBER($B$100)),Q1126/P1126,"")</f>
        <v/>
      </c>
      <c r="S1126" s="11">
        <f>IF(AND(ISNUMBER(P1126),ISNUMBER(Q1126),P1126&gt;0,ISNUMBER($B$100)),MAX(0,$B$100-3*SQRT($B$100/P1126)),"")</f>
        <v/>
      </c>
      <c r="T1126" s="11">
        <f>IF(AND(ISNUMBER(P1126),ISNUMBER(Q1126),P1126&gt;0,ISNUMBER($B$100)),$B$100+3*SQRT($B$100/P1126),"")</f>
        <v/>
      </c>
      <c r="U1126" s="13">
        <f>IF(AND(ISNUMBER(R1126),ISNUMBER(S1126),ISNUMBER(T1126)),IF(R1126&gt;T1126,"boven UCL",IF(R1126&lt;S1126,"onder LCL","")),"")</f>
        <v/>
      </c>
    </row>
    <row r="1127">
      <c r="A1127" t="n">
        <v>1021</v>
      </c>
      <c r="B1127" s="7" t="n"/>
      <c r="C1127" s="11">
        <f>IF(AND(ISNUMBER(B1127),ISNUMBER(B1126)),ABS(B1127-B1126),"")</f>
        <v/>
      </c>
      <c r="D1127" s="13">
        <f>IF(AND(ISNUMBER(B1127),ISNUMBER($B$88),ISNUMBER($D$88)),IF(B1127&gt;$D$88,"boven UCL",IF(B1127&lt;$B$88,"onder LCL","")),"")</f>
        <v/>
      </c>
      <c r="E1127" s="13">
        <f>IF(AND(ISNUMBER(C1127),ISNUMBER($B$89),ISNUMBER($D$89)),IF(C1127&gt;$D$89,"boven UCL",IF(C1127&lt;$B$89,"onder LCL","")),"")</f>
        <v/>
      </c>
      <c r="G1127" t="n">
        <v>1021</v>
      </c>
      <c r="H1127" s="7" t="n"/>
      <c r="I1127" s="7" t="n"/>
      <c r="J1127" s="11">
        <f>IF(AND(ISNUMBER(H1127),ISNUMBER(I1127),H1127&gt;0,ISNUMBER($B$94)),I1127/H1127,"")</f>
        <v/>
      </c>
      <c r="K1127" s="11">
        <f>IF(AND(ISNUMBER(H1127),ISNUMBER(I1127),H1127&gt;0,ISNUMBER($B$94)),MAX(0,$B$94-3*SQRT($B$94*(1-$B$94)/H1127)),"")</f>
        <v/>
      </c>
      <c r="L1127" s="11">
        <f>IF(AND(ISNUMBER(H1127),ISNUMBER(I1127),H1127&gt;0,ISNUMBER($B$94)),$B$94+3*SQRT($B$94*(1-$B$94)/H1127),"")</f>
        <v/>
      </c>
      <c r="M1127" s="13">
        <f>IF(AND(ISNUMBER(J1127),ISNUMBER(K1127),ISNUMBER(L1127)),IF(J1127&gt;L1127,"boven UCL",IF(J1127&lt;K1127,"onder LCL","")),"")</f>
        <v/>
      </c>
      <c r="O1127" t="n">
        <v>1021</v>
      </c>
      <c r="P1127" s="7" t="n"/>
      <c r="Q1127" s="7" t="n"/>
      <c r="R1127" s="11">
        <f>IF(AND(ISNUMBER(P1127),ISNUMBER(Q1127),P1127&gt;0,ISNUMBER($B$100)),Q1127/P1127,"")</f>
        <v/>
      </c>
      <c r="S1127" s="11">
        <f>IF(AND(ISNUMBER(P1127),ISNUMBER(Q1127),P1127&gt;0,ISNUMBER($B$100)),MAX(0,$B$100-3*SQRT($B$100/P1127)),"")</f>
        <v/>
      </c>
      <c r="T1127" s="11">
        <f>IF(AND(ISNUMBER(P1127),ISNUMBER(Q1127),P1127&gt;0,ISNUMBER($B$100)),$B$100+3*SQRT($B$100/P1127),"")</f>
        <v/>
      </c>
      <c r="U1127" s="13">
        <f>IF(AND(ISNUMBER(R1127),ISNUMBER(S1127),ISNUMBER(T1127)),IF(R1127&gt;T1127,"boven UCL",IF(R1127&lt;S1127,"onder LCL","")),"")</f>
        <v/>
      </c>
    </row>
    <row r="1128">
      <c r="A1128" t="n">
        <v>1022</v>
      </c>
      <c r="B1128" s="7" t="n"/>
      <c r="C1128" s="11">
        <f>IF(AND(ISNUMBER(B1128),ISNUMBER(B1127)),ABS(B1128-B1127),"")</f>
        <v/>
      </c>
      <c r="D1128" s="13">
        <f>IF(AND(ISNUMBER(B1128),ISNUMBER($B$88),ISNUMBER($D$88)),IF(B1128&gt;$D$88,"boven UCL",IF(B1128&lt;$B$88,"onder LCL","")),"")</f>
        <v/>
      </c>
      <c r="E1128" s="13">
        <f>IF(AND(ISNUMBER(C1128),ISNUMBER($B$89),ISNUMBER($D$89)),IF(C1128&gt;$D$89,"boven UCL",IF(C1128&lt;$B$89,"onder LCL","")),"")</f>
        <v/>
      </c>
      <c r="G1128" t="n">
        <v>1022</v>
      </c>
      <c r="H1128" s="7" t="n"/>
      <c r="I1128" s="7" t="n"/>
      <c r="J1128" s="11">
        <f>IF(AND(ISNUMBER(H1128),ISNUMBER(I1128),H1128&gt;0,ISNUMBER($B$94)),I1128/H1128,"")</f>
        <v/>
      </c>
      <c r="K1128" s="11">
        <f>IF(AND(ISNUMBER(H1128),ISNUMBER(I1128),H1128&gt;0,ISNUMBER($B$94)),MAX(0,$B$94-3*SQRT($B$94*(1-$B$94)/H1128)),"")</f>
        <v/>
      </c>
      <c r="L1128" s="11">
        <f>IF(AND(ISNUMBER(H1128),ISNUMBER(I1128),H1128&gt;0,ISNUMBER($B$94)),$B$94+3*SQRT($B$94*(1-$B$94)/H1128),"")</f>
        <v/>
      </c>
      <c r="M1128" s="13">
        <f>IF(AND(ISNUMBER(J1128),ISNUMBER(K1128),ISNUMBER(L1128)),IF(J1128&gt;L1128,"boven UCL",IF(J1128&lt;K1128,"onder LCL","")),"")</f>
        <v/>
      </c>
      <c r="O1128" t="n">
        <v>1022</v>
      </c>
      <c r="P1128" s="7" t="n"/>
      <c r="Q1128" s="7" t="n"/>
      <c r="R1128" s="11">
        <f>IF(AND(ISNUMBER(P1128),ISNUMBER(Q1128),P1128&gt;0,ISNUMBER($B$100)),Q1128/P1128,"")</f>
        <v/>
      </c>
      <c r="S1128" s="11">
        <f>IF(AND(ISNUMBER(P1128),ISNUMBER(Q1128),P1128&gt;0,ISNUMBER($B$100)),MAX(0,$B$100-3*SQRT($B$100/P1128)),"")</f>
        <v/>
      </c>
      <c r="T1128" s="11">
        <f>IF(AND(ISNUMBER(P1128),ISNUMBER(Q1128),P1128&gt;0,ISNUMBER($B$100)),$B$100+3*SQRT($B$100/P1128),"")</f>
        <v/>
      </c>
      <c r="U1128" s="13">
        <f>IF(AND(ISNUMBER(R1128),ISNUMBER(S1128),ISNUMBER(T1128)),IF(R1128&gt;T1128,"boven UCL",IF(R1128&lt;S1128,"onder LCL","")),"")</f>
        <v/>
      </c>
    </row>
    <row r="1129">
      <c r="A1129" t="n">
        <v>1023</v>
      </c>
      <c r="B1129" s="7" t="n"/>
      <c r="C1129" s="11">
        <f>IF(AND(ISNUMBER(B1129),ISNUMBER(B1128)),ABS(B1129-B1128),"")</f>
        <v/>
      </c>
      <c r="D1129" s="13">
        <f>IF(AND(ISNUMBER(B1129),ISNUMBER($B$88),ISNUMBER($D$88)),IF(B1129&gt;$D$88,"boven UCL",IF(B1129&lt;$B$88,"onder LCL","")),"")</f>
        <v/>
      </c>
      <c r="E1129" s="13">
        <f>IF(AND(ISNUMBER(C1129),ISNUMBER($B$89),ISNUMBER($D$89)),IF(C1129&gt;$D$89,"boven UCL",IF(C1129&lt;$B$89,"onder LCL","")),"")</f>
        <v/>
      </c>
      <c r="G1129" t="n">
        <v>1023</v>
      </c>
      <c r="H1129" s="7" t="n"/>
      <c r="I1129" s="7" t="n"/>
      <c r="J1129" s="11">
        <f>IF(AND(ISNUMBER(H1129),ISNUMBER(I1129),H1129&gt;0,ISNUMBER($B$94)),I1129/H1129,"")</f>
        <v/>
      </c>
      <c r="K1129" s="11">
        <f>IF(AND(ISNUMBER(H1129),ISNUMBER(I1129),H1129&gt;0,ISNUMBER($B$94)),MAX(0,$B$94-3*SQRT($B$94*(1-$B$94)/H1129)),"")</f>
        <v/>
      </c>
      <c r="L1129" s="11">
        <f>IF(AND(ISNUMBER(H1129),ISNUMBER(I1129),H1129&gt;0,ISNUMBER($B$94)),$B$94+3*SQRT($B$94*(1-$B$94)/H1129),"")</f>
        <v/>
      </c>
      <c r="M1129" s="13">
        <f>IF(AND(ISNUMBER(J1129),ISNUMBER(K1129),ISNUMBER(L1129)),IF(J1129&gt;L1129,"boven UCL",IF(J1129&lt;K1129,"onder LCL","")),"")</f>
        <v/>
      </c>
      <c r="O1129" t="n">
        <v>1023</v>
      </c>
      <c r="P1129" s="7" t="n"/>
      <c r="Q1129" s="7" t="n"/>
      <c r="R1129" s="11">
        <f>IF(AND(ISNUMBER(P1129),ISNUMBER(Q1129),P1129&gt;0,ISNUMBER($B$100)),Q1129/P1129,"")</f>
        <v/>
      </c>
      <c r="S1129" s="11">
        <f>IF(AND(ISNUMBER(P1129),ISNUMBER(Q1129),P1129&gt;0,ISNUMBER($B$100)),MAX(0,$B$100-3*SQRT($B$100/P1129)),"")</f>
        <v/>
      </c>
      <c r="T1129" s="11">
        <f>IF(AND(ISNUMBER(P1129),ISNUMBER(Q1129),P1129&gt;0,ISNUMBER($B$100)),$B$100+3*SQRT($B$100/P1129),"")</f>
        <v/>
      </c>
      <c r="U1129" s="13">
        <f>IF(AND(ISNUMBER(R1129),ISNUMBER(S1129),ISNUMBER(T1129)),IF(R1129&gt;T1129,"boven UCL",IF(R1129&lt;S1129,"onder LCL","")),"")</f>
        <v/>
      </c>
    </row>
    <row r="1130">
      <c r="A1130" t="n">
        <v>1024</v>
      </c>
      <c r="B1130" s="7" t="n"/>
      <c r="C1130" s="11">
        <f>IF(AND(ISNUMBER(B1130),ISNUMBER(B1129)),ABS(B1130-B1129),"")</f>
        <v/>
      </c>
      <c r="D1130" s="13">
        <f>IF(AND(ISNUMBER(B1130),ISNUMBER($B$88),ISNUMBER($D$88)),IF(B1130&gt;$D$88,"boven UCL",IF(B1130&lt;$B$88,"onder LCL","")),"")</f>
        <v/>
      </c>
      <c r="E1130" s="13">
        <f>IF(AND(ISNUMBER(C1130),ISNUMBER($B$89),ISNUMBER($D$89)),IF(C1130&gt;$D$89,"boven UCL",IF(C1130&lt;$B$89,"onder LCL","")),"")</f>
        <v/>
      </c>
      <c r="G1130" t="n">
        <v>1024</v>
      </c>
      <c r="H1130" s="7" t="n"/>
      <c r="I1130" s="7" t="n"/>
      <c r="J1130" s="11">
        <f>IF(AND(ISNUMBER(H1130),ISNUMBER(I1130),H1130&gt;0,ISNUMBER($B$94)),I1130/H1130,"")</f>
        <v/>
      </c>
      <c r="K1130" s="11">
        <f>IF(AND(ISNUMBER(H1130),ISNUMBER(I1130),H1130&gt;0,ISNUMBER($B$94)),MAX(0,$B$94-3*SQRT($B$94*(1-$B$94)/H1130)),"")</f>
        <v/>
      </c>
      <c r="L1130" s="11">
        <f>IF(AND(ISNUMBER(H1130),ISNUMBER(I1130),H1130&gt;0,ISNUMBER($B$94)),$B$94+3*SQRT($B$94*(1-$B$94)/H1130),"")</f>
        <v/>
      </c>
      <c r="M1130" s="13">
        <f>IF(AND(ISNUMBER(J1130),ISNUMBER(K1130),ISNUMBER(L1130)),IF(J1130&gt;L1130,"boven UCL",IF(J1130&lt;K1130,"onder LCL","")),"")</f>
        <v/>
      </c>
      <c r="O1130" t="n">
        <v>1024</v>
      </c>
      <c r="P1130" s="7" t="n"/>
      <c r="Q1130" s="7" t="n"/>
      <c r="R1130" s="11">
        <f>IF(AND(ISNUMBER(P1130),ISNUMBER(Q1130),P1130&gt;0,ISNUMBER($B$100)),Q1130/P1130,"")</f>
        <v/>
      </c>
      <c r="S1130" s="11">
        <f>IF(AND(ISNUMBER(P1130),ISNUMBER(Q1130),P1130&gt;0,ISNUMBER($B$100)),MAX(0,$B$100-3*SQRT($B$100/P1130)),"")</f>
        <v/>
      </c>
      <c r="T1130" s="11">
        <f>IF(AND(ISNUMBER(P1130),ISNUMBER(Q1130),P1130&gt;0,ISNUMBER($B$100)),$B$100+3*SQRT($B$100/P1130),"")</f>
        <v/>
      </c>
      <c r="U1130" s="13">
        <f>IF(AND(ISNUMBER(R1130),ISNUMBER(S1130),ISNUMBER(T1130)),IF(R1130&gt;T1130,"boven UCL",IF(R1130&lt;S1130,"onder LCL","")),"")</f>
        <v/>
      </c>
    </row>
    <row r="1131">
      <c r="A1131" t="n">
        <v>1025</v>
      </c>
      <c r="B1131" s="7" t="n"/>
      <c r="C1131" s="11">
        <f>IF(AND(ISNUMBER(B1131),ISNUMBER(B1130)),ABS(B1131-B1130),"")</f>
        <v/>
      </c>
      <c r="D1131" s="13">
        <f>IF(AND(ISNUMBER(B1131),ISNUMBER($B$88),ISNUMBER($D$88)),IF(B1131&gt;$D$88,"boven UCL",IF(B1131&lt;$B$88,"onder LCL","")),"")</f>
        <v/>
      </c>
      <c r="E1131" s="13">
        <f>IF(AND(ISNUMBER(C1131),ISNUMBER($B$89),ISNUMBER($D$89)),IF(C1131&gt;$D$89,"boven UCL",IF(C1131&lt;$B$89,"onder LCL","")),"")</f>
        <v/>
      </c>
      <c r="G1131" t="n">
        <v>1025</v>
      </c>
      <c r="H1131" s="7" t="n"/>
      <c r="I1131" s="7" t="n"/>
      <c r="J1131" s="11">
        <f>IF(AND(ISNUMBER(H1131),ISNUMBER(I1131),H1131&gt;0,ISNUMBER($B$94)),I1131/H1131,"")</f>
        <v/>
      </c>
      <c r="K1131" s="11">
        <f>IF(AND(ISNUMBER(H1131),ISNUMBER(I1131),H1131&gt;0,ISNUMBER($B$94)),MAX(0,$B$94-3*SQRT($B$94*(1-$B$94)/H1131)),"")</f>
        <v/>
      </c>
      <c r="L1131" s="11">
        <f>IF(AND(ISNUMBER(H1131),ISNUMBER(I1131),H1131&gt;0,ISNUMBER($B$94)),$B$94+3*SQRT($B$94*(1-$B$94)/H1131),"")</f>
        <v/>
      </c>
      <c r="M1131" s="13">
        <f>IF(AND(ISNUMBER(J1131),ISNUMBER(K1131),ISNUMBER(L1131)),IF(J1131&gt;L1131,"boven UCL",IF(J1131&lt;K1131,"onder LCL","")),"")</f>
        <v/>
      </c>
      <c r="O1131" t="n">
        <v>1025</v>
      </c>
      <c r="P1131" s="7" t="n"/>
      <c r="Q1131" s="7" t="n"/>
      <c r="R1131" s="11">
        <f>IF(AND(ISNUMBER(P1131),ISNUMBER(Q1131),P1131&gt;0,ISNUMBER($B$100)),Q1131/P1131,"")</f>
        <v/>
      </c>
      <c r="S1131" s="11">
        <f>IF(AND(ISNUMBER(P1131),ISNUMBER(Q1131),P1131&gt;0,ISNUMBER($B$100)),MAX(0,$B$100-3*SQRT($B$100/P1131)),"")</f>
        <v/>
      </c>
      <c r="T1131" s="11">
        <f>IF(AND(ISNUMBER(P1131),ISNUMBER(Q1131),P1131&gt;0,ISNUMBER($B$100)),$B$100+3*SQRT($B$100/P1131),"")</f>
        <v/>
      </c>
      <c r="U1131" s="13">
        <f>IF(AND(ISNUMBER(R1131),ISNUMBER(S1131),ISNUMBER(T1131)),IF(R1131&gt;T1131,"boven UCL",IF(R1131&lt;S1131,"onder LCL","")),"")</f>
        <v/>
      </c>
    </row>
    <row r="1132">
      <c r="A1132" t="n">
        <v>1026</v>
      </c>
      <c r="B1132" s="7" t="n"/>
      <c r="C1132" s="11">
        <f>IF(AND(ISNUMBER(B1132),ISNUMBER(B1131)),ABS(B1132-B1131),"")</f>
        <v/>
      </c>
      <c r="D1132" s="13">
        <f>IF(AND(ISNUMBER(B1132),ISNUMBER($B$88),ISNUMBER($D$88)),IF(B1132&gt;$D$88,"boven UCL",IF(B1132&lt;$B$88,"onder LCL","")),"")</f>
        <v/>
      </c>
      <c r="E1132" s="13">
        <f>IF(AND(ISNUMBER(C1132),ISNUMBER($B$89),ISNUMBER($D$89)),IF(C1132&gt;$D$89,"boven UCL",IF(C1132&lt;$B$89,"onder LCL","")),"")</f>
        <v/>
      </c>
      <c r="G1132" t="n">
        <v>1026</v>
      </c>
      <c r="H1132" s="7" t="n"/>
      <c r="I1132" s="7" t="n"/>
      <c r="J1132" s="11">
        <f>IF(AND(ISNUMBER(H1132),ISNUMBER(I1132),H1132&gt;0,ISNUMBER($B$94)),I1132/H1132,"")</f>
        <v/>
      </c>
      <c r="K1132" s="11">
        <f>IF(AND(ISNUMBER(H1132),ISNUMBER(I1132),H1132&gt;0,ISNUMBER($B$94)),MAX(0,$B$94-3*SQRT($B$94*(1-$B$94)/H1132)),"")</f>
        <v/>
      </c>
      <c r="L1132" s="11">
        <f>IF(AND(ISNUMBER(H1132),ISNUMBER(I1132),H1132&gt;0,ISNUMBER($B$94)),$B$94+3*SQRT($B$94*(1-$B$94)/H1132),"")</f>
        <v/>
      </c>
      <c r="M1132" s="13">
        <f>IF(AND(ISNUMBER(J1132),ISNUMBER(K1132),ISNUMBER(L1132)),IF(J1132&gt;L1132,"boven UCL",IF(J1132&lt;K1132,"onder LCL","")),"")</f>
        <v/>
      </c>
      <c r="O1132" t="n">
        <v>1026</v>
      </c>
      <c r="P1132" s="7" t="n"/>
      <c r="Q1132" s="7" t="n"/>
      <c r="R1132" s="11">
        <f>IF(AND(ISNUMBER(P1132),ISNUMBER(Q1132),P1132&gt;0,ISNUMBER($B$100)),Q1132/P1132,"")</f>
        <v/>
      </c>
      <c r="S1132" s="11">
        <f>IF(AND(ISNUMBER(P1132),ISNUMBER(Q1132),P1132&gt;0,ISNUMBER($B$100)),MAX(0,$B$100-3*SQRT($B$100/P1132)),"")</f>
        <v/>
      </c>
      <c r="T1132" s="11">
        <f>IF(AND(ISNUMBER(P1132),ISNUMBER(Q1132),P1132&gt;0,ISNUMBER($B$100)),$B$100+3*SQRT($B$100/P1132),"")</f>
        <v/>
      </c>
      <c r="U1132" s="13">
        <f>IF(AND(ISNUMBER(R1132),ISNUMBER(S1132),ISNUMBER(T1132)),IF(R1132&gt;T1132,"boven UCL",IF(R1132&lt;S1132,"onder LCL","")),"")</f>
        <v/>
      </c>
    </row>
    <row r="1133">
      <c r="A1133" t="n">
        <v>1027</v>
      </c>
      <c r="B1133" s="7" t="n"/>
      <c r="C1133" s="11">
        <f>IF(AND(ISNUMBER(B1133),ISNUMBER(B1132)),ABS(B1133-B1132),"")</f>
        <v/>
      </c>
      <c r="D1133" s="13">
        <f>IF(AND(ISNUMBER(B1133),ISNUMBER($B$88),ISNUMBER($D$88)),IF(B1133&gt;$D$88,"boven UCL",IF(B1133&lt;$B$88,"onder LCL","")),"")</f>
        <v/>
      </c>
      <c r="E1133" s="13">
        <f>IF(AND(ISNUMBER(C1133),ISNUMBER($B$89),ISNUMBER($D$89)),IF(C1133&gt;$D$89,"boven UCL",IF(C1133&lt;$B$89,"onder LCL","")),"")</f>
        <v/>
      </c>
      <c r="G1133" t="n">
        <v>1027</v>
      </c>
      <c r="H1133" s="7" t="n"/>
      <c r="I1133" s="7" t="n"/>
      <c r="J1133" s="11">
        <f>IF(AND(ISNUMBER(H1133),ISNUMBER(I1133),H1133&gt;0,ISNUMBER($B$94)),I1133/H1133,"")</f>
        <v/>
      </c>
      <c r="K1133" s="11">
        <f>IF(AND(ISNUMBER(H1133),ISNUMBER(I1133),H1133&gt;0,ISNUMBER($B$94)),MAX(0,$B$94-3*SQRT($B$94*(1-$B$94)/H1133)),"")</f>
        <v/>
      </c>
      <c r="L1133" s="11">
        <f>IF(AND(ISNUMBER(H1133),ISNUMBER(I1133),H1133&gt;0,ISNUMBER($B$94)),$B$94+3*SQRT($B$94*(1-$B$94)/H1133),"")</f>
        <v/>
      </c>
      <c r="M1133" s="13">
        <f>IF(AND(ISNUMBER(J1133),ISNUMBER(K1133),ISNUMBER(L1133)),IF(J1133&gt;L1133,"boven UCL",IF(J1133&lt;K1133,"onder LCL","")),"")</f>
        <v/>
      </c>
      <c r="O1133" t="n">
        <v>1027</v>
      </c>
      <c r="P1133" s="7" t="n"/>
      <c r="Q1133" s="7" t="n"/>
      <c r="R1133" s="11">
        <f>IF(AND(ISNUMBER(P1133),ISNUMBER(Q1133),P1133&gt;0,ISNUMBER($B$100)),Q1133/P1133,"")</f>
        <v/>
      </c>
      <c r="S1133" s="11">
        <f>IF(AND(ISNUMBER(P1133),ISNUMBER(Q1133),P1133&gt;0,ISNUMBER($B$100)),MAX(0,$B$100-3*SQRT($B$100/P1133)),"")</f>
        <v/>
      </c>
      <c r="T1133" s="11">
        <f>IF(AND(ISNUMBER(P1133),ISNUMBER(Q1133),P1133&gt;0,ISNUMBER($B$100)),$B$100+3*SQRT($B$100/P1133),"")</f>
        <v/>
      </c>
      <c r="U1133" s="13">
        <f>IF(AND(ISNUMBER(R1133),ISNUMBER(S1133),ISNUMBER(T1133)),IF(R1133&gt;T1133,"boven UCL",IF(R1133&lt;S1133,"onder LCL","")),"")</f>
        <v/>
      </c>
    </row>
    <row r="1134">
      <c r="A1134" t="n">
        <v>1028</v>
      </c>
      <c r="B1134" s="7" t="n"/>
      <c r="C1134" s="11">
        <f>IF(AND(ISNUMBER(B1134),ISNUMBER(B1133)),ABS(B1134-B1133),"")</f>
        <v/>
      </c>
      <c r="D1134" s="13">
        <f>IF(AND(ISNUMBER(B1134),ISNUMBER($B$88),ISNUMBER($D$88)),IF(B1134&gt;$D$88,"boven UCL",IF(B1134&lt;$B$88,"onder LCL","")),"")</f>
        <v/>
      </c>
      <c r="E1134" s="13">
        <f>IF(AND(ISNUMBER(C1134),ISNUMBER($B$89),ISNUMBER($D$89)),IF(C1134&gt;$D$89,"boven UCL",IF(C1134&lt;$B$89,"onder LCL","")),"")</f>
        <v/>
      </c>
      <c r="G1134" t="n">
        <v>1028</v>
      </c>
      <c r="H1134" s="7" t="n"/>
      <c r="I1134" s="7" t="n"/>
      <c r="J1134" s="11">
        <f>IF(AND(ISNUMBER(H1134),ISNUMBER(I1134),H1134&gt;0,ISNUMBER($B$94)),I1134/H1134,"")</f>
        <v/>
      </c>
      <c r="K1134" s="11">
        <f>IF(AND(ISNUMBER(H1134),ISNUMBER(I1134),H1134&gt;0,ISNUMBER($B$94)),MAX(0,$B$94-3*SQRT($B$94*(1-$B$94)/H1134)),"")</f>
        <v/>
      </c>
      <c r="L1134" s="11">
        <f>IF(AND(ISNUMBER(H1134),ISNUMBER(I1134),H1134&gt;0,ISNUMBER($B$94)),$B$94+3*SQRT($B$94*(1-$B$94)/H1134),"")</f>
        <v/>
      </c>
      <c r="M1134" s="13">
        <f>IF(AND(ISNUMBER(J1134),ISNUMBER(K1134),ISNUMBER(L1134)),IF(J1134&gt;L1134,"boven UCL",IF(J1134&lt;K1134,"onder LCL","")),"")</f>
        <v/>
      </c>
      <c r="O1134" t="n">
        <v>1028</v>
      </c>
      <c r="P1134" s="7" t="n"/>
      <c r="Q1134" s="7" t="n"/>
      <c r="R1134" s="11">
        <f>IF(AND(ISNUMBER(P1134),ISNUMBER(Q1134),P1134&gt;0,ISNUMBER($B$100)),Q1134/P1134,"")</f>
        <v/>
      </c>
      <c r="S1134" s="11">
        <f>IF(AND(ISNUMBER(P1134),ISNUMBER(Q1134),P1134&gt;0,ISNUMBER($B$100)),MAX(0,$B$100-3*SQRT($B$100/P1134)),"")</f>
        <v/>
      </c>
      <c r="T1134" s="11">
        <f>IF(AND(ISNUMBER(P1134),ISNUMBER(Q1134),P1134&gt;0,ISNUMBER($B$100)),$B$100+3*SQRT($B$100/P1134),"")</f>
        <v/>
      </c>
      <c r="U1134" s="13">
        <f>IF(AND(ISNUMBER(R1134),ISNUMBER(S1134),ISNUMBER(T1134)),IF(R1134&gt;T1134,"boven UCL",IF(R1134&lt;S1134,"onder LCL","")),"")</f>
        <v/>
      </c>
    </row>
    <row r="1135">
      <c r="A1135" t="n">
        <v>1029</v>
      </c>
      <c r="B1135" s="7" t="n"/>
      <c r="C1135" s="11">
        <f>IF(AND(ISNUMBER(B1135),ISNUMBER(B1134)),ABS(B1135-B1134),"")</f>
        <v/>
      </c>
      <c r="D1135" s="13">
        <f>IF(AND(ISNUMBER(B1135),ISNUMBER($B$88),ISNUMBER($D$88)),IF(B1135&gt;$D$88,"boven UCL",IF(B1135&lt;$B$88,"onder LCL","")),"")</f>
        <v/>
      </c>
      <c r="E1135" s="13">
        <f>IF(AND(ISNUMBER(C1135),ISNUMBER($B$89),ISNUMBER($D$89)),IF(C1135&gt;$D$89,"boven UCL",IF(C1135&lt;$B$89,"onder LCL","")),"")</f>
        <v/>
      </c>
      <c r="G1135" t="n">
        <v>1029</v>
      </c>
      <c r="H1135" s="7" t="n"/>
      <c r="I1135" s="7" t="n"/>
      <c r="J1135" s="11">
        <f>IF(AND(ISNUMBER(H1135),ISNUMBER(I1135),H1135&gt;0,ISNUMBER($B$94)),I1135/H1135,"")</f>
        <v/>
      </c>
      <c r="K1135" s="11">
        <f>IF(AND(ISNUMBER(H1135),ISNUMBER(I1135),H1135&gt;0,ISNUMBER($B$94)),MAX(0,$B$94-3*SQRT($B$94*(1-$B$94)/H1135)),"")</f>
        <v/>
      </c>
      <c r="L1135" s="11">
        <f>IF(AND(ISNUMBER(H1135),ISNUMBER(I1135),H1135&gt;0,ISNUMBER($B$94)),$B$94+3*SQRT($B$94*(1-$B$94)/H1135),"")</f>
        <v/>
      </c>
      <c r="M1135" s="13">
        <f>IF(AND(ISNUMBER(J1135),ISNUMBER(K1135),ISNUMBER(L1135)),IF(J1135&gt;L1135,"boven UCL",IF(J1135&lt;K1135,"onder LCL","")),"")</f>
        <v/>
      </c>
      <c r="O1135" t="n">
        <v>1029</v>
      </c>
      <c r="P1135" s="7" t="n"/>
      <c r="Q1135" s="7" t="n"/>
      <c r="R1135" s="11">
        <f>IF(AND(ISNUMBER(P1135),ISNUMBER(Q1135),P1135&gt;0,ISNUMBER($B$100)),Q1135/P1135,"")</f>
        <v/>
      </c>
      <c r="S1135" s="11">
        <f>IF(AND(ISNUMBER(P1135),ISNUMBER(Q1135),P1135&gt;0,ISNUMBER($B$100)),MAX(0,$B$100-3*SQRT($B$100/P1135)),"")</f>
        <v/>
      </c>
      <c r="T1135" s="11">
        <f>IF(AND(ISNUMBER(P1135),ISNUMBER(Q1135),P1135&gt;0,ISNUMBER($B$100)),$B$100+3*SQRT($B$100/P1135),"")</f>
        <v/>
      </c>
      <c r="U1135" s="13">
        <f>IF(AND(ISNUMBER(R1135),ISNUMBER(S1135),ISNUMBER(T1135)),IF(R1135&gt;T1135,"boven UCL",IF(R1135&lt;S1135,"onder LCL","")),"")</f>
        <v/>
      </c>
    </row>
    <row r="1136">
      <c r="A1136" t="n">
        <v>1030</v>
      </c>
      <c r="B1136" s="7" t="n"/>
      <c r="C1136" s="11">
        <f>IF(AND(ISNUMBER(B1136),ISNUMBER(B1135)),ABS(B1136-B1135),"")</f>
        <v/>
      </c>
      <c r="D1136" s="13">
        <f>IF(AND(ISNUMBER(B1136),ISNUMBER($B$88),ISNUMBER($D$88)),IF(B1136&gt;$D$88,"boven UCL",IF(B1136&lt;$B$88,"onder LCL","")),"")</f>
        <v/>
      </c>
      <c r="E1136" s="13">
        <f>IF(AND(ISNUMBER(C1136),ISNUMBER($B$89),ISNUMBER($D$89)),IF(C1136&gt;$D$89,"boven UCL",IF(C1136&lt;$B$89,"onder LCL","")),"")</f>
        <v/>
      </c>
      <c r="G1136" t="n">
        <v>1030</v>
      </c>
      <c r="H1136" s="7" t="n"/>
      <c r="I1136" s="7" t="n"/>
      <c r="J1136" s="11">
        <f>IF(AND(ISNUMBER(H1136),ISNUMBER(I1136),H1136&gt;0,ISNUMBER($B$94)),I1136/H1136,"")</f>
        <v/>
      </c>
      <c r="K1136" s="11">
        <f>IF(AND(ISNUMBER(H1136),ISNUMBER(I1136),H1136&gt;0,ISNUMBER($B$94)),MAX(0,$B$94-3*SQRT($B$94*(1-$B$94)/H1136)),"")</f>
        <v/>
      </c>
      <c r="L1136" s="11">
        <f>IF(AND(ISNUMBER(H1136),ISNUMBER(I1136),H1136&gt;0,ISNUMBER($B$94)),$B$94+3*SQRT($B$94*(1-$B$94)/H1136),"")</f>
        <v/>
      </c>
      <c r="M1136" s="13">
        <f>IF(AND(ISNUMBER(J1136),ISNUMBER(K1136),ISNUMBER(L1136)),IF(J1136&gt;L1136,"boven UCL",IF(J1136&lt;K1136,"onder LCL","")),"")</f>
        <v/>
      </c>
      <c r="O1136" t="n">
        <v>1030</v>
      </c>
      <c r="P1136" s="7" t="n"/>
      <c r="Q1136" s="7" t="n"/>
      <c r="R1136" s="11">
        <f>IF(AND(ISNUMBER(P1136),ISNUMBER(Q1136),P1136&gt;0,ISNUMBER($B$100)),Q1136/P1136,"")</f>
        <v/>
      </c>
      <c r="S1136" s="11">
        <f>IF(AND(ISNUMBER(P1136),ISNUMBER(Q1136),P1136&gt;0,ISNUMBER($B$100)),MAX(0,$B$100-3*SQRT($B$100/P1136)),"")</f>
        <v/>
      </c>
      <c r="T1136" s="11">
        <f>IF(AND(ISNUMBER(P1136),ISNUMBER(Q1136),P1136&gt;0,ISNUMBER($B$100)),$B$100+3*SQRT($B$100/P1136),"")</f>
        <v/>
      </c>
      <c r="U1136" s="13">
        <f>IF(AND(ISNUMBER(R1136),ISNUMBER(S1136),ISNUMBER(T1136)),IF(R1136&gt;T1136,"boven UCL",IF(R1136&lt;S1136,"onder LCL","")),"")</f>
        <v/>
      </c>
    </row>
    <row r="1137">
      <c r="A1137" t="n">
        <v>1031</v>
      </c>
      <c r="B1137" s="7" t="n"/>
      <c r="C1137" s="11">
        <f>IF(AND(ISNUMBER(B1137),ISNUMBER(B1136)),ABS(B1137-B1136),"")</f>
        <v/>
      </c>
      <c r="D1137" s="13">
        <f>IF(AND(ISNUMBER(B1137),ISNUMBER($B$88),ISNUMBER($D$88)),IF(B1137&gt;$D$88,"boven UCL",IF(B1137&lt;$B$88,"onder LCL","")),"")</f>
        <v/>
      </c>
      <c r="E1137" s="13">
        <f>IF(AND(ISNUMBER(C1137),ISNUMBER($B$89),ISNUMBER($D$89)),IF(C1137&gt;$D$89,"boven UCL",IF(C1137&lt;$B$89,"onder LCL","")),"")</f>
        <v/>
      </c>
      <c r="G1137" t="n">
        <v>1031</v>
      </c>
      <c r="H1137" s="7" t="n"/>
      <c r="I1137" s="7" t="n"/>
      <c r="J1137" s="11">
        <f>IF(AND(ISNUMBER(H1137),ISNUMBER(I1137),H1137&gt;0,ISNUMBER($B$94)),I1137/H1137,"")</f>
        <v/>
      </c>
      <c r="K1137" s="11">
        <f>IF(AND(ISNUMBER(H1137),ISNUMBER(I1137),H1137&gt;0,ISNUMBER($B$94)),MAX(0,$B$94-3*SQRT($B$94*(1-$B$94)/H1137)),"")</f>
        <v/>
      </c>
      <c r="L1137" s="11">
        <f>IF(AND(ISNUMBER(H1137),ISNUMBER(I1137),H1137&gt;0,ISNUMBER($B$94)),$B$94+3*SQRT($B$94*(1-$B$94)/H1137),"")</f>
        <v/>
      </c>
      <c r="M1137" s="13">
        <f>IF(AND(ISNUMBER(J1137),ISNUMBER(K1137),ISNUMBER(L1137)),IF(J1137&gt;L1137,"boven UCL",IF(J1137&lt;K1137,"onder LCL","")),"")</f>
        <v/>
      </c>
      <c r="O1137" t="n">
        <v>1031</v>
      </c>
      <c r="P1137" s="7" t="n"/>
      <c r="Q1137" s="7" t="n"/>
      <c r="R1137" s="11">
        <f>IF(AND(ISNUMBER(P1137),ISNUMBER(Q1137),P1137&gt;0,ISNUMBER($B$100)),Q1137/P1137,"")</f>
        <v/>
      </c>
      <c r="S1137" s="11">
        <f>IF(AND(ISNUMBER(P1137),ISNUMBER(Q1137),P1137&gt;0,ISNUMBER($B$100)),MAX(0,$B$100-3*SQRT($B$100/P1137)),"")</f>
        <v/>
      </c>
      <c r="T1137" s="11">
        <f>IF(AND(ISNUMBER(P1137),ISNUMBER(Q1137),P1137&gt;0,ISNUMBER($B$100)),$B$100+3*SQRT($B$100/P1137),"")</f>
        <v/>
      </c>
      <c r="U1137" s="13">
        <f>IF(AND(ISNUMBER(R1137),ISNUMBER(S1137),ISNUMBER(T1137)),IF(R1137&gt;T1137,"boven UCL",IF(R1137&lt;S1137,"onder LCL","")),"")</f>
        <v/>
      </c>
    </row>
    <row r="1138">
      <c r="A1138" t="n">
        <v>1032</v>
      </c>
      <c r="B1138" s="7" t="n"/>
      <c r="C1138" s="11">
        <f>IF(AND(ISNUMBER(B1138),ISNUMBER(B1137)),ABS(B1138-B1137),"")</f>
        <v/>
      </c>
      <c r="D1138" s="13">
        <f>IF(AND(ISNUMBER(B1138),ISNUMBER($B$88),ISNUMBER($D$88)),IF(B1138&gt;$D$88,"boven UCL",IF(B1138&lt;$B$88,"onder LCL","")),"")</f>
        <v/>
      </c>
      <c r="E1138" s="13">
        <f>IF(AND(ISNUMBER(C1138),ISNUMBER($B$89),ISNUMBER($D$89)),IF(C1138&gt;$D$89,"boven UCL",IF(C1138&lt;$B$89,"onder LCL","")),"")</f>
        <v/>
      </c>
      <c r="G1138" t="n">
        <v>1032</v>
      </c>
      <c r="H1138" s="7" t="n"/>
      <c r="I1138" s="7" t="n"/>
      <c r="J1138" s="11">
        <f>IF(AND(ISNUMBER(H1138),ISNUMBER(I1138),H1138&gt;0,ISNUMBER($B$94)),I1138/H1138,"")</f>
        <v/>
      </c>
      <c r="K1138" s="11">
        <f>IF(AND(ISNUMBER(H1138),ISNUMBER(I1138),H1138&gt;0,ISNUMBER($B$94)),MAX(0,$B$94-3*SQRT($B$94*(1-$B$94)/H1138)),"")</f>
        <v/>
      </c>
      <c r="L1138" s="11">
        <f>IF(AND(ISNUMBER(H1138),ISNUMBER(I1138),H1138&gt;0,ISNUMBER($B$94)),$B$94+3*SQRT($B$94*(1-$B$94)/H1138),"")</f>
        <v/>
      </c>
      <c r="M1138" s="13">
        <f>IF(AND(ISNUMBER(J1138),ISNUMBER(K1138),ISNUMBER(L1138)),IF(J1138&gt;L1138,"boven UCL",IF(J1138&lt;K1138,"onder LCL","")),"")</f>
        <v/>
      </c>
      <c r="O1138" t="n">
        <v>1032</v>
      </c>
      <c r="P1138" s="7" t="n"/>
      <c r="Q1138" s="7" t="n"/>
      <c r="R1138" s="11">
        <f>IF(AND(ISNUMBER(P1138),ISNUMBER(Q1138),P1138&gt;0,ISNUMBER($B$100)),Q1138/P1138,"")</f>
        <v/>
      </c>
      <c r="S1138" s="11">
        <f>IF(AND(ISNUMBER(P1138),ISNUMBER(Q1138),P1138&gt;0,ISNUMBER($B$100)),MAX(0,$B$100-3*SQRT($B$100/P1138)),"")</f>
        <v/>
      </c>
      <c r="T1138" s="11">
        <f>IF(AND(ISNUMBER(P1138),ISNUMBER(Q1138),P1138&gt;0,ISNUMBER($B$100)),$B$100+3*SQRT($B$100/P1138),"")</f>
        <v/>
      </c>
      <c r="U1138" s="13">
        <f>IF(AND(ISNUMBER(R1138),ISNUMBER(S1138),ISNUMBER(T1138)),IF(R1138&gt;T1138,"boven UCL",IF(R1138&lt;S1138,"onder LCL","")),"")</f>
        <v/>
      </c>
    </row>
    <row r="1139">
      <c r="A1139" t="n">
        <v>1033</v>
      </c>
      <c r="B1139" s="7" t="n"/>
      <c r="C1139" s="11">
        <f>IF(AND(ISNUMBER(B1139),ISNUMBER(B1138)),ABS(B1139-B1138),"")</f>
        <v/>
      </c>
      <c r="D1139" s="13">
        <f>IF(AND(ISNUMBER(B1139),ISNUMBER($B$88),ISNUMBER($D$88)),IF(B1139&gt;$D$88,"boven UCL",IF(B1139&lt;$B$88,"onder LCL","")),"")</f>
        <v/>
      </c>
      <c r="E1139" s="13">
        <f>IF(AND(ISNUMBER(C1139),ISNUMBER($B$89),ISNUMBER($D$89)),IF(C1139&gt;$D$89,"boven UCL",IF(C1139&lt;$B$89,"onder LCL","")),"")</f>
        <v/>
      </c>
      <c r="G1139" t="n">
        <v>1033</v>
      </c>
      <c r="H1139" s="7" t="n"/>
      <c r="I1139" s="7" t="n"/>
      <c r="J1139" s="11">
        <f>IF(AND(ISNUMBER(H1139),ISNUMBER(I1139),H1139&gt;0,ISNUMBER($B$94)),I1139/H1139,"")</f>
        <v/>
      </c>
      <c r="K1139" s="11">
        <f>IF(AND(ISNUMBER(H1139),ISNUMBER(I1139),H1139&gt;0,ISNUMBER($B$94)),MAX(0,$B$94-3*SQRT($B$94*(1-$B$94)/H1139)),"")</f>
        <v/>
      </c>
      <c r="L1139" s="11">
        <f>IF(AND(ISNUMBER(H1139),ISNUMBER(I1139),H1139&gt;0,ISNUMBER($B$94)),$B$94+3*SQRT($B$94*(1-$B$94)/H1139),"")</f>
        <v/>
      </c>
      <c r="M1139" s="13">
        <f>IF(AND(ISNUMBER(J1139),ISNUMBER(K1139),ISNUMBER(L1139)),IF(J1139&gt;L1139,"boven UCL",IF(J1139&lt;K1139,"onder LCL","")),"")</f>
        <v/>
      </c>
      <c r="O1139" t="n">
        <v>1033</v>
      </c>
      <c r="P1139" s="7" t="n"/>
      <c r="Q1139" s="7" t="n"/>
      <c r="R1139" s="11">
        <f>IF(AND(ISNUMBER(P1139),ISNUMBER(Q1139),P1139&gt;0,ISNUMBER($B$100)),Q1139/P1139,"")</f>
        <v/>
      </c>
      <c r="S1139" s="11">
        <f>IF(AND(ISNUMBER(P1139),ISNUMBER(Q1139),P1139&gt;0,ISNUMBER($B$100)),MAX(0,$B$100-3*SQRT($B$100/P1139)),"")</f>
        <v/>
      </c>
      <c r="T1139" s="11">
        <f>IF(AND(ISNUMBER(P1139),ISNUMBER(Q1139),P1139&gt;0,ISNUMBER($B$100)),$B$100+3*SQRT($B$100/P1139),"")</f>
        <v/>
      </c>
      <c r="U1139" s="13">
        <f>IF(AND(ISNUMBER(R1139),ISNUMBER(S1139),ISNUMBER(T1139)),IF(R1139&gt;T1139,"boven UCL",IF(R1139&lt;S1139,"onder LCL","")),"")</f>
        <v/>
      </c>
    </row>
    <row r="1140">
      <c r="A1140" t="n">
        <v>1034</v>
      </c>
      <c r="B1140" s="7" t="n"/>
      <c r="C1140" s="11">
        <f>IF(AND(ISNUMBER(B1140),ISNUMBER(B1139)),ABS(B1140-B1139),"")</f>
        <v/>
      </c>
      <c r="D1140" s="13">
        <f>IF(AND(ISNUMBER(B1140),ISNUMBER($B$88),ISNUMBER($D$88)),IF(B1140&gt;$D$88,"boven UCL",IF(B1140&lt;$B$88,"onder LCL","")),"")</f>
        <v/>
      </c>
      <c r="E1140" s="13">
        <f>IF(AND(ISNUMBER(C1140),ISNUMBER($B$89),ISNUMBER($D$89)),IF(C1140&gt;$D$89,"boven UCL",IF(C1140&lt;$B$89,"onder LCL","")),"")</f>
        <v/>
      </c>
      <c r="G1140" t="n">
        <v>1034</v>
      </c>
      <c r="H1140" s="7" t="n"/>
      <c r="I1140" s="7" t="n"/>
      <c r="J1140" s="11">
        <f>IF(AND(ISNUMBER(H1140),ISNUMBER(I1140),H1140&gt;0,ISNUMBER($B$94)),I1140/H1140,"")</f>
        <v/>
      </c>
      <c r="K1140" s="11">
        <f>IF(AND(ISNUMBER(H1140),ISNUMBER(I1140),H1140&gt;0,ISNUMBER($B$94)),MAX(0,$B$94-3*SQRT($B$94*(1-$B$94)/H1140)),"")</f>
        <v/>
      </c>
      <c r="L1140" s="11">
        <f>IF(AND(ISNUMBER(H1140),ISNUMBER(I1140),H1140&gt;0,ISNUMBER($B$94)),$B$94+3*SQRT($B$94*(1-$B$94)/H1140),"")</f>
        <v/>
      </c>
      <c r="M1140" s="13">
        <f>IF(AND(ISNUMBER(J1140),ISNUMBER(K1140),ISNUMBER(L1140)),IF(J1140&gt;L1140,"boven UCL",IF(J1140&lt;K1140,"onder LCL","")),"")</f>
        <v/>
      </c>
      <c r="O1140" t="n">
        <v>1034</v>
      </c>
      <c r="P1140" s="7" t="n"/>
      <c r="Q1140" s="7" t="n"/>
      <c r="R1140" s="11">
        <f>IF(AND(ISNUMBER(P1140),ISNUMBER(Q1140),P1140&gt;0,ISNUMBER($B$100)),Q1140/P1140,"")</f>
        <v/>
      </c>
      <c r="S1140" s="11">
        <f>IF(AND(ISNUMBER(P1140),ISNUMBER(Q1140),P1140&gt;0,ISNUMBER($B$100)),MAX(0,$B$100-3*SQRT($B$100/P1140)),"")</f>
        <v/>
      </c>
      <c r="T1140" s="11">
        <f>IF(AND(ISNUMBER(P1140),ISNUMBER(Q1140),P1140&gt;0,ISNUMBER($B$100)),$B$100+3*SQRT($B$100/P1140),"")</f>
        <v/>
      </c>
      <c r="U1140" s="13">
        <f>IF(AND(ISNUMBER(R1140),ISNUMBER(S1140),ISNUMBER(T1140)),IF(R1140&gt;T1140,"boven UCL",IF(R1140&lt;S1140,"onder LCL","")),"")</f>
        <v/>
      </c>
    </row>
    <row r="1141">
      <c r="A1141" t="n">
        <v>1035</v>
      </c>
      <c r="B1141" s="7" t="n"/>
      <c r="C1141" s="11">
        <f>IF(AND(ISNUMBER(B1141),ISNUMBER(B1140)),ABS(B1141-B1140),"")</f>
        <v/>
      </c>
      <c r="D1141" s="13">
        <f>IF(AND(ISNUMBER(B1141),ISNUMBER($B$88),ISNUMBER($D$88)),IF(B1141&gt;$D$88,"boven UCL",IF(B1141&lt;$B$88,"onder LCL","")),"")</f>
        <v/>
      </c>
      <c r="E1141" s="13">
        <f>IF(AND(ISNUMBER(C1141),ISNUMBER($B$89),ISNUMBER($D$89)),IF(C1141&gt;$D$89,"boven UCL",IF(C1141&lt;$B$89,"onder LCL","")),"")</f>
        <v/>
      </c>
      <c r="G1141" t="n">
        <v>1035</v>
      </c>
      <c r="H1141" s="7" t="n"/>
      <c r="I1141" s="7" t="n"/>
      <c r="J1141" s="11">
        <f>IF(AND(ISNUMBER(H1141),ISNUMBER(I1141),H1141&gt;0,ISNUMBER($B$94)),I1141/H1141,"")</f>
        <v/>
      </c>
      <c r="K1141" s="11">
        <f>IF(AND(ISNUMBER(H1141),ISNUMBER(I1141),H1141&gt;0,ISNUMBER($B$94)),MAX(0,$B$94-3*SQRT($B$94*(1-$B$94)/H1141)),"")</f>
        <v/>
      </c>
      <c r="L1141" s="11">
        <f>IF(AND(ISNUMBER(H1141),ISNUMBER(I1141),H1141&gt;0,ISNUMBER($B$94)),$B$94+3*SQRT($B$94*(1-$B$94)/H1141),"")</f>
        <v/>
      </c>
      <c r="M1141" s="13">
        <f>IF(AND(ISNUMBER(J1141),ISNUMBER(K1141),ISNUMBER(L1141)),IF(J1141&gt;L1141,"boven UCL",IF(J1141&lt;K1141,"onder LCL","")),"")</f>
        <v/>
      </c>
      <c r="O1141" t="n">
        <v>1035</v>
      </c>
      <c r="P1141" s="7" t="n"/>
      <c r="Q1141" s="7" t="n"/>
      <c r="R1141" s="11">
        <f>IF(AND(ISNUMBER(P1141),ISNUMBER(Q1141),P1141&gt;0,ISNUMBER($B$100)),Q1141/P1141,"")</f>
        <v/>
      </c>
      <c r="S1141" s="11">
        <f>IF(AND(ISNUMBER(P1141),ISNUMBER(Q1141),P1141&gt;0,ISNUMBER($B$100)),MAX(0,$B$100-3*SQRT($B$100/P1141)),"")</f>
        <v/>
      </c>
      <c r="T1141" s="11">
        <f>IF(AND(ISNUMBER(P1141),ISNUMBER(Q1141),P1141&gt;0,ISNUMBER($B$100)),$B$100+3*SQRT($B$100/P1141),"")</f>
        <v/>
      </c>
      <c r="U1141" s="13">
        <f>IF(AND(ISNUMBER(R1141),ISNUMBER(S1141),ISNUMBER(T1141)),IF(R1141&gt;T1141,"boven UCL",IF(R1141&lt;S1141,"onder LCL","")),"")</f>
        <v/>
      </c>
    </row>
    <row r="1142">
      <c r="A1142" t="n">
        <v>1036</v>
      </c>
      <c r="B1142" s="7" t="n"/>
      <c r="C1142" s="11">
        <f>IF(AND(ISNUMBER(B1142),ISNUMBER(B1141)),ABS(B1142-B1141),"")</f>
        <v/>
      </c>
      <c r="D1142" s="13">
        <f>IF(AND(ISNUMBER(B1142),ISNUMBER($B$88),ISNUMBER($D$88)),IF(B1142&gt;$D$88,"boven UCL",IF(B1142&lt;$B$88,"onder LCL","")),"")</f>
        <v/>
      </c>
      <c r="E1142" s="13">
        <f>IF(AND(ISNUMBER(C1142),ISNUMBER($B$89),ISNUMBER($D$89)),IF(C1142&gt;$D$89,"boven UCL",IF(C1142&lt;$B$89,"onder LCL","")),"")</f>
        <v/>
      </c>
      <c r="G1142" t="n">
        <v>1036</v>
      </c>
      <c r="H1142" s="7" t="n"/>
      <c r="I1142" s="7" t="n"/>
      <c r="J1142" s="11">
        <f>IF(AND(ISNUMBER(H1142),ISNUMBER(I1142),H1142&gt;0,ISNUMBER($B$94)),I1142/H1142,"")</f>
        <v/>
      </c>
      <c r="K1142" s="11">
        <f>IF(AND(ISNUMBER(H1142),ISNUMBER(I1142),H1142&gt;0,ISNUMBER($B$94)),MAX(0,$B$94-3*SQRT($B$94*(1-$B$94)/H1142)),"")</f>
        <v/>
      </c>
      <c r="L1142" s="11">
        <f>IF(AND(ISNUMBER(H1142),ISNUMBER(I1142),H1142&gt;0,ISNUMBER($B$94)),$B$94+3*SQRT($B$94*(1-$B$94)/H1142),"")</f>
        <v/>
      </c>
      <c r="M1142" s="13">
        <f>IF(AND(ISNUMBER(J1142),ISNUMBER(K1142),ISNUMBER(L1142)),IF(J1142&gt;L1142,"boven UCL",IF(J1142&lt;K1142,"onder LCL","")),"")</f>
        <v/>
      </c>
      <c r="O1142" t="n">
        <v>1036</v>
      </c>
      <c r="P1142" s="7" t="n"/>
      <c r="Q1142" s="7" t="n"/>
      <c r="R1142" s="11">
        <f>IF(AND(ISNUMBER(P1142),ISNUMBER(Q1142),P1142&gt;0,ISNUMBER($B$100)),Q1142/P1142,"")</f>
        <v/>
      </c>
      <c r="S1142" s="11">
        <f>IF(AND(ISNUMBER(P1142),ISNUMBER(Q1142),P1142&gt;0,ISNUMBER($B$100)),MAX(0,$B$100-3*SQRT($B$100/P1142)),"")</f>
        <v/>
      </c>
      <c r="T1142" s="11">
        <f>IF(AND(ISNUMBER(P1142),ISNUMBER(Q1142),P1142&gt;0,ISNUMBER($B$100)),$B$100+3*SQRT($B$100/P1142),"")</f>
        <v/>
      </c>
      <c r="U1142" s="13">
        <f>IF(AND(ISNUMBER(R1142),ISNUMBER(S1142),ISNUMBER(T1142)),IF(R1142&gt;T1142,"boven UCL",IF(R1142&lt;S1142,"onder LCL","")),"")</f>
        <v/>
      </c>
    </row>
    <row r="1143">
      <c r="A1143" t="n">
        <v>1037</v>
      </c>
      <c r="B1143" s="7" t="n"/>
      <c r="C1143" s="11">
        <f>IF(AND(ISNUMBER(B1143),ISNUMBER(B1142)),ABS(B1143-B1142),"")</f>
        <v/>
      </c>
      <c r="D1143" s="13">
        <f>IF(AND(ISNUMBER(B1143),ISNUMBER($B$88),ISNUMBER($D$88)),IF(B1143&gt;$D$88,"boven UCL",IF(B1143&lt;$B$88,"onder LCL","")),"")</f>
        <v/>
      </c>
      <c r="E1143" s="13">
        <f>IF(AND(ISNUMBER(C1143),ISNUMBER($B$89),ISNUMBER($D$89)),IF(C1143&gt;$D$89,"boven UCL",IF(C1143&lt;$B$89,"onder LCL","")),"")</f>
        <v/>
      </c>
      <c r="G1143" t="n">
        <v>1037</v>
      </c>
      <c r="H1143" s="7" t="n"/>
      <c r="I1143" s="7" t="n"/>
      <c r="J1143" s="11">
        <f>IF(AND(ISNUMBER(H1143),ISNUMBER(I1143),H1143&gt;0,ISNUMBER($B$94)),I1143/H1143,"")</f>
        <v/>
      </c>
      <c r="K1143" s="11">
        <f>IF(AND(ISNUMBER(H1143),ISNUMBER(I1143),H1143&gt;0,ISNUMBER($B$94)),MAX(0,$B$94-3*SQRT($B$94*(1-$B$94)/H1143)),"")</f>
        <v/>
      </c>
      <c r="L1143" s="11">
        <f>IF(AND(ISNUMBER(H1143),ISNUMBER(I1143),H1143&gt;0,ISNUMBER($B$94)),$B$94+3*SQRT($B$94*(1-$B$94)/H1143),"")</f>
        <v/>
      </c>
      <c r="M1143" s="13">
        <f>IF(AND(ISNUMBER(J1143),ISNUMBER(K1143),ISNUMBER(L1143)),IF(J1143&gt;L1143,"boven UCL",IF(J1143&lt;K1143,"onder LCL","")),"")</f>
        <v/>
      </c>
      <c r="O1143" t="n">
        <v>1037</v>
      </c>
      <c r="P1143" s="7" t="n"/>
      <c r="Q1143" s="7" t="n"/>
      <c r="R1143" s="11">
        <f>IF(AND(ISNUMBER(P1143),ISNUMBER(Q1143),P1143&gt;0,ISNUMBER($B$100)),Q1143/P1143,"")</f>
        <v/>
      </c>
      <c r="S1143" s="11">
        <f>IF(AND(ISNUMBER(P1143),ISNUMBER(Q1143),P1143&gt;0,ISNUMBER($B$100)),MAX(0,$B$100-3*SQRT($B$100/P1143)),"")</f>
        <v/>
      </c>
      <c r="T1143" s="11">
        <f>IF(AND(ISNUMBER(P1143),ISNUMBER(Q1143),P1143&gt;0,ISNUMBER($B$100)),$B$100+3*SQRT($B$100/P1143),"")</f>
        <v/>
      </c>
      <c r="U1143" s="13">
        <f>IF(AND(ISNUMBER(R1143),ISNUMBER(S1143),ISNUMBER(T1143)),IF(R1143&gt;T1143,"boven UCL",IF(R1143&lt;S1143,"onder LCL","")),"")</f>
        <v/>
      </c>
    </row>
    <row r="1144">
      <c r="A1144" t="n">
        <v>1038</v>
      </c>
      <c r="B1144" s="7" t="n"/>
      <c r="C1144" s="11">
        <f>IF(AND(ISNUMBER(B1144),ISNUMBER(B1143)),ABS(B1144-B1143),"")</f>
        <v/>
      </c>
      <c r="D1144" s="13">
        <f>IF(AND(ISNUMBER(B1144),ISNUMBER($B$88),ISNUMBER($D$88)),IF(B1144&gt;$D$88,"boven UCL",IF(B1144&lt;$B$88,"onder LCL","")),"")</f>
        <v/>
      </c>
      <c r="E1144" s="13">
        <f>IF(AND(ISNUMBER(C1144),ISNUMBER($B$89),ISNUMBER($D$89)),IF(C1144&gt;$D$89,"boven UCL",IF(C1144&lt;$B$89,"onder LCL","")),"")</f>
        <v/>
      </c>
      <c r="G1144" t="n">
        <v>1038</v>
      </c>
      <c r="H1144" s="7" t="n"/>
      <c r="I1144" s="7" t="n"/>
      <c r="J1144" s="11">
        <f>IF(AND(ISNUMBER(H1144),ISNUMBER(I1144),H1144&gt;0,ISNUMBER($B$94)),I1144/H1144,"")</f>
        <v/>
      </c>
      <c r="K1144" s="11">
        <f>IF(AND(ISNUMBER(H1144),ISNUMBER(I1144),H1144&gt;0,ISNUMBER($B$94)),MAX(0,$B$94-3*SQRT($B$94*(1-$B$94)/H1144)),"")</f>
        <v/>
      </c>
      <c r="L1144" s="11">
        <f>IF(AND(ISNUMBER(H1144),ISNUMBER(I1144),H1144&gt;0,ISNUMBER($B$94)),$B$94+3*SQRT($B$94*(1-$B$94)/H1144),"")</f>
        <v/>
      </c>
      <c r="M1144" s="13">
        <f>IF(AND(ISNUMBER(J1144),ISNUMBER(K1144),ISNUMBER(L1144)),IF(J1144&gt;L1144,"boven UCL",IF(J1144&lt;K1144,"onder LCL","")),"")</f>
        <v/>
      </c>
      <c r="O1144" t="n">
        <v>1038</v>
      </c>
      <c r="P1144" s="7" t="n"/>
      <c r="Q1144" s="7" t="n"/>
      <c r="R1144" s="11">
        <f>IF(AND(ISNUMBER(P1144),ISNUMBER(Q1144),P1144&gt;0,ISNUMBER($B$100)),Q1144/P1144,"")</f>
        <v/>
      </c>
      <c r="S1144" s="11">
        <f>IF(AND(ISNUMBER(P1144),ISNUMBER(Q1144),P1144&gt;0,ISNUMBER($B$100)),MAX(0,$B$100-3*SQRT($B$100/P1144)),"")</f>
        <v/>
      </c>
      <c r="T1144" s="11">
        <f>IF(AND(ISNUMBER(P1144),ISNUMBER(Q1144),P1144&gt;0,ISNUMBER($B$100)),$B$100+3*SQRT($B$100/P1144),"")</f>
        <v/>
      </c>
      <c r="U1144" s="13">
        <f>IF(AND(ISNUMBER(R1144),ISNUMBER(S1144),ISNUMBER(T1144)),IF(R1144&gt;T1144,"boven UCL",IF(R1144&lt;S1144,"onder LCL","")),"")</f>
        <v/>
      </c>
    </row>
    <row r="1145">
      <c r="A1145" t="n">
        <v>1039</v>
      </c>
      <c r="B1145" s="7" t="n"/>
      <c r="C1145" s="11">
        <f>IF(AND(ISNUMBER(B1145),ISNUMBER(B1144)),ABS(B1145-B1144),"")</f>
        <v/>
      </c>
      <c r="D1145" s="13">
        <f>IF(AND(ISNUMBER(B1145),ISNUMBER($B$88),ISNUMBER($D$88)),IF(B1145&gt;$D$88,"boven UCL",IF(B1145&lt;$B$88,"onder LCL","")),"")</f>
        <v/>
      </c>
      <c r="E1145" s="13">
        <f>IF(AND(ISNUMBER(C1145),ISNUMBER($B$89),ISNUMBER($D$89)),IF(C1145&gt;$D$89,"boven UCL",IF(C1145&lt;$B$89,"onder LCL","")),"")</f>
        <v/>
      </c>
      <c r="G1145" t="n">
        <v>1039</v>
      </c>
      <c r="H1145" s="7" t="n"/>
      <c r="I1145" s="7" t="n"/>
      <c r="J1145" s="11">
        <f>IF(AND(ISNUMBER(H1145),ISNUMBER(I1145),H1145&gt;0,ISNUMBER($B$94)),I1145/H1145,"")</f>
        <v/>
      </c>
      <c r="K1145" s="11">
        <f>IF(AND(ISNUMBER(H1145),ISNUMBER(I1145),H1145&gt;0,ISNUMBER($B$94)),MAX(0,$B$94-3*SQRT($B$94*(1-$B$94)/H1145)),"")</f>
        <v/>
      </c>
      <c r="L1145" s="11">
        <f>IF(AND(ISNUMBER(H1145),ISNUMBER(I1145),H1145&gt;0,ISNUMBER($B$94)),$B$94+3*SQRT($B$94*(1-$B$94)/H1145),"")</f>
        <v/>
      </c>
      <c r="M1145" s="13">
        <f>IF(AND(ISNUMBER(J1145),ISNUMBER(K1145),ISNUMBER(L1145)),IF(J1145&gt;L1145,"boven UCL",IF(J1145&lt;K1145,"onder LCL","")),"")</f>
        <v/>
      </c>
      <c r="O1145" t="n">
        <v>1039</v>
      </c>
      <c r="P1145" s="7" t="n"/>
      <c r="Q1145" s="7" t="n"/>
      <c r="R1145" s="11">
        <f>IF(AND(ISNUMBER(P1145),ISNUMBER(Q1145),P1145&gt;0,ISNUMBER($B$100)),Q1145/P1145,"")</f>
        <v/>
      </c>
      <c r="S1145" s="11">
        <f>IF(AND(ISNUMBER(P1145),ISNUMBER(Q1145),P1145&gt;0,ISNUMBER($B$100)),MAX(0,$B$100-3*SQRT($B$100/P1145)),"")</f>
        <v/>
      </c>
      <c r="T1145" s="11">
        <f>IF(AND(ISNUMBER(P1145),ISNUMBER(Q1145),P1145&gt;0,ISNUMBER($B$100)),$B$100+3*SQRT($B$100/P1145),"")</f>
        <v/>
      </c>
      <c r="U1145" s="13">
        <f>IF(AND(ISNUMBER(R1145),ISNUMBER(S1145),ISNUMBER(T1145)),IF(R1145&gt;T1145,"boven UCL",IF(R1145&lt;S1145,"onder LCL","")),"")</f>
        <v/>
      </c>
    </row>
    <row r="1146">
      <c r="A1146" t="n">
        <v>1040</v>
      </c>
      <c r="B1146" s="7" t="n"/>
      <c r="C1146" s="11">
        <f>IF(AND(ISNUMBER(B1146),ISNUMBER(B1145)),ABS(B1146-B1145),"")</f>
        <v/>
      </c>
      <c r="D1146" s="13">
        <f>IF(AND(ISNUMBER(B1146),ISNUMBER($B$88),ISNUMBER($D$88)),IF(B1146&gt;$D$88,"boven UCL",IF(B1146&lt;$B$88,"onder LCL","")),"")</f>
        <v/>
      </c>
      <c r="E1146" s="13">
        <f>IF(AND(ISNUMBER(C1146),ISNUMBER($B$89),ISNUMBER($D$89)),IF(C1146&gt;$D$89,"boven UCL",IF(C1146&lt;$B$89,"onder LCL","")),"")</f>
        <v/>
      </c>
      <c r="G1146" t="n">
        <v>1040</v>
      </c>
      <c r="H1146" s="7" t="n"/>
      <c r="I1146" s="7" t="n"/>
      <c r="J1146" s="11">
        <f>IF(AND(ISNUMBER(H1146),ISNUMBER(I1146),H1146&gt;0,ISNUMBER($B$94)),I1146/H1146,"")</f>
        <v/>
      </c>
      <c r="K1146" s="11">
        <f>IF(AND(ISNUMBER(H1146),ISNUMBER(I1146),H1146&gt;0,ISNUMBER($B$94)),MAX(0,$B$94-3*SQRT($B$94*(1-$B$94)/H1146)),"")</f>
        <v/>
      </c>
      <c r="L1146" s="11">
        <f>IF(AND(ISNUMBER(H1146),ISNUMBER(I1146),H1146&gt;0,ISNUMBER($B$94)),$B$94+3*SQRT($B$94*(1-$B$94)/H1146),"")</f>
        <v/>
      </c>
      <c r="M1146" s="13">
        <f>IF(AND(ISNUMBER(J1146),ISNUMBER(K1146),ISNUMBER(L1146)),IF(J1146&gt;L1146,"boven UCL",IF(J1146&lt;K1146,"onder LCL","")),"")</f>
        <v/>
      </c>
      <c r="O1146" t="n">
        <v>1040</v>
      </c>
      <c r="P1146" s="7" t="n"/>
      <c r="Q1146" s="7" t="n"/>
      <c r="R1146" s="11">
        <f>IF(AND(ISNUMBER(P1146),ISNUMBER(Q1146),P1146&gt;0,ISNUMBER($B$100)),Q1146/P1146,"")</f>
        <v/>
      </c>
      <c r="S1146" s="11">
        <f>IF(AND(ISNUMBER(P1146),ISNUMBER(Q1146),P1146&gt;0,ISNUMBER($B$100)),MAX(0,$B$100-3*SQRT($B$100/P1146)),"")</f>
        <v/>
      </c>
      <c r="T1146" s="11">
        <f>IF(AND(ISNUMBER(P1146),ISNUMBER(Q1146),P1146&gt;0,ISNUMBER($B$100)),$B$100+3*SQRT($B$100/P1146),"")</f>
        <v/>
      </c>
      <c r="U1146" s="13">
        <f>IF(AND(ISNUMBER(R1146),ISNUMBER(S1146),ISNUMBER(T1146)),IF(R1146&gt;T1146,"boven UCL",IF(R1146&lt;S1146,"onder LCL","")),"")</f>
        <v/>
      </c>
    </row>
    <row r="1147">
      <c r="A1147" t="n">
        <v>1041</v>
      </c>
      <c r="B1147" s="7" t="n"/>
      <c r="C1147" s="11">
        <f>IF(AND(ISNUMBER(B1147),ISNUMBER(B1146)),ABS(B1147-B1146),"")</f>
        <v/>
      </c>
      <c r="D1147" s="13">
        <f>IF(AND(ISNUMBER(B1147),ISNUMBER($B$88),ISNUMBER($D$88)),IF(B1147&gt;$D$88,"boven UCL",IF(B1147&lt;$B$88,"onder LCL","")),"")</f>
        <v/>
      </c>
      <c r="E1147" s="13">
        <f>IF(AND(ISNUMBER(C1147),ISNUMBER($B$89),ISNUMBER($D$89)),IF(C1147&gt;$D$89,"boven UCL",IF(C1147&lt;$B$89,"onder LCL","")),"")</f>
        <v/>
      </c>
      <c r="G1147" t="n">
        <v>1041</v>
      </c>
      <c r="H1147" s="7" t="n"/>
      <c r="I1147" s="7" t="n"/>
      <c r="J1147" s="11">
        <f>IF(AND(ISNUMBER(H1147),ISNUMBER(I1147),H1147&gt;0,ISNUMBER($B$94)),I1147/H1147,"")</f>
        <v/>
      </c>
      <c r="K1147" s="11">
        <f>IF(AND(ISNUMBER(H1147),ISNUMBER(I1147),H1147&gt;0,ISNUMBER($B$94)),MAX(0,$B$94-3*SQRT($B$94*(1-$B$94)/H1147)),"")</f>
        <v/>
      </c>
      <c r="L1147" s="11">
        <f>IF(AND(ISNUMBER(H1147),ISNUMBER(I1147),H1147&gt;0,ISNUMBER($B$94)),$B$94+3*SQRT($B$94*(1-$B$94)/H1147),"")</f>
        <v/>
      </c>
      <c r="M1147" s="13">
        <f>IF(AND(ISNUMBER(J1147),ISNUMBER(K1147),ISNUMBER(L1147)),IF(J1147&gt;L1147,"boven UCL",IF(J1147&lt;K1147,"onder LCL","")),"")</f>
        <v/>
      </c>
      <c r="O1147" t="n">
        <v>1041</v>
      </c>
      <c r="P1147" s="7" t="n"/>
      <c r="Q1147" s="7" t="n"/>
      <c r="R1147" s="11">
        <f>IF(AND(ISNUMBER(P1147),ISNUMBER(Q1147),P1147&gt;0,ISNUMBER($B$100)),Q1147/P1147,"")</f>
        <v/>
      </c>
      <c r="S1147" s="11">
        <f>IF(AND(ISNUMBER(P1147),ISNUMBER(Q1147),P1147&gt;0,ISNUMBER($B$100)),MAX(0,$B$100-3*SQRT($B$100/P1147)),"")</f>
        <v/>
      </c>
      <c r="T1147" s="11">
        <f>IF(AND(ISNUMBER(P1147),ISNUMBER(Q1147),P1147&gt;0,ISNUMBER($B$100)),$B$100+3*SQRT($B$100/P1147),"")</f>
        <v/>
      </c>
      <c r="U1147" s="13">
        <f>IF(AND(ISNUMBER(R1147),ISNUMBER(S1147),ISNUMBER(T1147)),IF(R1147&gt;T1147,"boven UCL",IF(R1147&lt;S1147,"onder LCL","")),"")</f>
        <v/>
      </c>
    </row>
    <row r="1148">
      <c r="A1148" t="n">
        <v>1042</v>
      </c>
      <c r="B1148" s="7" t="n"/>
      <c r="C1148" s="11">
        <f>IF(AND(ISNUMBER(B1148),ISNUMBER(B1147)),ABS(B1148-B1147),"")</f>
        <v/>
      </c>
      <c r="D1148" s="13">
        <f>IF(AND(ISNUMBER(B1148),ISNUMBER($B$88),ISNUMBER($D$88)),IF(B1148&gt;$D$88,"boven UCL",IF(B1148&lt;$B$88,"onder LCL","")),"")</f>
        <v/>
      </c>
      <c r="E1148" s="13">
        <f>IF(AND(ISNUMBER(C1148),ISNUMBER($B$89),ISNUMBER($D$89)),IF(C1148&gt;$D$89,"boven UCL",IF(C1148&lt;$B$89,"onder LCL","")),"")</f>
        <v/>
      </c>
      <c r="G1148" t="n">
        <v>1042</v>
      </c>
      <c r="H1148" s="7" t="n"/>
      <c r="I1148" s="7" t="n"/>
      <c r="J1148" s="11">
        <f>IF(AND(ISNUMBER(H1148),ISNUMBER(I1148),H1148&gt;0,ISNUMBER($B$94)),I1148/H1148,"")</f>
        <v/>
      </c>
      <c r="K1148" s="11">
        <f>IF(AND(ISNUMBER(H1148),ISNUMBER(I1148),H1148&gt;0,ISNUMBER($B$94)),MAX(0,$B$94-3*SQRT($B$94*(1-$B$94)/H1148)),"")</f>
        <v/>
      </c>
      <c r="L1148" s="11">
        <f>IF(AND(ISNUMBER(H1148),ISNUMBER(I1148),H1148&gt;0,ISNUMBER($B$94)),$B$94+3*SQRT($B$94*(1-$B$94)/H1148),"")</f>
        <v/>
      </c>
      <c r="M1148" s="13">
        <f>IF(AND(ISNUMBER(J1148),ISNUMBER(K1148),ISNUMBER(L1148)),IF(J1148&gt;L1148,"boven UCL",IF(J1148&lt;K1148,"onder LCL","")),"")</f>
        <v/>
      </c>
      <c r="O1148" t="n">
        <v>1042</v>
      </c>
      <c r="P1148" s="7" t="n"/>
      <c r="Q1148" s="7" t="n"/>
      <c r="R1148" s="11">
        <f>IF(AND(ISNUMBER(P1148),ISNUMBER(Q1148),P1148&gt;0,ISNUMBER($B$100)),Q1148/P1148,"")</f>
        <v/>
      </c>
      <c r="S1148" s="11">
        <f>IF(AND(ISNUMBER(P1148),ISNUMBER(Q1148),P1148&gt;0,ISNUMBER($B$100)),MAX(0,$B$100-3*SQRT($B$100/P1148)),"")</f>
        <v/>
      </c>
      <c r="T1148" s="11">
        <f>IF(AND(ISNUMBER(P1148),ISNUMBER(Q1148),P1148&gt;0,ISNUMBER($B$100)),$B$100+3*SQRT($B$100/P1148),"")</f>
        <v/>
      </c>
      <c r="U1148" s="13">
        <f>IF(AND(ISNUMBER(R1148),ISNUMBER(S1148),ISNUMBER(T1148)),IF(R1148&gt;T1148,"boven UCL",IF(R1148&lt;S1148,"onder LCL","")),"")</f>
        <v/>
      </c>
    </row>
    <row r="1149">
      <c r="A1149" t="n">
        <v>1043</v>
      </c>
      <c r="B1149" s="7" t="n"/>
      <c r="C1149" s="11">
        <f>IF(AND(ISNUMBER(B1149),ISNUMBER(B1148)),ABS(B1149-B1148),"")</f>
        <v/>
      </c>
      <c r="D1149" s="13">
        <f>IF(AND(ISNUMBER(B1149),ISNUMBER($B$88),ISNUMBER($D$88)),IF(B1149&gt;$D$88,"boven UCL",IF(B1149&lt;$B$88,"onder LCL","")),"")</f>
        <v/>
      </c>
      <c r="E1149" s="13">
        <f>IF(AND(ISNUMBER(C1149),ISNUMBER($B$89),ISNUMBER($D$89)),IF(C1149&gt;$D$89,"boven UCL",IF(C1149&lt;$B$89,"onder LCL","")),"")</f>
        <v/>
      </c>
      <c r="G1149" t="n">
        <v>1043</v>
      </c>
      <c r="H1149" s="7" t="n"/>
      <c r="I1149" s="7" t="n"/>
      <c r="J1149" s="11">
        <f>IF(AND(ISNUMBER(H1149),ISNUMBER(I1149),H1149&gt;0,ISNUMBER($B$94)),I1149/H1149,"")</f>
        <v/>
      </c>
      <c r="K1149" s="11">
        <f>IF(AND(ISNUMBER(H1149),ISNUMBER(I1149),H1149&gt;0,ISNUMBER($B$94)),MAX(0,$B$94-3*SQRT($B$94*(1-$B$94)/H1149)),"")</f>
        <v/>
      </c>
      <c r="L1149" s="11">
        <f>IF(AND(ISNUMBER(H1149),ISNUMBER(I1149),H1149&gt;0,ISNUMBER($B$94)),$B$94+3*SQRT($B$94*(1-$B$94)/H1149),"")</f>
        <v/>
      </c>
      <c r="M1149" s="13">
        <f>IF(AND(ISNUMBER(J1149),ISNUMBER(K1149),ISNUMBER(L1149)),IF(J1149&gt;L1149,"boven UCL",IF(J1149&lt;K1149,"onder LCL","")),"")</f>
        <v/>
      </c>
      <c r="O1149" t="n">
        <v>1043</v>
      </c>
      <c r="P1149" s="7" t="n"/>
      <c r="Q1149" s="7" t="n"/>
      <c r="R1149" s="11">
        <f>IF(AND(ISNUMBER(P1149),ISNUMBER(Q1149),P1149&gt;0,ISNUMBER($B$100)),Q1149/P1149,"")</f>
        <v/>
      </c>
      <c r="S1149" s="11">
        <f>IF(AND(ISNUMBER(P1149),ISNUMBER(Q1149),P1149&gt;0,ISNUMBER($B$100)),MAX(0,$B$100-3*SQRT($B$100/P1149)),"")</f>
        <v/>
      </c>
      <c r="T1149" s="11">
        <f>IF(AND(ISNUMBER(P1149),ISNUMBER(Q1149),P1149&gt;0,ISNUMBER($B$100)),$B$100+3*SQRT($B$100/P1149),"")</f>
        <v/>
      </c>
      <c r="U1149" s="13">
        <f>IF(AND(ISNUMBER(R1149),ISNUMBER(S1149),ISNUMBER(T1149)),IF(R1149&gt;T1149,"boven UCL",IF(R1149&lt;S1149,"onder LCL","")),"")</f>
        <v/>
      </c>
    </row>
    <row r="1150">
      <c r="A1150" t="n">
        <v>1044</v>
      </c>
      <c r="B1150" s="7" t="n"/>
      <c r="C1150" s="11">
        <f>IF(AND(ISNUMBER(B1150),ISNUMBER(B1149)),ABS(B1150-B1149),"")</f>
        <v/>
      </c>
      <c r="D1150" s="13">
        <f>IF(AND(ISNUMBER(B1150),ISNUMBER($B$88),ISNUMBER($D$88)),IF(B1150&gt;$D$88,"boven UCL",IF(B1150&lt;$B$88,"onder LCL","")),"")</f>
        <v/>
      </c>
      <c r="E1150" s="13">
        <f>IF(AND(ISNUMBER(C1150),ISNUMBER($B$89),ISNUMBER($D$89)),IF(C1150&gt;$D$89,"boven UCL",IF(C1150&lt;$B$89,"onder LCL","")),"")</f>
        <v/>
      </c>
      <c r="G1150" t="n">
        <v>1044</v>
      </c>
      <c r="H1150" s="7" t="n"/>
      <c r="I1150" s="7" t="n"/>
      <c r="J1150" s="11">
        <f>IF(AND(ISNUMBER(H1150),ISNUMBER(I1150),H1150&gt;0,ISNUMBER($B$94)),I1150/H1150,"")</f>
        <v/>
      </c>
      <c r="K1150" s="11">
        <f>IF(AND(ISNUMBER(H1150),ISNUMBER(I1150),H1150&gt;0,ISNUMBER($B$94)),MAX(0,$B$94-3*SQRT($B$94*(1-$B$94)/H1150)),"")</f>
        <v/>
      </c>
      <c r="L1150" s="11">
        <f>IF(AND(ISNUMBER(H1150),ISNUMBER(I1150),H1150&gt;0,ISNUMBER($B$94)),$B$94+3*SQRT($B$94*(1-$B$94)/H1150),"")</f>
        <v/>
      </c>
      <c r="M1150" s="13">
        <f>IF(AND(ISNUMBER(J1150),ISNUMBER(K1150),ISNUMBER(L1150)),IF(J1150&gt;L1150,"boven UCL",IF(J1150&lt;K1150,"onder LCL","")),"")</f>
        <v/>
      </c>
      <c r="O1150" t="n">
        <v>1044</v>
      </c>
      <c r="P1150" s="7" t="n"/>
      <c r="Q1150" s="7" t="n"/>
      <c r="R1150" s="11">
        <f>IF(AND(ISNUMBER(P1150),ISNUMBER(Q1150),P1150&gt;0,ISNUMBER($B$100)),Q1150/P1150,"")</f>
        <v/>
      </c>
      <c r="S1150" s="11">
        <f>IF(AND(ISNUMBER(P1150),ISNUMBER(Q1150),P1150&gt;0,ISNUMBER($B$100)),MAX(0,$B$100-3*SQRT($B$100/P1150)),"")</f>
        <v/>
      </c>
      <c r="T1150" s="11">
        <f>IF(AND(ISNUMBER(P1150),ISNUMBER(Q1150),P1150&gt;0,ISNUMBER($B$100)),$B$100+3*SQRT($B$100/P1150),"")</f>
        <v/>
      </c>
      <c r="U1150" s="13">
        <f>IF(AND(ISNUMBER(R1150),ISNUMBER(S1150),ISNUMBER(T1150)),IF(R1150&gt;T1150,"boven UCL",IF(R1150&lt;S1150,"onder LCL","")),"")</f>
        <v/>
      </c>
    </row>
    <row r="1151">
      <c r="A1151" t="n">
        <v>1045</v>
      </c>
      <c r="B1151" s="7" t="n"/>
      <c r="C1151" s="11">
        <f>IF(AND(ISNUMBER(B1151),ISNUMBER(B1150)),ABS(B1151-B1150),"")</f>
        <v/>
      </c>
      <c r="D1151" s="13">
        <f>IF(AND(ISNUMBER(B1151),ISNUMBER($B$88),ISNUMBER($D$88)),IF(B1151&gt;$D$88,"boven UCL",IF(B1151&lt;$B$88,"onder LCL","")),"")</f>
        <v/>
      </c>
      <c r="E1151" s="13">
        <f>IF(AND(ISNUMBER(C1151),ISNUMBER($B$89),ISNUMBER($D$89)),IF(C1151&gt;$D$89,"boven UCL",IF(C1151&lt;$B$89,"onder LCL","")),"")</f>
        <v/>
      </c>
      <c r="G1151" t="n">
        <v>1045</v>
      </c>
      <c r="H1151" s="7" t="n"/>
      <c r="I1151" s="7" t="n"/>
      <c r="J1151" s="11">
        <f>IF(AND(ISNUMBER(H1151),ISNUMBER(I1151),H1151&gt;0,ISNUMBER($B$94)),I1151/H1151,"")</f>
        <v/>
      </c>
      <c r="K1151" s="11">
        <f>IF(AND(ISNUMBER(H1151),ISNUMBER(I1151),H1151&gt;0,ISNUMBER($B$94)),MAX(0,$B$94-3*SQRT($B$94*(1-$B$94)/H1151)),"")</f>
        <v/>
      </c>
      <c r="L1151" s="11">
        <f>IF(AND(ISNUMBER(H1151),ISNUMBER(I1151),H1151&gt;0,ISNUMBER($B$94)),$B$94+3*SQRT($B$94*(1-$B$94)/H1151),"")</f>
        <v/>
      </c>
      <c r="M1151" s="13">
        <f>IF(AND(ISNUMBER(J1151),ISNUMBER(K1151),ISNUMBER(L1151)),IF(J1151&gt;L1151,"boven UCL",IF(J1151&lt;K1151,"onder LCL","")),"")</f>
        <v/>
      </c>
      <c r="O1151" t="n">
        <v>1045</v>
      </c>
      <c r="P1151" s="7" t="n"/>
      <c r="Q1151" s="7" t="n"/>
      <c r="R1151" s="11">
        <f>IF(AND(ISNUMBER(P1151),ISNUMBER(Q1151),P1151&gt;0,ISNUMBER($B$100)),Q1151/P1151,"")</f>
        <v/>
      </c>
      <c r="S1151" s="11">
        <f>IF(AND(ISNUMBER(P1151),ISNUMBER(Q1151),P1151&gt;0,ISNUMBER($B$100)),MAX(0,$B$100-3*SQRT($B$100/P1151)),"")</f>
        <v/>
      </c>
      <c r="T1151" s="11">
        <f>IF(AND(ISNUMBER(P1151),ISNUMBER(Q1151),P1151&gt;0,ISNUMBER($B$100)),$B$100+3*SQRT($B$100/P1151),"")</f>
        <v/>
      </c>
      <c r="U1151" s="13">
        <f>IF(AND(ISNUMBER(R1151),ISNUMBER(S1151),ISNUMBER(T1151)),IF(R1151&gt;T1151,"boven UCL",IF(R1151&lt;S1151,"onder LCL","")),"")</f>
        <v/>
      </c>
    </row>
    <row r="1152">
      <c r="A1152" t="n">
        <v>1046</v>
      </c>
      <c r="B1152" s="7" t="n"/>
      <c r="C1152" s="11">
        <f>IF(AND(ISNUMBER(B1152),ISNUMBER(B1151)),ABS(B1152-B1151),"")</f>
        <v/>
      </c>
      <c r="D1152" s="13">
        <f>IF(AND(ISNUMBER(B1152),ISNUMBER($B$88),ISNUMBER($D$88)),IF(B1152&gt;$D$88,"boven UCL",IF(B1152&lt;$B$88,"onder LCL","")),"")</f>
        <v/>
      </c>
      <c r="E1152" s="13">
        <f>IF(AND(ISNUMBER(C1152),ISNUMBER($B$89),ISNUMBER($D$89)),IF(C1152&gt;$D$89,"boven UCL",IF(C1152&lt;$B$89,"onder LCL","")),"")</f>
        <v/>
      </c>
      <c r="G1152" t="n">
        <v>1046</v>
      </c>
      <c r="H1152" s="7" t="n"/>
      <c r="I1152" s="7" t="n"/>
      <c r="J1152" s="11">
        <f>IF(AND(ISNUMBER(H1152),ISNUMBER(I1152),H1152&gt;0,ISNUMBER($B$94)),I1152/H1152,"")</f>
        <v/>
      </c>
      <c r="K1152" s="11">
        <f>IF(AND(ISNUMBER(H1152),ISNUMBER(I1152),H1152&gt;0,ISNUMBER($B$94)),MAX(0,$B$94-3*SQRT($B$94*(1-$B$94)/H1152)),"")</f>
        <v/>
      </c>
      <c r="L1152" s="11">
        <f>IF(AND(ISNUMBER(H1152),ISNUMBER(I1152),H1152&gt;0,ISNUMBER($B$94)),$B$94+3*SQRT($B$94*(1-$B$94)/H1152),"")</f>
        <v/>
      </c>
      <c r="M1152" s="13">
        <f>IF(AND(ISNUMBER(J1152),ISNUMBER(K1152),ISNUMBER(L1152)),IF(J1152&gt;L1152,"boven UCL",IF(J1152&lt;K1152,"onder LCL","")),"")</f>
        <v/>
      </c>
      <c r="O1152" t="n">
        <v>1046</v>
      </c>
      <c r="P1152" s="7" t="n"/>
      <c r="Q1152" s="7" t="n"/>
      <c r="R1152" s="11">
        <f>IF(AND(ISNUMBER(P1152),ISNUMBER(Q1152),P1152&gt;0,ISNUMBER($B$100)),Q1152/P1152,"")</f>
        <v/>
      </c>
      <c r="S1152" s="11">
        <f>IF(AND(ISNUMBER(P1152),ISNUMBER(Q1152),P1152&gt;0,ISNUMBER($B$100)),MAX(0,$B$100-3*SQRT($B$100/P1152)),"")</f>
        <v/>
      </c>
      <c r="T1152" s="11">
        <f>IF(AND(ISNUMBER(P1152),ISNUMBER(Q1152),P1152&gt;0,ISNUMBER($B$100)),$B$100+3*SQRT($B$100/P1152),"")</f>
        <v/>
      </c>
      <c r="U1152" s="13">
        <f>IF(AND(ISNUMBER(R1152),ISNUMBER(S1152),ISNUMBER(T1152)),IF(R1152&gt;T1152,"boven UCL",IF(R1152&lt;S1152,"onder LCL","")),"")</f>
        <v/>
      </c>
    </row>
    <row r="1153">
      <c r="A1153" t="n">
        <v>1047</v>
      </c>
      <c r="B1153" s="7" t="n"/>
      <c r="C1153" s="11">
        <f>IF(AND(ISNUMBER(B1153),ISNUMBER(B1152)),ABS(B1153-B1152),"")</f>
        <v/>
      </c>
      <c r="D1153" s="13">
        <f>IF(AND(ISNUMBER(B1153),ISNUMBER($B$88),ISNUMBER($D$88)),IF(B1153&gt;$D$88,"boven UCL",IF(B1153&lt;$B$88,"onder LCL","")),"")</f>
        <v/>
      </c>
      <c r="E1153" s="13">
        <f>IF(AND(ISNUMBER(C1153),ISNUMBER($B$89),ISNUMBER($D$89)),IF(C1153&gt;$D$89,"boven UCL",IF(C1153&lt;$B$89,"onder LCL","")),"")</f>
        <v/>
      </c>
      <c r="G1153" t="n">
        <v>1047</v>
      </c>
      <c r="H1153" s="7" t="n"/>
      <c r="I1153" s="7" t="n"/>
      <c r="J1153" s="11">
        <f>IF(AND(ISNUMBER(H1153),ISNUMBER(I1153),H1153&gt;0,ISNUMBER($B$94)),I1153/H1153,"")</f>
        <v/>
      </c>
      <c r="K1153" s="11">
        <f>IF(AND(ISNUMBER(H1153),ISNUMBER(I1153),H1153&gt;0,ISNUMBER($B$94)),MAX(0,$B$94-3*SQRT($B$94*(1-$B$94)/H1153)),"")</f>
        <v/>
      </c>
      <c r="L1153" s="11">
        <f>IF(AND(ISNUMBER(H1153),ISNUMBER(I1153),H1153&gt;0,ISNUMBER($B$94)),$B$94+3*SQRT($B$94*(1-$B$94)/H1153),"")</f>
        <v/>
      </c>
      <c r="M1153" s="13">
        <f>IF(AND(ISNUMBER(J1153),ISNUMBER(K1153),ISNUMBER(L1153)),IF(J1153&gt;L1153,"boven UCL",IF(J1153&lt;K1153,"onder LCL","")),"")</f>
        <v/>
      </c>
      <c r="O1153" t="n">
        <v>1047</v>
      </c>
      <c r="P1153" s="7" t="n"/>
      <c r="Q1153" s="7" t="n"/>
      <c r="R1153" s="11">
        <f>IF(AND(ISNUMBER(P1153),ISNUMBER(Q1153),P1153&gt;0,ISNUMBER($B$100)),Q1153/P1153,"")</f>
        <v/>
      </c>
      <c r="S1153" s="11">
        <f>IF(AND(ISNUMBER(P1153),ISNUMBER(Q1153),P1153&gt;0,ISNUMBER($B$100)),MAX(0,$B$100-3*SQRT($B$100/P1153)),"")</f>
        <v/>
      </c>
      <c r="T1153" s="11">
        <f>IF(AND(ISNUMBER(P1153),ISNUMBER(Q1153),P1153&gt;0,ISNUMBER($B$100)),$B$100+3*SQRT($B$100/P1153),"")</f>
        <v/>
      </c>
      <c r="U1153" s="13">
        <f>IF(AND(ISNUMBER(R1153),ISNUMBER(S1153),ISNUMBER(T1153)),IF(R1153&gt;T1153,"boven UCL",IF(R1153&lt;S1153,"onder LCL","")),"")</f>
        <v/>
      </c>
    </row>
    <row r="1154">
      <c r="A1154" t="n">
        <v>1048</v>
      </c>
      <c r="B1154" s="7" t="n"/>
      <c r="C1154" s="11">
        <f>IF(AND(ISNUMBER(B1154),ISNUMBER(B1153)),ABS(B1154-B1153),"")</f>
        <v/>
      </c>
      <c r="D1154" s="13">
        <f>IF(AND(ISNUMBER(B1154),ISNUMBER($B$88),ISNUMBER($D$88)),IF(B1154&gt;$D$88,"boven UCL",IF(B1154&lt;$B$88,"onder LCL","")),"")</f>
        <v/>
      </c>
      <c r="E1154" s="13">
        <f>IF(AND(ISNUMBER(C1154),ISNUMBER($B$89),ISNUMBER($D$89)),IF(C1154&gt;$D$89,"boven UCL",IF(C1154&lt;$B$89,"onder LCL","")),"")</f>
        <v/>
      </c>
      <c r="G1154" t="n">
        <v>1048</v>
      </c>
      <c r="H1154" s="7" t="n"/>
      <c r="I1154" s="7" t="n"/>
      <c r="J1154" s="11">
        <f>IF(AND(ISNUMBER(H1154),ISNUMBER(I1154),H1154&gt;0,ISNUMBER($B$94)),I1154/H1154,"")</f>
        <v/>
      </c>
      <c r="K1154" s="11">
        <f>IF(AND(ISNUMBER(H1154),ISNUMBER(I1154),H1154&gt;0,ISNUMBER($B$94)),MAX(0,$B$94-3*SQRT($B$94*(1-$B$94)/H1154)),"")</f>
        <v/>
      </c>
      <c r="L1154" s="11">
        <f>IF(AND(ISNUMBER(H1154),ISNUMBER(I1154),H1154&gt;0,ISNUMBER($B$94)),$B$94+3*SQRT($B$94*(1-$B$94)/H1154),"")</f>
        <v/>
      </c>
      <c r="M1154" s="13">
        <f>IF(AND(ISNUMBER(J1154),ISNUMBER(K1154),ISNUMBER(L1154)),IF(J1154&gt;L1154,"boven UCL",IF(J1154&lt;K1154,"onder LCL","")),"")</f>
        <v/>
      </c>
      <c r="O1154" t="n">
        <v>1048</v>
      </c>
      <c r="P1154" s="7" t="n"/>
      <c r="Q1154" s="7" t="n"/>
      <c r="R1154" s="11">
        <f>IF(AND(ISNUMBER(P1154),ISNUMBER(Q1154),P1154&gt;0,ISNUMBER($B$100)),Q1154/P1154,"")</f>
        <v/>
      </c>
      <c r="S1154" s="11">
        <f>IF(AND(ISNUMBER(P1154),ISNUMBER(Q1154),P1154&gt;0,ISNUMBER($B$100)),MAX(0,$B$100-3*SQRT($B$100/P1154)),"")</f>
        <v/>
      </c>
      <c r="T1154" s="11">
        <f>IF(AND(ISNUMBER(P1154),ISNUMBER(Q1154),P1154&gt;0,ISNUMBER($B$100)),$B$100+3*SQRT($B$100/P1154),"")</f>
        <v/>
      </c>
      <c r="U1154" s="13">
        <f>IF(AND(ISNUMBER(R1154),ISNUMBER(S1154),ISNUMBER(T1154)),IF(R1154&gt;T1154,"boven UCL",IF(R1154&lt;S1154,"onder LCL","")),"")</f>
        <v/>
      </c>
    </row>
    <row r="1155">
      <c r="A1155" t="n">
        <v>1049</v>
      </c>
      <c r="B1155" s="7" t="n"/>
      <c r="C1155" s="11">
        <f>IF(AND(ISNUMBER(B1155),ISNUMBER(B1154)),ABS(B1155-B1154),"")</f>
        <v/>
      </c>
      <c r="D1155" s="13">
        <f>IF(AND(ISNUMBER(B1155),ISNUMBER($B$88),ISNUMBER($D$88)),IF(B1155&gt;$D$88,"boven UCL",IF(B1155&lt;$B$88,"onder LCL","")),"")</f>
        <v/>
      </c>
      <c r="E1155" s="13">
        <f>IF(AND(ISNUMBER(C1155),ISNUMBER($B$89),ISNUMBER($D$89)),IF(C1155&gt;$D$89,"boven UCL",IF(C1155&lt;$B$89,"onder LCL","")),"")</f>
        <v/>
      </c>
      <c r="G1155" t="n">
        <v>1049</v>
      </c>
      <c r="H1155" s="7" t="n"/>
      <c r="I1155" s="7" t="n"/>
      <c r="J1155" s="11">
        <f>IF(AND(ISNUMBER(H1155),ISNUMBER(I1155),H1155&gt;0,ISNUMBER($B$94)),I1155/H1155,"")</f>
        <v/>
      </c>
      <c r="K1155" s="11">
        <f>IF(AND(ISNUMBER(H1155),ISNUMBER(I1155),H1155&gt;0,ISNUMBER($B$94)),MAX(0,$B$94-3*SQRT($B$94*(1-$B$94)/H1155)),"")</f>
        <v/>
      </c>
      <c r="L1155" s="11">
        <f>IF(AND(ISNUMBER(H1155),ISNUMBER(I1155),H1155&gt;0,ISNUMBER($B$94)),$B$94+3*SQRT($B$94*(1-$B$94)/H1155),"")</f>
        <v/>
      </c>
      <c r="M1155" s="13">
        <f>IF(AND(ISNUMBER(J1155),ISNUMBER(K1155),ISNUMBER(L1155)),IF(J1155&gt;L1155,"boven UCL",IF(J1155&lt;K1155,"onder LCL","")),"")</f>
        <v/>
      </c>
      <c r="O1155" t="n">
        <v>1049</v>
      </c>
      <c r="P1155" s="7" t="n"/>
      <c r="Q1155" s="7" t="n"/>
      <c r="R1155" s="11">
        <f>IF(AND(ISNUMBER(P1155),ISNUMBER(Q1155),P1155&gt;0,ISNUMBER($B$100)),Q1155/P1155,"")</f>
        <v/>
      </c>
      <c r="S1155" s="11">
        <f>IF(AND(ISNUMBER(P1155),ISNUMBER(Q1155),P1155&gt;0,ISNUMBER($B$100)),MAX(0,$B$100-3*SQRT($B$100/P1155)),"")</f>
        <v/>
      </c>
      <c r="T1155" s="11">
        <f>IF(AND(ISNUMBER(P1155),ISNUMBER(Q1155),P1155&gt;0,ISNUMBER($B$100)),$B$100+3*SQRT($B$100/P1155),"")</f>
        <v/>
      </c>
      <c r="U1155" s="13">
        <f>IF(AND(ISNUMBER(R1155),ISNUMBER(S1155),ISNUMBER(T1155)),IF(R1155&gt;T1155,"boven UCL",IF(R1155&lt;S1155,"onder LCL","")),"")</f>
        <v/>
      </c>
    </row>
    <row r="1156">
      <c r="A1156" t="n">
        <v>1050</v>
      </c>
      <c r="B1156" s="7" t="n"/>
      <c r="C1156" s="11">
        <f>IF(AND(ISNUMBER(B1156),ISNUMBER(B1155)),ABS(B1156-B1155),"")</f>
        <v/>
      </c>
      <c r="D1156" s="13">
        <f>IF(AND(ISNUMBER(B1156),ISNUMBER($B$88),ISNUMBER($D$88)),IF(B1156&gt;$D$88,"boven UCL",IF(B1156&lt;$B$88,"onder LCL","")),"")</f>
        <v/>
      </c>
      <c r="E1156" s="13">
        <f>IF(AND(ISNUMBER(C1156),ISNUMBER($B$89),ISNUMBER($D$89)),IF(C1156&gt;$D$89,"boven UCL",IF(C1156&lt;$B$89,"onder LCL","")),"")</f>
        <v/>
      </c>
      <c r="G1156" t="n">
        <v>1050</v>
      </c>
      <c r="H1156" s="7" t="n"/>
      <c r="I1156" s="7" t="n"/>
      <c r="J1156" s="11">
        <f>IF(AND(ISNUMBER(H1156),ISNUMBER(I1156),H1156&gt;0,ISNUMBER($B$94)),I1156/H1156,"")</f>
        <v/>
      </c>
      <c r="K1156" s="11">
        <f>IF(AND(ISNUMBER(H1156),ISNUMBER(I1156),H1156&gt;0,ISNUMBER($B$94)),MAX(0,$B$94-3*SQRT($B$94*(1-$B$94)/H1156)),"")</f>
        <v/>
      </c>
      <c r="L1156" s="11">
        <f>IF(AND(ISNUMBER(H1156),ISNUMBER(I1156),H1156&gt;0,ISNUMBER($B$94)),$B$94+3*SQRT($B$94*(1-$B$94)/H1156),"")</f>
        <v/>
      </c>
      <c r="M1156" s="13">
        <f>IF(AND(ISNUMBER(J1156),ISNUMBER(K1156),ISNUMBER(L1156)),IF(J1156&gt;L1156,"boven UCL",IF(J1156&lt;K1156,"onder LCL","")),"")</f>
        <v/>
      </c>
      <c r="O1156" t="n">
        <v>1050</v>
      </c>
      <c r="P1156" s="7" t="n"/>
      <c r="Q1156" s="7" t="n"/>
      <c r="R1156" s="11">
        <f>IF(AND(ISNUMBER(P1156),ISNUMBER(Q1156),P1156&gt;0,ISNUMBER($B$100)),Q1156/P1156,"")</f>
        <v/>
      </c>
      <c r="S1156" s="11">
        <f>IF(AND(ISNUMBER(P1156),ISNUMBER(Q1156),P1156&gt;0,ISNUMBER($B$100)),MAX(0,$B$100-3*SQRT($B$100/P1156)),"")</f>
        <v/>
      </c>
      <c r="T1156" s="11">
        <f>IF(AND(ISNUMBER(P1156),ISNUMBER(Q1156),P1156&gt;0,ISNUMBER($B$100)),$B$100+3*SQRT($B$100/P1156),"")</f>
        <v/>
      </c>
      <c r="U1156" s="13">
        <f>IF(AND(ISNUMBER(R1156),ISNUMBER(S1156),ISNUMBER(T1156)),IF(R1156&gt;T1156,"boven UCL",IF(R1156&lt;S1156,"onder LCL","")),"")</f>
        <v/>
      </c>
    </row>
    <row r="1157">
      <c r="A1157" t="n">
        <v>1051</v>
      </c>
      <c r="B1157" s="7" t="n"/>
      <c r="C1157" s="11">
        <f>IF(AND(ISNUMBER(B1157),ISNUMBER(B1156)),ABS(B1157-B1156),"")</f>
        <v/>
      </c>
      <c r="D1157" s="13">
        <f>IF(AND(ISNUMBER(B1157),ISNUMBER($B$88),ISNUMBER($D$88)),IF(B1157&gt;$D$88,"boven UCL",IF(B1157&lt;$B$88,"onder LCL","")),"")</f>
        <v/>
      </c>
      <c r="E1157" s="13">
        <f>IF(AND(ISNUMBER(C1157),ISNUMBER($B$89),ISNUMBER($D$89)),IF(C1157&gt;$D$89,"boven UCL",IF(C1157&lt;$B$89,"onder LCL","")),"")</f>
        <v/>
      </c>
      <c r="G1157" t="n">
        <v>1051</v>
      </c>
      <c r="H1157" s="7" t="n"/>
      <c r="I1157" s="7" t="n"/>
      <c r="J1157" s="11">
        <f>IF(AND(ISNUMBER(H1157),ISNUMBER(I1157),H1157&gt;0,ISNUMBER($B$94)),I1157/H1157,"")</f>
        <v/>
      </c>
      <c r="K1157" s="11">
        <f>IF(AND(ISNUMBER(H1157),ISNUMBER(I1157),H1157&gt;0,ISNUMBER($B$94)),MAX(0,$B$94-3*SQRT($B$94*(1-$B$94)/H1157)),"")</f>
        <v/>
      </c>
      <c r="L1157" s="11">
        <f>IF(AND(ISNUMBER(H1157),ISNUMBER(I1157),H1157&gt;0,ISNUMBER($B$94)),$B$94+3*SQRT($B$94*(1-$B$94)/H1157),"")</f>
        <v/>
      </c>
      <c r="M1157" s="13">
        <f>IF(AND(ISNUMBER(J1157),ISNUMBER(K1157),ISNUMBER(L1157)),IF(J1157&gt;L1157,"boven UCL",IF(J1157&lt;K1157,"onder LCL","")),"")</f>
        <v/>
      </c>
      <c r="O1157" t="n">
        <v>1051</v>
      </c>
      <c r="P1157" s="7" t="n"/>
      <c r="Q1157" s="7" t="n"/>
      <c r="R1157" s="11">
        <f>IF(AND(ISNUMBER(P1157),ISNUMBER(Q1157),P1157&gt;0,ISNUMBER($B$100)),Q1157/P1157,"")</f>
        <v/>
      </c>
      <c r="S1157" s="11">
        <f>IF(AND(ISNUMBER(P1157),ISNUMBER(Q1157),P1157&gt;0,ISNUMBER($B$100)),MAX(0,$B$100-3*SQRT($B$100/P1157)),"")</f>
        <v/>
      </c>
      <c r="T1157" s="11">
        <f>IF(AND(ISNUMBER(P1157),ISNUMBER(Q1157),P1157&gt;0,ISNUMBER($B$100)),$B$100+3*SQRT($B$100/P1157),"")</f>
        <v/>
      </c>
      <c r="U1157" s="13">
        <f>IF(AND(ISNUMBER(R1157),ISNUMBER(S1157),ISNUMBER(T1157)),IF(R1157&gt;T1157,"boven UCL",IF(R1157&lt;S1157,"onder LCL","")),"")</f>
        <v/>
      </c>
    </row>
    <row r="1158">
      <c r="A1158" t="n">
        <v>1052</v>
      </c>
      <c r="B1158" s="7" t="n"/>
      <c r="C1158" s="11">
        <f>IF(AND(ISNUMBER(B1158),ISNUMBER(B1157)),ABS(B1158-B1157),"")</f>
        <v/>
      </c>
      <c r="D1158" s="13">
        <f>IF(AND(ISNUMBER(B1158),ISNUMBER($B$88),ISNUMBER($D$88)),IF(B1158&gt;$D$88,"boven UCL",IF(B1158&lt;$B$88,"onder LCL","")),"")</f>
        <v/>
      </c>
      <c r="E1158" s="13">
        <f>IF(AND(ISNUMBER(C1158),ISNUMBER($B$89),ISNUMBER($D$89)),IF(C1158&gt;$D$89,"boven UCL",IF(C1158&lt;$B$89,"onder LCL","")),"")</f>
        <v/>
      </c>
      <c r="G1158" t="n">
        <v>1052</v>
      </c>
      <c r="H1158" s="7" t="n"/>
      <c r="I1158" s="7" t="n"/>
      <c r="J1158" s="11">
        <f>IF(AND(ISNUMBER(H1158),ISNUMBER(I1158),H1158&gt;0,ISNUMBER($B$94)),I1158/H1158,"")</f>
        <v/>
      </c>
      <c r="K1158" s="11">
        <f>IF(AND(ISNUMBER(H1158),ISNUMBER(I1158),H1158&gt;0,ISNUMBER($B$94)),MAX(0,$B$94-3*SQRT($B$94*(1-$B$94)/H1158)),"")</f>
        <v/>
      </c>
      <c r="L1158" s="11">
        <f>IF(AND(ISNUMBER(H1158),ISNUMBER(I1158),H1158&gt;0,ISNUMBER($B$94)),$B$94+3*SQRT($B$94*(1-$B$94)/H1158),"")</f>
        <v/>
      </c>
      <c r="M1158" s="13">
        <f>IF(AND(ISNUMBER(J1158),ISNUMBER(K1158),ISNUMBER(L1158)),IF(J1158&gt;L1158,"boven UCL",IF(J1158&lt;K1158,"onder LCL","")),"")</f>
        <v/>
      </c>
      <c r="O1158" t="n">
        <v>1052</v>
      </c>
      <c r="P1158" s="7" t="n"/>
      <c r="Q1158" s="7" t="n"/>
      <c r="R1158" s="11">
        <f>IF(AND(ISNUMBER(P1158),ISNUMBER(Q1158),P1158&gt;0,ISNUMBER($B$100)),Q1158/P1158,"")</f>
        <v/>
      </c>
      <c r="S1158" s="11">
        <f>IF(AND(ISNUMBER(P1158),ISNUMBER(Q1158),P1158&gt;0,ISNUMBER($B$100)),MAX(0,$B$100-3*SQRT($B$100/P1158)),"")</f>
        <v/>
      </c>
      <c r="T1158" s="11">
        <f>IF(AND(ISNUMBER(P1158),ISNUMBER(Q1158),P1158&gt;0,ISNUMBER($B$100)),$B$100+3*SQRT($B$100/P1158),"")</f>
        <v/>
      </c>
      <c r="U1158" s="13">
        <f>IF(AND(ISNUMBER(R1158),ISNUMBER(S1158),ISNUMBER(T1158)),IF(R1158&gt;T1158,"boven UCL",IF(R1158&lt;S1158,"onder LCL","")),"")</f>
        <v/>
      </c>
    </row>
    <row r="1159">
      <c r="A1159" t="n">
        <v>1053</v>
      </c>
      <c r="B1159" s="7" t="n"/>
      <c r="C1159" s="11">
        <f>IF(AND(ISNUMBER(B1159),ISNUMBER(B1158)),ABS(B1159-B1158),"")</f>
        <v/>
      </c>
      <c r="D1159" s="13">
        <f>IF(AND(ISNUMBER(B1159),ISNUMBER($B$88),ISNUMBER($D$88)),IF(B1159&gt;$D$88,"boven UCL",IF(B1159&lt;$B$88,"onder LCL","")),"")</f>
        <v/>
      </c>
      <c r="E1159" s="13">
        <f>IF(AND(ISNUMBER(C1159),ISNUMBER($B$89),ISNUMBER($D$89)),IF(C1159&gt;$D$89,"boven UCL",IF(C1159&lt;$B$89,"onder LCL","")),"")</f>
        <v/>
      </c>
      <c r="G1159" t="n">
        <v>1053</v>
      </c>
      <c r="H1159" s="7" t="n"/>
      <c r="I1159" s="7" t="n"/>
      <c r="J1159" s="11">
        <f>IF(AND(ISNUMBER(H1159),ISNUMBER(I1159),H1159&gt;0,ISNUMBER($B$94)),I1159/H1159,"")</f>
        <v/>
      </c>
      <c r="K1159" s="11">
        <f>IF(AND(ISNUMBER(H1159),ISNUMBER(I1159),H1159&gt;0,ISNUMBER($B$94)),MAX(0,$B$94-3*SQRT($B$94*(1-$B$94)/H1159)),"")</f>
        <v/>
      </c>
      <c r="L1159" s="11">
        <f>IF(AND(ISNUMBER(H1159),ISNUMBER(I1159),H1159&gt;0,ISNUMBER($B$94)),$B$94+3*SQRT($B$94*(1-$B$94)/H1159),"")</f>
        <v/>
      </c>
      <c r="M1159" s="13">
        <f>IF(AND(ISNUMBER(J1159),ISNUMBER(K1159),ISNUMBER(L1159)),IF(J1159&gt;L1159,"boven UCL",IF(J1159&lt;K1159,"onder LCL","")),"")</f>
        <v/>
      </c>
      <c r="O1159" t="n">
        <v>1053</v>
      </c>
      <c r="P1159" s="7" t="n"/>
      <c r="Q1159" s="7" t="n"/>
      <c r="R1159" s="11">
        <f>IF(AND(ISNUMBER(P1159),ISNUMBER(Q1159),P1159&gt;0,ISNUMBER($B$100)),Q1159/P1159,"")</f>
        <v/>
      </c>
      <c r="S1159" s="11">
        <f>IF(AND(ISNUMBER(P1159),ISNUMBER(Q1159),P1159&gt;0,ISNUMBER($B$100)),MAX(0,$B$100-3*SQRT($B$100/P1159)),"")</f>
        <v/>
      </c>
      <c r="T1159" s="11">
        <f>IF(AND(ISNUMBER(P1159),ISNUMBER(Q1159),P1159&gt;0,ISNUMBER($B$100)),$B$100+3*SQRT($B$100/P1159),"")</f>
        <v/>
      </c>
      <c r="U1159" s="13">
        <f>IF(AND(ISNUMBER(R1159),ISNUMBER(S1159),ISNUMBER(T1159)),IF(R1159&gt;T1159,"boven UCL",IF(R1159&lt;S1159,"onder LCL","")),"")</f>
        <v/>
      </c>
    </row>
    <row r="1160">
      <c r="A1160" t="n">
        <v>1054</v>
      </c>
      <c r="B1160" s="7" t="n"/>
      <c r="C1160" s="11">
        <f>IF(AND(ISNUMBER(B1160),ISNUMBER(B1159)),ABS(B1160-B1159),"")</f>
        <v/>
      </c>
      <c r="D1160" s="13">
        <f>IF(AND(ISNUMBER(B1160),ISNUMBER($B$88),ISNUMBER($D$88)),IF(B1160&gt;$D$88,"boven UCL",IF(B1160&lt;$B$88,"onder LCL","")),"")</f>
        <v/>
      </c>
      <c r="E1160" s="13">
        <f>IF(AND(ISNUMBER(C1160),ISNUMBER($B$89),ISNUMBER($D$89)),IF(C1160&gt;$D$89,"boven UCL",IF(C1160&lt;$B$89,"onder LCL","")),"")</f>
        <v/>
      </c>
      <c r="G1160" t="n">
        <v>1054</v>
      </c>
      <c r="H1160" s="7" t="n"/>
      <c r="I1160" s="7" t="n"/>
      <c r="J1160" s="11">
        <f>IF(AND(ISNUMBER(H1160),ISNUMBER(I1160),H1160&gt;0,ISNUMBER($B$94)),I1160/H1160,"")</f>
        <v/>
      </c>
      <c r="K1160" s="11">
        <f>IF(AND(ISNUMBER(H1160),ISNUMBER(I1160),H1160&gt;0,ISNUMBER($B$94)),MAX(0,$B$94-3*SQRT($B$94*(1-$B$94)/H1160)),"")</f>
        <v/>
      </c>
      <c r="L1160" s="11">
        <f>IF(AND(ISNUMBER(H1160),ISNUMBER(I1160),H1160&gt;0,ISNUMBER($B$94)),$B$94+3*SQRT($B$94*(1-$B$94)/H1160),"")</f>
        <v/>
      </c>
      <c r="M1160" s="13">
        <f>IF(AND(ISNUMBER(J1160),ISNUMBER(K1160),ISNUMBER(L1160)),IF(J1160&gt;L1160,"boven UCL",IF(J1160&lt;K1160,"onder LCL","")),"")</f>
        <v/>
      </c>
      <c r="O1160" t="n">
        <v>1054</v>
      </c>
      <c r="P1160" s="7" t="n"/>
      <c r="Q1160" s="7" t="n"/>
      <c r="R1160" s="11">
        <f>IF(AND(ISNUMBER(P1160),ISNUMBER(Q1160),P1160&gt;0,ISNUMBER($B$100)),Q1160/P1160,"")</f>
        <v/>
      </c>
      <c r="S1160" s="11">
        <f>IF(AND(ISNUMBER(P1160),ISNUMBER(Q1160),P1160&gt;0,ISNUMBER($B$100)),MAX(0,$B$100-3*SQRT($B$100/P1160)),"")</f>
        <v/>
      </c>
      <c r="T1160" s="11">
        <f>IF(AND(ISNUMBER(P1160),ISNUMBER(Q1160),P1160&gt;0,ISNUMBER($B$100)),$B$100+3*SQRT($B$100/P1160),"")</f>
        <v/>
      </c>
      <c r="U1160" s="13">
        <f>IF(AND(ISNUMBER(R1160),ISNUMBER(S1160),ISNUMBER(T1160)),IF(R1160&gt;T1160,"boven UCL",IF(R1160&lt;S1160,"onder LCL","")),"")</f>
        <v/>
      </c>
    </row>
    <row r="1161">
      <c r="A1161" t="n">
        <v>1055</v>
      </c>
      <c r="B1161" s="7" t="n"/>
      <c r="C1161" s="11">
        <f>IF(AND(ISNUMBER(B1161),ISNUMBER(B1160)),ABS(B1161-B1160),"")</f>
        <v/>
      </c>
      <c r="D1161" s="13">
        <f>IF(AND(ISNUMBER(B1161),ISNUMBER($B$88),ISNUMBER($D$88)),IF(B1161&gt;$D$88,"boven UCL",IF(B1161&lt;$B$88,"onder LCL","")),"")</f>
        <v/>
      </c>
      <c r="E1161" s="13">
        <f>IF(AND(ISNUMBER(C1161),ISNUMBER($B$89),ISNUMBER($D$89)),IF(C1161&gt;$D$89,"boven UCL",IF(C1161&lt;$B$89,"onder LCL","")),"")</f>
        <v/>
      </c>
      <c r="G1161" t="n">
        <v>1055</v>
      </c>
      <c r="H1161" s="7" t="n"/>
      <c r="I1161" s="7" t="n"/>
      <c r="J1161" s="11">
        <f>IF(AND(ISNUMBER(H1161),ISNUMBER(I1161),H1161&gt;0,ISNUMBER($B$94)),I1161/H1161,"")</f>
        <v/>
      </c>
      <c r="K1161" s="11">
        <f>IF(AND(ISNUMBER(H1161),ISNUMBER(I1161),H1161&gt;0,ISNUMBER($B$94)),MAX(0,$B$94-3*SQRT($B$94*(1-$B$94)/H1161)),"")</f>
        <v/>
      </c>
      <c r="L1161" s="11">
        <f>IF(AND(ISNUMBER(H1161),ISNUMBER(I1161),H1161&gt;0,ISNUMBER($B$94)),$B$94+3*SQRT($B$94*(1-$B$94)/H1161),"")</f>
        <v/>
      </c>
      <c r="M1161" s="13">
        <f>IF(AND(ISNUMBER(J1161),ISNUMBER(K1161),ISNUMBER(L1161)),IF(J1161&gt;L1161,"boven UCL",IF(J1161&lt;K1161,"onder LCL","")),"")</f>
        <v/>
      </c>
      <c r="O1161" t="n">
        <v>1055</v>
      </c>
      <c r="P1161" s="7" t="n"/>
      <c r="Q1161" s="7" t="n"/>
      <c r="R1161" s="11">
        <f>IF(AND(ISNUMBER(P1161),ISNUMBER(Q1161),P1161&gt;0,ISNUMBER($B$100)),Q1161/P1161,"")</f>
        <v/>
      </c>
      <c r="S1161" s="11">
        <f>IF(AND(ISNUMBER(P1161),ISNUMBER(Q1161),P1161&gt;0,ISNUMBER($B$100)),MAX(0,$B$100-3*SQRT($B$100/P1161)),"")</f>
        <v/>
      </c>
      <c r="T1161" s="11">
        <f>IF(AND(ISNUMBER(P1161),ISNUMBER(Q1161),P1161&gt;0,ISNUMBER($B$100)),$B$100+3*SQRT($B$100/P1161),"")</f>
        <v/>
      </c>
      <c r="U1161" s="13">
        <f>IF(AND(ISNUMBER(R1161),ISNUMBER(S1161),ISNUMBER(T1161)),IF(R1161&gt;T1161,"boven UCL",IF(R1161&lt;S1161,"onder LCL","")),"")</f>
        <v/>
      </c>
    </row>
    <row r="1162">
      <c r="A1162" t="n">
        <v>1056</v>
      </c>
      <c r="B1162" s="7" t="n"/>
      <c r="C1162" s="11">
        <f>IF(AND(ISNUMBER(B1162),ISNUMBER(B1161)),ABS(B1162-B1161),"")</f>
        <v/>
      </c>
      <c r="D1162" s="13">
        <f>IF(AND(ISNUMBER(B1162),ISNUMBER($B$88),ISNUMBER($D$88)),IF(B1162&gt;$D$88,"boven UCL",IF(B1162&lt;$B$88,"onder LCL","")),"")</f>
        <v/>
      </c>
      <c r="E1162" s="13">
        <f>IF(AND(ISNUMBER(C1162),ISNUMBER($B$89),ISNUMBER($D$89)),IF(C1162&gt;$D$89,"boven UCL",IF(C1162&lt;$B$89,"onder LCL","")),"")</f>
        <v/>
      </c>
      <c r="G1162" t="n">
        <v>1056</v>
      </c>
      <c r="H1162" s="7" t="n"/>
      <c r="I1162" s="7" t="n"/>
      <c r="J1162" s="11">
        <f>IF(AND(ISNUMBER(H1162),ISNUMBER(I1162),H1162&gt;0,ISNUMBER($B$94)),I1162/H1162,"")</f>
        <v/>
      </c>
      <c r="K1162" s="11">
        <f>IF(AND(ISNUMBER(H1162),ISNUMBER(I1162),H1162&gt;0,ISNUMBER($B$94)),MAX(0,$B$94-3*SQRT($B$94*(1-$B$94)/H1162)),"")</f>
        <v/>
      </c>
      <c r="L1162" s="11">
        <f>IF(AND(ISNUMBER(H1162),ISNUMBER(I1162),H1162&gt;0,ISNUMBER($B$94)),$B$94+3*SQRT($B$94*(1-$B$94)/H1162),"")</f>
        <v/>
      </c>
      <c r="M1162" s="13">
        <f>IF(AND(ISNUMBER(J1162),ISNUMBER(K1162),ISNUMBER(L1162)),IF(J1162&gt;L1162,"boven UCL",IF(J1162&lt;K1162,"onder LCL","")),"")</f>
        <v/>
      </c>
      <c r="O1162" t="n">
        <v>1056</v>
      </c>
      <c r="P1162" s="7" t="n"/>
      <c r="Q1162" s="7" t="n"/>
      <c r="R1162" s="11">
        <f>IF(AND(ISNUMBER(P1162),ISNUMBER(Q1162),P1162&gt;0,ISNUMBER($B$100)),Q1162/P1162,"")</f>
        <v/>
      </c>
      <c r="S1162" s="11">
        <f>IF(AND(ISNUMBER(P1162),ISNUMBER(Q1162),P1162&gt;0,ISNUMBER($B$100)),MAX(0,$B$100-3*SQRT($B$100/P1162)),"")</f>
        <v/>
      </c>
      <c r="T1162" s="11">
        <f>IF(AND(ISNUMBER(P1162),ISNUMBER(Q1162),P1162&gt;0,ISNUMBER($B$100)),$B$100+3*SQRT($B$100/P1162),"")</f>
        <v/>
      </c>
      <c r="U1162" s="13">
        <f>IF(AND(ISNUMBER(R1162),ISNUMBER(S1162),ISNUMBER(T1162)),IF(R1162&gt;T1162,"boven UCL",IF(R1162&lt;S1162,"onder LCL","")),"")</f>
        <v/>
      </c>
    </row>
    <row r="1163">
      <c r="A1163" t="n">
        <v>1057</v>
      </c>
      <c r="B1163" s="7" t="n"/>
      <c r="C1163" s="11">
        <f>IF(AND(ISNUMBER(B1163),ISNUMBER(B1162)),ABS(B1163-B1162),"")</f>
        <v/>
      </c>
      <c r="D1163" s="13">
        <f>IF(AND(ISNUMBER(B1163),ISNUMBER($B$88),ISNUMBER($D$88)),IF(B1163&gt;$D$88,"boven UCL",IF(B1163&lt;$B$88,"onder LCL","")),"")</f>
        <v/>
      </c>
      <c r="E1163" s="13">
        <f>IF(AND(ISNUMBER(C1163),ISNUMBER($B$89),ISNUMBER($D$89)),IF(C1163&gt;$D$89,"boven UCL",IF(C1163&lt;$B$89,"onder LCL","")),"")</f>
        <v/>
      </c>
      <c r="G1163" t="n">
        <v>1057</v>
      </c>
      <c r="H1163" s="7" t="n"/>
      <c r="I1163" s="7" t="n"/>
      <c r="J1163" s="11">
        <f>IF(AND(ISNUMBER(H1163),ISNUMBER(I1163),H1163&gt;0,ISNUMBER($B$94)),I1163/H1163,"")</f>
        <v/>
      </c>
      <c r="K1163" s="11">
        <f>IF(AND(ISNUMBER(H1163),ISNUMBER(I1163),H1163&gt;0,ISNUMBER($B$94)),MAX(0,$B$94-3*SQRT($B$94*(1-$B$94)/H1163)),"")</f>
        <v/>
      </c>
      <c r="L1163" s="11">
        <f>IF(AND(ISNUMBER(H1163),ISNUMBER(I1163),H1163&gt;0,ISNUMBER($B$94)),$B$94+3*SQRT($B$94*(1-$B$94)/H1163),"")</f>
        <v/>
      </c>
      <c r="M1163" s="13">
        <f>IF(AND(ISNUMBER(J1163),ISNUMBER(K1163),ISNUMBER(L1163)),IF(J1163&gt;L1163,"boven UCL",IF(J1163&lt;K1163,"onder LCL","")),"")</f>
        <v/>
      </c>
      <c r="O1163" t="n">
        <v>1057</v>
      </c>
      <c r="P1163" s="7" t="n"/>
      <c r="Q1163" s="7" t="n"/>
      <c r="R1163" s="11">
        <f>IF(AND(ISNUMBER(P1163),ISNUMBER(Q1163),P1163&gt;0,ISNUMBER($B$100)),Q1163/P1163,"")</f>
        <v/>
      </c>
      <c r="S1163" s="11">
        <f>IF(AND(ISNUMBER(P1163),ISNUMBER(Q1163),P1163&gt;0,ISNUMBER($B$100)),MAX(0,$B$100-3*SQRT($B$100/P1163)),"")</f>
        <v/>
      </c>
      <c r="T1163" s="11">
        <f>IF(AND(ISNUMBER(P1163),ISNUMBER(Q1163),P1163&gt;0,ISNUMBER($B$100)),$B$100+3*SQRT($B$100/P1163),"")</f>
        <v/>
      </c>
      <c r="U1163" s="13">
        <f>IF(AND(ISNUMBER(R1163),ISNUMBER(S1163),ISNUMBER(T1163)),IF(R1163&gt;T1163,"boven UCL",IF(R1163&lt;S1163,"onder LCL","")),"")</f>
        <v/>
      </c>
    </row>
    <row r="1164">
      <c r="A1164" t="n">
        <v>1058</v>
      </c>
      <c r="B1164" s="7" t="n"/>
      <c r="C1164" s="11">
        <f>IF(AND(ISNUMBER(B1164),ISNUMBER(B1163)),ABS(B1164-B1163),"")</f>
        <v/>
      </c>
      <c r="D1164" s="13">
        <f>IF(AND(ISNUMBER(B1164),ISNUMBER($B$88),ISNUMBER($D$88)),IF(B1164&gt;$D$88,"boven UCL",IF(B1164&lt;$B$88,"onder LCL","")),"")</f>
        <v/>
      </c>
      <c r="E1164" s="13">
        <f>IF(AND(ISNUMBER(C1164),ISNUMBER($B$89),ISNUMBER($D$89)),IF(C1164&gt;$D$89,"boven UCL",IF(C1164&lt;$B$89,"onder LCL","")),"")</f>
        <v/>
      </c>
      <c r="G1164" t="n">
        <v>1058</v>
      </c>
      <c r="H1164" s="7" t="n"/>
      <c r="I1164" s="7" t="n"/>
      <c r="J1164" s="11">
        <f>IF(AND(ISNUMBER(H1164),ISNUMBER(I1164),H1164&gt;0,ISNUMBER($B$94)),I1164/H1164,"")</f>
        <v/>
      </c>
      <c r="K1164" s="11">
        <f>IF(AND(ISNUMBER(H1164),ISNUMBER(I1164),H1164&gt;0,ISNUMBER($B$94)),MAX(0,$B$94-3*SQRT($B$94*(1-$B$94)/H1164)),"")</f>
        <v/>
      </c>
      <c r="L1164" s="11">
        <f>IF(AND(ISNUMBER(H1164),ISNUMBER(I1164),H1164&gt;0,ISNUMBER($B$94)),$B$94+3*SQRT($B$94*(1-$B$94)/H1164),"")</f>
        <v/>
      </c>
      <c r="M1164" s="13">
        <f>IF(AND(ISNUMBER(J1164),ISNUMBER(K1164),ISNUMBER(L1164)),IF(J1164&gt;L1164,"boven UCL",IF(J1164&lt;K1164,"onder LCL","")),"")</f>
        <v/>
      </c>
      <c r="O1164" t="n">
        <v>1058</v>
      </c>
      <c r="P1164" s="7" t="n"/>
      <c r="Q1164" s="7" t="n"/>
      <c r="R1164" s="11">
        <f>IF(AND(ISNUMBER(P1164),ISNUMBER(Q1164),P1164&gt;0,ISNUMBER($B$100)),Q1164/P1164,"")</f>
        <v/>
      </c>
      <c r="S1164" s="11">
        <f>IF(AND(ISNUMBER(P1164),ISNUMBER(Q1164),P1164&gt;0,ISNUMBER($B$100)),MAX(0,$B$100-3*SQRT($B$100/P1164)),"")</f>
        <v/>
      </c>
      <c r="T1164" s="11">
        <f>IF(AND(ISNUMBER(P1164),ISNUMBER(Q1164),P1164&gt;0,ISNUMBER($B$100)),$B$100+3*SQRT($B$100/P1164),"")</f>
        <v/>
      </c>
      <c r="U1164" s="13">
        <f>IF(AND(ISNUMBER(R1164),ISNUMBER(S1164),ISNUMBER(T1164)),IF(R1164&gt;T1164,"boven UCL",IF(R1164&lt;S1164,"onder LCL","")),"")</f>
        <v/>
      </c>
    </row>
    <row r="1165">
      <c r="A1165" t="n">
        <v>1059</v>
      </c>
      <c r="B1165" s="7" t="n"/>
      <c r="C1165" s="11">
        <f>IF(AND(ISNUMBER(B1165),ISNUMBER(B1164)),ABS(B1165-B1164),"")</f>
        <v/>
      </c>
      <c r="D1165" s="13">
        <f>IF(AND(ISNUMBER(B1165),ISNUMBER($B$88),ISNUMBER($D$88)),IF(B1165&gt;$D$88,"boven UCL",IF(B1165&lt;$B$88,"onder LCL","")),"")</f>
        <v/>
      </c>
      <c r="E1165" s="13">
        <f>IF(AND(ISNUMBER(C1165),ISNUMBER($B$89),ISNUMBER($D$89)),IF(C1165&gt;$D$89,"boven UCL",IF(C1165&lt;$B$89,"onder LCL","")),"")</f>
        <v/>
      </c>
      <c r="G1165" t="n">
        <v>1059</v>
      </c>
      <c r="H1165" s="7" t="n"/>
      <c r="I1165" s="7" t="n"/>
      <c r="J1165" s="11">
        <f>IF(AND(ISNUMBER(H1165),ISNUMBER(I1165),H1165&gt;0,ISNUMBER($B$94)),I1165/H1165,"")</f>
        <v/>
      </c>
      <c r="K1165" s="11">
        <f>IF(AND(ISNUMBER(H1165),ISNUMBER(I1165),H1165&gt;0,ISNUMBER($B$94)),MAX(0,$B$94-3*SQRT($B$94*(1-$B$94)/H1165)),"")</f>
        <v/>
      </c>
      <c r="L1165" s="11">
        <f>IF(AND(ISNUMBER(H1165),ISNUMBER(I1165),H1165&gt;0,ISNUMBER($B$94)),$B$94+3*SQRT($B$94*(1-$B$94)/H1165),"")</f>
        <v/>
      </c>
      <c r="M1165" s="13">
        <f>IF(AND(ISNUMBER(J1165),ISNUMBER(K1165),ISNUMBER(L1165)),IF(J1165&gt;L1165,"boven UCL",IF(J1165&lt;K1165,"onder LCL","")),"")</f>
        <v/>
      </c>
      <c r="O1165" t="n">
        <v>1059</v>
      </c>
      <c r="P1165" s="7" t="n"/>
      <c r="Q1165" s="7" t="n"/>
      <c r="R1165" s="11">
        <f>IF(AND(ISNUMBER(P1165),ISNUMBER(Q1165),P1165&gt;0,ISNUMBER($B$100)),Q1165/P1165,"")</f>
        <v/>
      </c>
      <c r="S1165" s="11">
        <f>IF(AND(ISNUMBER(P1165),ISNUMBER(Q1165),P1165&gt;0,ISNUMBER($B$100)),MAX(0,$B$100-3*SQRT($B$100/P1165)),"")</f>
        <v/>
      </c>
      <c r="T1165" s="11">
        <f>IF(AND(ISNUMBER(P1165),ISNUMBER(Q1165),P1165&gt;0,ISNUMBER($B$100)),$B$100+3*SQRT($B$100/P1165),"")</f>
        <v/>
      </c>
      <c r="U1165" s="13">
        <f>IF(AND(ISNUMBER(R1165),ISNUMBER(S1165),ISNUMBER(T1165)),IF(R1165&gt;T1165,"boven UCL",IF(R1165&lt;S1165,"onder LCL","")),"")</f>
        <v/>
      </c>
    </row>
    <row r="1166">
      <c r="A1166" t="n">
        <v>1060</v>
      </c>
      <c r="B1166" s="7" t="n"/>
      <c r="C1166" s="11">
        <f>IF(AND(ISNUMBER(B1166),ISNUMBER(B1165)),ABS(B1166-B1165),"")</f>
        <v/>
      </c>
      <c r="D1166" s="13">
        <f>IF(AND(ISNUMBER(B1166),ISNUMBER($B$88),ISNUMBER($D$88)),IF(B1166&gt;$D$88,"boven UCL",IF(B1166&lt;$B$88,"onder LCL","")),"")</f>
        <v/>
      </c>
      <c r="E1166" s="13">
        <f>IF(AND(ISNUMBER(C1166),ISNUMBER($B$89),ISNUMBER($D$89)),IF(C1166&gt;$D$89,"boven UCL",IF(C1166&lt;$B$89,"onder LCL","")),"")</f>
        <v/>
      </c>
      <c r="G1166" t="n">
        <v>1060</v>
      </c>
      <c r="H1166" s="7" t="n"/>
      <c r="I1166" s="7" t="n"/>
      <c r="J1166" s="11">
        <f>IF(AND(ISNUMBER(H1166),ISNUMBER(I1166),H1166&gt;0,ISNUMBER($B$94)),I1166/H1166,"")</f>
        <v/>
      </c>
      <c r="K1166" s="11">
        <f>IF(AND(ISNUMBER(H1166),ISNUMBER(I1166),H1166&gt;0,ISNUMBER($B$94)),MAX(0,$B$94-3*SQRT($B$94*(1-$B$94)/H1166)),"")</f>
        <v/>
      </c>
      <c r="L1166" s="11">
        <f>IF(AND(ISNUMBER(H1166),ISNUMBER(I1166),H1166&gt;0,ISNUMBER($B$94)),$B$94+3*SQRT($B$94*(1-$B$94)/H1166),"")</f>
        <v/>
      </c>
      <c r="M1166" s="13">
        <f>IF(AND(ISNUMBER(J1166),ISNUMBER(K1166),ISNUMBER(L1166)),IF(J1166&gt;L1166,"boven UCL",IF(J1166&lt;K1166,"onder LCL","")),"")</f>
        <v/>
      </c>
      <c r="O1166" t="n">
        <v>1060</v>
      </c>
      <c r="P1166" s="7" t="n"/>
      <c r="Q1166" s="7" t="n"/>
      <c r="R1166" s="11">
        <f>IF(AND(ISNUMBER(P1166),ISNUMBER(Q1166),P1166&gt;0,ISNUMBER($B$100)),Q1166/P1166,"")</f>
        <v/>
      </c>
      <c r="S1166" s="11">
        <f>IF(AND(ISNUMBER(P1166),ISNUMBER(Q1166),P1166&gt;0,ISNUMBER($B$100)),MAX(0,$B$100-3*SQRT($B$100/P1166)),"")</f>
        <v/>
      </c>
      <c r="T1166" s="11">
        <f>IF(AND(ISNUMBER(P1166),ISNUMBER(Q1166),P1166&gt;0,ISNUMBER($B$100)),$B$100+3*SQRT($B$100/P1166),"")</f>
        <v/>
      </c>
      <c r="U1166" s="13">
        <f>IF(AND(ISNUMBER(R1166),ISNUMBER(S1166),ISNUMBER(T1166)),IF(R1166&gt;T1166,"boven UCL",IF(R1166&lt;S1166,"onder LCL","")),"")</f>
        <v/>
      </c>
    </row>
    <row r="1167">
      <c r="A1167" t="n">
        <v>1061</v>
      </c>
      <c r="B1167" s="7" t="n"/>
      <c r="C1167" s="11">
        <f>IF(AND(ISNUMBER(B1167),ISNUMBER(B1166)),ABS(B1167-B1166),"")</f>
        <v/>
      </c>
      <c r="D1167" s="13">
        <f>IF(AND(ISNUMBER(B1167),ISNUMBER($B$88),ISNUMBER($D$88)),IF(B1167&gt;$D$88,"boven UCL",IF(B1167&lt;$B$88,"onder LCL","")),"")</f>
        <v/>
      </c>
      <c r="E1167" s="13">
        <f>IF(AND(ISNUMBER(C1167),ISNUMBER($B$89),ISNUMBER($D$89)),IF(C1167&gt;$D$89,"boven UCL",IF(C1167&lt;$B$89,"onder LCL","")),"")</f>
        <v/>
      </c>
      <c r="G1167" t="n">
        <v>1061</v>
      </c>
      <c r="H1167" s="7" t="n"/>
      <c r="I1167" s="7" t="n"/>
      <c r="J1167" s="11">
        <f>IF(AND(ISNUMBER(H1167),ISNUMBER(I1167),H1167&gt;0,ISNUMBER($B$94)),I1167/H1167,"")</f>
        <v/>
      </c>
      <c r="K1167" s="11">
        <f>IF(AND(ISNUMBER(H1167),ISNUMBER(I1167),H1167&gt;0,ISNUMBER($B$94)),MAX(0,$B$94-3*SQRT($B$94*(1-$B$94)/H1167)),"")</f>
        <v/>
      </c>
      <c r="L1167" s="11">
        <f>IF(AND(ISNUMBER(H1167),ISNUMBER(I1167),H1167&gt;0,ISNUMBER($B$94)),$B$94+3*SQRT($B$94*(1-$B$94)/H1167),"")</f>
        <v/>
      </c>
      <c r="M1167" s="13">
        <f>IF(AND(ISNUMBER(J1167),ISNUMBER(K1167),ISNUMBER(L1167)),IF(J1167&gt;L1167,"boven UCL",IF(J1167&lt;K1167,"onder LCL","")),"")</f>
        <v/>
      </c>
      <c r="O1167" t="n">
        <v>1061</v>
      </c>
      <c r="P1167" s="7" t="n"/>
      <c r="Q1167" s="7" t="n"/>
      <c r="R1167" s="11">
        <f>IF(AND(ISNUMBER(P1167),ISNUMBER(Q1167),P1167&gt;0,ISNUMBER($B$100)),Q1167/P1167,"")</f>
        <v/>
      </c>
      <c r="S1167" s="11">
        <f>IF(AND(ISNUMBER(P1167),ISNUMBER(Q1167),P1167&gt;0,ISNUMBER($B$100)),MAX(0,$B$100-3*SQRT($B$100/P1167)),"")</f>
        <v/>
      </c>
      <c r="T1167" s="11">
        <f>IF(AND(ISNUMBER(P1167),ISNUMBER(Q1167),P1167&gt;0,ISNUMBER($B$100)),$B$100+3*SQRT($B$100/P1167),"")</f>
        <v/>
      </c>
      <c r="U1167" s="13">
        <f>IF(AND(ISNUMBER(R1167),ISNUMBER(S1167),ISNUMBER(T1167)),IF(R1167&gt;T1167,"boven UCL",IF(R1167&lt;S1167,"onder LCL","")),"")</f>
        <v/>
      </c>
    </row>
    <row r="1168">
      <c r="A1168" t="n">
        <v>1062</v>
      </c>
      <c r="B1168" s="7" t="n"/>
      <c r="C1168" s="11">
        <f>IF(AND(ISNUMBER(B1168),ISNUMBER(B1167)),ABS(B1168-B1167),"")</f>
        <v/>
      </c>
      <c r="D1168" s="13">
        <f>IF(AND(ISNUMBER(B1168),ISNUMBER($B$88),ISNUMBER($D$88)),IF(B1168&gt;$D$88,"boven UCL",IF(B1168&lt;$B$88,"onder LCL","")),"")</f>
        <v/>
      </c>
      <c r="E1168" s="13">
        <f>IF(AND(ISNUMBER(C1168),ISNUMBER($B$89),ISNUMBER($D$89)),IF(C1168&gt;$D$89,"boven UCL",IF(C1168&lt;$B$89,"onder LCL","")),"")</f>
        <v/>
      </c>
      <c r="G1168" t="n">
        <v>1062</v>
      </c>
      <c r="H1168" s="7" t="n"/>
      <c r="I1168" s="7" t="n"/>
      <c r="J1168" s="11">
        <f>IF(AND(ISNUMBER(H1168),ISNUMBER(I1168),H1168&gt;0,ISNUMBER($B$94)),I1168/H1168,"")</f>
        <v/>
      </c>
      <c r="K1168" s="11">
        <f>IF(AND(ISNUMBER(H1168),ISNUMBER(I1168),H1168&gt;0,ISNUMBER($B$94)),MAX(0,$B$94-3*SQRT($B$94*(1-$B$94)/H1168)),"")</f>
        <v/>
      </c>
      <c r="L1168" s="11">
        <f>IF(AND(ISNUMBER(H1168),ISNUMBER(I1168),H1168&gt;0,ISNUMBER($B$94)),$B$94+3*SQRT($B$94*(1-$B$94)/H1168),"")</f>
        <v/>
      </c>
      <c r="M1168" s="13">
        <f>IF(AND(ISNUMBER(J1168),ISNUMBER(K1168),ISNUMBER(L1168)),IF(J1168&gt;L1168,"boven UCL",IF(J1168&lt;K1168,"onder LCL","")),"")</f>
        <v/>
      </c>
      <c r="O1168" t="n">
        <v>1062</v>
      </c>
      <c r="P1168" s="7" t="n"/>
      <c r="Q1168" s="7" t="n"/>
      <c r="R1168" s="11">
        <f>IF(AND(ISNUMBER(P1168),ISNUMBER(Q1168),P1168&gt;0,ISNUMBER($B$100)),Q1168/P1168,"")</f>
        <v/>
      </c>
      <c r="S1168" s="11">
        <f>IF(AND(ISNUMBER(P1168),ISNUMBER(Q1168),P1168&gt;0,ISNUMBER($B$100)),MAX(0,$B$100-3*SQRT($B$100/P1168)),"")</f>
        <v/>
      </c>
      <c r="T1168" s="11">
        <f>IF(AND(ISNUMBER(P1168),ISNUMBER(Q1168),P1168&gt;0,ISNUMBER($B$100)),$B$100+3*SQRT($B$100/P1168),"")</f>
        <v/>
      </c>
      <c r="U1168" s="13">
        <f>IF(AND(ISNUMBER(R1168),ISNUMBER(S1168),ISNUMBER(T1168)),IF(R1168&gt;T1168,"boven UCL",IF(R1168&lt;S1168,"onder LCL","")),"")</f>
        <v/>
      </c>
    </row>
    <row r="1169">
      <c r="A1169" t="n">
        <v>1063</v>
      </c>
      <c r="B1169" s="7" t="n"/>
      <c r="C1169" s="11">
        <f>IF(AND(ISNUMBER(B1169),ISNUMBER(B1168)),ABS(B1169-B1168),"")</f>
        <v/>
      </c>
      <c r="D1169" s="13">
        <f>IF(AND(ISNUMBER(B1169),ISNUMBER($B$88),ISNUMBER($D$88)),IF(B1169&gt;$D$88,"boven UCL",IF(B1169&lt;$B$88,"onder LCL","")),"")</f>
        <v/>
      </c>
      <c r="E1169" s="13">
        <f>IF(AND(ISNUMBER(C1169),ISNUMBER($B$89),ISNUMBER($D$89)),IF(C1169&gt;$D$89,"boven UCL",IF(C1169&lt;$B$89,"onder LCL","")),"")</f>
        <v/>
      </c>
      <c r="G1169" t="n">
        <v>1063</v>
      </c>
      <c r="H1169" s="7" t="n"/>
      <c r="I1169" s="7" t="n"/>
      <c r="J1169" s="11">
        <f>IF(AND(ISNUMBER(H1169),ISNUMBER(I1169),H1169&gt;0,ISNUMBER($B$94)),I1169/H1169,"")</f>
        <v/>
      </c>
      <c r="K1169" s="11">
        <f>IF(AND(ISNUMBER(H1169),ISNUMBER(I1169),H1169&gt;0,ISNUMBER($B$94)),MAX(0,$B$94-3*SQRT($B$94*(1-$B$94)/H1169)),"")</f>
        <v/>
      </c>
      <c r="L1169" s="11">
        <f>IF(AND(ISNUMBER(H1169),ISNUMBER(I1169),H1169&gt;0,ISNUMBER($B$94)),$B$94+3*SQRT($B$94*(1-$B$94)/H1169),"")</f>
        <v/>
      </c>
      <c r="M1169" s="13">
        <f>IF(AND(ISNUMBER(J1169),ISNUMBER(K1169),ISNUMBER(L1169)),IF(J1169&gt;L1169,"boven UCL",IF(J1169&lt;K1169,"onder LCL","")),"")</f>
        <v/>
      </c>
      <c r="O1169" t="n">
        <v>1063</v>
      </c>
      <c r="P1169" s="7" t="n"/>
      <c r="Q1169" s="7" t="n"/>
      <c r="R1169" s="11">
        <f>IF(AND(ISNUMBER(P1169),ISNUMBER(Q1169),P1169&gt;0,ISNUMBER($B$100)),Q1169/P1169,"")</f>
        <v/>
      </c>
      <c r="S1169" s="11">
        <f>IF(AND(ISNUMBER(P1169),ISNUMBER(Q1169),P1169&gt;0,ISNUMBER($B$100)),MAX(0,$B$100-3*SQRT($B$100/P1169)),"")</f>
        <v/>
      </c>
      <c r="T1169" s="11">
        <f>IF(AND(ISNUMBER(P1169),ISNUMBER(Q1169),P1169&gt;0,ISNUMBER($B$100)),$B$100+3*SQRT($B$100/P1169),"")</f>
        <v/>
      </c>
      <c r="U1169" s="13">
        <f>IF(AND(ISNUMBER(R1169),ISNUMBER(S1169),ISNUMBER(T1169)),IF(R1169&gt;T1169,"boven UCL",IF(R1169&lt;S1169,"onder LCL","")),"")</f>
        <v/>
      </c>
    </row>
    <row r="1170">
      <c r="A1170" t="n">
        <v>1064</v>
      </c>
      <c r="B1170" s="7" t="n"/>
      <c r="C1170" s="11">
        <f>IF(AND(ISNUMBER(B1170),ISNUMBER(B1169)),ABS(B1170-B1169),"")</f>
        <v/>
      </c>
      <c r="D1170" s="13">
        <f>IF(AND(ISNUMBER(B1170),ISNUMBER($B$88),ISNUMBER($D$88)),IF(B1170&gt;$D$88,"boven UCL",IF(B1170&lt;$B$88,"onder LCL","")),"")</f>
        <v/>
      </c>
      <c r="E1170" s="13">
        <f>IF(AND(ISNUMBER(C1170),ISNUMBER($B$89),ISNUMBER($D$89)),IF(C1170&gt;$D$89,"boven UCL",IF(C1170&lt;$B$89,"onder LCL","")),"")</f>
        <v/>
      </c>
      <c r="G1170" t="n">
        <v>1064</v>
      </c>
      <c r="H1170" s="7" t="n"/>
      <c r="I1170" s="7" t="n"/>
      <c r="J1170" s="11">
        <f>IF(AND(ISNUMBER(H1170),ISNUMBER(I1170),H1170&gt;0,ISNUMBER($B$94)),I1170/H1170,"")</f>
        <v/>
      </c>
      <c r="K1170" s="11">
        <f>IF(AND(ISNUMBER(H1170),ISNUMBER(I1170),H1170&gt;0,ISNUMBER($B$94)),MAX(0,$B$94-3*SQRT($B$94*(1-$B$94)/H1170)),"")</f>
        <v/>
      </c>
      <c r="L1170" s="11">
        <f>IF(AND(ISNUMBER(H1170),ISNUMBER(I1170),H1170&gt;0,ISNUMBER($B$94)),$B$94+3*SQRT($B$94*(1-$B$94)/H1170),"")</f>
        <v/>
      </c>
      <c r="M1170" s="13">
        <f>IF(AND(ISNUMBER(J1170),ISNUMBER(K1170),ISNUMBER(L1170)),IF(J1170&gt;L1170,"boven UCL",IF(J1170&lt;K1170,"onder LCL","")),"")</f>
        <v/>
      </c>
      <c r="O1170" t="n">
        <v>1064</v>
      </c>
      <c r="P1170" s="7" t="n"/>
      <c r="Q1170" s="7" t="n"/>
      <c r="R1170" s="11">
        <f>IF(AND(ISNUMBER(P1170),ISNUMBER(Q1170),P1170&gt;0,ISNUMBER($B$100)),Q1170/P1170,"")</f>
        <v/>
      </c>
      <c r="S1170" s="11">
        <f>IF(AND(ISNUMBER(P1170),ISNUMBER(Q1170),P1170&gt;0,ISNUMBER($B$100)),MAX(0,$B$100-3*SQRT($B$100/P1170)),"")</f>
        <v/>
      </c>
      <c r="T1170" s="11">
        <f>IF(AND(ISNUMBER(P1170),ISNUMBER(Q1170),P1170&gt;0,ISNUMBER($B$100)),$B$100+3*SQRT($B$100/P1170),"")</f>
        <v/>
      </c>
      <c r="U1170" s="13">
        <f>IF(AND(ISNUMBER(R1170),ISNUMBER(S1170),ISNUMBER(T1170)),IF(R1170&gt;T1170,"boven UCL",IF(R1170&lt;S1170,"onder LCL","")),"")</f>
        <v/>
      </c>
    </row>
    <row r="1171">
      <c r="A1171" t="n">
        <v>1065</v>
      </c>
      <c r="B1171" s="7" t="n"/>
      <c r="C1171" s="11">
        <f>IF(AND(ISNUMBER(B1171),ISNUMBER(B1170)),ABS(B1171-B1170),"")</f>
        <v/>
      </c>
      <c r="D1171" s="13">
        <f>IF(AND(ISNUMBER(B1171),ISNUMBER($B$88),ISNUMBER($D$88)),IF(B1171&gt;$D$88,"boven UCL",IF(B1171&lt;$B$88,"onder LCL","")),"")</f>
        <v/>
      </c>
      <c r="E1171" s="13">
        <f>IF(AND(ISNUMBER(C1171),ISNUMBER($B$89),ISNUMBER($D$89)),IF(C1171&gt;$D$89,"boven UCL",IF(C1171&lt;$B$89,"onder LCL","")),"")</f>
        <v/>
      </c>
      <c r="G1171" t="n">
        <v>1065</v>
      </c>
      <c r="H1171" s="7" t="n"/>
      <c r="I1171" s="7" t="n"/>
      <c r="J1171" s="11">
        <f>IF(AND(ISNUMBER(H1171),ISNUMBER(I1171),H1171&gt;0,ISNUMBER($B$94)),I1171/H1171,"")</f>
        <v/>
      </c>
      <c r="K1171" s="11">
        <f>IF(AND(ISNUMBER(H1171),ISNUMBER(I1171),H1171&gt;0,ISNUMBER($B$94)),MAX(0,$B$94-3*SQRT($B$94*(1-$B$94)/H1171)),"")</f>
        <v/>
      </c>
      <c r="L1171" s="11">
        <f>IF(AND(ISNUMBER(H1171),ISNUMBER(I1171),H1171&gt;0,ISNUMBER($B$94)),$B$94+3*SQRT($B$94*(1-$B$94)/H1171),"")</f>
        <v/>
      </c>
      <c r="M1171" s="13">
        <f>IF(AND(ISNUMBER(J1171),ISNUMBER(K1171),ISNUMBER(L1171)),IF(J1171&gt;L1171,"boven UCL",IF(J1171&lt;K1171,"onder LCL","")),"")</f>
        <v/>
      </c>
      <c r="O1171" t="n">
        <v>1065</v>
      </c>
      <c r="P1171" s="7" t="n"/>
      <c r="Q1171" s="7" t="n"/>
      <c r="R1171" s="11">
        <f>IF(AND(ISNUMBER(P1171),ISNUMBER(Q1171),P1171&gt;0,ISNUMBER($B$100)),Q1171/P1171,"")</f>
        <v/>
      </c>
      <c r="S1171" s="11">
        <f>IF(AND(ISNUMBER(P1171),ISNUMBER(Q1171),P1171&gt;0,ISNUMBER($B$100)),MAX(0,$B$100-3*SQRT($B$100/P1171)),"")</f>
        <v/>
      </c>
      <c r="T1171" s="11">
        <f>IF(AND(ISNUMBER(P1171),ISNUMBER(Q1171),P1171&gt;0,ISNUMBER($B$100)),$B$100+3*SQRT($B$100/P1171),"")</f>
        <v/>
      </c>
      <c r="U1171" s="13">
        <f>IF(AND(ISNUMBER(R1171),ISNUMBER(S1171),ISNUMBER(T1171)),IF(R1171&gt;T1171,"boven UCL",IF(R1171&lt;S1171,"onder LCL","")),"")</f>
        <v/>
      </c>
    </row>
    <row r="1172">
      <c r="A1172" t="n">
        <v>1066</v>
      </c>
      <c r="B1172" s="7" t="n"/>
      <c r="C1172" s="11">
        <f>IF(AND(ISNUMBER(B1172),ISNUMBER(B1171)),ABS(B1172-B1171),"")</f>
        <v/>
      </c>
      <c r="D1172" s="13">
        <f>IF(AND(ISNUMBER(B1172),ISNUMBER($B$88),ISNUMBER($D$88)),IF(B1172&gt;$D$88,"boven UCL",IF(B1172&lt;$B$88,"onder LCL","")),"")</f>
        <v/>
      </c>
      <c r="E1172" s="13">
        <f>IF(AND(ISNUMBER(C1172),ISNUMBER($B$89),ISNUMBER($D$89)),IF(C1172&gt;$D$89,"boven UCL",IF(C1172&lt;$B$89,"onder LCL","")),"")</f>
        <v/>
      </c>
      <c r="G1172" t="n">
        <v>1066</v>
      </c>
      <c r="H1172" s="7" t="n"/>
      <c r="I1172" s="7" t="n"/>
      <c r="J1172" s="11">
        <f>IF(AND(ISNUMBER(H1172),ISNUMBER(I1172),H1172&gt;0,ISNUMBER($B$94)),I1172/H1172,"")</f>
        <v/>
      </c>
      <c r="K1172" s="11">
        <f>IF(AND(ISNUMBER(H1172),ISNUMBER(I1172),H1172&gt;0,ISNUMBER($B$94)),MAX(0,$B$94-3*SQRT($B$94*(1-$B$94)/H1172)),"")</f>
        <v/>
      </c>
      <c r="L1172" s="11">
        <f>IF(AND(ISNUMBER(H1172),ISNUMBER(I1172),H1172&gt;0,ISNUMBER($B$94)),$B$94+3*SQRT($B$94*(1-$B$94)/H1172),"")</f>
        <v/>
      </c>
      <c r="M1172" s="13">
        <f>IF(AND(ISNUMBER(J1172),ISNUMBER(K1172),ISNUMBER(L1172)),IF(J1172&gt;L1172,"boven UCL",IF(J1172&lt;K1172,"onder LCL","")),"")</f>
        <v/>
      </c>
      <c r="O1172" t="n">
        <v>1066</v>
      </c>
      <c r="P1172" s="7" t="n"/>
      <c r="Q1172" s="7" t="n"/>
      <c r="R1172" s="11">
        <f>IF(AND(ISNUMBER(P1172),ISNUMBER(Q1172),P1172&gt;0,ISNUMBER($B$100)),Q1172/P1172,"")</f>
        <v/>
      </c>
      <c r="S1172" s="11">
        <f>IF(AND(ISNUMBER(P1172),ISNUMBER(Q1172),P1172&gt;0,ISNUMBER($B$100)),MAX(0,$B$100-3*SQRT($B$100/P1172)),"")</f>
        <v/>
      </c>
      <c r="T1172" s="11">
        <f>IF(AND(ISNUMBER(P1172),ISNUMBER(Q1172),P1172&gt;0,ISNUMBER($B$100)),$B$100+3*SQRT($B$100/P1172),"")</f>
        <v/>
      </c>
      <c r="U1172" s="13">
        <f>IF(AND(ISNUMBER(R1172),ISNUMBER(S1172),ISNUMBER(T1172)),IF(R1172&gt;T1172,"boven UCL",IF(R1172&lt;S1172,"onder LCL","")),"")</f>
        <v/>
      </c>
    </row>
    <row r="1173">
      <c r="A1173" t="n">
        <v>1067</v>
      </c>
      <c r="B1173" s="7" t="n"/>
      <c r="C1173" s="11">
        <f>IF(AND(ISNUMBER(B1173),ISNUMBER(B1172)),ABS(B1173-B1172),"")</f>
        <v/>
      </c>
      <c r="D1173" s="13">
        <f>IF(AND(ISNUMBER(B1173),ISNUMBER($B$88),ISNUMBER($D$88)),IF(B1173&gt;$D$88,"boven UCL",IF(B1173&lt;$B$88,"onder LCL","")),"")</f>
        <v/>
      </c>
      <c r="E1173" s="13">
        <f>IF(AND(ISNUMBER(C1173),ISNUMBER($B$89),ISNUMBER($D$89)),IF(C1173&gt;$D$89,"boven UCL",IF(C1173&lt;$B$89,"onder LCL","")),"")</f>
        <v/>
      </c>
      <c r="G1173" t="n">
        <v>1067</v>
      </c>
      <c r="H1173" s="7" t="n"/>
      <c r="I1173" s="7" t="n"/>
      <c r="J1173" s="11">
        <f>IF(AND(ISNUMBER(H1173),ISNUMBER(I1173),H1173&gt;0,ISNUMBER($B$94)),I1173/H1173,"")</f>
        <v/>
      </c>
      <c r="K1173" s="11">
        <f>IF(AND(ISNUMBER(H1173),ISNUMBER(I1173),H1173&gt;0,ISNUMBER($B$94)),MAX(0,$B$94-3*SQRT($B$94*(1-$B$94)/H1173)),"")</f>
        <v/>
      </c>
      <c r="L1173" s="11">
        <f>IF(AND(ISNUMBER(H1173),ISNUMBER(I1173),H1173&gt;0,ISNUMBER($B$94)),$B$94+3*SQRT($B$94*(1-$B$94)/H1173),"")</f>
        <v/>
      </c>
      <c r="M1173" s="13">
        <f>IF(AND(ISNUMBER(J1173),ISNUMBER(K1173),ISNUMBER(L1173)),IF(J1173&gt;L1173,"boven UCL",IF(J1173&lt;K1173,"onder LCL","")),"")</f>
        <v/>
      </c>
      <c r="O1173" t="n">
        <v>1067</v>
      </c>
      <c r="P1173" s="7" t="n"/>
      <c r="Q1173" s="7" t="n"/>
      <c r="R1173" s="11">
        <f>IF(AND(ISNUMBER(P1173),ISNUMBER(Q1173),P1173&gt;0,ISNUMBER($B$100)),Q1173/P1173,"")</f>
        <v/>
      </c>
      <c r="S1173" s="11">
        <f>IF(AND(ISNUMBER(P1173),ISNUMBER(Q1173),P1173&gt;0,ISNUMBER($B$100)),MAX(0,$B$100-3*SQRT($B$100/P1173)),"")</f>
        <v/>
      </c>
      <c r="T1173" s="11">
        <f>IF(AND(ISNUMBER(P1173),ISNUMBER(Q1173),P1173&gt;0,ISNUMBER($B$100)),$B$100+3*SQRT($B$100/P1173),"")</f>
        <v/>
      </c>
      <c r="U1173" s="13">
        <f>IF(AND(ISNUMBER(R1173),ISNUMBER(S1173),ISNUMBER(T1173)),IF(R1173&gt;T1173,"boven UCL",IF(R1173&lt;S1173,"onder LCL","")),"")</f>
        <v/>
      </c>
    </row>
    <row r="1174">
      <c r="A1174" t="n">
        <v>1068</v>
      </c>
      <c r="B1174" s="7" t="n"/>
      <c r="C1174" s="11">
        <f>IF(AND(ISNUMBER(B1174),ISNUMBER(B1173)),ABS(B1174-B1173),"")</f>
        <v/>
      </c>
      <c r="D1174" s="13">
        <f>IF(AND(ISNUMBER(B1174),ISNUMBER($B$88),ISNUMBER($D$88)),IF(B1174&gt;$D$88,"boven UCL",IF(B1174&lt;$B$88,"onder LCL","")),"")</f>
        <v/>
      </c>
      <c r="E1174" s="13">
        <f>IF(AND(ISNUMBER(C1174),ISNUMBER($B$89),ISNUMBER($D$89)),IF(C1174&gt;$D$89,"boven UCL",IF(C1174&lt;$B$89,"onder LCL","")),"")</f>
        <v/>
      </c>
      <c r="G1174" t="n">
        <v>1068</v>
      </c>
      <c r="H1174" s="7" t="n"/>
      <c r="I1174" s="7" t="n"/>
      <c r="J1174" s="11">
        <f>IF(AND(ISNUMBER(H1174),ISNUMBER(I1174),H1174&gt;0,ISNUMBER($B$94)),I1174/H1174,"")</f>
        <v/>
      </c>
      <c r="K1174" s="11">
        <f>IF(AND(ISNUMBER(H1174),ISNUMBER(I1174),H1174&gt;0,ISNUMBER($B$94)),MAX(0,$B$94-3*SQRT($B$94*(1-$B$94)/H1174)),"")</f>
        <v/>
      </c>
      <c r="L1174" s="11">
        <f>IF(AND(ISNUMBER(H1174),ISNUMBER(I1174),H1174&gt;0,ISNUMBER($B$94)),$B$94+3*SQRT($B$94*(1-$B$94)/H1174),"")</f>
        <v/>
      </c>
      <c r="M1174" s="13">
        <f>IF(AND(ISNUMBER(J1174),ISNUMBER(K1174),ISNUMBER(L1174)),IF(J1174&gt;L1174,"boven UCL",IF(J1174&lt;K1174,"onder LCL","")),"")</f>
        <v/>
      </c>
      <c r="O1174" t="n">
        <v>1068</v>
      </c>
      <c r="P1174" s="7" t="n"/>
      <c r="Q1174" s="7" t="n"/>
      <c r="R1174" s="11">
        <f>IF(AND(ISNUMBER(P1174),ISNUMBER(Q1174),P1174&gt;0,ISNUMBER($B$100)),Q1174/P1174,"")</f>
        <v/>
      </c>
      <c r="S1174" s="11">
        <f>IF(AND(ISNUMBER(P1174),ISNUMBER(Q1174),P1174&gt;0,ISNUMBER($B$100)),MAX(0,$B$100-3*SQRT($B$100/P1174)),"")</f>
        <v/>
      </c>
      <c r="T1174" s="11">
        <f>IF(AND(ISNUMBER(P1174),ISNUMBER(Q1174),P1174&gt;0,ISNUMBER($B$100)),$B$100+3*SQRT($B$100/P1174),"")</f>
        <v/>
      </c>
      <c r="U1174" s="13">
        <f>IF(AND(ISNUMBER(R1174),ISNUMBER(S1174),ISNUMBER(T1174)),IF(R1174&gt;T1174,"boven UCL",IF(R1174&lt;S1174,"onder LCL","")),"")</f>
        <v/>
      </c>
    </row>
    <row r="1175">
      <c r="A1175" t="n">
        <v>1069</v>
      </c>
      <c r="B1175" s="7" t="n"/>
      <c r="C1175" s="11">
        <f>IF(AND(ISNUMBER(B1175),ISNUMBER(B1174)),ABS(B1175-B1174),"")</f>
        <v/>
      </c>
      <c r="D1175" s="13">
        <f>IF(AND(ISNUMBER(B1175),ISNUMBER($B$88),ISNUMBER($D$88)),IF(B1175&gt;$D$88,"boven UCL",IF(B1175&lt;$B$88,"onder LCL","")),"")</f>
        <v/>
      </c>
      <c r="E1175" s="13">
        <f>IF(AND(ISNUMBER(C1175),ISNUMBER($B$89),ISNUMBER($D$89)),IF(C1175&gt;$D$89,"boven UCL",IF(C1175&lt;$B$89,"onder LCL","")),"")</f>
        <v/>
      </c>
      <c r="G1175" t="n">
        <v>1069</v>
      </c>
      <c r="H1175" s="7" t="n"/>
      <c r="I1175" s="7" t="n"/>
      <c r="J1175" s="11">
        <f>IF(AND(ISNUMBER(H1175),ISNUMBER(I1175),H1175&gt;0,ISNUMBER($B$94)),I1175/H1175,"")</f>
        <v/>
      </c>
      <c r="K1175" s="11">
        <f>IF(AND(ISNUMBER(H1175),ISNUMBER(I1175),H1175&gt;0,ISNUMBER($B$94)),MAX(0,$B$94-3*SQRT($B$94*(1-$B$94)/H1175)),"")</f>
        <v/>
      </c>
      <c r="L1175" s="11">
        <f>IF(AND(ISNUMBER(H1175),ISNUMBER(I1175),H1175&gt;0,ISNUMBER($B$94)),$B$94+3*SQRT($B$94*(1-$B$94)/H1175),"")</f>
        <v/>
      </c>
      <c r="M1175" s="13">
        <f>IF(AND(ISNUMBER(J1175),ISNUMBER(K1175),ISNUMBER(L1175)),IF(J1175&gt;L1175,"boven UCL",IF(J1175&lt;K1175,"onder LCL","")),"")</f>
        <v/>
      </c>
      <c r="O1175" t="n">
        <v>1069</v>
      </c>
      <c r="P1175" s="7" t="n"/>
      <c r="Q1175" s="7" t="n"/>
      <c r="R1175" s="11">
        <f>IF(AND(ISNUMBER(P1175),ISNUMBER(Q1175),P1175&gt;0,ISNUMBER($B$100)),Q1175/P1175,"")</f>
        <v/>
      </c>
      <c r="S1175" s="11">
        <f>IF(AND(ISNUMBER(P1175),ISNUMBER(Q1175),P1175&gt;0,ISNUMBER($B$100)),MAX(0,$B$100-3*SQRT($B$100/P1175)),"")</f>
        <v/>
      </c>
      <c r="T1175" s="11">
        <f>IF(AND(ISNUMBER(P1175),ISNUMBER(Q1175),P1175&gt;0,ISNUMBER($B$100)),$B$100+3*SQRT($B$100/P1175),"")</f>
        <v/>
      </c>
      <c r="U1175" s="13">
        <f>IF(AND(ISNUMBER(R1175),ISNUMBER(S1175),ISNUMBER(T1175)),IF(R1175&gt;T1175,"boven UCL",IF(R1175&lt;S1175,"onder LCL","")),"")</f>
        <v/>
      </c>
    </row>
    <row r="1176">
      <c r="A1176" t="n">
        <v>1070</v>
      </c>
      <c r="B1176" s="7" t="n"/>
      <c r="C1176" s="11">
        <f>IF(AND(ISNUMBER(B1176),ISNUMBER(B1175)),ABS(B1176-B1175),"")</f>
        <v/>
      </c>
      <c r="D1176" s="13">
        <f>IF(AND(ISNUMBER(B1176),ISNUMBER($B$88),ISNUMBER($D$88)),IF(B1176&gt;$D$88,"boven UCL",IF(B1176&lt;$B$88,"onder LCL","")),"")</f>
        <v/>
      </c>
      <c r="E1176" s="13">
        <f>IF(AND(ISNUMBER(C1176),ISNUMBER($B$89),ISNUMBER($D$89)),IF(C1176&gt;$D$89,"boven UCL",IF(C1176&lt;$B$89,"onder LCL","")),"")</f>
        <v/>
      </c>
      <c r="G1176" t="n">
        <v>1070</v>
      </c>
      <c r="H1176" s="7" t="n"/>
      <c r="I1176" s="7" t="n"/>
      <c r="J1176" s="11">
        <f>IF(AND(ISNUMBER(H1176),ISNUMBER(I1176),H1176&gt;0,ISNUMBER($B$94)),I1176/H1176,"")</f>
        <v/>
      </c>
      <c r="K1176" s="11">
        <f>IF(AND(ISNUMBER(H1176),ISNUMBER(I1176),H1176&gt;0,ISNUMBER($B$94)),MAX(0,$B$94-3*SQRT($B$94*(1-$B$94)/H1176)),"")</f>
        <v/>
      </c>
      <c r="L1176" s="11">
        <f>IF(AND(ISNUMBER(H1176),ISNUMBER(I1176),H1176&gt;0,ISNUMBER($B$94)),$B$94+3*SQRT($B$94*(1-$B$94)/H1176),"")</f>
        <v/>
      </c>
      <c r="M1176" s="13">
        <f>IF(AND(ISNUMBER(J1176),ISNUMBER(K1176),ISNUMBER(L1176)),IF(J1176&gt;L1176,"boven UCL",IF(J1176&lt;K1176,"onder LCL","")),"")</f>
        <v/>
      </c>
      <c r="O1176" t="n">
        <v>1070</v>
      </c>
      <c r="P1176" s="7" t="n"/>
      <c r="Q1176" s="7" t="n"/>
      <c r="R1176" s="11">
        <f>IF(AND(ISNUMBER(P1176),ISNUMBER(Q1176),P1176&gt;0,ISNUMBER($B$100)),Q1176/P1176,"")</f>
        <v/>
      </c>
      <c r="S1176" s="11">
        <f>IF(AND(ISNUMBER(P1176),ISNUMBER(Q1176),P1176&gt;0,ISNUMBER($B$100)),MAX(0,$B$100-3*SQRT($B$100/P1176)),"")</f>
        <v/>
      </c>
      <c r="T1176" s="11">
        <f>IF(AND(ISNUMBER(P1176),ISNUMBER(Q1176),P1176&gt;0,ISNUMBER($B$100)),$B$100+3*SQRT($B$100/P1176),"")</f>
        <v/>
      </c>
      <c r="U1176" s="13">
        <f>IF(AND(ISNUMBER(R1176),ISNUMBER(S1176),ISNUMBER(T1176)),IF(R1176&gt;T1176,"boven UCL",IF(R1176&lt;S1176,"onder LCL","")),"")</f>
        <v/>
      </c>
    </row>
    <row r="1177">
      <c r="A1177" t="n">
        <v>1071</v>
      </c>
      <c r="B1177" s="7" t="n"/>
      <c r="C1177" s="11">
        <f>IF(AND(ISNUMBER(B1177),ISNUMBER(B1176)),ABS(B1177-B1176),"")</f>
        <v/>
      </c>
      <c r="D1177" s="13">
        <f>IF(AND(ISNUMBER(B1177),ISNUMBER($B$88),ISNUMBER($D$88)),IF(B1177&gt;$D$88,"boven UCL",IF(B1177&lt;$B$88,"onder LCL","")),"")</f>
        <v/>
      </c>
      <c r="E1177" s="13">
        <f>IF(AND(ISNUMBER(C1177),ISNUMBER($B$89),ISNUMBER($D$89)),IF(C1177&gt;$D$89,"boven UCL",IF(C1177&lt;$B$89,"onder LCL","")),"")</f>
        <v/>
      </c>
      <c r="G1177" t="n">
        <v>1071</v>
      </c>
      <c r="H1177" s="7" t="n"/>
      <c r="I1177" s="7" t="n"/>
      <c r="J1177" s="11">
        <f>IF(AND(ISNUMBER(H1177),ISNUMBER(I1177),H1177&gt;0,ISNUMBER($B$94)),I1177/H1177,"")</f>
        <v/>
      </c>
      <c r="K1177" s="11">
        <f>IF(AND(ISNUMBER(H1177),ISNUMBER(I1177),H1177&gt;0,ISNUMBER($B$94)),MAX(0,$B$94-3*SQRT($B$94*(1-$B$94)/H1177)),"")</f>
        <v/>
      </c>
      <c r="L1177" s="11">
        <f>IF(AND(ISNUMBER(H1177),ISNUMBER(I1177),H1177&gt;0,ISNUMBER($B$94)),$B$94+3*SQRT($B$94*(1-$B$94)/H1177),"")</f>
        <v/>
      </c>
      <c r="M1177" s="13">
        <f>IF(AND(ISNUMBER(J1177),ISNUMBER(K1177),ISNUMBER(L1177)),IF(J1177&gt;L1177,"boven UCL",IF(J1177&lt;K1177,"onder LCL","")),"")</f>
        <v/>
      </c>
      <c r="O1177" t="n">
        <v>1071</v>
      </c>
      <c r="P1177" s="7" t="n"/>
      <c r="Q1177" s="7" t="n"/>
      <c r="R1177" s="11">
        <f>IF(AND(ISNUMBER(P1177),ISNUMBER(Q1177),P1177&gt;0,ISNUMBER($B$100)),Q1177/P1177,"")</f>
        <v/>
      </c>
      <c r="S1177" s="11">
        <f>IF(AND(ISNUMBER(P1177),ISNUMBER(Q1177),P1177&gt;0,ISNUMBER($B$100)),MAX(0,$B$100-3*SQRT($B$100/P1177)),"")</f>
        <v/>
      </c>
      <c r="T1177" s="11">
        <f>IF(AND(ISNUMBER(P1177),ISNUMBER(Q1177),P1177&gt;0,ISNUMBER($B$100)),$B$100+3*SQRT($B$100/P1177),"")</f>
        <v/>
      </c>
      <c r="U1177" s="13">
        <f>IF(AND(ISNUMBER(R1177),ISNUMBER(S1177),ISNUMBER(T1177)),IF(R1177&gt;T1177,"boven UCL",IF(R1177&lt;S1177,"onder LCL","")),"")</f>
        <v/>
      </c>
    </row>
    <row r="1178">
      <c r="A1178" t="n">
        <v>1072</v>
      </c>
      <c r="B1178" s="7" t="n"/>
      <c r="C1178" s="11">
        <f>IF(AND(ISNUMBER(B1178),ISNUMBER(B1177)),ABS(B1178-B1177),"")</f>
        <v/>
      </c>
      <c r="D1178" s="13">
        <f>IF(AND(ISNUMBER(B1178),ISNUMBER($B$88),ISNUMBER($D$88)),IF(B1178&gt;$D$88,"boven UCL",IF(B1178&lt;$B$88,"onder LCL","")),"")</f>
        <v/>
      </c>
      <c r="E1178" s="13">
        <f>IF(AND(ISNUMBER(C1178),ISNUMBER($B$89),ISNUMBER($D$89)),IF(C1178&gt;$D$89,"boven UCL",IF(C1178&lt;$B$89,"onder LCL","")),"")</f>
        <v/>
      </c>
      <c r="G1178" t="n">
        <v>1072</v>
      </c>
      <c r="H1178" s="7" t="n"/>
      <c r="I1178" s="7" t="n"/>
      <c r="J1178" s="11">
        <f>IF(AND(ISNUMBER(H1178),ISNUMBER(I1178),H1178&gt;0,ISNUMBER($B$94)),I1178/H1178,"")</f>
        <v/>
      </c>
      <c r="K1178" s="11">
        <f>IF(AND(ISNUMBER(H1178),ISNUMBER(I1178),H1178&gt;0,ISNUMBER($B$94)),MAX(0,$B$94-3*SQRT($B$94*(1-$B$94)/H1178)),"")</f>
        <v/>
      </c>
      <c r="L1178" s="11">
        <f>IF(AND(ISNUMBER(H1178),ISNUMBER(I1178),H1178&gt;0,ISNUMBER($B$94)),$B$94+3*SQRT($B$94*(1-$B$94)/H1178),"")</f>
        <v/>
      </c>
      <c r="M1178" s="13">
        <f>IF(AND(ISNUMBER(J1178),ISNUMBER(K1178),ISNUMBER(L1178)),IF(J1178&gt;L1178,"boven UCL",IF(J1178&lt;K1178,"onder LCL","")),"")</f>
        <v/>
      </c>
      <c r="O1178" t="n">
        <v>1072</v>
      </c>
      <c r="P1178" s="7" t="n"/>
      <c r="Q1178" s="7" t="n"/>
      <c r="R1178" s="11">
        <f>IF(AND(ISNUMBER(P1178),ISNUMBER(Q1178),P1178&gt;0,ISNUMBER($B$100)),Q1178/P1178,"")</f>
        <v/>
      </c>
      <c r="S1178" s="11">
        <f>IF(AND(ISNUMBER(P1178),ISNUMBER(Q1178),P1178&gt;0,ISNUMBER($B$100)),MAX(0,$B$100-3*SQRT($B$100/P1178)),"")</f>
        <v/>
      </c>
      <c r="T1178" s="11">
        <f>IF(AND(ISNUMBER(P1178),ISNUMBER(Q1178),P1178&gt;0,ISNUMBER($B$100)),$B$100+3*SQRT($B$100/P1178),"")</f>
        <v/>
      </c>
      <c r="U1178" s="13">
        <f>IF(AND(ISNUMBER(R1178),ISNUMBER(S1178),ISNUMBER(T1178)),IF(R1178&gt;T1178,"boven UCL",IF(R1178&lt;S1178,"onder LCL","")),"")</f>
        <v/>
      </c>
    </row>
    <row r="1179">
      <c r="A1179" t="n">
        <v>1073</v>
      </c>
      <c r="B1179" s="7" t="n"/>
      <c r="C1179" s="11">
        <f>IF(AND(ISNUMBER(B1179),ISNUMBER(B1178)),ABS(B1179-B1178),"")</f>
        <v/>
      </c>
      <c r="D1179" s="13">
        <f>IF(AND(ISNUMBER(B1179),ISNUMBER($B$88),ISNUMBER($D$88)),IF(B1179&gt;$D$88,"boven UCL",IF(B1179&lt;$B$88,"onder LCL","")),"")</f>
        <v/>
      </c>
      <c r="E1179" s="13">
        <f>IF(AND(ISNUMBER(C1179),ISNUMBER($B$89),ISNUMBER($D$89)),IF(C1179&gt;$D$89,"boven UCL",IF(C1179&lt;$B$89,"onder LCL","")),"")</f>
        <v/>
      </c>
      <c r="G1179" t="n">
        <v>1073</v>
      </c>
      <c r="H1179" s="7" t="n"/>
      <c r="I1179" s="7" t="n"/>
      <c r="J1179" s="11">
        <f>IF(AND(ISNUMBER(H1179),ISNUMBER(I1179),H1179&gt;0,ISNUMBER($B$94)),I1179/H1179,"")</f>
        <v/>
      </c>
      <c r="K1179" s="11">
        <f>IF(AND(ISNUMBER(H1179),ISNUMBER(I1179),H1179&gt;0,ISNUMBER($B$94)),MAX(0,$B$94-3*SQRT($B$94*(1-$B$94)/H1179)),"")</f>
        <v/>
      </c>
      <c r="L1179" s="11">
        <f>IF(AND(ISNUMBER(H1179),ISNUMBER(I1179),H1179&gt;0,ISNUMBER($B$94)),$B$94+3*SQRT($B$94*(1-$B$94)/H1179),"")</f>
        <v/>
      </c>
      <c r="M1179" s="13">
        <f>IF(AND(ISNUMBER(J1179),ISNUMBER(K1179),ISNUMBER(L1179)),IF(J1179&gt;L1179,"boven UCL",IF(J1179&lt;K1179,"onder LCL","")),"")</f>
        <v/>
      </c>
      <c r="O1179" t="n">
        <v>1073</v>
      </c>
      <c r="P1179" s="7" t="n"/>
      <c r="Q1179" s="7" t="n"/>
      <c r="R1179" s="11">
        <f>IF(AND(ISNUMBER(P1179),ISNUMBER(Q1179),P1179&gt;0,ISNUMBER($B$100)),Q1179/P1179,"")</f>
        <v/>
      </c>
      <c r="S1179" s="11">
        <f>IF(AND(ISNUMBER(P1179),ISNUMBER(Q1179),P1179&gt;0,ISNUMBER($B$100)),MAX(0,$B$100-3*SQRT($B$100/P1179)),"")</f>
        <v/>
      </c>
      <c r="T1179" s="11">
        <f>IF(AND(ISNUMBER(P1179),ISNUMBER(Q1179),P1179&gt;0,ISNUMBER($B$100)),$B$100+3*SQRT($B$100/P1179),"")</f>
        <v/>
      </c>
      <c r="U1179" s="13">
        <f>IF(AND(ISNUMBER(R1179),ISNUMBER(S1179),ISNUMBER(T1179)),IF(R1179&gt;T1179,"boven UCL",IF(R1179&lt;S1179,"onder LCL","")),"")</f>
        <v/>
      </c>
    </row>
    <row r="1180">
      <c r="A1180" t="n">
        <v>1074</v>
      </c>
      <c r="B1180" s="7" t="n"/>
      <c r="C1180" s="11">
        <f>IF(AND(ISNUMBER(B1180),ISNUMBER(B1179)),ABS(B1180-B1179),"")</f>
        <v/>
      </c>
      <c r="D1180" s="13">
        <f>IF(AND(ISNUMBER(B1180),ISNUMBER($B$88),ISNUMBER($D$88)),IF(B1180&gt;$D$88,"boven UCL",IF(B1180&lt;$B$88,"onder LCL","")),"")</f>
        <v/>
      </c>
      <c r="E1180" s="13">
        <f>IF(AND(ISNUMBER(C1180),ISNUMBER($B$89),ISNUMBER($D$89)),IF(C1180&gt;$D$89,"boven UCL",IF(C1180&lt;$B$89,"onder LCL","")),"")</f>
        <v/>
      </c>
      <c r="G1180" t="n">
        <v>1074</v>
      </c>
      <c r="H1180" s="7" t="n"/>
      <c r="I1180" s="7" t="n"/>
      <c r="J1180" s="11">
        <f>IF(AND(ISNUMBER(H1180),ISNUMBER(I1180),H1180&gt;0,ISNUMBER($B$94)),I1180/H1180,"")</f>
        <v/>
      </c>
      <c r="K1180" s="11">
        <f>IF(AND(ISNUMBER(H1180),ISNUMBER(I1180),H1180&gt;0,ISNUMBER($B$94)),MAX(0,$B$94-3*SQRT($B$94*(1-$B$94)/H1180)),"")</f>
        <v/>
      </c>
      <c r="L1180" s="11">
        <f>IF(AND(ISNUMBER(H1180),ISNUMBER(I1180),H1180&gt;0,ISNUMBER($B$94)),$B$94+3*SQRT($B$94*(1-$B$94)/H1180),"")</f>
        <v/>
      </c>
      <c r="M1180" s="13">
        <f>IF(AND(ISNUMBER(J1180),ISNUMBER(K1180),ISNUMBER(L1180)),IF(J1180&gt;L1180,"boven UCL",IF(J1180&lt;K1180,"onder LCL","")),"")</f>
        <v/>
      </c>
      <c r="O1180" t="n">
        <v>1074</v>
      </c>
      <c r="P1180" s="7" t="n"/>
      <c r="Q1180" s="7" t="n"/>
      <c r="R1180" s="11">
        <f>IF(AND(ISNUMBER(P1180),ISNUMBER(Q1180),P1180&gt;0,ISNUMBER($B$100)),Q1180/P1180,"")</f>
        <v/>
      </c>
      <c r="S1180" s="11">
        <f>IF(AND(ISNUMBER(P1180),ISNUMBER(Q1180),P1180&gt;0,ISNUMBER($B$100)),MAX(0,$B$100-3*SQRT($B$100/P1180)),"")</f>
        <v/>
      </c>
      <c r="T1180" s="11">
        <f>IF(AND(ISNUMBER(P1180),ISNUMBER(Q1180),P1180&gt;0,ISNUMBER($B$100)),$B$100+3*SQRT($B$100/P1180),"")</f>
        <v/>
      </c>
      <c r="U1180" s="13">
        <f>IF(AND(ISNUMBER(R1180),ISNUMBER(S1180),ISNUMBER(T1180)),IF(R1180&gt;T1180,"boven UCL",IF(R1180&lt;S1180,"onder LCL","")),"")</f>
        <v/>
      </c>
    </row>
    <row r="1181">
      <c r="A1181" t="n">
        <v>1075</v>
      </c>
      <c r="B1181" s="7" t="n"/>
      <c r="C1181" s="11">
        <f>IF(AND(ISNUMBER(B1181),ISNUMBER(B1180)),ABS(B1181-B1180),"")</f>
        <v/>
      </c>
      <c r="D1181" s="13">
        <f>IF(AND(ISNUMBER(B1181),ISNUMBER($B$88),ISNUMBER($D$88)),IF(B1181&gt;$D$88,"boven UCL",IF(B1181&lt;$B$88,"onder LCL","")),"")</f>
        <v/>
      </c>
      <c r="E1181" s="13">
        <f>IF(AND(ISNUMBER(C1181),ISNUMBER($B$89),ISNUMBER($D$89)),IF(C1181&gt;$D$89,"boven UCL",IF(C1181&lt;$B$89,"onder LCL","")),"")</f>
        <v/>
      </c>
      <c r="G1181" t="n">
        <v>1075</v>
      </c>
      <c r="H1181" s="7" t="n"/>
      <c r="I1181" s="7" t="n"/>
      <c r="J1181" s="11">
        <f>IF(AND(ISNUMBER(H1181),ISNUMBER(I1181),H1181&gt;0,ISNUMBER($B$94)),I1181/H1181,"")</f>
        <v/>
      </c>
      <c r="K1181" s="11">
        <f>IF(AND(ISNUMBER(H1181),ISNUMBER(I1181),H1181&gt;0,ISNUMBER($B$94)),MAX(0,$B$94-3*SQRT($B$94*(1-$B$94)/H1181)),"")</f>
        <v/>
      </c>
      <c r="L1181" s="11">
        <f>IF(AND(ISNUMBER(H1181),ISNUMBER(I1181),H1181&gt;0,ISNUMBER($B$94)),$B$94+3*SQRT($B$94*(1-$B$94)/H1181),"")</f>
        <v/>
      </c>
      <c r="M1181" s="13">
        <f>IF(AND(ISNUMBER(J1181),ISNUMBER(K1181),ISNUMBER(L1181)),IF(J1181&gt;L1181,"boven UCL",IF(J1181&lt;K1181,"onder LCL","")),"")</f>
        <v/>
      </c>
      <c r="O1181" t="n">
        <v>1075</v>
      </c>
      <c r="P1181" s="7" t="n"/>
      <c r="Q1181" s="7" t="n"/>
      <c r="R1181" s="11">
        <f>IF(AND(ISNUMBER(P1181),ISNUMBER(Q1181),P1181&gt;0,ISNUMBER($B$100)),Q1181/P1181,"")</f>
        <v/>
      </c>
      <c r="S1181" s="11">
        <f>IF(AND(ISNUMBER(P1181),ISNUMBER(Q1181),P1181&gt;0,ISNUMBER($B$100)),MAX(0,$B$100-3*SQRT($B$100/P1181)),"")</f>
        <v/>
      </c>
      <c r="T1181" s="11">
        <f>IF(AND(ISNUMBER(P1181),ISNUMBER(Q1181),P1181&gt;0,ISNUMBER($B$100)),$B$100+3*SQRT($B$100/P1181),"")</f>
        <v/>
      </c>
      <c r="U1181" s="13">
        <f>IF(AND(ISNUMBER(R1181),ISNUMBER(S1181),ISNUMBER(T1181)),IF(R1181&gt;T1181,"boven UCL",IF(R1181&lt;S1181,"onder LCL","")),"")</f>
        <v/>
      </c>
    </row>
    <row r="1182">
      <c r="A1182" t="n">
        <v>1076</v>
      </c>
      <c r="B1182" s="7" t="n"/>
      <c r="C1182" s="11">
        <f>IF(AND(ISNUMBER(B1182),ISNUMBER(B1181)),ABS(B1182-B1181),"")</f>
        <v/>
      </c>
      <c r="D1182" s="13">
        <f>IF(AND(ISNUMBER(B1182),ISNUMBER($B$88),ISNUMBER($D$88)),IF(B1182&gt;$D$88,"boven UCL",IF(B1182&lt;$B$88,"onder LCL","")),"")</f>
        <v/>
      </c>
      <c r="E1182" s="13">
        <f>IF(AND(ISNUMBER(C1182),ISNUMBER($B$89),ISNUMBER($D$89)),IF(C1182&gt;$D$89,"boven UCL",IF(C1182&lt;$B$89,"onder LCL","")),"")</f>
        <v/>
      </c>
      <c r="G1182" t="n">
        <v>1076</v>
      </c>
      <c r="H1182" s="7" t="n"/>
      <c r="I1182" s="7" t="n"/>
      <c r="J1182" s="11">
        <f>IF(AND(ISNUMBER(H1182),ISNUMBER(I1182),H1182&gt;0,ISNUMBER($B$94)),I1182/H1182,"")</f>
        <v/>
      </c>
      <c r="K1182" s="11">
        <f>IF(AND(ISNUMBER(H1182),ISNUMBER(I1182),H1182&gt;0,ISNUMBER($B$94)),MAX(0,$B$94-3*SQRT($B$94*(1-$B$94)/H1182)),"")</f>
        <v/>
      </c>
      <c r="L1182" s="11">
        <f>IF(AND(ISNUMBER(H1182),ISNUMBER(I1182),H1182&gt;0,ISNUMBER($B$94)),$B$94+3*SQRT($B$94*(1-$B$94)/H1182),"")</f>
        <v/>
      </c>
      <c r="M1182" s="13">
        <f>IF(AND(ISNUMBER(J1182),ISNUMBER(K1182),ISNUMBER(L1182)),IF(J1182&gt;L1182,"boven UCL",IF(J1182&lt;K1182,"onder LCL","")),"")</f>
        <v/>
      </c>
      <c r="O1182" t="n">
        <v>1076</v>
      </c>
      <c r="P1182" s="7" t="n"/>
      <c r="Q1182" s="7" t="n"/>
      <c r="R1182" s="11">
        <f>IF(AND(ISNUMBER(P1182),ISNUMBER(Q1182),P1182&gt;0,ISNUMBER($B$100)),Q1182/P1182,"")</f>
        <v/>
      </c>
      <c r="S1182" s="11">
        <f>IF(AND(ISNUMBER(P1182),ISNUMBER(Q1182),P1182&gt;0,ISNUMBER($B$100)),MAX(0,$B$100-3*SQRT($B$100/P1182)),"")</f>
        <v/>
      </c>
      <c r="T1182" s="11">
        <f>IF(AND(ISNUMBER(P1182),ISNUMBER(Q1182),P1182&gt;0,ISNUMBER($B$100)),$B$100+3*SQRT($B$100/P1182),"")</f>
        <v/>
      </c>
      <c r="U1182" s="13">
        <f>IF(AND(ISNUMBER(R1182),ISNUMBER(S1182),ISNUMBER(T1182)),IF(R1182&gt;T1182,"boven UCL",IF(R1182&lt;S1182,"onder LCL","")),"")</f>
        <v/>
      </c>
    </row>
    <row r="1183">
      <c r="A1183" t="n">
        <v>1077</v>
      </c>
      <c r="B1183" s="7" t="n"/>
      <c r="C1183" s="11">
        <f>IF(AND(ISNUMBER(B1183),ISNUMBER(B1182)),ABS(B1183-B1182),"")</f>
        <v/>
      </c>
      <c r="D1183" s="13">
        <f>IF(AND(ISNUMBER(B1183),ISNUMBER($B$88),ISNUMBER($D$88)),IF(B1183&gt;$D$88,"boven UCL",IF(B1183&lt;$B$88,"onder LCL","")),"")</f>
        <v/>
      </c>
      <c r="E1183" s="13">
        <f>IF(AND(ISNUMBER(C1183),ISNUMBER($B$89),ISNUMBER($D$89)),IF(C1183&gt;$D$89,"boven UCL",IF(C1183&lt;$B$89,"onder LCL","")),"")</f>
        <v/>
      </c>
      <c r="G1183" t="n">
        <v>1077</v>
      </c>
      <c r="H1183" s="7" t="n"/>
      <c r="I1183" s="7" t="n"/>
      <c r="J1183" s="11">
        <f>IF(AND(ISNUMBER(H1183),ISNUMBER(I1183),H1183&gt;0,ISNUMBER($B$94)),I1183/H1183,"")</f>
        <v/>
      </c>
      <c r="K1183" s="11">
        <f>IF(AND(ISNUMBER(H1183),ISNUMBER(I1183),H1183&gt;0,ISNUMBER($B$94)),MAX(0,$B$94-3*SQRT($B$94*(1-$B$94)/H1183)),"")</f>
        <v/>
      </c>
      <c r="L1183" s="11">
        <f>IF(AND(ISNUMBER(H1183),ISNUMBER(I1183),H1183&gt;0,ISNUMBER($B$94)),$B$94+3*SQRT($B$94*(1-$B$94)/H1183),"")</f>
        <v/>
      </c>
      <c r="M1183" s="13">
        <f>IF(AND(ISNUMBER(J1183),ISNUMBER(K1183),ISNUMBER(L1183)),IF(J1183&gt;L1183,"boven UCL",IF(J1183&lt;K1183,"onder LCL","")),"")</f>
        <v/>
      </c>
      <c r="O1183" t="n">
        <v>1077</v>
      </c>
      <c r="P1183" s="7" t="n"/>
      <c r="Q1183" s="7" t="n"/>
      <c r="R1183" s="11">
        <f>IF(AND(ISNUMBER(P1183),ISNUMBER(Q1183),P1183&gt;0,ISNUMBER($B$100)),Q1183/P1183,"")</f>
        <v/>
      </c>
      <c r="S1183" s="11">
        <f>IF(AND(ISNUMBER(P1183),ISNUMBER(Q1183),P1183&gt;0,ISNUMBER($B$100)),MAX(0,$B$100-3*SQRT($B$100/P1183)),"")</f>
        <v/>
      </c>
      <c r="T1183" s="11">
        <f>IF(AND(ISNUMBER(P1183),ISNUMBER(Q1183),P1183&gt;0,ISNUMBER($B$100)),$B$100+3*SQRT($B$100/P1183),"")</f>
        <v/>
      </c>
      <c r="U1183" s="13">
        <f>IF(AND(ISNUMBER(R1183),ISNUMBER(S1183),ISNUMBER(T1183)),IF(R1183&gt;T1183,"boven UCL",IF(R1183&lt;S1183,"onder LCL","")),"")</f>
        <v/>
      </c>
    </row>
    <row r="1184">
      <c r="A1184" t="n">
        <v>1078</v>
      </c>
      <c r="B1184" s="7" t="n"/>
      <c r="C1184" s="11">
        <f>IF(AND(ISNUMBER(B1184),ISNUMBER(B1183)),ABS(B1184-B1183),"")</f>
        <v/>
      </c>
      <c r="D1184" s="13">
        <f>IF(AND(ISNUMBER(B1184),ISNUMBER($B$88),ISNUMBER($D$88)),IF(B1184&gt;$D$88,"boven UCL",IF(B1184&lt;$B$88,"onder LCL","")),"")</f>
        <v/>
      </c>
      <c r="E1184" s="13">
        <f>IF(AND(ISNUMBER(C1184),ISNUMBER($B$89),ISNUMBER($D$89)),IF(C1184&gt;$D$89,"boven UCL",IF(C1184&lt;$B$89,"onder LCL","")),"")</f>
        <v/>
      </c>
      <c r="G1184" t="n">
        <v>1078</v>
      </c>
      <c r="H1184" s="7" t="n"/>
      <c r="I1184" s="7" t="n"/>
      <c r="J1184" s="11">
        <f>IF(AND(ISNUMBER(H1184),ISNUMBER(I1184),H1184&gt;0,ISNUMBER($B$94)),I1184/H1184,"")</f>
        <v/>
      </c>
      <c r="K1184" s="11">
        <f>IF(AND(ISNUMBER(H1184),ISNUMBER(I1184),H1184&gt;0,ISNUMBER($B$94)),MAX(0,$B$94-3*SQRT($B$94*(1-$B$94)/H1184)),"")</f>
        <v/>
      </c>
      <c r="L1184" s="11">
        <f>IF(AND(ISNUMBER(H1184),ISNUMBER(I1184),H1184&gt;0,ISNUMBER($B$94)),$B$94+3*SQRT($B$94*(1-$B$94)/H1184),"")</f>
        <v/>
      </c>
      <c r="M1184" s="13">
        <f>IF(AND(ISNUMBER(J1184),ISNUMBER(K1184),ISNUMBER(L1184)),IF(J1184&gt;L1184,"boven UCL",IF(J1184&lt;K1184,"onder LCL","")),"")</f>
        <v/>
      </c>
      <c r="O1184" t="n">
        <v>1078</v>
      </c>
      <c r="P1184" s="7" t="n"/>
      <c r="Q1184" s="7" t="n"/>
      <c r="R1184" s="11">
        <f>IF(AND(ISNUMBER(P1184),ISNUMBER(Q1184),P1184&gt;0,ISNUMBER($B$100)),Q1184/P1184,"")</f>
        <v/>
      </c>
      <c r="S1184" s="11">
        <f>IF(AND(ISNUMBER(P1184),ISNUMBER(Q1184),P1184&gt;0,ISNUMBER($B$100)),MAX(0,$B$100-3*SQRT($B$100/P1184)),"")</f>
        <v/>
      </c>
      <c r="T1184" s="11">
        <f>IF(AND(ISNUMBER(P1184),ISNUMBER(Q1184),P1184&gt;0,ISNUMBER($B$100)),$B$100+3*SQRT($B$100/P1184),"")</f>
        <v/>
      </c>
      <c r="U1184" s="13">
        <f>IF(AND(ISNUMBER(R1184),ISNUMBER(S1184),ISNUMBER(T1184)),IF(R1184&gt;T1184,"boven UCL",IF(R1184&lt;S1184,"onder LCL","")),"")</f>
        <v/>
      </c>
    </row>
    <row r="1185">
      <c r="A1185" t="n">
        <v>1079</v>
      </c>
      <c r="B1185" s="7" t="n"/>
      <c r="C1185" s="11">
        <f>IF(AND(ISNUMBER(B1185),ISNUMBER(B1184)),ABS(B1185-B1184),"")</f>
        <v/>
      </c>
      <c r="D1185" s="13">
        <f>IF(AND(ISNUMBER(B1185),ISNUMBER($B$88),ISNUMBER($D$88)),IF(B1185&gt;$D$88,"boven UCL",IF(B1185&lt;$B$88,"onder LCL","")),"")</f>
        <v/>
      </c>
      <c r="E1185" s="13">
        <f>IF(AND(ISNUMBER(C1185),ISNUMBER($B$89),ISNUMBER($D$89)),IF(C1185&gt;$D$89,"boven UCL",IF(C1185&lt;$B$89,"onder LCL","")),"")</f>
        <v/>
      </c>
      <c r="G1185" t="n">
        <v>1079</v>
      </c>
      <c r="H1185" s="7" t="n"/>
      <c r="I1185" s="7" t="n"/>
      <c r="J1185" s="11">
        <f>IF(AND(ISNUMBER(H1185),ISNUMBER(I1185),H1185&gt;0,ISNUMBER($B$94)),I1185/H1185,"")</f>
        <v/>
      </c>
      <c r="K1185" s="11">
        <f>IF(AND(ISNUMBER(H1185),ISNUMBER(I1185),H1185&gt;0,ISNUMBER($B$94)),MAX(0,$B$94-3*SQRT($B$94*(1-$B$94)/H1185)),"")</f>
        <v/>
      </c>
      <c r="L1185" s="11">
        <f>IF(AND(ISNUMBER(H1185),ISNUMBER(I1185),H1185&gt;0,ISNUMBER($B$94)),$B$94+3*SQRT($B$94*(1-$B$94)/H1185),"")</f>
        <v/>
      </c>
      <c r="M1185" s="13">
        <f>IF(AND(ISNUMBER(J1185),ISNUMBER(K1185),ISNUMBER(L1185)),IF(J1185&gt;L1185,"boven UCL",IF(J1185&lt;K1185,"onder LCL","")),"")</f>
        <v/>
      </c>
      <c r="O1185" t="n">
        <v>1079</v>
      </c>
      <c r="P1185" s="7" t="n"/>
      <c r="Q1185" s="7" t="n"/>
      <c r="R1185" s="11">
        <f>IF(AND(ISNUMBER(P1185),ISNUMBER(Q1185),P1185&gt;0,ISNUMBER($B$100)),Q1185/P1185,"")</f>
        <v/>
      </c>
      <c r="S1185" s="11">
        <f>IF(AND(ISNUMBER(P1185),ISNUMBER(Q1185),P1185&gt;0,ISNUMBER($B$100)),MAX(0,$B$100-3*SQRT($B$100/P1185)),"")</f>
        <v/>
      </c>
      <c r="T1185" s="11">
        <f>IF(AND(ISNUMBER(P1185),ISNUMBER(Q1185),P1185&gt;0,ISNUMBER($B$100)),$B$100+3*SQRT($B$100/P1185),"")</f>
        <v/>
      </c>
      <c r="U1185" s="13">
        <f>IF(AND(ISNUMBER(R1185),ISNUMBER(S1185),ISNUMBER(T1185)),IF(R1185&gt;T1185,"boven UCL",IF(R1185&lt;S1185,"onder LCL","")),"")</f>
        <v/>
      </c>
    </row>
    <row r="1186">
      <c r="A1186" t="n">
        <v>1080</v>
      </c>
      <c r="B1186" s="7" t="n"/>
      <c r="C1186" s="11">
        <f>IF(AND(ISNUMBER(B1186),ISNUMBER(B1185)),ABS(B1186-B1185),"")</f>
        <v/>
      </c>
      <c r="D1186" s="13">
        <f>IF(AND(ISNUMBER(B1186),ISNUMBER($B$88),ISNUMBER($D$88)),IF(B1186&gt;$D$88,"boven UCL",IF(B1186&lt;$B$88,"onder LCL","")),"")</f>
        <v/>
      </c>
      <c r="E1186" s="13">
        <f>IF(AND(ISNUMBER(C1186),ISNUMBER($B$89),ISNUMBER($D$89)),IF(C1186&gt;$D$89,"boven UCL",IF(C1186&lt;$B$89,"onder LCL","")),"")</f>
        <v/>
      </c>
      <c r="G1186" t="n">
        <v>1080</v>
      </c>
      <c r="H1186" s="7" t="n"/>
      <c r="I1186" s="7" t="n"/>
      <c r="J1186" s="11">
        <f>IF(AND(ISNUMBER(H1186),ISNUMBER(I1186),H1186&gt;0,ISNUMBER($B$94)),I1186/H1186,"")</f>
        <v/>
      </c>
      <c r="K1186" s="11">
        <f>IF(AND(ISNUMBER(H1186),ISNUMBER(I1186),H1186&gt;0,ISNUMBER($B$94)),MAX(0,$B$94-3*SQRT($B$94*(1-$B$94)/H1186)),"")</f>
        <v/>
      </c>
      <c r="L1186" s="11">
        <f>IF(AND(ISNUMBER(H1186),ISNUMBER(I1186),H1186&gt;0,ISNUMBER($B$94)),$B$94+3*SQRT($B$94*(1-$B$94)/H1186),"")</f>
        <v/>
      </c>
      <c r="M1186" s="13">
        <f>IF(AND(ISNUMBER(J1186),ISNUMBER(K1186),ISNUMBER(L1186)),IF(J1186&gt;L1186,"boven UCL",IF(J1186&lt;K1186,"onder LCL","")),"")</f>
        <v/>
      </c>
      <c r="O1186" t="n">
        <v>1080</v>
      </c>
      <c r="P1186" s="7" t="n"/>
      <c r="Q1186" s="7" t="n"/>
      <c r="R1186" s="11">
        <f>IF(AND(ISNUMBER(P1186),ISNUMBER(Q1186),P1186&gt;0,ISNUMBER($B$100)),Q1186/P1186,"")</f>
        <v/>
      </c>
      <c r="S1186" s="11">
        <f>IF(AND(ISNUMBER(P1186),ISNUMBER(Q1186),P1186&gt;0,ISNUMBER($B$100)),MAX(0,$B$100-3*SQRT($B$100/P1186)),"")</f>
        <v/>
      </c>
      <c r="T1186" s="11">
        <f>IF(AND(ISNUMBER(P1186),ISNUMBER(Q1186),P1186&gt;0,ISNUMBER($B$100)),$B$100+3*SQRT($B$100/P1186),"")</f>
        <v/>
      </c>
      <c r="U1186" s="13">
        <f>IF(AND(ISNUMBER(R1186),ISNUMBER(S1186),ISNUMBER(T1186)),IF(R1186&gt;T1186,"boven UCL",IF(R1186&lt;S1186,"onder LCL","")),"")</f>
        <v/>
      </c>
    </row>
    <row r="1187">
      <c r="A1187" t="n">
        <v>1081</v>
      </c>
      <c r="B1187" s="7" t="n"/>
      <c r="C1187" s="11">
        <f>IF(AND(ISNUMBER(B1187),ISNUMBER(B1186)),ABS(B1187-B1186),"")</f>
        <v/>
      </c>
      <c r="D1187" s="13">
        <f>IF(AND(ISNUMBER(B1187),ISNUMBER($B$88),ISNUMBER($D$88)),IF(B1187&gt;$D$88,"boven UCL",IF(B1187&lt;$B$88,"onder LCL","")),"")</f>
        <v/>
      </c>
      <c r="E1187" s="13">
        <f>IF(AND(ISNUMBER(C1187),ISNUMBER($B$89),ISNUMBER($D$89)),IF(C1187&gt;$D$89,"boven UCL",IF(C1187&lt;$B$89,"onder LCL","")),"")</f>
        <v/>
      </c>
      <c r="G1187" t="n">
        <v>1081</v>
      </c>
      <c r="H1187" s="7" t="n"/>
      <c r="I1187" s="7" t="n"/>
      <c r="J1187" s="11">
        <f>IF(AND(ISNUMBER(H1187),ISNUMBER(I1187),H1187&gt;0,ISNUMBER($B$94)),I1187/H1187,"")</f>
        <v/>
      </c>
      <c r="K1187" s="11">
        <f>IF(AND(ISNUMBER(H1187),ISNUMBER(I1187),H1187&gt;0,ISNUMBER($B$94)),MAX(0,$B$94-3*SQRT($B$94*(1-$B$94)/H1187)),"")</f>
        <v/>
      </c>
      <c r="L1187" s="11">
        <f>IF(AND(ISNUMBER(H1187),ISNUMBER(I1187),H1187&gt;0,ISNUMBER($B$94)),$B$94+3*SQRT($B$94*(1-$B$94)/H1187),"")</f>
        <v/>
      </c>
      <c r="M1187" s="13">
        <f>IF(AND(ISNUMBER(J1187),ISNUMBER(K1187),ISNUMBER(L1187)),IF(J1187&gt;L1187,"boven UCL",IF(J1187&lt;K1187,"onder LCL","")),"")</f>
        <v/>
      </c>
      <c r="O1187" t="n">
        <v>1081</v>
      </c>
      <c r="P1187" s="7" t="n"/>
      <c r="Q1187" s="7" t="n"/>
      <c r="R1187" s="11">
        <f>IF(AND(ISNUMBER(P1187),ISNUMBER(Q1187),P1187&gt;0,ISNUMBER($B$100)),Q1187/P1187,"")</f>
        <v/>
      </c>
      <c r="S1187" s="11">
        <f>IF(AND(ISNUMBER(P1187),ISNUMBER(Q1187),P1187&gt;0,ISNUMBER($B$100)),MAX(0,$B$100-3*SQRT($B$100/P1187)),"")</f>
        <v/>
      </c>
      <c r="T1187" s="11">
        <f>IF(AND(ISNUMBER(P1187),ISNUMBER(Q1187),P1187&gt;0,ISNUMBER($B$100)),$B$100+3*SQRT($B$100/P1187),"")</f>
        <v/>
      </c>
      <c r="U1187" s="13">
        <f>IF(AND(ISNUMBER(R1187),ISNUMBER(S1187),ISNUMBER(T1187)),IF(R1187&gt;T1187,"boven UCL",IF(R1187&lt;S1187,"onder LCL","")),"")</f>
        <v/>
      </c>
    </row>
    <row r="1188">
      <c r="A1188" t="n">
        <v>1082</v>
      </c>
      <c r="B1188" s="7" t="n"/>
      <c r="C1188" s="11">
        <f>IF(AND(ISNUMBER(B1188),ISNUMBER(B1187)),ABS(B1188-B1187),"")</f>
        <v/>
      </c>
      <c r="D1188" s="13">
        <f>IF(AND(ISNUMBER(B1188),ISNUMBER($B$88),ISNUMBER($D$88)),IF(B1188&gt;$D$88,"boven UCL",IF(B1188&lt;$B$88,"onder LCL","")),"")</f>
        <v/>
      </c>
      <c r="E1188" s="13">
        <f>IF(AND(ISNUMBER(C1188),ISNUMBER($B$89),ISNUMBER($D$89)),IF(C1188&gt;$D$89,"boven UCL",IF(C1188&lt;$B$89,"onder LCL","")),"")</f>
        <v/>
      </c>
      <c r="G1188" t="n">
        <v>1082</v>
      </c>
      <c r="H1188" s="7" t="n"/>
      <c r="I1188" s="7" t="n"/>
      <c r="J1188" s="11">
        <f>IF(AND(ISNUMBER(H1188),ISNUMBER(I1188),H1188&gt;0,ISNUMBER($B$94)),I1188/H1188,"")</f>
        <v/>
      </c>
      <c r="K1188" s="11">
        <f>IF(AND(ISNUMBER(H1188),ISNUMBER(I1188),H1188&gt;0,ISNUMBER($B$94)),MAX(0,$B$94-3*SQRT($B$94*(1-$B$94)/H1188)),"")</f>
        <v/>
      </c>
      <c r="L1188" s="11">
        <f>IF(AND(ISNUMBER(H1188),ISNUMBER(I1188),H1188&gt;0,ISNUMBER($B$94)),$B$94+3*SQRT($B$94*(1-$B$94)/H1188),"")</f>
        <v/>
      </c>
      <c r="M1188" s="13">
        <f>IF(AND(ISNUMBER(J1188),ISNUMBER(K1188),ISNUMBER(L1188)),IF(J1188&gt;L1188,"boven UCL",IF(J1188&lt;K1188,"onder LCL","")),"")</f>
        <v/>
      </c>
      <c r="O1188" t="n">
        <v>1082</v>
      </c>
      <c r="P1188" s="7" t="n"/>
      <c r="Q1188" s="7" t="n"/>
      <c r="R1188" s="11">
        <f>IF(AND(ISNUMBER(P1188),ISNUMBER(Q1188),P1188&gt;0,ISNUMBER($B$100)),Q1188/P1188,"")</f>
        <v/>
      </c>
      <c r="S1188" s="11">
        <f>IF(AND(ISNUMBER(P1188),ISNUMBER(Q1188),P1188&gt;0,ISNUMBER($B$100)),MAX(0,$B$100-3*SQRT($B$100/P1188)),"")</f>
        <v/>
      </c>
      <c r="T1188" s="11">
        <f>IF(AND(ISNUMBER(P1188),ISNUMBER(Q1188),P1188&gt;0,ISNUMBER($B$100)),$B$100+3*SQRT($B$100/P1188),"")</f>
        <v/>
      </c>
      <c r="U1188" s="13">
        <f>IF(AND(ISNUMBER(R1188),ISNUMBER(S1188),ISNUMBER(T1188)),IF(R1188&gt;T1188,"boven UCL",IF(R1188&lt;S1188,"onder LCL","")),"")</f>
        <v/>
      </c>
    </row>
    <row r="1189">
      <c r="A1189" t="n">
        <v>1083</v>
      </c>
      <c r="B1189" s="7" t="n"/>
      <c r="C1189" s="11">
        <f>IF(AND(ISNUMBER(B1189),ISNUMBER(B1188)),ABS(B1189-B1188),"")</f>
        <v/>
      </c>
      <c r="D1189" s="13">
        <f>IF(AND(ISNUMBER(B1189),ISNUMBER($B$88),ISNUMBER($D$88)),IF(B1189&gt;$D$88,"boven UCL",IF(B1189&lt;$B$88,"onder LCL","")),"")</f>
        <v/>
      </c>
      <c r="E1189" s="13">
        <f>IF(AND(ISNUMBER(C1189),ISNUMBER($B$89),ISNUMBER($D$89)),IF(C1189&gt;$D$89,"boven UCL",IF(C1189&lt;$B$89,"onder LCL","")),"")</f>
        <v/>
      </c>
      <c r="G1189" t="n">
        <v>1083</v>
      </c>
      <c r="H1189" s="7" t="n"/>
      <c r="I1189" s="7" t="n"/>
      <c r="J1189" s="11">
        <f>IF(AND(ISNUMBER(H1189),ISNUMBER(I1189),H1189&gt;0,ISNUMBER($B$94)),I1189/H1189,"")</f>
        <v/>
      </c>
      <c r="K1189" s="11">
        <f>IF(AND(ISNUMBER(H1189),ISNUMBER(I1189),H1189&gt;0,ISNUMBER($B$94)),MAX(0,$B$94-3*SQRT($B$94*(1-$B$94)/H1189)),"")</f>
        <v/>
      </c>
      <c r="L1189" s="11">
        <f>IF(AND(ISNUMBER(H1189),ISNUMBER(I1189),H1189&gt;0,ISNUMBER($B$94)),$B$94+3*SQRT($B$94*(1-$B$94)/H1189),"")</f>
        <v/>
      </c>
      <c r="M1189" s="13">
        <f>IF(AND(ISNUMBER(J1189),ISNUMBER(K1189),ISNUMBER(L1189)),IF(J1189&gt;L1189,"boven UCL",IF(J1189&lt;K1189,"onder LCL","")),"")</f>
        <v/>
      </c>
      <c r="O1189" t="n">
        <v>1083</v>
      </c>
      <c r="P1189" s="7" t="n"/>
      <c r="Q1189" s="7" t="n"/>
      <c r="R1189" s="11">
        <f>IF(AND(ISNUMBER(P1189),ISNUMBER(Q1189),P1189&gt;0,ISNUMBER($B$100)),Q1189/P1189,"")</f>
        <v/>
      </c>
      <c r="S1189" s="11">
        <f>IF(AND(ISNUMBER(P1189),ISNUMBER(Q1189),P1189&gt;0,ISNUMBER($B$100)),MAX(0,$B$100-3*SQRT($B$100/P1189)),"")</f>
        <v/>
      </c>
      <c r="T1189" s="11">
        <f>IF(AND(ISNUMBER(P1189),ISNUMBER(Q1189),P1189&gt;0,ISNUMBER($B$100)),$B$100+3*SQRT($B$100/P1189),"")</f>
        <v/>
      </c>
      <c r="U1189" s="13">
        <f>IF(AND(ISNUMBER(R1189),ISNUMBER(S1189),ISNUMBER(T1189)),IF(R1189&gt;T1189,"boven UCL",IF(R1189&lt;S1189,"onder LCL","")),"")</f>
        <v/>
      </c>
    </row>
    <row r="1190">
      <c r="A1190" t="n">
        <v>1084</v>
      </c>
      <c r="B1190" s="7" t="n"/>
      <c r="C1190" s="11">
        <f>IF(AND(ISNUMBER(B1190),ISNUMBER(B1189)),ABS(B1190-B1189),"")</f>
        <v/>
      </c>
      <c r="D1190" s="13">
        <f>IF(AND(ISNUMBER(B1190),ISNUMBER($B$88),ISNUMBER($D$88)),IF(B1190&gt;$D$88,"boven UCL",IF(B1190&lt;$B$88,"onder LCL","")),"")</f>
        <v/>
      </c>
      <c r="E1190" s="13">
        <f>IF(AND(ISNUMBER(C1190),ISNUMBER($B$89),ISNUMBER($D$89)),IF(C1190&gt;$D$89,"boven UCL",IF(C1190&lt;$B$89,"onder LCL","")),"")</f>
        <v/>
      </c>
      <c r="G1190" t="n">
        <v>1084</v>
      </c>
      <c r="H1190" s="7" t="n"/>
      <c r="I1190" s="7" t="n"/>
      <c r="J1190" s="11">
        <f>IF(AND(ISNUMBER(H1190),ISNUMBER(I1190),H1190&gt;0,ISNUMBER($B$94)),I1190/H1190,"")</f>
        <v/>
      </c>
      <c r="K1190" s="11">
        <f>IF(AND(ISNUMBER(H1190),ISNUMBER(I1190),H1190&gt;0,ISNUMBER($B$94)),MAX(0,$B$94-3*SQRT($B$94*(1-$B$94)/H1190)),"")</f>
        <v/>
      </c>
      <c r="L1190" s="11">
        <f>IF(AND(ISNUMBER(H1190),ISNUMBER(I1190),H1190&gt;0,ISNUMBER($B$94)),$B$94+3*SQRT($B$94*(1-$B$94)/H1190),"")</f>
        <v/>
      </c>
      <c r="M1190" s="13">
        <f>IF(AND(ISNUMBER(J1190),ISNUMBER(K1190),ISNUMBER(L1190)),IF(J1190&gt;L1190,"boven UCL",IF(J1190&lt;K1190,"onder LCL","")),"")</f>
        <v/>
      </c>
      <c r="O1190" t="n">
        <v>1084</v>
      </c>
      <c r="P1190" s="7" t="n"/>
      <c r="Q1190" s="7" t="n"/>
      <c r="R1190" s="11">
        <f>IF(AND(ISNUMBER(P1190),ISNUMBER(Q1190),P1190&gt;0,ISNUMBER($B$100)),Q1190/P1190,"")</f>
        <v/>
      </c>
      <c r="S1190" s="11">
        <f>IF(AND(ISNUMBER(P1190),ISNUMBER(Q1190),P1190&gt;0,ISNUMBER($B$100)),MAX(0,$B$100-3*SQRT($B$100/P1190)),"")</f>
        <v/>
      </c>
      <c r="T1190" s="11">
        <f>IF(AND(ISNUMBER(P1190),ISNUMBER(Q1190),P1190&gt;0,ISNUMBER($B$100)),$B$100+3*SQRT($B$100/P1190),"")</f>
        <v/>
      </c>
      <c r="U1190" s="13">
        <f>IF(AND(ISNUMBER(R1190),ISNUMBER(S1190),ISNUMBER(T1190)),IF(R1190&gt;T1190,"boven UCL",IF(R1190&lt;S1190,"onder LCL","")),"")</f>
        <v/>
      </c>
    </row>
    <row r="1191">
      <c r="A1191" t="n">
        <v>1085</v>
      </c>
      <c r="B1191" s="7" t="n"/>
      <c r="C1191" s="11">
        <f>IF(AND(ISNUMBER(B1191),ISNUMBER(B1190)),ABS(B1191-B1190),"")</f>
        <v/>
      </c>
      <c r="D1191" s="13">
        <f>IF(AND(ISNUMBER(B1191),ISNUMBER($B$88),ISNUMBER($D$88)),IF(B1191&gt;$D$88,"boven UCL",IF(B1191&lt;$B$88,"onder LCL","")),"")</f>
        <v/>
      </c>
      <c r="E1191" s="13">
        <f>IF(AND(ISNUMBER(C1191),ISNUMBER($B$89),ISNUMBER($D$89)),IF(C1191&gt;$D$89,"boven UCL",IF(C1191&lt;$B$89,"onder LCL","")),"")</f>
        <v/>
      </c>
      <c r="G1191" t="n">
        <v>1085</v>
      </c>
      <c r="H1191" s="7" t="n"/>
      <c r="I1191" s="7" t="n"/>
      <c r="J1191" s="11">
        <f>IF(AND(ISNUMBER(H1191),ISNUMBER(I1191),H1191&gt;0,ISNUMBER($B$94)),I1191/H1191,"")</f>
        <v/>
      </c>
      <c r="K1191" s="11">
        <f>IF(AND(ISNUMBER(H1191),ISNUMBER(I1191),H1191&gt;0,ISNUMBER($B$94)),MAX(0,$B$94-3*SQRT($B$94*(1-$B$94)/H1191)),"")</f>
        <v/>
      </c>
      <c r="L1191" s="11">
        <f>IF(AND(ISNUMBER(H1191),ISNUMBER(I1191),H1191&gt;0,ISNUMBER($B$94)),$B$94+3*SQRT($B$94*(1-$B$94)/H1191),"")</f>
        <v/>
      </c>
      <c r="M1191" s="13">
        <f>IF(AND(ISNUMBER(J1191),ISNUMBER(K1191),ISNUMBER(L1191)),IF(J1191&gt;L1191,"boven UCL",IF(J1191&lt;K1191,"onder LCL","")),"")</f>
        <v/>
      </c>
      <c r="O1191" t="n">
        <v>1085</v>
      </c>
      <c r="P1191" s="7" t="n"/>
      <c r="Q1191" s="7" t="n"/>
      <c r="R1191" s="11">
        <f>IF(AND(ISNUMBER(P1191),ISNUMBER(Q1191),P1191&gt;0,ISNUMBER($B$100)),Q1191/P1191,"")</f>
        <v/>
      </c>
      <c r="S1191" s="11">
        <f>IF(AND(ISNUMBER(P1191),ISNUMBER(Q1191),P1191&gt;0,ISNUMBER($B$100)),MAX(0,$B$100-3*SQRT($B$100/P1191)),"")</f>
        <v/>
      </c>
      <c r="T1191" s="11">
        <f>IF(AND(ISNUMBER(P1191),ISNUMBER(Q1191),P1191&gt;0,ISNUMBER($B$100)),$B$100+3*SQRT($B$100/P1191),"")</f>
        <v/>
      </c>
      <c r="U1191" s="13">
        <f>IF(AND(ISNUMBER(R1191),ISNUMBER(S1191),ISNUMBER(T1191)),IF(R1191&gt;T1191,"boven UCL",IF(R1191&lt;S1191,"onder LCL","")),"")</f>
        <v/>
      </c>
    </row>
    <row r="1192">
      <c r="A1192" t="n">
        <v>1086</v>
      </c>
      <c r="B1192" s="7" t="n"/>
      <c r="C1192" s="11">
        <f>IF(AND(ISNUMBER(B1192),ISNUMBER(B1191)),ABS(B1192-B1191),"")</f>
        <v/>
      </c>
      <c r="D1192" s="13">
        <f>IF(AND(ISNUMBER(B1192),ISNUMBER($B$88),ISNUMBER($D$88)),IF(B1192&gt;$D$88,"boven UCL",IF(B1192&lt;$B$88,"onder LCL","")),"")</f>
        <v/>
      </c>
      <c r="E1192" s="13">
        <f>IF(AND(ISNUMBER(C1192),ISNUMBER($B$89),ISNUMBER($D$89)),IF(C1192&gt;$D$89,"boven UCL",IF(C1192&lt;$B$89,"onder LCL","")),"")</f>
        <v/>
      </c>
      <c r="G1192" t="n">
        <v>1086</v>
      </c>
      <c r="H1192" s="7" t="n"/>
      <c r="I1192" s="7" t="n"/>
      <c r="J1192" s="11">
        <f>IF(AND(ISNUMBER(H1192),ISNUMBER(I1192),H1192&gt;0,ISNUMBER($B$94)),I1192/H1192,"")</f>
        <v/>
      </c>
      <c r="K1192" s="11">
        <f>IF(AND(ISNUMBER(H1192),ISNUMBER(I1192),H1192&gt;0,ISNUMBER($B$94)),MAX(0,$B$94-3*SQRT($B$94*(1-$B$94)/H1192)),"")</f>
        <v/>
      </c>
      <c r="L1192" s="11">
        <f>IF(AND(ISNUMBER(H1192),ISNUMBER(I1192),H1192&gt;0,ISNUMBER($B$94)),$B$94+3*SQRT($B$94*(1-$B$94)/H1192),"")</f>
        <v/>
      </c>
      <c r="M1192" s="13">
        <f>IF(AND(ISNUMBER(J1192),ISNUMBER(K1192),ISNUMBER(L1192)),IF(J1192&gt;L1192,"boven UCL",IF(J1192&lt;K1192,"onder LCL","")),"")</f>
        <v/>
      </c>
      <c r="O1192" t="n">
        <v>1086</v>
      </c>
      <c r="P1192" s="7" t="n"/>
      <c r="Q1192" s="7" t="n"/>
      <c r="R1192" s="11">
        <f>IF(AND(ISNUMBER(P1192),ISNUMBER(Q1192),P1192&gt;0,ISNUMBER($B$100)),Q1192/P1192,"")</f>
        <v/>
      </c>
      <c r="S1192" s="11">
        <f>IF(AND(ISNUMBER(P1192),ISNUMBER(Q1192),P1192&gt;0,ISNUMBER($B$100)),MAX(0,$B$100-3*SQRT($B$100/P1192)),"")</f>
        <v/>
      </c>
      <c r="T1192" s="11">
        <f>IF(AND(ISNUMBER(P1192),ISNUMBER(Q1192),P1192&gt;0,ISNUMBER($B$100)),$B$100+3*SQRT($B$100/P1192),"")</f>
        <v/>
      </c>
      <c r="U1192" s="13">
        <f>IF(AND(ISNUMBER(R1192),ISNUMBER(S1192),ISNUMBER(T1192)),IF(R1192&gt;T1192,"boven UCL",IF(R1192&lt;S1192,"onder LCL","")),"")</f>
        <v/>
      </c>
    </row>
    <row r="1193">
      <c r="A1193" t="n">
        <v>1087</v>
      </c>
      <c r="B1193" s="7" t="n"/>
      <c r="C1193" s="11">
        <f>IF(AND(ISNUMBER(B1193),ISNUMBER(B1192)),ABS(B1193-B1192),"")</f>
        <v/>
      </c>
      <c r="D1193" s="13">
        <f>IF(AND(ISNUMBER(B1193),ISNUMBER($B$88),ISNUMBER($D$88)),IF(B1193&gt;$D$88,"boven UCL",IF(B1193&lt;$B$88,"onder LCL","")),"")</f>
        <v/>
      </c>
      <c r="E1193" s="13">
        <f>IF(AND(ISNUMBER(C1193),ISNUMBER($B$89),ISNUMBER($D$89)),IF(C1193&gt;$D$89,"boven UCL",IF(C1193&lt;$B$89,"onder LCL","")),"")</f>
        <v/>
      </c>
      <c r="G1193" t="n">
        <v>1087</v>
      </c>
      <c r="H1193" s="7" t="n"/>
      <c r="I1193" s="7" t="n"/>
      <c r="J1193" s="11">
        <f>IF(AND(ISNUMBER(H1193),ISNUMBER(I1193),H1193&gt;0,ISNUMBER($B$94)),I1193/H1193,"")</f>
        <v/>
      </c>
      <c r="K1193" s="11">
        <f>IF(AND(ISNUMBER(H1193),ISNUMBER(I1193),H1193&gt;0,ISNUMBER($B$94)),MAX(0,$B$94-3*SQRT($B$94*(1-$B$94)/H1193)),"")</f>
        <v/>
      </c>
      <c r="L1193" s="11">
        <f>IF(AND(ISNUMBER(H1193),ISNUMBER(I1193),H1193&gt;0,ISNUMBER($B$94)),$B$94+3*SQRT($B$94*(1-$B$94)/H1193),"")</f>
        <v/>
      </c>
      <c r="M1193" s="13">
        <f>IF(AND(ISNUMBER(J1193),ISNUMBER(K1193),ISNUMBER(L1193)),IF(J1193&gt;L1193,"boven UCL",IF(J1193&lt;K1193,"onder LCL","")),"")</f>
        <v/>
      </c>
      <c r="O1193" t="n">
        <v>1087</v>
      </c>
      <c r="P1193" s="7" t="n"/>
      <c r="Q1193" s="7" t="n"/>
      <c r="R1193" s="11">
        <f>IF(AND(ISNUMBER(P1193),ISNUMBER(Q1193),P1193&gt;0,ISNUMBER($B$100)),Q1193/P1193,"")</f>
        <v/>
      </c>
      <c r="S1193" s="11">
        <f>IF(AND(ISNUMBER(P1193),ISNUMBER(Q1193),P1193&gt;0,ISNUMBER($B$100)),MAX(0,$B$100-3*SQRT($B$100/P1193)),"")</f>
        <v/>
      </c>
      <c r="T1193" s="11">
        <f>IF(AND(ISNUMBER(P1193),ISNUMBER(Q1193),P1193&gt;0,ISNUMBER($B$100)),$B$100+3*SQRT($B$100/P1193),"")</f>
        <v/>
      </c>
      <c r="U1193" s="13">
        <f>IF(AND(ISNUMBER(R1193),ISNUMBER(S1193),ISNUMBER(T1193)),IF(R1193&gt;T1193,"boven UCL",IF(R1193&lt;S1193,"onder LCL","")),"")</f>
        <v/>
      </c>
    </row>
    <row r="1194">
      <c r="A1194" t="n">
        <v>1088</v>
      </c>
      <c r="B1194" s="7" t="n"/>
      <c r="C1194" s="11">
        <f>IF(AND(ISNUMBER(B1194),ISNUMBER(B1193)),ABS(B1194-B1193),"")</f>
        <v/>
      </c>
      <c r="D1194" s="13">
        <f>IF(AND(ISNUMBER(B1194),ISNUMBER($B$88),ISNUMBER($D$88)),IF(B1194&gt;$D$88,"boven UCL",IF(B1194&lt;$B$88,"onder LCL","")),"")</f>
        <v/>
      </c>
      <c r="E1194" s="13">
        <f>IF(AND(ISNUMBER(C1194),ISNUMBER($B$89),ISNUMBER($D$89)),IF(C1194&gt;$D$89,"boven UCL",IF(C1194&lt;$B$89,"onder LCL","")),"")</f>
        <v/>
      </c>
      <c r="G1194" t="n">
        <v>1088</v>
      </c>
      <c r="H1194" s="7" t="n"/>
      <c r="I1194" s="7" t="n"/>
      <c r="J1194" s="11">
        <f>IF(AND(ISNUMBER(H1194),ISNUMBER(I1194),H1194&gt;0,ISNUMBER($B$94)),I1194/H1194,"")</f>
        <v/>
      </c>
      <c r="K1194" s="11">
        <f>IF(AND(ISNUMBER(H1194),ISNUMBER(I1194),H1194&gt;0,ISNUMBER($B$94)),MAX(0,$B$94-3*SQRT($B$94*(1-$B$94)/H1194)),"")</f>
        <v/>
      </c>
      <c r="L1194" s="11">
        <f>IF(AND(ISNUMBER(H1194),ISNUMBER(I1194),H1194&gt;0,ISNUMBER($B$94)),$B$94+3*SQRT($B$94*(1-$B$94)/H1194),"")</f>
        <v/>
      </c>
      <c r="M1194" s="13">
        <f>IF(AND(ISNUMBER(J1194),ISNUMBER(K1194),ISNUMBER(L1194)),IF(J1194&gt;L1194,"boven UCL",IF(J1194&lt;K1194,"onder LCL","")),"")</f>
        <v/>
      </c>
      <c r="O1194" t="n">
        <v>1088</v>
      </c>
      <c r="P1194" s="7" t="n"/>
      <c r="Q1194" s="7" t="n"/>
      <c r="R1194" s="11">
        <f>IF(AND(ISNUMBER(P1194),ISNUMBER(Q1194),P1194&gt;0,ISNUMBER($B$100)),Q1194/P1194,"")</f>
        <v/>
      </c>
      <c r="S1194" s="11">
        <f>IF(AND(ISNUMBER(P1194),ISNUMBER(Q1194),P1194&gt;0,ISNUMBER($B$100)),MAX(0,$B$100-3*SQRT($B$100/P1194)),"")</f>
        <v/>
      </c>
      <c r="T1194" s="11">
        <f>IF(AND(ISNUMBER(P1194),ISNUMBER(Q1194),P1194&gt;0,ISNUMBER($B$100)),$B$100+3*SQRT($B$100/P1194),"")</f>
        <v/>
      </c>
      <c r="U1194" s="13">
        <f>IF(AND(ISNUMBER(R1194),ISNUMBER(S1194),ISNUMBER(T1194)),IF(R1194&gt;T1194,"boven UCL",IF(R1194&lt;S1194,"onder LCL","")),"")</f>
        <v/>
      </c>
    </row>
    <row r="1195">
      <c r="A1195" t="n">
        <v>1089</v>
      </c>
      <c r="B1195" s="7" t="n"/>
      <c r="C1195" s="11">
        <f>IF(AND(ISNUMBER(B1195),ISNUMBER(B1194)),ABS(B1195-B1194),"")</f>
        <v/>
      </c>
      <c r="D1195" s="13">
        <f>IF(AND(ISNUMBER(B1195),ISNUMBER($B$88),ISNUMBER($D$88)),IF(B1195&gt;$D$88,"boven UCL",IF(B1195&lt;$B$88,"onder LCL","")),"")</f>
        <v/>
      </c>
      <c r="E1195" s="13">
        <f>IF(AND(ISNUMBER(C1195),ISNUMBER($B$89),ISNUMBER($D$89)),IF(C1195&gt;$D$89,"boven UCL",IF(C1195&lt;$B$89,"onder LCL","")),"")</f>
        <v/>
      </c>
      <c r="G1195" t="n">
        <v>1089</v>
      </c>
      <c r="H1195" s="7" t="n"/>
      <c r="I1195" s="7" t="n"/>
      <c r="J1195" s="11">
        <f>IF(AND(ISNUMBER(H1195),ISNUMBER(I1195),H1195&gt;0,ISNUMBER($B$94)),I1195/H1195,"")</f>
        <v/>
      </c>
      <c r="K1195" s="11">
        <f>IF(AND(ISNUMBER(H1195),ISNUMBER(I1195),H1195&gt;0,ISNUMBER($B$94)),MAX(0,$B$94-3*SQRT($B$94*(1-$B$94)/H1195)),"")</f>
        <v/>
      </c>
      <c r="L1195" s="11">
        <f>IF(AND(ISNUMBER(H1195),ISNUMBER(I1195),H1195&gt;0,ISNUMBER($B$94)),$B$94+3*SQRT($B$94*(1-$B$94)/H1195),"")</f>
        <v/>
      </c>
      <c r="M1195" s="13">
        <f>IF(AND(ISNUMBER(J1195),ISNUMBER(K1195),ISNUMBER(L1195)),IF(J1195&gt;L1195,"boven UCL",IF(J1195&lt;K1195,"onder LCL","")),"")</f>
        <v/>
      </c>
      <c r="O1195" t="n">
        <v>1089</v>
      </c>
      <c r="P1195" s="7" t="n"/>
      <c r="Q1195" s="7" t="n"/>
      <c r="R1195" s="11">
        <f>IF(AND(ISNUMBER(P1195),ISNUMBER(Q1195),P1195&gt;0,ISNUMBER($B$100)),Q1195/P1195,"")</f>
        <v/>
      </c>
      <c r="S1195" s="11">
        <f>IF(AND(ISNUMBER(P1195),ISNUMBER(Q1195),P1195&gt;0,ISNUMBER($B$100)),MAX(0,$B$100-3*SQRT($B$100/P1195)),"")</f>
        <v/>
      </c>
      <c r="T1195" s="11">
        <f>IF(AND(ISNUMBER(P1195),ISNUMBER(Q1195),P1195&gt;0,ISNUMBER($B$100)),$B$100+3*SQRT($B$100/P1195),"")</f>
        <v/>
      </c>
      <c r="U1195" s="13">
        <f>IF(AND(ISNUMBER(R1195),ISNUMBER(S1195),ISNUMBER(T1195)),IF(R1195&gt;T1195,"boven UCL",IF(R1195&lt;S1195,"onder LCL","")),"")</f>
        <v/>
      </c>
    </row>
    <row r="1196">
      <c r="A1196" t="n">
        <v>1090</v>
      </c>
      <c r="B1196" s="7" t="n"/>
      <c r="C1196" s="11">
        <f>IF(AND(ISNUMBER(B1196),ISNUMBER(B1195)),ABS(B1196-B1195),"")</f>
        <v/>
      </c>
      <c r="D1196" s="13">
        <f>IF(AND(ISNUMBER(B1196),ISNUMBER($B$88),ISNUMBER($D$88)),IF(B1196&gt;$D$88,"boven UCL",IF(B1196&lt;$B$88,"onder LCL","")),"")</f>
        <v/>
      </c>
      <c r="E1196" s="13">
        <f>IF(AND(ISNUMBER(C1196),ISNUMBER($B$89),ISNUMBER($D$89)),IF(C1196&gt;$D$89,"boven UCL",IF(C1196&lt;$B$89,"onder LCL","")),"")</f>
        <v/>
      </c>
      <c r="G1196" t="n">
        <v>1090</v>
      </c>
      <c r="H1196" s="7" t="n"/>
      <c r="I1196" s="7" t="n"/>
      <c r="J1196" s="11">
        <f>IF(AND(ISNUMBER(H1196),ISNUMBER(I1196),H1196&gt;0,ISNUMBER($B$94)),I1196/H1196,"")</f>
        <v/>
      </c>
      <c r="K1196" s="11">
        <f>IF(AND(ISNUMBER(H1196),ISNUMBER(I1196),H1196&gt;0,ISNUMBER($B$94)),MAX(0,$B$94-3*SQRT($B$94*(1-$B$94)/H1196)),"")</f>
        <v/>
      </c>
      <c r="L1196" s="11">
        <f>IF(AND(ISNUMBER(H1196),ISNUMBER(I1196),H1196&gt;0,ISNUMBER($B$94)),$B$94+3*SQRT($B$94*(1-$B$94)/H1196),"")</f>
        <v/>
      </c>
      <c r="M1196" s="13">
        <f>IF(AND(ISNUMBER(J1196),ISNUMBER(K1196),ISNUMBER(L1196)),IF(J1196&gt;L1196,"boven UCL",IF(J1196&lt;K1196,"onder LCL","")),"")</f>
        <v/>
      </c>
      <c r="O1196" t="n">
        <v>1090</v>
      </c>
      <c r="P1196" s="7" t="n"/>
      <c r="Q1196" s="7" t="n"/>
      <c r="R1196" s="11">
        <f>IF(AND(ISNUMBER(P1196),ISNUMBER(Q1196),P1196&gt;0,ISNUMBER($B$100)),Q1196/P1196,"")</f>
        <v/>
      </c>
      <c r="S1196" s="11">
        <f>IF(AND(ISNUMBER(P1196),ISNUMBER(Q1196),P1196&gt;0,ISNUMBER($B$100)),MAX(0,$B$100-3*SQRT($B$100/P1196)),"")</f>
        <v/>
      </c>
      <c r="T1196" s="11">
        <f>IF(AND(ISNUMBER(P1196),ISNUMBER(Q1196),P1196&gt;0,ISNUMBER($B$100)),$B$100+3*SQRT($B$100/P1196),"")</f>
        <v/>
      </c>
      <c r="U1196" s="13">
        <f>IF(AND(ISNUMBER(R1196),ISNUMBER(S1196),ISNUMBER(T1196)),IF(R1196&gt;T1196,"boven UCL",IF(R1196&lt;S1196,"onder LCL","")),"")</f>
        <v/>
      </c>
    </row>
    <row r="1197">
      <c r="A1197" t="n">
        <v>1091</v>
      </c>
      <c r="B1197" s="7" t="n"/>
      <c r="C1197" s="11">
        <f>IF(AND(ISNUMBER(B1197),ISNUMBER(B1196)),ABS(B1197-B1196),"")</f>
        <v/>
      </c>
      <c r="D1197" s="13">
        <f>IF(AND(ISNUMBER(B1197),ISNUMBER($B$88),ISNUMBER($D$88)),IF(B1197&gt;$D$88,"boven UCL",IF(B1197&lt;$B$88,"onder LCL","")),"")</f>
        <v/>
      </c>
      <c r="E1197" s="13">
        <f>IF(AND(ISNUMBER(C1197),ISNUMBER($B$89),ISNUMBER($D$89)),IF(C1197&gt;$D$89,"boven UCL",IF(C1197&lt;$B$89,"onder LCL","")),"")</f>
        <v/>
      </c>
      <c r="G1197" t="n">
        <v>1091</v>
      </c>
      <c r="H1197" s="7" t="n"/>
      <c r="I1197" s="7" t="n"/>
      <c r="J1197" s="11">
        <f>IF(AND(ISNUMBER(H1197),ISNUMBER(I1197),H1197&gt;0,ISNUMBER($B$94)),I1197/H1197,"")</f>
        <v/>
      </c>
      <c r="K1197" s="11">
        <f>IF(AND(ISNUMBER(H1197),ISNUMBER(I1197),H1197&gt;0,ISNUMBER($B$94)),MAX(0,$B$94-3*SQRT($B$94*(1-$B$94)/H1197)),"")</f>
        <v/>
      </c>
      <c r="L1197" s="11">
        <f>IF(AND(ISNUMBER(H1197),ISNUMBER(I1197),H1197&gt;0,ISNUMBER($B$94)),$B$94+3*SQRT($B$94*(1-$B$94)/H1197),"")</f>
        <v/>
      </c>
      <c r="M1197" s="13">
        <f>IF(AND(ISNUMBER(J1197),ISNUMBER(K1197),ISNUMBER(L1197)),IF(J1197&gt;L1197,"boven UCL",IF(J1197&lt;K1197,"onder LCL","")),"")</f>
        <v/>
      </c>
      <c r="O1197" t="n">
        <v>1091</v>
      </c>
      <c r="P1197" s="7" t="n"/>
      <c r="Q1197" s="7" t="n"/>
      <c r="R1197" s="11">
        <f>IF(AND(ISNUMBER(P1197),ISNUMBER(Q1197),P1197&gt;0,ISNUMBER($B$100)),Q1197/P1197,"")</f>
        <v/>
      </c>
      <c r="S1197" s="11">
        <f>IF(AND(ISNUMBER(P1197),ISNUMBER(Q1197),P1197&gt;0,ISNUMBER($B$100)),MAX(0,$B$100-3*SQRT($B$100/P1197)),"")</f>
        <v/>
      </c>
      <c r="T1197" s="11">
        <f>IF(AND(ISNUMBER(P1197),ISNUMBER(Q1197),P1197&gt;0,ISNUMBER($B$100)),$B$100+3*SQRT($B$100/P1197),"")</f>
        <v/>
      </c>
      <c r="U1197" s="13">
        <f>IF(AND(ISNUMBER(R1197),ISNUMBER(S1197),ISNUMBER(T1197)),IF(R1197&gt;T1197,"boven UCL",IF(R1197&lt;S1197,"onder LCL","")),"")</f>
        <v/>
      </c>
    </row>
    <row r="1198">
      <c r="A1198" t="n">
        <v>1092</v>
      </c>
      <c r="B1198" s="7" t="n"/>
      <c r="C1198" s="11">
        <f>IF(AND(ISNUMBER(B1198),ISNUMBER(B1197)),ABS(B1198-B1197),"")</f>
        <v/>
      </c>
      <c r="D1198" s="13">
        <f>IF(AND(ISNUMBER(B1198),ISNUMBER($B$88),ISNUMBER($D$88)),IF(B1198&gt;$D$88,"boven UCL",IF(B1198&lt;$B$88,"onder LCL","")),"")</f>
        <v/>
      </c>
      <c r="E1198" s="13">
        <f>IF(AND(ISNUMBER(C1198),ISNUMBER($B$89),ISNUMBER($D$89)),IF(C1198&gt;$D$89,"boven UCL",IF(C1198&lt;$B$89,"onder LCL","")),"")</f>
        <v/>
      </c>
      <c r="G1198" t="n">
        <v>1092</v>
      </c>
      <c r="H1198" s="7" t="n"/>
      <c r="I1198" s="7" t="n"/>
      <c r="J1198" s="11">
        <f>IF(AND(ISNUMBER(H1198),ISNUMBER(I1198),H1198&gt;0,ISNUMBER($B$94)),I1198/H1198,"")</f>
        <v/>
      </c>
      <c r="K1198" s="11">
        <f>IF(AND(ISNUMBER(H1198),ISNUMBER(I1198),H1198&gt;0,ISNUMBER($B$94)),MAX(0,$B$94-3*SQRT($B$94*(1-$B$94)/H1198)),"")</f>
        <v/>
      </c>
      <c r="L1198" s="11">
        <f>IF(AND(ISNUMBER(H1198),ISNUMBER(I1198),H1198&gt;0,ISNUMBER($B$94)),$B$94+3*SQRT($B$94*(1-$B$94)/H1198),"")</f>
        <v/>
      </c>
      <c r="M1198" s="13">
        <f>IF(AND(ISNUMBER(J1198),ISNUMBER(K1198),ISNUMBER(L1198)),IF(J1198&gt;L1198,"boven UCL",IF(J1198&lt;K1198,"onder LCL","")),"")</f>
        <v/>
      </c>
      <c r="O1198" t="n">
        <v>1092</v>
      </c>
      <c r="P1198" s="7" t="n"/>
      <c r="Q1198" s="7" t="n"/>
      <c r="R1198" s="11">
        <f>IF(AND(ISNUMBER(P1198),ISNUMBER(Q1198),P1198&gt;0,ISNUMBER($B$100)),Q1198/P1198,"")</f>
        <v/>
      </c>
      <c r="S1198" s="11">
        <f>IF(AND(ISNUMBER(P1198),ISNUMBER(Q1198),P1198&gt;0,ISNUMBER($B$100)),MAX(0,$B$100-3*SQRT($B$100/P1198)),"")</f>
        <v/>
      </c>
      <c r="T1198" s="11">
        <f>IF(AND(ISNUMBER(P1198),ISNUMBER(Q1198),P1198&gt;0,ISNUMBER($B$100)),$B$100+3*SQRT($B$100/P1198),"")</f>
        <v/>
      </c>
      <c r="U1198" s="13">
        <f>IF(AND(ISNUMBER(R1198),ISNUMBER(S1198),ISNUMBER(T1198)),IF(R1198&gt;T1198,"boven UCL",IF(R1198&lt;S1198,"onder LCL","")),"")</f>
        <v/>
      </c>
    </row>
    <row r="1199">
      <c r="A1199" t="n">
        <v>1093</v>
      </c>
      <c r="B1199" s="7" t="n"/>
      <c r="C1199" s="11">
        <f>IF(AND(ISNUMBER(B1199),ISNUMBER(B1198)),ABS(B1199-B1198),"")</f>
        <v/>
      </c>
      <c r="D1199" s="13">
        <f>IF(AND(ISNUMBER(B1199),ISNUMBER($B$88),ISNUMBER($D$88)),IF(B1199&gt;$D$88,"boven UCL",IF(B1199&lt;$B$88,"onder LCL","")),"")</f>
        <v/>
      </c>
      <c r="E1199" s="13">
        <f>IF(AND(ISNUMBER(C1199),ISNUMBER($B$89),ISNUMBER($D$89)),IF(C1199&gt;$D$89,"boven UCL",IF(C1199&lt;$B$89,"onder LCL","")),"")</f>
        <v/>
      </c>
      <c r="G1199" t="n">
        <v>1093</v>
      </c>
      <c r="H1199" s="7" t="n"/>
      <c r="I1199" s="7" t="n"/>
      <c r="J1199" s="11">
        <f>IF(AND(ISNUMBER(H1199),ISNUMBER(I1199),H1199&gt;0,ISNUMBER($B$94)),I1199/H1199,"")</f>
        <v/>
      </c>
      <c r="K1199" s="11">
        <f>IF(AND(ISNUMBER(H1199),ISNUMBER(I1199),H1199&gt;0,ISNUMBER($B$94)),MAX(0,$B$94-3*SQRT($B$94*(1-$B$94)/H1199)),"")</f>
        <v/>
      </c>
      <c r="L1199" s="11">
        <f>IF(AND(ISNUMBER(H1199),ISNUMBER(I1199),H1199&gt;0,ISNUMBER($B$94)),$B$94+3*SQRT($B$94*(1-$B$94)/H1199),"")</f>
        <v/>
      </c>
      <c r="M1199" s="13">
        <f>IF(AND(ISNUMBER(J1199),ISNUMBER(K1199),ISNUMBER(L1199)),IF(J1199&gt;L1199,"boven UCL",IF(J1199&lt;K1199,"onder LCL","")),"")</f>
        <v/>
      </c>
      <c r="O1199" t="n">
        <v>1093</v>
      </c>
      <c r="P1199" s="7" t="n"/>
      <c r="Q1199" s="7" t="n"/>
      <c r="R1199" s="11">
        <f>IF(AND(ISNUMBER(P1199),ISNUMBER(Q1199),P1199&gt;0,ISNUMBER($B$100)),Q1199/P1199,"")</f>
        <v/>
      </c>
      <c r="S1199" s="11">
        <f>IF(AND(ISNUMBER(P1199),ISNUMBER(Q1199),P1199&gt;0,ISNUMBER($B$100)),MAX(0,$B$100-3*SQRT($B$100/P1199)),"")</f>
        <v/>
      </c>
      <c r="T1199" s="11">
        <f>IF(AND(ISNUMBER(P1199),ISNUMBER(Q1199),P1199&gt;0,ISNUMBER($B$100)),$B$100+3*SQRT($B$100/P1199),"")</f>
        <v/>
      </c>
      <c r="U1199" s="13">
        <f>IF(AND(ISNUMBER(R1199),ISNUMBER(S1199),ISNUMBER(T1199)),IF(R1199&gt;T1199,"boven UCL",IF(R1199&lt;S1199,"onder LCL","")),"")</f>
        <v/>
      </c>
    </row>
    <row r="1200">
      <c r="A1200" t="n">
        <v>1094</v>
      </c>
      <c r="B1200" s="7" t="n"/>
      <c r="C1200" s="11">
        <f>IF(AND(ISNUMBER(B1200),ISNUMBER(B1199)),ABS(B1200-B1199),"")</f>
        <v/>
      </c>
      <c r="D1200" s="13">
        <f>IF(AND(ISNUMBER(B1200),ISNUMBER($B$88),ISNUMBER($D$88)),IF(B1200&gt;$D$88,"boven UCL",IF(B1200&lt;$B$88,"onder LCL","")),"")</f>
        <v/>
      </c>
      <c r="E1200" s="13">
        <f>IF(AND(ISNUMBER(C1200),ISNUMBER($B$89),ISNUMBER($D$89)),IF(C1200&gt;$D$89,"boven UCL",IF(C1200&lt;$B$89,"onder LCL","")),"")</f>
        <v/>
      </c>
      <c r="G1200" t="n">
        <v>1094</v>
      </c>
      <c r="H1200" s="7" t="n"/>
      <c r="I1200" s="7" t="n"/>
      <c r="J1200" s="11">
        <f>IF(AND(ISNUMBER(H1200),ISNUMBER(I1200),H1200&gt;0,ISNUMBER($B$94)),I1200/H1200,"")</f>
        <v/>
      </c>
      <c r="K1200" s="11">
        <f>IF(AND(ISNUMBER(H1200),ISNUMBER(I1200),H1200&gt;0,ISNUMBER($B$94)),MAX(0,$B$94-3*SQRT($B$94*(1-$B$94)/H1200)),"")</f>
        <v/>
      </c>
      <c r="L1200" s="11">
        <f>IF(AND(ISNUMBER(H1200),ISNUMBER(I1200),H1200&gt;0,ISNUMBER($B$94)),$B$94+3*SQRT($B$94*(1-$B$94)/H1200),"")</f>
        <v/>
      </c>
      <c r="M1200" s="13">
        <f>IF(AND(ISNUMBER(J1200),ISNUMBER(K1200),ISNUMBER(L1200)),IF(J1200&gt;L1200,"boven UCL",IF(J1200&lt;K1200,"onder LCL","")),"")</f>
        <v/>
      </c>
      <c r="O1200" t="n">
        <v>1094</v>
      </c>
      <c r="P1200" s="7" t="n"/>
      <c r="Q1200" s="7" t="n"/>
      <c r="R1200" s="11">
        <f>IF(AND(ISNUMBER(P1200),ISNUMBER(Q1200),P1200&gt;0,ISNUMBER($B$100)),Q1200/P1200,"")</f>
        <v/>
      </c>
      <c r="S1200" s="11">
        <f>IF(AND(ISNUMBER(P1200),ISNUMBER(Q1200),P1200&gt;0,ISNUMBER($B$100)),MAX(0,$B$100-3*SQRT($B$100/P1200)),"")</f>
        <v/>
      </c>
      <c r="T1200" s="11">
        <f>IF(AND(ISNUMBER(P1200),ISNUMBER(Q1200),P1200&gt;0,ISNUMBER($B$100)),$B$100+3*SQRT($B$100/P1200),"")</f>
        <v/>
      </c>
      <c r="U1200" s="13">
        <f>IF(AND(ISNUMBER(R1200),ISNUMBER(S1200),ISNUMBER(T1200)),IF(R1200&gt;T1200,"boven UCL",IF(R1200&lt;S1200,"onder LCL","")),"")</f>
        <v/>
      </c>
    </row>
    <row r="1201">
      <c r="A1201" t="n">
        <v>1095</v>
      </c>
      <c r="B1201" s="7" t="n"/>
      <c r="C1201" s="11">
        <f>IF(AND(ISNUMBER(B1201),ISNUMBER(B1200)),ABS(B1201-B1200),"")</f>
        <v/>
      </c>
      <c r="D1201" s="13">
        <f>IF(AND(ISNUMBER(B1201),ISNUMBER($B$88),ISNUMBER($D$88)),IF(B1201&gt;$D$88,"boven UCL",IF(B1201&lt;$B$88,"onder LCL","")),"")</f>
        <v/>
      </c>
      <c r="E1201" s="13">
        <f>IF(AND(ISNUMBER(C1201),ISNUMBER($B$89),ISNUMBER($D$89)),IF(C1201&gt;$D$89,"boven UCL",IF(C1201&lt;$B$89,"onder LCL","")),"")</f>
        <v/>
      </c>
      <c r="G1201" t="n">
        <v>1095</v>
      </c>
      <c r="H1201" s="7" t="n"/>
      <c r="I1201" s="7" t="n"/>
      <c r="J1201" s="11">
        <f>IF(AND(ISNUMBER(H1201),ISNUMBER(I1201),H1201&gt;0,ISNUMBER($B$94)),I1201/H1201,"")</f>
        <v/>
      </c>
      <c r="K1201" s="11">
        <f>IF(AND(ISNUMBER(H1201),ISNUMBER(I1201),H1201&gt;0,ISNUMBER($B$94)),MAX(0,$B$94-3*SQRT($B$94*(1-$B$94)/H1201)),"")</f>
        <v/>
      </c>
      <c r="L1201" s="11">
        <f>IF(AND(ISNUMBER(H1201),ISNUMBER(I1201),H1201&gt;0,ISNUMBER($B$94)),$B$94+3*SQRT($B$94*(1-$B$94)/H1201),"")</f>
        <v/>
      </c>
      <c r="M1201" s="13">
        <f>IF(AND(ISNUMBER(J1201),ISNUMBER(K1201),ISNUMBER(L1201)),IF(J1201&gt;L1201,"boven UCL",IF(J1201&lt;K1201,"onder LCL","")),"")</f>
        <v/>
      </c>
      <c r="O1201" t="n">
        <v>1095</v>
      </c>
      <c r="P1201" s="7" t="n"/>
      <c r="Q1201" s="7" t="n"/>
      <c r="R1201" s="11">
        <f>IF(AND(ISNUMBER(P1201),ISNUMBER(Q1201),P1201&gt;0,ISNUMBER($B$100)),Q1201/P1201,"")</f>
        <v/>
      </c>
      <c r="S1201" s="11">
        <f>IF(AND(ISNUMBER(P1201),ISNUMBER(Q1201),P1201&gt;0,ISNUMBER($B$100)),MAX(0,$B$100-3*SQRT($B$100/P1201)),"")</f>
        <v/>
      </c>
      <c r="T1201" s="11">
        <f>IF(AND(ISNUMBER(P1201),ISNUMBER(Q1201),P1201&gt;0,ISNUMBER($B$100)),$B$100+3*SQRT($B$100/P1201),"")</f>
        <v/>
      </c>
      <c r="U1201" s="13">
        <f>IF(AND(ISNUMBER(R1201),ISNUMBER(S1201),ISNUMBER(T1201)),IF(R1201&gt;T1201,"boven UCL",IF(R1201&lt;S1201,"onder LCL","")),"")</f>
        <v/>
      </c>
    </row>
    <row r="1202">
      <c r="A1202" t="n">
        <v>1096</v>
      </c>
      <c r="B1202" s="7" t="n"/>
      <c r="C1202" s="11">
        <f>IF(AND(ISNUMBER(B1202),ISNUMBER(B1201)),ABS(B1202-B1201),"")</f>
        <v/>
      </c>
      <c r="D1202" s="13">
        <f>IF(AND(ISNUMBER(B1202),ISNUMBER($B$88),ISNUMBER($D$88)),IF(B1202&gt;$D$88,"boven UCL",IF(B1202&lt;$B$88,"onder LCL","")),"")</f>
        <v/>
      </c>
      <c r="E1202" s="13">
        <f>IF(AND(ISNUMBER(C1202),ISNUMBER($B$89),ISNUMBER($D$89)),IF(C1202&gt;$D$89,"boven UCL",IF(C1202&lt;$B$89,"onder LCL","")),"")</f>
        <v/>
      </c>
      <c r="G1202" t="n">
        <v>1096</v>
      </c>
      <c r="H1202" s="7" t="n"/>
      <c r="I1202" s="7" t="n"/>
      <c r="J1202" s="11">
        <f>IF(AND(ISNUMBER(H1202),ISNUMBER(I1202),H1202&gt;0,ISNUMBER($B$94)),I1202/H1202,"")</f>
        <v/>
      </c>
      <c r="K1202" s="11">
        <f>IF(AND(ISNUMBER(H1202),ISNUMBER(I1202),H1202&gt;0,ISNUMBER($B$94)),MAX(0,$B$94-3*SQRT($B$94*(1-$B$94)/H1202)),"")</f>
        <v/>
      </c>
      <c r="L1202" s="11">
        <f>IF(AND(ISNUMBER(H1202),ISNUMBER(I1202),H1202&gt;0,ISNUMBER($B$94)),$B$94+3*SQRT($B$94*(1-$B$94)/H1202),"")</f>
        <v/>
      </c>
      <c r="M1202" s="13">
        <f>IF(AND(ISNUMBER(J1202),ISNUMBER(K1202),ISNUMBER(L1202)),IF(J1202&gt;L1202,"boven UCL",IF(J1202&lt;K1202,"onder LCL","")),"")</f>
        <v/>
      </c>
      <c r="O1202" t="n">
        <v>1096</v>
      </c>
      <c r="P1202" s="7" t="n"/>
      <c r="Q1202" s="7" t="n"/>
      <c r="R1202" s="11">
        <f>IF(AND(ISNUMBER(P1202),ISNUMBER(Q1202),P1202&gt;0,ISNUMBER($B$100)),Q1202/P1202,"")</f>
        <v/>
      </c>
      <c r="S1202" s="11">
        <f>IF(AND(ISNUMBER(P1202),ISNUMBER(Q1202),P1202&gt;0,ISNUMBER($B$100)),MAX(0,$B$100-3*SQRT($B$100/P1202)),"")</f>
        <v/>
      </c>
      <c r="T1202" s="11">
        <f>IF(AND(ISNUMBER(P1202),ISNUMBER(Q1202),P1202&gt;0,ISNUMBER($B$100)),$B$100+3*SQRT($B$100/P1202),"")</f>
        <v/>
      </c>
      <c r="U1202" s="13">
        <f>IF(AND(ISNUMBER(R1202),ISNUMBER(S1202),ISNUMBER(T1202)),IF(R1202&gt;T1202,"boven UCL",IF(R1202&lt;S1202,"onder LCL","")),"")</f>
        <v/>
      </c>
    </row>
    <row r="1203">
      <c r="A1203" t="n">
        <v>1097</v>
      </c>
      <c r="B1203" s="7" t="n"/>
      <c r="C1203" s="11">
        <f>IF(AND(ISNUMBER(B1203),ISNUMBER(B1202)),ABS(B1203-B1202),"")</f>
        <v/>
      </c>
      <c r="D1203" s="13">
        <f>IF(AND(ISNUMBER(B1203),ISNUMBER($B$88),ISNUMBER($D$88)),IF(B1203&gt;$D$88,"boven UCL",IF(B1203&lt;$B$88,"onder LCL","")),"")</f>
        <v/>
      </c>
      <c r="E1203" s="13">
        <f>IF(AND(ISNUMBER(C1203),ISNUMBER($B$89),ISNUMBER($D$89)),IF(C1203&gt;$D$89,"boven UCL",IF(C1203&lt;$B$89,"onder LCL","")),"")</f>
        <v/>
      </c>
      <c r="G1203" t="n">
        <v>1097</v>
      </c>
      <c r="H1203" s="7" t="n"/>
      <c r="I1203" s="7" t="n"/>
      <c r="J1203" s="11">
        <f>IF(AND(ISNUMBER(H1203),ISNUMBER(I1203),H1203&gt;0,ISNUMBER($B$94)),I1203/H1203,"")</f>
        <v/>
      </c>
      <c r="K1203" s="11">
        <f>IF(AND(ISNUMBER(H1203),ISNUMBER(I1203),H1203&gt;0,ISNUMBER($B$94)),MAX(0,$B$94-3*SQRT($B$94*(1-$B$94)/H1203)),"")</f>
        <v/>
      </c>
      <c r="L1203" s="11">
        <f>IF(AND(ISNUMBER(H1203),ISNUMBER(I1203),H1203&gt;0,ISNUMBER($B$94)),$B$94+3*SQRT($B$94*(1-$B$94)/H1203),"")</f>
        <v/>
      </c>
      <c r="M1203" s="13">
        <f>IF(AND(ISNUMBER(J1203),ISNUMBER(K1203),ISNUMBER(L1203)),IF(J1203&gt;L1203,"boven UCL",IF(J1203&lt;K1203,"onder LCL","")),"")</f>
        <v/>
      </c>
      <c r="O1203" t="n">
        <v>1097</v>
      </c>
      <c r="P1203" s="7" t="n"/>
      <c r="Q1203" s="7" t="n"/>
      <c r="R1203" s="11">
        <f>IF(AND(ISNUMBER(P1203),ISNUMBER(Q1203),P1203&gt;0,ISNUMBER($B$100)),Q1203/P1203,"")</f>
        <v/>
      </c>
      <c r="S1203" s="11">
        <f>IF(AND(ISNUMBER(P1203),ISNUMBER(Q1203),P1203&gt;0,ISNUMBER($B$100)),MAX(0,$B$100-3*SQRT($B$100/P1203)),"")</f>
        <v/>
      </c>
      <c r="T1203" s="11">
        <f>IF(AND(ISNUMBER(P1203),ISNUMBER(Q1203),P1203&gt;0,ISNUMBER($B$100)),$B$100+3*SQRT($B$100/P1203),"")</f>
        <v/>
      </c>
      <c r="U1203" s="13">
        <f>IF(AND(ISNUMBER(R1203),ISNUMBER(S1203),ISNUMBER(T1203)),IF(R1203&gt;T1203,"boven UCL",IF(R1203&lt;S1203,"onder LCL","")),"")</f>
        <v/>
      </c>
    </row>
    <row r="1204">
      <c r="A1204" t="n">
        <v>1098</v>
      </c>
      <c r="B1204" s="7" t="n"/>
      <c r="C1204" s="11">
        <f>IF(AND(ISNUMBER(B1204),ISNUMBER(B1203)),ABS(B1204-B1203),"")</f>
        <v/>
      </c>
      <c r="D1204" s="13">
        <f>IF(AND(ISNUMBER(B1204),ISNUMBER($B$88),ISNUMBER($D$88)),IF(B1204&gt;$D$88,"boven UCL",IF(B1204&lt;$B$88,"onder LCL","")),"")</f>
        <v/>
      </c>
      <c r="E1204" s="13">
        <f>IF(AND(ISNUMBER(C1204),ISNUMBER($B$89),ISNUMBER($D$89)),IF(C1204&gt;$D$89,"boven UCL",IF(C1204&lt;$B$89,"onder LCL","")),"")</f>
        <v/>
      </c>
      <c r="G1204" t="n">
        <v>1098</v>
      </c>
      <c r="H1204" s="7" t="n"/>
      <c r="I1204" s="7" t="n"/>
      <c r="J1204" s="11">
        <f>IF(AND(ISNUMBER(H1204),ISNUMBER(I1204),H1204&gt;0,ISNUMBER($B$94)),I1204/H1204,"")</f>
        <v/>
      </c>
      <c r="K1204" s="11">
        <f>IF(AND(ISNUMBER(H1204),ISNUMBER(I1204),H1204&gt;0,ISNUMBER($B$94)),MAX(0,$B$94-3*SQRT($B$94*(1-$B$94)/H1204)),"")</f>
        <v/>
      </c>
      <c r="L1204" s="11">
        <f>IF(AND(ISNUMBER(H1204),ISNUMBER(I1204),H1204&gt;0,ISNUMBER($B$94)),$B$94+3*SQRT($B$94*(1-$B$94)/H1204),"")</f>
        <v/>
      </c>
      <c r="M1204" s="13">
        <f>IF(AND(ISNUMBER(J1204),ISNUMBER(K1204),ISNUMBER(L1204)),IF(J1204&gt;L1204,"boven UCL",IF(J1204&lt;K1204,"onder LCL","")),"")</f>
        <v/>
      </c>
      <c r="O1204" t="n">
        <v>1098</v>
      </c>
      <c r="P1204" s="7" t="n"/>
      <c r="Q1204" s="7" t="n"/>
      <c r="R1204" s="11">
        <f>IF(AND(ISNUMBER(P1204),ISNUMBER(Q1204),P1204&gt;0,ISNUMBER($B$100)),Q1204/P1204,"")</f>
        <v/>
      </c>
      <c r="S1204" s="11">
        <f>IF(AND(ISNUMBER(P1204),ISNUMBER(Q1204),P1204&gt;0,ISNUMBER($B$100)),MAX(0,$B$100-3*SQRT($B$100/P1204)),"")</f>
        <v/>
      </c>
      <c r="T1204" s="11">
        <f>IF(AND(ISNUMBER(P1204),ISNUMBER(Q1204),P1204&gt;0,ISNUMBER($B$100)),$B$100+3*SQRT($B$100/P1204),"")</f>
        <v/>
      </c>
      <c r="U1204" s="13">
        <f>IF(AND(ISNUMBER(R1204),ISNUMBER(S1204),ISNUMBER(T1204)),IF(R1204&gt;T1204,"boven UCL",IF(R1204&lt;S1204,"onder LCL","")),"")</f>
        <v/>
      </c>
    </row>
    <row r="1205">
      <c r="A1205" t="n">
        <v>1099</v>
      </c>
      <c r="B1205" s="7" t="n"/>
      <c r="C1205" s="11">
        <f>IF(AND(ISNUMBER(B1205),ISNUMBER(B1204)),ABS(B1205-B1204),"")</f>
        <v/>
      </c>
      <c r="D1205" s="13">
        <f>IF(AND(ISNUMBER(B1205),ISNUMBER($B$88),ISNUMBER($D$88)),IF(B1205&gt;$D$88,"boven UCL",IF(B1205&lt;$B$88,"onder LCL","")),"")</f>
        <v/>
      </c>
      <c r="E1205" s="13">
        <f>IF(AND(ISNUMBER(C1205),ISNUMBER($B$89),ISNUMBER($D$89)),IF(C1205&gt;$D$89,"boven UCL",IF(C1205&lt;$B$89,"onder LCL","")),"")</f>
        <v/>
      </c>
      <c r="G1205" t="n">
        <v>1099</v>
      </c>
      <c r="H1205" s="7" t="n"/>
      <c r="I1205" s="7" t="n"/>
      <c r="J1205" s="11">
        <f>IF(AND(ISNUMBER(H1205),ISNUMBER(I1205),H1205&gt;0,ISNUMBER($B$94)),I1205/H1205,"")</f>
        <v/>
      </c>
      <c r="K1205" s="11">
        <f>IF(AND(ISNUMBER(H1205),ISNUMBER(I1205),H1205&gt;0,ISNUMBER($B$94)),MAX(0,$B$94-3*SQRT($B$94*(1-$B$94)/H1205)),"")</f>
        <v/>
      </c>
      <c r="L1205" s="11">
        <f>IF(AND(ISNUMBER(H1205),ISNUMBER(I1205),H1205&gt;0,ISNUMBER($B$94)),$B$94+3*SQRT($B$94*(1-$B$94)/H1205),"")</f>
        <v/>
      </c>
      <c r="M1205" s="13">
        <f>IF(AND(ISNUMBER(J1205),ISNUMBER(K1205),ISNUMBER(L1205)),IF(J1205&gt;L1205,"boven UCL",IF(J1205&lt;K1205,"onder LCL","")),"")</f>
        <v/>
      </c>
      <c r="O1205" t="n">
        <v>1099</v>
      </c>
      <c r="P1205" s="7" t="n"/>
      <c r="Q1205" s="7" t="n"/>
      <c r="R1205" s="11">
        <f>IF(AND(ISNUMBER(P1205),ISNUMBER(Q1205),P1205&gt;0,ISNUMBER($B$100)),Q1205/P1205,"")</f>
        <v/>
      </c>
      <c r="S1205" s="11">
        <f>IF(AND(ISNUMBER(P1205),ISNUMBER(Q1205),P1205&gt;0,ISNUMBER($B$100)),MAX(0,$B$100-3*SQRT($B$100/P1205)),"")</f>
        <v/>
      </c>
      <c r="T1205" s="11">
        <f>IF(AND(ISNUMBER(P1205),ISNUMBER(Q1205),P1205&gt;0,ISNUMBER($B$100)),$B$100+3*SQRT($B$100/P1205),"")</f>
        <v/>
      </c>
      <c r="U1205" s="13">
        <f>IF(AND(ISNUMBER(R1205),ISNUMBER(S1205),ISNUMBER(T1205)),IF(R1205&gt;T1205,"boven UCL",IF(R1205&lt;S1205,"onder LCL","")),"")</f>
        <v/>
      </c>
    </row>
    <row r="1206">
      <c r="A1206" t="n">
        <v>1100</v>
      </c>
      <c r="B1206" s="7" t="n"/>
      <c r="C1206" s="11">
        <f>IF(AND(ISNUMBER(B1206),ISNUMBER(B1205)),ABS(B1206-B1205),"")</f>
        <v/>
      </c>
      <c r="D1206" s="13">
        <f>IF(AND(ISNUMBER(B1206),ISNUMBER($B$88),ISNUMBER($D$88)),IF(B1206&gt;$D$88,"boven UCL",IF(B1206&lt;$B$88,"onder LCL","")),"")</f>
        <v/>
      </c>
      <c r="E1206" s="13">
        <f>IF(AND(ISNUMBER(C1206),ISNUMBER($B$89),ISNUMBER($D$89)),IF(C1206&gt;$D$89,"boven UCL",IF(C1206&lt;$B$89,"onder LCL","")),"")</f>
        <v/>
      </c>
      <c r="G1206" t="n">
        <v>1100</v>
      </c>
      <c r="H1206" s="7" t="n"/>
      <c r="I1206" s="7" t="n"/>
      <c r="J1206" s="11">
        <f>IF(AND(ISNUMBER(H1206),ISNUMBER(I1206),H1206&gt;0,ISNUMBER($B$94)),I1206/H1206,"")</f>
        <v/>
      </c>
      <c r="K1206" s="11">
        <f>IF(AND(ISNUMBER(H1206),ISNUMBER(I1206),H1206&gt;0,ISNUMBER($B$94)),MAX(0,$B$94-3*SQRT($B$94*(1-$B$94)/H1206)),"")</f>
        <v/>
      </c>
      <c r="L1206" s="11">
        <f>IF(AND(ISNUMBER(H1206),ISNUMBER(I1206),H1206&gt;0,ISNUMBER($B$94)),$B$94+3*SQRT($B$94*(1-$B$94)/H1206),"")</f>
        <v/>
      </c>
      <c r="M1206" s="13">
        <f>IF(AND(ISNUMBER(J1206),ISNUMBER(K1206),ISNUMBER(L1206)),IF(J1206&gt;L1206,"boven UCL",IF(J1206&lt;K1206,"onder LCL","")),"")</f>
        <v/>
      </c>
      <c r="O1206" t="n">
        <v>1100</v>
      </c>
      <c r="P1206" s="7" t="n"/>
      <c r="Q1206" s="7" t="n"/>
      <c r="R1206" s="11">
        <f>IF(AND(ISNUMBER(P1206),ISNUMBER(Q1206),P1206&gt;0,ISNUMBER($B$100)),Q1206/P1206,"")</f>
        <v/>
      </c>
      <c r="S1206" s="11">
        <f>IF(AND(ISNUMBER(P1206),ISNUMBER(Q1206),P1206&gt;0,ISNUMBER($B$100)),MAX(0,$B$100-3*SQRT($B$100/P1206)),"")</f>
        <v/>
      </c>
      <c r="T1206" s="11">
        <f>IF(AND(ISNUMBER(P1206),ISNUMBER(Q1206),P1206&gt;0,ISNUMBER($B$100)),$B$100+3*SQRT($B$100/P1206),"")</f>
        <v/>
      </c>
      <c r="U1206" s="13">
        <f>IF(AND(ISNUMBER(R1206),ISNUMBER(S1206),ISNUMBER(T1206)),IF(R1206&gt;T1206,"boven UCL",IF(R1206&lt;S1206,"onder LCL","")),"")</f>
        <v/>
      </c>
    </row>
    <row r="1207">
      <c r="A1207" t="n">
        <v>1101</v>
      </c>
      <c r="B1207" s="7" t="n"/>
      <c r="C1207" s="11">
        <f>IF(AND(ISNUMBER(B1207),ISNUMBER(B1206)),ABS(B1207-B1206),"")</f>
        <v/>
      </c>
      <c r="D1207" s="13">
        <f>IF(AND(ISNUMBER(B1207),ISNUMBER($B$88),ISNUMBER($D$88)),IF(B1207&gt;$D$88,"boven UCL",IF(B1207&lt;$B$88,"onder LCL","")),"")</f>
        <v/>
      </c>
      <c r="E1207" s="13">
        <f>IF(AND(ISNUMBER(C1207),ISNUMBER($B$89),ISNUMBER($D$89)),IF(C1207&gt;$D$89,"boven UCL",IF(C1207&lt;$B$89,"onder LCL","")),"")</f>
        <v/>
      </c>
      <c r="G1207" t="n">
        <v>1101</v>
      </c>
      <c r="H1207" s="7" t="n"/>
      <c r="I1207" s="7" t="n"/>
      <c r="J1207" s="11">
        <f>IF(AND(ISNUMBER(H1207),ISNUMBER(I1207),H1207&gt;0,ISNUMBER($B$94)),I1207/H1207,"")</f>
        <v/>
      </c>
      <c r="K1207" s="11">
        <f>IF(AND(ISNUMBER(H1207),ISNUMBER(I1207),H1207&gt;0,ISNUMBER($B$94)),MAX(0,$B$94-3*SQRT($B$94*(1-$B$94)/H1207)),"")</f>
        <v/>
      </c>
      <c r="L1207" s="11">
        <f>IF(AND(ISNUMBER(H1207),ISNUMBER(I1207),H1207&gt;0,ISNUMBER($B$94)),$B$94+3*SQRT($B$94*(1-$B$94)/H1207),"")</f>
        <v/>
      </c>
      <c r="M1207" s="13">
        <f>IF(AND(ISNUMBER(J1207),ISNUMBER(K1207),ISNUMBER(L1207)),IF(J1207&gt;L1207,"boven UCL",IF(J1207&lt;K1207,"onder LCL","")),"")</f>
        <v/>
      </c>
      <c r="O1207" t="n">
        <v>1101</v>
      </c>
      <c r="P1207" s="7" t="n"/>
      <c r="Q1207" s="7" t="n"/>
      <c r="R1207" s="11">
        <f>IF(AND(ISNUMBER(P1207),ISNUMBER(Q1207),P1207&gt;0,ISNUMBER($B$100)),Q1207/P1207,"")</f>
        <v/>
      </c>
      <c r="S1207" s="11">
        <f>IF(AND(ISNUMBER(P1207),ISNUMBER(Q1207),P1207&gt;0,ISNUMBER($B$100)),MAX(0,$B$100-3*SQRT($B$100/P1207)),"")</f>
        <v/>
      </c>
      <c r="T1207" s="11">
        <f>IF(AND(ISNUMBER(P1207),ISNUMBER(Q1207),P1207&gt;0,ISNUMBER($B$100)),$B$100+3*SQRT($B$100/P1207),"")</f>
        <v/>
      </c>
      <c r="U1207" s="13">
        <f>IF(AND(ISNUMBER(R1207),ISNUMBER(S1207),ISNUMBER(T1207)),IF(R1207&gt;T1207,"boven UCL",IF(R1207&lt;S1207,"onder LCL","")),"")</f>
        <v/>
      </c>
    </row>
    <row r="1208">
      <c r="A1208" t="n">
        <v>1102</v>
      </c>
      <c r="B1208" s="7" t="n"/>
      <c r="C1208" s="11">
        <f>IF(AND(ISNUMBER(B1208),ISNUMBER(B1207)),ABS(B1208-B1207),"")</f>
        <v/>
      </c>
      <c r="D1208" s="13">
        <f>IF(AND(ISNUMBER(B1208),ISNUMBER($B$88),ISNUMBER($D$88)),IF(B1208&gt;$D$88,"boven UCL",IF(B1208&lt;$B$88,"onder LCL","")),"")</f>
        <v/>
      </c>
      <c r="E1208" s="13">
        <f>IF(AND(ISNUMBER(C1208),ISNUMBER($B$89),ISNUMBER($D$89)),IF(C1208&gt;$D$89,"boven UCL",IF(C1208&lt;$B$89,"onder LCL","")),"")</f>
        <v/>
      </c>
      <c r="G1208" t="n">
        <v>1102</v>
      </c>
      <c r="H1208" s="7" t="n"/>
      <c r="I1208" s="7" t="n"/>
      <c r="J1208" s="11">
        <f>IF(AND(ISNUMBER(H1208),ISNUMBER(I1208),H1208&gt;0,ISNUMBER($B$94)),I1208/H1208,"")</f>
        <v/>
      </c>
      <c r="K1208" s="11">
        <f>IF(AND(ISNUMBER(H1208),ISNUMBER(I1208),H1208&gt;0,ISNUMBER($B$94)),MAX(0,$B$94-3*SQRT($B$94*(1-$B$94)/H1208)),"")</f>
        <v/>
      </c>
      <c r="L1208" s="11">
        <f>IF(AND(ISNUMBER(H1208),ISNUMBER(I1208),H1208&gt;0,ISNUMBER($B$94)),$B$94+3*SQRT($B$94*(1-$B$94)/H1208),"")</f>
        <v/>
      </c>
      <c r="M1208" s="13">
        <f>IF(AND(ISNUMBER(J1208),ISNUMBER(K1208),ISNUMBER(L1208)),IF(J1208&gt;L1208,"boven UCL",IF(J1208&lt;K1208,"onder LCL","")),"")</f>
        <v/>
      </c>
      <c r="O1208" t="n">
        <v>1102</v>
      </c>
      <c r="P1208" s="7" t="n"/>
      <c r="Q1208" s="7" t="n"/>
      <c r="R1208" s="11">
        <f>IF(AND(ISNUMBER(P1208),ISNUMBER(Q1208),P1208&gt;0,ISNUMBER($B$100)),Q1208/P1208,"")</f>
        <v/>
      </c>
      <c r="S1208" s="11">
        <f>IF(AND(ISNUMBER(P1208),ISNUMBER(Q1208),P1208&gt;0,ISNUMBER($B$100)),MAX(0,$B$100-3*SQRT($B$100/P1208)),"")</f>
        <v/>
      </c>
      <c r="T1208" s="11">
        <f>IF(AND(ISNUMBER(P1208),ISNUMBER(Q1208),P1208&gt;0,ISNUMBER($B$100)),$B$100+3*SQRT($B$100/P1208),"")</f>
        <v/>
      </c>
      <c r="U1208" s="13">
        <f>IF(AND(ISNUMBER(R1208),ISNUMBER(S1208),ISNUMBER(T1208)),IF(R1208&gt;T1208,"boven UCL",IF(R1208&lt;S1208,"onder LCL","")),"")</f>
        <v/>
      </c>
    </row>
    <row r="1209">
      <c r="A1209" t="n">
        <v>1103</v>
      </c>
      <c r="B1209" s="7" t="n"/>
      <c r="C1209" s="11">
        <f>IF(AND(ISNUMBER(B1209),ISNUMBER(B1208)),ABS(B1209-B1208),"")</f>
        <v/>
      </c>
      <c r="D1209" s="13">
        <f>IF(AND(ISNUMBER(B1209),ISNUMBER($B$88),ISNUMBER($D$88)),IF(B1209&gt;$D$88,"boven UCL",IF(B1209&lt;$B$88,"onder LCL","")),"")</f>
        <v/>
      </c>
      <c r="E1209" s="13">
        <f>IF(AND(ISNUMBER(C1209),ISNUMBER($B$89),ISNUMBER($D$89)),IF(C1209&gt;$D$89,"boven UCL",IF(C1209&lt;$B$89,"onder LCL","")),"")</f>
        <v/>
      </c>
      <c r="G1209" t="n">
        <v>1103</v>
      </c>
      <c r="H1209" s="7" t="n"/>
      <c r="I1209" s="7" t="n"/>
      <c r="J1209" s="11">
        <f>IF(AND(ISNUMBER(H1209),ISNUMBER(I1209),H1209&gt;0,ISNUMBER($B$94)),I1209/H1209,"")</f>
        <v/>
      </c>
      <c r="K1209" s="11">
        <f>IF(AND(ISNUMBER(H1209),ISNUMBER(I1209),H1209&gt;0,ISNUMBER($B$94)),MAX(0,$B$94-3*SQRT($B$94*(1-$B$94)/H1209)),"")</f>
        <v/>
      </c>
      <c r="L1209" s="11">
        <f>IF(AND(ISNUMBER(H1209),ISNUMBER(I1209),H1209&gt;0,ISNUMBER($B$94)),$B$94+3*SQRT($B$94*(1-$B$94)/H1209),"")</f>
        <v/>
      </c>
      <c r="M1209" s="13">
        <f>IF(AND(ISNUMBER(J1209),ISNUMBER(K1209),ISNUMBER(L1209)),IF(J1209&gt;L1209,"boven UCL",IF(J1209&lt;K1209,"onder LCL","")),"")</f>
        <v/>
      </c>
      <c r="O1209" t="n">
        <v>1103</v>
      </c>
      <c r="P1209" s="7" t="n"/>
      <c r="Q1209" s="7" t="n"/>
      <c r="R1209" s="11">
        <f>IF(AND(ISNUMBER(P1209),ISNUMBER(Q1209),P1209&gt;0,ISNUMBER($B$100)),Q1209/P1209,"")</f>
        <v/>
      </c>
      <c r="S1209" s="11">
        <f>IF(AND(ISNUMBER(P1209),ISNUMBER(Q1209),P1209&gt;0,ISNUMBER($B$100)),MAX(0,$B$100-3*SQRT($B$100/P1209)),"")</f>
        <v/>
      </c>
      <c r="T1209" s="11">
        <f>IF(AND(ISNUMBER(P1209),ISNUMBER(Q1209),P1209&gt;0,ISNUMBER($B$100)),$B$100+3*SQRT($B$100/P1209),"")</f>
        <v/>
      </c>
      <c r="U1209" s="13">
        <f>IF(AND(ISNUMBER(R1209),ISNUMBER(S1209),ISNUMBER(T1209)),IF(R1209&gt;T1209,"boven UCL",IF(R1209&lt;S1209,"onder LCL","")),"")</f>
        <v/>
      </c>
    </row>
    <row r="1210">
      <c r="A1210" t="n">
        <v>1104</v>
      </c>
      <c r="B1210" s="7" t="n"/>
      <c r="C1210" s="11">
        <f>IF(AND(ISNUMBER(B1210),ISNUMBER(B1209)),ABS(B1210-B1209),"")</f>
        <v/>
      </c>
      <c r="D1210" s="13">
        <f>IF(AND(ISNUMBER(B1210),ISNUMBER($B$88),ISNUMBER($D$88)),IF(B1210&gt;$D$88,"boven UCL",IF(B1210&lt;$B$88,"onder LCL","")),"")</f>
        <v/>
      </c>
      <c r="E1210" s="13">
        <f>IF(AND(ISNUMBER(C1210),ISNUMBER($B$89),ISNUMBER($D$89)),IF(C1210&gt;$D$89,"boven UCL",IF(C1210&lt;$B$89,"onder LCL","")),"")</f>
        <v/>
      </c>
      <c r="G1210" t="n">
        <v>1104</v>
      </c>
      <c r="H1210" s="7" t="n"/>
      <c r="I1210" s="7" t="n"/>
      <c r="J1210" s="11">
        <f>IF(AND(ISNUMBER(H1210),ISNUMBER(I1210),H1210&gt;0,ISNUMBER($B$94)),I1210/H1210,"")</f>
        <v/>
      </c>
      <c r="K1210" s="11">
        <f>IF(AND(ISNUMBER(H1210),ISNUMBER(I1210),H1210&gt;0,ISNUMBER($B$94)),MAX(0,$B$94-3*SQRT($B$94*(1-$B$94)/H1210)),"")</f>
        <v/>
      </c>
      <c r="L1210" s="11">
        <f>IF(AND(ISNUMBER(H1210),ISNUMBER(I1210),H1210&gt;0,ISNUMBER($B$94)),$B$94+3*SQRT($B$94*(1-$B$94)/H1210),"")</f>
        <v/>
      </c>
      <c r="M1210" s="13">
        <f>IF(AND(ISNUMBER(J1210),ISNUMBER(K1210),ISNUMBER(L1210)),IF(J1210&gt;L1210,"boven UCL",IF(J1210&lt;K1210,"onder LCL","")),"")</f>
        <v/>
      </c>
      <c r="O1210" t="n">
        <v>1104</v>
      </c>
      <c r="P1210" s="7" t="n"/>
      <c r="Q1210" s="7" t="n"/>
      <c r="R1210" s="11">
        <f>IF(AND(ISNUMBER(P1210),ISNUMBER(Q1210),P1210&gt;0,ISNUMBER($B$100)),Q1210/P1210,"")</f>
        <v/>
      </c>
      <c r="S1210" s="11">
        <f>IF(AND(ISNUMBER(P1210),ISNUMBER(Q1210),P1210&gt;0,ISNUMBER($B$100)),MAX(0,$B$100-3*SQRT($B$100/P1210)),"")</f>
        <v/>
      </c>
      <c r="T1210" s="11">
        <f>IF(AND(ISNUMBER(P1210),ISNUMBER(Q1210),P1210&gt;0,ISNUMBER($B$100)),$B$100+3*SQRT($B$100/P1210),"")</f>
        <v/>
      </c>
      <c r="U1210" s="13">
        <f>IF(AND(ISNUMBER(R1210),ISNUMBER(S1210),ISNUMBER(T1210)),IF(R1210&gt;T1210,"boven UCL",IF(R1210&lt;S1210,"onder LCL","")),"")</f>
        <v/>
      </c>
    </row>
    <row r="1211">
      <c r="A1211" t="n">
        <v>1105</v>
      </c>
      <c r="B1211" s="7" t="n"/>
      <c r="C1211" s="11">
        <f>IF(AND(ISNUMBER(B1211),ISNUMBER(B1210)),ABS(B1211-B1210),"")</f>
        <v/>
      </c>
      <c r="D1211" s="13">
        <f>IF(AND(ISNUMBER(B1211),ISNUMBER($B$88),ISNUMBER($D$88)),IF(B1211&gt;$D$88,"boven UCL",IF(B1211&lt;$B$88,"onder LCL","")),"")</f>
        <v/>
      </c>
      <c r="E1211" s="13">
        <f>IF(AND(ISNUMBER(C1211),ISNUMBER($B$89),ISNUMBER($D$89)),IF(C1211&gt;$D$89,"boven UCL",IF(C1211&lt;$B$89,"onder LCL","")),"")</f>
        <v/>
      </c>
      <c r="G1211" t="n">
        <v>1105</v>
      </c>
      <c r="H1211" s="7" t="n"/>
      <c r="I1211" s="7" t="n"/>
      <c r="J1211" s="11">
        <f>IF(AND(ISNUMBER(H1211),ISNUMBER(I1211),H1211&gt;0,ISNUMBER($B$94)),I1211/H1211,"")</f>
        <v/>
      </c>
      <c r="K1211" s="11">
        <f>IF(AND(ISNUMBER(H1211),ISNUMBER(I1211),H1211&gt;0,ISNUMBER($B$94)),MAX(0,$B$94-3*SQRT($B$94*(1-$B$94)/H1211)),"")</f>
        <v/>
      </c>
      <c r="L1211" s="11">
        <f>IF(AND(ISNUMBER(H1211),ISNUMBER(I1211),H1211&gt;0,ISNUMBER($B$94)),$B$94+3*SQRT($B$94*(1-$B$94)/H1211),"")</f>
        <v/>
      </c>
      <c r="M1211" s="13">
        <f>IF(AND(ISNUMBER(J1211),ISNUMBER(K1211),ISNUMBER(L1211)),IF(J1211&gt;L1211,"boven UCL",IF(J1211&lt;K1211,"onder LCL","")),"")</f>
        <v/>
      </c>
      <c r="O1211" t="n">
        <v>1105</v>
      </c>
      <c r="P1211" s="7" t="n"/>
      <c r="Q1211" s="7" t="n"/>
      <c r="R1211" s="11">
        <f>IF(AND(ISNUMBER(P1211),ISNUMBER(Q1211),P1211&gt;0,ISNUMBER($B$100)),Q1211/P1211,"")</f>
        <v/>
      </c>
      <c r="S1211" s="11">
        <f>IF(AND(ISNUMBER(P1211),ISNUMBER(Q1211),P1211&gt;0,ISNUMBER($B$100)),MAX(0,$B$100-3*SQRT($B$100/P1211)),"")</f>
        <v/>
      </c>
      <c r="T1211" s="11">
        <f>IF(AND(ISNUMBER(P1211),ISNUMBER(Q1211),P1211&gt;0,ISNUMBER($B$100)),$B$100+3*SQRT($B$100/P1211),"")</f>
        <v/>
      </c>
      <c r="U1211" s="13">
        <f>IF(AND(ISNUMBER(R1211),ISNUMBER(S1211),ISNUMBER(T1211)),IF(R1211&gt;T1211,"boven UCL",IF(R1211&lt;S1211,"onder LCL","")),"")</f>
        <v/>
      </c>
    </row>
    <row r="1212">
      <c r="A1212" t="n">
        <v>1106</v>
      </c>
      <c r="B1212" s="7" t="n"/>
      <c r="C1212" s="11">
        <f>IF(AND(ISNUMBER(B1212),ISNUMBER(B1211)),ABS(B1212-B1211),"")</f>
        <v/>
      </c>
      <c r="D1212" s="13">
        <f>IF(AND(ISNUMBER(B1212),ISNUMBER($B$88),ISNUMBER($D$88)),IF(B1212&gt;$D$88,"boven UCL",IF(B1212&lt;$B$88,"onder LCL","")),"")</f>
        <v/>
      </c>
      <c r="E1212" s="13">
        <f>IF(AND(ISNUMBER(C1212),ISNUMBER($B$89),ISNUMBER($D$89)),IF(C1212&gt;$D$89,"boven UCL",IF(C1212&lt;$B$89,"onder LCL","")),"")</f>
        <v/>
      </c>
      <c r="G1212" t="n">
        <v>1106</v>
      </c>
      <c r="H1212" s="7" t="n"/>
      <c r="I1212" s="7" t="n"/>
      <c r="J1212" s="11">
        <f>IF(AND(ISNUMBER(H1212),ISNUMBER(I1212),H1212&gt;0,ISNUMBER($B$94)),I1212/H1212,"")</f>
        <v/>
      </c>
      <c r="K1212" s="11">
        <f>IF(AND(ISNUMBER(H1212),ISNUMBER(I1212),H1212&gt;0,ISNUMBER($B$94)),MAX(0,$B$94-3*SQRT($B$94*(1-$B$94)/H1212)),"")</f>
        <v/>
      </c>
      <c r="L1212" s="11">
        <f>IF(AND(ISNUMBER(H1212),ISNUMBER(I1212),H1212&gt;0,ISNUMBER($B$94)),$B$94+3*SQRT($B$94*(1-$B$94)/H1212),"")</f>
        <v/>
      </c>
      <c r="M1212" s="13">
        <f>IF(AND(ISNUMBER(J1212),ISNUMBER(K1212),ISNUMBER(L1212)),IF(J1212&gt;L1212,"boven UCL",IF(J1212&lt;K1212,"onder LCL","")),"")</f>
        <v/>
      </c>
      <c r="O1212" t="n">
        <v>1106</v>
      </c>
      <c r="P1212" s="7" t="n"/>
      <c r="Q1212" s="7" t="n"/>
      <c r="R1212" s="11">
        <f>IF(AND(ISNUMBER(P1212),ISNUMBER(Q1212),P1212&gt;0,ISNUMBER($B$100)),Q1212/P1212,"")</f>
        <v/>
      </c>
      <c r="S1212" s="11">
        <f>IF(AND(ISNUMBER(P1212),ISNUMBER(Q1212),P1212&gt;0,ISNUMBER($B$100)),MAX(0,$B$100-3*SQRT($B$100/P1212)),"")</f>
        <v/>
      </c>
      <c r="T1212" s="11">
        <f>IF(AND(ISNUMBER(P1212),ISNUMBER(Q1212),P1212&gt;0,ISNUMBER($B$100)),$B$100+3*SQRT($B$100/P1212),"")</f>
        <v/>
      </c>
      <c r="U1212" s="13">
        <f>IF(AND(ISNUMBER(R1212),ISNUMBER(S1212),ISNUMBER(T1212)),IF(R1212&gt;T1212,"boven UCL",IF(R1212&lt;S1212,"onder LCL","")),"")</f>
        <v/>
      </c>
    </row>
    <row r="1213">
      <c r="A1213" t="n">
        <v>1107</v>
      </c>
      <c r="B1213" s="7" t="n"/>
      <c r="C1213" s="11">
        <f>IF(AND(ISNUMBER(B1213),ISNUMBER(B1212)),ABS(B1213-B1212),"")</f>
        <v/>
      </c>
      <c r="D1213" s="13">
        <f>IF(AND(ISNUMBER(B1213),ISNUMBER($B$88),ISNUMBER($D$88)),IF(B1213&gt;$D$88,"boven UCL",IF(B1213&lt;$B$88,"onder LCL","")),"")</f>
        <v/>
      </c>
      <c r="E1213" s="13">
        <f>IF(AND(ISNUMBER(C1213),ISNUMBER($B$89),ISNUMBER($D$89)),IF(C1213&gt;$D$89,"boven UCL",IF(C1213&lt;$B$89,"onder LCL","")),"")</f>
        <v/>
      </c>
      <c r="G1213" t="n">
        <v>1107</v>
      </c>
      <c r="H1213" s="7" t="n"/>
      <c r="I1213" s="7" t="n"/>
      <c r="J1213" s="11">
        <f>IF(AND(ISNUMBER(H1213),ISNUMBER(I1213),H1213&gt;0,ISNUMBER($B$94)),I1213/H1213,"")</f>
        <v/>
      </c>
      <c r="K1213" s="11">
        <f>IF(AND(ISNUMBER(H1213),ISNUMBER(I1213),H1213&gt;0,ISNUMBER($B$94)),MAX(0,$B$94-3*SQRT($B$94*(1-$B$94)/H1213)),"")</f>
        <v/>
      </c>
      <c r="L1213" s="11">
        <f>IF(AND(ISNUMBER(H1213),ISNUMBER(I1213),H1213&gt;0,ISNUMBER($B$94)),$B$94+3*SQRT($B$94*(1-$B$94)/H1213),"")</f>
        <v/>
      </c>
      <c r="M1213" s="13">
        <f>IF(AND(ISNUMBER(J1213),ISNUMBER(K1213),ISNUMBER(L1213)),IF(J1213&gt;L1213,"boven UCL",IF(J1213&lt;K1213,"onder LCL","")),"")</f>
        <v/>
      </c>
      <c r="O1213" t="n">
        <v>1107</v>
      </c>
      <c r="P1213" s="7" t="n"/>
      <c r="Q1213" s="7" t="n"/>
      <c r="R1213" s="11">
        <f>IF(AND(ISNUMBER(P1213),ISNUMBER(Q1213),P1213&gt;0,ISNUMBER($B$100)),Q1213/P1213,"")</f>
        <v/>
      </c>
      <c r="S1213" s="11">
        <f>IF(AND(ISNUMBER(P1213),ISNUMBER(Q1213),P1213&gt;0,ISNUMBER($B$100)),MAX(0,$B$100-3*SQRT($B$100/P1213)),"")</f>
        <v/>
      </c>
      <c r="T1213" s="11">
        <f>IF(AND(ISNUMBER(P1213),ISNUMBER(Q1213),P1213&gt;0,ISNUMBER($B$100)),$B$100+3*SQRT($B$100/P1213),"")</f>
        <v/>
      </c>
      <c r="U1213" s="13">
        <f>IF(AND(ISNUMBER(R1213),ISNUMBER(S1213),ISNUMBER(T1213)),IF(R1213&gt;T1213,"boven UCL",IF(R1213&lt;S1213,"onder LCL","")),"")</f>
        <v/>
      </c>
    </row>
    <row r="1214">
      <c r="A1214" t="n">
        <v>1108</v>
      </c>
      <c r="B1214" s="7" t="n"/>
      <c r="C1214" s="11">
        <f>IF(AND(ISNUMBER(B1214),ISNUMBER(B1213)),ABS(B1214-B1213),"")</f>
        <v/>
      </c>
      <c r="D1214" s="13">
        <f>IF(AND(ISNUMBER(B1214),ISNUMBER($B$88),ISNUMBER($D$88)),IF(B1214&gt;$D$88,"boven UCL",IF(B1214&lt;$B$88,"onder LCL","")),"")</f>
        <v/>
      </c>
      <c r="E1214" s="13">
        <f>IF(AND(ISNUMBER(C1214),ISNUMBER($B$89),ISNUMBER($D$89)),IF(C1214&gt;$D$89,"boven UCL",IF(C1214&lt;$B$89,"onder LCL","")),"")</f>
        <v/>
      </c>
      <c r="G1214" t="n">
        <v>1108</v>
      </c>
      <c r="H1214" s="7" t="n"/>
      <c r="I1214" s="7" t="n"/>
      <c r="J1214" s="11">
        <f>IF(AND(ISNUMBER(H1214),ISNUMBER(I1214),H1214&gt;0,ISNUMBER($B$94)),I1214/H1214,"")</f>
        <v/>
      </c>
      <c r="K1214" s="11">
        <f>IF(AND(ISNUMBER(H1214),ISNUMBER(I1214),H1214&gt;0,ISNUMBER($B$94)),MAX(0,$B$94-3*SQRT($B$94*(1-$B$94)/H1214)),"")</f>
        <v/>
      </c>
      <c r="L1214" s="11">
        <f>IF(AND(ISNUMBER(H1214),ISNUMBER(I1214),H1214&gt;0,ISNUMBER($B$94)),$B$94+3*SQRT($B$94*(1-$B$94)/H1214),"")</f>
        <v/>
      </c>
      <c r="M1214" s="13">
        <f>IF(AND(ISNUMBER(J1214),ISNUMBER(K1214),ISNUMBER(L1214)),IF(J1214&gt;L1214,"boven UCL",IF(J1214&lt;K1214,"onder LCL","")),"")</f>
        <v/>
      </c>
      <c r="O1214" t="n">
        <v>1108</v>
      </c>
      <c r="P1214" s="7" t="n"/>
      <c r="Q1214" s="7" t="n"/>
      <c r="R1214" s="11">
        <f>IF(AND(ISNUMBER(P1214),ISNUMBER(Q1214),P1214&gt;0,ISNUMBER($B$100)),Q1214/P1214,"")</f>
        <v/>
      </c>
      <c r="S1214" s="11">
        <f>IF(AND(ISNUMBER(P1214),ISNUMBER(Q1214),P1214&gt;0,ISNUMBER($B$100)),MAX(0,$B$100-3*SQRT($B$100/P1214)),"")</f>
        <v/>
      </c>
      <c r="T1214" s="11">
        <f>IF(AND(ISNUMBER(P1214),ISNUMBER(Q1214),P1214&gt;0,ISNUMBER($B$100)),$B$100+3*SQRT($B$100/P1214),"")</f>
        <v/>
      </c>
      <c r="U1214" s="13">
        <f>IF(AND(ISNUMBER(R1214),ISNUMBER(S1214),ISNUMBER(T1214)),IF(R1214&gt;T1214,"boven UCL",IF(R1214&lt;S1214,"onder LCL","")),"")</f>
        <v/>
      </c>
    </row>
    <row r="1215">
      <c r="A1215" t="n">
        <v>1109</v>
      </c>
      <c r="B1215" s="7" t="n"/>
      <c r="C1215" s="11">
        <f>IF(AND(ISNUMBER(B1215),ISNUMBER(B1214)),ABS(B1215-B1214),"")</f>
        <v/>
      </c>
      <c r="D1215" s="13">
        <f>IF(AND(ISNUMBER(B1215),ISNUMBER($B$88),ISNUMBER($D$88)),IF(B1215&gt;$D$88,"boven UCL",IF(B1215&lt;$B$88,"onder LCL","")),"")</f>
        <v/>
      </c>
      <c r="E1215" s="13">
        <f>IF(AND(ISNUMBER(C1215),ISNUMBER($B$89),ISNUMBER($D$89)),IF(C1215&gt;$D$89,"boven UCL",IF(C1215&lt;$B$89,"onder LCL","")),"")</f>
        <v/>
      </c>
      <c r="G1215" t="n">
        <v>1109</v>
      </c>
      <c r="H1215" s="7" t="n"/>
      <c r="I1215" s="7" t="n"/>
      <c r="J1215" s="11">
        <f>IF(AND(ISNUMBER(H1215),ISNUMBER(I1215),H1215&gt;0,ISNUMBER($B$94)),I1215/H1215,"")</f>
        <v/>
      </c>
      <c r="K1215" s="11">
        <f>IF(AND(ISNUMBER(H1215),ISNUMBER(I1215),H1215&gt;0,ISNUMBER($B$94)),MAX(0,$B$94-3*SQRT($B$94*(1-$B$94)/H1215)),"")</f>
        <v/>
      </c>
      <c r="L1215" s="11">
        <f>IF(AND(ISNUMBER(H1215),ISNUMBER(I1215),H1215&gt;0,ISNUMBER($B$94)),$B$94+3*SQRT($B$94*(1-$B$94)/H1215),"")</f>
        <v/>
      </c>
      <c r="M1215" s="13">
        <f>IF(AND(ISNUMBER(J1215),ISNUMBER(K1215),ISNUMBER(L1215)),IF(J1215&gt;L1215,"boven UCL",IF(J1215&lt;K1215,"onder LCL","")),"")</f>
        <v/>
      </c>
      <c r="O1215" t="n">
        <v>1109</v>
      </c>
      <c r="P1215" s="7" t="n"/>
      <c r="Q1215" s="7" t="n"/>
      <c r="R1215" s="11">
        <f>IF(AND(ISNUMBER(P1215),ISNUMBER(Q1215),P1215&gt;0,ISNUMBER($B$100)),Q1215/P1215,"")</f>
        <v/>
      </c>
      <c r="S1215" s="11">
        <f>IF(AND(ISNUMBER(P1215),ISNUMBER(Q1215),P1215&gt;0,ISNUMBER($B$100)),MAX(0,$B$100-3*SQRT($B$100/P1215)),"")</f>
        <v/>
      </c>
      <c r="T1215" s="11">
        <f>IF(AND(ISNUMBER(P1215),ISNUMBER(Q1215),P1215&gt;0,ISNUMBER($B$100)),$B$100+3*SQRT($B$100/P1215),"")</f>
        <v/>
      </c>
      <c r="U1215" s="13">
        <f>IF(AND(ISNUMBER(R1215),ISNUMBER(S1215),ISNUMBER(T1215)),IF(R1215&gt;T1215,"boven UCL",IF(R1215&lt;S1215,"onder LCL","")),"")</f>
        <v/>
      </c>
    </row>
    <row r="1216">
      <c r="A1216" t="n">
        <v>1110</v>
      </c>
      <c r="B1216" s="7" t="n"/>
      <c r="C1216" s="11">
        <f>IF(AND(ISNUMBER(B1216),ISNUMBER(B1215)),ABS(B1216-B1215),"")</f>
        <v/>
      </c>
      <c r="D1216" s="13">
        <f>IF(AND(ISNUMBER(B1216),ISNUMBER($B$88),ISNUMBER($D$88)),IF(B1216&gt;$D$88,"boven UCL",IF(B1216&lt;$B$88,"onder LCL","")),"")</f>
        <v/>
      </c>
      <c r="E1216" s="13">
        <f>IF(AND(ISNUMBER(C1216),ISNUMBER($B$89),ISNUMBER($D$89)),IF(C1216&gt;$D$89,"boven UCL",IF(C1216&lt;$B$89,"onder LCL","")),"")</f>
        <v/>
      </c>
      <c r="G1216" t="n">
        <v>1110</v>
      </c>
      <c r="H1216" s="7" t="n"/>
      <c r="I1216" s="7" t="n"/>
      <c r="J1216" s="11">
        <f>IF(AND(ISNUMBER(H1216),ISNUMBER(I1216),H1216&gt;0,ISNUMBER($B$94)),I1216/H1216,"")</f>
        <v/>
      </c>
      <c r="K1216" s="11">
        <f>IF(AND(ISNUMBER(H1216),ISNUMBER(I1216),H1216&gt;0,ISNUMBER($B$94)),MAX(0,$B$94-3*SQRT($B$94*(1-$B$94)/H1216)),"")</f>
        <v/>
      </c>
      <c r="L1216" s="11">
        <f>IF(AND(ISNUMBER(H1216),ISNUMBER(I1216),H1216&gt;0,ISNUMBER($B$94)),$B$94+3*SQRT($B$94*(1-$B$94)/H1216),"")</f>
        <v/>
      </c>
      <c r="M1216" s="13">
        <f>IF(AND(ISNUMBER(J1216),ISNUMBER(K1216),ISNUMBER(L1216)),IF(J1216&gt;L1216,"boven UCL",IF(J1216&lt;K1216,"onder LCL","")),"")</f>
        <v/>
      </c>
      <c r="O1216" t="n">
        <v>1110</v>
      </c>
      <c r="P1216" s="7" t="n"/>
      <c r="Q1216" s="7" t="n"/>
      <c r="R1216" s="11">
        <f>IF(AND(ISNUMBER(P1216),ISNUMBER(Q1216),P1216&gt;0,ISNUMBER($B$100)),Q1216/P1216,"")</f>
        <v/>
      </c>
      <c r="S1216" s="11">
        <f>IF(AND(ISNUMBER(P1216),ISNUMBER(Q1216),P1216&gt;0,ISNUMBER($B$100)),MAX(0,$B$100-3*SQRT($B$100/P1216)),"")</f>
        <v/>
      </c>
      <c r="T1216" s="11">
        <f>IF(AND(ISNUMBER(P1216),ISNUMBER(Q1216),P1216&gt;0,ISNUMBER($B$100)),$B$100+3*SQRT($B$100/P1216),"")</f>
        <v/>
      </c>
      <c r="U1216" s="13">
        <f>IF(AND(ISNUMBER(R1216),ISNUMBER(S1216),ISNUMBER(T1216)),IF(R1216&gt;T1216,"boven UCL",IF(R1216&lt;S1216,"onder LCL","")),"")</f>
        <v/>
      </c>
    </row>
    <row r="1217">
      <c r="A1217" t="n">
        <v>1111</v>
      </c>
      <c r="B1217" s="7" t="n"/>
      <c r="C1217" s="11">
        <f>IF(AND(ISNUMBER(B1217),ISNUMBER(B1216)),ABS(B1217-B1216),"")</f>
        <v/>
      </c>
      <c r="D1217" s="13">
        <f>IF(AND(ISNUMBER(B1217),ISNUMBER($B$88),ISNUMBER($D$88)),IF(B1217&gt;$D$88,"boven UCL",IF(B1217&lt;$B$88,"onder LCL","")),"")</f>
        <v/>
      </c>
      <c r="E1217" s="13">
        <f>IF(AND(ISNUMBER(C1217),ISNUMBER($B$89),ISNUMBER($D$89)),IF(C1217&gt;$D$89,"boven UCL",IF(C1217&lt;$B$89,"onder LCL","")),"")</f>
        <v/>
      </c>
      <c r="G1217" t="n">
        <v>1111</v>
      </c>
      <c r="H1217" s="7" t="n"/>
      <c r="I1217" s="7" t="n"/>
      <c r="J1217" s="11">
        <f>IF(AND(ISNUMBER(H1217),ISNUMBER(I1217),H1217&gt;0,ISNUMBER($B$94)),I1217/H1217,"")</f>
        <v/>
      </c>
      <c r="K1217" s="11">
        <f>IF(AND(ISNUMBER(H1217),ISNUMBER(I1217),H1217&gt;0,ISNUMBER($B$94)),MAX(0,$B$94-3*SQRT($B$94*(1-$B$94)/H1217)),"")</f>
        <v/>
      </c>
      <c r="L1217" s="11">
        <f>IF(AND(ISNUMBER(H1217),ISNUMBER(I1217),H1217&gt;0,ISNUMBER($B$94)),$B$94+3*SQRT($B$94*(1-$B$94)/H1217),"")</f>
        <v/>
      </c>
      <c r="M1217" s="13">
        <f>IF(AND(ISNUMBER(J1217),ISNUMBER(K1217),ISNUMBER(L1217)),IF(J1217&gt;L1217,"boven UCL",IF(J1217&lt;K1217,"onder LCL","")),"")</f>
        <v/>
      </c>
      <c r="O1217" t="n">
        <v>1111</v>
      </c>
      <c r="P1217" s="7" t="n"/>
      <c r="Q1217" s="7" t="n"/>
      <c r="R1217" s="11">
        <f>IF(AND(ISNUMBER(P1217),ISNUMBER(Q1217),P1217&gt;0,ISNUMBER($B$100)),Q1217/P1217,"")</f>
        <v/>
      </c>
      <c r="S1217" s="11">
        <f>IF(AND(ISNUMBER(P1217),ISNUMBER(Q1217),P1217&gt;0,ISNUMBER($B$100)),MAX(0,$B$100-3*SQRT($B$100/P1217)),"")</f>
        <v/>
      </c>
      <c r="T1217" s="11">
        <f>IF(AND(ISNUMBER(P1217),ISNUMBER(Q1217),P1217&gt;0,ISNUMBER($B$100)),$B$100+3*SQRT($B$100/P1217),"")</f>
        <v/>
      </c>
      <c r="U1217" s="13">
        <f>IF(AND(ISNUMBER(R1217),ISNUMBER(S1217),ISNUMBER(T1217)),IF(R1217&gt;T1217,"boven UCL",IF(R1217&lt;S1217,"onder LCL","")),"")</f>
        <v/>
      </c>
    </row>
    <row r="1218">
      <c r="A1218" t="n">
        <v>1112</v>
      </c>
      <c r="B1218" s="7" t="n"/>
      <c r="C1218" s="11">
        <f>IF(AND(ISNUMBER(B1218),ISNUMBER(B1217)),ABS(B1218-B1217),"")</f>
        <v/>
      </c>
      <c r="D1218" s="13">
        <f>IF(AND(ISNUMBER(B1218),ISNUMBER($B$88),ISNUMBER($D$88)),IF(B1218&gt;$D$88,"boven UCL",IF(B1218&lt;$B$88,"onder LCL","")),"")</f>
        <v/>
      </c>
      <c r="E1218" s="13">
        <f>IF(AND(ISNUMBER(C1218),ISNUMBER($B$89),ISNUMBER($D$89)),IF(C1218&gt;$D$89,"boven UCL",IF(C1218&lt;$B$89,"onder LCL","")),"")</f>
        <v/>
      </c>
      <c r="G1218" t="n">
        <v>1112</v>
      </c>
      <c r="H1218" s="7" t="n"/>
      <c r="I1218" s="7" t="n"/>
      <c r="J1218" s="11">
        <f>IF(AND(ISNUMBER(H1218),ISNUMBER(I1218),H1218&gt;0,ISNUMBER($B$94)),I1218/H1218,"")</f>
        <v/>
      </c>
      <c r="K1218" s="11">
        <f>IF(AND(ISNUMBER(H1218),ISNUMBER(I1218),H1218&gt;0,ISNUMBER($B$94)),MAX(0,$B$94-3*SQRT($B$94*(1-$B$94)/H1218)),"")</f>
        <v/>
      </c>
      <c r="L1218" s="11">
        <f>IF(AND(ISNUMBER(H1218),ISNUMBER(I1218),H1218&gt;0,ISNUMBER($B$94)),$B$94+3*SQRT($B$94*(1-$B$94)/H1218),"")</f>
        <v/>
      </c>
      <c r="M1218" s="13">
        <f>IF(AND(ISNUMBER(J1218),ISNUMBER(K1218),ISNUMBER(L1218)),IF(J1218&gt;L1218,"boven UCL",IF(J1218&lt;K1218,"onder LCL","")),"")</f>
        <v/>
      </c>
      <c r="O1218" t="n">
        <v>1112</v>
      </c>
      <c r="P1218" s="7" t="n"/>
      <c r="Q1218" s="7" t="n"/>
      <c r="R1218" s="11">
        <f>IF(AND(ISNUMBER(P1218),ISNUMBER(Q1218),P1218&gt;0,ISNUMBER($B$100)),Q1218/P1218,"")</f>
        <v/>
      </c>
      <c r="S1218" s="11">
        <f>IF(AND(ISNUMBER(P1218),ISNUMBER(Q1218),P1218&gt;0,ISNUMBER($B$100)),MAX(0,$B$100-3*SQRT($B$100/P1218)),"")</f>
        <v/>
      </c>
      <c r="T1218" s="11">
        <f>IF(AND(ISNUMBER(P1218),ISNUMBER(Q1218),P1218&gt;0,ISNUMBER($B$100)),$B$100+3*SQRT($B$100/P1218),"")</f>
        <v/>
      </c>
      <c r="U1218" s="13">
        <f>IF(AND(ISNUMBER(R1218),ISNUMBER(S1218),ISNUMBER(T1218)),IF(R1218&gt;T1218,"boven UCL",IF(R1218&lt;S1218,"onder LCL","")),"")</f>
        <v/>
      </c>
    </row>
    <row r="1219">
      <c r="A1219" t="n">
        <v>1113</v>
      </c>
      <c r="B1219" s="7" t="n"/>
      <c r="C1219" s="11">
        <f>IF(AND(ISNUMBER(B1219),ISNUMBER(B1218)),ABS(B1219-B1218),"")</f>
        <v/>
      </c>
      <c r="D1219" s="13">
        <f>IF(AND(ISNUMBER(B1219),ISNUMBER($B$88),ISNUMBER($D$88)),IF(B1219&gt;$D$88,"boven UCL",IF(B1219&lt;$B$88,"onder LCL","")),"")</f>
        <v/>
      </c>
      <c r="E1219" s="13">
        <f>IF(AND(ISNUMBER(C1219),ISNUMBER($B$89),ISNUMBER($D$89)),IF(C1219&gt;$D$89,"boven UCL",IF(C1219&lt;$B$89,"onder LCL","")),"")</f>
        <v/>
      </c>
      <c r="G1219" t="n">
        <v>1113</v>
      </c>
      <c r="H1219" s="7" t="n"/>
      <c r="I1219" s="7" t="n"/>
      <c r="J1219" s="11">
        <f>IF(AND(ISNUMBER(H1219),ISNUMBER(I1219),H1219&gt;0,ISNUMBER($B$94)),I1219/H1219,"")</f>
        <v/>
      </c>
      <c r="K1219" s="11">
        <f>IF(AND(ISNUMBER(H1219),ISNUMBER(I1219),H1219&gt;0,ISNUMBER($B$94)),MAX(0,$B$94-3*SQRT($B$94*(1-$B$94)/H1219)),"")</f>
        <v/>
      </c>
      <c r="L1219" s="11">
        <f>IF(AND(ISNUMBER(H1219),ISNUMBER(I1219),H1219&gt;0,ISNUMBER($B$94)),$B$94+3*SQRT($B$94*(1-$B$94)/H1219),"")</f>
        <v/>
      </c>
      <c r="M1219" s="13">
        <f>IF(AND(ISNUMBER(J1219),ISNUMBER(K1219),ISNUMBER(L1219)),IF(J1219&gt;L1219,"boven UCL",IF(J1219&lt;K1219,"onder LCL","")),"")</f>
        <v/>
      </c>
      <c r="O1219" t="n">
        <v>1113</v>
      </c>
      <c r="P1219" s="7" t="n"/>
      <c r="Q1219" s="7" t="n"/>
      <c r="R1219" s="11">
        <f>IF(AND(ISNUMBER(P1219),ISNUMBER(Q1219),P1219&gt;0,ISNUMBER($B$100)),Q1219/P1219,"")</f>
        <v/>
      </c>
      <c r="S1219" s="11">
        <f>IF(AND(ISNUMBER(P1219),ISNUMBER(Q1219),P1219&gt;0,ISNUMBER($B$100)),MAX(0,$B$100-3*SQRT($B$100/P1219)),"")</f>
        <v/>
      </c>
      <c r="T1219" s="11">
        <f>IF(AND(ISNUMBER(P1219),ISNUMBER(Q1219),P1219&gt;0,ISNUMBER($B$100)),$B$100+3*SQRT($B$100/P1219),"")</f>
        <v/>
      </c>
      <c r="U1219" s="13">
        <f>IF(AND(ISNUMBER(R1219),ISNUMBER(S1219),ISNUMBER(T1219)),IF(R1219&gt;T1219,"boven UCL",IF(R1219&lt;S1219,"onder LCL","")),"")</f>
        <v/>
      </c>
    </row>
    <row r="1220">
      <c r="A1220" t="n">
        <v>1114</v>
      </c>
      <c r="B1220" s="7" t="n"/>
      <c r="C1220" s="11">
        <f>IF(AND(ISNUMBER(B1220),ISNUMBER(B1219)),ABS(B1220-B1219),"")</f>
        <v/>
      </c>
      <c r="D1220" s="13">
        <f>IF(AND(ISNUMBER(B1220),ISNUMBER($B$88),ISNUMBER($D$88)),IF(B1220&gt;$D$88,"boven UCL",IF(B1220&lt;$B$88,"onder LCL","")),"")</f>
        <v/>
      </c>
      <c r="E1220" s="13">
        <f>IF(AND(ISNUMBER(C1220),ISNUMBER($B$89),ISNUMBER($D$89)),IF(C1220&gt;$D$89,"boven UCL",IF(C1220&lt;$B$89,"onder LCL","")),"")</f>
        <v/>
      </c>
      <c r="G1220" t="n">
        <v>1114</v>
      </c>
      <c r="H1220" s="7" t="n"/>
      <c r="I1220" s="7" t="n"/>
      <c r="J1220" s="11">
        <f>IF(AND(ISNUMBER(H1220),ISNUMBER(I1220),H1220&gt;0,ISNUMBER($B$94)),I1220/H1220,"")</f>
        <v/>
      </c>
      <c r="K1220" s="11">
        <f>IF(AND(ISNUMBER(H1220),ISNUMBER(I1220),H1220&gt;0,ISNUMBER($B$94)),MAX(0,$B$94-3*SQRT($B$94*(1-$B$94)/H1220)),"")</f>
        <v/>
      </c>
      <c r="L1220" s="11">
        <f>IF(AND(ISNUMBER(H1220),ISNUMBER(I1220),H1220&gt;0,ISNUMBER($B$94)),$B$94+3*SQRT($B$94*(1-$B$94)/H1220),"")</f>
        <v/>
      </c>
      <c r="M1220" s="13">
        <f>IF(AND(ISNUMBER(J1220),ISNUMBER(K1220),ISNUMBER(L1220)),IF(J1220&gt;L1220,"boven UCL",IF(J1220&lt;K1220,"onder LCL","")),"")</f>
        <v/>
      </c>
      <c r="O1220" t="n">
        <v>1114</v>
      </c>
      <c r="P1220" s="7" t="n"/>
      <c r="Q1220" s="7" t="n"/>
      <c r="R1220" s="11">
        <f>IF(AND(ISNUMBER(P1220),ISNUMBER(Q1220),P1220&gt;0,ISNUMBER($B$100)),Q1220/P1220,"")</f>
        <v/>
      </c>
      <c r="S1220" s="11">
        <f>IF(AND(ISNUMBER(P1220),ISNUMBER(Q1220),P1220&gt;0,ISNUMBER($B$100)),MAX(0,$B$100-3*SQRT($B$100/P1220)),"")</f>
        <v/>
      </c>
      <c r="T1220" s="11">
        <f>IF(AND(ISNUMBER(P1220),ISNUMBER(Q1220),P1220&gt;0,ISNUMBER($B$100)),$B$100+3*SQRT($B$100/P1220),"")</f>
        <v/>
      </c>
      <c r="U1220" s="13">
        <f>IF(AND(ISNUMBER(R1220),ISNUMBER(S1220),ISNUMBER(T1220)),IF(R1220&gt;T1220,"boven UCL",IF(R1220&lt;S1220,"onder LCL","")),"")</f>
        <v/>
      </c>
    </row>
    <row r="1221">
      <c r="A1221" t="n">
        <v>1115</v>
      </c>
      <c r="B1221" s="7" t="n"/>
      <c r="C1221" s="11">
        <f>IF(AND(ISNUMBER(B1221),ISNUMBER(B1220)),ABS(B1221-B1220),"")</f>
        <v/>
      </c>
      <c r="D1221" s="13">
        <f>IF(AND(ISNUMBER(B1221),ISNUMBER($B$88),ISNUMBER($D$88)),IF(B1221&gt;$D$88,"boven UCL",IF(B1221&lt;$B$88,"onder LCL","")),"")</f>
        <v/>
      </c>
      <c r="E1221" s="13">
        <f>IF(AND(ISNUMBER(C1221),ISNUMBER($B$89),ISNUMBER($D$89)),IF(C1221&gt;$D$89,"boven UCL",IF(C1221&lt;$B$89,"onder LCL","")),"")</f>
        <v/>
      </c>
      <c r="G1221" t="n">
        <v>1115</v>
      </c>
      <c r="H1221" s="7" t="n"/>
      <c r="I1221" s="7" t="n"/>
      <c r="J1221" s="11">
        <f>IF(AND(ISNUMBER(H1221),ISNUMBER(I1221),H1221&gt;0,ISNUMBER($B$94)),I1221/H1221,"")</f>
        <v/>
      </c>
      <c r="K1221" s="11">
        <f>IF(AND(ISNUMBER(H1221),ISNUMBER(I1221),H1221&gt;0,ISNUMBER($B$94)),MAX(0,$B$94-3*SQRT($B$94*(1-$B$94)/H1221)),"")</f>
        <v/>
      </c>
      <c r="L1221" s="11">
        <f>IF(AND(ISNUMBER(H1221),ISNUMBER(I1221),H1221&gt;0,ISNUMBER($B$94)),$B$94+3*SQRT($B$94*(1-$B$94)/H1221),"")</f>
        <v/>
      </c>
      <c r="M1221" s="13">
        <f>IF(AND(ISNUMBER(J1221),ISNUMBER(K1221),ISNUMBER(L1221)),IF(J1221&gt;L1221,"boven UCL",IF(J1221&lt;K1221,"onder LCL","")),"")</f>
        <v/>
      </c>
      <c r="O1221" t="n">
        <v>1115</v>
      </c>
      <c r="P1221" s="7" t="n"/>
      <c r="Q1221" s="7" t="n"/>
      <c r="R1221" s="11">
        <f>IF(AND(ISNUMBER(P1221),ISNUMBER(Q1221),P1221&gt;0,ISNUMBER($B$100)),Q1221/P1221,"")</f>
        <v/>
      </c>
      <c r="S1221" s="11">
        <f>IF(AND(ISNUMBER(P1221),ISNUMBER(Q1221),P1221&gt;0,ISNUMBER($B$100)),MAX(0,$B$100-3*SQRT($B$100/P1221)),"")</f>
        <v/>
      </c>
      <c r="T1221" s="11">
        <f>IF(AND(ISNUMBER(P1221),ISNUMBER(Q1221),P1221&gt;0,ISNUMBER($B$100)),$B$100+3*SQRT($B$100/P1221),"")</f>
        <v/>
      </c>
      <c r="U1221" s="13">
        <f>IF(AND(ISNUMBER(R1221),ISNUMBER(S1221),ISNUMBER(T1221)),IF(R1221&gt;T1221,"boven UCL",IF(R1221&lt;S1221,"onder LCL","")),"")</f>
        <v/>
      </c>
    </row>
    <row r="1222">
      <c r="A1222" t="n">
        <v>1116</v>
      </c>
      <c r="B1222" s="7" t="n"/>
      <c r="C1222" s="11">
        <f>IF(AND(ISNUMBER(B1222),ISNUMBER(B1221)),ABS(B1222-B1221),"")</f>
        <v/>
      </c>
      <c r="D1222" s="13">
        <f>IF(AND(ISNUMBER(B1222),ISNUMBER($B$88),ISNUMBER($D$88)),IF(B1222&gt;$D$88,"boven UCL",IF(B1222&lt;$B$88,"onder LCL","")),"")</f>
        <v/>
      </c>
      <c r="E1222" s="13">
        <f>IF(AND(ISNUMBER(C1222),ISNUMBER($B$89),ISNUMBER($D$89)),IF(C1222&gt;$D$89,"boven UCL",IF(C1222&lt;$B$89,"onder LCL","")),"")</f>
        <v/>
      </c>
      <c r="G1222" t="n">
        <v>1116</v>
      </c>
      <c r="H1222" s="7" t="n"/>
      <c r="I1222" s="7" t="n"/>
      <c r="J1222" s="11">
        <f>IF(AND(ISNUMBER(H1222),ISNUMBER(I1222),H1222&gt;0,ISNUMBER($B$94)),I1222/H1222,"")</f>
        <v/>
      </c>
      <c r="K1222" s="11">
        <f>IF(AND(ISNUMBER(H1222),ISNUMBER(I1222),H1222&gt;0,ISNUMBER($B$94)),MAX(0,$B$94-3*SQRT($B$94*(1-$B$94)/H1222)),"")</f>
        <v/>
      </c>
      <c r="L1222" s="11">
        <f>IF(AND(ISNUMBER(H1222),ISNUMBER(I1222),H1222&gt;0,ISNUMBER($B$94)),$B$94+3*SQRT($B$94*(1-$B$94)/H1222),"")</f>
        <v/>
      </c>
      <c r="M1222" s="13">
        <f>IF(AND(ISNUMBER(J1222),ISNUMBER(K1222),ISNUMBER(L1222)),IF(J1222&gt;L1222,"boven UCL",IF(J1222&lt;K1222,"onder LCL","")),"")</f>
        <v/>
      </c>
      <c r="O1222" t="n">
        <v>1116</v>
      </c>
      <c r="P1222" s="7" t="n"/>
      <c r="Q1222" s="7" t="n"/>
      <c r="R1222" s="11">
        <f>IF(AND(ISNUMBER(P1222),ISNUMBER(Q1222),P1222&gt;0,ISNUMBER($B$100)),Q1222/P1222,"")</f>
        <v/>
      </c>
      <c r="S1222" s="11">
        <f>IF(AND(ISNUMBER(P1222),ISNUMBER(Q1222),P1222&gt;0,ISNUMBER($B$100)),MAX(0,$B$100-3*SQRT($B$100/P1222)),"")</f>
        <v/>
      </c>
      <c r="T1222" s="11">
        <f>IF(AND(ISNUMBER(P1222),ISNUMBER(Q1222),P1222&gt;0,ISNUMBER($B$100)),$B$100+3*SQRT($B$100/P1222),"")</f>
        <v/>
      </c>
      <c r="U1222" s="13">
        <f>IF(AND(ISNUMBER(R1222),ISNUMBER(S1222),ISNUMBER(T1222)),IF(R1222&gt;T1222,"boven UCL",IF(R1222&lt;S1222,"onder LCL","")),"")</f>
        <v/>
      </c>
    </row>
    <row r="1223">
      <c r="A1223" t="n">
        <v>1117</v>
      </c>
      <c r="B1223" s="7" t="n"/>
      <c r="C1223" s="11">
        <f>IF(AND(ISNUMBER(B1223),ISNUMBER(B1222)),ABS(B1223-B1222),"")</f>
        <v/>
      </c>
      <c r="D1223" s="13">
        <f>IF(AND(ISNUMBER(B1223),ISNUMBER($B$88),ISNUMBER($D$88)),IF(B1223&gt;$D$88,"boven UCL",IF(B1223&lt;$B$88,"onder LCL","")),"")</f>
        <v/>
      </c>
      <c r="E1223" s="13">
        <f>IF(AND(ISNUMBER(C1223),ISNUMBER($B$89),ISNUMBER($D$89)),IF(C1223&gt;$D$89,"boven UCL",IF(C1223&lt;$B$89,"onder LCL","")),"")</f>
        <v/>
      </c>
      <c r="G1223" t="n">
        <v>1117</v>
      </c>
      <c r="H1223" s="7" t="n"/>
      <c r="I1223" s="7" t="n"/>
      <c r="J1223" s="11">
        <f>IF(AND(ISNUMBER(H1223),ISNUMBER(I1223),H1223&gt;0,ISNUMBER($B$94)),I1223/H1223,"")</f>
        <v/>
      </c>
      <c r="K1223" s="11">
        <f>IF(AND(ISNUMBER(H1223),ISNUMBER(I1223),H1223&gt;0,ISNUMBER($B$94)),MAX(0,$B$94-3*SQRT($B$94*(1-$B$94)/H1223)),"")</f>
        <v/>
      </c>
      <c r="L1223" s="11">
        <f>IF(AND(ISNUMBER(H1223),ISNUMBER(I1223),H1223&gt;0,ISNUMBER($B$94)),$B$94+3*SQRT($B$94*(1-$B$94)/H1223),"")</f>
        <v/>
      </c>
      <c r="M1223" s="13">
        <f>IF(AND(ISNUMBER(J1223),ISNUMBER(K1223),ISNUMBER(L1223)),IF(J1223&gt;L1223,"boven UCL",IF(J1223&lt;K1223,"onder LCL","")),"")</f>
        <v/>
      </c>
      <c r="O1223" t="n">
        <v>1117</v>
      </c>
      <c r="P1223" s="7" t="n"/>
      <c r="Q1223" s="7" t="n"/>
      <c r="R1223" s="11">
        <f>IF(AND(ISNUMBER(P1223),ISNUMBER(Q1223),P1223&gt;0,ISNUMBER($B$100)),Q1223/P1223,"")</f>
        <v/>
      </c>
      <c r="S1223" s="11">
        <f>IF(AND(ISNUMBER(P1223),ISNUMBER(Q1223),P1223&gt;0,ISNUMBER($B$100)),MAX(0,$B$100-3*SQRT($B$100/P1223)),"")</f>
        <v/>
      </c>
      <c r="T1223" s="11">
        <f>IF(AND(ISNUMBER(P1223),ISNUMBER(Q1223),P1223&gt;0,ISNUMBER($B$100)),$B$100+3*SQRT($B$100/P1223),"")</f>
        <v/>
      </c>
      <c r="U1223" s="13">
        <f>IF(AND(ISNUMBER(R1223),ISNUMBER(S1223),ISNUMBER(T1223)),IF(R1223&gt;T1223,"boven UCL",IF(R1223&lt;S1223,"onder LCL","")),"")</f>
        <v/>
      </c>
    </row>
    <row r="1224">
      <c r="A1224" t="n">
        <v>1118</v>
      </c>
      <c r="B1224" s="7" t="n"/>
      <c r="C1224" s="11">
        <f>IF(AND(ISNUMBER(B1224),ISNUMBER(B1223)),ABS(B1224-B1223),"")</f>
        <v/>
      </c>
      <c r="D1224" s="13">
        <f>IF(AND(ISNUMBER(B1224),ISNUMBER($B$88),ISNUMBER($D$88)),IF(B1224&gt;$D$88,"boven UCL",IF(B1224&lt;$B$88,"onder LCL","")),"")</f>
        <v/>
      </c>
      <c r="E1224" s="13">
        <f>IF(AND(ISNUMBER(C1224),ISNUMBER($B$89),ISNUMBER($D$89)),IF(C1224&gt;$D$89,"boven UCL",IF(C1224&lt;$B$89,"onder LCL","")),"")</f>
        <v/>
      </c>
      <c r="G1224" t="n">
        <v>1118</v>
      </c>
      <c r="H1224" s="7" t="n"/>
      <c r="I1224" s="7" t="n"/>
      <c r="J1224" s="11">
        <f>IF(AND(ISNUMBER(H1224),ISNUMBER(I1224),H1224&gt;0,ISNUMBER($B$94)),I1224/H1224,"")</f>
        <v/>
      </c>
      <c r="K1224" s="11">
        <f>IF(AND(ISNUMBER(H1224),ISNUMBER(I1224),H1224&gt;0,ISNUMBER($B$94)),MAX(0,$B$94-3*SQRT($B$94*(1-$B$94)/H1224)),"")</f>
        <v/>
      </c>
      <c r="L1224" s="11">
        <f>IF(AND(ISNUMBER(H1224),ISNUMBER(I1224),H1224&gt;0,ISNUMBER($B$94)),$B$94+3*SQRT($B$94*(1-$B$94)/H1224),"")</f>
        <v/>
      </c>
      <c r="M1224" s="13">
        <f>IF(AND(ISNUMBER(J1224),ISNUMBER(K1224),ISNUMBER(L1224)),IF(J1224&gt;L1224,"boven UCL",IF(J1224&lt;K1224,"onder LCL","")),"")</f>
        <v/>
      </c>
      <c r="O1224" t="n">
        <v>1118</v>
      </c>
      <c r="P1224" s="7" t="n"/>
      <c r="Q1224" s="7" t="n"/>
      <c r="R1224" s="11">
        <f>IF(AND(ISNUMBER(P1224),ISNUMBER(Q1224),P1224&gt;0,ISNUMBER($B$100)),Q1224/P1224,"")</f>
        <v/>
      </c>
      <c r="S1224" s="11">
        <f>IF(AND(ISNUMBER(P1224),ISNUMBER(Q1224),P1224&gt;0,ISNUMBER($B$100)),MAX(0,$B$100-3*SQRT($B$100/P1224)),"")</f>
        <v/>
      </c>
      <c r="T1224" s="11">
        <f>IF(AND(ISNUMBER(P1224),ISNUMBER(Q1224),P1224&gt;0,ISNUMBER($B$100)),$B$100+3*SQRT($B$100/P1224),"")</f>
        <v/>
      </c>
      <c r="U1224" s="13">
        <f>IF(AND(ISNUMBER(R1224),ISNUMBER(S1224),ISNUMBER(T1224)),IF(R1224&gt;T1224,"boven UCL",IF(R1224&lt;S1224,"onder LCL","")),"")</f>
        <v/>
      </c>
    </row>
    <row r="1225">
      <c r="A1225" t="n">
        <v>1119</v>
      </c>
      <c r="B1225" s="7" t="n"/>
      <c r="C1225" s="11">
        <f>IF(AND(ISNUMBER(B1225),ISNUMBER(B1224)),ABS(B1225-B1224),"")</f>
        <v/>
      </c>
      <c r="D1225" s="13">
        <f>IF(AND(ISNUMBER(B1225),ISNUMBER($B$88),ISNUMBER($D$88)),IF(B1225&gt;$D$88,"boven UCL",IF(B1225&lt;$B$88,"onder LCL","")),"")</f>
        <v/>
      </c>
      <c r="E1225" s="13">
        <f>IF(AND(ISNUMBER(C1225),ISNUMBER($B$89),ISNUMBER($D$89)),IF(C1225&gt;$D$89,"boven UCL",IF(C1225&lt;$B$89,"onder LCL","")),"")</f>
        <v/>
      </c>
      <c r="G1225" t="n">
        <v>1119</v>
      </c>
      <c r="H1225" s="7" t="n"/>
      <c r="I1225" s="7" t="n"/>
      <c r="J1225" s="11">
        <f>IF(AND(ISNUMBER(H1225),ISNUMBER(I1225),H1225&gt;0,ISNUMBER($B$94)),I1225/H1225,"")</f>
        <v/>
      </c>
      <c r="K1225" s="11">
        <f>IF(AND(ISNUMBER(H1225),ISNUMBER(I1225),H1225&gt;0,ISNUMBER($B$94)),MAX(0,$B$94-3*SQRT($B$94*(1-$B$94)/H1225)),"")</f>
        <v/>
      </c>
      <c r="L1225" s="11">
        <f>IF(AND(ISNUMBER(H1225),ISNUMBER(I1225),H1225&gt;0,ISNUMBER($B$94)),$B$94+3*SQRT($B$94*(1-$B$94)/H1225),"")</f>
        <v/>
      </c>
      <c r="M1225" s="13">
        <f>IF(AND(ISNUMBER(J1225),ISNUMBER(K1225),ISNUMBER(L1225)),IF(J1225&gt;L1225,"boven UCL",IF(J1225&lt;K1225,"onder LCL","")),"")</f>
        <v/>
      </c>
      <c r="O1225" t="n">
        <v>1119</v>
      </c>
      <c r="P1225" s="7" t="n"/>
      <c r="Q1225" s="7" t="n"/>
      <c r="R1225" s="11">
        <f>IF(AND(ISNUMBER(P1225),ISNUMBER(Q1225),P1225&gt;0,ISNUMBER($B$100)),Q1225/P1225,"")</f>
        <v/>
      </c>
      <c r="S1225" s="11">
        <f>IF(AND(ISNUMBER(P1225),ISNUMBER(Q1225),P1225&gt;0,ISNUMBER($B$100)),MAX(0,$B$100-3*SQRT($B$100/P1225)),"")</f>
        <v/>
      </c>
      <c r="T1225" s="11">
        <f>IF(AND(ISNUMBER(P1225),ISNUMBER(Q1225),P1225&gt;0,ISNUMBER($B$100)),$B$100+3*SQRT($B$100/P1225),"")</f>
        <v/>
      </c>
      <c r="U1225" s="13">
        <f>IF(AND(ISNUMBER(R1225),ISNUMBER(S1225),ISNUMBER(T1225)),IF(R1225&gt;T1225,"boven UCL",IF(R1225&lt;S1225,"onder LCL","")),"")</f>
        <v/>
      </c>
    </row>
    <row r="1226">
      <c r="A1226" t="n">
        <v>1120</v>
      </c>
      <c r="B1226" s="7" t="n"/>
      <c r="C1226" s="11">
        <f>IF(AND(ISNUMBER(B1226),ISNUMBER(B1225)),ABS(B1226-B1225),"")</f>
        <v/>
      </c>
      <c r="D1226" s="13">
        <f>IF(AND(ISNUMBER(B1226),ISNUMBER($B$88),ISNUMBER($D$88)),IF(B1226&gt;$D$88,"boven UCL",IF(B1226&lt;$B$88,"onder LCL","")),"")</f>
        <v/>
      </c>
      <c r="E1226" s="13">
        <f>IF(AND(ISNUMBER(C1226),ISNUMBER($B$89),ISNUMBER($D$89)),IF(C1226&gt;$D$89,"boven UCL",IF(C1226&lt;$B$89,"onder LCL","")),"")</f>
        <v/>
      </c>
      <c r="G1226" t="n">
        <v>1120</v>
      </c>
      <c r="H1226" s="7" t="n"/>
      <c r="I1226" s="7" t="n"/>
      <c r="J1226" s="11">
        <f>IF(AND(ISNUMBER(H1226),ISNUMBER(I1226),H1226&gt;0,ISNUMBER($B$94)),I1226/H1226,"")</f>
        <v/>
      </c>
      <c r="K1226" s="11">
        <f>IF(AND(ISNUMBER(H1226),ISNUMBER(I1226),H1226&gt;0,ISNUMBER($B$94)),MAX(0,$B$94-3*SQRT($B$94*(1-$B$94)/H1226)),"")</f>
        <v/>
      </c>
      <c r="L1226" s="11">
        <f>IF(AND(ISNUMBER(H1226),ISNUMBER(I1226),H1226&gt;0,ISNUMBER($B$94)),$B$94+3*SQRT($B$94*(1-$B$94)/H1226),"")</f>
        <v/>
      </c>
      <c r="M1226" s="13">
        <f>IF(AND(ISNUMBER(J1226),ISNUMBER(K1226),ISNUMBER(L1226)),IF(J1226&gt;L1226,"boven UCL",IF(J1226&lt;K1226,"onder LCL","")),"")</f>
        <v/>
      </c>
      <c r="O1226" t="n">
        <v>1120</v>
      </c>
      <c r="P1226" s="7" t="n"/>
      <c r="Q1226" s="7" t="n"/>
      <c r="R1226" s="11">
        <f>IF(AND(ISNUMBER(P1226),ISNUMBER(Q1226),P1226&gt;0,ISNUMBER($B$100)),Q1226/P1226,"")</f>
        <v/>
      </c>
      <c r="S1226" s="11">
        <f>IF(AND(ISNUMBER(P1226),ISNUMBER(Q1226),P1226&gt;0,ISNUMBER($B$100)),MAX(0,$B$100-3*SQRT($B$100/P1226)),"")</f>
        <v/>
      </c>
      <c r="T1226" s="11">
        <f>IF(AND(ISNUMBER(P1226),ISNUMBER(Q1226),P1226&gt;0,ISNUMBER($B$100)),$B$100+3*SQRT($B$100/P1226),"")</f>
        <v/>
      </c>
      <c r="U1226" s="13">
        <f>IF(AND(ISNUMBER(R1226),ISNUMBER(S1226),ISNUMBER(T1226)),IF(R1226&gt;T1226,"boven UCL",IF(R1226&lt;S1226,"onder LCL","")),"")</f>
        <v/>
      </c>
    </row>
    <row r="1227">
      <c r="A1227" t="n">
        <v>1121</v>
      </c>
      <c r="B1227" s="7" t="n"/>
      <c r="C1227" s="11">
        <f>IF(AND(ISNUMBER(B1227),ISNUMBER(B1226)),ABS(B1227-B1226),"")</f>
        <v/>
      </c>
      <c r="D1227" s="13">
        <f>IF(AND(ISNUMBER(B1227),ISNUMBER($B$88),ISNUMBER($D$88)),IF(B1227&gt;$D$88,"boven UCL",IF(B1227&lt;$B$88,"onder LCL","")),"")</f>
        <v/>
      </c>
      <c r="E1227" s="13">
        <f>IF(AND(ISNUMBER(C1227),ISNUMBER($B$89),ISNUMBER($D$89)),IF(C1227&gt;$D$89,"boven UCL",IF(C1227&lt;$B$89,"onder LCL","")),"")</f>
        <v/>
      </c>
      <c r="G1227" t="n">
        <v>1121</v>
      </c>
      <c r="H1227" s="7" t="n"/>
      <c r="I1227" s="7" t="n"/>
      <c r="J1227" s="11">
        <f>IF(AND(ISNUMBER(H1227),ISNUMBER(I1227),H1227&gt;0,ISNUMBER($B$94)),I1227/H1227,"")</f>
        <v/>
      </c>
      <c r="K1227" s="11">
        <f>IF(AND(ISNUMBER(H1227),ISNUMBER(I1227),H1227&gt;0,ISNUMBER($B$94)),MAX(0,$B$94-3*SQRT($B$94*(1-$B$94)/H1227)),"")</f>
        <v/>
      </c>
      <c r="L1227" s="11">
        <f>IF(AND(ISNUMBER(H1227),ISNUMBER(I1227),H1227&gt;0,ISNUMBER($B$94)),$B$94+3*SQRT($B$94*(1-$B$94)/H1227),"")</f>
        <v/>
      </c>
      <c r="M1227" s="13">
        <f>IF(AND(ISNUMBER(J1227),ISNUMBER(K1227),ISNUMBER(L1227)),IF(J1227&gt;L1227,"boven UCL",IF(J1227&lt;K1227,"onder LCL","")),"")</f>
        <v/>
      </c>
      <c r="O1227" t="n">
        <v>1121</v>
      </c>
      <c r="P1227" s="7" t="n"/>
      <c r="Q1227" s="7" t="n"/>
      <c r="R1227" s="11">
        <f>IF(AND(ISNUMBER(P1227),ISNUMBER(Q1227),P1227&gt;0,ISNUMBER($B$100)),Q1227/P1227,"")</f>
        <v/>
      </c>
      <c r="S1227" s="11">
        <f>IF(AND(ISNUMBER(P1227),ISNUMBER(Q1227),P1227&gt;0,ISNUMBER($B$100)),MAX(0,$B$100-3*SQRT($B$100/P1227)),"")</f>
        <v/>
      </c>
      <c r="T1227" s="11">
        <f>IF(AND(ISNUMBER(P1227),ISNUMBER(Q1227),P1227&gt;0,ISNUMBER($B$100)),$B$100+3*SQRT($B$100/P1227),"")</f>
        <v/>
      </c>
      <c r="U1227" s="13">
        <f>IF(AND(ISNUMBER(R1227),ISNUMBER(S1227),ISNUMBER(T1227)),IF(R1227&gt;T1227,"boven UCL",IF(R1227&lt;S1227,"onder LCL","")),"")</f>
        <v/>
      </c>
    </row>
    <row r="1228">
      <c r="A1228" t="n">
        <v>1122</v>
      </c>
      <c r="B1228" s="7" t="n"/>
      <c r="C1228" s="11">
        <f>IF(AND(ISNUMBER(B1228),ISNUMBER(B1227)),ABS(B1228-B1227),"")</f>
        <v/>
      </c>
      <c r="D1228" s="13">
        <f>IF(AND(ISNUMBER(B1228),ISNUMBER($B$88),ISNUMBER($D$88)),IF(B1228&gt;$D$88,"boven UCL",IF(B1228&lt;$B$88,"onder LCL","")),"")</f>
        <v/>
      </c>
      <c r="E1228" s="13">
        <f>IF(AND(ISNUMBER(C1228),ISNUMBER($B$89),ISNUMBER($D$89)),IF(C1228&gt;$D$89,"boven UCL",IF(C1228&lt;$B$89,"onder LCL","")),"")</f>
        <v/>
      </c>
      <c r="G1228" t="n">
        <v>1122</v>
      </c>
      <c r="H1228" s="7" t="n"/>
      <c r="I1228" s="7" t="n"/>
      <c r="J1228" s="11">
        <f>IF(AND(ISNUMBER(H1228),ISNUMBER(I1228),H1228&gt;0,ISNUMBER($B$94)),I1228/H1228,"")</f>
        <v/>
      </c>
      <c r="K1228" s="11">
        <f>IF(AND(ISNUMBER(H1228),ISNUMBER(I1228),H1228&gt;0,ISNUMBER($B$94)),MAX(0,$B$94-3*SQRT($B$94*(1-$B$94)/H1228)),"")</f>
        <v/>
      </c>
      <c r="L1228" s="11">
        <f>IF(AND(ISNUMBER(H1228),ISNUMBER(I1228),H1228&gt;0,ISNUMBER($B$94)),$B$94+3*SQRT($B$94*(1-$B$94)/H1228),"")</f>
        <v/>
      </c>
      <c r="M1228" s="13">
        <f>IF(AND(ISNUMBER(J1228),ISNUMBER(K1228),ISNUMBER(L1228)),IF(J1228&gt;L1228,"boven UCL",IF(J1228&lt;K1228,"onder LCL","")),"")</f>
        <v/>
      </c>
      <c r="O1228" t="n">
        <v>1122</v>
      </c>
      <c r="P1228" s="7" t="n"/>
      <c r="Q1228" s="7" t="n"/>
      <c r="R1228" s="11">
        <f>IF(AND(ISNUMBER(P1228),ISNUMBER(Q1228),P1228&gt;0,ISNUMBER($B$100)),Q1228/P1228,"")</f>
        <v/>
      </c>
      <c r="S1228" s="11">
        <f>IF(AND(ISNUMBER(P1228),ISNUMBER(Q1228),P1228&gt;0,ISNUMBER($B$100)),MAX(0,$B$100-3*SQRT($B$100/P1228)),"")</f>
        <v/>
      </c>
      <c r="T1228" s="11">
        <f>IF(AND(ISNUMBER(P1228),ISNUMBER(Q1228),P1228&gt;0,ISNUMBER($B$100)),$B$100+3*SQRT($B$100/P1228),"")</f>
        <v/>
      </c>
      <c r="U1228" s="13">
        <f>IF(AND(ISNUMBER(R1228),ISNUMBER(S1228),ISNUMBER(T1228)),IF(R1228&gt;T1228,"boven UCL",IF(R1228&lt;S1228,"onder LCL","")),"")</f>
        <v/>
      </c>
    </row>
    <row r="1229">
      <c r="A1229" t="n">
        <v>1123</v>
      </c>
      <c r="B1229" s="7" t="n"/>
      <c r="C1229" s="11">
        <f>IF(AND(ISNUMBER(B1229),ISNUMBER(B1228)),ABS(B1229-B1228),"")</f>
        <v/>
      </c>
      <c r="D1229" s="13">
        <f>IF(AND(ISNUMBER(B1229),ISNUMBER($B$88),ISNUMBER($D$88)),IF(B1229&gt;$D$88,"boven UCL",IF(B1229&lt;$B$88,"onder LCL","")),"")</f>
        <v/>
      </c>
      <c r="E1229" s="13">
        <f>IF(AND(ISNUMBER(C1229),ISNUMBER($B$89),ISNUMBER($D$89)),IF(C1229&gt;$D$89,"boven UCL",IF(C1229&lt;$B$89,"onder LCL","")),"")</f>
        <v/>
      </c>
      <c r="G1229" t="n">
        <v>1123</v>
      </c>
      <c r="H1229" s="7" t="n"/>
      <c r="I1229" s="7" t="n"/>
      <c r="J1229" s="11">
        <f>IF(AND(ISNUMBER(H1229),ISNUMBER(I1229),H1229&gt;0,ISNUMBER($B$94)),I1229/H1229,"")</f>
        <v/>
      </c>
      <c r="K1229" s="11">
        <f>IF(AND(ISNUMBER(H1229),ISNUMBER(I1229),H1229&gt;0,ISNUMBER($B$94)),MAX(0,$B$94-3*SQRT($B$94*(1-$B$94)/H1229)),"")</f>
        <v/>
      </c>
      <c r="L1229" s="11">
        <f>IF(AND(ISNUMBER(H1229),ISNUMBER(I1229),H1229&gt;0,ISNUMBER($B$94)),$B$94+3*SQRT($B$94*(1-$B$94)/H1229),"")</f>
        <v/>
      </c>
      <c r="M1229" s="13">
        <f>IF(AND(ISNUMBER(J1229),ISNUMBER(K1229),ISNUMBER(L1229)),IF(J1229&gt;L1229,"boven UCL",IF(J1229&lt;K1229,"onder LCL","")),"")</f>
        <v/>
      </c>
      <c r="O1229" t="n">
        <v>1123</v>
      </c>
      <c r="P1229" s="7" t="n"/>
      <c r="Q1229" s="7" t="n"/>
      <c r="R1229" s="11">
        <f>IF(AND(ISNUMBER(P1229),ISNUMBER(Q1229),P1229&gt;0,ISNUMBER($B$100)),Q1229/P1229,"")</f>
        <v/>
      </c>
      <c r="S1229" s="11">
        <f>IF(AND(ISNUMBER(P1229),ISNUMBER(Q1229),P1229&gt;0,ISNUMBER($B$100)),MAX(0,$B$100-3*SQRT($B$100/P1229)),"")</f>
        <v/>
      </c>
      <c r="T1229" s="11">
        <f>IF(AND(ISNUMBER(P1229),ISNUMBER(Q1229),P1229&gt;0,ISNUMBER($B$100)),$B$100+3*SQRT($B$100/P1229),"")</f>
        <v/>
      </c>
      <c r="U1229" s="13">
        <f>IF(AND(ISNUMBER(R1229),ISNUMBER(S1229),ISNUMBER(T1229)),IF(R1229&gt;T1229,"boven UCL",IF(R1229&lt;S1229,"onder LCL","")),"")</f>
        <v/>
      </c>
    </row>
    <row r="1230">
      <c r="A1230" t="n">
        <v>1124</v>
      </c>
      <c r="B1230" s="7" t="n"/>
      <c r="C1230" s="11">
        <f>IF(AND(ISNUMBER(B1230),ISNUMBER(B1229)),ABS(B1230-B1229),"")</f>
        <v/>
      </c>
      <c r="D1230" s="13">
        <f>IF(AND(ISNUMBER(B1230),ISNUMBER($B$88),ISNUMBER($D$88)),IF(B1230&gt;$D$88,"boven UCL",IF(B1230&lt;$B$88,"onder LCL","")),"")</f>
        <v/>
      </c>
      <c r="E1230" s="13">
        <f>IF(AND(ISNUMBER(C1230),ISNUMBER($B$89),ISNUMBER($D$89)),IF(C1230&gt;$D$89,"boven UCL",IF(C1230&lt;$B$89,"onder LCL","")),"")</f>
        <v/>
      </c>
      <c r="G1230" t="n">
        <v>1124</v>
      </c>
      <c r="H1230" s="7" t="n"/>
      <c r="I1230" s="7" t="n"/>
      <c r="J1230" s="11">
        <f>IF(AND(ISNUMBER(H1230),ISNUMBER(I1230),H1230&gt;0,ISNUMBER($B$94)),I1230/H1230,"")</f>
        <v/>
      </c>
      <c r="K1230" s="11">
        <f>IF(AND(ISNUMBER(H1230),ISNUMBER(I1230),H1230&gt;0,ISNUMBER($B$94)),MAX(0,$B$94-3*SQRT($B$94*(1-$B$94)/H1230)),"")</f>
        <v/>
      </c>
      <c r="L1230" s="11">
        <f>IF(AND(ISNUMBER(H1230),ISNUMBER(I1230),H1230&gt;0,ISNUMBER($B$94)),$B$94+3*SQRT($B$94*(1-$B$94)/H1230),"")</f>
        <v/>
      </c>
      <c r="M1230" s="13">
        <f>IF(AND(ISNUMBER(J1230),ISNUMBER(K1230),ISNUMBER(L1230)),IF(J1230&gt;L1230,"boven UCL",IF(J1230&lt;K1230,"onder LCL","")),"")</f>
        <v/>
      </c>
      <c r="O1230" t="n">
        <v>1124</v>
      </c>
      <c r="P1230" s="7" t="n"/>
      <c r="Q1230" s="7" t="n"/>
      <c r="R1230" s="11">
        <f>IF(AND(ISNUMBER(P1230),ISNUMBER(Q1230),P1230&gt;0,ISNUMBER($B$100)),Q1230/P1230,"")</f>
        <v/>
      </c>
      <c r="S1230" s="11">
        <f>IF(AND(ISNUMBER(P1230),ISNUMBER(Q1230),P1230&gt;0,ISNUMBER($B$100)),MAX(0,$B$100-3*SQRT($B$100/P1230)),"")</f>
        <v/>
      </c>
      <c r="T1230" s="11">
        <f>IF(AND(ISNUMBER(P1230),ISNUMBER(Q1230),P1230&gt;0,ISNUMBER($B$100)),$B$100+3*SQRT($B$100/P1230),"")</f>
        <v/>
      </c>
      <c r="U1230" s="13">
        <f>IF(AND(ISNUMBER(R1230),ISNUMBER(S1230),ISNUMBER(T1230)),IF(R1230&gt;T1230,"boven UCL",IF(R1230&lt;S1230,"onder LCL","")),"")</f>
        <v/>
      </c>
    </row>
    <row r="1231">
      <c r="A1231" t="n">
        <v>1125</v>
      </c>
      <c r="B1231" s="7" t="n"/>
      <c r="C1231" s="11">
        <f>IF(AND(ISNUMBER(B1231),ISNUMBER(B1230)),ABS(B1231-B1230),"")</f>
        <v/>
      </c>
      <c r="D1231" s="13">
        <f>IF(AND(ISNUMBER(B1231),ISNUMBER($B$88),ISNUMBER($D$88)),IF(B1231&gt;$D$88,"boven UCL",IF(B1231&lt;$B$88,"onder LCL","")),"")</f>
        <v/>
      </c>
      <c r="E1231" s="13">
        <f>IF(AND(ISNUMBER(C1231),ISNUMBER($B$89),ISNUMBER($D$89)),IF(C1231&gt;$D$89,"boven UCL",IF(C1231&lt;$B$89,"onder LCL","")),"")</f>
        <v/>
      </c>
      <c r="G1231" t="n">
        <v>1125</v>
      </c>
      <c r="H1231" s="7" t="n"/>
      <c r="I1231" s="7" t="n"/>
      <c r="J1231" s="11">
        <f>IF(AND(ISNUMBER(H1231),ISNUMBER(I1231),H1231&gt;0,ISNUMBER($B$94)),I1231/H1231,"")</f>
        <v/>
      </c>
      <c r="K1231" s="11">
        <f>IF(AND(ISNUMBER(H1231),ISNUMBER(I1231),H1231&gt;0,ISNUMBER($B$94)),MAX(0,$B$94-3*SQRT($B$94*(1-$B$94)/H1231)),"")</f>
        <v/>
      </c>
      <c r="L1231" s="11">
        <f>IF(AND(ISNUMBER(H1231),ISNUMBER(I1231),H1231&gt;0,ISNUMBER($B$94)),$B$94+3*SQRT($B$94*(1-$B$94)/H1231),"")</f>
        <v/>
      </c>
      <c r="M1231" s="13">
        <f>IF(AND(ISNUMBER(J1231),ISNUMBER(K1231),ISNUMBER(L1231)),IF(J1231&gt;L1231,"boven UCL",IF(J1231&lt;K1231,"onder LCL","")),"")</f>
        <v/>
      </c>
      <c r="O1231" t="n">
        <v>1125</v>
      </c>
      <c r="P1231" s="7" t="n"/>
      <c r="Q1231" s="7" t="n"/>
      <c r="R1231" s="11">
        <f>IF(AND(ISNUMBER(P1231),ISNUMBER(Q1231),P1231&gt;0,ISNUMBER($B$100)),Q1231/P1231,"")</f>
        <v/>
      </c>
      <c r="S1231" s="11">
        <f>IF(AND(ISNUMBER(P1231),ISNUMBER(Q1231),P1231&gt;0,ISNUMBER($B$100)),MAX(0,$B$100-3*SQRT($B$100/P1231)),"")</f>
        <v/>
      </c>
      <c r="T1231" s="11">
        <f>IF(AND(ISNUMBER(P1231),ISNUMBER(Q1231),P1231&gt;0,ISNUMBER($B$100)),$B$100+3*SQRT($B$100/P1231),"")</f>
        <v/>
      </c>
      <c r="U1231" s="13">
        <f>IF(AND(ISNUMBER(R1231),ISNUMBER(S1231),ISNUMBER(T1231)),IF(R1231&gt;T1231,"boven UCL",IF(R1231&lt;S1231,"onder LCL","")),"")</f>
        <v/>
      </c>
    </row>
    <row r="1232">
      <c r="A1232" t="n">
        <v>1126</v>
      </c>
      <c r="B1232" s="7" t="n"/>
      <c r="C1232" s="11">
        <f>IF(AND(ISNUMBER(B1232),ISNUMBER(B1231)),ABS(B1232-B1231),"")</f>
        <v/>
      </c>
      <c r="D1232" s="13">
        <f>IF(AND(ISNUMBER(B1232),ISNUMBER($B$88),ISNUMBER($D$88)),IF(B1232&gt;$D$88,"boven UCL",IF(B1232&lt;$B$88,"onder LCL","")),"")</f>
        <v/>
      </c>
      <c r="E1232" s="13">
        <f>IF(AND(ISNUMBER(C1232),ISNUMBER($B$89),ISNUMBER($D$89)),IF(C1232&gt;$D$89,"boven UCL",IF(C1232&lt;$B$89,"onder LCL","")),"")</f>
        <v/>
      </c>
      <c r="G1232" t="n">
        <v>1126</v>
      </c>
      <c r="H1232" s="7" t="n"/>
      <c r="I1232" s="7" t="n"/>
      <c r="J1232" s="11">
        <f>IF(AND(ISNUMBER(H1232),ISNUMBER(I1232),H1232&gt;0,ISNUMBER($B$94)),I1232/H1232,"")</f>
        <v/>
      </c>
      <c r="K1232" s="11">
        <f>IF(AND(ISNUMBER(H1232),ISNUMBER(I1232),H1232&gt;0,ISNUMBER($B$94)),MAX(0,$B$94-3*SQRT($B$94*(1-$B$94)/H1232)),"")</f>
        <v/>
      </c>
      <c r="L1232" s="11">
        <f>IF(AND(ISNUMBER(H1232),ISNUMBER(I1232),H1232&gt;0,ISNUMBER($B$94)),$B$94+3*SQRT($B$94*(1-$B$94)/H1232),"")</f>
        <v/>
      </c>
      <c r="M1232" s="13">
        <f>IF(AND(ISNUMBER(J1232),ISNUMBER(K1232),ISNUMBER(L1232)),IF(J1232&gt;L1232,"boven UCL",IF(J1232&lt;K1232,"onder LCL","")),"")</f>
        <v/>
      </c>
      <c r="O1232" t="n">
        <v>1126</v>
      </c>
      <c r="P1232" s="7" t="n"/>
      <c r="Q1232" s="7" t="n"/>
      <c r="R1232" s="11">
        <f>IF(AND(ISNUMBER(P1232),ISNUMBER(Q1232),P1232&gt;0,ISNUMBER($B$100)),Q1232/P1232,"")</f>
        <v/>
      </c>
      <c r="S1232" s="11">
        <f>IF(AND(ISNUMBER(P1232),ISNUMBER(Q1232),P1232&gt;0,ISNUMBER($B$100)),MAX(0,$B$100-3*SQRT($B$100/P1232)),"")</f>
        <v/>
      </c>
      <c r="T1232" s="11">
        <f>IF(AND(ISNUMBER(P1232),ISNUMBER(Q1232),P1232&gt;0,ISNUMBER($B$100)),$B$100+3*SQRT($B$100/P1232),"")</f>
        <v/>
      </c>
      <c r="U1232" s="13">
        <f>IF(AND(ISNUMBER(R1232),ISNUMBER(S1232),ISNUMBER(T1232)),IF(R1232&gt;T1232,"boven UCL",IF(R1232&lt;S1232,"onder LCL","")),"")</f>
        <v/>
      </c>
    </row>
    <row r="1233">
      <c r="A1233" t="n">
        <v>1127</v>
      </c>
      <c r="B1233" s="7" t="n"/>
      <c r="C1233" s="11">
        <f>IF(AND(ISNUMBER(B1233),ISNUMBER(B1232)),ABS(B1233-B1232),"")</f>
        <v/>
      </c>
      <c r="D1233" s="13">
        <f>IF(AND(ISNUMBER(B1233),ISNUMBER($B$88),ISNUMBER($D$88)),IF(B1233&gt;$D$88,"boven UCL",IF(B1233&lt;$B$88,"onder LCL","")),"")</f>
        <v/>
      </c>
      <c r="E1233" s="13">
        <f>IF(AND(ISNUMBER(C1233),ISNUMBER($B$89),ISNUMBER($D$89)),IF(C1233&gt;$D$89,"boven UCL",IF(C1233&lt;$B$89,"onder LCL","")),"")</f>
        <v/>
      </c>
      <c r="G1233" t="n">
        <v>1127</v>
      </c>
      <c r="H1233" s="7" t="n"/>
      <c r="I1233" s="7" t="n"/>
      <c r="J1233" s="11">
        <f>IF(AND(ISNUMBER(H1233),ISNUMBER(I1233),H1233&gt;0,ISNUMBER($B$94)),I1233/H1233,"")</f>
        <v/>
      </c>
      <c r="K1233" s="11">
        <f>IF(AND(ISNUMBER(H1233),ISNUMBER(I1233),H1233&gt;0,ISNUMBER($B$94)),MAX(0,$B$94-3*SQRT($B$94*(1-$B$94)/H1233)),"")</f>
        <v/>
      </c>
      <c r="L1233" s="11">
        <f>IF(AND(ISNUMBER(H1233),ISNUMBER(I1233),H1233&gt;0,ISNUMBER($B$94)),$B$94+3*SQRT($B$94*(1-$B$94)/H1233),"")</f>
        <v/>
      </c>
      <c r="M1233" s="13">
        <f>IF(AND(ISNUMBER(J1233),ISNUMBER(K1233),ISNUMBER(L1233)),IF(J1233&gt;L1233,"boven UCL",IF(J1233&lt;K1233,"onder LCL","")),"")</f>
        <v/>
      </c>
      <c r="O1233" t="n">
        <v>1127</v>
      </c>
      <c r="P1233" s="7" t="n"/>
      <c r="Q1233" s="7" t="n"/>
      <c r="R1233" s="11">
        <f>IF(AND(ISNUMBER(P1233),ISNUMBER(Q1233),P1233&gt;0,ISNUMBER($B$100)),Q1233/P1233,"")</f>
        <v/>
      </c>
      <c r="S1233" s="11">
        <f>IF(AND(ISNUMBER(P1233),ISNUMBER(Q1233),P1233&gt;0,ISNUMBER($B$100)),MAX(0,$B$100-3*SQRT($B$100/P1233)),"")</f>
        <v/>
      </c>
      <c r="T1233" s="11">
        <f>IF(AND(ISNUMBER(P1233),ISNUMBER(Q1233),P1233&gt;0,ISNUMBER($B$100)),$B$100+3*SQRT($B$100/P1233),"")</f>
        <v/>
      </c>
      <c r="U1233" s="13">
        <f>IF(AND(ISNUMBER(R1233),ISNUMBER(S1233),ISNUMBER(T1233)),IF(R1233&gt;T1233,"boven UCL",IF(R1233&lt;S1233,"onder LCL","")),"")</f>
        <v/>
      </c>
    </row>
    <row r="1234">
      <c r="A1234" t="n">
        <v>1128</v>
      </c>
      <c r="B1234" s="7" t="n"/>
      <c r="C1234" s="11">
        <f>IF(AND(ISNUMBER(B1234),ISNUMBER(B1233)),ABS(B1234-B1233),"")</f>
        <v/>
      </c>
      <c r="D1234" s="13">
        <f>IF(AND(ISNUMBER(B1234),ISNUMBER($B$88),ISNUMBER($D$88)),IF(B1234&gt;$D$88,"boven UCL",IF(B1234&lt;$B$88,"onder LCL","")),"")</f>
        <v/>
      </c>
      <c r="E1234" s="13">
        <f>IF(AND(ISNUMBER(C1234),ISNUMBER($B$89),ISNUMBER($D$89)),IF(C1234&gt;$D$89,"boven UCL",IF(C1234&lt;$B$89,"onder LCL","")),"")</f>
        <v/>
      </c>
      <c r="G1234" t="n">
        <v>1128</v>
      </c>
      <c r="H1234" s="7" t="n"/>
      <c r="I1234" s="7" t="n"/>
      <c r="J1234" s="11">
        <f>IF(AND(ISNUMBER(H1234),ISNUMBER(I1234),H1234&gt;0,ISNUMBER($B$94)),I1234/H1234,"")</f>
        <v/>
      </c>
      <c r="K1234" s="11">
        <f>IF(AND(ISNUMBER(H1234),ISNUMBER(I1234),H1234&gt;0,ISNUMBER($B$94)),MAX(0,$B$94-3*SQRT($B$94*(1-$B$94)/H1234)),"")</f>
        <v/>
      </c>
      <c r="L1234" s="11">
        <f>IF(AND(ISNUMBER(H1234),ISNUMBER(I1234),H1234&gt;0,ISNUMBER($B$94)),$B$94+3*SQRT($B$94*(1-$B$94)/H1234),"")</f>
        <v/>
      </c>
      <c r="M1234" s="13">
        <f>IF(AND(ISNUMBER(J1234),ISNUMBER(K1234),ISNUMBER(L1234)),IF(J1234&gt;L1234,"boven UCL",IF(J1234&lt;K1234,"onder LCL","")),"")</f>
        <v/>
      </c>
      <c r="O1234" t="n">
        <v>1128</v>
      </c>
      <c r="P1234" s="7" t="n"/>
      <c r="Q1234" s="7" t="n"/>
      <c r="R1234" s="11">
        <f>IF(AND(ISNUMBER(P1234),ISNUMBER(Q1234),P1234&gt;0,ISNUMBER($B$100)),Q1234/P1234,"")</f>
        <v/>
      </c>
      <c r="S1234" s="11">
        <f>IF(AND(ISNUMBER(P1234),ISNUMBER(Q1234),P1234&gt;0,ISNUMBER($B$100)),MAX(0,$B$100-3*SQRT($B$100/P1234)),"")</f>
        <v/>
      </c>
      <c r="T1234" s="11">
        <f>IF(AND(ISNUMBER(P1234),ISNUMBER(Q1234),P1234&gt;0,ISNUMBER($B$100)),$B$100+3*SQRT($B$100/P1234),"")</f>
        <v/>
      </c>
      <c r="U1234" s="13">
        <f>IF(AND(ISNUMBER(R1234),ISNUMBER(S1234),ISNUMBER(T1234)),IF(R1234&gt;T1234,"boven UCL",IF(R1234&lt;S1234,"onder LCL","")),"")</f>
        <v/>
      </c>
    </row>
    <row r="1235">
      <c r="A1235" t="n">
        <v>1129</v>
      </c>
      <c r="B1235" s="7" t="n"/>
      <c r="C1235" s="11">
        <f>IF(AND(ISNUMBER(B1235),ISNUMBER(B1234)),ABS(B1235-B1234),"")</f>
        <v/>
      </c>
      <c r="D1235" s="13">
        <f>IF(AND(ISNUMBER(B1235),ISNUMBER($B$88),ISNUMBER($D$88)),IF(B1235&gt;$D$88,"boven UCL",IF(B1235&lt;$B$88,"onder LCL","")),"")</f>
        <v/>
      </c>
      <c r="E1235" s="13">
        <f>IF(AND(ISNUMBER(C1235),ISNUMBER($B$89),ISNUMBER($D$89)),IF(C1235&gt;$D$89,"boven UCL",IF(C1235&lt;$B$89,"onder LCL","")),"")</f>
        <v/>
      </c>
      <c r="G1235" t="n">
        <v>1129</v>
      </c>
      <c r="H1235" s="7" t="n"/>
      <c r="I1235" s="7" t="n"/>
      <c r="J1235" s="11">
        <f>IF(AND(ISNUMBER(H1235),ISNUMBER(I1235),H1235&gt;0,ISNUMBER($B$94)),I1235/H1235,"")</f>
        <v/>
      </c>
      <c r="K1235" s="11">
        <f>IF(AND(ISNUMBER(H1235),ISNUMBER(I1235),H1235&gt;0,ISNUMBER($B$94)),MAX(0,$B$94-3*SQRT($B$94*(1-$B$94)/H1235)),"")</f>
        <v/>
      </c>
      <c r="L1235" s="11">
        <f>IF(AND(ISNUMBER(H1235),ISNUMBER(I1235),H1235&gt;0,ISNUMBER($B$94)),$B$94+3*SQRT($B$94*(1-$B$94)/H1235),"")</f>
        <v/>
      </c>
      <c r="M1235" s="13">
        <f>IF(AND(ISNUMBER(J1235),ISNUMBER(K1235),ISNUMBER(L1235)),IF(J1235&gt;L1235,"boven UCL",IF(J1235&lt;K1235,"onder LCL","")),"")</f>
        <v/>
      </c>
      <c r="O1235" t="n">
        <v>1129</v>
      </c>
      <c r="P1235" s="7" t="n"/>
      <c r="Q1235" s="7" t="n"/>
      <c r="R1235" s="11">
        <f>IF(AND(ISNUMBER(P1235),ISNUMBER(Q1235),P1235&gt;0,ISNUMBER($B$100)),Q1235/P1235,"")</f>
        <v/>
      </c>
      <c r="S1235" s="11">
        <f>IF(AND(ISNUMBER(P1235),ISNUMBER(Q1235),P1235&gt;0,ISNUMBER($B$100)),MAX(0,$B$100-3*SQRT($B$100/P1235)),"")</f>
        <v/>
      </c>
      <c r="T1235" s="11">
        <f>IF(AND(ISNUMBER(P1235),ISNUMBER(Q1235),P1235&gt;0,ISNUMBER($B$100)),$B$100+3*SQRT($B$100/P1235),"")</f>
        <v/>
      </c>
      <c r="U1235" s="13">
        <f>IF(AND(ISNUMBER(R1235),ISNUMBER(S1235),ISNUMBER(T1235)),IF(R1235&gt;T1235,"boven UCL",IF(R1235&lt;S1235,"onder LCL","")),"")</f>
        <v/>
      </c>
    </row>
    <row r="1236">
      <c r="A1236" t="n">
        <v>1130</v>
      </c>
      <c r="B1236" s="7" t="n"/>
      <c r="C1236" s="11">
        <f>IF(AND(ISNUMBER(B1236),ISNUMBER(B1235)),ABS(B1236-B1235),"")</f>
        <v/>
      </c>
      <c r="D1236" s="13">
        <f>IF(AND(ISNUMBER(B1236),ISNUMBER($B$88),ISNUMBER($D$88)),IF(B1236&gt;$D$88,"boven UCL",IF(B1236&lt;$B$88,"onder LCL","")),"")</f>
        <v/>
      </c>
      <c r="E1236" s="13">
        <f>IF(AND(ISNUMBER(C1236),ISNUMBER($B$89),ISNUMBER($D$89)),IF(C1236&gt;$D$89,"boven UCL",IF(C1236&lt;$B$89,"onder LCL","")),"")</f>
        <v/>
      </c>
      <c r="G1236" t="n">
        <v>1130</v>
      </c>
      <c r="H1236" s="7" t="n"/>
      <c r="I1236" s="7" t="n"/>
      <c r="J1236" s="11">
        <f>IF(AND(ISNUMBER(H1236),ISNUMBER(I1236),H1236&gt;0,ISNUMBER($B$94)),I1236/H1236,"")</f>
        <v/>
      </c>
      <c r="K1236" s="11">
        <f>IF(AND(ISNUMBER(H1236),ISNUMBER(I1236),H1236&gt;0,ISNUMBER($B$94)),MAX(0,$B$94-3*SQRT($B$94*(1-$B$94)/H1236)),"")</f>
        <v/>
      </c>
      <c r="L1236" s="11">
        <f>IF(AND(ISNUMBER(H1236),ISNUMBER(I1236),H1236&gt;0,ISNUMBER($B$94)),$B$94+3*SQRT($B$94*(1-$B$94)/H1236),"")</f>
        <v/>
      </c>
      <c r="M1236" s="13">
        <f>IF(AND(ISNUMBER(J1236),ISNUMBER(K1236),ISNUMBER(L1236)),IF(J1236&gt;L1236,"boven UCL",IF(J1236&lt;K1236,"onder LCL","")),"")</f>
        <v/>
      </c>
      <c r="O1236" t="n">
        <v>1130</v>
      </c>
      <c r="P1236" s="7" t="n"/>
      <c r="Q1236" s="7" t="n"/>
      <c r="R1236" s="11">
        <f>IF(AND(ISNUMBER(P1236),ISNUMBER(Q1236),P1236&gt;0,ISNUMBER($B$100)),Q1236/P1236,"")</f>
        <v/>
      </c>
      <c r="S1236" s="11">
        <f>IF(AND(ISNUMBER(P1236),ISNUMBER(Q1236),P1236&gt;0,ISNUMBER($B$100)),MAX(0,$B$100-3*SQRT($B$100/P1236)),"")</f>
        <v/>
      </c>
      <c r="T1236" s="11">
        <f>IF(AND(ISNUMBER(P1236),ISNUMBER(Q1236),P1236&gt;0,ISNUMBER($B$100)),$B$100+3*SQRT($B$100/P1236),"")</f>
        <v/>
      </c>
      <c r="U1236" s="13">
        <f>IF(AND(ISNUMBER(R1236),ISNUMBER(S1236),ISNUMBER(T1236)),IF(R1236&gt;T1236,"boven UCL",IF(R1236&lt;S1236,"onder LCL","")),"")</f>
        <v/>
      </c>
    </row>
    <row r="1237">
      <c r="A1237" t="n">
        <v>1131</v>
      </c>
      <c r="B1237" s="7" t="n"/>
      <c r="C1237" s="11">
        <f>IF(AND(ISNUMBER(B1237),ISNUMBER(B1236)),ABS(B1237-B1236),"")</f>
        <v/>
      </c>
      <c r="D1237" s="13">
        <f>IF(AND(ISNUMBER(B1237),ISNUMBER($B$88),ISNUMBER($D$88)),IF(B1237&gt;$D$88,"boven UCL",IF(B1237&lt;$B$88,"onder LCL","")),"")</f>
        <v/>
      </c>
      <c r="E1237" s="13">
        <f>IF(AND(ISNUMBER(C1237),ISNUMBER($B$89),ISNUMBER($D$89)),IF(C1237&gt;$D$89,"boven UCL",IF(C1237&lt;$B$89,"onder LCL","")),"")</f>
        <v/>
      </c>
      <c r="G1237" t="n">
        <v>1131</v>
      </c>
      <c r="H1237" s="7" t="n"/>
      <c r="I1237" s="7" t="n"/>
      <c r="J1237" s="11">
        <f>IF(AND(ISNUMBER(H1237),ISNUMBER(I1237),H1237&gt;0,ISNUMBER($B$94)),I1237/H1237,"")</f>
        <v/>
      </c>
      <c r="K1237" s="11">
        <f>IF(AND(ISNUMBER(H1237),ISNUMBER(I1237),H1237&gt;0,ISNUMBER($B$94)),MAX(0,$B$94-3*SQRT($B$94*(1-$B$94)/H1237)),"")</f>
        <v/>
      </c>
      <c r="L1237" s="11">
        <f>IF(AND(ISNUMBER(H1237),ISNUMBER(I1237),H1237&gt;0,ISNUMBER($B$94)),$B$94+3*SQRT($B$94*(1-$B$94)/H1237),"")</f>
        <v/>
      </c>
      <c r="M1237" s="13">
        <f>IF(AND(ISNUMBER(J1237),ISNUMBER(K1237),ISNUMBER(L1237)),IF(J1237&gt;L1237,"boven UCL",IF(J1237&lt;K1237,"onder LCL","")),"")</f>
        <v/>
      </c>
      <c r="O1237" t="n">
        <v>1131</v>
      </c>
      <c r="P1237" s="7" t="n"/>
      <c r="Q1237" s="7" t="n"/>
      <c r="R1237" s="11">
        <f>IF(AND(ISNUMBER(P1237),ISNUMBER(Q1237),P1237&gt;0,ISNUMBER($B$100)),Q1237/P1237,"")</f>
        <v/>
      </c>
      <c r="S1237" s="11">
        <f>IF(AND(ISNUMBER(P1237),ISNUMBER(Q1237),P1237&gt;0,ISNUMBER($B$100)),MAX(0,$B$100-3*SQRT($B$100/P1237)),"")</f>
        <v/>
      </c>
      <c r="T1237" s="11">
        <f>IF(AND(ISNUMBER(P1237),ISNUMBER(Q1237),P1237&gt;0,ISNUMBER($B$100)),$B$100+3*SQRT($B$100/P1237),"")</f>
        <v/>
      </c>
      <c r="U1237" s="13">
        <f>IF(AND(ISNUMBER(R1237),ISNUMBER(S1237),ISNUMBER(T1237)),IF(R1237&gt;T1237,"boven UCL",IF(R1237&lt;S1237,"onder LCL","")),"")</f>
        <v/>
      </c>
    </row>
    <row r="1238">
      <c r="A1238" t="n">
        <v>1132</v>
      </c>
      <c r="B1238" s="7" t="n"/>
      <c r="C1238" s="11">
        <f>IF(AND(ISNUMBER(B1238),ISNUMBER(B1237)),ABS(B1238-B1237),"")</f>
        <v/>
      </c>
      <c r="D1238" s="13">
        <f>IF(AND(ISNUMBER(B1238),ISNUMBER($B$88),ISNUMBER($D$88)),IF(B1238&gt;$D$88,"boven UCL",IF(B1238&lt;$B$88,"onder LCL","")),"")</f>
        <v/>
      </c>
      <c r="E1238" s="13">
        <f>IF(AND(ISNUMBER(C1238),ISNUMBER($B$89),ISNUMBER($D$89)),IF(C1238&gt;$D$89,"boven UCL",IF(C1238&lt;$B$89,"onder LCL","")),"")</f>
        <v/>
      </c>
      <c r="G1238" t="n">
        <v>1132</v>
      </c>
      <c r="H1238" s="7" t="n"/>
      <c r="I1238" s="7" t="n"/>
      <c r="J1238" s="11">
        <f>IF(AND(ISNUMBER(H1238),ISNUMBER(I1238),H1238&gt;0,ISNUMBER($B$94)),I1238/H1238,"")</f>
        <v/>
      </c>
      <c r="K1238" s="11">
        <f>IF(AND(ISNUMBER(H1238),ISNUMBER(I1238),H1238&gt;0,ISNUMBER($B$94)),MAX(0,$B$94-3*SQRT($B$94*(1-$B$94)/H1238)),"")</f>
        <v/>
      </c>
      <c r="L1238" s="11">
        <f>IF(AND(ISNUMBER(H1238),ISNUMBER(I1238),H1238&gt;0,ISNUMBER($B$94)),$B$94+3*SQRT($B$94*(1-$B$94)/H1238),"")</f>
        <v/>
      </c>
      <c r="M1238" s="13">
        <f>IF(AND(ISNUMBER(J1238),ISNUMBER(K1238),ISNUMBER(L1238)),IF(J1238&gt;L1238,"boven UCL",IF(J1238&lt;K1238,"onder LCL","")),"")</f>
        <v/>
      </c>
      <c r="O1238" t="n">
        <v>1132</v>
      </c>
      <c r="P1238" s="7" t="n"/>
      <c r="Q1238" s="7" t="n"/>
      <c r="R1238" s="11">
        <f>IF(AND(ISNUMBER(P1238),ISNUMBER(Q1238),P1238&gt;0,ISNUMBER($B$100)),Q1238/P1238,"")</f>
        <v/>
      </c>
      <c r="S1238" s="11">
        <f>IF(AND(ISNUMBER(P1238),ISNUMBER(Q1238),P1238&gt;0,ISNUMBER($B$100)),MAX(0,$B$100-3*SQRT($B$100/P1238)),"")</f>
        <v/>
      </c>
      <c r="T1238" s="11">
        <f>IF(AND(ISNUMBER(P1238),ISNUMBER(Q1238),P1238&gt;0,ISNUMBER($B$100)),$B$100+3*SQRT($B$100/P1238),"")</f>
        <v/>
      </c>
      <c r="U1238" s="13">
        <f>IF(AND(ISNUMBER(R1238),ISNUMBER(S1238),ISNUMBER(T1238)),IF(R1238&gt;T1238,"boven UCL",IF(R1238&lt;S1238,"onder LCL","")),"")</f>
        <v/>
      </c>
    </row>
    <row r="1239">
      <c r="A1239" t="n">
        <v>1133</v>
      </c>
      <c r="B1239" s="7" t="n"/>
      <c r="C1239" s="11">
        <f>IF(AND(ISNUMBER(B1239),ISNUMBER(B1238)),ABS(B1239-B1238),"")</f>
        <v/>
      </c>
      <c r="D1239" s="13">
        <f>IF(AND(ISNUMBER(B1239),ISNUMBER($B$88),ISNUMBER($D$88)),IF(B1239&gt;$D$88,"boven UCL",IF(B1239&lt;$B$88,"onder LCL","")),"")</f>
        <v/>
      </c>
      <c r="E1239" s="13">
        <f>IF(AND(ISNUMBER(C1239),ISNUMBER($B$89),ISNUMBER($D$89)),IF(C1239&gt;$D$89,"boven UCL",IF(C1239&lt;$B$89,"onder LCL","")),"")</f>
        <v/>
      </c>
      <c r="G1239" t="n">
        <v>1133</v>
      </c>
      <c r="H1239" s="7" t="n"/>
      <c r="I1239" s="7" t="n"/>
      <c r="J1239" s="11">
        <f>IF(AND(ISNUMBER(H1239),ISNUMBER(I1239),H1239&gt;0,ISNUMBER($B$94)),I1239/H1239,"")</f>
        <v/>
      </c>
      <c r="K1239" s="11">
        <f>IF(AND(ISNUMBER(H1239),ISNUMBER(I1239),H1239&gt;0,ISNUMBER($B$94)),MAX(0,$B$94-3*SQRT($B$94*(1-$B$94)/H1239)),"")</f>
        <v/>
      </c>
      <c r="L1239" s="11">
        <f>IF(AND(ISNUMBER(H1239),ISNUMBER(I1239),H1239&gt;0,ISNUMBER($B$94)),$B$94+3*SQRT($B$94*(1-$B$94)/H1239),"")</f>
        <v/>
      </c>
      <c r="M1239" s="13">
        <f>IF(AND(ISNUMBER(J1239),ISNUMBER(K1239),ISNUMBER(L1239)),IF(J1239&gt;L1239,"boven UCL",IF(J1239&lt;K1239,"onder LCL","")),"")</f>
        <v/>
      </c>
      <c r="O1239" t="n">
        <v>1133</v>
      </c>
      <c r="P1239" s="7" t="n"/>
      <c r="Q1239" s="7" t="n"/>
      <c r="R1239" s="11">
        <f>IF(AND(ISNUMBER(P1239),ISNUMBER(Q1239),P1239&gt;0,ISNUMBER($B$100)),Q1239/P1239,"")</f>
        <v/>
      </c>
      <c r="S1239" s="11">
        <f>IF(AND(ISNUMBER(P1239),ISNUMBER(Q1239),P1239&gt;0,ISNUMBER($B$100)),MAX(0,$B$100-3*SQRT($B$100/P1239)),"")</f>
        <v/>
      </c>
      <c r="T1239" s="11">
        <f>IF(AND(ISNUMBER(P1239),ISNUMBER(Q1239),P1239&gt;0,ISNUMBER($B$100)),$B$100+3*SQRT($B$100/P1239),"")</f>
        <v/>
      </c>
      <c r="U1239" s="13">
        <f>IF(AND(ISNUMBER(R1239),ISNUMBER(S1239),ISNUMBER(T1239)),IF(R1239&gt;T1239,"boven UCL",IF(R1239&lt;S1239,"onder LCL","")),"")</f>
        <v/>
      </c>
    </row>
    <row r="1240">
      <c r="A1240" t="n">
        <v>1134</v>
      </c>
      <c r="B1240" s="7" t="n"/>
      <c r="C1240" s="11">
        <f>IF(AND(ISNUMBER(B1240),ISNUMBER(B1239)),ABS(B1240-B1239),"")</f>
        <v/>
      </c>
      <c r="D1240" s="13">
        <f>IF(AND(ISNUMBER(B1240),ISNUMBER($B$88),ISNUMBER($D$88)),IF(B1240&gt;$D$88,"boven UCL",IF(B1240&lt;$B$88,"onder LCL","")),"")</f>
        <v/>
      </c>
      <c r="E1240" s="13">
        <f>IF(AND(ISNUMBER(C1240),ISNUMBER($B$89),ISNUMBER($D$89)),IF(C1240&gt;$D$89,"boven UCL",IF(C1240&lt;$B$89,"onder LCL","")),"")</f>
        <v/>
      </c>
      <c r="G1240" t="n">
        <v>1134</v>
      </c>
      <c r="H1240" s="7" t="n"/>
      <c r="I1240" s="7" t="n"/>
      <c r="J1240" s="11">
        <f>IF(AND(ISNUMBER(H1240),ISNUMBER(I1240),H1240&gt;0,ISNUMBER($B$94)),I1240/H1240,"")</f>
        <v/>
      </c>
      <c r="K1240" s="11">
        <f>IF(AND(ISNUMBER(H1240),ISNUMBER(I1240),H1240&gt;0,ISNUMBER($B$94)),MAX(0,$B$94-3*SQRT($B$94*(1-$B$94)/H1240)),"")</f>
        <v/>
      </c>
      <c r="L1240" s="11">
        <f>IF(AND(ISNUMBER(H1240),ISNUMBER(I1240),H1240&gt;0,ISNUMBER($B$94)),$B$94+3*SQRT($B$94*(1-$B$94)/H1240),"")</f>
        <v/>
      </c>
      <c r="M1240" s="13">
        <f>IF(AND(ISNUMBER(J1240),ISNUMBER(K1240),ISNUMBER(L1240)),IF(J1240&gt;L1240,"boven UCL",IF(J1240&lt;K1240,"onder LCL","")),"")</f>
        <v/>
      </c>
      <c r="O1240" t="n">
        <v>1134</v>
      </c>
      <c r="P1240" s="7" t="n"/>
      <c r="Q1240" s="7" t="n"/>
      <c r="R1240" s="11">
        <f>IF(AND(ISNUMBER(P1240),ISNUMBER(Q1240),P1240&gt;0,ISNUMBER($B$100)),Q1240/P1240,"")</f>
        <v/>
      </c>
      <c r="S1240" s="11">
        <f>IF(AND(ISNUMBER(P1240),ISNUMBER(Q1240),P1240&gt;0,ISNUMBER($B$100)),MAX(0,$B$100-3*SQRT($B$100/P1240)),"")</f>
        <v/>
      </c>
      <c r="T1240" s="11">
        <f>IF(AND(ISNUMBER(P1240),ISNUMBER(Q1240),P1240&gt;0,ISNUMBER($B$100)),$B$100+3*SQRT($B$100/P1240),"")</f>
        <v/>
      </c>
      <c r="U1240" s="13">
        <f>IF(AND(ISNUMBER(R1240),ISNUMBER(S1240),ISNUMBER(T1240)),IF(R1240&gt;T1240,"boven UCL",IF(R1240&lt;S1240,"onder LCL","")),"")</f>
        <v/>
      </c>
    </row>
    <row r="1241">
      <c r="A1241" t="n">
        <v>1135</v>
      </c>
      <c r="B1241" s="7" t="n"/>
      <c r="C1241" s="11">
        <f>IF(AND(ISNUMBER(B1241),ISNUMBER(B1240)),ABS(B1241-B1240),"")</f>
        <v/>
      </c>
      <c r="D1241" s="13">
        <f>IF(AND(ISNUMBER(B1241),ISNUMBER($B$88),ISNUMBER($D$88)),IF(B1241&gt;$D$88,"boven UCL",IF(B1241&lt;$B$88,"onder LCL","")),"")</f>
        <v/>
      </c>
      <c r="E1241" s="13">
        <f>IF(AND(ISNUMBER(C1241),ISNUMBER($B$89),ISNUMBER($D$89)),IF(C1241&gt;$D$89,"boven UCL",IF(C1241&lt;$B$89,"onder LCL","")),"")</f>
        <v/>
      </c>
      <c r="G1241" t="n">
        <v>1135</v>
      </c>
      <c r="H1241" s="7" t="n"/>
      <c r="I1241" s="7" t="n"/>
      <c r="J1241" s="11">
        <f>IF(AND(ISNUMBER(H1241),ISNUMBER(I1241),H1241&gt;0,ISNUMBER($B$94)),I1241/H1241,"")</f>
        <v/>
      </c>
      <c r="K1241" s="11">
        <f>IF(AND(ISNUMBER(H1241),ISNUMBER(I1241),H1241&gt;0,ISNUMBER($B$94)),MAX(0,$B$94-3*SQRT($B$94*(1-$B$94)/H1241)),"")</f>
        <v/>
      </c>
      <c r="L1241" s="11">
        <f>IF(AND(ISNUMBER(H1241),ISNUMBER(I1241),H1241&gt;0,ISNUMBER($B$94)),$B$94+3*SQRT($B$94*(1-$B$94)/H1241),"")</f>
        <v/>
      </c>
      <c r="M1241" s="13">
        <f>IF(AND(ISNUMBER(J1241),ISNUMBER(K1241),ISNUMBER(L1241)),IF(J1241&gt;L1241,"boven UCL",IF(J1241&lt;K1241,"onder LCL","")),"")</f>
        <v/>
      </c>
      <c r="O1241" t="n">
        <v>1135</v>
      </c>
      <c r="P1241" s="7" t="n"/>
      <c r="Q1241" s="7" t="n"/>
      <c r="R1241" s="11">
        <f>IF(AND(ISNUMBER(P1241),ISNUMBER(Q1241),P1241&gt;0,ISNUMBER($B$100)),Q1241/P1241,"")</f>
        <v/>
      </c>
      <c r="S1241" s="11">
        <f>IF(AND(ISNUMBER(P1241),ISNUMBER(Q1241),P1241&gt;0,ISNUMBER($B$100)),MAX(0,$B$100-3*SQRT($B$100/P1241)),"")</f>
        <v/>
      </c>
      <c r="T1241" s="11">
        <f>IF(AND(ISNUMBER(P1241),ISNUMBER(Q1241),P1241&gt;0,ISNUMBER($B$100)),$B$100+3*SQRT($B$100/P1241),"")</f>
        <v/>
      </c>
      <c r="U1241" s="13">
        <f>IF(AND(ISNUMBER(R1241),ISNUMBER(S1241),ISNUMBER(T1241)),IF(R1241&gt;T1241,"boven UCL",IF(R1241&lt;S1241,"onder LCL","")),"")</f>
        <v/>
      </c>
    </row>
    <row r="1242">
      <c r="A1242" t="n">
        <v>1136</v>
      </c>
      <c r="B1242" s="7" t="n"/>
      <c r="C1242" s="11">
        <f>IF(AND(ISNUMBER(B1242),ISNUMBER(B1241)),ABS(B1242-B1241),"")</f>
        <v/>
      </c>
      <c r="D1242" s="13">
        <f>IF(AND(ISNUMBER(B1242),ISNUMBER($B$88),ISNUMBER($D$88)),IF(B1242&gt;$D$88,"boven UCL",IF(B1242&lt;$B$88,"onder LCL","")),"")</f>
        <v/>
      </c>
      <c r="E1242" s="13">
        <f>IF(AND(ISNUMBER(C1242),ISNUMBER($B$89),ISNUMBER($D$89)),IF(C1242&gt;$D$89,"boven UCL",IF(C1242&lt;$B$89,"onder LCL","")),"")</f>
        <v/>
      </c>
      <c r="G1242" t="n">
        <v>1136</v>
      </c>
      <c r="H1242" s="7" t="n"/>
      <c r="I1242" s="7" t="n"/>
      <c r="J1242" s="11">
        <f>IF(AND(ISNUMBER(H1242),ISNUMBER(I1242),H1242&gt;0,ISNUMBER($B$94)),I1242/H1242,"")</f>
        <v/>
      </c>
      <c r="K1242" s="11">
        <f>IF(AND(ISNUMBER(H1242),ISNUMBER(I1242),H1242&gt;0,ISNUMBER($B$94)),MAX(0,$B$94-3*SQRT($B$94*(1-$B$94)/H1242)),"")</f>
        <v/>
      </c>
      <c r="L1242" s="11">
        <f>IF(AND(ISNUMBER(H1242),ISNUMBER(I1242),H1242&gt;0,ISNUMBER($B$94)),$B$94+3*SQRT($B$94*(1-$B$94)/H1242),"")</f>
        <v/>
      </c>
      <c r="M1242" s="13">
        <f>IF(AND(ISNUMBER(J1242),ISNUMBER(K1242),ISNUMBER(L1242)),IF(J1242&gt;L1242,"boven UCL",IF(J1242&lt;K1242,"onder LCL","")),"")</f>
        <v/>
      </c>
      <c r="O1242" t="n">
        <v>1136</v>
      </c>
      <c r="P1242" s="7" t="n"/>
      <c r="Q1242" s="7" t="n"/>
      <c r="R1242" s="11">
        <f>IF(AND(ISNUMBER(P1242),ISNUMBER(Q1242),P1242&gt;0,ISNUMBER($B$100)),Q1242/P1242,"")</f>
        <v/>
      </c>
      <c r="S1242" s="11">
        <f>IF(AND(ISNUMBER(P1242),ISNUMBER(Q1242),P1242&gt;0,ISNUMBER($B$100)),MAX(0,$B$100-3*SQRT($B$100/P1242)),"")</f>
        <v/>
      </c>
      <c r="T1242" s="11">
        <f>IF(AND(ISNUMBER(P1242),ISNUMBER(Q1242),P1242&gt;0,ISNUMBER($B$100)),$B$100+3*SQRT($B$100/P1242),"")</f>
        <v/>
      </c>
      <c r="U1242" s="13">
        <f>IF(AND(ISNUMBER(R1242),ISNUMBER(S1242),ISNUMBER(T1242)),IF(R1242&gt;T1242,"boven UCL",IF(R1242&lt;S1242,"onder LCL","")),"")</f>
        <v/>
      </c>
    </row>
    <row r="1243">
      <c r="A1243" t="n">
        <v>1137</v>
      </c>
      <c r="B1243" s="7" t="n"/>
      <c r="C1243" s="11">
        <f>IF(AND(ISNUMBER(B1243),ISNUMBER(B1242)),ABS(B1243-B1242),"")</f>
        <v/>
      </c>
      <c r="D1243" s="13">
        <f>IF(AND(ISNUMBER(B1243),ISNUMBER($B$88),ISNUMBER($D$88)),IF(B1243&gt;$D$88,"boven UCL",IF(B1243&lt;$B$88,"onder LCL","")),"")</f>
        <v/>
      </c>
      <c r="E1243" s="13">
        <f>IF(AND(ISNUMBER(C1243),ISNUMBER($B$89),ISNUMBER($D$89)),IF(C1243&gt;$D$89,"boven UCL",IF(C1243&lt;$B$89,"onder LCL","")),"")</f>
        <v/>
      </c>
      <c r="G1243" t="n">
        <v>1137</v>
      </c>
      <c r="H1243" s="7" t="n"/>
      <c r="I1243" s="7" t="n"/>
      <c r="J1243" s="11">
        <f>IF(AND(ISNUMBER(H1243),ISNUMBER(I1243),H1243&gt;0,ISNUMBER($B$94)),I1243/H1243,"")</f>
        <v/>
      </c>
      <c r="K1243" s="11">
        <f>IF(AND(ISNUMBER(H1243),ISNUMBER(I1243),H1243&gt;0,ISNUMBER($B$94)),MAX(0,$B$94-3*SQRT($B$94*(1-$B$94)/H1243)),"")</f>
        <v/>
      </c>
      <c r="L1243" s="11">
        <f>IF(AND(ISNUMBER(H1243),ISNUMBER(I1243),H1243&gt;0,ISNUMBER($B$94)),$B$94+3*SQRT($B$94*(1-$B$94)/H1243),"")</f>
        <v/>
      </c>
      <c r="M1243" s="13">
        <f>IF(AND(ISNUMBER(J1243),ISNUMBER(K1243),ISNUMBER(L1243)),IF(J1243&gt;L1243,"boven UCL",IF(J1243&lt;K1243,"onder LCL","")),"")</f>
        <v/>
      </c>
      <c r="O1243" t="n">
        <v>1137</v>
      </c>
      <c r="P1243" s="7" t="n"/>
      <c r="Q1243" s="7" t="n"/>
      <c r="R1243" s="11">
        <f>IF(AND(ISNUMBER(P1243),ISNUMBER(Q1243),P1243&gt;0,ISNUMBER($B$100)),Q1243/P1243,"")</f>
        <v/>
      </c>
      <c r="S1243" s="11">
        <f>IF(AND(ISNUMBER(P1243),ISNUMBER(Q1243),P1243&gt;0,ISNUMBER($B$100)),MAX(0,$B$100-3*SQRT($B$100/P1243)),"")</f>
        <v/>
      </c>
      <c r="T1243" s="11">
        <f>IF(AND(ISNUMBER(P1243),ISNUMBER(Q1243),P1243&gt;0,ISNUMBER($B$100)),$B$100+3*SQRT($B$100/P1243),"")</f>
        <v/>
      </c>
      <c r="U1243" s="13">
        <f>IF(AND(ISNUMBER(R1243),ISNUMBER(S1243),ISNUMBER(T1243)),IF(R1243&gt;T1243,"boven UCL",IF(R1243&lt;S1243,"onder LCL","")),"")</f>
        <v/>
      </c>
    </row>
    <row r="1244">
      <c r="A1244" t="n">
        <v>1138</v>
      </c>
      <c r="B1244" s="7" t="n"/>
      <c r="C1244" s="11">
        <f>IF(AND(ISNUMBER(B1244),ISNUMBER(B1243)),ABS(B1244-B1243),"")</f>
        <v/>
      </c>
      <c r="D1244" s="13">
        <f>IF(AND(ISNUMBER(B1244),ISNUMBER($B$88),ISNUMBER($D$88)),IF(B1244&gt;$D$88,"boven UCL",IF(B1244&lt;$B$88,"onder LCL","")),"")</f>
        <v/>
      </c>
      <c r="E1244" s="13">
        <f>IF(AND(ISNUMBER(C1244),ISNUMBER($B$89),ISNUMBER($D$89)),IF(C1244&gt;$D$89,"boven UCL",IF(C1244&lt;$B$89,"onder LCL","")),"")</f>
        <v/>
      </c>
      <c r="G1244" t="n">
        <v>1138</v>
      </c>
      <c r="H1244" s="7" t="n"/>
      <c r="I1244" s="7" t="n"/>
      <c r="J1244" s="11">
        <f>IF(AND(ISNUMBER(H1244),ISNUMBER(I1244),H1244&gt;0,ISNUMBER($B$94)),I1244/H1244,"")</f>
        <v/>
      </c>
      <c r="K1244" s="11">
        <f>IF(AND(ISNUMBER(H1244),ISNUMBER(I1244),H1244&gt;0,ISNUMBER($B$94)),MAX(0,$B$94-3*SQRT($B$94*(1-$B$94)/H1244)),"")</f>
        <v/>
      </c>
      <c r="L1244" s="11">
        <f>IF(AND(ISNUMBER(H1244),ISNUMBER(I1244),H1244&gt;0,ISNUMBER($B$94)),$B$94+3*SQRT($B$94*(1-$B$94)/H1244),"")</f>
        <v/>
      </c>
      <c r="M1244" s="13">
        <f>IF(AND(ISNUMBER(J1244),ISNUMBER(K1244),ISNUMBER(L1244)),IF(J1244&gt;L1244,"boven UCL",IF(J1244&lt;K1244,"onder LCL","")),"")</f>
        <v/>
      </c>
      <c r="O1244" t="n">
        <v>1138</v>
      </c>
      <c r="P1244" s="7" t="n"/>
      <c r="Q1244" s="7" t="n"/>
      <c r="R1244" s="11">
        <f>IF(AND(ISNUMBER(P1244),ISNUMBER(Q1244),P1244&gt;0,ISNUMBER($B$100)),Q1244/P1244,"")</f>
        <v/>
      </c>
      <c r="S1244" s="11">
        <f>IF(AND(ISNUMBER(P1244),ISNUMBER(Q1244),P1244&gt;0,ISNUMBER($B$100)),MAX(0,$B$100-3*SQRT($B$100/P1244)),"")</f>
        <v/>
      </c>
      <c r="T1244" s="11">
        <f>IF(AND(ISNUMBER(P1244),ISNUMBER(Q1244),P1244&gt;0,ISNUMBER($B$100)),$B$100+3*SQRT($B$100/P1244),"")</f>
        <v/>
      </c>
      <c r="U1244" s="13">
        <f>IF(AND(ISNUMBER(R1244),ISNUMBER(S1244),ISNUMBER(T1244)),IF(R1244&gt;T1244,"boven UCL",IF(R1244&lt;S1244,"onder LCL","")),"")</f>
        <v/>
      </c>
    </row>
    <row r="1245">
      <c r="A1245" t="n">
        <v>1139</v>
      </c>
      <c r="B1245" s="7" t="n"/>
      <c r="C1245" s="11">
        <f>IF(AND(ISNUMBER(B1245),ISNUMBER(B1244)),ABS(B1245-B1244),"")</f>
        <v/>
      </c>
      <c r="D1245" s="13">
        <f>IF(AND(ISNUMBER(B1245),ISNUMBER($B$88),ISNUMBER($D$88)),IF(B1245&gt;$D$88,"boven UCL",IF(B1245&lt;$B$88,"onder LCL","")),"")</f>
        <v/>
      </c>
      <c r="E1245" s="13">
        <f>IF(AND(ISNUMBER(C1245),ISNUMBER($B$89),ISNUMBER($D$89)),IF(C1245&gt;$D$89,"boven UCL",IF(C1245&lt;$B$89,"onder LCL","")),"")</f>
        <v/>
      </c>
      <c r="G1245" t="n">
        <v>1139</v>
      </c>
      <c r="H1245" s="7" t="n"/>
      <c r="I1245" s="7" t="n"/>
      <c r="J1245" s="11">
        <f>IF(AND(ISNUMBER(H1245),ISNUMBER(I1245),H1245&gt;0,ISNUMBER($B$94)),I1245/H1245,"")</f>
        <v/>
      </c>
      <c r="K1245" s="11">
        <f>IF(AND(ISNUMBER(H1245),ISNUMBER(I1245),H1245&gt;0,ISNUMBER($B$94)),MAX(0,$B$94-3*SQRT($B$94*(1-$B$94)/H1245)),"")</f>
        <v/>
      </c>
      <c r="L1245" s="11">
        <f>IF(AND(ISNUMBER(H1245),ISNUMBER(I1245),H1245&gt;0,ISNUMBER($B$94)),$B$94+3*SQRT($B$94*(1-$B$94)/H1245),"")</f>
        <v/>
      </c>
      <c r="M1245" s="13">
        <f>IF(AND(ISNUMBER(J1245),ISNUMBER(K1245),ISNUMBER(L1245)),IF(J1245&gt;L1245,"boven UCL",IF(J1245&lt;K1245,"onder LCL","")),"")</f>
        <v/>
      </c>
      <c r="O1245" t="n">
        <v>1139</v>
      </c>
      <c r="P1245" s="7" t="n"/>
      <c r="Q1245" s="7" t="n"/>
      <c r="R1245" s="11">
        <f>IF(AND(ISNUMBER(P1245),ISNUMBER(Q1245),P1245&gt;0,ISNUMBER($B$100)),Q1245/P1245,"")</f>
        <v/>
      </c>
      <c r="S1245" s="11">
        <f>IF(AND(ISNUMBER(P1245),ISNUMBER(Q1245),P1245&gt;0,ISNUMBER($B$100)),MAX(0,$B$100-3*SQRT($B$100/P1245)),"")</f>
        <v/>
      </c>
      <c r="T1245" s="11">
        <f>IF(AND(ISNUMBER(P1245),ISNUMBER(Q1245),P1245&gt;0,ISNUMBER($B$100)),$B$100+3*SQRT($B$100/P1245),"")</f>
        <v/>
      </c>
      <c r="U1245" s="13">
        <f>IF(AND(ISNUMBER(R1245),ISNUMBER(S1245),ISNUMBER(T1245)),IF(R1245&gt;T1245,"boven UCL",IF(R1245&lt;S1245,"onder LCL","")),"")</f>
        <v/>
      </c>
    </row>
    <row r="1246">
      <c r="A1246" t="n">
        <v>1140</v>
      </c>
      <c r="B1246" s="7" t="n"/>
      <c r="C1246" s="11">
        <f>IF(AND(ISNUMBER(B1246),ISNUMBER(B1245)),ABS(B1246-B1245),"")</f>
        <v/>
      </c>
      <c r="D1246" s="13">
        <f>IF(AND(ISNUMBER(B1246),ISNUMBER($B$88),ISNUMBER($D$88)),IF(B1246&gt;$D$88,"boven UCL",IF(B1246&lt;$B$88,"onder LCL","")),"")</f>
        <v/>
      </c>
      <c r="E1246" s="13">
        <f>IF(AND(ISNUMBER(C1246),ISNUMBER($B$89),ISNUMBER($D$89)),IF(C1246&gt;$D$89,"boven UCL",IF(C1246&lt;$B$89,"onder LCL","")),"")</f>
        <v/>
      </c>
      <c r="G1246" t="n">
        <v>1140</v>
      </c>
      <c r="H1246" s="7" t="n"/>
      <c r="I1246" s="7" t="n"/>
      <c r="J1246" s="11">
        <f>IF(AND(ISNUMBER(H1246),ISNUMBER(I1246),H1246&gt;0,ISNUMBER($B$94)),I1246/H1246,"")</f>
        <v/>
      </c>
      <c r="K1246" s="11">
        <f>IF(AND(ISNUMBER(H1246),ISNUMBER(I1246),H1246&gt;0,ISNUMBER($B$94)),MAX(0,$B$94-3*SQRT($B$94*(1-$B$94)/H1246)),"")</f>
        <v/>
      </c>
      <c r="L1246" s="11">
        <f>IF(AND(ISNUMBER(H1246),ISNUMBER(I1246),H1246&gt;0,ISNUMBER($B$94)),$B$94+3*SQRT($B$94*(1-$B$94)/H1246),"")</f>
        <v/>
      </c>
      <c r="M1246" s="13">
        <f>IF(AND(ISNUMBER(J1246),ISNUMBER(K1246),ISNUMBER(L1246)),IF(J1246&gt;L1246,"boven UCL",IF(J1246&lt;K1246,"onder LCL","")),"")</f>
        <v/>
      </c>
      <c r="O1246" t="n">
        <v>1140</v>
      </c>
      <c r="P1246" s="7" t="n"/>
      <c r="Q1246" s="7" t="n"/>
      <c r="R1246" s="11">
        <f>IF(AND(ISNUMBER(P1246),ISNUMBER(Q1246),P1246&gt;0,ISNUMBER($B$100)),Q1246/P1246,"")</f>
        <v/>
      </c>
      <c r="S1246" s="11">
        <f>IF(AND(ISNUMBER(P1246),ISNUMBER(Q1246),P1246&gt;0,ISNUMBER($B$100)),MAX(0,$B$100-3*SQRT($B$100/P1246)),"")</f>
        <v/>
      </c>
      <c r="T1246" s="11">
        <f>IF(AND(ISNUMBER(P1246),ISNUMBER(Q1246),P1246&gt;0,ISNUMBER($B$100)),$B$100+3*SQRT($B$100/P1246),"")</f>
        <v/>
      </c>
      <c r="U1246" s="13">
        <f>IF(AND(ISNUMBER(R1246),ISNUMBER(S1246),ISNUMBER(T1246)),IF(R1246&gt;T1246,"boven UCL",IF(R1246&lt;S1246,"onder LCL","")),"")</f>
        <v/>
      </c>
    </row>
    <row r="1247">
      <c r="A1247" t="n">
        <v>1141</v>
      </c>
      <c r="B1247" s="7" t="n"/>
      <c r="C1247" s="11">
        <f>IF(AND(ISNUMBER(B1247),ISNUMBER(B1246)),ABS(B1247-B1246),"")</f>
        <v/>
      </c>
      <c r="D1247" s="13">
        <f>IF(AND(ISNUMBER(B1247),ISNUMBER($B$88),ISNUMBER($D$88)),IF(B1247&gt;$D$88,"boven UCL",IF(B1247&lt;$B$88,"onder LCL","")),"")</f>
        <v/>
      </c>
      <c r="E1247" s="13">
        <f>IF(AND(ISNUMBER(C1247),ISNUMBER($B$89),ISNUMBER($D$89)),IF(C1247&gt;$D$89,"boven UCL",IF(C1247&lt;$B$89,"onder LCL","")),"")</f>
        <v/>
      </c>
      <c r="G1247" t="n">
        <v>1141</v>
      </c>
      <c r="H1247" s="7" t="n"/>
      <c r="I1247" s="7" t="n"/>
      <c r="J1247" s="11">
        <f>IF(AND(ISNUMBER(H1247),ISNUMBER(I1247),H1247&gt;0,ISNUMBER($B$94)),I1247/H1247,"")</f>
        <v/>
      </c>
      <c r="K1247" s="11">
        <f>IF(AND(ISNUMBER(H1247),ISNUMBER(I1247),H1247&gt;0,ISNUMBER($B$94)),MAX(0,$B$94-3*SQRT($B$94*(1-$B$94)/H1247)),"")</f>
        <v/>
      </c>
      <c r="L1247" s="11">
        <f>IF(AND(ISNUMBER(H1247),ISNUMBER(I1247),H1247&gt;0,ISNUMBER($B$94)),$B$94+3*SQRT($B$94*(1-$B$94)/H1247),"")</f>
        <v/>
      </c>
      <c r="M1247" s="13">
        <f>IF(AND(ISNUMBER(J1247),ISNUMBER(K1247),ISNUMBER(L1247)),IF(J1247&gt;L1247,"boven UCL",IF(J1247&lt;K1247,"onder LCL","")),"")</f>
        <v/>
      </c>
      <c r="O1247" t="n">
        <v>1141</v>
      </c>
      <c r="P1247" s="7" t="n"/>
      <c r="Q1247" s="7" t="n"/>
      <c r="R1247" s="11">
        <f>IF(AND(ISNUMBER(P1247),ISNUMBER(Q1247),P1247&gt;0,ISNUMBER($B$100)),Q1247/P1247,"")</f>
        <v/>
      </c>
      <c r="S1247" s="11">
        <f>IF(AND(ISNUMBER(P1247),ISNUMBER(Q1247),P1247&gt;0,ISNUMBER($B$100)),MAX(0,$B$100-3*SQRT($B$100/P1247)),"")</f>
        <v/>
      </c>
      <c r="T1247" s="11">
        <f>IF(AND(ISNUMBER(P1247),ISNUMBER(Q1247),P1247&gt;0,ISNUMBER($B$100)),$B$100+3*SQRT($B$100/P1247),"")</f>
        <v/>
      </c>
      <c r="U1247" s="13">
        <f>IF(AND(ISNUMBER(R1247),ISNUMBER(S1247),ISNUMBER(T1247)),IF(R1247&gt;T1247,"boven UCL",IF(R1247&lt;S1247,"onder LCL","")),"")</f>
        <v/>
      </c>
    </row>
    <row r="1248">
      <c r="A1248" t="n">
        <v>1142</v>
      </c>
      <c r="B1248" s="7" t="n"/>
      <c r="C1248" s="11">
        <f>IF(AND(ISNUMBER(B1248),ISNUMBER(B1247)),ABS(B1248-B1247),"")</f>
        <v/>
      </c>
      <c r="D1248" s="13">
        <f>IF(AND(ISNUMBER(B1248),ISNUMBER($B$88),ISNUMBER($D$88)),IF(B1248&gt;$D$88,"boven UCL",IF(B1248&lt;$B$88,"onder LCL","")),"")</f>
        <v/>
      </c>
      <c r="E1248" s="13">
        <f>IF(AND(ISNUMBER(C1248),ISNUMBER($B$89),ISNUMBER($D$89)),IF(C1248&gt;$D$89,"boven UCL",IF(C1248&lt;$B$89,"onder LCL","")),"")</f>
        <v/>
      </c>
      <c r="G1248" t="n">
        <v>1142</v>
      </c>
      <c r="H1248" s="7" t="n"/>
      <c r="I1248" s="7" t="n"/>
      <c r="J1248" s="11">
        <f>IF(AND(ISNUMBER(H1248),ISNUMBER(I1248),H1248&gt;0,ISNUMBER($B$94)),I1248/H1248,"")</f>
        <v/>
      </c>
      <c r="K1248" s="11">
        <f>IF(AND(ISNUMBER(H1248),ISNUMBER(I1248),H1248&gt;0,ISNUMBER($B$94)),MAX(0,$B$94-3*SQRT($B$94*(1-$B$94)/H1248)),"")</f>
        <v/>
      </c>
      <c r="L1248" s="11">
        <f>IF(AND(ISNUMBER(H1248),ISNUMBER(I1248),H1248&gt;0,ISNUMBER($B$94)),$B$94+3*SQRT($B$94*(1-$B$94)/H1248),"")</f>
        <v/>
      </c>
      <c r="M1248" s="13">
        <f>IF(AND(ISNUMBER(J1248),ISNUMBER(K1248),ISNUMBER(L1248)),IF(J1248&gt;L1248,"boven UCL",IF(J1248&lt;K1248,"onder LCL","")),"")</f>
        <v/>
      </c>
      <c r="O1248" t="n">
        <v>1142</v>
      </c>
      <c r="P1248" s="7" t="n"/>
      <c r="Q1248" s="7" t="n"/>
      <c r="R1248" s="11">
        <f>IF(AND(ISNUMBER(P1248),ISNUMBER(Q1248),P1248&gt;0,ISNUMBER($B$100)),Q1248/P1248,"")</f>
        <v/>
      </c>
      <c r="S1248" s="11">
        <f>IF(AND(ISNUMBER(P1248),ISNUMBER(Q1248),P1248&gt;0,ISNUMBER($B$100)),MAX(0,$B$100-3*SQRT($B$100/P1248)),"")</f>
        <v/>
      </c>
      <c r="T1248" s="11">
        <f>IF(AND(ISNUMBER(P1248),ISNUMBER(Q1248),P1248&gt;0,ISNUMBER($B$100)),$B$100+3*SQRT($B$100/P1248),"")</f>
        <v/>
      </c>
      <c r="U1248" s="13">
        <f>IF(AND(ISNUMBER(R1248),ISNUMBER(S1248),ISNUMBER(T1248)),IF(R1248&gt;T1248,"boven UCL",IF(R1248&lt;S1248,"onder LCL","")),"")</f>
        <v/>
      </c>
    </row>
    <row r="1249">
      <c r="A1249" t="n">
        <v>1143</v>
      </c>
      <c r="B1249" s="7" t="n"/>
      <c r="C1249" s="11">
        <f>IF(AND(ISNUMBER(B1249),ISNUMBER(B1248)),ABS(B1249-B1248),"")</f>
        <v/>
      </c>
      <c r="D1249" s="13">
        <f>IF(AND(ISNUMBER(B1249),ISNUMBER($B$88),ISNUMBER($D$88)),IF(B1249&gt;$D$88,"boven UCL",IF(B1249&lt;$B$88,"onder LCL","")),"")</f>
        <v/>
      </c>
      <c r="E1249" s="13">
        <f>IF(AND(ISNUMBER(C1249),ISNUMBER($B$89),ISNUMBER($D$89)),IF(C1249&gt;$D$89,"boven UCL",IF(C1249&lt;$B$89,"onder LCL","")),"")</f>
        <v/>
      </c>
      <c r="G1249" t="n">
        <v>1143</v>
      </c>
      <c r="H1249" s="7" t="n"/>
      <c r="I1249" s="7" t="n"/>
      <c r="J1249" s="11">
        <f>IF(AND(ISNUMBER(H1249),ISNUMBER(I1249),H1249&gt;0,ISNUMBER($B$94)),I1249/H1249,"")</f>
        <v/>
      </c>
      <c r="K1249" s="11">
        <f>IF(AND(ISNUMBER(H1249),ISNUMBER(I1249),H1249&gt;0,ISNUMBER($B$94)),MAX(0,$B$94-3*SQRT($B$94*(1-$B$94)/H1249)),"")</f>
        <v/>
      </c>
      <c r="L1249" s="11">
        <f>IF(AND(ISNUMBER(H1249),ISNUMBER(I1249),H1249&gt;0,ISNUMBER($B$94)),$B$94+3*SQRT($B$94*(1-$B$94)/H1249),"")</f>
        <v/>
      </c>
      <c r="M1249" s="13">
        <f>IF(AND(ISNUMBER(J1249),ISNUMBER(K1249),ISNUMBER(L1249)),IF(J1249&gt;L1249,"boven UCL",IF(J1249&lt;K1249,"onder LCL","")),"")</f>
        <v/>
      </c>
      <c r="O1249" t="n">
        <v>1143</v>
      </c>
      <c r="P1249" s="7" t="n"/>
      <c r="Q1249" s="7" t="n"/>
      <c r="R1249" s="11">
        <f>IF(AND(ISNUMBER(P1249),ISNUMBER(Q1249),P1249&gt;0,ISNUMBER($B$100)),Q1249/P1249,"")</f>
        <v/>
      </c>
      <c r="S1249" s="11">
        <f>IF(AND(ISNUMBER(P1249),ISNUMBER(Q1249),P1249&gt;0,ISNUMBER($B$100)),MAX(0,$B$100-3*SQRT($B$100/P1249)),"")</f>
        <v/>
      </c>
      <c r="T1249" s="11">
        <f>IF(AND(ISNUMBER(P1249),ISNUMBER(Q1249),P1249&gt;0,ISNUMBER($B$100)),$B$100+3*SQRT($B$100/P1249),"")</f>
        <v/>
      </c>
      <c r="U1249" s="13">
        <f>IF(AND(ISNUMBER(R1249),ISNUMBER(S1249),ISNUMBER(T1249)),IF(R1249&gt;T1249,"boven UCL",IF(R1249&lt;S1249,"onder LCL","")),"")</f>
        <v/>
      </c>
    </row>
    <row r="1250">
      <c r="A1250" t="n">
        <v>1144</v>
      </c>
      <c r="B1250" s="7" t="n"/>
      <c r="C1250" s="11">
        <f>IF(AND(ISNUMBER(B1250),ISNUMBER(B1249)),ABS(B1250-B1249),"")</f>
        <v/>
      </c>
      <c r="D1250" s="13">
        <f>IF(AND(ISNUMBER(B1250),ISNUMBER($B$88),ISNUMBER($D$88)),IF(B1250&gt;$D$88,"boven UCL",IF(B1250&lt;$B$88,"onder LCL","")),"")</f>
        <v/>
      </c>
      <c r="E1250" s="13">
        <f>IF(AND(ISNUMBER(C1250),ISNUMBER($B$89),ISNUMBER($D$89)),IF(C1250&gt;$D$89,"boven UCL",IF(C1250&lt;$B$89,"onder LCL","")),"")</f>
        <v/>
      </c>
      <c r="G1250" t="n">
        <v>1144</v>
      </c>
      <c r="H1250" s="7" t="n"/>
      <c r="I1250" s="7" t="n"/>
      <c r="J1250" s="11">
        <f>IF(AND(ISNUMBER(H1250),ISNUMBER(I1250),H1250&gt;0,ISNUMBER($B$94)),I1250/H1250,"")</f>
        <v/>
      </c>
      <c r="K1250" s="11">
        <f>IF(AND(ISNUMBER(H1250),ISNUMBER(I1250),H1250&gt;0,ISNUMBER($B$94)),MAX(0,$B$94-3*SQRT($B$94*(1-$B$94)/H1250)),"")</f>
        <v/>
      </c>
      <c r="L1250" s="11">
        <f>IF(AND(ISNUMBER(H1250),ISNUMBER(I1250),H1250&gt;0,ISNUMBER($B$94)),$B$94+3*SQRT($B$94*(1-$B$94)/H1250),"")</f>
        <v/>
      </c>
      <c r="M1250" s="13">
        <f>IF(AND(ISNUMBER(J1250),ISNUMBER(K1250),ISNUMBER(L1250)),IF(J1250&gt;L1250,"boven UCL",IF(J1250&lt;K1250,"onder LCL","")),"")</f>
        <v/>
      </c>
      <c r="O1250" t="n">
        <v>1144</v>
      </c>
      <c r="P1250" s="7" t="n"/>
      <c r="Q1250" s="7" t="n"/>
      <c r="R1250" s="11">
        <f>IF(AND(ISNUMBER(P1250),ISNUMBER(Q1250),P1250&gt;0,ISNUMBER($B$100)),Q1250/P1250,"")</f>
        <v/>
      </c>
      <c r="S1250" s="11">
        <f>IF(AND(ISNUMBER(P1250),ISNUMBER(Q1250),P1250&gt;0,ISNUMBER($B$100)),MAX(0,$B$100-3*SQRT($B$100/P1250)),"")</f>
        <v/>
      </c>
      <c r="T1250" s="11">
        <f>IF(AND(ISNUMBER(P1250),ISNUMBER(Q1250),P1250&gt;0,ISNUMBER($B$100)),$B$100+3*SQRT($B$100/P1250),"")</f>
        <v/>
      </c>
      <c r="U1250" s="13">
        <f>IF(AND(ISNUMBER(R1250),ISNUMBER(S1250),ISNUMBER(T1250)),IF(R1250&gt;T1250,"boven UCL",IF(R1250&lt;S1250,"onder LCL","")),"")</f>
        <v/>
      </c>
    </row>
    <row r="1251">
      <c r="A1251" t="n">
        <v>1145</v>
      </c>
      <c r="B1251" s="7" t="n"/>
      <c r="C1251" s="11">
        <f>IF(AND(ISNUMBER(B1251),ISNUMBER(B1250)),ABS(B1251-B1250),"")</f>
        <v/>
      </c>
      <c r="D1251" s="13">
        <f>IF(AND(ISNUMBER(B1251),ISNUMBER($B$88),ISNUMBER($D$88)),IF(B1251&gt;$D$88,"boven UCL",IF(B1251&lt;$B$88,"onder LCL","")),"")</f>
        <v/>
      </c>
      <c r="E1251" s="13">
        <f>IF(AND(ISNUMBER(C1251),ISNUMBER($B$89),ISNUMBER($D$89)),IF(C1251&gt;$D$89,"boven UCL",IF(C1251&lt;$B$89,"onder LCL","")),"")</f>
        <v/>
      </c>
      <c r="G1251" t="n">
        <v>1145</v>
      </c>
      <c r="H1251" s="7" t="n"/>
      <c r="I1251" s="7" t="n"/>
      <c r="J1251" s="11">
        <f>IF(AND(ISNUMBER(H1251),ISNUMBER(I1251),H1251&gt;0,ISNUMBER($B$94)),I1251/H1251,"")</f>
        <v/>
      </c>
      <c r="K1251" s="11">
        <f>IF(AND(ISNUMBER(H1251),ISNUMBER(I1251),H1251&gt;0,ISNUMBER($B$94)),MAX(0,$B$94-3*SQRT($B$94*(1-$B$94)/H1251)),"")</f>
        <v/>
      </c>
      <c r="L1251" s="11">
        <f>IF(AND(ISNUMBER(H1251),ISNUMBER(I1251),H1251&gt;0,ISNUMBER($B$94)),$B$94+3*SQRT($B$94*(1-$B$94)/H1251),"")</f>
        <v/>
      </c>
      <c r="M1251" s="13">
        <f>IF(AND(ISNUMBER(J1251),ISNUMBER(K1251),ISNUMBER(L1251)),IF(J1251&gt;L1251,"boven UCL",IF(J1251&lt;K1251,"onder LCL","")),"")</f>
        <v/>
      </c>
      <c r="O1251" t="n">
        <v>1145</v>
      </c>
      <c r="P1251" s="7" t="n"/>
      <c r="Q1251" s="7" t="n"/>
      <c r="R1251" s="11">
        <f>IF(AND(ISNUMBER(P1251),ISNUMBER(Q1251),P1251&gt;0,ISNUMBER($B$100)),Q1251/P1251,"")</f>
        <v/>
      </c>
      <c r="S1251" s="11">
        <f>IF(AND(ISNUMBER(P1251),ISNUMBER(Q1251),P1251&gt;0,ISNUMBER($B$100)),MAX(0,$B$100-3*SQRT($B$100/P1251)),"")</f>
        <v/>
      </c>
      <c r="T1251" s="11">
        <f>IF(AND(ISNUMBER(P1251),ISNUMBER(Q1251),P1251&gt;0,ISNUMBER($B$100)),$B$100+3*SQRT($B$100/P1251),"")</f>
        <v/>
      </c>
      <c r="U1251" s="13">
        <f>IF(AND(ISNUMBER(R1251),ISNUMBER(S1251),ISNUMBER(T1251)),IF(R1251&gt;T1251,"boven UCL",IF(R1251&lt;S1251,"onder LCL","")),"")</f>
        <v/>
      </c>
    </row>
    <row r="1252">
      <c r="A1252" t="n">
        <v>1146</v>
      </c>
      <c r="B1252" s="7" t="n"/>
      <c r="C1252" s="11">
        <f>IF(AND(ISNUMBER(B1252),ISNUMBER(B1251)),ABS(B1252-B1251),"")</f>
        <v/>
      </c>
      <c r="D1252" s="13">
        <f>IF(AND(ISNUMBER(B1252),ISNUMBER($B$88),ISNUMBER($D$88)),IF(B1252&gt;$D$88,"boven UCL",IF(B1252&lt;$B$88,"onder LCL","")),"")</f>
        <v/>
      </c>
      <c r="E1252" s="13">
        <f>IF(AND(ISNUMBER(C1252),ISNUMBER($B$89),ISNUMBER($D$89)),IF(C1252&gt;$D$89,"boven UCL",IF(C1252&lt;$B$89,"onder LCL","")),"")</f>
        <v/>
      </c>
      <c r="G1252" t="n">
        <v>1146</v>
      </c>
      <c r="H1252" s="7" t="n"/>
      <c r="I1252" s="7" t="n"/>
      <c r="J1252" s="11">
        <f>IF(AND(ISNUMBER(H1252),ISNUMBER(I1252),H1252&gt;0,ISNUMBER($B$94)),I1252/H1252,"")</f>
        <v/>
      </c>
      <c r="K1252" s="11">
        <f>IF(AND(ISNUMBER(H1252),ISNUMBER(I1252),H1252&gt;0,ISNUMBER($B$94)),MAX(0,$B$94-3*SQRT($B$94*(1-$B$94)/H1252)),"")</f>
        <v/>
      </c>
      <c r="L1252" s="11">
        <f>IF(AND(ISNUMBER(H1252),ISNUMBER(I1252),H1252&gt;0,ISNUMBER($B$94)),$B$94+3*SQRT($B$94*(1-$B$94)/H1252),"")</f>
        <v/>
      </c>
      <c r="M1252" s="13">
        <f>IF(AND(ISNUMBER(J1252),ISNUMBER(K1252),ISNUMBER(L1252)),IF(J1252&gt;L1252,"boven UCL",IF(J1252&lt;K1252,"onder LCL","")),"")</f>
        <v/>
      </c>
      <c r="O1252" t="n">
        <v>1146</v>
      </c>
      <c r="P1252" s="7" t="n"/>
      <c r="Q1252" s="7" t="n"/>
      <c r="R1252" s="11">
        <f>IF(AND(ISNUMBER(P1252),ISNUMBER(Q1252),P1252&gt;0,ISNUMBER($B$100)),Q1252/P1252,"")</f>
        <v/>
      </c>
      <c r="S1252" s="11">
        <f>IF(AND(ISNUMBER(P1252),ISNUMBER(Q1252),P1252&gt;0,ISNUMBER($B$100)),MAX(0,$B$100-3*SQRT($B$100/P1252)),"")</f>
        <v/>
      </c>
      <c r="T1252" s="11">
        <f>IF(AND(ISNUMBER(P1252),ISNUMBER(Q1252),P1252&gt;0,ISNUMBER($B$100)),$B$100+3*SQRT($B$100/P1252),"")</f>
        <v/>
      </c>
      <c r="U1252" s="13">
        <f>IF(AND(ISNUMBER(R1252),ISNUMBER(S1252),ISNUMBER(T1252)),IF(R1252&gt;T1252,"boven UCL",IF(R1252&lt;S1252,"onder LCL","")),"")</f>
        <v/>
      </c>
    </row>
    <row r="1253">
      <c r="A1253" t="n">
        <v>1147</v>
      </c>
      <c r="B1253" s="7" t="n"/>
      <c r="C1253" s="11">
        <f>IF(AND(ISNUMBER(B1253),ISNUMBER(B1252)),ABS(B1253-B1252),"")</f>
        <v/>
      </c>
      <c r="D1253" s="13">
        <f>IF(AND(ISNUMBER(B1253),ISNUMBER($B$88),ISNUMBER($D$88)),IF(B1253&gt;$D$88,"boven UCL",IF(B1253&lt;$B$88,"onder LCL","")),"")</f>
        <v/>
      </c>
      <c r="E1253" s="13">
        <f>IF(AND(ISNUMBER(C1253),ISNUMBER($B$89),ISNUMBER($D$89)),IF(C1253&gt;$D$89,"boven UCL",IF(C1253&lt;$B$89,"onder LCL","")),"")</f>
        <v/>
      </c>
      <c r="G1253" t="n">
        <v>1147</v>
      </c>
      <c r="H1253" s="7" t="n"/>
      <c r="I1253" s="7" t="n"/>
      <c r="J1253" s="11">
        <f>IF(AND(ISNUMBER(H1253),ISNUMBER(I1253),H1253&gt;0,ISNUMBER($B$94)),I1253/H1253,"")</f>
        <v/>
      </c>
      <c r="K1253" s="11">
        <f>IF(AND(ISNUMBER(H1253),ISNUMBER(I1253),H1253&gt;0,ISNUMBER($B$94)),MAX(0,$B$94-3*SQRT($B$94*(1-$B$94)/H1253)),"")</f>
        <v/>
      </c>
      <c r="L1253" s="11">
        <f>IF(AND(ISNUMBER(H1253),ISNUMBER(I1253),H1253&gt;0,ISNUMBER($B$94)),$B$94+3*SQRT($B$94*(1-$B$94)/H1253),"")</f>
        <v/>
      </c>
      <c r="M1253" s="13">
        <f>IF(AND(ISNUMBER(J1253),ISNUMBER(K1253),ISNUMBER(L1253)),IF(J1253&gt;L1253,"boven UCL",IF(J1253&lt;K1253,"onder LCL","")),"")</f>
        <v/>
      </c>
      <c r="O1253" t="n">
        <v>1147</v>
      </c>
      <c r="P1253" s="7" t="n"/>
      <c r="Q1253" s="7" t="n"/>
      <c r="R1253" s="11">
        <f>IF(AND(ISNUMBER(P1253),ISNUMBER(Q1253),P1253&gt;0,ISNUMBER($B$100)),Q1253/P1253,"")</f>
        <v/>
      </c>
      <c r="S1253" s="11">
        <f>IF(AND(ISNUMBER(P1253),ISNUMBER(Q1253),P1253&gt;0,ISNUMBER($B$100)),MAX(0,$B$100-3*SQRT($B$100/P1253)),"")</f>
        <v/>
      </c>
      <c r="T1253" s="11">
        <f>IF(AND(ISNUMBER(P1253),ISNUMBER(Q1253),P1253&gt;0,ISNUMBER($B$100)),$B$100+3*SQRT($B$100/P1253),"")</f>
        <v/>
      </c>
      <c r="U1253" s="13">
        <f>IF(AND(ISNUMBER(R1253),ISNUMBER(S1253),ISNUMBER(T1253)),IF(R1253&gt;T1253,"boven UCL",IF(R1253&lt;S1253,"onder LCL","")),"")</f>
        <v/>
      </c>
    </row>
    <row r="1254">
      <c r="A1254" t="n">
        <v>1148</v>
      </c>
      <c r="B1254" s="7" t="n"/>
      <c r="C1254" s="11">
        <f>IF(AND(ISNUMBER(B1254),ISNUMBER(B1253)),ABS(B1254-B1253),"")</f>
        <v/>
      </c>
      <c r="D1254" s="13">
        <f>IF(AND(ISNUMBER(B1254),ISNUMBER($B$88),ISNUMBER($D$88)),IF(B1254&gt;$D$88,"boven UCL",IF(B1254&lt;$B$88,"onder LCL","")),"")</f>
        <v/>
      </c>
      <c r="E1254" s="13">
        <f>IF(AND(ISNUMBER(C1254),ISNUMBER($B$89),ISNUMBER($D$89)),IF(C1254&gt;$D$89,"boven UCL",IF(C1254&lt;$B$89,"onder LCL","")),"")</f>
        <v/>
      </c>
      <c r="G1254" t="n">
        <v>1148</v>
      </c>
      <c r="H1254" s="7" t="n"/>
      <c r="I1254" s="7" t="n"/>
      <c r="J1254" s="11">
        <f>IF(AND(ISNUMBER(H1254),ISNUMBER(I1254),H1254&gt;0,ISNUMBER($B$94)),I1254/H1254,"")</f>
        <v/>
      </c>
      <c r="K1254" s="11">
        <f>IF(AND(ISNUMBER(H1254),ISNUMBER(I1254),H1254&gt;0,ISNUMBER($B$94)),MAX(0,$B$94-3*SQRT($B$94*(1-$B$94)/H1254)),"")</f>
        <v/>
      </c>
      <c r="L1254" s="11">
        <f>IF(AND(ISNUMBER(H1254),ISNUMBER(I1254),H1254&gt;0,ISNUMBER($B$94)),$B$94+3*SQRT($B$94*(1-$B$94)/H1254),"")</f>
        <v/>
      </c>
      <c r="M1254" s="13">
        <f>IF(AND(ISNUMBER(J1254),ISNUMBER(K1254),ISNUMBER(L1254)),IF(J1254&gt;L1254,"boven UCL",IF(J1254&lt;K1254,"onder LCL","")),"")</f>
        <v/>
      </c>
      <c r="O1254" t="n">
        <v>1148</v>
      </c>
      <c r="P1254" s="7" t="n"/>
      <c r="Q1254" s="7" t="n"/>
      <c r="R1254" s="11">
        <f>IF(AND(ISNUMBER(P1254),ISNUMBER(Q1254),P1254&gt;0,ISNUMBER($B$100)),Q1254/P1254,"")</f>
        <v/>
      </c>
      <c r="S1254" s="11">
        <f>IF(AND(ISNUMBER(P1254),ISNUMBER(Q1254),P1254&gt;0,ISNUMBER($B$100)),MAX(0,$B$100-3*SQRT($B$100/P1254)),"")</f>
        <v/>
      </c>
      <c r="T1254" s="11">
        <f>IF(AND(ISNUMBER(P1254),ISNUMBER(Q1254),P1254&gt;0,ISNUMBER($B$100)),$B$100+3*SQRT($B$100/P1254),"")</f>
        <v/>
      </c>
      <c r="U1254" s="13">
        <f>IF(AND(ISNUMBER(R1254),ISNUMBER(S1254),ISNUMBER(T1254)),IF(R1254&gt;T1254,"boven UCL",IF(R1254&lt;S1254,"onder LCL","")),"")</f>
        <v/>
      </c>
    </row>
    <row r="1255">
      <c r="A1255" t="n">
        <v>1149</v>
      </c>
      <c r="B1255" s="7" t="n"/>
      <c r="C1255" s="11">
        <f>IF(AND(ISNUMBER(B1255),ISNUMBER(B1254)),ABS(B1255-B1254),"")</f>
        <v/>
      </c>
      <c r="D1255" s="13">
        <f>IF(AND(ISNUMBER(B1255),ISNUMBER($B$88),ISNUMBER($D$88)),IF(B1255&gt;$D$88,"boven UCL",IF(B1255&lt;$B$88,"onder LCL","")),"")</f>
        <v/>
      </c>
      <c r="E1255" s="13">
        <f>IF(AND(ISNUMBER(C1255),ISNUMBER($B$89),ISNUMBER($D$89)),IF(C1255&gt;$D$89,"boven UCL",IF(C1255&lt;$B$89,"onder LCL","")),"")</f>
        <v/>
      </c>
      <c r="G1255" t="n">
        <v>1149</v>
      </c>
      <c r="H1255" s="7" t="n"/>
      <c r="I1255" s="7" t="n"/>
      <c r="J1255" s="11">
        <f>IF(AND(ISNUMBER(H1255),ISNUMBER(I1255),H1255&gt;0,ISNUMBER($B$94)),I1255/H1255,"")</f>
        <v/>
      </c>
      <c r="K1255" s="11">
        <f>IF(AND(ISNUMBER(H1255),ISNUMBER(I1255),H1255&gt;0,ISNUMBER($B$94)),MAX(0,$B$94-3*SQRT($B$94*(1-$B$94)/H1255)),"")</f>
        <v/>
      </c>
      <c r="L1255" s="11">
        <f>IF(AND(ISNUMBER(H1255),ISNUMBER(I1255),H1255&gt;0,ISNUMBER($B$94)),$B$94+3*SQRT($B$94*(1-$B$94)/H1255),"")</f>
        <v/>
      </c>
      <c r="M1255" s="13">
        <f>IF(AND(ISNUMBER(J1255),ISNUMBER(K1255),ISNUMBER(L1255)),IF(J1255&gt;L1255,"boven UCL",IF(J1255&lt;K1255,"onder LCL","")),"")</f>
        <v/>
      </c>
      <c r="O1255" t="n">
        <v>1149</v>
      </c>
      <c r="P1255" s="7" t="n"/>
      <c r="Q1255" s="7" t="n"/>
      <c r="R1255" s="11">
        <f>IF(AND(ISNUMBER(P1255),ISNUMBER(Q1255),P1255&gt;0,ISNUMBER($B$100)),Q1255/P1255,"")</f>
        <v/>
      </c>
      <c r="S1255" s="11">
        <f>IF(AND(ISNUMBER(P1255),ISNUMBER(Q1255),P1255&gt;0,ISNUMBER($B$100)),MAX(0,$B$100-3*SQRT($B$100/P1255)),"")</f>
        <v/>
      </c>
      <c r="T1255" s="11">
        <f>IF(AND(ISNUMBER(P1255),ISNUMBER(Q1255),P1255&gt;0,ISNUMBER($B$100)),$B$100+3*SQRT($B$100/P1255),"")</f>
        <v/>
      </c>
      <c r="U1255" s="13">
        <f>IF(AND(ISNUMBER(R1255),ISNUMBER(S1255),ISNUMBER(T1255)),IF(R1255&gt;T1255,"boven UCL",IF(R1255&lt;S1255,"onder LCL","")),"")</f>
        <v/>
      </c>
    </row>
    <row r="1256">
      <c r="A1256" t="n">
        <v>1150</v>
      </c>
      <c r="B1256" s="7" t="n"/>
      <c r="C1256" s="11">
        <f>IF(AND(ISNUMBER(B1256),ISNUMBER(B1255)),ABS(B1256-B1255),"")</f>
        <v/>
      </c>
      <c r="D1256" s="13">
        <f>IF(AND(ISNUMBER(B1256),ISNUMBER($B$88),ISNUMBER($D$88)),IF(B1256&gt;$D$88,"boven UCL",IF(B1256&lt;$B$88,"onder LCL","")),"")</f>
        <v/>
      </c>
      <c r="E1256" s="13">
        <f>IF(AND(ISNUMBER(C1256),ISNUMBER($B$89),ISNUMBER($D$89)),IF(C1256&gt;$D$89,"boven UCL",IF(C1256&lt;$B$89,"onder LCL","")),"")</f>
        <v/>
      </c>
      <c r="G1256" t="n">
        <v>1150</v>
      </c>
      <c r="H1256" s="7" t="n"/>
      <c r="I1256" s="7" t="n"/>
      <c r="J1256" s="11">
        <f>IF(AND(ISNUMBER(H1256),ISNUMBER(I1256),H1256&gt;0,ISNUMBER($B$94)),I1256/H1256,"")</f>
        <v/>
      </c>
      <c r="K1256" s="11">
        <f>IF(AND(ISNUMBER(H1256),ISNUMBER(I1256),H1256&gt;0,ISNUMBER($B$94)),MAX(0,$B$94-3*SQRT($B$94*(1-$B$94)/H1256)),"")</f>
        <v/>
      </c>
      <c r="L1256" s="11">
        <f>IF(AND(ISNUMBER(H1256),ISNUMBER(I1256),H1256&gt;0,ISNUMBER($B$94)),$B$94+3*SQRT($B$94*(1-$B$94)/H1256),"")</f>
        <v/>
      </c>
      <c r="M1256" s="13">
        <f>IF(AND(ISNUMBER(J1256),ISNUMBER(K1256),ISNUMBER(L1256)),IF(J1256&gt;L1256,"boven UCL",IF(J1256&lt;K1256,"onder LCL","")),"")</f>
        <v/>
      </c>
      <c r="O1256" t="n">
        <v>1150</v>
      </c>
      <c r="P1256" s="7" t="n"/>
      <c r="Q1256" s="7" t="n"/>
      <c r="R1256" s="11">
        <f>IF(AND(ISNUMBER(P1256),ISNUMBER(Q1256),P1256&gt;0,ISNUMBER($B$100)),Q1256/P1256,"")</f>
        <v/>
      </c>
      <c r="S1256" s="11">
        <f>IF(AND(ISNUMBER(P1256),ISNUMBER(Q1256),P1256&gt;0,ISNUMBER($B$100)),MAX(0,$B$100-3*SQRT($B$100/P1256)),"")</f>
        <v/>
      </c>
      <c r="T1256" s="11">
        <f>IF(AND(ISNUMBER(P1256),ISNUMBER(Q1256),P1256&gt;0,ISNUMBER($B$100)),$B$100+3*SQRT($B$100/P1256),"")</f>
        <v/>
      </c>
      <c r="U1256" s="13">
        <f>IF(AND(ISNUMBER(R1256),ISNUMBER(S1256),ISNUMBER(T1256)),IF(R1256&gt;T1256,"boven UCL",IF(R1256&lt;S1256,"onder LCL","")),"")</f>
        <v/>
      </c>
    </row>
    <row r="1257">
      <c r="A1257" t="n">
        <v>1151</v>
      </c>
      <c r="B1257" s="7" t="n"/>
      <c r="C1257" s="11">
        <f>IF(AND(ISNUMBER(B1257),ISNUMBER(B1256)),ABS(B1257-B1256),"")</f>
        <v/>
      </c>
      <c r="D1257" s="13">
        <f>IF(AND(ISNUMBER(B1257),ISNUMBER($B$88),ISNUMBER($D$88)),IF(B1257&gt;$D$88,"boven UCL",IF(B1257&lt;$B$88,"onder LCL","")),"")</f>
        <v/>
      </c>
      <c r="E1257" s="13">
        <f>IF(AND(ISNUMBER(C1257),ISNUMBER($B$89),ISNUMBER($D$89)),IF(C1257&gt;$D$89,"boven UCL",IF(C1257&lt;$B$89,"onder LCL","")),"")</f>
        <v/>
      </c>
      <c r="G1257" t="n">
        <v>1151</v>
      </c>
      <c r="H1257" s="7" t="n"/>
      <c r="I1257" s="7" t="n"/>
      <c r="J1257" s="11">
        <f>IF(AND(ISNUMBER(H1257),ISNUMBER(I1257),H1257&gt;0,ISNUMBER($B$94)),I1257/H1257,"")</f>
        <v/>
      </c>
      <c r="K1257" s="11">
        <f>IF(AND(ISNUMBER(H1257),ISNUMBER(I1257),H1257&gt;0,ISNUMBER($B$94)),MAX(0,$B$94-3*SQRT($B$94*(1-$B$94)/H1257)),"")</f>
        <v/>
      </c>
      <c r="L1257" s="11">
        <f>IF(AND(ISNUMBER(H1257),ISNUMBER(I1257),H1257&gt;0,ISNUMBER($B$94)),$B$94+3*SQRT($B$94*(1-$B$94)/H1257),"")</f>
        <v/>
      </c>
      <c r="M1257" s="13">
        <f>IF(AND(ISNUMBER(J1257),ISNUMBER(K1257),ISNUMBER(L1257)),IF(J1257&gt;L1257,"boven UCL",IF(J1257&lt;K1257,"onder LCL","")),"")</f>
        <v/>
      </c>
      <c r="O1257" t="n">
        <v>1151</v>
      </c>
      <c r="P1257" s="7" t="n"/>
      <c r="Q1257" s="7" t="n"/>
      <c r="R1257" s="11">
        <f>IF(AND(ISNUMBER(P1257),ISNUMBER(Q1257),P1257&gt;0,ISNUMBER($B$100)),Q1257/P1257,"")</f>
        <v/>
      </c>
      <c r="S1257" s="11">
        <f>IF(AND(ISNUMBER(P1257),ISNUMBER(Q1257),P1257&gt;0,ISNUMBER($B$100)),MAX(0,$B$100-3*SQRT($B$100/P1257)),"")</f>
        <v/>
      </c>
      <c r="T1257" s="11">
        <f>IF(AND(ISNUMBER(P1257),ISNUMBER(Q1257),P1257&gt;0,ISNUMBER($B$100)),$B$100+3*SQRT($B$100/P1257),"")</f>
        <v/>
      </c>
      <c r="U1257" s="13">
        <f>IF(AND(ISNUMBER(R1257),ISNUMBER(S1257),ISNUMBER(T1257)),IF(R1257&gt;T1257,"boven UCL",IF(R1257&lt;S1257,"onder LCL","")),"")</f>
        <v/>
      </c>
    </row>
    <row r="1258">
      <c r="A1258" t="n">
        <v>1152</v>
      </c>
      <c r="B1258" s="7" t="n"/>
      <c r="C1258" s="11">
        <f>IF(AND(ISNUMBER(B1258),ISNUMBER(B1257)),ABS(B1258-B1257),"")</f>
        <v/>
      </c>
      <c r="D1258" s="13">
        <f>IF(AND(ISNUMBER(B1258),ISNUMBER($B$88),ISNUMBER($D$88)),IF(B1258&gt;$D$88,"boven UCL",IF(B1258&lt;$B$88,"onder LCL","")),"")</f>
        <v/>
      </c>
      <c r="E1258" s="13">
        <f>IF(AND(ISNUMBER(C1258),ISNUMBER($B$89),ISNUMBER($D$89)),IF(C1258&gt;$D$89,"boven UCL",IF(C1258&lt;$B$89,"onder LCL","")),"")</f>
        <v/>
      </c>
      <c r="G1258" t="n">
        <v>1152</v>
      </c>
      <c r="H1258" s="7" t="n"/>
      <c r="I1258" s="7" t="n"/>
      <c r="J1258" s="11">
        <f>IF(AND(ISNUMBER(H1258),ISNUMBER(I1258),H1258&gt;0,ISNUMBER($B$94)),I1258/H1258,"")</f>
        <v/>
      </c>
      <c r="K1258" s="11">
        <f>IF(AND(ISNUMBER(H1258),ISNUMBER(I1258),H1258&gt;0,ISNUMBER($B$94)),MAX(0,$B$94-3*SQRT($B$94*(1-$B$94)/H1258)),"")</f>
        <v/>
      </c>
      <c r="L1258" s="11">
        <f>IF(AND(ISNUMBER(H1258),ISNUMBER(I1258),H1258&gt;0,ISNUMBER($B$94)),$B$94+3*SQRT($B$94*(1-$B$94)/H1258),"")</f>
        <v/>
      </c>
      <c r="M1258" s="13">
        <f>IF(AND(ISNUMBER(J1258),ISNUMBER(K1258),ISNUMBER(L1258)),IF(J1258&gt;L1258,"boven UCL",IF(J1258&lt;K1258,"onder LCL","")),"")</f>
        <v/>
      </c>
      <c r="O1258" t="n">
        <v>1152</v>
      </c>
      <c r="P1258" s="7" t="n"/>
      <c r="Q1258" s="7" t="n"/>
      <c r="R1258" s="11">
        <f>IF(AND(ISNUMBER(P1258),ISNUMBER(Q1258),P1258&gt;0,ISNUMBER($B$100)),Q1258/P1258,"")</f>
        <v/>
      </c>
      <c r="S1258" s="11">
        <f>IF(AND(ISNUMBER(P1258),ISNUMBER(Q1258),P1258&gt;0,ISNUMBER($B$100)),MAX(0,$B$100-3*SQRT($B$100/P1258)),"")</f>
        <v/>
      </c>
      <c r="T1258" s="11">
        <f>IF(AND(ISNUMBER(P1258),ISNUMBER(Q1258),P1258&gt;0,ISNUMBER($B$100)),$B$100+3*SQRT($B$100/P1258),"")</f>
        <v/>
      </c>
      <c r="U1258" s="13">
        <f>IF(AND(ISNUMBER(R1258),ISNUMBER(S1258),ISNUMBER(T1258)),IF(R1258&gt;T1258,"boven UCL",IF(R1258&lt;S1258,"onder LCL","")),"")</f>
        <v/>
      </c>
    </row>
    <row r="1259">
      <c r="A1259" t="n">
        <v>1153</v>
      </c>
      <c r="B1259" s="7" t="n"/>
      <c r="C1259" s="11">
        <f>IF(AND(ISNUMBER(B1259),ISNUMBER(B1258)),ABS(B1259-B1258),"")</f>
        <v/>
      </c>
      <c r="D1259" s="13">
        <f>IF(AND(ISNUMBER(B1259),ISNUMBER($B$88),ISNUMBER($D$88)),IF(B1259&gt;$D$88,"boven UCL",IF(B1259&lt;$B$88,"onder LCL","")),"")</f>
        <v/>
      </c>
      <c r="E1259" s="13">
        <f>IF(AND(ISNUMBER(C1259),ISNUMBER($B$89),ISNUMBER($D$89)),IF(C1259&gt;$D$89,"boven UCL",IF(C1259&lt;$B$89,"onder LCL","")),"")</f>
        <v/>
      </c>
      <c r="G1259" t="n">
        <v>1153</v>
      </c>
      <c r="H1259" s="7" t="n"/>
      <c r="I1259" s="7" t="n"/>
      <c r="J1259" s="11">
        <f>IF(AND(ISNUMBER(H1259),ISNUMBER(I1259),H1259&gt;0,ISNUMBER($B$94)),I1259/H1259,"")</f>
        <v/>
      </c>
      <c r="K1259" s="11">
        <f>IF(AND(ISNUMBER(H1259),ISNUMBER(I1259),H1259&gt;0,ISNUMBER($B$94)),MAX(0,$B$94-3*SQRT($B$94*(1-$B$94)/H1259)),"")</f>
        <v/>
      </c>
      <c r="L1259" s="11">
        <f>IF(AND(ISNUMBER(H1259),ISNUMBER(I1259),H1259&gt;0,ISNUMBER($B$94)),$B$94+3*SQRT($B$94*(1-$B$94)/H1259),"")</f>
        <v/>
      </c>
      <c r="M1259" s="13">
        <f>IF(AND(ISNUMBER(J1259),ISNUMBER(K1259),ISNUMBER(L1259)),IF(J1259&gt;L1259,"boven UCL",IF(J1259&lt;K1259,"onder LCL","")),"")</f>
        <v/>
      </c>
      <c r="O1259" t="n">
        <v>1153</v>
      </c>
      <c r="P1259" s="7" t="n"/>
      <c r="Q1259" s="7" t="n"/>
      <c r="R1259" s="11">
        <f>IF(AND(ISNUMBER(P1259),ISNUMBER(Q1259),P1259&gt;0,ISNUMBER($B$100)),Q1259/P1259,"")</f>
        <v/>
      </c>
      <c r="S1259" s="11">
        <f>IF(AND(ISNUMBER(P1259),ISNUMBER(Q1259),P1259&gt;0,ISNUMBER($B$100)),MAX(0,$B$100-3*SQRT($B$100/P1259)),"")</f>
        <v/>
      </c>
      <c r="T1259" s="11">
        <f>IF(AND(ISNUMBER(P1259),ISNUMBER(Q1259),P1259&gt;0,ISNUMBER($B$100)),$B$100+3*SQRT($B$100/P1259),"")</f>
        <v/>
      </c>
      <c r="U1259" s="13">
        <f>IF(AND(ISNUMBER(R1259),ISNUMBER(S1259),ISNUMBER(T1259)),IF(R1259&gt;T1259,"boven UCL",IF(R1259&lt;S1259,"onder LCL","")),"")</f>
        <v/>
      </c>
    </row>
    <row r="1260">
      <c r="A1260" t="n">
        <v>1154</v>
      </c>
      <c r="B1260" s="7" t="n"/>
      <c r="C1260" s="11">
        <f>IF(AND(ISNUMBER(B1260),ISNUMBER(B1259)),ABS(B1260-B1259),"")</f>
        <v/>
      </c>
      <c r="D1260" s="13">
        <f>IF(AND(ISNUMBER(B1260),ISNUMBER($B$88),ISNUMBER($D$88)),IF(B1260&gt;$D$88,"boven UCL",IF(B1260&lt;$B$88,"onder LCL","")),"")</f>
        <v/>
      </c>
      <c r="E1260" s="13">
        <f>IF(AND(ISNUMBER(C1260),ISNUMBER($B$89),ISNUMBER($D$89)),IF(C1260&gt;$D$89,"boven UCL",IF(C1260&lt;$B$89,"onder LCL","")),"")</f>
        <v/>
      </c>
      <c r="G1260" t="n">
        <v>1154</v>
      </c>
      <c r="H1260" s="7" t="n"/>
      <c r="I1260" s="7" t="n"/>
      <c r="J1260" s="11">
        <f>IF(AND(ISNUMBER(H1260),ISNUMBER(I1260),H1260&gt;0,ISNUMBER($B$94)),I1260/H1260,"")</f>
        <v/>
      </c>
      <c r="K1260" s="11">
        <f>IF(AND(ISNUMBER(H1260),ISNUMBER(I1260),H1260&gt;0,ISNUMBER($B$94)),MAX(0,$B$94-3*SQRT($B$94*(1-$B$94)/H1260)),"")</f>
        <v/>
      </c>
      <c r="L1260" s="11">
        <f>IF(AND(ISNUMBER(H1260),ISNUMBER(I1260),H1260&gt;0,ISNUMBER($B$94)),$B$94+3*SQRT($B$94*(1-$B$94)/H1260),"")</f>
        <v/>
      </c>
      <c r="M1260" s="13">
        <f>IF(AND(ISNUMBER(J1260),ISNUMBER(K1260),ISNUMBER(L1260)),IF(J1260&gt;L1260,"boven UCL",IF(J1260&lt;K1260,"onder LCL","")),"")</f>
        <v/>
      </c>
      <c r="O1260" t="n">
        <v>1154</v>
      </c>
      <c r="P1260" s="7" t="n"/>
      <c r="Q1260" s="7" t="n"/>
      <c r="R1260" s="11">
        <f>IF(AND(ISNUMBER(P1260),ISNUMBER(Q1260),P1260&gt;0,ISNUMBER($B$100)),Q1260/P1260,"")</f>
        <v/>
      </c>
      <c r="S1260" s="11">
        <f>IF(AND(ISNUMBER(P1260),ISNUMBER(Q1260),P1260&gt;0,ISNUMBER($B$100)),MAX(0,$B$100-3*SQRT($B$100/P1260)),"")</f>
        <v/>
      </c>
      <c r="T1260" s="11">
        <f>IF(AND(ISNUMBER(P1260),ISNUMBER(Q1260),P1260&gt;0,ISNUMBER($B$100)),$B$100+3*SQRT($B$100/P1260),"")</f>
        <v/>
      </c>
      <c r="U1260" s="13">
        <f>IF(AND(ISNUMBER(R1260),ISNUMBER(S1260),ISNUMBER(T1260)),IF(R1260&gt;T1260,"boven UCL",IF(R1260&lt;S1260,"onder LCL","")),"")</f>
        <v/>
      </c>
    </row>
    <row r="1261">
      <c r="A1261" t="n">
        <v>1155</v>
      </c>
      <c r="B1261" s="7" t="n"/>
      <c r="C1261" s="11">
        <f>IF(AND(ISNUMBER(B1261),ISNUMBER(B1260)),ABS(B1261-B1260),"")</f>
        <v/>
      </c>
      <c r="D1261" s="13">
        <f>IF(AND(ISNUMBER(B1261),ISNUMBER($B$88),ISNUMBER($D$88)),IF(B1261&gt;$D$88,"boven UCL",IF(B1261&lt;$B$88,"onder LCL","")),"")</f>
        <v/>
      </c>
      <c r="E1261" s="13">
        <f>IF(AND(ISNUMBER(C1261),ISNUMBER($B$89),ISNUMBER($D$89)),IF(C1261&gt;$D$89,"boven UCL",IF(C1261&lt;$B$89,"onder LCL","")),"")</f>
        <v/>
      </c>
      <c r="G1261" t="n">
        <v>1155</v>
      </c>
      <c r="H1261" s="7" t="n"/>
      <c r="I1261" s="7" t="n"/>
      <c r="J1261" s="11">
        <f>IF(AND(ISNUMBER(H1261),ISNUMBER(I1261),H1261&gt;0,ISNUMBER($B$94)),I1261/H1261,"")</f>
        <v/>
      </c>
      <c r="K1261" s="11">
        <f>IF(AND(ISNUMBER(H1261),ISNUMBER(I1261),H1261&gt;0,ISNUMBER($B$94)),MAX(0,$B$94-3*SQRT($B$94*(1-$B$94)/H1261)),"")</f>
        <v/>
      </c>
      <c r="L1261" s="11">
        <f>IF(AND(ISNUMBER(H1261),ISNUMBER(I1261),H1261&gt;0,ISNUMBER($B$94)),$B$94+3*SQRT($B$94*(1-$B$94)/H1261),"")</f>
        <v/>
      </c>
      <c r="M1261" s="13">
        <f>IF(AND(ISNUMBER(J1261),ISNUMBER(K1261),ISNUMBER(L1261)),IF(J1261&gt;L1261,"boven UCL",IF(J1261&lt;K1261,"onder LCL","")),"")</f>
        <v/>
      </c>
      <c r="O1261" t="n">
        <v>1155</v>
      </c>
      <c r="P1261" s="7" t="n"/>
      <c r="Q1261" s="7" t="n"/>
      <c r="R1261" s="11">
        <f>IF(AND(ISNUMBER(P1261),ISNUMBER(Q1261),P1261&gt;0,ISNUMBER($B$100)),Q1261/P1261,"")</f>
        <v/>
      </c>
      <c r="S1261" s="11">
        <f>IF(AND(ISNUMBER(P1261),ISNUMBER(Q1261),P1261&gt;0,ISNUMBER($B$100)),MAX(0,$B$100-3*SQRT($B$100/P1261)),"")</f>
        <v/>
      </c>
      <c r="T1261" s="11">
        <f>IF(AND(ISNUMBER(P1261),ISNUMBER(Q1261),P1261&gt;0,ISNUMBER($B$100)),$B$100+3*SQRT($B$100/P1261),"")</f>
        <v/>
      </c>
      <c r="U1261" s="13">
        <f>IF(AND(ISNUMBER(R1261),ISNUMBER(S1261),ISNUMBER(T1261)),IF(R1261&gt;T1261,"boven UCL",IF(R1261&lt;S1261,"onder LCL","")),"")</f>
        <v/>
      </c>
    </row>
    <row r="1262">
      <c r="A1262" t="n">
        <v>1156</v>
      </c>
      <c r="B1262" s="7" t="n"/>
      <c r="C1262" s="11">
        <f>IF(AND(ISNUMBER(B1262),ISNUMBER(B1261)),ABS(B1262-B1261),"")</f>
        <v/>
      </c>
      <c r="D1262" s="13">
        <f>IF(AND(ISNUMBER(B1262),ISNUMBER($B$88),ISNUMBER($D$88)),IF(B1262&gt;$D$88,"boven UCL",IF(B1262&lt;$B$88,"onder LCL","")),"")</f>
        <v/>
      </c>
      <c r="E1262" s="13">
        <f>IF(AND(ISNUMBER(C1262),ISNUMBER($B$89),ISNUMBER($D$89)),IF(C1262&gt;$D$89,"boven UCL",IF(C1262&lt;$B$89,"onder LCL","")),"")</f>
        <v/>
      </c>
      <c r="G1262" t="n">
        <v>1156</v>
      </c>
      <c r="H1262" s="7" t="n"/>
      <c r="I1262" s="7" t="n"/>
      <c r="J1262" s="11">
        <f>IF(AND(ISNUMBER(H1262),ISNUMBER(I1262),H1262&gt;0,ISNUMBER($B$94)),I1262/H1262,"")</f>
        <v/>
      </c>
      <c r="K1262" s="11">
        <f>IF(AND(ISNUMBER(H1262),ISNUMBER(I1262),H1262&gt;0,ISNUMBER($B$94)),MAX(0,$B$94-3*SQRT($B$94*(1-$B$94)/H1262)),"")</f>
        <v/>
      </c>
      <c r="L1262" s="11">
        <f>IF(AND(ISNUMBER(H1262),ISNUMBER(I1262),H1262&gt;0,ISNUMBER($B$94)),$B$94+3*SQRT($B$94*(1-$B$94)/H1262),"")</f>
        <v/>
      </c>
      <c r="M1262" s="13">
        <f>IF(AND(ISNUMBER(J1262),ISNUMBER(K1262),ISNUMBER(L1262)),IF(J1262&gt;L1262,"boven UCL",IF(J1262&lt;K1262,"onder LCL","")),"")</f>
        <v/>
      </c>
      <c r="O1262" t="n">
        <v>1156</v>
      </c>
      <c r="P1262" s="7" t="n"/>
      <c r="Q1262" s="7" t="n"/>
      <c r="R1262" s="11">
        <f>IF(AND(ISNUMBER(P1262),ISNUMBER(Q1262),P1262&gt;0,ISNUMBER($B$100)),Q1262/P1262,"")</f>
        <v/>
      </c>
      <c r="S1262" s="11">
        <f>IF(AND(ISNUMBER(P1262),ISNUMBER(Q1262),P1262&gt;0,ISNUMBER($B$100)),MAX(0,$B$100-3*SQRT($B$100/P1262)),"")</f>
        <v/>
      </c>
      <c r="T1262" s="11">
        <f>IF(AND(ISNUMBER(P1262),ISNUMBER(Q1262),P1262&gt;0,ISNUMBER($B$100)),$B$100+3*SQRT($B$100/P1262),"")</f>
        <v/>
      </c>
      <c r="U1262" s="13">
        <f>IF(AND(ISNUMBER(R1262),ISNUMBER(S1262),ISNUMBER(T1262)),IF(R1262&gt;T1262,"boven UCL",IF(R1262&lt;S1262,"onder LCL","")),"")</f>
        <v/>
      </c>
    </row>
    <row r="1263">
      <c r="A1263" t="n">
        <v>1157</v>
      </c>
      <c r="B1263" s="7" t="n"/>
      <c r="C1263" s="11">
        <f>IF(AND(ISNUMBER(B1263),ISNUMBER(B1262)),ABS(B1263-B1262),"")</f>
        <v/>
      </c>
      <c r="D1263" s="13">
        <f>IF(AND(ISNUMBER(B1263),ISNUMBER($B$88),ISNUMBER($D$88)),IF(B1263&gt;$D$88,"boven UCL",IF(B1263&lt;$B$88,"onder LCL","")),"")</f>
        <v/>
      </c>
      <c r="E1263" s="13">
        <f>IF(AND(ISNUMBER(C1263),ISNUMBER($B$89),ISNUMBER($D$89)),IF(C1263&gt;$D$89,"boven UCL",IF(C1263&lt;$B$89,"onder LCL","")),"")</f>
        <v/>
      </c>
      <c r="G1263" t="n">
        <v>1157</v>
      </c>
      <c r="H1263" s="7" t="n"/>
      <c r="I1263" s="7" t="n"/>
      <c r="J1263" s="11">
        <f>IF(AND(ISNUMBER(H1263),ISNUMBER(I1263),H1263&gt;0,ISNUMBER($B$94)),I1263/H1263,"")</f>
        <v/>
      </c>
      <c r="K1263" s="11">
        <f>IF(AND(ISNUMBER(H1263),ISNUMBER(I1263),H1263&gt;0,ISNUMBER($B$94)),MAX(0,$B$94-3*SQRT($B$94*(1-$B$94)/H1263)),"")</f>
        <v/>
      </c>
      <c r="L1263" s="11">
        <f>IF(AND(ISNUMBER(H1263),ISNUMBER(I1263),H1263&gt;0,ISNUMBER($B$94)),$B$94+3*SQRT($B$94*(1-$B$94)/H1263),"")</f>
        <v/>
      </c>
      <c r="M1263" s="13">
        <f>IF(AND(ISNUMBER(J1263),ISNUMBER(K1263),ISNUMBER(L1263)),IF(J1263&gt;L1263,"boven UCL",IF(J1263&lt;K1263,"onder LCL","")),"")</f>
        <v/>
      </c>
      <c r="O1263" t="n">
        <v>1157</v>
      </c>
      <c r="P1263" s="7" t="n"/>
      <c r="Q1263" s="7" t="n"/>
      <c r="R1263" s="11">
        <f>IF(AND(ISNUMBER(P1263),ISNUMBER(Q1263),P1263&gt;0,ISNUMBER($B$100)),Q1263/P1263,"")</f>
        <v/>
      </c>
      <c r="S1263" s="11">
        <f>IF(AND(ISNUMBER(P1263),ISNUMBER(Q1263),P1263&gt;0,ISNUMBER($B$100)),MAX(0,$B$100-3*SQRT($B$100/P1263)),"")</f>
        <v/>
      </c>
      <c r="T1263" s="11">
        <f>IF(AND(ISNUMBER(P1263),ISNUMBER(Q1263),P1263&gt;0,ISNUMBER($B$100)),$B$100+3*SQRT($B$100/P1263),"")</f>
        <v/>
      </c>
      <c r="U1263" s="13">
        <f>IF(AND(ISNUMBER(R1263),ISNUMBER(S1263),ISNUMBER(T1263)),IF(R1263&gt;T1263,"boven UCL",IF(R1263&lt;S1263,"onder LCL","")),"")</f>
        <v/>
      </c>
    </row>
    <row r="1264">
      <c r="A1264" t="n">
        <v>1158</v>
      </c>
      <c r="B1264" s="7" t="n"/>
      <c r="C1264" s="11">
        <f>IF(AND(ISNUMBER(B1264),ISNUMBER(B1263)),ABS(B1264-B1263),"")</f>
        <v/>
      </c>
      <c r="D1264" s="13">
        <f>IF(AND(ISNUMBER(B1264),ISNUMBER($B$88),ISNUMBER($D$88)),IF(B1264&gt;$D$88,"boven UCL",IF(B1264&lt;$B$88,"onder LCL","")),"")</f>
        <v/>
      </c>
      <c r="E1264" s="13">
        <f>IF(AND(ISNUMBER(C1264),ISNUMBER($B$89),ISNUMBER($D$89)),IF(C1264&gt;$D$89,"boven UCL",IF(C1264&lt;$B$89,"onder LCL","")),"")</f>
        <v/>
      </c>
      <c r="G1264" t="n">
        <v>1158</v>
      </c>
      <c r="H1264" s="7" t="n"/>
      <c r="I1264" s="7" t="n"/>
      <c r="J1264" s="11">
        <f>IF(AND(ISNUMBER(H1264),ISNUMBER(I1264),H1264&gt;0,ISNUMBER($B$94)),I1264/H1264,"")</f>
        <v/>
      </c>
      <c r="K1264" s="11">
        <f>IF(AND(ISNUMBER(H1264),ISNUMBER(I1264),H1264&gt;0,ISNUMBER($B$94)),MAX(0,$B$94-3*SQRT($B$94*(1-$B$94)/H1264)),"")</f>
        <v/>
      </c>
      <c r="L1264" s="11">
        <f>IF(AND(ISNUMBER(H1264),ISNUMBER(I1264),H1264&gt;0,ISNUMBER($B$94)),$B$94+3*SQRT($B$94*(1-$B$94)/H1264),"")</f>
        <v/>
      </c>
      <c r="M1264" s="13">
        <f>IF(AND(ISNUMBER(J1264),ISNUMBER(K1264),ISNUMBER(L1264)),IF(J1264&gt;L1264,"boven UCL",IF(J1264&lt;K1264,"onder LCL","")),"")</f>
        <v/>
      </c>
      <c r="O1264" t="n">
        <v>1158</v>
      </c>
      <c r="P1264" s="7" t="n"/>
      <c r="Q1264" s="7" t="n"/>
      <c r="R1264" s="11">
        <f>IF(AND(ISNUMBER(P1264),ISNUMBER(Q1264),P1264&gt;0,ISNUMBER($B$100)),Q1264/P1264,"")</f>
        <v/>
      </c>
      <c r="S1264" s="11">
        <f>IF(AND(ISNUMBER(P1264),ISNUMBER(Q1264),P1264&gt;0,ISNUMBER($B$100)),MAX(0,$B$100-3*SQRT($B$100/P1264)),"")</f>
        <v/>
      </c>
      <c r="T1264" s="11">
        <f>IF(AND(ISNUMBER(P1264),ISNUMBER(Q1264),P1264&gt;0,ISNUMBER($B$100)),$B$100+3*SQRT($B$100/P1264),"")</f>
        <v/>
      </c>
      <c r="U1264" s="13">
        <f>IF(AND(ISNUMBER(R1264),ISNUMBER(S1264),ISNUMBER(T1264)),IF(R1264&gt;T1264,"boven UCL",IF(R1264&lt;S1264,"onder LCL","")),"")</f>
        <v/>
      </c>
    </row>
    <row r="1265">
      <c r="A1265" t="n">
        <v>1159</v>
      </c>
      <c r="B1265" s="7" t="n"/>
      <c r="C1265" s="11">
        <f>IF(AND(ISNUMBER(B1265),ISNUMBER(B1264)),ABS(B1265-B1264),"")</f>
        <v/>
      </c>
      <c r="D1265" s="13">
        <f>IF(AND(ISNUMBER(B1265),ISNUMBER($B$88),ISNUMBER($D$88)),IF(B1265&gt;$D$88,"boven UCL",IF(B1265&lt;$B$88,"onder LCL","")),"")</f>
        <v/>
      </c>
      <c r="E1265" s="13">
        <f>IF(AND(ISNUMBER(C1265),ISNUMBER($B$89),ISNUMBER($D$89)),IF(C1265&gt;$D$89,"boven UCL",IF(C1265&lt;$B$89,"onder LCL","")),"")</f>
        <v/>
      </c>
      <c r="G1265" t="n">
        <v>1159</v>
      </c>
      <c r="H1265" s="7" t="n"/>
      <c r="I1265" s="7" t="n"/>
      <c r="J1265" s="11">
        <f>IF(AND(ISNUMBER(H1265),ISNUMBER(I1265),H1265&gt;0,ISNUMBER($B$94)),I1265/H1265,"")</f>
        <v/>
      </c>
      <c r="K1265" s="11">
        <f>IF(AND(ISNUMBER(H1265),ISNUMBER(I1265),H1265&gt;0,ISNUMBER($B$94)),MAX(0,$B$94-3*SQRT($B$94*(1-$B$94)/H1265)),"")</f>
        <v/>
      </c>
      <c r="L1265" s="11">
        <f>IF(AND(ISNUMBER(H1265),ISNUMBER(I1265),H1265&gt;0,ISNUMBER($B$94)),$B$94+3*SQRT($B$94*(1-$B$94)/H1265),"")</f>
        <v/>
      </c>
      <c r="M1265" s="13">
        <f>IF(AND(ISNUMBER(J1265),ISNUMBER(K1265),ISNUMBER(L1265)),IF(J1265&gt;L1265,"boven UCL",IF(J1265&lt;K1265,"onder LCL","")),"")</f>
        <v/>
      </c>
      <c r="O1265" t="n">
        <v>1159</v>
      </c>
      <c r="P1265" s="7" t="n"/>
      <c r="Q1265" s="7" t="n"/>
      <c r="R1265" s="11">
        <f>IF(AND(ISNUMBER(P1265),ISNUMBER(Q1265),P1265&gt;0,ISNUMBER($B$100)),Q1265/P1265,"")</f>
        <v/>
      </c>
      <c r="S1265" s="11">
        <f>IF(AND(ISNUMBER(P1265),ISNUMBER(Q1265),P1265&gt;0,ISNUMBER($B$100)),MAX(0,$B$100-3*SQRT($B$100/P1265)),"")</f>
        <v/>
      </c>
      <c r="T1265" s="11">
        <f>IF(AND(ISNUMBER(P1265),ISNUMBER(Q1265),P1265&gt;0,ISNUMBER($B$100)),$B$100+3*SQRT($B$100/P1265),"")</f>
        <v/>
      </c>
      <c r="U1265" s="13">
        <f>IF(AND(ISNUMBER(R1265),ISNUMBER(S1265),ISNUMBER(T1265)),IF(R1265&gt;T1265,"boven UCL",IF(R1265&lt;S1265,"onder LCL","")),"")</f>
        <v/>
      </c>
    </row>
    <row r="1266">
      <c r="A1266" t="n">
        <v>1160</v>
      </c>
      <c r="B1266" s="7" t="n"/>
      <c r="C1266" s="11">
        <f>IF(AND(ISNUMBER(B1266),ISNUMBER(B1265)),ABS(B1266-B1265),"")</f>
        <v/>
      </c>
      <c r="D1266" s="13">
        <f>IF(AND(ISNUMBER(B1266),ISNUMBER($B$88),ISNUMBER($D$88)),IF(B1266&gt;$D$88,"boven UCL",IF(B1266&lt;$B$88,"onder LCL","")),"")</f>
        <v/>
      </c>
      <c r="E1266" s="13">
        <f>IF(AND(ISNUMBER(C1266),ISNUMBER($B$89),ISNUMBER($D$89)),IF(C1266&gt;$D$89,"boven UCL",IF(C1266&lt;$B$89,"onder LCL","")),"")</f>
        <v/>
      </c>
      <c r="G1266" t="n">
        <v>1160</v>
      </c>
      <c r="H1266" s="7" t="n"/>
      <c r="I1266" s="7" t="n"/>
      <c r="J1266" s="11">
        <f>IF(AND(ISNUMBER(H1266),ISNUMBER(I1266),H1266&gt;0,ISNUMBER($B$94)),I1266/H1266,"")</f>
        <v/>
      </c>
      <c r="K1266" s="11">
        <f>IF(AND(ISNUMBER(H1266),ISNUMBER(I1266),H1266&gt;0,ISNUMBER($B$94)),MAX(0,$B$94-3*SQRT($B$94*(1-$B$94)/H1266)),"")</f>
        <v/>
      </c>
      <c r="L1266" s="11">
        <f>IF(AND(ISNUMBER(H1266),ISNUMBER(I1266),H1266&gt;0,ISNUMBER($B$94)),$B$94+3*SQRT($B$94*(1-$B$94)/H1266),"")</f>
        <v/>
      </c>
      <c r="M1266" s="13">
        <f>IF(AND(ISNUMBER(J1266),ISNUMBER(K1266),ISNUMBER(L1266)),IF(J1266&gt;L1266,"boven UCL",IF(J1266&lt;K1266,"onder LCL","")),"")</f>
        <v/>
      </c>
      <c r="O1266" t="n">
        <v>1160</v>
      </c>
      <c r="P1266" s="7" t="n"/>
      <c r="Q1266" s="7" t="n"/>
      <c r="R1266" s="11">
        <f>IF(AND(ISNUMBER(P1266),ISNUMBER(Q1266),P1266&gt;0,ISNUMBER($B$100)),Q1266/P1266,"")</f>
        <v/>
      </c>
      <c r="S1266" s="11">
        <f>IF(AND(ISNUMBER(P1266),ISNUMBER(Q1266),P1266&gt;0,ISNUMBER($B$100)),MAX(0,$B$100-3*SQRT($B$100/P1266)),"")</f>
        <v/>
      </c>
      <c r="T1266" s="11">
        <f>IF(AND(ISNUMBER(P1266),ISNUMBER(Q1266),P1266&gt;0,ISNUMBER($B$100)),$B$100+3*SQRT($B$100/P1266),"")</f>
        <v/>
      </c>
      <c r="U1266" s="13">
        <f>IF(AND(ISNUMBER(R1266),ISNUMBER(S1266),ISNUMBER(T1266)),IF(R1266&gt;T1266,"boven UCL",IF(R1266&lt;S1266,"onder LCL","")),"")</f>
        <v/>
      </c>
    </row>
    <row r="1267">
      <c r="A1267" t="n">
        <v>1161</v>
      </c>
      <c r="B1267" s="7" t="n"/>
      <c r="C1267" s="11">
        <f>IF(AND(ISNUMBER(B1267),ISNUMBER(B1266)),ABS(B1267-B1266),"")</f>
        <v/>
      </c>
      <c r="D1267" s="13">
        <f>IF(AND(ISNUMBER(B1267),ISNUMBER($B$88),ISNUMBER($D$88)),IF(B1267&gt;$D$88,"boven UCL",IF(B1267&lt;$B$88,"onder LCL","")),"")</f>
        <v/>
      </c>
      <c r="E1267" s="13">
        <f>IF(AND(ISNUMBER(C1267),ISNUMBER($B$89),ISNUMBER($D$89)),IF(C1267&gt;$D$89,"boven UCL",IF(C1267&lt;$B$89,"onder LCL","")),"")</f>
        <v/>
      </c>
      <c r="G1267" t="n">
        <v>1161</v>
      </c>
      <c r="H1267" s="7" t="n"/>
      <c r="I1267" s="7" t="n"/>
      <c r="J1267" s="11">
        <f>IF(AND(ISNUMBER(H1267),ISNUMBER(I1267),H1267&gt;0,ISNUMBER($B$94)),I1267/H1267,"")</f>
        <v/>
      </c>
      <c r="K1267" s="11">
        <f>IF(AND(ISNUMBER(H1267),ISNUMBER(I1267),H1267&gt;0,ISNUMBER($B$94)),MAX(0,$B$94-3*SQRT($B$94*(1-$B$94)/H1267)),"")</f>
        <v/>
      </c>
      <c r="L1267" s="11">
        <f>IF(AND(ISNUMBER(H1267),ISNUMBER(I1267),H1267&gt;0,ISNUMBER($B$94)),$B$94+3*SQRT($B$94*(1-$B$94)/H1267),"")</f>
        <v/>
      </c>
      <c r="M1267" s="13">
        <f>IF(AND(ISNUMBER(J1267),ISNUMBER(K1267),ISNUMBER(L1267)),IF(J1267&gt;L1267,"boven UCL",IF(J1267&lt;K1267,"onder LCL","")),"")</f>
        <v/>
      </c>
      <c r="O1267" t="n">
        <v>1161</v>
      </c>
      <c r="P1267" s="7" t="n"/>
      <c r="Q1267" s="7" t="n"/>
      <c r="R1267" s="11">
        <f>IF(AND(ISNUMBER(P1267),ISNUMBER(Q1267),P1267&gt;0,ISNUMBER($B$100)),Q1267/P1267,"")</f>
        <v/>
      </c>
      <c r="S1267" s="11">
        <f>IF(AND(ISNUMBER(P1267),ISNUMBER(Q1267),P1267&gt;0,ISNUMBER($B$100)),MAX(0,$B$100-3*SQRT($B$100/P1267)),"")</f>
        <v/>
      </c>
      <c r="T1267" s="11">
        <f>IF(AND(ISNUMBER(P1267),ISNUMBER(Q1267),P1267&gt;0,ISNUMBER($B$100)),$B$100+3*SQRT($B$100/P1267),"")</f>
        <v/>
      </c>
      <c r="U1267" s="13">
        <f>IF(AND(ISNUMBER(R1267),ISNUMBER(S1267),ISNUMBER(T1267)),IF(R1267&gt;T1267,"boven UCL",IF(R1267&lt;S1267,"onder LCL","")),"")</f>
        <v/>
      </c>
    </row>
    <row r="1268">
      <c r="A1268" t="n">
        <v>1162</v>
      </c>
      <c r="B1268" s="7" t="n"/>
      <c r="C1268" s="11">
        <f>IF(AND(ISNUMBER(B1268),ISNUMBER(B1267)),ABS(B1268-B1267),"")</f>
        <v/>
      </c>
      <c r="D1268" s="13">
        <f>IF(AND(ISNUMBER(B1268),ISNUMBER($B$88),ISNUMBER($D$88)),IF(B1268&gt;$D$88,"boven UCL",IF(B1268&lt;$B$88,"onder LCL","")),"")</f>
        <v/>
      </c>
      <c r="E1268" s="13">
        <f>IF(AND(ISNUMBER(C1268),ISNUMBER($B$89),ISNUMBER($D$89)),IF(C1268&gt;$D$89,"boven UCL",IF(C1268&lt;$B$89,"onder LCL","")),"")</f>
        <v/>
      </c>
      <c r="G1268" t="n">
        <v>1162</v>
      </c>
      <c r="H1268" s="7" t="n"/>
      <c r="I1268" s="7" t="n"/>
      <c r="J1268" s="11">
        <f>IF(AND(ISNUMBER(H1268),ISNUMBER(I1268),H1268&gt;0,ISNUMBER($B$94)),I1268/H1268,"")</f>
        <v/>
      </c>
      <c r="K1268" s="11">
        <f>IF(AND(ISNUMBER(H1268),ISNUMBER(I1268),H1268&gt;0,ISNUMBER($B$94)),MAX(0,$B$94-3*SQRT($B$94*(1-$B$94)/H1268)),"")</f>
        <v/>
      </c>
      <c r="L1268" s="11">
        <f>IF(AND(ISNUMBER(H1268),ISNUMBER(I1268),H1268&gt;0,ISNUMBER($B$94)),$B$94+3*SQRT($B$94*(1-$B$94)/H1268),"")</f>
        <v/>
      </c>
      <c r="M1268" s="13">
        <f>IF(AND(ISNUMBER(J1268),ISNUMBER(K1268),ISNUMBER(L1268)),IF(J1268&gt;L1268,"boven UCL",IF(J1268&lt;K1268,"onder LCL","")),"")</f>
        <v/>
      </c>
      <c r="O1268" t="n">
        <v>1162</v>
      </c>
      <c r="P1268" s="7" t="n"/>
      <c r="Q1268" s="7" t="n"/>
      <c r="R1268" s="11">
        <f>IF(AND(ISNUMBER(P1268),ISNUMBER(Q1268),P1268&gt;0,ISNUMBER($B$100)),Q1268/P1268,"")</f>
        <v/>
      </c>
      <c r="S1268" s="11">
        <f>IF(AND(ISNUMBER(P1268),ISNUMBER(Q1268),P1268&gt;0,ISNUMBER($B$100)),MAX(0,$B$100-3*SQRT($B$100/P1268)),"")</f>
        <v/>
      </c>
      <c r="T1268" s="11">
        <f>IF(AND(ISNUMBER(P1268),ISNUMBER(Q1268),P1268&gt;0,ISNUMBER($B$100)),$B$100+3*SQRT($B$100/P1268),"")</f>
        <v/>
      </c>
      <c r="U1268" s="13">
        <f>IF(AND(ISNUMBER(R1268),ISNUMBER(S1268),ISNUMBER(T1268)),IF(R1268&gt;T1268,"boven UCL",IF(R1268&lt;S1268,"onder LCL","")),"")</f>
        <v/>
      </c>
    </row>
    <row r="1269">
      <c r="A1269" t="n">
        <v>1163</v>
      </c>
      <c r="B1269" s="7" t="n"/>
      <c r="C1269" s="11">
        <f>IF(AND(ISNUMBER(B1269),ISNUMBER(B1268)),ABS(B1269-B1268),"")</f>
        <v/>
      </c>
      <c r="D1269" s="13">
        <f>IF(AND(ISNUMBER(B1269),ISNUMBER($B$88),ISNUMBER($D$88)),IF(B1269&gt;$D$88,"boven UCL",IF(B1269&lt;$B$88,"onder LCL","")),"")</f>
        <v/>
      </c>
      <c r="E1269" s="13">
        <f>IF(AND(ISNUMBER(C1269),ISNUMBER($B$89),ISNUMBER($D$89)),IF(C1269&gt;$D$89,"boven UCL",IF(C1269&lt;$B$89,"onder LCL","")),"")</f>
        <v/>
      </c>
      <c r="G1269" t="n">
        <v>1163</v>
      </c>
      <c r="H1269" s="7" t="n"/>
      <c r="I1269" s="7" t="n"/>
      <c r="J1269" s="11">
        <f>IF(AND(ISNUMBER(H1269),ISNUMBER(I1269),H1269&gt;0,ISNUMBER($B$94)),I1269/H1269,"")</f>
        <v/>
      </c>
      <c r="K1269" s="11">
        <f>IF(AND(ISNUMBER(H1269),ISNUMBER(I1269),H1269&gt;0,ISNUMBER($B$94)),MAX(0,$B$94-3*SQRT($B$94*(1-$B$94)/H1269)),"")</f>
        <v/>
      </c>
      <c r="L1269" s="11">
        <f>IF(AND(ISNUMBER(H1269),ISNUMBER(I1269),H1269&gt;0,ISNUMBER($B$94)),$B$94+3*SQRT($B$94*(1-$B$94)/H1269),"")</f>
        <v/>
      </c>
      <c r="M1269" s="13">
        <f>IF(AND(ISNUMBER(J1269),ISNUMBER(K1269),ISNUMBER(L1269)),IF(J1269&gt;L1269,"boven UCL",IF(J1269&lt;K1269,"onder LCL","")),"")</f>
        <v/>
      </c>
      <c r="O1269" t="n">
        <v>1163</v>
      </c>
      <c r="P1269" s="7" t="n"/>
      <c r="Q1269" s="7" t="n"/>
      <c r="R1269" s="11">
        <f>IF(AND(ISNUMBER(P1269),ISNUMBER(Q1269),P1269&gt;0,ISNUMBER($B$100)),Q1269/P1269,"")</f>
        <v/>
      </c>
      <c r="S1269" s="11">
        <f>IF(AND(ISNUMBER(P1269),ISNUMBER(Q1269),P1269&gt;0,ISNUMBER($B$100)),MAX(0,$B$100-3*SQRT($B$100/P1269)),"")</f>
        <v/>
      </c>
      <c r="T1269" s="11">
        <f>IF(AND(ISNUMBER(P1269),ISNUMBER(Q1269),P1269&gt;0,ISNUMBER($B$100)),$B$100+3*SQRT($B$100/P1269),"")</f>
        <v/>
      </c>
      <c r="U1269" s="13">
        <f>IF(AND(ISNUMBER(R1269),ISNUMBER(S1269),ISNUMBER(T1269)),IF(R1269&gt;T1269,"boven UCL",IF(R1269&lt;S1269,"onder LCL","")),"")</f>
        <v/>
      </c>
    </row>
    <row r="1270">
      <c r="A1270" t="n">
        <v>1164</v>
      </c>
      <c r="B1270" s="7" t="n"/>
      <c r="C1270" s="11">
        <f>IF(AND(ISNUMBER(B1270),ISNUMBER(B1269)),ABS(B1270-B1269),"")</f>
        <v/>
      </c>
      <c r="D1270" s="13">
        <f>IF(AND(ISNUMBER(B1270),ISNUMBER($B$88),ISNUMBER($D$88)),IF(B1270&gt;$D$88,"boven UCL",IF(B1270&lt;$B$88,"onder LCL","")),"")</f>
        <v/>
      </c>
      <c r="E1270" s="13">
        <f>IF(AND(ISNUMBER(C1270),ISNUMBER($B$89),ISNUMBER($D$89)),IF(C1270&gt;$D$89,"boven UCL",IF(C1270&lt;$B$89,"onder LCL","")),"")</f>
        <v/>
      </c>
      <c r="G1270" t="n">
        <v>1164</v>
      </c>
      <c r="H1270" s="7" t="n"/>
      <c r="I1270" s="7" t="n"/>
      <c r="J1270" s="11">
        <f>IF(AND(ISNUMBER(H1270),ISNUMBER(I1270),H1270&gt;0,ISNUMBER($B$94)),I1270/H1270,"")</f>
        <v/>
      </c>
      <c r="K1270" s="11">
        <f>IF(AND(ISNUMBER(H1270),ISNUMBER(I1270),H1270&gt;0,ISNUMBER($B$94)),MAX(0,$B$94-3*SQRT($B$94*(1-$B$94)/H1270)),"")</f>
        <v/>
      </c>
      <c r="L1270" s="11">
        <f>IF(AND(ISNUMBER(H1270),ISNUMBER(I1270),H1270&gt;0,ISNUMBER($B$94)),$B$94+3*SQRT($B$94*(1-$B$94)/H1270),"")</f>
        <v/>
      </c>
      <c r="M1270" s="13">
        <f>IF(AND(ISNUMBER(J1270),ISNUMBER(K1270),ISNUMBER(L1270)),IF(J1270&gt;L1270,"boven UCL",IF(J1270&lt;K1270,"onder LCL","")),"")</f>
        <v/>
      </c>
      <c r="O1270" t="n">
        <v>1164</v>
      </c>
      <c r="P1270" s="7" t="n"/>
      <c r="Q1270" s="7" t="n"/>
      <c r="R1270" s="11">
        <f>IF(AND(ISNUMBER(P1270),ISNUMBER(Q1270),P1270&gt;0,ISNUMBER($B$100)),Q1270/P1270,"")</f>
        <v/>
      </c>
      <c r="S1270" s="11">
        <f>IF(AND(ISNUMBER(P1270),ISNUMBER(Q1270),P1270&gt;0,ISNUMBER($B$100)),MAX(0,$B$100-3*SQRT($B$100/P1270)),"")</f>
        <v/>
      </c>
      <c r="T1270" s="11">
        <f>IF(AND(ISNUMBER(P1270),ISNUMBER(Q1270),P1270&gt;0,ISNUMBER($B$100)),$B$100+3*SQRT($B$100/P1270),"")</f>
        <v/>
      </c>
      <c r="U1270" s="13">
        <f>IF(AND(ISNUMBER(R1270),ISNUMBER(S1270),ISNUMBER(T1270)),IF(R1270&gt;T1270,"boven UCL",IF(R1270&lt;S1270,"onder LCL","")),"")</f>
        <v/>
      </c>
    </row>
    <row r="1271">
      <c r="A1271" t="n">
        <v>1165</v>
      </c>
      <c r="B1271" s="7" t="n"/>
      <c r="C1271" s="11">
        <f>IF(AND(ISNUMBER(B1271),ISNUMBER(B1270)),ABS(B1271-B1270),"")</f>
        <v/>
      </c>
      <c r="D1271" s="13">
        <f>IF(AND(ISNUMBER(B1271),ISNUMBER($B$88),ISNUMBER($D$88)),IF(B1271&gt;$D$88,"boven UCL",IF(B1271&lt;$B$88,"onder LCL","")),"")</f>
        <v/>
      </c>
      <c r="E1271" s="13">
        <f>IF(AND(ISNUMBER(C1271),ISNUMBER($B$89),ISNUMBER($D$89)),IF(C1271&gt;$D$89,"boven UCL",IF(C1271&lt;$B$89,"onder LCL","")),"")</f>
        <v/>
      </c>
      <c r="G1271" t="n">
        <v>1165</v>
      </c>
      <c r="H1271" s="7" t="n"/>
      <c r="I1271" s="7" t="n"/>
      <c r="J1271" s="11">
        <f>IF(AND(ISNUMBER(H1271),ISNUMBER(I1271),H1271&gt;0,ISNUMBER($B$94)),I1271/H1271,"")</f>
        <v/>
      </c>
      <c r="K1271" s="11">
        <f>IF(AND(ISNUMBER(H1271),ISNUMBER(I1271),H1271&gt;0,ISNUMBER($B$94)),MAX(0,$B$94-3*SQRT($B$94*(1-$B$94)/H1271)),"")</f>
        <v/>
      </c>
      <c r="L1271" s="11">
        <f>IF(AND(ISNUMBER(H1271),ISNUMBER(I1271),H1271&gt;0,ISNUMBER($B$94)),$B$94+3*SQRT($B$94*(1-$B$94)/H1271),"")</f>
        <v/>
      </c>
      <c r="M1271" s="13">
        <f>IF(AND(ISNUMBER(J1271),ISNUMBER(K1271),ISNUMBER(L1271)),IF(J1271&gt;L1271,"boven UCL",IF(J1271&lt;K1271,"onder LCL","")),"")</f>
        <v/>
      </c>
      <c r="O1271" t="n">
        <v>1165</v>
      </c>
      <c r="P1271" s="7" t="n"/>
      <c r="Q1271" s="7" t="n"/>
      <c r="R1271" s="11">
        <f>IF(AND(ISNUMBER(P1271),ISNUMBER(Q1271),P1271&gt;0,ISNUMBER($B$100)),Q1271/P1271,"")</f>
        <v/>
      </c>
      <c r="S1271" s="11">
        <f>IF(AND(ISNUMBER(P1271),ISNUMBER(Q1271),P1271&gt;0,ISNUMBER($B$100)),MAX(0,$B$100-3*SQRT($B$100/P1271)),"")</f>
        <v/>
      </c>
      <c r="T1271" s="11">
        <f>IF(AND(ISNUMBER(P1271),ISNUMBER(Q1271),P1271&gt;0,ISNUMBER($B$100)),$B$100+3*SQRT($B$100/P1271),"")</f>
        <v/>
      </c>
      <c r="U1271" s="13">
        <f>IF(AND(ISNUMBER(R1271),ISNUMBER(S1271),ISNUMBER(T1271)),IF(R1271&gt;T1271,"boven UCL",IF(R1271&lt;S1271,"onder LCL","")),"")</f>
        <v/>
      </c>
    </row>
    <row r="1272">
      <c r="A1272" t="n">
        <v>1166</v>
      </c>
      <c r="B1272" s="7" t="n"/>
      <c r="C1272" s="11">
        <f>IF(AND(ISNUMBER(B1272),ISNUMBER(B1271)),ABS(B1272-B1271),"")</f>
        <v/>
      </c>
      <c r="D1272" s="13">
        <f>IF(AND(ISNUMBER(B1272),ISNUMBER($B$88),ISNUMBER($D$88)),IF(B1272&gt;$D$88,"boven UCL",IF(B1272&lt;$B$88,"onder LCL","")),"")</f>
        <v/>
      </c>
      <c r="E1272" s="13">
        <f>IF(AND(ISNUMBER(C1272),ISNUMBER($B$89),ISNUMBER($D$89)),IF(C1272&gt;$D$89,"boven UCL",IF(C1272&lt;$B$89,"onder LCL","")),"")</f>
        <v/>
      </c>
      <c r="G1272" t="n">
        <v>1166</v>
      </c>
      <c r="H1272" s="7" t="n"/>
      <c r="I1272" s="7" t="n"/>
      <c r="J1272" s="11">
        <f>IF(AND(ISNUMBER(H1272),ISNUMBER(I1272),H1272&gt;0,ISNUMBER($B$94)),I1272/H1272,"")</f>
        <v/>
      </c>
      <c r="K1272" s="11">
        <f>IF(AND(ISNUMBER(H1272),ISNUMBER(I1272),H1272&gt;0,ISNUMBER($B$94)),MAX(0,$B$94-3*SQRT($B$94*(1-$B$94)/H1272)),"")</f>
        <v/>
      </c>
      <c r="L1272" s="11">
        <f>IF(AND(ISNUMBER(H1272),ISNUMBER(I1272),H1272&gt;0,ISNUMBER($B$94)),$B$94+3*SQRT($B$94*(1-$B$94)/H1272),"")</f>
        <v/>
      </c>
      <c r="M1272" s="13">
        <f>IF(AND(ISNUMBER(J1272),ISNUMBER(K1272),ISNUMBER(L1272)),IF(J1272&gt;L1272,"boven UCL",IF(J1272&lt;K1272,"onder LCL","")),"")</f>
        <v/>
      </c>
      <c r="O1272" t="n">
        <v>1166</v>
      </c>
      <c r="P1272" s="7" t="n"/>
      <c r="Q1272" s="7" t="n"/>
      <c r="R1272" s="11">
        <f>IF(AND(ISNUMBER(P1272),ISNUMBER(Q1272),P1272&gt;0,ISNUMBER($B$100)),Q1272/P1272,"")</f>
        <v/>
      </c>
      <c r="S1272" s="11">
        <f>IF(AND(ISNUMBER(P1272),ISNUMBER(Q1272),P1272&gt;0,ISNUMBER($B$100)),MAX(0,$B$100-3*SQRT($B$100/P1272)),"")</f>
        <v/>
      </c>
      <c r="T1272" s="11">
        <f>IF(AND(ISNUMBER(P1272),ISNUMBER(Q1272),P1272&gt;0,ISNUMBER($B$100)),$B$100+3*SQRT($B$100/P1272),"")</f>
        <v/>
      </c>
      <c r="U1272" s="13">
        <f>IF(AND(ISNUMBER(R1272),ISNUMBER(S1272),ISNUMBER(T1272)),IF(R1272&gt;T1272,"boven UCL",IF(R1272&lt;S1272,"onder LCL","")),"")</f>
        <v/>
      </c>
    </row>
    <row r="1273">
      <c r="A1273" t="n">
        <v>1167</v>
      </c>
      <c r="B1273" s="7" t="n"/>
      <c r="C1273" s="11">
        <f>IF(AND(ISNUMBER(B1273),ISNUMBER(B1272)),ABS(B1273-B1272),"")</f>
        <v/>
      </c>
      <c r="D1273" s="13">
        <f>IF(AND(ISNUMBER(B1273),ISNUMBER($B$88),ISNUMBER($D$88)),IF(B1273&gt;$D$88,"boven UCL",IF(B1273&lt;$B$88,"onder LCL","")),"")</f>
        <v/>
      </c>
      <c r="E1273" s="13">
        <f>IF(AND(ISNUMBER(C1273),ISNUMBER($B$89),ISNUMBER($D$89)),IF(C1273&gt;$D$89,"boven UCL",IF(C1273&lt;$B$89,"onder LCL","")),"")</f>
        <v/>
      </c>
      <c r="G1273" t="n">
        <v>1167</v>
      </c>
      <c r="H1273" s="7" t="n"/>
      <c r="I1273" s="7" t="n"/>
      <c r="J1273" s="11">
        <f>IF(AND(ISNUMBER(H1273),ISNUMBER(I1273),H1273&gt;0,ISNUMBER($B$94)),I1273/H1273,"")</f>
        <v/>
      </c>
      <c r="K1273" s="11">
        <f>IF(AND(ISNUMBER(H1273),ISNUMBER(I1273),H1273&gt;0,ISNUMBER($B$94)),MAX(0,$B$94-3*SQRT($B$94*(1-$B$94)/H1273)),"")</f>
        <v/>
      </c>
      <c r="L1273" s="11">
        <f>IF(AND(ISNUMBER(H1273),ISNUMBER(I1273),H1273&gt;0,ISNUMBER($B$94)),$B$94+3*SQRT($B$94*(1-$B$94)/H1273),"")</f>
        <v/>
      </c>
      <c r="M1273" s="13">
        <f>IF(AND(ISNUMBER(J1273),ISNUMBER(K1273),ISNUMBER(L1273)),IF(J1273&gt;L1273,"boven UCL",IF(J1273&lt;K1273,"onder LCL","")),"")</f>
        <v/>
      </c>
      <c r="O1273" t="n">
        <v>1167</v>
      </c>
      <c r="P1273" s="7" t="n"/>
      <c r="Q1273" s="7" t="n"/>
      <c r="R1273" s="11">
        <f>IF(AND(ISNUMBER(P1273),ISNUMBER(Q1273),P1273&gt;0,ISNUMBER($B$100)),Q1273/P1273,"")</f>
        <v/>
      </c>
      <c r="S1273" s="11">
        <f>IF(AND(ISNUMBER(P1273),ISNUMBER(Q1273),P1273&gt;0,ISNUMBER($B$100)),MAX(0,$B$100-3*SQRT($B$100/P1273)),"")</f>
        <v/>
      </c>
      <c r="T1273" s="11">
        <f>IF(AND(ISNUMBER(P1273),ISNUMBER(Q1273),P1273&gt;0,ISNUMBER($B$100)),$B$100+3*SQRT($B$100/P1273),"")</f>
        <v/>
      </c>
      <c r="U1273" s="13">
        <f>IF(AND(ISNUMBER(R1273),ISNUMBER(S1273),ISNUMBER(T1273)),IF(R1273&gt;T1273,"boven UCL",IF(R1273&lt;S1273,"onder LCL","")),"")</f>
        <v/>
      </c>
    </row>
    <row r="1274">
      <c r="A1274" t="n">
        <v>1168</v>
      </c>
      <c r="B1274" s="7" t="n"/>
      <c r="C1274" s="11">
        <f>IF(AND(ISNUMBER(B1274),ISNUMBER(B1273)),ABS(B1274-B1273),"")</f>
        <v/>
      </c>
      <c r="D1274" s="13">
        <f>IF(AND(ISNUMBER(B1274),ISNUMBER($B$88),ISNUMBER($D$88)),IF(B1274&gt;$D$88,"boven UCL",IF(B1274&lt;$B$88,"onder LCL","")),"")</f>
        <v/>
      </c>
      <c r="E1274" s="13">
        <f>IF(AND(ISNUMBER(C1274),ISNUMBER($B$89),ISNUMBER($D$89)),IF(C1274&gt;$D$89,"boven UCL",IF(C1274&lt;$B$89,"onder LCL","")),"")</f>
        <v/>
      </c>
      <c r="G1274" t="n">
        <v>1168</v>
      </c>
      <c r="H1274" s="7" t="n"/>
      <c r="I1274" s="7" t="n"/>
      <c r="J1274" s="11">
        <f>IF(AND(ISNUMBER(H1274),ISNUMBER(I1274),H1274&gt;0,ISNUMBER($B$94)),I1274/H1274,"")</f>
        <v/>
      </c>
      <c r="K1274" s="11">
        <f>IF(AND(ISNUMBER(H1274),ISNUMBER(I1274),H1274&gt;0,ISNUMBER($B$94)),MAX(0,$B$94-3*SQRT($B$94*(1-$B$94)/H1274)),"")</f>
        <v/>
      </c>
      <c r="L1274" s="11">
        <f>IF(AND(ISNUMBER(H1274),ISNUMBER(I1274),H1274&gt;0,ISNUMBER($B$94)),$B$94+3*SQRT($B$94*(1-$B$94)/H1274),"")</f>
        <v/>
      </c>
      <c r="M1274" s="13">
        <f>IF(AND(ISNUMBER(J1274),ISNUMBER(K1274),ISNUMBER(L1274)),IF(J1274&gt;L1274,"boven UCL",IF(J1274&lt;K1274,"onder LCL","")),"")</f>
        <v/>
      </c>
      <c r="O1274" t="n">
        <v>1168</v>
      </c>
      <c r="P1274" s="7" t="n"/>
      <c r="Q1274" s="7" t="n"/>
      <c r="R1274" s="11">
        <f>IF(AND(ISNUMBER(P1274),ISNUMBER(Q1274),P1274&gt;0,ISNUMBER($B$100)),Q1274/P1274,"")</f>
        <v/>
      </c>
      <c r="S1274" s="11">
        <f>IF(AND(ISNUMBER(P1274),ISNUMBER(Q1274),P1274&gt;0,ISNUMBER($B$100)),MAX(0,$B$100-3*SQRT($B$100/P1274)),"")</f>
        <v/>
      </c>
      <c r="T1274" s="11">
        <f>IF(AND(ISNUMBER(P1274),ISNUMBER(Q1274),P1274&gt;0,ISNUMBER($B$100)),$B$100+3*SQRT($B$100/P1274),"")</f>
        <v/>
      </c>
      <c r="U1274" s="13">
        <f>IF(AND(ISNUMBER(R1274),ISNUMBER(S1274),ISNUMBER(T1274)),IF(R1274&gt;T1274,"boven UCL",IF(R1274&lt;S1274,"onder LCL","")),"")</f>
        <v/>
      </c>
    </row>
    <row r="1275">
      <c r="A1275" t="n">
        <v>1169</v>
      </c>
      <c r="B1275" s="7" t="n"/>
      <c r="C1275" s="11">
        <f>IF(AND(ISNUMBER(B1275),ISNUMBER(B1274)),ABS(B1275-B1274),"")</f>
        <v/>
      </c>
      <c r="D1275" s="13">
        <f>IF(AND(ISNUMBER(B1275),ISNUMBER($B$88),ISNUMBER($D$88)),IF(B1275&gt;$D$88,"boven UCL",IF(B1275&lt;$B$88,"onder LCL","")),"")</f>
        <v/>
      </c>
      <c r="E1275" s="13">
        <f>IF(AND(ISNUMBER(C1275),ISNUMBER($B$89),ISNUMBER($D$89)),IF(C1275&gt;$D$89,"boven UCL",IF(C1275&lt;$B$89,"onder LCL","")),"")</f>
        <v/>
      </c>
      <c r="G1275" t="n">
        <v>1169</v>
      </c>
      <c r="H1275" s="7" t="n"/>
      <c r="I1275" s="7" t="n"/>
      <c r="J1275" s="11">
        <f>IF(AND(ISNUMBER(H1275),ISNUMBER(I1275),H1275&gt;0,ISNUMBER($B$94)),I1275/H1275,"")</f>
        <v/>
      </c>
      <c r="K1275" s="11">
        <f>IF(AND(ISNUMBER(H1275),ISNUMBER(I1275),H1275&gt;0,ISNUMBER($B$94)),MAX(0,$B$94-3*SQRT($B$94*(1-$B$94)/H1275)),"")</f>
        <v/>
      </c>
      <c r="L1275" s="11">
        <f>IF(AND(ISNUMBER(H1275),ISNUMBER(I1275),H1275&gt;0,ISNUMBER($B$94)),$B$94+3*SQRT($B$94*(1-$B$94)/H1275),"")</f>
        <v/>
      </c>
      <c r="M1275" s="13">
        <f>IF(AND(ISNUMBER(J1275),ISNUMBER(K1275),ISNUMBER(L1275)),IF(J1275&gt;L1275,"boven UCL",IF(J1275&lt;K1275,"onder LCL","")),"")</f>
        <v/>
      </c>
      <c r="O1275" t="n">
        <v>1169</v>
      </c>
      <c r="P1275" s="7" t="n"/>
      <c r="Q1275" s="7" t="n"/>
      <c r="R1275" s="11">
        <f>IF(AND(ISNUMBER(P1275),ISNUMBER(Q1275),P1275&gt;0,ISNUMBER($B$100)),Q1275/P1275,"")</f>
        <v/>
      </c>
      <c r="S1275" s="11">
        <f>IF(AND(ISNUMBER(P1275),ISNUMBER(Q1275),P1275&gt;0,ISNUMBER($B$100)),MAX(0,$B$100-3*SQRT($B$100/P1275)),"")</f>
        <v/>
      </c>
      <c r="T1275" s="11">
        <f>IF(AND(ISNUMBER(P1275),ISNUMBER(Q1275),P1275&gt;0,ISNUMBER($B$100)),$B$100+3*SQRT($B$100/P1275),"")</f>
        <v/>
      </c>
      <c r="U1275" s="13">
        <f>IF(AND(ISNUMBER(R1275),ISNUMBER(S1275),ISNUMBER(T1275)),IF(R1275&gt;T1275,"boven UCL",IF(R1275&lt;S1275,"onder LCL","")),"")</f>
        <v/>
      </c>
    </row>
    <row r="1276">
      <c r="A1276" t="n">
        <v>1170</v>
      </c>
      <c r="B1276" s="7" t="n"/>
      <c r="C1276" s="11">
        <f>IF(AND(ISNUMBER(B1276),ISNUMBER(B1275)),ABS(B1276-B1275),"")</f>
        <v/>
      </c>
      <c r="D1276" s="13">
        <f>IF(AND(ISNUMBER(B1276),ISNUMBER($B$88),ISNUMBER($D$88)),IF(B1276&gt;$D$88,"boven UCL",IF(B1276&lt;$B$88,"onder LCL","")),"")</f>
        <v/>
      </c>
      <c r="E1276" s="13">
        <f>IF(AND(ISNUMBER(C1276),ISNUMBER($B$89),ISNUMBER($D$89)),IF(C1276&gt;$D$89,"boven UCL",IF(C1276&lt;$B$89,"onder LCL","")),"")</f>
        <v/>
      </c>
      <c r="G1276" t="n">
        <v>1170</v>
      </c>
      <c r="H1276" s="7" t="n"/>
      <c r="I1276" s="7" t="n"/>
      <c r="J1276" s="11">
        <f>IF(AND(ISNUMBER(H1276),ISNUMBER(I1276),H1276&gt;0,ISNUMBER($B$94)),I1276/H1276,"")</f>
        <v/>
      </c>
      <c r="K1276" s="11">
        <f>IF(AND(ISNUMBER(H1276),ISNUMBER(I1276),H1276&gt;0,ISNUMBER($B$94)),MAX(0,$B$94-3*SQRT($B$94*(1-$B$94)/H1276)),"")</f>
        <v/>
      </c>
      <c r="L1276" s="11">
        <f>IF(AND(ISNUMBER(H1276),ISNUMBER(I1276),H1276&gt;0,ISNUMBER($B$94)),$B$94+3*SQRT($B$94*(1-$B$94)/H1276),"")</f>
        <v/>
      </c>
      <c r="M1276" s="13">
        <f>IF(AND(ISNUMBER(J1276),ISNUMBER(K1276),ISNUMBER(L1276)),IF(J1276&gt;L1276,"boven UCL",IF(J1276&lt;K1276,"onder LCL","")),"")</f>
        <v/>
      </c>
      <c r="O1276" t="n">
        <v>1170</v>
      </c>
      <c r="P1276" s="7" t="n"/>
      <c r="Q1276" s="7" t="n"/>
      <c r="R1276" s="11">
        <f>IF(AND(ISNUMBER(P1276),ISNUMBER(Q1276),P1276&gt;0,ISNUMBER($B$100)),Q1276/P1276,"")</f>
        <v/>
      </c>
      <c r="S1276" s="11">
        <f>IF(AND(ISNUMBER(P1276),ISNUMBER(Q1276),P1276&gt;0,ISNUMBER($B$100)),MAX(0,$B$100-3*SQRT($B$100/P1276)),"")</f>
        <v/>
      </c>
      <c r="T1276" s="11">
        <f>IF(AND(ISNUMBER(P1276),ISNUMBER(Q1276),P1276&gt;0,ISNUMBER($B$100)),$B$100+3*SQRT($B$100/P1276),"")</f>
        <v/>
      </c>
      <c r="U1276" s="13">
        <f>IF(AND(ISNUMBER(R1276),ISNUMBER(S1276),ISNUMBER(T1276)),IF(R1276&gt;T1276,"boven UCL",IF(R1276&lt;S1276,"onder LCL","")),"")</f>
        <v/>
      </c>
    </row>
    <row r="1277">
      <c r="A1277" t="n">
        <v>1171</v>
      </c>
      <c r="B1277" s="7" t="n"/>
      <c r="C1277" s="11">
        <f>IF(AND(ISNUMBER(B1277),ISNUMBER(B1276)),ABS(B1277-B1276),"")</f>
        <v/>
      </c>
      <c r="D1277" s="13">
        <f>IF(AND(ISNUMBER(B1277),ISNUMBER($B$88),ISNUMBER($D$88)),IF(B1277&gt;$D$88,"boven UCL",IF(B1277&lt;$B$88,"onder LCL","")),"")</f>
        <v/>
      </c>
      <c r="E1277" s="13">
        <f>IF(AND(ISNUMBER(C1277),ISNUMBER($B$89),ISNUMBER($D$89)),IF(C1277&gt;$D$89,"boven UCL",IF(C1277&lt;$B$89,"onder LCL","")),"")</f>
        <v/>
      </c>
      <c r="G1277" t="n">
        <v>1171</v>
      </c>
      <c r="H1277" s="7" t="n"/>
      <c r="I1277" s="7" t="n"/>
      <c r="J1277" s="11">
        <f>IF(AND(ISNUMBER(H1277),ISNUMBER(I1277),H1277&gt;0,ISNUMBER($B$94)),I1277/H1277,"")</f>
        <v/>
      </c>
      <c r="K1277" s="11">
        <f>IF(AND(ISNUMBER(H1277),ISNUMBER(I1277),H1277&gt;0,ISNUMBER($B$94)),MAX(0,$B$94-3*SQRT($B$94*(1-$B$94)/H1277)),"")</f>
        <v/>
      </c>
      <c r="L1277" s="11">
        <f>IF(AND(ISNUMBER(H1277),ISNUMBER(I1277),H1277&gt;0,ISNUMBER($B$94)),$B$94+3*SQRT($B$94*(1-$B$94)/H1277),"")</f>
        <v/>
      </c>
      <c r="M1277" s="13">
        <f>IF(AND(ISNUMBER(J1277),ISNUMBER(K1277),ISNUMBER(L1277)),IF(J1277&gt;L1277,"boven UCL",IF(J1277&lt;K1277,"onder LCL","")),"")</f>
        <v/>
      </c>
      <c r="O1277" t="n">
        <v>1171</v>
      </c>
      <c r="P1277" s="7" t="n"/>
      <c r="Q1277" s="7" t="n"/>
      <c r="R1277" s="11">
        <f>IF(AND(ISNUMBER(P1277),ISNUMBER(Q1277),P1277&gt;0,ISNUMBER($B$100)),Q1277/P1277,"")</f>
        <v/>
      </c>
      <c r="S1277" s="11">
        <f>IF(AND(ISNUMBER(P1277),ISNUMBER(Q1277),P1277&gt;0,ISNUMBER($B$100)),MAX(0,$B$100-3*SQRT($B$100/P1277)),"")</f>
        <v/>
      </c>
      <c r="T1277" s="11">
        <f>IF(AND(ISNUMBER(P1277),ISNUMBER(Q1277),P1277&gt;0,ISNUMBER($B$100)),$B$100+3*SQRT($B$100/P1277),"")</f>
        <v/>
      </c>
      <c r="U1277" s="13">
        <f>IF(AND(ISNUMBER(R1277),ISNUMBER(S1277),ISNUMBER(T1277)),IF(R1277&gt;T1277,"boven UCL",IF(R1277&lt;S1277,"onder LCL","")),"")</f>
        <v/>
      </c>
    </row>
    <row r="1278">
      <c r="A1278" t="n">
        <v>1172</v>
      </c>
      <c r="B1278" s="7" t="n"/>
      <c r="C1278" s="11">
        <f>IF(AND(ISNUMBER(B1278),ISNUMBER(B1277)),ABS(B1278-B1277),"")</f>
        <v/>
      </c>
      <c r="D1278" s="13">
        <f>IF(AND(ISNUMBER(B1278),ISNUMBER($B$88),ISNUMBER($D$88)),IF(B1278&gt;$D$88,"boven UCL",IF(B1278&lt;$B$88,"onder LCL","")),"")</f>
        <v/>
      </c>
      <c r="E1278" s="13">
        <f>IF(AND(ISNUMBER(C1278),ISNUMBER($B$89),ISNUMBER($D$89)),IF(C1278&gt;$D$89,"boven UCL",IF(C1278&lt;$B$89,"onder LCL","")),"")</f>
        <v/>
      </c>
      <c r="G1278" t="n">
        <v>1172</v>
      </c>
      <c r="H1278" s="7" t="n"/>
      <c r="I1278" s="7" t="n"/>
      <c r="J1278" s="11">
        <f>IF(AND(ISNUMBER(H1278),ISNUMBER(I1278),H1278&gt;0,ISNUMBER($B$94)),I1278/H1278,"")</f>
        <v/>
      </c>
      <c r="K1278" s="11">
        <f>IF(AND(ISNUMBER(H1278),ISNUMBER(I1278),H1278&gt;0,ISNUMBER($B$94)),MAX(0,$B$94-3*SQRT($B$94*(1-$B$94)/H1278)),"")</f>
        <v/>
      </c>
      <c r="L1278" s="11">
        <f>IF(AND(ISNUMBER(H1278),ISNUMBER(I1278),H1278&gt;0,ISNUMBER($B$94)),$B$94+3*SQRT($B$94*(1-$B$94)/H1278),"")</f>
        <v/>
      </c>
      <c r="M1278" s="13">
        <f>IF(AND(ISNUMBER(J1278),ISNUMBER(K1278),ISNUMBER(L1278)),IF(J1278&gt;L1278,"boven UCL",IF(J1278&lt;K1278,"onder LCL","")),"")</f>
        <v/>
      </c>
      <c r="O1278" t="n">
        <v>1172</v>
      </c>
      <c r="P1278" s="7" t="n"/>
      <c r="Q1278" s="7" t="n"/>
      <c r="R1278" s="11">
        <f>IF(AND(ISNUMBER(P1278),ISNUMBER(Q1278),P1278&gt;0,ISNUMBER($B$100)),Q1278/P1278,"")</f>
        <v/>
      </c>
      <c r="S1278" s="11">
        <f>IF(AND(ISNUMBER(P1278),ISNUMBER(Q1278),P1278&gt;0,ISNUMBER($B$100)),MAX(0,$B$100-3*SQRT($B$100/P1278)),"")</f>
        <v/>
      </c>
      <c r="T1278" s="11">
        <f>IF(AND(ISNUMBER(P1278),ISNUMBER(Q1278),P1278&gt;0,ISNUMBER($B$100)),$B$100+3*SQRT($B$100/P1278),"")</f>
        <v/>
      </c>
      <c r="U1278" s="13">
        <f>IF(AND(ISNUMBER(R1278),ISNUMBER(S1278),ISNUMBER(T1278)),IF(R1278&gt;T1278,"boven UCL",IF(R1278&lt;S1278,"onder LCL","")),"")</f>
        <v/>
      </c>
    </row>
    <row r="1279">
      <c r="A1279" t="n">
        <v>1173</v>
      </c>
      <c r="B1279" s="7" t="n"/>
      <c r="C1279" s="11">
        <f>IF(AND(ISNUMBER(B1279),ISNUMBER(B1278)),ABS(B1279-B1278),"")</f>
        <v/>
      </c>
      <c r="D1279" s="13">
        <f>IF(AND(ISNUMBER(B1279),ISNUMBER($B$88),ISNUMBER($D$88)),IF(B1279&gt;$D$88,"boven UCL",IF(B1279&lt;$B$88,"onder LCL","")),"")</f>
        <v/>
      </c>
      <c r="E1279" s="13">
        <f>IF(AND(ISNUMBER(C1279),ISNUMBER($B$89),ISNUMBER($D$89)),IF(C1279&gt;$D$89,"boven UCL",IF(C1279&lt;$B$89,"onder LCL","")),"")</f>
        <v/>
      </c>
      <c r="G1279" t="n">
        <v>1173</v>
      </c>
      <c r="H1279" s="7" t="n"/>
      <c r="I1279" s="7" t="n"/>
      <c r="J1279" s="11">
        <f>IF(AND(ISNUMBER(H1279),ISNUMBER(I1279),H1279&gt;0,ISNUMBER($B$94)),I1279/H1279,"")</f>
        <v/>
      </c>
      <c r="K1279" s="11">
        <f>IF(AND(ISNUMBER(H1279),ISNUMBER(I1279),H1279&gt;0,ISNUMBER($B$94)),MAX(0,$B$94-3*SQRT($B$94*(1-$B$94)/H1279)),"")</f>
        <v/>
      </c>
      <c r="L1279" s="11">
        <f>IF(AND(ISNUMBER(H1279),ISNUMBER(I1279),H1279&gt;0,ISNUMBER($B$94)),$B$94+3*SQRT($B$94*(1-$B$94)/H1279),"")</f>
        <v/>
      </c>
      <c r="M1279" s="13">
        <f>IF(AND(ISNUMBER(J1279),ISNUMBER(K1279),ISNUMBER(L1279)),IF(J1279&gt;L1279,"boven UCL",IF(J1279&lt;K1279,"onder LCL","")),"")</f>
        <v/>
      </c>
      <c r="O1279" t="n">
        <v>1173</v>
      </c>
      <c r="P1279" s="7" t="n"/>
      <c r="Q1279" s="7" t="n"/>
      <c r="R1279" s="11">
        <f>IF(AND(ISNUMBER(P1279),ISNUMBER(Q1279),P1279&gt;0,ISNUMBER($B$100)),Q1279/P1279,"")</f>
        <v/>
      </c>
      <c r="S1279" s="11">
        <f>IF(AND(ISNUMBER(P1279),ISNUMBER(Q1279),P1279&gt;0,ISNUMBER($B$100)),MAX(0,$B$100-3*SQRT($B$100/P1279)),"")</f>
        <v/>
      </c>
      <c r="T1279" s="11">
        <f>IF(AND(ISNUMBER(P1279),ISNUMBER(Q1279),P1279&gt;0,ISNUMBER($B$100)),$B$100+3*SQRT($B$100/P1279),"")</f>
        <v/>
      </c>
      <c r="U1279" s="13">
        <f>IF(AND(ISNUMBER(R1279),ISNUMBER(S1279),ISNUMBER(T1279)),IF(R1279&gt;T1279,"boven UCL",IF(R1279&lt;S1279,"onder LCL","")),"")</f>
        <v/>
      </c>
    </row>
    <row r="1280">
      <c r="A1280" t="n">
        <v>1174</v>
      </c>
      <c r="B1280" s="7" t="n"/>
      <c r="C1280" s="11">
        <f>IF(AND(ISNUMBER(B1280),ISNUMBER(B1279)),ABS(B1280-B1279),"")</f>
        <v/>
      </c>
      <c r="D1280" s="13">
        <f>IF(AND(ISNUMBER(B1280),ISNUMBER($B$88),ISNUMBER($D$88)),IF(B1280&gt;$D$88,"boven UCL",IF(B1280&lt;$B$88,"onder LCL","")),"")</f>
        <v/>
      </c>
      <c r="E1280" s="13">
        <f>IF(AND(ISNUMBER(C1280),ISNUMBER($B$89),ISNUMBER($D$89)),IF(C1280&gt;$D$89,"boven UCL",IF(C1280&lt;$B$89,"onder LCL","")),"")</f>
        <v/>
      </c>
      <c r="G1280" t="n">
        <v>1174</v>
      </c>
      <c r="H1280" s="7" t="n"/>
      <c r="I1280" s="7" t="n"/>
      <c r="J1280" s="11">
        <f>IF(AND(ISNUMBER(H1280),ISNUMBER(I1280),H1280&gt;0,ISNUMBER($B$94)),I1280/H1280,"")</f>
        <v/>
      </c>
      <c r="K1280" s="11">
        <f>IF(AND(ISNUMBER(H1280),ISNUMBER(I1280),H1280&gt;0,ISNUMBER($B$94)),MAX(0,$B$94-3*SQRT($B$94*(1-$B$94)/H1280)),"")</f>
        <v/>
      </c>
      <c r="L1280" s="11">
        <f>IF(AND(ISNUMBER(H1280),ISNUMBER(I1280),H1280&gt;0,ISNUMBER($B$94)),$B$94+3*SQRT($B$94*(1-$B$94)/H1280),"")</f>
        <v/>
      </c>
      <c r="M1280" s="13">
        <f>IF(AND(ISNUMBER(J1280),ISNUMBER(K1280),ISNUMBER(L1280)),IF(J1280&gt;L1280,"boven UCL",IF(J1280&lt;K1280,"onder LCL","")),"")</f>
        <v/>
      </c>
      <c r="O1280" t="n">
        <v>1174</v>
      </c>
      <c r="P1280" s="7" t="n"/>
      <c r="Q1280" s="7" t="n"/>
      <c r="R1280" s="11">
        <f>IF(AND(ISNUMBER(P1280),ISNUMBER(Q1280),P1280&gt;0,ISNUMBER($B$100)),Q1280/P1280,"")</f>
        <v/>
      </c>
      <c r="S1280" s="11">
        <f>IF(AND(ISNUMBER(P1280),ISNUMBER(Q1280),P1280&gt;0,ISNUMBER($B$100)),MAX(0,$B$100-3*SQRT($B$100/P1280)),"")</f>
        <v/>
      </c>
      <c r="T1280" s="11">
        <f>IF(AND(ISNUMBER(P1280),ISNUMBER(Q1280),P1280&gt;0,ISNUMBER($B$100)),$B$100+3*SQRT($B$100/P1280),"")</f>
        <v/>
      </c>
      <c r="U1280" s="13">
        <f>IF(AND(ISNUMBER(R1280),ISNUMBER(S1280),ISNUMBER(T1280)),IF(R1280&gt;T1280,"boven UCL",IF(R1280&lt;S1280,"onder LCL","")),"")</f>
        <v/>
      </c>
    </row>
    <row r="1281">
      <c r="A1281" t="n">
        <v>1175</v>
      </c>
      <c r="B1281" s="7" t="n"/>
      <c r="C1281" s="11">
        <f>IF(AND(ISNUMBER(B1281),ISNUMBER(B1280)),ABS(B1281-B1280),"")</f>
        <v/>
      </c>
      <c r="D1281" s="13">
        <f>IF(AND(ISNUMBER(B1281),ISNUMBER($B$88),ISNUMBER($D$88)),IF(B1281&gt;$D$88,"boven UCL",IF(B1281&lt;$B$88,"onder LCL","")),"")</f>
        <v/>
      </c>
      <c r="E1281" s="13">
        <f>IF(AND(ISNUMBER(C1281),ISNUMBER($B$89),ISNUMBER($D$89)),IF(C1281&gt;$D$89,"boven UCL",IF(C1281&lt;$B$89,"onder LCL","")),"")</f>
        <v/>
      </c>
      <c r="G1281" t="n">
        <v>1175</v>
      </c>
      <c r="H1281" s="7" t="n"/>
      <c r="I1281" s="7" t="n"/>
      <c r="J1281" s="11">
        <f>IF(AND(ISNUMBER(H1281),ISNUMBER(I1281),H1281&gt;0,ISNUMBER($B$94)),I1281/H1281,"")</f>
        <v/>
      </c>
      <c r="K1281" s="11">
        <f>IF(AND(ISNUMBER(H1281),ISNUMBER(I1281),H1281&gt;0,ISNUMBER($B$94)),MAX(0,$B$94-3*SQRT($B$94*(1-$B$94)/H1281)),"")</f>
        <v/>
      </c>
      <c r="L1281" s="11">
        <f>IF(AND(ISNUMBER(H1281),ISNUMBER(I1281),H1281&gt;0,ISNUMBER($B$94)),$B$94+3*SQRT($B$94*(1-$B$94)/H1281),"")</f>
        <v/>
      </c>
      <c r="M1281" s="13">
        <f>IF(AND(ISNUMBER(J1281),ISNUMBER(K1281),ISNUMBER(L1281)),IF(J1281&gt;L1281,"boven UCL",IF(J1281&lt;K1281,"onder LCL","")),"")</f>
        <v/>
      </c>
      <c r="O1281" t="n">
        <v>1175</v>
      </c>
      <c r="P1281" s="7" t="n"/>
      <c r="Q1281" s="7" t="n"/>
      <c r="R1281" s="11">
        <f>IF(AND(ISNUMBER(P1281),ISNUMBER(Q1281),P1281&gt;0,ISNUMBER($B$100)),Q1281/P1281,"")</f>
        <v/>
      </c>
      <c r="S1281" s="11">
        <f>IF(AND(ISNUMBER(P1281),ISNUMBER(Q1281),P1281&gt;0,ISNUMBER($B$100)),MAX(0,$B$100-3*SQRT($B$100/P1281)),"")</f>
        <v/>
      </c>
      <c r="T1281" s="11">
        <f>IF(AND(ISNUMBER(P1281),ISNUMBER(Q1281),P1281&gt;0,ISNUMBER($B$100)),$B$100+3*SQRT($B$100/P1281),"")</f>
        <v/>
      </c>
      <c r="U1281" s="13">
        <f>IF(AND(ISNUMBER(R1281),ISNUMBER(S1281),ISNUMBER(T1281)),IF(R1281&gt;T1281,"boven UCL",IF(R1281&lt;S1281,"onder LCL","")),"")</f>
        <v/>
      </c>
    </row>
    <row r="1282">
      <c r="A1282" t="n">
        <v>1176</v>
      </c>
      <c r="B1282" s="7" t="n"/>
      <c r="C1282" s="11">
        <f>IF(AND(ISNUMBER(B1282),ISNUMBER(B1281)),ABS(B1282-B1281),"")</f>
        <v/>
      </c>
      <c r="D1282" s="13">
        <f>IF(AND(ISNUMBER(B1282),ISNUMBER($B$88),ISNUMBER($D$88)),IF(B1282&gt;$D$88,"boven UCL",IF(B1282&lt;$B$88,"onder LCL","")),"")</f>
        <v/>
      </c>
      <c r="E1282" s="13">
        <f>IF(AND(ISNUMBER(C1282),ISNUMBER($B$89),ISNUMBER($D$89)),IF(C1282&gt;$D$89,"boven UCL",IF(C1282&lt;$B$89,"onder LCL","")),"")</f>
        <v/>
      </c>
      <c r="G1282" t="n">
        <v>1176</v>
      </c>
      <c r="H1282" s="7" t="n"/>
      <c r="I1282" s="7" t="n"/>
      <c r="J1282" s="11">
        <f>IF(AND(ISNUMBER(H1282),ISNUMBER(I1282),H1282&gt;0,ISNUMBER($B$94)),I1282/H1282,"")</f>
        <v/>
      </c>
      <c r="K1282" s="11">
        <f>IF(AND(ISNUMBER(H1282),ISNUMBER(I1282),H1282&gt;0,ISNUMBER($B$94)),MAX(0,$B$94-3*SQRT($B$94*(1-$B$94)/H1282)),"")</f>
        <v/>
      </c>
      <c r="L1282" s="11">
        <f>IF(AND(ISNUMBER(H1282),ISNUMBER(I1282),H1282&gt;0,ISNUMBER($B$94)),$B$94+3*SQRT($B$94*(1-$B$94)/H1282),"")</f>
        <v/>
      </c>
      <c r="M1282" s="13">
        <f>IF(AND(ISNUMBER(J1282),ISNUMBER(K1282),ISNUMBER(L1282)),IF(J1282&gt;L1282,"boven UCL",IF(J1282&lt;K1282,"onder LCL","")),"")</f>
        <v/>
      </c>
      <c r="O1282" t="n">
        <v>1176</v>
      </c>
      <c r="P1282" s="7" t="n"/>
      <c r="Q1282" s="7" t="n"/>
      <c r="R1282" s="11">
        <f>IF(AND(ISNUMBER(P1282),ISNUMBER(Q1282),P1282&gt;0,ISNUMBER($B$100)),Q1282/P1282,"")</f>
        <v/>
      </c>
      <c r="S1282" s="11">
        <f>IF(AND(ISNUMBER(P1282),ISNUMBER(Q1282),P1282&gt;0,ISNUMBER($B$100)),MAX(0,$B$100-3*SQRT($B$100/P1282)),"")</f>
        <v/>
      </c>
      <c r="T1282" s="11">
        <f>IF(AND(ISNUMBER(P1282),ISNUMBER(Q1282),P1282&gt;0,ISNUMBER($B$100)),$B$100+3*SQRT($B$100/P1282),"")</f>
        <v/>
      </c>
      <c r="U1282" s="13">
        <f>IF(AND(ISNUMBER(R1282),ISNUMBER(S1282),ISNUMBER(T1282)),IF(R1282&gt;T1282,"boven UCL",IF(R1282&lt;S1282,"onder LCL","")),"")</f>
        <v/>
      </c>
    </row>
    <row r="1283">
      <c r="A1283" t="n">
        <v>1177</v>
      </c>
      <c r="B1283" s="7" t="n"/>
      <c r="C1283" s="11">
        <f>IF(AND(ISNUMBER(B1283),ISNUMBER(B1282)),ABS(B1283-B1282),"")</f>
        <v/>
      </c>
      <c r="D1283" s="13">
        <f>IF(AND(ISNUMBER(B1283),ISNUMBER($B$88),ISNUMBER($D$88)),IF(B1283&gt;$D$88,"boven UCL",IF(B1283&lt;$B$88,"onder LCL","")),"")</f>
        <v/>
      </c>
      <c r="E1283" s="13">
        <f>IF(AND(ISNUMBER(C1283),ISNUMBER($B$89),ISNUMBER($D$89)),IF(C1283&gt;$D$89,"boven UCL",IF(C1283&lt;$B$89,"onder LCL","")),"")</f>
        <v/>
      </c>
      <c r="G1283" t="n">
        <v>1177</v>
      </c>
      <c r="H1283" s="7" t="n"/>
      <c r="I1283" s="7" t="n"/>
      <c r="J1283" s="11">
        <f>IF(AND(ISNUMBER(H1283),ISNUMBER(I1283),H1283&gt;0,ISNUMBER($B$94)),I1283/H1283,"")</f>
        <v/>
      </c>
      <c r="K1283" s="11">
        <f>IF(AND(ISNUMBER(H1283),ISNUMBER(I1283),H1283&gt;0,ISNUMBER($B$94)),MAX(0,$B$94-3*SQRT($B$94*(1-$B$94)/H1283)),"")</f>
        <v/>
      </c>
      <c r="L1283" s="11">
        <f>IF(AND(ISNUMBER(H1283),ISNUMBER(I1283),H1283&gt;0,ISNUMBER($B$94)),$B$94+3*SQRT($B$94*(1-$B$94)/H1283),"")</f>
        <v/>
      </c>
      <c r="M1283" s="13">
        <f>IF(AND(ISNUMBER(J1283),ISNUMBER(K1283),ISNUMBER(L1283)),IF(J1283&gt;L1283,"boven UCL",IF(J1283&lt;K1283,"onder LCL","")),"")</f>
        <v/>
      </c>
      <c r="O1283" t="n">
        <v>1177</v>
      </c>
      <c r="P1283" s="7" t="n"/>
      <c r="Q1283" s="7" t="n"/>
      <c r="R1283" s="11">
        <f>IF(AND(ISNUMBER(P1283),ISNUMBER(Q1283),P1283&gt;0,ISNUMBER($B$100)),Q1283/P1283,"")</f>
        <v/>
      </c>
      <c r="S1283" s="11">
        <f>IF(AND(ISNUMBER(P1283),ISNUMBER(Q1283),P1283&gt;0,ISNUMBER($B$100)),MAX(0,$B$100-3*SQRT($B$100/P1283)),"")</f>
        <v/>
      </c>
      <c r="T1283" s="11">
        <f>IF(AND(ISNUMBER(P1283),ISNUMBER(Q1283),P1283&gt;0,ISNUMBER($B$100)),$B$100+3*SQRT($B$100/P1283),"")</f>
        <v/>
      </c>
      <c r="U1283" s="13">
        <f>IF(AND(ISNUMBER(R1283),ISNUMBER(S1283),ISNUMBER(T1283)),IF(R1283&gt;T1283,"boven UCL",IF(R1283&lt;S1283,"onder LCL","")),"")</f>
        <v/>
      </c>
    </row>
    <row r="1284">
      <c r="A1284" t="n">
        <v>1178</v>
      </c>
      <c r="B1284" s="7" t="n"/>
      <c r="C1284" s="11">
        <f>IF(AND(ISNUMBER(B1284),ISNUMBER(B1283)),ABS(B1284-B1283),"")</f>
        <v/>
      </c>
      <c r="D1284" s="13">
        <f>IF(AND(ISNUMBER(B1284),ISNUMBER($B$88),ISNUMBER($D$88)),IF(B1284&gt;$D$88,"boven UCL",IF(B1284&lt;$B$88,"onder LCL","")),"")</f>
        <v/>
      </c>
      <c r="E1284" s="13">
        <f>IF(AND(ISNUMBER(C1284),ISNUMBER($B$89),ISNUMBER($D$89)),IF(C1284&gt;$D$89,"boven UCL",IF(C1284&lt;$B$89,"onder LCL","")),"")</f>
        <v/>
      </c>
      <c r="G1284" t="n">
        <v>1178</v>
      </c>
      <c r="H1284" s="7" t="n"/>
      <c r="I1284" s="7" t="n"/>
      <c r="J1284" s="11">
        <f>IF(AND(ISNUMBER(H1284),ISNUMBER(I1284),H1284&gt;0,ISNUMBER($B$94)),I1284/H1284,"")</f>
        <v/>
      </c>
      <c r="K1284" s="11">
        <f>IF(AND(ISNUMBER(H1284),ISNUMBER(I1284),H1284&gt;0,ISNUMBER($B$94)),MAX(0,$B$94-3*SQRT($B$94*(1-$B$94)/H1284)),"")</f>
        <v/>
      </c>
      <c r="L1284" s="11">
        <f>IF(AND(ISNUMBER(H1284),ISNUMBER(I1284),H1284&gt;0,ISNUMBER($B$94)),$B$94+3*SQRT($B$94*(1-$B$94)/H1284),"")</f>
        <v/>
      </c>
      <c r="M1284" s="13">
        <f>IF(AND(ISNUMBER(J1284),ISNUMBER(K1284),ISNUMBER(L1284)),IF(J1284&gt;L1284,"boven UCL",IF(J1284&lt;K1284,"onder LCL","")),"")</f>
        <v/>
      </c>
      <c r="O1284" t="n">
        <v>1178</v>
      </c>
      <c r="P1284" s="7" t="n"/>
      <c r="Q1284" s="7" t="n"/>
      <c r="R1284" s="11">
        <f>IF(AND(ISNUMBER(P1284),ISNUMBER(Q1284),P1284&gt;0,ISNUMBER($B$100)),Q1284/P1284,"")</f>
        <v/>
      </c>
      <c r="S1284" s="11">
        <f>IF(AND(ISNUMBER(P1284),ISNUMBER(Q1284),P1284&gt;0,ISNUMBER($B$100)),MAX(0,$B$100-3*SQRT($B$100/P1284)),"")</f>
        <v/>
      </c>
      <c r="T1284" s="11">
        <f>IF(AND(ISNUMBER(P1284),ISNUMBER(Q1284),P1284&gt;0,ISNUMBER($B$100)),$B$100+3*SQRT($B$100/P1284),"")</f>
        <v/>
      </c>
      <c r="U1284" s="13">
        <f>IF(AND(ISNUMBER(R1284),ISNUMBER(S1284),ISNUMBER(T1284)),IF(R1284&gt;T1284,"boven UCL",IF(R1284&lt;S1284,"onder LCL","")),"")</f>
        <v/>
      </c>
    </row>
    <row r="1285">
      <c r="A1285" t="n">
        <v>1179</v>
      </c>
      <c r="B1285" s="7" t="n"/>
      <c r="C1285" s="11">
        <f>IF(AND(ISNUMBER(B1285),ISNUMBER(B1284)),ABS(B1285-B1284),"")</f>
        <v/>
      </c>
      <c r="D1285" s="13">
        <f>IF(AND(ISNUMBER(B1285),ISNUMBER($B$88),ISNUMBER($D$88)),IF(B1285&gt;$D$88,"boven UCL",IF(B1285&lt;$B$88,"onder LCL","")),"")</f>
        <v/>
      </c>
      <c r="E1285" s="13">
        <f>IF(AND(ISNUMBER(C1285),ISNUMBER($B$89),ISNUMBER($D$89)),IF(C1285&gt;$D$89,"boven UCL",IF(C1285&lt;$B$89,"onder LCL","")),"")</f>
        <v/>
      </c>
      <c r="G1285" t="n">
        <v>1179</v>
      </c>
      <c r="H1285" s="7" t="n"/>
      <c r="I1285" s="7" t="n"/>
      <c r="J1285" s="11">
        <f>IF(AND(ISNUMBER(H1285),ISNUMBER(I1285),H1285&gt;0,ISNUMBER($B$94)),I1285/H1285,"")</f>
        <v/>
      </c>
      <c r="K1285" s="11">
        <f>IF(AND(ISNUMBER(H1285),ISNUMBER(I1285),H1285&gt;0,ISNUMBER($B$94)),MAX(0,$B$94-3*SQRT($B$94*(1-$B$94)/H1285)),"")</f>
        <v/>
      </c>
      <c r="L1285" s="11">
        <f>IF(AND(ISNUMBER(H1285),ISNUMBER(I1285),H1285&gt;0,ISNUMBER($B$94)),$B$94+3*SQRT($B$94*(1-$B$94)/H1285),"")</f>
        <v/>
      </c>
      <c r="M1285" s="13">
        <f>IF(AND(ISNUMBER(J1285),ISNUMBER(K1285),ISNUMBER(L1285)),IF(J1285&gt;L1285,"boven UCL",IF(J1285&lt;K1285,"onder LCL","")),"")</f>
        <v/>
      </c>
      <c r="O1285" t="n">
        <v>1179</v>
      </c>
      <c r="P1285" s="7" t="n"/>
      <c r="Q1285" s="7" t="n"/>
      <c r="R1285" s="11">
        <f>IF(AND(ISNUMBER(P1285),ISNUMBER(Q1285),P1285&gt;0,ISNUMBER($B$100)),Q1285/P1285,"")</f>
        <v/>
      </c>
      <c r="S1285" s="11">
        <f>IF(AND(ISNUMBER(P1285),ISNUMBER(Q1285),P1285&gt;0,ISNUMBER($B$100)),MAX(0,$B$100-3*SQRT($B$100/P1285)),"")</f>
        <v/>
      </c>
      <c r="T1285" s="11">
        <f>IF(AND(ISNUMBER(P1285),ISNUMBER(Q1285),P1285&gt;0,ISNUMBER($B$100)),$B$100+3*SQRT($B$100/P1285),"")</f>
        <v/>
      </c>
      <c r="U1285" s="13">
        <f>IF(AND(ISNUMBER(R1285),ISNUMBER(S1285),ISNUMBER(T1285)),IF(R1285&gt;T1285,"boven UCL",IF(R1285&lt;S1285,"onder LCL","")),"")</f>
        <v/>
      </c>
    </row>
    <row r="1286">
      <c r="A1286" t="n">
        <v>1180</v>
      </c>
      <c r="B1286" s="7" t="n"/>
      <c r="C1286" s="11">
        <f>IF(AND(ISNUMBER(B1286),ISNUMBER(B1285)),ABS(B1286-B1285),"")</f>
        <v/>
      </c>
      <c r="D1286" s="13">
        <f>IF(AND(ISNUMBER(B1286),ISNUMBER($B$88),ISNUMBER($D$88)),IF(B1286&gt;$D$88,"boven UCL",IF(B1286&lt;$B$88,"onder LCL","")),"")</f>
        <v/>
      </c>
      <c r="E1286" s="13">
        <f>IF(AND(ISNUMBER(C1286),ISNUMBER($B$89),ISNUMBER($D$89)),IF(C1286&gt;$D$89,"boven UCL",IF(C1286&lt;$B$89,"onder LCL","")),"")</f>
        <v/>
      </c>
      <c r="G1286" t="n">
        <v>1180</v>
      </c>
      <c r="H1286" s="7" t="n"/>
      <c r="I1286" s="7" t="n"/>
      <c r="J1286" s="11">
        <f>IF(AND(ISNUMBER(H1286),ISNUMBER(I1286),H1286&gt;0,ISNUMBER($B$94)),I1286/H1286,"")</f>
        <v/>
      </c>
      <c r="K1286" s="11">
        <f>IF(AND(ISNUMBER(H1286),ISNUMBER(I1286),H1286&gt;0,ISNUMBER($B$94)),MAX(0,$B$94-3*SQRT($B$94*(1-$B$94)/H1286)),"")</f>
        <v/>
      </c>
      <c r="L1286" s="11">
        <f>IF(AND(ISNUMBER(H1286),ISNUMBER(I1286),H1286&gt;0,ISNUMBER($B$94)),$B$94+3*SQRT($B$94*(1-$B$94)/H1286),"")</f>
        <v/>
      </c>
      <c r="M1286" s="13">
        <f>IF(AND(ISNUMBER(J1286),ISNUMBER(K1286),ISNUMBER(L1286)),IF(J1286&gt;L1286,"boven UCL",IF(J1286&lt;K1286,"onder LCL","")),"")</f>
        <v/>
      </c>
      <c r="O1286" t="n">
        <v>1180</v>
      </c>
      <c r="P1286" s="7" t="n"/>
      <c r="Q1286" s="7" t="n"/>
      <c r="R1286" s="11">
        <f>IF(AND(ISNUMBER(P1286),ISNUMBER(Q1286),P1286&gt;0,ISNUMBER($B$100)),Q1286/P1286,"")</f>
        <v/>
      </c>
      <c r="S1286" s="11">
        <f>IF(AND(ISNUMBER(P1286),ISNUMBER(Q1286),P1286&gt;0,ISNUMBER($B$100)),MAX(0,$B$100-3*SQRT($B$100/P1286)),"")</f>
        <v/>
      </c>
      <c r="T1286" s="11">
        <f>IF(AND(ISNUMBER(P1286),ISNUMBER(Q1286),P1286&gt;0,ISNUMBER($B$100)),$B$100+3*SQRT($B$100/P1286),"")</f>
        <v/>
      </c>
      <c r="U1286" s="13">
        <f>IF(AND(ISNUMBER(R1286),ISNUMBER(S1286),ISNUMBER(T1286)),IF(R1286&gt;T1286,"boven UCL",IF(R1286&lt;S1286,"onder LCL","")),"")</f>
        <v/>
      </c>
    </row>
    <row r="1287">
      <c r="A1287" t="n">
        <v>1181</v>
      </c>
      <c r="B1287" s="7" t="n"/>
      <c r="C1287" s="11">
        <f>IF(AND(ISNUMBER(B1287),ISNUMBER(B1286)),ABS(B1287-B1286),"")</f>
        <v/>
      </c>
      <c r="D1287" s="13">
        <f>IF(AND(ISNUMBER(B1287),ISNUMBER($B$88),ISNUMBER($D$88)),IF(B1287&gt;$D$88,"boven UCL",IF(B1287&lt;$B$88,"onder LCL","")),"")</f>
        <v/>
      </c>
      <c r="E1287" s="13">
        <f>IF(AND(ISNUMBER(C1287),ISNUMBER($B$89),ISNUMBER($D$89)),IF(C1287&gt;$D$89,"boven UCL",IF(C1287&lt;$B$89,"onder LCL","")),"")</f>
        <v/>
      </c>
      <c r="G1287" t="n">
        <v>1181</v>
      </c>
      <c r="H1287" s="7" t="n"/>
      <c r="I1287" s="7" t="n"/>
      <c r="J1287" s="11">
        <f>IF(AND(ISNUMBER(H1287),ISNUMBER(I1287),H1287&gt;0,ISNUMBER($B$94)),I1287/H1287,"")</f>
        <v/>
      </c>
      <c r="K1287" s="11">
        <f>IF(AND(ISNUMBER(H1287),ISNUMBER(I1287),H1287&gt;0,ISNUMBER($B$94)),MAX(0,$B$94-3*SQRT($B$94*(1-$B$94)/H1287)),"")</f>
        <v/>
      </c>
      <c r="L1287" s="11">
        <f>IF(AND(ISNUMBER(H1287),ISNUMBER(I1287),H1287&gt;0,ISNUMBER($B$94)),$B$94+3*SQRT($B$94*(1-$B$94)/H1287),"")</f>
        <v/>
      </c>
      <c r="M1287" s="13">
        <f>IF(AND(ISNUMBER(J1287),ISNUMBER(K1287),ISNUMBER(L1287)),IF(J1287&gt;L1287,"boven UCL",IF(J1287&lt;K1287,"onder LCL","")),"")</f>
        <v/>
      </c>
      <c r="O1287" t="n">
        <v>1181</v>
      </c>
      <c r="P1287" s="7" t="n"/>
      <c r="Q1287" s="7" t="n"/>
      <c r="R1287" s="11">
        <f>IF(AND(ISNUMBER(P1287),ISNUMBER(Q1287),P1287&gt;0,ISNUMBER($B$100)),Q1287/P1287,"")</f>
        <v/>
      </c>
      <c r="S1287" s="11">
        <f>IF(AND(ISNUMBER(P1287),ISNUMBER(Q1287),P1287&gt;0,ISNUMBER($B$100)),MAX(0,$B$100-3*SQRT($B$100/P1287)),"")</f>
        <v/>
      </c>
      <c r="T1287" s="11">
        <f>IF(AND(ISNUMBER(P1287),ISNUMBER(Q1287),P1287&gt;0,ISNUMBER($B$100)),$B$100+3*SQRT($B$100/P1287),"")</f>
        <v/>
      </c>
      <c r="U1287" s="13">
        <f>IF(AND(ISNUMBER(R1287),ISNUMBER(S1287),ISNUMBER(T1287)),IF(R1287&gt;T1287,"boven UCL",IF(R1287&lt;S1287,"onder LCL","")),"")</f>
        <v/>
      </c>
    </row>
    <row r="1288">
      <c r="A1288" t="n">
        <v>1182</v>
      </c>
      <c r="B1288" s="7" t="n"/>
      <c r="C1288" s="11">
        <f>IF(AND(ISNUMBER(B1288),ISNUMBER(B1287)),ABS(B1288-B1287),"")</f>
        <v/>
      </c>
      <c r="D1288" s="13">
        <f>IF(AND(ISNUMBER(B1288),ISNUMBER($B$88),ISNUMBER($D$88)),IF(B1288&gt;$D$88,"boven UCL",IF(B1288&lt;$B$88,"onder LCL","")),"")</f>
        <v/>
      </c>
      <c r="E1288" s="13">
        <f>IF(AND(ISNUMBER(C1288),ISNUMBER($B$89),ISNUMBER($D$89)),IF(C1288&gt;$D$89,"boven UCL",IF(C1288&lt;$B$89,"onder LCL","")),"")</f>
        <v/>
      </c>
      <c r="G1288" t="n">
        <v>1182</v>
      </c>
      <c r="H1288" s="7" t="n"/>
      <c r="I1288" s="7" t="n"/>
      <c r="J1288" s="11">
        <f>IF(AND(ISNUMBER(H1288),ISNUMBER(I1288),H1288&gt;0,ISNUMBER($B$94)),I1288/H1288,"")</f>
        <v/>
      </c>
      <c r="K1288" s="11">
        <f>IF(AND(ISNUMBER(H1288),ISNUMBER(I1288),H1288&gt;0,ISNUMBER($B$94)),MAX(0,$B$94-3*SQRT($B$94*(1-$B$94)/H1288)),"")</f>
        <v/>
      </c>
      <c r="L1288" s="11">
        <f>IF(AND(ISNUMBER(H1288),ISNUMBER(I1288),H1288&gt;0,ISNUMBER($B$94)),$B$94+3*SQRT($B$94*(1-$B$94)/H1288),"")</f>
        <v/>
      </c>
      <c r="M1288" s="13">
        <f>IF(AND(ISNUMBER(J1288),ISNUMBER(K1288),ISNUMBER(L1288)),IF(J1288&gt;L1288,"boven UCL",IF(J1288&lt;K1288,"onder LCL","")),"")</f>
        <v/>
      </c>
      <c r="O1288" t="n">
        <v>1182</v>
      </c>
      <c r="P1288" s="7" t="n"/>
      <c r="Q1288" s="7" t="n"/>
      <c r="R1288" s="11">
        <f>IF(AND(ISNUMBER(P1288),ISNUMBER(Q1288),P1288&gt;0,ISNUMBER($B$100)),Q1288/P1288,"")</f>
        <v/>
      </c>
      <c r="S1288" s="11">
        <f>IF(AND(ISNUMBER(P1288),ISNUMBER(Q1288),P1288&gt;0,ISNUMBER($B$100)),MAX(0,$B$100-3*SQRT($B$100/P1288)),"")</f>
        <v/>
      </c>
      <c r="T1288" s="11">
        <f>IF(AND(ISNUMBER(P1288),ISNUMBER(Q1288),P1288&gt;0,ISNUMBER($B$100)),$B$100+3*SQRT($B$100/P1288),"")</f>
        <v/>
      </c>
      <c r="U1288" s="13">
        <f>IF(AND(ISNUMBER(R1288),ISNUMBER(S1288),ISNUMBER(T1288)),IF(R1288&gt;T1288,"boven UCL",IF(R1288&lt;S1288,"onder LCL","")),"")</f>
        <v/>
      </c>
    </row>
    <row r="1289">
      <c r="A1289" t="n">
        <v>1183</v>
      </c>
      <c r="B1289" s="7" t="n"/>
      <c r="C1289" s="11">
        <f>IF(AND(ISNUMBER(B1289),ISNUMBER(B1288)),ABS(B1289-B1288),"")</f>
        <v/>
      </c>
      <c r="D1289" s="13">
        <f>IF(AND(ISNUMBER(B1289),ISNUMBER($B$88),ISNUMBER($D$88)),IF(B1289&gt;$D$88,"boven UCL",IF(B1289&lt;$B$88,"onder LCL","")),"")</f>
        <v/>
      </c>
      <c r="E1289" s="13">
        <f>IF(AND(ISNUMBER(C1289),ISNUMBER($B$89),ISNUMBER($D$89)),IF(C1289&gt;$D$89,"boven UCL",IF(C1289&lt;$B$89,"onder LCL","")),"")</f>
        <v/>
      </c>
      <c r="G1289" t="n">
        <v>1183</v>
      </c>
      <c r="H1289" s="7" t="n"/>
      <c r="I1289" s="7" t="n"/>
      <c r="J1289" s="11">
        <f>IF(AND(ISNUMBER(H1289),ISNUMBER(I1289),H1289&gt;0,ISNUMBER($B$94)),I1289/H1289,"")</f>
        <v/>
      </c>
      <c r="K1289" s="11">
        <f>IF(AND(ISNUMBER(H1289),ISNUMBER(I1289),H1289&gt;0,ISNUMBER($B$94)),MAX(0,$B$94-3*SQRT($B$94*(1-$B$94)/H1289)),"")</f>
        <v/>
      </c>
      <c r="L1289" s="11">
        <f>IF(AND(ISNUMBER(H1289),ISNUMBER(I1289),H1289&gt;0,ISNUMBER($B$94)),$B$94+3*SQRT($B$94*(1-$B$94)/H1289),"")</f>
        <v/>
      </c>
      <c r="M1289" s="13">
        <f>IF(AND(ISNUMBER(J1289),ISNUMBER(K1289),ISNUMBER(L1289)),IF(J1289&gt;L1289,"boven UCL",IF(J1289&lt;K1289,"onder LCL","")),"")</f>
        <v/>
      </c>
      <c r="O1289" t="n">
        <v>1183</v>
      </c>
      <c r="P1289" s="7" t="n"/>
      <c r="Q1289" s="7" t="n"/>
      <c r="R1289" s="11">
        <f>IF(AND(ISNUMBER(P1289),ISNUMBER(Q1289),P1289&gt;0,ISNUMBER($B$100)),Q1289/P1289,"")</f>
        <v/>
      </c>
      <c r="S1289" s="11">
        <f>IF(AND(ISNUMBER(P1289),ISNUMBER(Q1289),P1289&gt;0,ISNUMBER($B$100)),MAX(0,$B$100-3*SQRT($B$100/P1289)),"")</f>
        <v/>
      </c>
      <c r="T1289" s="11">
        <f>IF(AND(ISNUMBER(P1289),ISNUMBER(Q1289),P1289&gt;0,ISNUMBER($B$100)),$B$100+3*SQRT($B$100/P1289),"")</f>
        <v/>
      </c>
      <c r="U1289" s="13">
        <f>IF(AND(ISNUMBER(R1289),ISNUMBER(S1289),ISNUMBER(T1289)),IF(R1289&gt;T1289,"boven UCL",IF(R1289&lt;S1289,"onder LCL","")),"")</f>
        <v/>
      </c>
    </row>
    <row r="1290">
      <c r="A1290" t="n">
        <v>1184</v>
      </c>
      <c r="B1290" s="7" t="n"/>
      <c r="C1290" s="11">
        <f>IF(AND(ISNUMBER(B1290),ISNUMBER(B1289)),ABS(B1290-B1289),"")</f>
        <v/>
      </c>
      <c r="D1290" s="13">
        <f>IF(AND(ISNUMBER(B1290),ISNUMBER($B$88),ISNUMBER($D$88)),IF(B1290&gt;$D$88,"boven UCL",IF(B1290&lt;$B$88,"onder LCL","")),"")</f>
        <v/>
      </c>
      <c r="E1290" s="13">
        <f>IF(AND(ISNUMBER(C1290),ISNUMBER($B$89),ISNUMBER($D$89)),IF(C1290&gt;$D$89,"boven UCL",IF(C1290&lt;$B$89,"onder LCL","")),"")</f>
        <v/>
      </c>
      <c r="G1290" t="n">
        <v>1184</v>
      </c>
      <c r="H1290" s="7" t="n"/>
      <c r="I1290" s="7" t="n"/>
      <c r="J1290" s="11">
        <f>IF(AND(ISNUMBER(H1290),ISNUMBER(I1290),H1290&gt;0,ISNUMBER($B$94)),I1290/H1290,"")</f>
        <v/>
      </c>
      <c r="K1290" s="11">
        <f>IF(AND(ISNUMBER(H1290),ISNUMBER(I1290),H1290&gt;0,ISNUMBER($B$94)),MAX(0,$B$94-3*SQRT($B$94*(1-$B$94)/H1290)),"")</f>
        <v/>
      </c>
      <c r="L1290" s="11">
        <f>IF(AND(ISNUMBER(H1290),ISNUMBER(I1290),H1290&gt;0,ISNUMBER($B$94)),$B$94+3*SQRT($B$94*(1-$B$94)/H1290),"")</f>
        <v/>
      </c>
      <c r="M1290" s="13">
        <f>IF(AND(ISNUMBER(J1290),ISNUMBER(K1290),ISNUMBER(L1290)),IF(J1290&gt;L1290,"boven UCL",IF(J1290&lt;K1290,"onder LCL","")),"")</f>
        <v/>
      </c>
      <c r="O1290" t="n">
        <v>1184</v>
      </c>
      <c r="P1290" s="7" t="n"/>
      <c r="Q1290" s="7" t="n"/>
      <c r="R1290" s="11">
        <f>IF(AND(ISNUMBER(P1290),ISNUMBER(Q1290),P1290&gt;0,ISNUMBER($B$100)),Q1290/P1290,"")</f>
        <v/>
      </c>
      <c r="S1290" s="11">
        <f>IF(AND(ISNUMBER(P1290),ISNUMBER(Q1290),P1290&gt;0,ISNUMBER($B$100)),MAX(0,$B$100-3*SQRT($B$100/P1290)),"")</f>
        <v/>
      </c>
      <c r="T1290" s="11">
        <f>IF(AND(ISNUMBER(P1290),ISNUMBER(Q1290),P1290&gt;0,ISNUMBER($B$100)),$B$100+3*SQRT($B$100/P1290),"")</f>
        <v/>
      </c>
      <c r="U1290" s="13">
        <f>IF(AND(ISNUMBER(R1290),ISNUMBER(S1290),ISNUMBER(T1290)),IF(R1290&gt;T1290,"boven UCL",IF(R1290&lt;S1290,"onder LCL","")),"")</f>
        <v/>
      </c>
    </row>
    <row r="1291">
      <c r="A1291" t="n">
        <v>1185</v>
      </c>
      <c r="B1291" s="7" t="n"/>
      <c r="C1291" s="11">
        <f>IF(AND(ISNUMBER(B1291),ISNUMBER(B1290)),ABS(B1291-B1290),"")</f>
        <v/>
      </c>
      <c r="D1291" s="13">
        <f>IF(AND(ISNUMBER(B1291),ISNUMBER($B$88),ISNUMBER($D$88)),IF(B1291&gt;$D$88,"boven UCL",IF(B1291&lt;$B$88,"onder LCL","")),"")</f>
        <v/>
      </c>
      <c r="E1291" s="13">
        <f>IF(AND(ISNUMBER(C1291),ISNUMBER($B$89),ISNUMBER($D$89)),IF(C1291&gt;$D$89,"boven UCL",IF(C1291&lt;$B$89,"onder LCL","")),"")</f>
        <v/>
      </c>
      <c r="G1291" t="n">
        <v>1185</v>
      </c>
      <c r="H1291" s="7" t="n"/>
      <c r="I1291" s="7" t="n"/>
      <c r="J1291" s="11">
        <f>IF(AND(ISNUMBER(H1291),ISNUMBER(I1291),H1291&gt;0,ISNUMBER($B$94)),I1291/H1291,"")</f>
        <v/>
      </c>
      <c r="K1291" s="11">
        <f>IF(AND(ISNUMBER(H1291),ISNUMBER(I1291),H1291&gt;0,ISNUMBER($B$94)),MAX(0,$B$94-3*SQRT($B$94*(1-$B$94)/H1291)),"")</f>
        <v/>
      </c>
      <c r="L1291" s="11">
        <f>IF(AND(ISNUMBER(H1291),ISNUMBER(I1291),H1291&gt;0,ISNUMBER($B$94)),$B$94+3*SQRT($B$94*(1-$B$94)/H1291),"")</f>
        <v/>
      </c>
      <c r="M1291" s="13">
        <f>IF(AND(ISNUMBER(J1291),ISNUMBER(K1291),ISNUMBER(L1291)),IF(J1291&gt;L1291,"boven UCL",IF(J1291&lt;K1291,"onder LCL","")),"")</f>
        <v/>
      </c>
      <c r="O1291" t="n">
        <v>1185</v>
      </c>
      <c r="P1291" s="7" t="n"/>
      <c r="Q1291" s="7" t="n"/>
      <c r="R1291" s="11">
        <f>IF(AND(ISNUMBER(P1291),ISNUMBER(Q1291),P1291&gt;0,ISNUMBER($B$100)),Q1291/P1291,"")</f>
        <v/>
      </c>
      <c r="S1291" s="11">
        <f>IF(AND(ISNUMBER(P1291),ISNUMBER(Q1291),P1291&gt;0,ISNUMBER($B$100)),MAX(0,$B$100-3*SQRT($B$100/P1291)),"")</f>
        <v/>
      </c>
      <c r="T1291" s="11">
        <f>IF(AND(ISNUMBER(P1291),ISNUMBER(Q1291),P1291&gt;0,ISNUMBER($B$100)),$B$100+3*SQRT($B$100/P1291),"")</f>
        <v/>
      </c>
      <c r="U1291" s="13">
        <f>IF(AND(ISNUMBER(R1291),ISNUMBER(S1291),ISNUMBER(T1291)),IF(R1291&gt;T1291,"boven UCL",IF(R1291&lt;S1291,"onder LCL","")),"")</f>
        <v/>
      </c>
    </row>
    <row r="1292">
      <c r="A1292" t="n">
        <v>1186</v>
      </c>
      <c r="B1292" s="7" t="n"/>
      <c r="C1292" s="11">
        <f>IF(AND(ISNUMBER(B1292),ISNUMBER(B1291)),ABS(B1292-B1291),"")</f>
        <v/>
      </c>
      <c r="D1292" s="13">
        <f>IF(AND(ISNUMBER(B1292),ISNUMBER($B$88),ISNUMBER($D$88)),IF(B1292&gt;$D$88,"boven UCL",IF(B1292&lt;$B$88,"onder LCL","")),"")</f>
        <v/>
      </c>
      <c r="E1292" s="13">
        <f>IF(AND(ISNUMBER(C1292),ISNUMBER($B$89),ISNUMBER($D$89)),IF(C1292&gt;$D$89,"boven UCL",IF(C1292&lt;$B$89,"onder LCL","")),"")</f>
        <v/>
      </c>
      <c r="G1292" t="n">
        <v>1186</v>
      </c>
      <c r="H1292" s="7" t="n"/>
      <c r="I1292" s="7" t="n"/>
      <c r="J1292" s="11">
        <f>IF(AND(ISNUMBER(H1292),ISNUMBER(I1292),H1292&gt;0,ISNUMBER($B$94)),I1292/H1292,"")</f>
        <v/>
      </c>
      <c r="K1292" s="11">
        <f>IF(AND(ISNUMBER(H1292),ISNUMBER(I1292),H1292&gt;0,ISNUMBER($B$94)),MAX(0,$B$94-3*SQRT($B$94*(1-$B$94)/H1292)),"")</f>
        <v/>
      </c>
      <c r="L1292" s="11">
        <f>IF(AND(ISNUMBER(H1292),ISNUMBER(I1292),H1292&gt;0,ISNUMBER($B$94)),$B$94+3*SQRT($B$94*(1-$B$94)/H1292),"")</f>
        <v/>
      </c>
      <c r="M1292" s="13">
        <f>IF(AND(ISNUMBER(J1292),ISNUMBER(K1292),ISNUMBER(L1292)),IF(J1292&gt;L1292,"boven UCL",IF(J1292&lt;K1292,"onder LCL","")),"")</f>
        <v/>
      </c>
      <c r="O1292" t="n">
        <v>1186</v>
      </c>
      <c r="P1292" s="7" t="n"/>
      <c r="Q1292" s="7" t="n"/>
      <c r="R1292" s="11">
        <f>IF(AND(ISNUMBER(P1292),ISNUMBER(Q1292),P1292&gt;0,ISNUMBER($B$100)),Q1292/P1292,"")</f>
        <v/>
      </c>
      <c r="S1292" s="11">
        <f>IF(AND(ISNUMBER(P1292),ISNUMBER(Q1292),P1292&gt;0,ISNUMBER($B$100)),MAX(0,$B$100-3*SQRT($B$100/P1292)),"")</f>
        <v/>
      </c>
      <c r="T1292" s="11">
        <f>IF(AND(ISNUMBER(P1292),ISNUMBER(Q1292),P1292&gt;0,ISNUMBER($B$100)),$B$100+3*SQRT($B$100/P1292),"")</f>
        <v/>
      </c>
      <c r="U1292" s="13">
        <f>IF(AND(ISNUMBER(R1292),ISNUMBER(S1292),ISNUMBER(T1292)),IF(R1292&gt;T1292,"boven UCL",IF(R1292&lt;S1292,"onder LCL","")),"")</f>
        <v/>
      </c>
    </row>
    <row r="1293">
      <c r="A1293" t="n">
        <v>1187</v>
      </c>
      <c r="B1293" s="7" t="n"/>
      <c r="C1293" s="11">
        <f>IF(AND(ISNUMBER(B1293),ISNUMBER(B1292)),ABS(B1293-B1292),"")</f>
        <v/>
      </c>
      <c r="D1293" s="13">
        <f>IF(AND(ISNUMBER(B1293),ISNUMBER($B$88),ISNUMBER($D$88)),IF(B1293&gt;$D$88,"boven UCL",IF(B1293&lt;$B$88,"onder LCL","")),"")</f>
        <v/>
      </c>
      <c r="E1293" s="13">
        <f>IF(AND(ISNUMBER(C1293),ISNUMBER($B$89),ISNUMBER($D$89)),IF(C1293&gt;$D$89,"boven UCL",IF(C1293&lt;$B$89,"onder LCL","")),"")</f>
        <v/>
      </c>
      <c r="G1293" t="n">
        <v>1187</v>
      </c>
      <c r="H1293" s="7" t="n"/>
      <c r="I1293" s="7" t="n"/>
      <c r="J1293" s="11">
        <f>IF(AND(ISNUMBER(H1293),ISNUMBER(I1293),H1293&gt;0,ISNUMBER($B$94)),I1293/H1293,"")</f>
        <v/>
      </c>
      <c r="K1293" s="11">
        <f>IF(AND(ISNUMBER(H1293),ISNUMBER(I1293),H1293&gt;0,ISNUMBER($B$94)),MAX(0,$B$94-3*SQRT($B$94*(1-$B$94)/H1293)),"")</f>
        <v/>
      </c>
      <c r="L1293" s="11">
        <f>IF(AND(ISNUMBER(H1293),ISNUMBER(I1293),H1293&gt;0,ISNUMBER($B$94)),$B$94+3*SQRT($B$94*(1-$B$94)/H1293),"")</f>
        <v/>
      </c>
      <c r="M1293" s="13">
        <f>IF(AND(ISNUMBER(J1293),ISNUMBER(K1293),ISNUMBER(L1293)),IF(J1293&gt;L1293,"boven UCL",IF(J1293&lt;K1293,"onder LCL","")),"")</f>
        <v/>
      </c>
      <c r="O1293" t="n">
        <v>1187</v>
      </c>
      <c r="P1293" s="7" t="n"/>
      <c r="Q1293" s="7" t="n"/>
      <c r="R1293" s="11">
        <f>IF(AND(ISNUMBER(P1293),ISNUMBER(Q1293),P1293&gt;0,ISNUMBER($B$100)),Q1293/P1293,"")</f>
        <v/>
      </c>
      <c r="S1293" s="11">
        <f>IF(AND(ISNUMBER(P1293),ISNUMBER(Q1293),P1293&gt;0,ISNUMBER($B$100)),MAX(0,$B$100-3*SQRT($B$100/P1293)),"")</f>
        <v/>
      </c>
      <c r="T1293" s="11">
        <f>IF(AND(ISNUMBER(P1293),ISNUMBER(Q1293),P1293&gt;0,ISNUMBER($B$100)),$B$100+3*SQRT($B$100/P1293),"")</f>
        <v/>
      </c>
      <c r="U1293" s="13">
        <f>IF(AND(ISNUMBER(R1293),ISNUMBER(S1293),ISNUMBER(T1293)),IF(R1293&gt;T1293,"boven UCL",IF(R1293&lt;S1293,"onder LCL","")),"")</f>
        <v/>
      </c>
    </row>
    <row r="1294">
      <c r="A1294" t="n">
        <v>1188</v>
      </c>
      <c r="B1294" s="7" t="n"/>
      <c r="C1294" s="11">
        <f>IF(AND(ISNUMBER(B1294),ISNUMBER(B1293)),ABS(B1294-B1293),"")</f>
        <v/>
      </c>
      <c r="D1294" s="13">
        <f>IF(AND(ISNUMBER(B1294),ISNUMBER($B$88),ISNUMBER($D$88)),IF(B1294&gt;$D$88,"boven UCL",IF(B1294&lt;$B$88,"onder LCL","")),"")</f>
        <v/>
      </c>
      <c r="E1294" s="13">
        <f>IF(AND(ISNUMBER(C1294),ISNUMBER($B$89),ISNUMBER($D$89)),IF(C1294&gt;$D$89,"boven UCL",IF(C1294&lt;$B$89,"onder LCL","")),"")</f>
        <v/>
      </c>
      <c r="G1294" t="n">
        <v>1188</v>
      </c>
      <c r="H1294" s="7" t="n"/>
      <c r="I1294" s="7" t="n"/>
      <c r="J1294" s="11">
        <f>IF(AND(ISNUMBER(H1294),ISNUMBER(I1294),H1294&gt;0,ISNUMBER($B$94)),I1294/H1294,"")</f>
        <v/>
      </c>
      <c r="K1294" s="11">
        <f>IF(AND(ISNUMBER(H1294),ISNUMBER(I1294),H1294&gt;0,ISNUMBER($B$94)),MAX(0,$B$94-3*SQRT($B$94*(1-$B$94)/H1294)),"")</f>
        <v/>
      </c>
      <c r="L1294" s="11">
        <f>IF(AND(ISNUMBER(H1294),ISNUMBER(I1294),H1294&gt;0,ISNUMBER($B$94)),$B$94+3*SQRT($B$94*(1-$B$94)/H1294),"")</f>
        <v/>
      </c>
      <c r="M1294" s="13">
        <f>IF(AND(ISNUMBER(J1294),ISNUMBER(K1294),ISNUMBER(L1294)),IF(J1294&gt;L1294,"boven UCL",IF(J1294&lt;K1294,"onder LCL","")),"")</f>
        <v/>
      </c>
      <c r="O1294" t="n">
        <v>1188</v>
      </c>
      <c r="P1294" s="7" t="n"/>
      <c r="Q1294" s="7" t="n"/>
      <c r="R1294" s="11">
        <f>IF(AND(ISNUMBER(P1294),ISNUMBER(Q1294),P1294&gt;0,ISNUMBER($B$100)),Q1294/P1294,"")</f>
        <v/>
      </c>
      <c r="S1294" s="11">
        <f>IF(AND(ISNUMBER(P1294),ISNUMBER(Q1294),P1294&gt;0,ISNUMBER($B$100)),MAX(0,$B$100-3*SQRT($B$100/P1294)),"")</f>
        <v/>
      </c>
      <c r="T1294" s="11">
        <f>IF(AND(ISNUMBER(P1294),ISNUMBER(Q1294),P1294&gt;0,ISNUMBER($B$100)),$B$100+3*SQRT($B$100/P1294),"")</f>
        <v/>
      </c>
      <c r="U1294" s="13">
        <f>IF(AND(ISNUMBER(R1294),ISNUMBER(S1294),ISNUMBER(T1294)),IF(R1294&gt;T1294,"boven UCL",IF(R1294&lt;S1294,"onder LCL","")),"")</f>
        <v/>
      </c>
    </row>
    <row r="1295">
      <c r="A1295" t="n">
        <v>1189</v>
      </c>
      <c r="B1295" s="7" t="n"/>
      <c r="C1295" s="11">
        <f>IF(AND(ISNUMBER(B1295),ISNUMBER(B1294)),ABS(B1295-B1294),"")</f>
        <v/>
      </c>
      <c r="D1295" s="13">
        <f>IF(AND(ISNUMBER(B1295),ISNUMBER($B$88),ISNUMBER($D$88)),IF(B1295&gt;$D$88,"boven UCL",IF(B1295&lt;$B$88,"onder LCL","")),"")</f>
        <v/>
      </c>
      <c r="E1295" s="13">
        <f>IF(AND(ISNUMBER(C1295),ISNUMBER($B$89),ISNUMBER($D$89)),IF(C1295&gt;$D$89,"boven UCL",IF(C1295&lt;$B$89,"onder LCL","")),"")</f>
        <v/>
      </c>
      <c r="G1295" t="n">
        <v>1189</v>
      </c>
      <c r="H1295" s="7" t="n"/>
      <c r="I1295" s="7" t="n"/>
      <c r="J1295" s="11">
        <f>IF(AND(ISNUMBER(H1295),ISNUMBER(I1295),H1295&gt;0,ISNUMBER($B$94)),I1295/H1295,"")</f>
        <v/>
      </c>
      <c r="K1295" s="11">
        <f>IF(AND(ISNUMBER(H1295),ISNUMBER(I1295),H1295&gt;0,ISNUMBER($B$94)),MAX(0,$B$94-3*SQRT($B$94*(1-$B$94)/H1295)),"")</f>
        <v/>
      </c>
      <c r="L1295" s="11">
        <f>IF(AND(ISNUMBER(H1295),ISNUMBER(I1295),H1295&gt;0,ISNUMBER($B$94)),$B$94+3*SQRT($B$94*(1-$B$94)/H1295),"")</f>
        <v/>
      </c>
      <c r="M1295" s="13">
        <f>IF(AND(ISNUMBER(J1295),ISNUMBER(K1295),ISNUMBER(L1295)),IF(J1295&gt;L1295,"boven UCL",IF(J1295&lt;K1295,"onder LCL","")),"")</f>
        <v/>
      </c>
      <c r="O1295" t="n">
        <v>1189</v>
      </c>
      <c r="P1295" s="7" t="n"/>
      <c r="Q1295" s="7" t="n"/>
      <c r="R1295" s="11">
        <f>IF(AND(ISNUMBER(P1295),ISNUMBER(Q1295),P1295&gt;0,ISNUMBER($B$100)),Q1295/P1295,"")</f>
        <v/>
      </c>
      <c r="S1295" s="11">
        <f>IF(AND(ISNUMBER(P1295),ISNUMBER(Q1295),P1295&gt;0,ISNUMBER($B$100)),MAX(0,$B$100-3*SQRT($B$100/P1295)),"")</f>
        <v/>
      </c>
      <c r="T1295" s="11">
        <f>IF(AND(ISNUMBER(P1295),ISNUMBER(Q1295),P1295&gt;0,ISNUMBER($B$100)),$B$100+3*SQRT($B$100/P1295),"")</f>
        <v/>
      </c>
      <c r="U1295" s="13">
        <f>IF(AND(ISNUMBER(R1295),ISNUMBER(S1295),ISNUMBER(T1295)),IF(R1295&gt;T1295,"boven UCL",IF(R1295&lt;S1295,"onder LCL","")),"")</f>
        <v/>
      </c>
    </row>
    <row r="1296">
      <c r="A1296" t="n">
        <v>1190</v>
      </c>
      <c r="B1296" s="7" t="n"/>
      <c r="C1296" s="11">
        <f>IF(AND(ISNUMBER(B1296),ISNUMBER(B1295)),ABS(B1296-B1295),"")</f>
        <v/>
      </c>
      <c r="D1296" s="13">
        <f>IF(AND(ISNUMBER(B1296),ISNUMBER($B$88),ISNUMBER($D$88)),IF(B1296&gt;$D$88,"boven UCL",IF(B1296&lt;$B$88,"onder LCL","")),"")</f>
        <v/>
      </c>
      <c r="E1296" s="13">
        <f>IF(AND(ISNUMBER(C1296),ISNUMBER($B$89),ISNUMBER($D$89)),IF(C1296&gt;$D$89,"boven UCL",IF(C1296&lt;$B$89,"onder LCL","")),"")</f>
        <v/>
      </c>
      <c r="G1296" t="n">
        <v>1190</v>
      </c>
      <c r="H1296" s="7" t="n"/>
      <c r="I1296" s="7" t="n"/>
      <c r="J1296" s="11">
        <f>IF(AND(ISNUMBER(H1296),ISNUMBER(I1296),H1296&gt;0,ISNUMBER($B$94)),I1296/H1296,"")</f>
        <v/>
      </c>
      <c r="K1296" s="11">
        <f>IF(AND(ISNUMBER(H1296),ISNUMBER(I1296),H1296&gt;0,ISNUMBER($B$94)),MAX(0,$B$94-3*SQRT($B$94*(1-$B$94)/H1296)),"")</f>
        <v/>
      </c>
      <c r="L1296" s="11">
        <f>IF(AND(ISNUMBER(H1296),ISNUMBER(I1296),H1296&gt;0,ISNUMBER($B$94)),$B$94+3*SQRT($B$94*(1-$B$94)/H1296),"")</f>
        <v/>
      </c>
      <c r="M1296" s="13">
        <f>IF(AND(ISNUMBER(J1296),ISNUMBER(K1296),ISNUMBER(L1296)),IF(J1296&gt;L1296,"boven UCL",IF(J1296&lt;K1296,"onder LCL","")),"")</f>
        <v/>
      </c>
      <c r="O1296" t="n">
        <v>1190</v>
      </c>
      <c r="P1296" s="7" t="n"/>
      <c r="Q1296" s="7" t="n"/>
      <c r="R1296" s="11">
        <f>IF(AND(ISNUMBER(P1296),ISNUMBER(Q1296),P1296&gt;0,ISNUMBER($B$100)),Q1296/P1296,"")</f>
        <v/>
      </c>
      <c r="S1296" s="11">
        <f>IF(AND(ISNUMBER(P1296),ISNUMBER(Q1296),P1296&gt;0,ISNUMBER($B$100)),MAX(0,$B$100-3*SQRT($B$100/P1296)),"")</f>
        <v/>
      </c>
      <c r="T1296" s="11">
        <f>IF(AND(ISNUMBER(P1296),ISNUMBER(Q1296),P1296&gt;0,ISNUMBER($B$100)),$B$100+3*SQRT($B$100/P1296),"")</f>
        <v/>
      </c>
      <c r="U1296" s="13">
        <f>IF(AND(ISNUMBER(R1296),ISNUMBER(S1296),ISNUMBER(T1296)),IF(R1296&gt;T1296,"boven UCL",IF(R1296&lt;S1296,"onder LCL","")),"")</f>
        <v/>
      </c>
    </row>
    <row r="1297">
      <c r="A1297" t="n">
        <v>1191</v>
      </c>
      <c r="B1297" s="7" t="n"/>
      <c r="C1297" s="11">
        <f>IF(AND(ISNUMBER(B1297),ISNUMBER(B1296)),ABS(B1297-B1296),"")</f>
        <v/>
      </c>
      <c r="D1297" s="13">
        <f>IF(AND(ISNUMBER(B1297),ISNUMBER($B$88),ISNUMBER($D$88)),IF(B1297&gt;$D$88,"boven UCL",IF(B1297&lt;$B$88,"onder LCL","")),"")</f>
        <v/>
      </c>
      <c r="E1297" s="13">
        <f>IF(AND(ISNUMBER(C1297),ISNUMBER($B$89),ISNUMBER($D$89)),IF(C1297&gt;$D$89,"boven UCL",IF(C1297&lt;$B$89,"onder LCL","")),"")</f>
        <v/>
      </c>
      <c r="G1297" t="n">
        <v>1191</v>
      </c>
      <c r="H1297" s="7" t="n"/>
      <c r="I1297" s="7" t="n"/>
      <c r="J1297" s="11">
        <f>IF(AND(ISNUMBER(H1297),ISNUMBER(I1297),H1297&gt;0,ISNUMBER($B$94)),I1297/H1297,"")</f>
        <v/>
      </c>
      <c r="K1297" s="11">
        <f>IF(AND(ISNUMBER(H1297),ISNUMBER(I1297),H1297&gt;0,ISNUMBER($B$94)),MAX(0,$B$94-3*SQRT($B$94*(1-$B$94)/H1297)),"")</f>
        <v/>
      </c>
      <c r="L1297" s="11">
        <f>IF(AND(ISNUMBER(H1297),ISNUMBER(I1297),H1297&gt;0,ISNUMBER($B$94)),$B$94+3*SQRT($B$94*(1-$B$94)/H1297),"")</f>
        <v/>
      </c>
      <c r="M1297" s="13">
        <f>IF(AND(ISNUMBER(J1297),ISNUMBER(K1297),ISNUMBER(L1297)),IF(J1297&gt;L1297,"boven UCL",IF(J1297&lt;K1297,"onder LCL","")),"")</f>
        <v/>
      </c>
      <c r="O1297" t="n">
        <v>1191</v>
      </c>
      <c r="P1297" s="7" t="n"/>
      <c r="Q1297" s="7" t="n"/>
      <c r="R1297" s="11">
        <f>IF(AND(ISNUMBER(P1297),ISNUMBER(Q1297),P1297&gt;0,ISNUMBER($B$100)),Q1297/P1297,"")</f>
        <v/>
      </c>
      <c r="S1297" s="11">
        <f>IF(AND(ISNUMBER(P1297),ISNUMBER(Q1297),P1297&gt;0,ISNUMBER($B$100)),MAX(0,$B$100-3*SQRT($B$100/P1297)),"")</f>
        <v/>
      </c>
      <c r="T1297" s="11">
        <f>IF(AND(ISNUMBER(P1297),ISNUMBER(Q1297),P1297&gt;0,ISNUMBER($B$100)),$B$100+3*SQRT($B$100/P1297),"")</f>
        <v/>
      </c>
      <c r="U1297" s="13">
        <f>IF(AND(ISNUMBER(R1297),ISNUMBER(S1297),ISNUMBER(T1297)),IF(R1297&gt;T1297,"boven UCL",IF(R1297&lt;S1297,"onder LCL","")),"")</f>
        <v/>
      </c>
    </row>
    <row r="1298">
      <c r="A1298" t="n">
        <v>1192</v>
      </c>
      <c r="B1298" s="7" t="n"/>
      <c r="C1298" s="11">
        <f>IF(AND(ISNUMBER(B1298),ISNUMBER(B1297)),ABS(B1298-B1297),"")</f>
        <v/>
      </c>
      <c r="D1298" s="13">
        <f>IF(AND(ISNUMBER(B1298),ISNUMBER($B$88),ISNUMBER($D$88)),IF(B1298&gt;$D$88,"boven UCL",IF(B1298&lt;$B$88,"onder LCL","")),"")</f>
        <v/>
      </c>
      <c r="E1298" s="13">
        <f>IF(AND(ISNUMBER(C1298),ISNUMBER($B$89),ISNUMBER($D$89)),IF(C1298&gt;$D$89,"boven UCL",IF(C1298&lt;$B$89,"onder LCL","")),"")</f>
        <v/>
      </c>
      <c r="G1298" t="n">
        <v>1192</v>
      </c>
      <c r="H1298" s="7" t="n"/>
      <c r="I1298" s="7" t="n"/>
      <c r="J1298" s="11">
        <f>IF(AND(ISNUMBER(H1298),ISNUMBER(I1298),H1298&gt;0,ISNUMBER($B$94)),I1298/H1298,"")</f>
        <v/>
      </c>
      <c r="K1298" s="11">
        <f>IF(AND(ISNUMBER(H1298),ISNUMBER(I1298),H1298&gt;0,ISNUMBER($B$94)),MAX(0,$B$94-3*SQRT($B$94*(1-$B$94)/H1298)),"")</f>
        <v/>
      </c>
      <c r="L1298" s="11">
        <f>IF(AND(ISNUMBER(H1298),ISNUMBER(I1298),H1298&gt;0,ISNUMBER($B$94)),$B$94+3*SQRT($B$94*(1-$B$94)/H1298),"")</f>
        <v/>
      </c>
      <c r="M1298" s="13">
        <f>IF(AND(ISNUMBER(J1298),ISNUMBER(K1298),ISNUMBER(L1298)),IF(J1298&gt;L1298,"boven UCL",IF(J1298&lt;K1298,"onder LCL","")),"")</f>
        <v/>
      </c>
      <c r="O1298" t="n">
        <v>1192</v>
      </c>
      <c r="P1298" s="7" t="n"/>
      <c r="Q1298" s="7" t="n"/>
      <c r="R1298" s="11">
        <f>IF(AND(ISNUMBER(P1298),ISNUMBER(Q1298),P1298&gt;0,ISNUMBER($B$100)),Q1298/P1298,"")</f>
        <v/>
      </c>
      <c r="S1298" s="11">
        <f>IF(AND(ISNUMBER(P1298),ISNUMBER(Q1298),P1298&gt;0,ISNUMBER($B$100)),MAX(0,$B$100-3*SQRT($B$100/P1298)),"")</f>
        <v/>
      </c>
      <c r="T1298" s="11">
        <f>IF(AND(ISNUMBER(P1298),ISNUMBER(Q1298),P1298&gt;0,ISNUMBER($B$100)),$B$100+3*SQRT($B$100/P1298),"")</f>
        <v/>
      </c>
      <c r="U1298" s="13">
        <f>IF(AND(ISNUMBER(R1298),ISNUMBER(S1298),ISNUMBER(T1298)),IF(R1298&gt;T1298,"boven UCL",IF(R1298&lt;S1298,"onder LCL","")),"")</f>
        <v/>
      </c>
    </row>
    <row r="1299">
      <c r="A1299" t="n">
        <v>1193</v>
      </c>
      <c r="B1299" s="7" t="n"/>
      <c r="C1299" s="11">
        <f>IF(AND(ISNUMBER(B1299),ISNUMBER(B1298)),ABS(B1299-B1298),"")</f>
        <v/>
      </c>
      <c r="D1299" s="13">
        <f>IF(AND(ISNUMBER(B1299),ISNUMBER($B$88),ISNUMBER($D$88)),IF(B1299&gt;$D$88,"boven UCL",IF(B1299&lt;$B$88,"onder LCL","")),"")</f>
        <v/>
      </c>
      <c r="E1299" s="13">
        <f>IF(AND(ISNUMBER(C1299),ISNUMBER($B$89),ISNUMBER($D$89)),IF(C1299&gt;$D$89,"boven UCL",IF(C1299&lt;$B$89,"onder LCL","")),"")</f>
        <v/>
      </c>
      <c r="G1299" t="n">
        <v>1193</v>
      </c>
      <c r="H1299" s="7" t="n"/>
      <c r="I1299" s="7" t="n"/>
      <c r="J1299" s="11">
        <f>IF(AND(ISNUMBER(H1299),ISNUMBER(I1299),H1299&gt;0,ISNUMBER($B$94)),I1299/H1299,"")</f>
        <v/>
      </c>
      <c r="K1299" s="11">
        <f>IF(AND(ISNUMBER(H1299),ISNUMBER(I1299),H1299&gt;0,ISNUMBER($B$94)),MAX(0,$B$94-3*SQRT($B$94*(1-$B$94)/H1299)),"")</f>
        <v/>
      </c>
      <c r="L1299" s="11">
        <f>IF(AND(ISNUMBER(H1299),ISNUMBER(I1299),H1299&gt;0,ISNUMBER($B$94)),$B$94+3*SQRT($B$94*(1-$B$94)/H1299),"")</f>
        <v/>
      </c>
      <c r="M1299" s="13">
        <f>IF(AND(ISNUMBER(J1299),ISNUMBER(K1299),ISNUMBER(L1299)),IF(J1299&gt;L1299,"boven UCL",IF(J1299&lt;K1299,"onder LCL","")),"")</f>
        <v/>
      </c>
      <c r="O1299" t="n">
        <v>1193</v>
      </c>
      <c r="P1299" s="7" t="n"/>
      <c r="Q1299" s="7" t="n"/>
      <c r="R1299" s="11">
        <f>IF(AND(ISNUMBER(P1299),ISNUMBER(Q1299),P1299&gt;0,ISNUMBER($B$100)),Q1299/P1299,"")</f>
        <v/>
      </c>
      <c r="S1299" s="11">
        <f>IF(AND(ISNUMBER(P1299),ISNUMBER(Q1299),P1299&gt;0,ISNUMBER($B$100)),MAX(0,$B$100-3*SQRT($B$100/P1299)),"")</f>
        <v/>
      </c>
      <c r="T1299" s="11">
        <f>IF(AND(ISNUMBER(P1299),ISNUMBER(Q1299),P1299&gt;0,ISNUMBER($B$100)),$B$100+3*SQRT($B$100/P1299),"")</f>
        <v/>
      </c>
      <c r="U1299" s="13">
        <f>IF(AND(ISNUMBER(R1299),ISNUMBER(S1299),ISNUMBER(T1299)),IF(R1299&gt;T1299,"boven UCL",IF(R1299&lt;S1299,"onder LCL","")),"")</f>
        <v/>
      </c>
    </row>
    <row r="1300">
      <c r="A1300" t="n">
        <v>1194</v>
      </c>
      <c r="B1300" s="7" t="n"/>
      <c r="C1300" s="11">
        <f>IF(AND(ISNUMBER(B1300),ISNUMBER(B1299)),ABS(B1300-B1299),"")</f>
        <v/>
      </c>
      <c r="D1300" s="13">
        <f>IF(AND(ISNUMBER(B1300),ISNUMBER($B$88),ISNUMBER($D$88)),IF(B1300&gt;$D$88,"boven UCL",IF(B1300&lt;$B$88,"onder LCL","")),"")</f>
        <v/>
      </c>
      <c r="E1300" s="13">
        <f>IF(AND(ISNUMBER(C1300),ISNUMBER($B$89),ISNUMBER($D$89)),IF(C1300&gt;$D$89,"boven UCL",IF(C1300&lt;$B$89,"onder LCL","")),"")</f>
        <v/>
      </c>
      <c r="G1300" t="n">
        <v>1194</v>
      </c>
      <c r="H1300" s="7" t="n"/>
      <c r="I1300" s="7" t="n"/>
      <c r="J1300" s="11">
        <f>IF(AND(ISNUMBER(H1300),ISNUMBER(I1300),H1300&gt;0,ISNUMBER($B$94)),I1300/H1300,"")</f>
        <v/>
      </c>
      <c r="K1300" s="11">
        <f>IF(AND(ISNUMBER(H1300),ISNUMBER(I1300),H1300&gt;0,ISNUMBER($B$94)),MAX(0,$B$94-3*SQRT($B$94*(1-$B$94)/H1300)),"")</f>
        <v/>
      </c>
      <c r="L1300" s="11">
        <f>IF(AND(ISNUMBER(H1300),ISNUMBER(I1300),H1300&gt;0,ISNUMBER($B$94)),$B$94+3*SQRT($B$94*(1-$B$94)/H1300),"")</f>
        <v/>
      </c>
      <c r="M1300" s="13">
        <f>IF(AND(ISNUMBER(J1300),ISNUMBER(K1300),ISNUMBER(L1300)),IF(J1300&gt;L1300,"boven UCL",IF(J1300&lt;K1300,"onder LCL","")),"")</f>
        <v/>
      </c>
      <c r="O1300" t="n">
        <v>1194</v>
      </c>
      <c r="P1300" s="7" t="n"/>
      <c r="Q1300" s="7" t="n"/>
      <c r="R1300" s="11">
        <f>IF(AND(ISNUMBER(P1300),ISNUMBER(Q1300),P1300&gt;0,ISNUMBER($B$100)),Q1300/P1300,"")</f>
        <v/>
      </c>
      <c r="S1300" s="11">
        <f>IF(AND(ISNUMBER(P1300),ISNUMBER(Q1300),P1300&gt;0,ISNUMBER($B$100)),MAX(0,$B$100-3*SQRT($B$100/P1300)),"")</f>
        <v/>
      </c>
      <c r="T1300" s="11">
        <f>IF(AND(ISNUMBER(P1300),ISNUMBER(Q1300),P1300&gt;0,ISNUMBER($B$100)),$B$100+3*SQRT($B$100/P1300),"")</f>
        <v/>
      </c>
      <c r="U1300" s="13">
        <f>IF(AND(ISNUMBER(R1300),ISNUMBER(S1300),ISNUMBER(T1300)),IF(R1300&gt;T1300,"boven UCL",IF(R1300&lt;S1300,"onder LCL","")),"")</f>
        <v/>
      </c>
    </row>
    <row r="1301">
      <c r="A1301" t="n">
        <v>1195</v>
      </c>
      <c r="B1301" s="7" t="n"/>
      <c r="C1301" s="11">
        <f>IF(AND(ISNUMBER(B1301),ISNUMBER(B1300)),ABS(B1301-B1300),"")</f>
        <v/>
      </c>
      <c r="D1301" s="13">
        <f>IF(AND(ISNUMBER(B1301),ISNUMBER($B$88),ISNUMBER($D$88)),IF(B1301&gt;$D$88,"boven UCL",IF(B1301&lt;$B$88,"onder LCL","")),"")</f>
        <v/>
      </c>
      <c r="E1301" s="13">
        <f>IF(AND(ISNUMBER(C1301),ISNUMBER($B$89),ISNUMBER($D$89)),IF(C1301&gt;$D$89,"boven UCL",IF(C1301&lt;$B$89,"onder LCL","")),"")</f>
        <v/>
      </c>
      <c r="G1301" t="n">
        <v>1195</v>
      </c>
      <c r="H1301" s="7" t="n"/>
      <c r="I1301" s="7" t="n"/>
      <c r="J1301" s="11">
        <f>IF(AND(ISNUMBER(H1301),ISNUMBER(I1301),H1301&gt;0,ISNUMBER($B$94)),I1301/H1301,"")</f>
        <v/>
      </c>
      <c r="K1301" s="11">
        <f>IF(AND(ISNUMBER(H1301),ISNUMBER(I1301),H1301&gt;0,ISNUMBER($B$94)),MAX(0,$B$94-3*SQRT($B$94*(1-$B$94)/H1301)),"")</f>
        <v/>
      </c>
      <c r="L1301" s="11">
        <f>IF(AND(ISNUMBER(H1301),ISNUMBER(I1301),H1301&gt;0,ISNUMBER($B$94)),$B$94+3*SQRT($B$94*(1-$B$94)/H1301),"")</f>
        <v/>
      </c>
      <c r="M1301" s="13">
        <f>IF(AND(ISNUMBER(J1301),ISNUMBER(K1301),ISNUMBER(L1301)),IF(J1301&gt;L1301,"boven UCL",IF(J1301&lt;K1301,"onder LCL","")),"")</f>
        <v/>
      </c>
      <c r="O1301" t="n">
        <v>1195</v>
      </c>
      <c r="P1301" s="7" t="n"/>
      <c r="Q1301" s="7" t="n"/>
      <c r="R1301" s="11">
        <f>IF(AND(ISNUMBER(P1301),ISNUMBER(Q1301),P1301&gt;0,ISNUMBER($B$100)),Q1301/P1301,"")</f>
        <v/>
      </c>
      <c r="S1301" s="11">
        <f>IF(AND(ISNUMBER(P1301),ISNUMBER(Q1301),P1301&gt;0,ISNUMBER($B$100)),MAX(0,$B$100-3*SQRT($B$100/P1301)),"")</f>
        <v/>
      </c>
      <c r="T1301" s="11">
        <f>IF(AND(ISNUMBER(P1301),ISNUMBER(Q1301),P1301&gt;0,ISNUMBER($B$100)),$B$100+3*SQRT($B$100/P1301),"")</f>
        <v/>
      </c>
      <c r="U1301" s="13">
        <f>IF(AND(ISNUMBER(R1301),ISNUMBER(S1301),ISNUMBER(T1301)),IF(R1301&gt;T1301,"boven UCL",IF(R1301&lt;S1301,"onder LCL","")),"")</f>
        <v/>
      </c>
    </row>
    <row r="1302">
      <c r="A1302" t="n">
        <v>1196</v>
      </c>
      <c r="B1302" s="7" t="n"/>
      <c r="C1302" s="11">
        <f>IF(AND(ISNUMBER(B1302),ISNUMBER(B1301)),ABS(B1302-B1301),"")</f>
        <v/>
      </c>
      <c r="D1302" s="13">
        <f>IF(AND(ISNUMBER(B1302),ISNUMBER($B$88),ISNUMBER($D$88)),IF(B1302&gt;$D$88,"boven UCL",IF(B1302&lt;$B$88,"onder LCL","")),"")</f>
        <v/>
      </c>
      <c r="E1302" s="13">
        <f>IF(AND(ISNUMBER(C1302),ISNUMBER($B$89),ISNUMBER($D$89)),IF(C1302&gt;$D$89,"boven UCL",IF(C1302&lt;$B$89,"onder LCL","")),"")</f>
        <v/>
      </c>
      <c r="G1302" t="n">
        <v>1196</v>
      </c>
      <c r="H1302" s="7" t="n"/>
      <c r="I1302" s="7" t="n"/>
      <c r="J1302" s="11">
        <f>IF(AND(ISNUMBER(H1302),ISNUMBER(I1302),H1302&gt;0,ISNUMBER($B$94)),I1302/H1302,"")</f>
        <v/>
      </c>
      <c r="K1302" s="11">
        <f>IF(AND(ISNUMBER(H1302),ISNUMBER(I1302),H1302&gt;0,ISNUMBER($B$94)),MAX(0,$B$94-3*SQRT($B$94*(1-$B$94)/H1302)),"")</f>
        <v/>
      </c>
      <c r="L1302" s="11">
        <f>IF(AND(ISNUMBER(H1302),ISNUMBER(I1302),H1302&gt;0,ISNUMBER($B$94)),$B$94+3*SQRT($B$94*(1-$B$94)/H1302),"")</f>
        <v/>
      </c>
      <c r="M1302" s="13">
        <f>IF(AND(ISNUMBER(J1302),ISNUMBER(K1302),ISNUMBER(L1302)),IF(J1302&gt;L1302,"boven UCL",IF(J1302&lt;K1302,"onder LCL","")),"")</f>
        <v/>
      </c>
      <c r="O1302" t="n">
        <v>1196</v>
      </c>
      <c r="P1302" s="7" t="n"/>
      <c r="Q1302" s="7" t="n"/>
      <c r="R1302" s="11">
        <f>IF(AND(ISNUMBER(P1302),ISNUMBER(Q1302),P1302&gt;0,ISNUMBER($B$100)),Q1302/P1302,"")</f>
        <v/>
      </c>
      <c r="S1302" s="11">
        <f>IF(AND(ISNUMBER(P1302),ISNUMBER(Q1302),P1302&gt;0,ISNUMBER($B$100)),MAX(0,$B$100-3*SQRT($B$100/P1302)),"")</f>
        <v/>
      </c>
      <c r="T1302" s="11">
        <f>IF(AND(ISNUMBER(P1302),ISNUMBER(Q1302),P1302&gt;0,ISNUMBER($B$100)),$B$100+3*SQRT($B$100/P1302),"")</f>
        <v/>
      </c>
      <c r="U1302" s="13">
        <f>IF(AND(ISNUMBER(R1302),ISNUMBER(S1302),ISNUMBER(T1302)),IF(R1302&gt;T1302,"boven UCL",IF(R1302&lt;S1302,"onder LCL","")),"")</f>
        <v/>
      </c>
    </row>
    <row r="1303">
      <c r="A1303" t="n">
        <v>1197</v>
      </c>
      <c r="B1303" s="7" t="n"/>
      <c r="C1303" s="11">
        <f>IF(AND(ISNUMBER(B1303),ISNUMBER(B1302)),ABS(B1303-B1302),"")</f>
        <v/>
      </c>
      <c r="D1303" s="13">
        <f>IF(AND(ISNUMBER(B1303),ISNUMBER($B$88),ISNUMBER($D$88)),IF(B1303&gt;$D$88,"boven UCL",IF(B1303&lt;$B$88,"onder LCL","")),"")</f>
        <v/>
      </c>
      <c r="E1303" s="13">
        <f>IF(AND(ISNUMBER(C1303),ISNUMBER($B$89),ISNUMBER($D$89)),IF(C1303&gt;$D$89,"boven UCL",IF(C1303&lt;$B$89,"onder LCL","")),"")</f>
        <v/>
      </c>
      <c r="G1303" t="n">
        <v>1197</v>
      </c>
      <c r="H1303" s="7" t="n"/>
      <c r="I1303" s="7" t="n"/>
      <c r="J1303" s="11">
        <f>IF(AND(ISNUMBER(H1303),ISNUMBER(I1303),H1303&gt;0,ISNUMBER($B$94)),I1303/H1303,"")</f>
        <v/>
      </c>
      <c r="K1303" s="11">
        <f>IF(AND(ISNUMBER(H1303),ISNUMBER(I1303),H1303&gt;0,ISNUMBER($B$94)),MAX(0,$B$94-3*SQRT($B$94*(1-$B$94)/H1303)),"")</f>
        <v/>
      </c>
      <c r="L1303" s="11">
        <f>IF(AND(ISNUMBER(H1303),ISNUMBER(I1303),H1303&gt;0,ISNUMBER($B$94)),$B$94+3*SQRT($B$94*(1-$B$94)/H1303),"")</f>
        <v/>
      </c>
      <c r="M1303" s="13">
        <f>IF(AND(ISNUMBER(J1303),ISNUMBER(K1303),ISNUMBER(L1303)),IF(J1303&gt;L1303,"boven UCL",IF(J1303&lt;K1303,"onder LCL","")),"")</f>
        <v/>
      </c>
      <c r="O1303" t="n">
        <v>1197</v>
      </c>
      <c r="P1303" s="7" t="n"/>
      <c r="Q1303" s="7" t="n"/>
      <c r="R1303" s="11">
        <f>IF(AND(ISNUMBER(P1303),ISNUMBER(Q1303),P1303&gt;0,ISNUMBER($B$100)),Q1303/P1303,"")</f>
        <v/>
      </c>
      <c r="S1303" s="11">
        <f>IF(AND(ISNUMBER(P1303),ISNUMBER(Q1303),P1303&gt;0,ISNUMBER($B$100)),MAX(0,$B$100-3*SQRT($B$100/P1303)),"")</f>
        <v/>
      </c>
      <c r="T1303" s="11">
        <f>IF(AND(ISNUMBER(P1303),ISNUMBER(Q1303),P1303&gt;0,ISNUMBER($B$100)),$B$100+3*SQRT($B$100/P1303),"")</f>
        <v/>
      </c>
      <c r="U1303" s="13">
        <f>IF(AND(ISNUMBER(R1303),ISNUMBER(S1303),ISNUMBER(T1303)),IF(R1303&gt;T1303,"boven UCL",IF(R1303&lt;S1303,"onder LCL","")),"")</f>
        <v/>
      </c>
    </row>
    <row r="1304">
      <c r="A1304" t="n">
        <v>1198</v>
      </c>
      <c r="B1304" s="7" t="n"/>
      <c r="C1304" s="11">
        <f>IF(AND(ISNUMBER(B1304),ISNUMBER(B1303)),ABS(B1304-B1303),"")</f>
        <v/>
      </c>
      <c r="D1304" s="13">
        <f>IF(AND(ISNUMBER(B1304),ISNUMBER($B$88),ISNUMBER($D$88)),IF(B1304&gt;$D$88,"boven UCL",IF(B1304&lt;$B$88,"onder LCL","")),"")</f>
        <v/>
      </c>
      <c r="E1304" s="13">
        <f>IF(AND(ISNUMBER(C1304),ISNUMBER($B$89),ISNUMBER($D$89)),IF(C1304&gt;$D$89,"boven UCL",IF(C1304&lt;$B$89,"onder LCL","")),"")</f>
        <v/>
      </c>
      <c r="G1304" t="n">
        <v>1198</v>
      </c>
      <c r="H1304" s="7" t="n"/>
      <c r="I1304" s="7" t="n"/>
      <c r="J1304" s="11">
        <f>IF(AND(ISNUMBER(H1304),ISNUMBER(I1304),H1304&gt;0,ISNUMBER($B$94)),I1304/H1304,"")</f>
        <v/>
      </c>
      <c r="K1304" s="11">
        <f>IF(AND(ISNUMBER(H1304),ISNUMBER(I1304),H1304&gt;0,ISNUMBER($B$94)),MAX(0,$B$94-3*SQRT($B$94*(1-$B$94)/H1304)),"")</f>
        <v/>
      </c>
      <c r="L1304" s="11">
        <f>IF(AND(ISNUMBER(H1304),ISNUMBER(I1304),H1304&gt;0,ISNUMBER($B$94)),$B$94+3*SQRT($B$94*(1-$B$94)/H1304),"")</f>
        <v/>
      </c>
      <c r="M1304" s="13">
        <f>IF(AND(ISNUMBER(J1304),ISNUMBER(K1304),ISNUMBER(L1304)),IF(J1304&gt;L1304,"boven UCL",IF(J1304&lt;K1304,"onder LCL","")),"")</f>
        <v/>
      </c>
      <c r="O1304" t="n">
        <v>1198</v>
      </c>
      <c r="P1304" s="7" t="n"/>
      <c r="Q1304" s="7" t="n"/>
      <c r="R1304" s="11">
        <f>IF(AND(ISNUMBER(P1304),ISNUMBER(Q1304),P1304&gt;0,ISNUMBER($B$100)),Q1304/P1304,"")</f>
        <v/>
      </c>
      <c r="S1304" s="11">
        <f>IF(AND(ISNUMBER(P1304),ISNUMBER(Q1304),P1304&gt;0,ISNUMBER($B$100)),MAX(0,$B$100-3*SQRT($B$100/P1304)),"")</f>
        <v/>
      </c>
      <c r="T1304" s="11">
        <f>IF(AND(ISNUMBER(P1304),ISNUMBER(Q1304),P1304&gt;0,ISNUMBER($B$100)),$B$100+3*SQRT($B$100/P1304),"")</f>
        <v/>
      </c>
      <c r="U1304" s="13">
        <f>IF(AND(ISNUMBER(R1304),ISNUMBER(S1304),ISNUMBER(T1304)),IF(R1304&gt;T1304,"boven UCL",IF(R1304&lt;S1304,"onder LCL","")),"")</f>
        <v/>
      </c>
    </row>
    <row r="1305">
      <c r="A1305" t="n">
        <v>1199</v>
      </c>
      <c r="B1305" s="7" t="n"/>
      <c r="C1305" s="11">
        <f>IF(AND(ISNUMBER(B1305),ISNUMBER(B1304)),ABS(B1305-B1304),"")</f>
        <v/>
      </c>
      <c r="D1305" s="13">
        <f>IF(AND(ISNUMBER(B1305),ISNUMBER($B$88),ISNUMBER($D$88)),IF(B1305&gt;$D$88,"boven UCL",IF(B1305&lt;$B$88,"onder LCL","")),"")</f>
        <v/>
      </c>
      <c r="E1305" s="13">
        <f>IF(AND(ISNUMBER(C1305),ISNUMBER($B$89),ISNUMBER($D$89)),IF(C1305&gt;$D$89,"boven UCL",IF(C1305&lt;$B$89,"onder LCL","")),"")</f>
        <v/>
      </c>
      <c r="G1305" t="n">
        <v>1199</v>
      </c>
      <c r="H1305" s="7" t="n"/>
      <c r="I1305" s="7" t="n"/>
      <c r="J1305" s="11">
        <f>IF(AND(ISNUMBER(H1305),ISNUMBER(I1305),H1305&gt;0,ISNUMBER($B$94)),I1305/H1305,"")</f>
        <v/>
      </c>
      <c r="K1305" s="11">
        <f>IF(AND(ISNUMBER(H1305),ISNUMBER(I1305),H1305&gt;0,ISNUMBER($B$94)),MAX(0,$B$94-3*SQRT($B$94*(1-$B$94)/H1305)),"")</f>
        <v/>
      </c>
      <c r="L1305" s="11">
        <f>IF(AND(ISNUMBER(H1305),ISNUMBER(I1305),H1305&gt;0,ISNUMBER($B$94)),$B$94+3*SQRT($B$94*(1-$B$94)/H1305),"")</f>
        <v/>
      </c>
      <c r="M1305" s="13">
        <f>IF(AND(ISNUMBER(J1305),ISNUMBER(K1305),ISNUMBER(L1305)),IF(J1305&gt;L1305,"boven UCL",IF(J1305&lt;K1305,"onder LCL","")),"")</f>
        <v/>
      </c>
      <c r="O1305" t="n">
        <v>1199</v>
      </c>
      <c r="P1305" s="7" t="n"/>
      <c r="Q1305" s="7" t="n"/>
      <c r="R1305" s="11">
        <f>IF(AND(ISNUMBER(P1305),ISNUMBER(Q1305),P1305&gt;0,ISNUMBER($B$100)),Q1305/P1305,"")</f>
        <v/>
      </c>
      <c r="S1305" s="11">
        <f>IF(AND(ISNUMBER(P1305),ISNUMBER(Q1305),P1305&gt;0,ISNUMBER($B$100)),MAX(0,$B$100-3*SQRT($B$100/P1305)),"")</f>
        <v/>
      </c>
      <c r="T1305" s="11">
        <f>IF(AND(ISNUMBER(P1305),ISNUMBER(Q1305),P1305&gt;0,ISNUMBER($B$100)),$B$100+3*SQRT($B$100/P1305),"")</f>
        <v/>
      </c>
      <c r="U1305" s="13">
        <f>IF(AND(ISNUMBER(R1305),ISNUMBER(S1305),ISNUMBER(T1305)),IF(R1305&gt;T1305,"boven UCL",IF(R1305&lt;S1305,"onder LCL","")),"")</f>
        <v/>
      </c>
    </row>
    <row r="1306">
      <c r="A1306" t="n">
        <v>1200</v>
      </c>
      <c r="B1306" s="7" t="n"/>
      <c r="C1306" s="11">
        <f>IF(AND(ISNUMBER(B1306),ISNUMBER(B1305)),ABS(B1306-B1305),"")</f>
        <v/>
      </c>
      <c r="D1306" s="13">
        <f>IF(AND(ISNUMBER(B1306),ISNUMBER($B$88),ISNUMBER($D$88)),IF(B1306&gt;$D$88,"boven UCL",IF(B1306&lt;$B$88,"onder LCL","")),"")</f>
        <v/>
      </c>
      <c r="E1306" s="13">
        <f>IF(AND(ISNUMBER(C1306),ISNUMBER($B$89),ISNUMBER($D$89)),IF(C1306&gt;$D$89,"boven UCL",IF(C1306&lt;$B$89,"onder LCL","")),"")</f>
        <v/>
      </c>
      <c r="G1306" t="n">
        <v>1200</v>
      </c>
      <c r="H1306" s="7" t="n"/>
      <c r="I1306" s="7" t="n"/>
      <c r="J1306" s="11">
        <f>IF(AND(ISNUMBER(H1306),ISNUMBER(I1306),H1306&gt;0,ISNUMBER($B$94)),I1306/H1306,"")</f>
        <v/>
      </c>
      <c r="K1306" s="11">
        <f>IF(AND(ISNUMBER(H1306),ISNUMBER(I1306),H1306&gt;0,ISNUMBER($B$94)),MAX(0,$B$94-3*SQRT($B$94*(1-$B$94)/H1306)),"")</f>
        <v/>
      </c>
      <c r="L1306" s="11">
        <f>IF(AND(ISNUMBER(H1306),ISNUMBER(I1306),H1306&gt;0,ISNUMBER($B$94)),$B$94+3*SQRT($B$94*(1-$B$94)/H1306),"")</f>
        <v/>
      </c>
      <c r="M1306" s="13">
        <f>IF(AND(ISNUMBER(J1306),ISNUMBER(K1306),ISNUMBER(L1306)),IF(J1306&gt;L1306,"boven UCL",IF(J1306&lt;K1306,"onder LCL","")),"")</f>
        <v/>
      </c>
      <c r="O1306" t="n">
        <v>1200</v>
      </c>
      <c r="P1306" s="7" t="n"/>
      <c r="Q1306" s="7" t="n"/>
      <c r="R1306" s="11">
        <f>IF(AND(ISNUMBER(P1306),ISNUMBER(Q1306),P1306&gt;0,ISNUMBER($B$100)),Q1306/P1306,"")</f>
        <v/>
      </c>
      <c r="S1306" s="11">
        <f>IF(AND(ISNUMBER(P1306),ISNUMBER(Q1306),P1306&gt;0,ISNUMBER($B$100)),MAX(0,$B$100-3*SQRT($B$100/P1306)),"")</f>
        <v/>
      </c>
      <c r="T1306" s="11">
        <f>IF(AND(ISNUMBER(P1306),ISNUMBER(Q1306),P1306&gt;0,ISNUMBER($B$100)),$B$100+3*SQRT($B$100/P1306),"")</f>
        <v/>
      </c>
      <c r="U1306" s="13">
        <f>IF(AND(ISNUMBER(R1306),ISNUMBER(S1306),ISNUMBER(T1306)),IF(R1306&gt;T1306,"boven UCL",IF(R1306&lt;S1306,"onder LCL","")),"")</f>
        <v/>
      </c>
    </row>
    <row r="1307">
      <c r="A1307" t="n">
        <v>1201</v>
      </c>
      <c r="B1307" s="7" t="n"/>
      <c r="C1307" s="11">
        <f>IF(AND(ISNUMBER(B1307),ISNUMBER(B1306)),ABS(B1307-B1306),"")</f>
        <v/>
      </c>
      <c r="D1307" s="13">
        <f>IF(AND(ISNUMBER(B1307),ISNUMBER($B$88),ISNUMBER($D$88)),IF(B1307&gt;$D$88,"boven UCL",IF(B1307&lt;$B$88,"onder LCL","")),"")</f>
        <v/>
      </c>
      <c r="E1307" s="13">
        <f>IF(AND(ISNUMBER(C1307),ISNUMBER($B$89),ISNUMBER($D$89)),IF(C1307&gt;$D$89,"boven UCL",IF(C1307&lt;$B$89,"onder LCL","")),"")</f>
        <v/>
      </c>
      <c r="G1307" t="n">
        <v>1201</v>
      </c>
      <c r="H1307" s="7" t="n"/>
      <c r="I1307" s="7" t="n"/>
      <c r="J1307" s="11">
        <f>IF(AND(ISNUMBER(H1307),ISNUMBER(I1307),H1307&gt;0,ISNUMBER($B$94)),I1307/H1307,"")</f>
        <v/>
      </c>
      <c r="K1307" s="11">
        <f>IF(AND(ISNUMBER(H1307),ISNUMBER(I1307),H1307&gt;0,ISNUMBER($B$94)),MAX(0,$B$94-3*SQRT($B$94*(1-$B$94)/H1307)),"")</f>
        <v/>
      </c>
      <c r="L1307" s="11">
        <f>IF(AND(ISNUMBER(H1307),ISNUMBER(I1307),H1307&gt;0,ISNUMBER($B$94)),$B$94+3*SQRT($B$94*(1-$B$94)/H1307),"")</f>
        <v/>
      </c>
      <c r="M1307" s="13">
        <f>IF(AND(ISNUMBER(J1307),ISNUMBER(K1307),ISNUMBER(L1307)),IF(J1307&gt;L1307,"boven UCL",IF(J1307&lt;K1307,"onder LCL","")),"")</f>
        <v/>
      </c>
      <c r="O1307" t="n">
        <v>1201</v>
      </c>
      <c r="P1307" s="7" t="n"/>
      <c r="Q1307" s="7" t="n"/>
      <c r="R1307" s="11">
        <f>IF(AND(ISNUMBER(P1307),ISNUMBER(Q1307),P1307&gt;0,ISNUMBER($B$100)),Q1307/P1307,"")</f>
        <v/>
      </c>
      <c r="S1307" s="11">
        <f>IF(AND(ISNUMBER(P1307),ISNUMBER(Q1307),P1307&gt;0,ISNUMBER($B$100)),MAX(0,$B$100-3*SQRT($B$100/P1307)),"")</f>
        <v/>
      </c>
      <c r="T1307" s="11">
        <f>IF(AND(ISNUMBER(P1307),ISNUMBER(Q1307),P1307&gt;0,ISNUMBER($B$100)),$B$100+3*SQRT($B$100/P1307),"")</f>
        <v/>
      </c>
      <c r="U1307" s="13">
        <f>IF(AND(ISNUMBER(R1307),ISNUMBER(S1307),ISNUMBER(T1307)),IF(R1307&gt;T1307,"boven UCL",IF(R1307&lt;S1307,"onder LCL","")),"")</f>
        <v/>
      </c>
    </row>
    <row r="1308">
      <c r="A1308" t="n">
        <v>1202</v>
      </c>
      <c r="B1308" s="7" t="n"/>
      <c r="C1308" s="11">
        <f>IF(AND(ISNUMBER(B1308),ISNUMBER(B1307)),ABS(B1308-B1307),"")</f>
        <v/>
      </c>
      <c r="D1308" s="13">
        <f>IF(AND(ISNUMBER(B1308),ISNUMBER($B$88),ISNUMBER($D$88)),IF(B1308&gt;$D$88,"boven UCL",IF(B1308&lt;$B$88,"onder LCL","")),"")</f>
        <v/>
      </c>
      <c r="E1308" s="13">
        <f>IF(AND(ISNUMBER(C1308),ISNUMBER($B$89),ISNUMBER($D$89)),IF(C1308&gt;$D$89,"boven UCL",IF(C1308&lt;$B$89,"onder LCL","")),"")</f>
        <v/>
      </c>
      <c r="G1308" t="n">
        <v>1202</v>
      </c>
      <c r="H1308" s="7" t="n"/>
      <c r="I1308" s="7" t="n"/>
      <c r="J1308" s="11">
        <f>IF(AND(ISNUMBER(H1308),ISNUMBER(I1308),H1308&gt;0,ISNUMBER($B$94)),I1308/H1308,"")</f>
        <v/>
      </c>
      <c r="K1308" s="11">
        <f>IF(AND(ISNUMBER(H1308),ISNUMBER(I1308),H1308&gt;0,ISNUMBER($B$94)),MAX(0,$B$94-3*SQRT($B$94*(1-$B$94)/H1308)),"")</f>
        <v/>
      </c>
      <c r="L1308" s="11">
        <f>IF(AND(ISNUMBER(H1308),ISNUMBER(I1308),H1308&gt;0,ISNUMBER($B$94)),$B$94+3*SQRT($B$94*(1-$B$94)/H1308),"")</f>
        <v/>
      </c>
      <c r="M1308" s="13">
        <f>IF(AND(ISNUMBER(J1308),ISNUMBER(K1308),ISNUMBER(L1308)),IF(J1308&gt;L1308,"boven UCL",IF(J1308&lt;K1308,"onder LCL","")),"")</f>
        <v/>
      </c>
      <c r="O1308" t="n">
        <v>1202</v>
      </c>
      <c r="P1308" s="7" t="n"/>
      <c r="Q1308" s="7" t="n"/>
      <c r="R1308" s="11">
        <f>IF(AND(ISNUMBER(P1308),ISNUMBER(Q1308),P1308&gt;0,ISNUMBER($B$100)),Q1308/P1308,"")</f>
        <v/>
      </c>
      <c r="S1308" s="11">
        <f>IF(AND(ISNUMBER(P1308),ISNUMBER(Q1308),P1308&gt;0,ISNUMBER($B$100)),MAX(0,$B$100-3*SQRT($B$100/P1308)),"")</f>
        <v/>
      </c>
      <c r="T1308" s="11">
        <f>IF(AND(ISNUMBER(P1308),ISNUMBER(Q1308),P1308&gt;0,ISNUMBER($B$100)),$B$100+3*SQRT($B$100/P1308),"")</f>
        <v/>
      </c>
      <c r="U1308" s="13">
        <f>IF(AND(ISNUMBER(R1308),ISNUMBER(S1308),ISNUMBER(T1308)),IF(R1308&gt;T1308,"boven UCL",IF(R1308&lt;S1308,"onder LCL","")),"")</f>
        <v/>
      </c>
    </row>
    <row r="1309">
      <c r="A1309" t="n">
        <v>1203</v>
      </c>
      <c r="B1309" s="7" t="n"/>
      <c r="C1309" s="11">
        <f>IF(AND(ISNUMBER(B1309),ISNUMBER(B1308)),ABS(B1309-B1308),"")</f>
        <v/>
      </c>
      <c r="D1309" s="13">
        <f>IF(AND(ISNUMBER(B1309),ISNUMBER($B$88),ISNUMBER($D$88)),IF(B1309&gt;$D$88,"boven UCL",IF(B1309&lt;$B$88,"onder LCL","")),"")</f>
        <v/>
      </c>
      <c r="E1309" s="13">
        <f>IF(AND(ISNUMBER(C1309),ISNUMBER($B$89),ISNUMBER($D$89)),IF(C1309&gt;$D$89,"boven UCL",IF(C1309&lt;$B$89,"onder LCL","")),"")</f>
        <v/>
      </c>
      <c r="G1309" t="n">
        <v>1203</v>
      </c>
      <c r="H1309" s="7" t="n"/>
      <c r="I1309" s="7" t="n"/>
      <c r="J1309" s="11">
        <f>IF(AND(ISNUMBER(H1309),ISNUMBER(I1309),H1309&gt;0,ISNUMBER($B$94)),I1309/H1309,"")</f>
        <v/>
      </c>
      <c r="K1309" s="11">
        <f>IF(AND(ISNUMBER(H1309),ISNUMBER(I1309),H1309&gt;0,ISNUMBER($B$94)),MAX(0,$B$94-3*SQRT($B$94*(1-$B$94)/H1309)),"")</f>
        <v/>
      </c>
      <c r="L1309" s="11">
        <f>IF(AND(ISNUMBER(H1309),ISNUMBER(I1309),H1309&gt;0,ISNUMBER($B$94)),$B$94+3*SQRT($B$94*(1-$B$94)/H1309),"")</f>
        <v/>
      </c>
      <c r="M1309" s="13">
        <f>IF(AND(ISNUMBER(J1309),ISNUMBER(K1309),ISNUMBER(L1309)),IF(J1309&gt;L1309,"boven UCL",IF(J1309&lt;K1309,"onder LCL","")),"")</f>
        <v/>
      </c>
      <c r="O1309" t="n">
        <v>1203</v>
      </c>
      <c r="P1309" s="7" t="n"/>
      <c r="Q1309" s="7" t="n"/>
      <c r="R1309" s="11">
        <f>IF(AND(ISNUMBER(P1309),ISNUMBER(Q1309),P1309&gt;0,ISNUMBER($B$100)),Q1309/P1309,"")</f>
        <v/>
      </c>
      <c r="S1309" s="11">
        <f>IF(AND(ISNUMBER(P1309),ISNUMBER(Q1309),P1309&gt;0,ISNUMBER($B$100)),MAX(0,$B$100-3*SQRT($B$100/P1309)),"")</f>
        <v/>
      </c>
      <c r="T1309" s="11">
        <f>IF(AND(ISNUMBER(P1309),ISNUMBER(Q1309),P1309&gt;0,ISNUMBER($B$100)),$B$100+3*SQRT($B$100/P1309),"")</f>
        <v/>
      </c>
      <c r="U1309" s="13">
        <f>IF(AND(ISNUMBER(R1309),ISNUMBER(S1309),ISNUMBER(T1309)),IF(R1309&gt;T1309,"boven UCL",IF(R1309&lt;S1309,"onder LCL","")),"")</f>
        <v/>
      </c>
    </row>
    <row r="1310">
      <c r="A1310" t="n">
        <v>1204</v>
      </c>
      <c r="B1310" s="7" t="n"/>
      <c r="C1310" s="11">
        <f>IF(AND(ISNUMBER(B1310),ISNUMBER(B1309)),ABS(B1310-B1309),"")</f>
        <v/>
      </c>
      <c r="D1310" s="13">
        <f>IF(AND(ISNUMBER(B1310),ISNUMBER($B$88),ISNUMBER($D$88)),IF(B1310&gt;$D$88,"boven UCL",IF(B1310&lt;$B$88,"onder LCL","")),"")</f>
        <v/>
      </c>
      <c r="E1310" s="13">
        <f>IF(AND(ISNUMBER(C1310),ISNUMBER($B$89),ISNUMBER($D$89)),IF(C1310&gt;$D$89,"boven UCL",IF(C1310&lt;$B$89,"onder LCL","")),"")</f>
        <v/>
      </c>
      <c r="G1310" t="n">
        <v>1204</v>
      </c>
      <c r="H1310" s="7" t="n"/>
      <c r="I1310" s="7" t="n"/>
      <c r="J1310" s="11">
        <f>IF(AND(ISNUMBER(H1310),ISNUMBER(I1310),H1310&gt;0,ISNUMBER($B$94)),I1310/H1310,"")</f>
        <v/>
      </c>
      <c r="K1310" s="11">
        <f>IF(AND(ISNUMBER(H1310),ISNUMBER(I1310),H1310&gt;0,ISNUMBER($B$94)),MAX(0,$B$94-3*SQRT($B$94*(1-$B$94)/H1310)),"")</f>
        <v/>
      </c>
      <c r="L1310" s="11">
        <f>IF(AND(ISNUMBER(H1310),ISNUMBER(I1310),H1310&gt;0,ISNUMBER($B$94)),$B$94+3*SQRT($B$94*(1-$B$94)/H1310),"")</f>
        <v/>
      </c>
      <c r="M1310" s="13">
        <f>IF(AND(ISNUMBER(J1310),ISNUMBER(K1310),ISNUMBER(L1310)),IF(J1310&gt;L1310,"boven UCL",IF(J1310&lt;K1310,"onder LCL","")),"")</f>
        <v/>
      </c>
      <c r="O1310" t="n">
        <v>1204</v>
      </c>
      <c r="P1310" s="7" t="n"/>
      <c r="Q1310" s="7" t="n"/>
      <c r="R1310" s="11">
        <f>IF(AND(ISNUMBER(P1310),ISNUMBER(Q1310),P1310&gt;0,ISNUMBER($B$100)),Q1310/P1310,"")</f>
        <v/>
      </c>
      <c r="S1310" s="11">
        <f>IF(AND(ISNUMBER(P1310),ISNUMBER(Q1310),P1310&gt;0,ISNUMBER($B$100)),MAX(0,$B$100-3*SQRT($B$100/P1310)),"")</f>
        <v/>
      </c>
      <c r="T1310" s="11">
        <f>IF(AND(ISNUMBER(P1310),ISNUMBER(Q1310),P1310&gt;0,ISNUMBER($B$100)),$B$100+3*SQRT($B$100/P1310),"")</f>
        <v/>
      </c>
      <c r="U1310" s="13">
        <f>IF(AND(ISNUMBER(R1310),ISNUMBER(S1310),ISNUMBER(T1310)),IF(R1310&gt;T1310,"boven UCL",IF(R1310&lt;S1310,"onder LCL","")),"")</f>
        <v/>
      </c>
    </row>
    <row r="1311">
      <c r="A1311" t="n">
        <v>1205</v>
      </c>
      <c r="B1311" s="7" t="n"/>
      <c r="C1311" s="11">
        <f>IF(AND(ISNUMBER(B1311),ISNUMBER(B1310)),ABS(B1311-B1310),"")</f>
        <v/>
      </c>
      <c r="D1311" s="13">
        <f>IF(AND(ISNUMBER(B1311),ISNUMBER($B$88),ISNUMBER($D$88)),IF(B1311&gt;$D$88,"boven UCL",IF(B1311&lt;$B$88,"onder LCL","")),"")</f>
        <v/>
      </c>
      <c r="E1311" s="13">
        <f>IF(AND(ISNUMBER(C1311),ISNUMBER($B$89),ISNUMBER($D$89)),IF(C1311&gt;$D$89,"boven UCL",IF(C1311&lt;$B$89,"onder LCL","")),"")</f>
        <v/>
      </c>
      <c r="G1311" t="n">
        <v>1205</v>
      </c>
      <c r="H1311" s="7" t="n"/>
      <c r="I1311" s="7" t="n"/>
      <c r="J1311" s="11">
        <f>IF(AND(ISNUMBER(H1311),ISNUMBER(I1311),H1311&gt;0,ISNUMBER($B$94)),I1311/H1311,"")</f>
        <v/>
      </c>
      <c r="K1311" s="11">
        <f>IF(AND(ISNUMBER(H1311),ISNUMBER(I1311),H1311&gt;0,ISNUMBER($B$94)),MAX(0,$B$94-3*SQRT($B$94*(1-$B$94)/H1311)),"")</f>
        <v/>
      </c>
      <c r="L1311" s="11">
        <f>IF(AND(ISNUMBER(H1311),ISNUMBER(I1311),H1311&gt;0,ISNUMBER($B$94)),$B$94+3*SQRT($B$94*(1-$B$94)/H1311),"")</f>
        <v/>
      </c>
      <c r="M1311" s="13">
        <f>IF(AND(ISNUMBER(J1311),ISNUMBER(K1311),ISNUMBER(L1311)),IF(J1311&gt;L1311,"boven UCL",IF(J1311&lt;K1311,"onder LCL","")),"")</f>
        <v/>
      </c>
      <c r="O1311" t="n">
        <v>1205</v>
      </c>
      <c r="P1311" s="7" t="n"/>
      <c r="Q1311" s="7" t="n"/>
      <c r="R1311" s="11">
        <f>IF(AND(ISNUMBER(P1311),ISNUMBER(Q1311),P1311&gt;0,ISNUMBER($B$100)),Q1311/P1311,"")</f>
        <v/>
      </c>
      <c r="S1311" s="11">
        <f>IF(AND(ISNUMBER(P1311),ISNUMBER(Q1311),P1311&gt;0,ISNUMBER($B$100)),MAX(0,$B$100-3*SQRT($B$100/P1311)),"")</f>
        <v/>
      </c>
      <c r="T1311" s="11">
        <f>IF(AND(ISNUMBER(P1311),ISNUMBER(Q1311),P1311&gt;0,ISNUMBER($B$100)),$B$100+3*SQRT($B$100/P1311),"")</f>
        <v/>
      </c>
      <c r="U1311" s="13">
        <f>IF(AND(ISNUMBER(R1311),ISNUMBER(S1311),ISNUMBER(T1311)),IF(R1311&gt;T1311,"boven UCL",IF(R1311&lt;S1311,"onder LCL","")),"")</f>
        <v/>
      </c>
    </row>
    <row r="1312">
      <c r="A1312" t="n">
        <v>1206</v>
      </c>
      <c r="B1312" s="7" t="n"/>
      <c r="C1312" s="11">
        <f>IF(AND(ISNUMBER(B1312),ISNUMBER(B1311)),ABS(B1312-B1311),"")</f>
        <v/>
      </c>
      <c r="D1312" s="13">
        <f>IF(AND(ISNUMBER(B1312),ISNUMBER($B$88),ISNUMBER($D$88)),IF(B1312&gt;$D$88,"boven UCL",IF(B1312&lt;$B$88,"onder LCL","")),"")</f>
        <v/>
      </c>
      <c r="E1312" s="13">
        <f>IF(AND(ISNUMBER(C1312),ISNUMBER($B$89),ISNUMBER($D$89)),IF(C1312&gt;$D$89,"boven UCL",IF(C1312&lt;$B$89,"onder LCL","")),"")</f>
        <v/>
      </c>
      <c r="G1312" t="n">
        <v>1206</v>
      </c>
      <c r="H1312" s="7" t="n"/>
      <c r="I1312" s="7" t="n"/>
      <c r="J1312" s="11">
        <f>IF(AND(ISNUMBER(H1312),ISNUMBER(I1312),H1312&gt;0,ISNUMBER($B$94)),I1312/H1312,"")</f>
        <v/>
      </c>
      <c r="K1312" s="11">
        <f>IF(AND(ISNUMBER(H1312),ISNUMBER(I1312),H1312&gt;0,ISNUMBER($B$94)),MAX(0,$B$94-3*SQRT($B$94*(1-$B$94)/H1312)),"")</f>
        <v/>
      </c>
      <c r="L1312" s="11">
        <f>IF(AND(ISNUMBER(H1312),ISNUMBER(I1312),H1312&gt;0,ISNUMBER($B$94)),$B$94+3*SQRT($B$94*(1-$B$94)/H1312),"")</f>
        <v/>
      </c>
      <c r="M1312" s="13">
        <f>IF(AND(ISNUMBER(J1312),ISNUMBER(K1312),ISNUMBER(L1312)),IF(J1312&gt;L1312,"boven UCL",IF(J1312&lt;K1312,"onder LCL","")),"")</f>
        <v/>
      </c>
      <c r="O1312" t="n">
        <v>1206</v>
      </c>
      <c r="P1312" s="7" t="n"/>
      <c r="Q1312" s="7" t="n"/>
      <c r="R1312" s="11">
        <f>IF(AND(ISNUMBER(P1312),ISNUMBER(Q1312),P1312&gt;0,ISNUMBER($B$100)),Q1312/P1312,"")</f>
        <v/>
      </c>
      <c r="S1312" s="11">
        <f>IF(AND(ISNUMBER(P1312),ISNUMBER(Q1312),P1312&gt;0,ISNUMBER($B$100)),MAX(0,$B$100-3*SQRT($B$100/P1312)),"")</f>
        <v/>
      </c>
      <c r="T1312" s="11">
        <f>IF(AND(ISNUMBER(P1312),ISNUMBER(Q1312),P1312&gt;0,ISNUMBER($B$100)),$B$100+3*SQRT($B$100/P1312),"")</f>
        <v/>
      </c>
      <c r="U1312" s="13">
        <f>IF(AND(ISNUMBER(R1312),ISNUMBER(S1312),ISNUMBER(T1312)),IF(R1312&gt;T1312,"boven UCL",IF(R1312&lt;S1312,"onder LCL","")),"")</f>
        <v/>
      </c>
    </row>
    <row r="1313">
      <c r="A1313" t="n">
        <v>1207</v>
      </c>
      <c r="B1313" s="7" t="n"/>
      <c r="C1313" s="11">
        <f>IF(AND(ISNUMBER(B1313),ISNUMBER(B1312)),ABS(B1313-B1312),"")</f>
        <v/>
      </c>
      <c r="D1313" s="13">
        <f>IF(AND(ISNUMBER(B1313),ISNUMBER($B$88),ISNUMBER($D$88)),IF(B1313&gt;$D$88,"boven UCL",IF(B1313&lt;$B$88,"onder LCL","")),"")</f>
        <v/>
      </c>
      <c r="E1313" s="13">
        <f>IF(AND(ISNUMBER(C1313),ISNUMBER($B$89),ISNUMBER($D$89)),IF(C1313&gt;$D$89,"boven UCL",IF(C1313&lt;$B$89,"onder LCL","")),"")</f>
        <v/>
      </c>
      <c r="G1313" t="n">
        <v>1207</v>
      </c>
      <c r="H1313" s="7" t="n"/>
      <c r="I1313" s="7" t="n"/>
      <c r="J1313" s="11">
        <f>IF(AND(ISNUMBER(H1313),ISNUMBER(I1313),H1313&gt;0,ISNUMBER($B$94)),I1313/H1313,"")</f>
        <v/>
      </c>
      <c r="K1313" s="11">
        <f>IF(AND(ISNUMBER(H1313),ISNUMBER(I1313),H1313&gt;0,ISNUMBER($B$94)),MAX(0,$B$94-3*SQRT($B$94*(1-$B$94)/H1313)),"")</f>
        <v/>
      </c>
      <c r="L1313" s="11">
        <f>IF(AND(ISNUMBER(H1313),ISNUMBER(I1313),H1313&gt;0,ISNUMBER($B$94)),$B$94+3*SQRT($B$94*(1-$B$94)/H1313),"")</f>
        <v/>
      </c>
      <c r="M1313" s="13">
        <f>IF(AND(ISNUMBER(J1313),ISNUMBER(K1313),ISNUMBER(L1313)),IF(J1313&gt;L1313,"boven UCL",IF(J1313&lt;K1313,"onder LCL","")),"")</f>
        <v/>
      </c>
      <c r="O1313" t="n">
        <v>1207</v>
      </c>
      <c r="P1313" s="7" t="n"/>
      <c r="Q1313" s="7" t="n"/>
      <c r="R1313" s="11">
        <f>IF(AND(ISNUMBER(P1313),ISNUMBER(Q1313),P1313&gt;0,ISNUMBER($B$100)),Q1313/P1313,"")</f>
        <v/>
      </c>
      <c r="S1313" s="11">
        <f>IF(AND(ISNUMBER(P1313),ISNUMBER(Q1313),P1313&gt;0,ISNUMBER($B$100)),MAX(0,$B$100-3*SQRT($B$100/P1313)),"")</f>
        <v/>
      </c>
      <c r="T1313" s="11">
        <f>IF(AND(ISNUMBER(P1313),ISNUMBER(Q1313),P1313&gt;0,ISNUMBER($B$100)),$B$100+3*SQRT($B$100/P1313),"")</f>
        <v/>
      </c>
      <c r="U1313" s="13">
        <f>IF(AND(ISNUMBER(R1313),ISNUMBER(S1313),ISNUMBER(T1313)),IF(R1313&gt;T1313,"boven UCL",IF(R1313&lt;S1313,"onder LCL","")),"")</f>
        <v/>
      </c>
    </row>
    <row r="1314">
      <c r="A1314" t="n">
        <v>1208</v>
      </c>
      <c r="B1314" s="7" t="n"/>
      <c r="C1314" s="11">
        <f>IF(AND(ISNUMBER(B1314),ISNUMBER(B1313)),ABS(B1314-B1313),"")</f>
        <v/>
      </c>
      <c r="D1314" s="13">
        <f>IF(AND(ISNUMBER(B1314),ISNUMBER($B$88),ISNUMBER($D$88)),IF(B1314&gt;$D$88,"boven UCL",IF(B1314&lt;$B$88,"onder LCL","")),"")</f>
        <v/>
      </c>
      <c r="E1314" s="13">
        <f>IF(AND(ISNUMBER(C1314),ISNUMBER($B$89),ISNUMBER($D$89)),IF(C1314&gt;$D$89,"boven UCL",IF(C1314&lt;$B$89,"onder LCL","")),"")</f>
        <v/>
      </c>
      <c r="G1314" t="n">
        <v>1208</v>
      </c>
      <c r="H1314" s="7" t="n"/>
      <c r="I1314" s="7" t="n"/>
      <c r="J1314" s="11">
        <f>IF(AND(ISNUMBER(H1314),ISNUMBER(I1314),H1314&gt;0,ISNUMBER($B$94)),I1314/H1314,"")</f>
        <v/>
      </c>
      <c r="K1314" s="11">
        <f>IF(AND(ISNUMBER(H1314),ISNUMBER(I1314),H1314&gt;0,ISNUMBER($B$94)),MAX(0,$B$94-3*SQRT($B$94*(1-$B$94)/H1314)),"")</f>
        <v/>
      </c>
      <c r="L1314" s="11">
        <f>IF(AND(ISNUMBER(H1314),ISNUMBER(I1314),H1314&gt;0,ISNUMBER($B$94)),$B$94+3*SQRT($B$94*(1-$B$94)/H1314),"")</f>
        <v/>
      </c>
      <c r="M1314" s="13">
        <f>IF(AND(ISNUMBER(J1314),ISNUMBER(K1314),ISNUMBER(L1314)),IF(J1314&gt;L1314,"boven UCL",IF(J1314&lt;K1314,"onder LCL","")),"")</f>
        <v/>
      </c>
      <c r="O1314" t="n">
        <v>1208</v>
      </c>
      <c r="P1314" s="7" t="n"/>
      <c r="Q1314" s="7" t="n"/>
      <c r="R1314" s="11">
        <f>IF(AND(ISNUMBER(P1314),ISNUMBER(Q1314),P1314&gt;0,ISNUMBER($B$100)),Q1314/P1314,"")</f>
        <v/>
      </c>
      <c r="S1314" s="11">
        <f>IF(AND(ISNUMBER(P1314),ISNUMBER(Q1314),P1314&gt;0,ISNUMBER($B$100)),MAX(0,$B$100-3*SQRT($B$100/P1314)),"")</f>
        <v/>
      </c>
      <c r="T1314" s="11">
        <f>IF(AND(ISNUMBER(P1314),ISNUMBER(Q1314),P1314&gt;0,ISNUMBER($B$100)),$B$100+3*SQRT($B$100/P1314),"")</f>
        <v/>
      </c>
      <c r="U1314" s="13">
        <f>IF(AND(ISNUMBER(R1314),ISNUMBER(S1314),ISNUMBER(T1314)),IF(R1314&gt;T1314,"boven UCL",IF(R1314&lt;S1314,"onder LCL","")),"")</f>
        <v/>
      </c>
    </row>
    <row r="1315">
      <c r="A1315" t="n">
        <v>1209</v>
      </c>
      <c r="B1315" s="7" t="n"/>
      <c r="C1315" s="11">
        <f>IF(AND(ISNUMBER(B1315),ISNUMBER(B1314)),ABS(B1315-B1314),"")</f>
        <v/>
      </c>
      <c r="D1315" s="13">
        <f>IF(AND(ISNUMBER(B1315),ISNUMBER($B$88),ISNUMBER($D$88)),IF(B1315&gt;$D$88,"boven UCL",IF(B1315&lt;$B$88,"onder LCL","")),"")</f>
        <v/>
      </c>
      <c r="E1315" s="13">
        <f>IF(AND(ISNUMBER(C1315),ISNUMBER($B$89),ISNUMBER($D$89)),IF(C1315&gt;$D$89,"boven UCL",IF(C1315&lt;$B$89,"onder LCL","")),"")</f>
        <v/>
      </c>
      <c r="G1315" t="n">
        <v>1209</v>
      </c>
      <c r="H1315" s="7" t="n"/>
      <c r="I1315" s="7" t="n"/>
      <c r="J1315" s="11">
        <f>IF(AND(ISNUMBER(H1315),ISNUMBER(I1315),H1315&gt;0,ISNUMBER($B$94)),I1315/H1315,"")</f>
        <v/>
      </c>
      <c r="K1315" s="11">
        <f>IF(AND(ISNUMBER(H1315),ISNUMBER(I1315),H1315&gt;0,ISNUMBER($B$94)),MAX(0,$B$94-3*SQRT($B$94*(1-$B$94)/H1315)),"")</f>
        <v/>
      </c>
      <c r="L1315" s="11">
        <f>IF(AND(ISNUMBER(H1315),ISNUMBER(I1315),H1315&gt;0,ISNUMBER($B$94)),$B$94+3*SQRT($B$94*(1-$B$94)/H1315),"")</f>
        <v/>
      </c>
      <c r="M1315" s="13">
        <f>IF(AND(ISNUMBER(J1315),ISNUMBER(K1315),ISNUMBER(L1315)),IF(J1315&gt;L1315,"boven UCL",IF(J1315&lt;K1315,"onder LCL","")),"")</f>
        <v/>
      </c>
      <c r="O1315" t="n">
        <v>1209</v>
      </c>
      <c r="P1315" s="7" t="n"/>
      <c r="Q1315" s="7" t="n"/>
      <c r="R1315" s="11">
        <f>IF(AND(ISNUMBER(P1315),ISNUMBER(Q1315),P1315&gt;0,ISNUMBER($B$100)),Q1315/P1315,"")</f>
        <v/>
      </c>
      <c r="S1315" s="11">
        <f>IF(AND(ISNUMBER(P1315),ISNUMBER(Q1315),P1315&gt;0,ISNUMBER($B$100)),MAX(0,$B$100-3*SQRT($B$100/P1315)),"")</f>
        <v/>
      </c>
      <c r="T1315" s="11">
        <f>IF(AND(ISNUMBER(P1315),ISNUMBER(Q1315),P1315&gt;0,ISNUMBER($B$100)),$B$100+3*SQRT($B$100/P1315),"")</f>
        <v/>
      </c>
      <c r="U1315" s="13">
        <f>IF(AND(ISNUMBER(R1315),ISNUMBER(S1315),ISNUMBER(T1315)),IF(R1315&gt;T1315,"boven UCL",IF(R1315&lt;S1315,"onder LCL","")),"")</f>
        <v/>
      </c>
    </row>
    <row r="1316">
      <c r="A1316" t="n">
        <v>1210</v>
      </c>
      <c r="B1316" s="7" t="n"/>
      <c r="C1316" s="11">
        <f>IF(AND(ISNUMBER(B1316),ISNUMBER(B1315)),ABS(B1316-B1315),"")</f>
        <v/>
      </c>
      <c r="D1316" s="13">
        <f>IF(AND(ISNUMBER(B1316),ISNUMBER($B$88),ISNUMBER($D$88)),IF(B1316&gt;$D$88,"boven UCL",IF(B1316&lt;$B$88,"onder LCL","")),"")</f>
        <v/>
      </c>
      <c r="E1316" s="13">
        <f>IF(AND(ISNUMBER(C1316),ISNUMBER($B$89),ISNUMBER($D$89)),IF(C1316&gt;$D$89,"boven UCL",IF(C1316&lt;$B$89,"onder LCL","")),"")</f>
        <v/>
      </c>
      <c r="G1316" t="n">
        <v>1210</v>
      </c>
      <c r="H1316" s="7" t="n"/>
      <c r="I1316" s="7" t="n"/>
      <c r="J1316" s="11">
        <f>IF(AND(ISNUMBER(H1316),ISNUMBER(I1316),H1316&gt;0,ISNUMBER($B$94)),I1316/H1316,"")</f>
        <v/>
      </c>
      <c r="K1316" s="11">
        <f>IF(AND(ISNUMBER(H1316),ISNUMBER(I1316),H1316&gt;0,ISNUMBER($B$94)),MAX(0,$B$94-3*SQRT($B$94*(1-$B$94)/H1316)),"")</f>
        <v/>
      </c>
      <c r="L1316" s="11">
        <f>IF(AND(ISNUMBER(H1316),ISNUMBER(I1316),H1316&gt;0,ISNUMBER($B$94)),$B$94+3*SQRT($B$94*(1-$B$94)/H1316),"")</f>
        <v/>
      </c>
      <c r="M1316" s="13">
        <f>IF(AND(ISNUMBER(J1316),ISNUMBER(K1316),ISNUMBER(L1316)),IF(J1316&gt;L1316,"boven UCL",IF(J1316&lt;K1316,"onder LCL","")),"")</f>
        <v/>
      </c>
      <c r="O1316" t="n">
        <v>1210</v>
      </c>
      <c r="P1316" s="7" t="n"/>
      <c r="Q1316" s="7" t="n"/>
      <c r="R1316" s="11">
        <f>IF(AND(ISNUMBER(P1316),ISNUMBER(Q1316),P1316&gt;0,ISNUMBER($B$100)),Q1316/P1316,"")</f>
        <v/>
      </c>
      <c r="S1316" s="11">
        <f>IF(AND(ISNUMBER(P1316),ISNUMBER(Q1316),P1316&gt;0,ISNUMBER($B$100)),MAX(0,$B$100-3*SQRT($B$100/P1316)),"")</f>
        <v/>
      </c>
      <c r="T1316" s="11">
        <f>IF(AND(ISNUMBER(P1316),ISNUMBER(Q1316),P1316&gt;0,ISNUMBER($B$100)),$B$100+3*SQRT($B$100/P1316),"")</f>
        <v/>
      </c>
      <c r="U1316" s="13">
        <f>IF(AND(ISNUMBER(R1316),ISNUMBER(S1316),ISNUMBER(T1316)),IF(R1316&gt;T1316,"boven UCL",IF(R1316&lt;S1316,"onder LCL","")),"")</f>
        <v/>
      </c>
    </row>
    <row r="1317">
      <c r="A1317" t="n">
        <v>1211</v>
      </c>
      <c r="B1317" s="7" t="n"/>
      <c r="C1317" s="11">
        <f>IF(AND(ISNUMBER(B1317),ISNUMBER(B1316)),ABS(B1317-B1316),"")</f>
        <v/>
      </c>
      <c r="D1317" s="13">
        <f>IF(AND(ISNUMBER(B1317),ISNUMBER($B$88),ISNUMBER($D$88)),IF(B1317&gt;$D$88,"boven UCL",IF(B1317&lt;$B$88,"onder LCL","")),"")</f>
        <v/>
      </c>
      <c r="E1317" s="13">
        <f>IF(AND(ISNUMBER(C1317),ISNUMBER($B$89),ISNUMBER($D$89)),IF(C1317&gt;$D$89,"boven UCL",IF(C1317&lt;$B$89,"onder LCL","")),"")</f>
        <v/>
      </c>
      <c r="G1317" t="n">
        <v>1211</v>
      </c>
      <c r="H1317" s="7" t="n"/>
      <c r="I1317" s="7" t="n"/>
      <c r="J1317" s="11">
        <f>IF(AND(ISNUMBER(H1317),ISNUMBER(I1317),H1317&gt;0,ISNUMBER($B$94)),I1317/H1317,"")</f>
        <v/>
      </c>
      <c r="K1317" s="11">
        <f>IF(AND(ISNUMBER(H1317),ISNUMBER(I1317),H1317&gt;0,ISNUMBER($B$94)),MAX(0,$B$94-3*SQRT($B$94*(1-$B$94)/H1317)),"")</f>
        <v/>
      </c>
      <c r="L1317" s="11">
        <f>IF(AND(ISNUMBER(H1317),ISNUMBER(I1317),H1317&gt;0,ISNUMBER($B$94)),$B$94+3*SQRT($B$94*(1-$B$94)/H1317),"")</f>
        <v/>
      </c>
      <c r="M1317" s="13">
        <f>IF(AND(ISNUMBER(J1317),ISNUMBER(K1317),ISNUMBER(L1317)),IF(J1317&gt;L1317,"boven UCL",IF(J1317&lt;K1317,"onder LCL","")),"")</f>
        <v/>
      </c>
      <c r="O1317" t="n">
        <v>1211</v>
      </c>
      <c r="P1317" s="7" t="n"/>
      <c r="Q1317" s="7" t="n"/>
      <c r="R1317" s="11">
        <f>IF(AND(ISNUMBER(P1317),ISNUMBER(Q1317),P1317&gt;0,ISNUMBER($B$100)),Q1317/P1317,"")</f>
        <v/>
      </c>
      <c r="S1317" s="11">
        <f>IF(AND(ISNUMBER(P1317),ISNUMBER(Q1317),P1317&gt;0,ISNUMBER($B$100)),MAX(0,$B$100-3*SQRT($B$100/P1317)),"")</f>
        <v/>
      </c>
      <c r="T1317" s="11">
        <f>IF(AND(ISNUMBER(P1317),ISNUMBER(Q1317),P1317&gt;0,ISNUMBER($B$100)),$B$100+3*SQRT($B$100/P1317),"")</f>
        <v/>
      </c>
      <c r="U1317" s="13">
        <f>IF(AND(ISNUMBER(R1317),ISNUMBER(S1317),ISNUMBER(T1317)),IF(R1317&gt;T1317,"boven UCL",IF(R1317&lt;S1317,"onder LCL","")),"")</f>
        <v/>
      </c>
    </row>
    <row r="1318">
      <c r="A1318" t="n">
        <v>1212</v>
      </c>
      <c r="B1318" s="7" t="n"/>
      <c r="C1318" s="11">
        <f>IF(AND(ISNUMBER(B1318),ISNUMBER(B1317)),ABS(B1318-B1317),"")</f>
        <v/>
      </c>
      <c r="D1318" s="13">
        <f>IF(AND(ISNUMBER(B1318),ISNUMBER($B$88),ISNUMBER($D$88)),IF(B1318&gt;$D$88,"boven UCL",IF(B1318&lt;$B$88,"onder LCL","")),"")</f>
        <v/>
      </c>
      <c r="E1318" s="13">
        <f>IF(AND(ISNUMBER(C1318),ISNUMBER($B$89),ISNUMBER($D$89)),IF(C1318&gt;$D$89,"boven UCL",IF(C1318&lt;$B$89,"onder LCL","")),"")</f>
        <v/>
      </c>
      <c r="G1318" t="n">
        <v>1212</v>
      </c>
      <c r="H1318" s="7" t="n"/>
      <c r="I1318" s="7" t="n"/>
      <c r="J1318" s="11">
        <f>IF(AND(ISNUMBER(H1318),ISNUMBER(I1318),H1318&gt;0,ISNUMBER($B$94)),I1318/H1318,"")</f>
        <v/>
      </c>
      <c r="K1318" s="11">
        <f>IF(AND(ISNUMBER(H1318),ISNUMBER(I1318),H1318&gt;0,ISNUMBER($B$94)),MAX(0,$B$94-3*SQRT($B$94*(1-$B$94)/H1318)),"")</f>
        <v/>
      </c>
      <c r="L1318" s="11">
        <f>IF(AND(ISNUMBER(H1318),ISNUMBER(I1318),H1318&gt;0,ISNUMBER($B$94)),$B$94+3*SQRT($B$94*(1-$B$94)/H1318),"")</f>
        <v/>
      </c>
      <c r="M1318" s="13">
        <f>IF(AND(ISNUMBER(J1318),ISNUMBER(K1318),ISNUMBER(L1318)),IF(J1318&gt;L1318,"boven UCL",IF(J1318&lt;K1318,"onder LCL","")),"")</f>
        <v/>
      </c>
      <c r="O1318" t="n">
        <v>1212</v>
      </c>
      <c r="P1318" s="7" t="n"/>
      <c r="Q1318" s="7" t="n"/>
      <c r="R1318" s="11">
        <f>IF(AND(ISNUMBER(P1318),ISNUMBER(Q1318),P1318&gt;0,ISNUMBER($B$100)),Q1318/P1318,"")</f>
        <v/>
      </c>
      <c r="S1318" s="11">
        <f>IF(AND(ISNUMBER(P1318),ISNUMBER(Q1318),P1318&gt;0,ISNUMBER($B$100)),MAX(0,$B$100-3*SQRT($B$100/P1318)),"")</f>
        <v/>
      </c>
      <c r="T1318" s="11">
        <f>IF(AND(ISNUMBER(P1318),ISNUMBER(Q1318),P1318&gt;0,ISNUMBER($B$100)),$B$100+3*SQRT($B$100/P1318),"")</f>
        <v/>
      </c>
      <c r="U1318" s="13">
        <f>IF(AND(ISNUMBER(R1318),ISNUMBER(S1318),ISNUMBER(T1318)),IF(R1318&gt;T1318,"boven UCL",IF(R1318&lt;S1318,"onder LCL","")),"")</f>
        <v/>
      </c>
    </row>
    <row r="1319">
      <c r="A1319" t="n">
        <v>1213</v>
      </c>
      <c r="B1319" s="7" t="n"/>
      <c r="C1319" s="11">
        <f>IF(AND(ISNUMBER(B1319),ISNUMBER(B1318)),ABS(B1319-B1318),"")</f>
        <v/>
      </c>
      <c r="D1319" s="13">
        <f>IF(AND(ISNUMBER(B1319),ISNUMBER($B$88),ISNUMBER($D$88)),IF(B1319&gt;$D$88,"boven UCL",IF(B1319&lt;$B$88,"onder LCL","")),"")</f>
        <v/>
      </c>
      <c r="E1319" s="13">
        <f>IF(AND(ISNUMBER(C1319),ISNUMBER($B$89),ISNUMBER($D$89)),IF(C1319&gt;$D$89,"boven UCL",IF(C1319&lt;$B$89,"onder LCL","")),"")</f>
        <v/>
      </c>
      <c r="G1319" t="n">
        <v>1213</v>
      </c>
      <c r="H1319" s="7" t="n"/>
      <c r="I1319" s="7" t="n"/>
      <c r="J1319" s="11">
        <f>IF(AND(ISNUMBER(H1319),ISNUMBER(I1319),H1319&gt;0,ISNUMBER($B$94)),I1319/H1319,"")</f>
        <v/>
      </c>
      <c r="K1319" s="11">
        <f>IF(AND(ISNUMBER(H1319),ISNUMBER(I1319),H1319&gt;0,ISNUMBER($B$94)),MAX(0,$B$94-3*SQRT($B$94*(1-$B$94)/H1319)),"")</f>
        <v/>
      </c>
      <c r="L1319" s="11">
        <f>IF(AND(ISNUMBER(H1319),ISNUMBER(I1319),H1319&gt;0,ISNUMBER($B$94)),$B$94+3*SQRT($B$94*(1-$B$94)/H1319),"")</f>
        <v/>
      </c>
      <c r="M1319" s="13">
        <f>IF(AND(ISNUMBER(J1319),ISNUMBER(K1319),ISNUMBER(L1319)),IF(J1319&gt;L1319,"boven UCL",IF(J1319&lt;K1319,"onder LCL","")),"")</f>
        <v/>
      </c>
      <c r="O1319" t="n">
        <v>1213</v>
      </c>
      <c r="P1319" s="7" t="n"/>
      <c r="Q1319" s="7" t="n"/>
      <c r="R1319" s="11">
        <f>IF(AND(ISNUMBER(P1319),ISNUMBER(Q1319),P1319&gt;0,ISNUMBER($B$100)),Q1319/P1319,"")</f>
        <v/>
      </c>
      <c r="S1319" s="11">
        <f>IF(AND(ISNUMBER(P1319),ISNUMBER(Q1319),P1319&gt;0,ISNUMBER($B$100)),MAX(0,$B$100-3*SQRT($B$100/P1319)),"")</f>
        <v/>
      </c>
      <c r="T1319" s="11">
        <f>IF(AND(ISNUMBER(P1319),ISNUMBER(Q1319),P1319&gt;0,ISNUMBER($B$100)),$B$100+3*SQRT($B$100/P1319),"")</f>
        <v/>
      </c>
      <c r="U1319" s="13">
        <f>IF(AND(ISNUMBER(R1319),ISNUMBER(S1319),ISNUMBER(T1319)),IF(R1319&gt;T1319,"boven UCL",IF(R1319&lt;S1319,"onder LCL","")),"")</f>
        <v/>
      </c>
    </row>
    <row r="1320">
      <c r="A1320" t="n">
        <v>1214</v>
      </c>
      <c r="B1320" s="7" t="n"/>
      <c r="C1320" s="11">
        <f>IF(AND(ISNUMBER(B1320),ISNUMBER(B1319)),ABS(B1320-B1319),"")</f>
        <v/>
      </c>
      <c r="D1320" s="13">
        <f>IF(AND(ISNUMBER(B1320),ISNUMBER($B$88),ISNUMBER($D$88)),IF(B1320&gt;$D$88,"boven UCL",IF(B1320&lt;$B$88,"onder LCL","")),"")</f>
        <v/>
      </c>
      <c r="E1320" s="13">
        <f>IF(AND(ISNUMBER(C1320),ISNUMBER($B$89),ISNUMBER($D$89)),IF(C1320&gt;$D$89,"boven UCL",IF(C1320&lt;$B$89,"onder LCL","")),"")</f>
        <v/>
      </c>
      <c r="G1320" t="n">
        <v>1214</v>
      </c>
      <c r="H1320" s="7" t="n"/>
      <c r="I1320" s="7" t="n"/>
      <c r="J1320" s="11">
        <f>IF(AND(ISNUMBER(H1320),ISNUMBER(I1320),H1320&gt;0,ISNUMBER($B$94)),I1320/H1320,"")</f>
        <v/>
      </c>
      <c r="K1320" s="11">
        <f>IF(AND(ISNUMBER(H1320),ISNUMBER(I1320),H1320&gt;0,ISNUMBER($B$94)),MAX(0,$B$94-3*SQRT($B$94*(1-$B$94)/H1320)),"")</f>
        <v/>
      </c>
      <c r="L1320" s="11">
        <f>IF(AND(ISNUMBER(H1320),ISNUMBER(I1320),H1320&gt;0,ISNUMBER($B$94)),$B$94+3*SQRT($B$94*(1-$B$94)/H1320),"")</f>
        <v/>
      </c>
      <c r="M1320" s="13">
        <f>IF(AND(ISNUMBER(J1320),ISNUMBER(K1320),ISNUMBER(L1320)),IF(J1320&gt;L1320,"boven UCL",IF(J1320&lt;K1320,"onder LCL","")),"")</f>
        <v/>
      </c>
      <c r="O1320" t="n">
        <v>1214</v>
      </c>
      <c r="P1320" s="7" t="n"/>
      <c r="Q1320" s="7" t="n"/>
      <c r="R1320" s="11">
        <f>IF(AND(ISNUMBER(P1320),ISNUMBER(Q1320),P1320&gt;0,ISNUMBER($B$100)),Q1320/P1320,"")</f>
        <v/>
      </c>
      <c r="S1320" s="11">
        <f>IF(AND(ISNUMBER(P1320),ISNUMBER(Q1320),P1320&gt;0,ISNUMBER($B$100)),MAX(0,$B$100-3*SQRT($B$100/P1320)),"")</f>
        <v/>
      </c>
      <c r="T1320" s="11">
        <f>IF(AND(ISNUMBER(P1320),ISNUMBER(Q1320),P1320&gt;0,ISNUMBER($B$100)),$B$100+3*SQRT($B$100/P1320),"")</f>
        <v/>
      </c>
      <c r="U1320" s="13">
        <f>IF(AND(ISNUMBER(R1320),ISNUMBER(S1320),ISNUMBER(T1320)),IF(R1320&gt;T1320,"boven UCL",IF(R1320&lt;S1320,"onder LCL","")),"")</f>
        <v/>
      </c>
    </row>
    <row r="1321">
      <c r="A1321" t="n">
        <v>1215</v>
      </c>
      <c r="B1321" s="7" t="n"/>
      <c r="C1321" s="11">
        <f>IF(AND(ISNUMBER(B1321),ISNUMBER(B1320)),ABS(B1321-B1320),"")</f>
        <v/>
      </c>
      <c r="D1321" s="13">
        <f>IF(AND(ISNUMBER(B1321),ISNUMBER($B$88),ISNUMBER($D$88)),IF(B1321&gt;$D$88,"boven UCL",IF(B1321&lt;$B$88,"onder LCL","")),"")</f>
        <v/>
      </c>
      <c r="E1321" s="13">
        <f>IF(AND(ISNUMBER(C1321),ISNUMBER($B$89),ISNUMBER($D$89)),IF(C1321&gt;$D$89,"boven UCL",IF(C1321&lt;$B$89,"onder LCL","")),"")</f>
        <v/>
      </c>
      <c r="G1321" t="n">
        <v>1215</v>
      </c>
      <c r="H1321" s="7" t="n"/>
      <c r="I1321" s="7" t="n"/>
      <c r="J1321" s="11">
        <f>IF(AND(ISNUMBER(H1321),ISNUMBER(I1321),H1321&gt;0,ISNUMBER($B$94)),I1321/H1321,"")</f>
        <v/>
      </c>
      <c r="K1321" s="11">
        <f>IF(AND(ISNUMBER(H1321),ISNUMBER(I1321),H1321&gt;0,ISNUMBER($B$94)),MAX(0,$B$94-3*SQRT($B$94*(1-$B$94)/H1321)),"")</f>
        <v/>
      </c>
      <c r="L1321" s="11">
        <f>IF(AND(ISNUMBER(H1321),ISNUMBER(I1321),H1321&gt;0,ISNUMBER($B$94)),$B$94+3*SQRT($B$94*(1-$B$94)/H1321),"")</f>
        <v/>
      </c>
      <c r="M1321" s="13">
        <f>IF(AND(ISNUMBER(J1321),ISNUMBER(K1321),ISNUMBER(L1321)),IF(J1321&gt;L1321,"boven UCL",IF(J1321&lt;K1321,"onder LCL","")),"")</f>
        <v/>
      </c>
      <c r="O1321" t="n">
        <v>1215</v>
      </c>
      <c r="P1321" s="7" t="n"/>
      <c r="Q1321" s="7" t="n"/>
      <c r="R1321" s="11">
        <f>IF(AND(ISNUMBER(P1321),ISNUMBER(Q1321),P1321&gt;0,ISNUMBER($B$100)),Q1321/P1321,"")</f>
        <v/>
      </c>
      <c r="S1321" s="11">
        <f>IF(AND(ISNUMBER(P1321),ISNUMBER(Q1321),P1321&gt;0,ISNUMBER($B$100)),MAX(0,$B$100-3*SQRT($B$100/P1321)),"")</f>
        <v/>
      </c>
      <c r="T1321" s="11">
        <f>IF(AND(ISNUMBER(P1321),ISNUMBER(Q1321),P1321&gt;0,ISNUMBER($B$100)),$B$100+3*SQRT($B$100/P1321),"")</f>
        <v/>
      </c>
      <c r="U1321" s="13">
        <f>IF(AND(ISNUMBER(R1321),ISNUMBER(S1321),ISNUMBER(T1321)),IF(R1321&gt;T1321,"boven UCL",IF(R1321&lt;S1321,"onder LCL","")),"")</f>
        <v/>
      </c>
    </row>
    <row r="1322">
      <c r="A1322" t="n">
        <v>1216</v>
      </c>
      <c r="B1322" s="7" t="n"/>
      <c r="C1322" s="11">
        <f>IF(AND(ISNUMBER(B1322),ISNUMBER(B1321)),ABS(B1322-B1321),"")</f>
        <v/>
      </c>
      <c r="D1322" s="13">
        <f>IF(AND(ISNUMBER(B1322),ISNUMBER($B$88),ISNUMBER($D$88)),IF(B1322&gt;$D$88,"boven UCL",IF(B1322&lt;$B$88,"onder LCL","")),"")</f>
        <v/>
      </c>
      <c r="E1322" s="13">
        <f>IF(AND(ISNUMBER(C1322),ISNUMBER($B$89),ISNUMBER($D$89)),IF(C1322&gt;$D$89,"boven UCL",IF(C1322&lt;$B$89,"onder LCL","")),"")</f>
        <v/>
      </c>
      <c r="G1322" t="n">
        <v>1216</v>
      </c>
      <c r="H1322" s="7" t="n"/>
      <c r="I1322" s="7" t="n"/>
      <c r="J1322" s="11">
        <f>IF(AND(ISNUMBER(H1322),ISNUMBER(I1322),H1322&gt;0,ISNUMBER($B$94)),I1322/H1322,"")</f>
        <v/>
      </c>
      <c r="K1322" s="11">
        <f>IF(AND(ISNUMBER(H1322),ISNUMBER(I1322),H1322&gt;0,ISNUMBER($B$94)),MAX(0,$B$94-3*SQRT($B$94*(1-$B$94)/H1322)),"")</f>
        <v/>
      </c>
      <c r="L1322" s="11">
        <f>IF(AND(ISNUMBER(H1322),ISNUMBER(I1322),H1322&gt;0,ISNUMBER($B$94)),$B$94+3*SQRT($B$94*(1-$B$94)/H1322),"")</f>
        <v/>
      </c>
      <c r="M1322" s="13">
        <f>IF(AND(ISNUMBER(J1322),ISNUMBER(K1322),ISNUMBER(L1322)),IF(J1322&gt;L1322,"boven UCL",IF(J1322&lt;K1322,"onder LCL","")),"")</f>
        <v/>
      </c>
      <c r="O1322" t="n">
        <v>1216</v>
      </c>
      <c r="P1322" s="7" t="n"/>
      <c r="Q1322" s="7" t="n"/>
      <c r="R1322" s="11">
        <f>IF(AND(ISNUMBER(P1322),ISNUMBER(Q1322),P1322&gt;0,ISNUMBER($B$100)),Q1322/P1322,"")</f>
        <v/>
      </c>
      <c r="S1322" s="11">
        <f>IF(AND(ISNUMBER(P1322),ISNUMBER(Q1322),P1322&gt;0,ISNUMBER($B$100)),MAX(0,$B$100-3*SQRT($B$100/P1322)),"")</f>
        <v/>
      </c>
      <c r="T1322" s="11">
        <f>IF(AND(ISNUMBER(P1322),ISNUMBER(Q1322),P1322&gt;0,ISNUMBER($B$100)),$B$100+3*SQRT($B$100/P1322),"")</f>
        <v/>
      </c>
      <c r="U1322" s="13">
        <f>IF(AND(ISNUMBER(R1322),ISNUMBER(S1322),ISNUMBER(T1322)),IF(R1322&gt;T1322,"boven UCL",IF(R1322&lt;S1322,"onder LCL","")),"")</f>
        <v/>
      </c>
    </row>
    <row r="1323">
      <c r="A1323" t="n">
        <v>1217</v>
      </c>
      <c r="B1323" s="7" t="n"/>
      <c r="C1323" s="11">
        <f>IF(AND(ISNUMBER(B1323),ISNUMBER(B1322)),ABS(B1323-B1322),"")</f>
        <v/>
      </c>
      <c r="D1323" s="13">
        <f>IF(AND(ISNUMBER(B1323),ISNUMBER($B$88),ISNUMBER($D$88)),IF(B1323&gt;$D$88,"boven UCL",IF(B1323&lt;$B$88,"onder LCL","")),"")</f>
        <v/>
      </c>
      <c r="E1323" s="13">
        <f>IF(AND(ISNUMBER(C1323),ISNUMBER($B$89),ISNUMBER($D$89)),IF(C1323&gt;$D$89,"boven UCL",IF(C1323&lt;$B$89,"onder LCL","")),"")</f>
        <v/>
      </c>
      <c r="G1323" t="n">
        <v>1217</v>
      </c>
      <c r="H1323" s="7" t="n"/>
      <c r="I1323" s="7" t="n"/>
      <c r="J1323" s="11">
        <f>IF(AND(ISNUMBER(H1323),ISNUMBER(I1323),H1323&gt;0,ISNUMBER($B$94)),I1323/H1323,"")</f>
        <v/>
      </c>
      <c r="K1323" s="11">
        <f>IF(AND(ISNUMBER(H1323),ISNUMBER(I1323),H1323&gt;0,ISNUMBER($B$94)),MAX(0,$B$94-3*SQRT($B$94*(1-$B$94)/H1323)),"")</f>
        <v/>
      </c>
      <c r="L1323" s="11">
        <f>IF(AND(ISNUMBER(H1323),ISNUMBER(I1323),H1323&gt;0,ISNUMBER($B$94)),$B$94+3*SQRT($B$94*(1-$B$94)/H1323),"")</f>
        <v/>
      </c>
      <c r="M1323" s="13">
        <f>IF(AND(ISNUMBER(J1323),ISNUMBER(K1323),ISNUMBER(L1323)),IF(J1323&gt;L1323,"boven UCL",IF(J1323&lt;K1323,"onder LCL","")),"")</f>
        <v/>
      </c>
      <c r="O1323" t="n">
        <v>1217</v>
      </c>
      <c r="P1323" s="7" t="n"/>
      <c r="Q1323" s="7" t="n"/>
      <c r="R1323" s="11">
        <f>IF(AND(ISNUMBER(P1323),ISNUMBER(Q1323),P1323&gt;0,ISNUMBER($B$100)),Q1323/P1323,"")</f>
        <v/>
      </c>
      <c r="S1323" s="11">
        <f>IF(AND(ISNUMBER(P1323),ISNUMBER(Q1323),P1323&gt;0,ISNUMBER($B$100)),MAX(0,$B$100-3*SQRT($B$100/P1323)),"")</f>
        <v/>
      </c>
      <c r="T1323" s="11">
        <f>IF(AND(ISNUMBER(P1323),ISNUMBER(Q1323),P1323&gt;0,ISNUMBER($B$100)),$B$100+3*SQRT($B$100/P1323),"")</f>
        <v/>
      </c>
      <c r="U1323" s="13">
        <f>IF(AND(ISNUMBER(R1323),ISNUMBER(S1323),ISNUMBER(T1323)),IF(R1323&gt;T1323,"boven UCL",IF(R1323&lt;S1323,"onder LCL","")),"")</f>
        <v/>
      </c>
    </row>
    <row r="1324">
      <c r="A1324" t="n">
        <v>1218</v>
      </c>
      <c r="B1324" s="7" t="n"/>
      <c r="C1324" s="11">
        <f>IF(AND(ISNUMBER(B1324),ISNUMBER(B1323)),ABS(B1324-B1323),"")</f>
        <v/>
      </c>
      <c r="D1324" s="13">
        <f>IF(AND(ISNUMBER(B1324),ISNUMBER($B$88),ISNUMBER($D$88)),IF(B1324&gt;$D$88,"boven UCL",IF(B1324&lt;$B$88,"onder LCL","")),"")</f>
        <v/>
      </c>
      <c r="E1324" s="13">
        <f>IF(AND(ISNUMBER(C1324),ISNUMBER($B$89),ISNUMBER($D$89)),IF(C1324&gt;$D$89,"boven UCL",IF(C1324&lt;$B$89,"onder LCL","")),"")</f>
        <v/>
      </c>
      <c r="G1324" t="n">
        <v>1218</v>
      </c>
      <c r="H1324" s="7" t="n"/>
      <c r="I1324" s="7" t="n"/>
      <c r="J1324" s="11">
        <f>IF(AND(ISNUMBER(H1324),ISNUMBER(I1324),H1324&gt;0,ISNUMBER($B$94)),I1324/H1324,"")</f>
        <v/>
      </c>
      <c r="K1324" s="11">
        <f>IF(AND(ISNUMBER(H1324),ISNUMBER(I1324),H1324&gt;0,ISNUMBER($B$94)),MAX(0,$B$94-3*SQRT($B$94*(1-$B$94)/H1324)),"")</f>
        <v/>
      </c>
      <c r="L1324" s="11">
        <f>IF(AND(ISNUMBER(H1324),ISNUMBER(I1324),H1324&gt;0,ISNUMBER($B$94)),$B$94+3*SQRT($B$94*(1-$B$94)/H1324),"")</f>
        <v/>
      </c>
      <c r="M1324" s="13">
        <f>IF(AND(ISNUMBER(J1324),ISNUMBER(K1324),ISNUMBER(L1324)),IF(J1324&gt;L1324,"boven UCL",IF(J1324&lt;K1324,"onder LCL","")),"")</f>
        <v/>
      </c>
      <c r="O1324" t="n">
        <v>1218</v>
      </c>
      <c r="P1324" s="7" t="n"/>
      <c r="Q1324" s="7" t="n"/>
      <c r="R1324" s="11">
        <f>IF(AND(ISNUMBER(P1324),ISNUMBER(Q1324),P1324&gt;0,ISNUMBER($B$100)),Q1324/P1324,"")</f>
        <v/>
      </c>
      <c r="S1324" s="11">
        <f>IF(AND(ISNUMBER(P1324),ISNUMBER(Q1324),P1324&gt;0,ISNUMBER($B$100)),MAX(0,$B$100-3*SQRT($B$100/P1324)),"")</f>
        <v/>
      </c>
      <c r="T1324" s="11">
        <f>IF(AND(ISNUMBER(P1324),ISNUMBER(Q1324),P1324&gt;0,ISNUMBER($B$100)),$B$100+3*SQRT($B$100/P1324),"")</f>
        <v/>
      </c>
      <c r="U1324" s="13">
        <f>IF(AND(ISNUMBER(R1324),ISNUMBER(S1324),ISNUMBER(T1324)),IF(R1324&gt;T1324,"boven UCL",IF(R1324&lt;S1324,"onder LCL","")),"")</f>
        <v/>
      </c>
    </row>
    <row r="1325">
      <c r="A1325" t="n">
        <v>1219</v>
      </c>
      <c r="B1325" s="7" t="n"/>
      <c r="C1325" s="11">
        <f>IF(AND(ISNUMBER(B1325),ISNUMBER(B1324)),ABS(B1325-B1324),"")</f>
        <v/>
      </c>
      <c r="D1325" s="13">
        <f>IF(AND(ISNUMBER(B1325),ISNUMBER($B$88),ISNUMBER($D$88)),IF(B1325&gt;$D$88,"boven UCL",IF(B1325&lt;$B$88,"onder LCL","")),"")</f>
        <v/>
      </c>
      <c r="E1325" s="13">
        <f>IF(AND(ISNUMBER(C1325),ISNUMBER($B$89),ISNUMBER($D$89)),IF(C1325&gt;$D$89,"boven UCL",IF(C1325&lt;$B$89,"onder LCL","")),"")</f>
        <v/>
      </c>
      <c r="G1325" t="n">
        <v>1219</v>
      </c>
      <c r="H1325" s="7" t="n"/>
      <c r="I1325" s="7" t="n"/>
      <c r="J1325" s="11">
        <f>IF(AND(ISNUMBER(H1325),ISNUMBER(I1325),H1325&gt;0,ISNUMBER($B$94)),I1325/H1325,"")</f>
        <v/>
      </c>
      <c r="K1325" s="11">
        <f>IF(AND(ISNUMBER(H1325),ISNUMBER(I1325),H1325&gt;0,ISNUMBER($B$94)),MAX(0,$B$94-3*SQRT($B$94*(1-$B$94)/H1325)),"")</f>
        <v/>
      </c>
      <c r="L1325" s="11">
        <f>IF(AND(ISNUMBER(H1325),ISNUMBER(I1325),H1325&gt;0,ISNUMBER($B$94)),$B$94+3*SQRT($B$94*(1-$B$94)/H1325),"")</f>
        <v/>
      </c>
      <c r="M1325" s="13">
        <f>IF(AND(ISNUMBER(J1325),ISNUMBER(K1325),ISNUMBER(L1325)),IF(J1325&gt;L1325,"boven UCL",IF(J1325&lt;K1325,"onder LCL","")),"")</f>
        <v/>
      </c>
      <c r="O1325" t="n">
        <v>1219</v>
      </c>
      <c r="P1325" s="7" t="n"/>
      <c r="Q1325" s="7" t="n"/>
      <c r="R1325" s="11">
        <f>IF(AND(ISNUMBER(P1325),ISNUMBER(Q1325),P1325&gt;0,ISNUMBER($B$100)),Q1325/P1325,"")</f>
        <v/>
      </c>
      <c r="S1325" s="11">
        <f>IF(AND(ISNUMBER(P1325),ISNUMBER(Q1325),P1325&gt;0,ISNUMBER($B$100)),MAX(0,$B$100-3*SQRT($B$100/P1325)),"")</f>
        <v/>
      </c>
      <c r="T1325" s="11">
        <f>IF(AND(ISNUMBER(P1325),ISNUMBER(Q1325),P1325&gt;0,ISNUMBER($B$100)),$B$100+3*SQRT($B$100/P1325),"")</f>
        <v/>
      </c>
      <c r="U1325" s="13">
        <f>IF(AND(ISNUMBER(R1325),ISNUMBER(S1325),ISNUMBER(T1325)),IF(R1325&gt;T1325,"boven UCL",IF(R1325&lt;S1325,"onder LCL","")),"")</f>
        <v/>
      </c>
    </row>
    <row r="1326">
      <c r="A1326" t="n">
        <v>1220</v>
      </c>
      <c r="B1326" s="7" t="n"/>
      <c r="C1326" s="11">
        <f>IF(AND(ISNUMBER(B1326),ISNUMBER(B1325)),ABS(B1326-B1325),"")</f>
        <v/>
      </c>
      <c r="D1326" s="13">
        <f>IF(AND(ISNUMBER(B1326),ISNUMBER($B$88),ISNUMBER($D$88)),IF(B1326&gt;$D$88,"boven UCL",IF(B1326&lt;$B$88,"onder LCL","")),"")</f>
        <v/>
      </c>
      <c r="E1326" s="13">
        <f>IF(AND(ISNUMBER(C1326),ISNUMBER($B$89),ISNUMBER($D$89)),IF(C1326&gt;$D$89,"boven UCL",IF(C1326&lt;$B$89,"onder LCL","")),"")</f>
        <v/>
      </c>
      <c r="G1326" t="n">
        <v>1220</v>
      </c>
      <c r="H1326" s="7" t="n"/>
      <c r="I1326" s="7" t="n"/>
      <c r="J1326" s="11">
        <f>IF(AND(ISNUMBER(H1326),ISNUMBER(I1326),H1326&gt;0,ISNUMBER($B$94)),I1326/H1326,"")</f>
        <v/>
      </c>
      <c r="K1326" s="11">
        <f>IF(AND(ISNUMBER(H1326),ISNUMBER(I1326),H1326&gt;0,ISNUMBER($B$94)),MAX(0,$B$94-3*SQRT($B$94*(1-$B$94)/H1326)),"")</f>
        <v/>
      </c>
      <c r="L1326" s="11">
        <f>IF(AND(ISNUMBER(H1326),ISNUMBER(I1326),H1326&gt;0,ISNUMBER($B$94)),$B$94+3*SQRT($B$94*(1-$B$94)/H1326),"")</f>
        <v/>
      </c>
      <c r="M1326" s="13">
        <f>IF(AND(ISNUMBER(J1326),ISNUMBER(K1326),ISNUMBER(L1326)),IF(J1326&gt;L1326,"boven UCL",IF(J1326&lt;K1326,"onder LCL","")),"")</f>
        <v/>
      </c>
      <c r="O1326" t="n">
        <v>1220</v>
      </c>
      <c r="P1326" s="7" t="n"/>
      <c r="Q1326" s="7" t="n"/>
      <c r="R1326" s="11">
        <f>IF(AND(ISNUMBER(P1326),ISNUMBER(Q1326),P1326&gt;0,ISNUMBER($B$100)),Q1326/P1326,"")</f>
        <v/>
      </c>
      <c r="S1326" s="11">
        <f>IF(AND(ISNUMBER(P1326),ISNUMBER(Q1326),P1326&gt;0,ISNUMBER($B$100)),MAX(0,$B$100-3*SQRT($B$100/P1326)),"")</f>
        <v/>
      </c>
      <c r="T1326" s="11">
        <f>IF(AND(ISNUMBER(P1326),ISNUMBER(Q1326),P1326&gt;0,ISNUMBER($B$100)),$B$100+3*SQRT($B$100/P1326),"")</f>
        <v/>
      </c>
      <c r="U1326" s="13">
        <f>IF(AND(ISNUMBER(R1326),ISNUMBER(S1326),ISNUMBER(T1326)),IF(R1326&gt;T1326,"boven UCL",IF(R1326&lt;S1326,"onder LCL","")),"")</f>
        <v/>
      </c>
    </row>
    <row r="1327">
      <c r="A1327" t="n">
        <v>1221</v>
      </c>
      <c r="B1327" s="7" t="n"/>
      <c r="C1327" s="11">
        <f>IF(AND(ISNUMBER(B1327),ISNUMBER(B1326)),ABS(B1327-B1326),"")</f>
        <v/>
      </c>
      <c r="D1327" s="13">
        <f>IF(AND(ISNUMBER(B1327),ISNUMBER($B$88),ISNUMBER($D$88)),IF(B1327&gt;$D$88,"boven UCL",IF(B1327&lt;$B$88,"onder LCL","")),"")</f>
        <v/>
      </c>
      <c r="E1327" s="13">
        <f>IF(AND(ISNUMBER(C1327),ISNUMBER($B$89),ISNUMBER($D$89)),IF(C1327&gt;$D$89,"boven UCL",IF(C1327&lt;$B$89,"onder LCL","")),"")</f>
        <v/>
      </c>
      <c r="G1327" t="n">
        <v>1221</v>
      </c>
      <c r="H1327" s="7" t="n"/>
      <c r="I1327" s="7" t="n"/>
      <c r="J1327" s="11">
        <f>IF(AND(ISNUMBER(H1327),ISNUMBER(I1327),H1327&gt;0,ISNUMBER($B$94)),I1327/H1327,"")</f>
        <v/>
      </c>
      <c r="K1327" s="11">
        <f>IF(AND(ISNUMBER(H1327),ISNUMBER(I1327),H1327&gt;0,ISNUMBER($B$94)),MAX(0,$B$94-3*SQRT($B$94*(1-$B$94)/H1327)),"")</f>
        <v/>
      </c>
      <c r="L1327" s="11">
        <f>IF(AND(ISNUMBER(H1327),ISNUMBER(I1327),H1327&gt;0,ISNUMBER($B$94)),$B$94+3*SQRT($B$94*(1-$B$94)/H1327),"")</f>
        <v/>
      </c>
      <c r="M1327" s="13">
        <f>IF(AND(ISNUMBER(J1327),ISNUMBER(K1327),ISNUMBER(L1327)),IF(J1327&gt;L1327,"boven UCL",IF(J1327&lt;K1327,"onder LCL","")),"")</f>
        <v/>
      </c>
      <c r="O1327" t="n">
        <v>1221</v>
      </c>
      <c r="P1327" s="7" t="n"/>
      <c r="Q1327" s="7" t="n"/>
      <c r="R1327" s="11">
        <f>IF(AND(ISNUMBER(P1327),ISNUMBER(Q1327),P1327&gt;0,ISNUMBER($B$100)),Q1327/P1327,"")</f>
        <v/>
      </c>
      <c r="S1327" s="11">
        <f>IF(AND(ISNUMBER(P1327),ISNUMBER(Q1327),P1327&gt;0,ISNUMBER($B$100)),MAX(0,$B$100-3*SQRT($B$100/P1327)),"")</f>
        <v/>
      </c>
      <c r="T1327" s="11">
        <f>IF(AND(ISNUMBER(P1327),ISNUMBER(Q1327),P1327&gt;0,ISNUMBER($B$100)),$B$100+3*SQRT($B$100/P1327),"")</f>
        <v/>
      </c>
      <c r="U1327" s="13">
        <f>IF(AND(ISNUMBER(R1327),ISNUMBER(S1327),ISNUMBER(T1327)),IF(R1327&gt;T1327,"boven UCL",IF(R1327&lt;S1327,"onder LCL","")),"")</f>
        <v/>
      </c>
    </row>
    <row r="1328">
      <c r="A1328" t="n">
        <v>1222</v>
      </c>
      <c r="B1328" s="7" t="n"/>
      <c r="C1328" s="11">
        <f>IF(AND(ISNUMBER(B1328),ISNUMBER(B1327)),ABS(B1328-B1327),"")</f>
        <v/>
      </c>
      <c r="D1328" s="13">
        <f>IF(AND(ISNUMBER(B1328),ISNUMBER($B$88),ISNUMBER($D$88)),IF(B1328&gt;$D$88,"boven UCL",IF(B1328&lt;$B$88,"onder LCL","")),"")</f>
        <v/>
      </c>
      <c r="E1328" s="13">
        <f>IF(AND(ISNUMBER(C1328),ISNUMBER($B$89),ISNUMBER($D$89)),IF(C1328&gt;$D$89,"boven UCL",IF(C1328&lt;$B$89,"onder LCL","")),"")</f>
        <v/>
      </c>
      <c r="G1328" t="n">
        <v>1222</v>
      </c>
      <c r="H1328" s="7" t="n"/>
      <c r="I1328" s="7" t="n"/>
      <c r="J1328" s="11">
        <f>IF(AND(ISNUMBER(H1328),ISNUMBER(I1328),H1328&gt;0,ISNUMBER($B$94)),I1328/H1328,"")</f>
        <v/>
      </c>
      <c r="K1328" s="11">
        <f>IF(AND(ISNUMBER(H1328),ISNUMBER(I1328),H1328&gt;0,ISNUMBER($B$94)),MAX(0,$B$94-3*SQRT($B$94*(1-$B$94)/H1328)),"")</f>
        <v/>
      </c>
      <c r="L1328" s="11">
        <f>IF(AND(ISNUMBER(H1328),ISNUMBER(I1328),H1328&gt;0,ISNUMBER($B$94)),$B$94+3*SQRT($B$94*(1-$B$94)/H1328),"")</f>
        <v/>
      </c>
      <c r="M1328" s="13">
        <f>IF(AND(ISNUMBER(J1328),ISNUMBER(K1328),ISNUMBER(L1328)),IF(J1328&gt;L1328,"boven UCL",IF(J1328&lt;K1328,"onder LCL","")),"")</f>
        <v/>
      </c>
      <c r="O1328" t="n">
        <v>1222</v>
      </c>
      <c r="P1328" s="7" t="n"/>
      <c r="Q1328" s="7" t="n"/>
      <c r="R1328" s="11">
        <f>IF(AND(ISNUMBER(P1328),ISNUMBER(Q1328),P1328&gt;0,ISNUMBER($B$100)),Q1328/P1328,"")</f>
        <v/>
      </c>
      <c r="S1328" s="11">
        <f>IF(AND(ISNUMBER(P1328),ISNUMBER(Q1328),P1328&gt;0,ISNUMBER($B$100)),MAX(0,$B$100-3*SQRT($B$100/P1328)),"")</f>
        <v/>
      </c>
      <c r="T1328" s="11">
        <f>IF(AND(ISNUMBER(P1328),ISNUMBER(Q1328),P1328&gt;0,ISNUMBER($B$100)),$B$100+3*SQRT($B$100/P1328),"")</f>
        <v/>
      </c>
      <c r="U1328" s="13">
        <f>IF(AND(ISNUMBER(R1328),ISNUMBER(S1328),ISNUMBER(T1328)),IF(R1328&gt;T1328,"boven UCL",IF(R1328&lt;S1328,"onder LCL","")),"")</f>
        <v/>
      </c>
    </row>
    <row r="1329">
      <c r="A1329" t="n">
        <v>1223</v>
      </c>
      <c r="B1329" s="7" t="n"/>
      <c r="C1329" s="11">
        <f>IF(AND(ISNUMBER(B1329),ISNUMBER(B1328)),ABS(B1329-B1328),"")</f>
        <v/>
      </c>
      <c r="D1329" s="13">
        <f>IF(AND(ISNUMBER(B1329),ISNUMBER($B$88),ISNUMBER($D$88)),IF(B1329&gt;$D$88,"boven UCL",IF(B1329&lt;$B$88,"onder LCL","")),"")</f>
        <v/>
      </c>
      <c r="E1329" s="13">
        <f>IF(AND(ISNUMBER(C1329),ISNUMBER($B$89),ISNUMBER($D$89)),IF(C1329&gt;$D$89,"boven UCL",IF(C1329&lt;$B$89,"onder LCL","")),"")</f>
        <v/>
      </c>
      <c r="G1329" t="n">
        <v>1223</v>
      </c>
      <c r="H1329" s="7" t="n"/>
      <c r="I1329" s="7" t="n"/>
      <c r="J1329" s="11">
        <f>IF(AND(ISNUMBER(H1329),ISNUMBER(I1329),H1329&gt;0,ISNUMBER($B$94)),I1329/H1329,"")</f>
        <v/>
      </c>
      <c r="K1329" s="11">
        <f>IF(AND(ISNUMBER(H1329),ISNUMBER(I1329),H1329&gt;0,ISNUMBER($B$94)),MAX(0,$B$94-3*SQRT($B$94*(1-$B$94)/H1329)),"")</f>
        <v/>
      </c>
      <c r="L1329" s="11">
        <f>IF(AND(ISNUMBER(H1329),ISNUMBER(I1329),H1329&gt;0,ISNUMBER($B$94)),$B$94+3*SQRT($B$94*(1-$B$94)/H1329),"")</f>
        <v/>
      </c>
      <c r="M1329" s="13">
        <f>IF(AND(ISNUMBER(J1329),ISNUMBER(K1329),ISNUMBER(L1329)),IF(J1329&gt;L1329,"boven UCL",IF(J1329&lt;K1329,"onder LCL","")),"")</f>
        <v/>
      </c>
      <c r="O1329" t="n">
        <v>1223</v>
      </c>
      <c r="P1329" s="7" t="n"/>
      <c r="Q1329" s="7" t="n"/>
      <c r="R1329" s="11">
        <f>IF(AND(ISNUMBER(P1329),ISNUMBER(Q1329),P1329&gt;0,ISNUMBER($B$100)),Q1329/P1329,"")</f>
        <v/>
      </c>
      <c r="S1329" s="11">
        <f>IF(AND(ISNUMBER(P1329),ISNUMBER(Q1329),P1329&gt;0,ISNUMBER($B$100)),MAX(0,$B$100-3*SQRT($B$100/P1329)),"")</f>
        <v/>
      </c>
      <c r="T1329" s="11">
        <f>IF(AND(ISNUMBER(P1329),ISNUMBER(Q1329),P1329&gt;0,ISNUMBER($B$100)),$B$100+3*SQRT($B$100/P1329),"")</f>
        <v/>
      </c>
      <c r="U1329" s="13">
        <f>IF(AND(ISNUMBER(R1329),ISNUMBER(S1329),ISNUMBER(T1329)),IF(R1329&gt;T1329,"boven UCL",IF(R1329&lt;S1329,"onder LCL","")),"")</f>
        <v/>
      </c>
    </row>
    <row r="1330">
      <c r="A1330" t="n">
        <v>1224</v>
      </c>
      <c r="B1330" s="7" t="n"/>
      <c r="C1330" s="11">
        <f>IF(AND(ISNUMBER(B1330),ISNUMBER(B1329)),ABS(B1330-B1329),"")</f>
        <v/>
      </c>
      <c r="D1330" s="13">
        <f>IF(AND(ISNUMBER(B1330),ISNUMBER($B$88),ISNUMBER($D$88)),IF(B1330&gt;$D$88,"boven UCL",IF(B1330&lt;$B$88,"onder LCL","")),"")</f>
        <v/>
      </c>
      <c r="E1330" s="13">
        <f>IF(AND(ISNUMBER(C1330),ISNUMBER($B$89),ISNUMBER($D$89)),IF(C1330&gt;$D$89,"boven UCL",IF(C1330&lt;$B$89,"onder LCL","")),"")</f>
        <v/>
      </c>
      <c r="G1330" t="n">
        <v>1224</v>
      </c>
      <c r="H1330" s="7" t="n"/>
      <c r="I1330" s="7" t="n"/>
      <c r="J1330" s="11">
        <f>IF(AND(ISNUMBER(H1330),ISNUMBER(I1330),H1330&gt;0,ISNUMBER($B$94)),I1330/H1330,"")</f>
        <v/>
      </c>
      <c r="K1330" s="11">
        <f>IF(AND(ISNUMBER(H1330),ISNUMBER(I1330),H1330&gt;0,ISNUMBER($B$94)),MAX(0,$B$94-3*SQRT($B$94*(1-$B$94)/H1330)),"")</f>
        <v/>
      </c>
      <c r="L1330" s="11">
        <f>IF(AND(ISNUMBER(H1330),ISNUMBER(I1330),H1330&gt;0,ISNUMBER($B$94)),$B$94+3*SQRT($B$94*(1-$B$94)/H1330),"")</f>
        <v/>
      </c>
      <c r="M1330" s="13">
        <f>IF(AND(ISNUMBER(J1330),ISNUMBER(K1330),ISNUMBER(L1330)),IF(J1330&gt;L1330,"boven UCL",IF(J1330&lt;K1330,"onder LCL","")),"")</f>
        <v/>
      </c>
      <c r="O1330" t="n">
        <v>1224</v>
      </c>
      <c r="P1330" s="7" t="n"/>
      <c r="Q1330" s="7" t="n"/>
      <c r="R1330" s="11">
        <f>IF(AND(ISNUMBER(P1330),ISNUMBER(Q1330),P1330&gt;0,ISNUMBER($B$100)),Q1330/P1330,"")</f>
        <v/>
      </c>
      <c r="S1330" s="11">
        <f>IF(AND(ISNUMBER(P1330),ISNUMBER(Q1330),P1330&gt;0,ISNUMBER($B$100)),MAX(0,$B$100-3*SQRT($B$100/P1330)),"")</f>
        <v/>
      </c>
      <c r="T1330" s="11">
        <f>IF(AND(ISNUMBER(P1330),ISNUMBER(Q1330),P1330&gt;0,ISNUMBER($B$100)),$B$100+3*SQRT($B$100/P1330),"")</f>
        <v/>
      </c>
      <c r="U1330" s="13">
        <f>IF(AND(ISNUMBER(R1330),ISNUMBER(S1330),ISNUMBER(T1330)),IF(R1330&gt;T1330,"boven UCL",IF(R1330&lt;S1330,"onder LCL","")),"")</f>
        <v/>
      </c>
    </row>
    <row r="1331">
      <c r="A1331" t="n">
        <v>1225</v>
      </c>
      <c r="B1331" s="7" t="n"/>
      <c r="C1331" s="11">
        <f>IF(AND(ISNUMBER(B1331),ISNUMBER(B1330)),ABS(B1331-B1330),"")</f>
        <v/>
      </c>
      <c r="D1331" s="13">
        <f>IF(AND(ISNUMBER(B1331),ISNUMBER($B$88),ISNUMBER($D$88)),IF(B1331&gt;$D$88,"boven UCL",IF(B1331&lt;$B$88,"onder LCL","")),"")</f>
        <v/>
      </c>
      <c r="E1331" s="13">
        <f>IF(AND(ISNUMBER(C1331),ISNUMBER($B$89),ISNUMBER($D$89)),IF(C1331&gt;$D$89,"boven UCL",IF(C1331&lt;$B$89,"onder LCL","")),"")</f>
        <v/>
      </c>
      <c r="G1331" t="n">
        <v>1225</v>
      </c>
      <c r="H1331" s="7" t="n"/>
      <c r="I1331" s="7" t="n"/>
      <c r="J1331" s="11">
        <f>IF(AND(ISNUMBER(H1331),ISNUMBER(I1331),H1331&gt;0,ISNUMBER($B$94)),I1331/H1331,"")</f>
        <v/>
      </c>
      <c r="K1331" s="11">
        <f>IF(AND(ISNUMBER(H1331),ISNUMBER(I1331),H1331&gt;0,ISNUMBER($B$94)),MAX(0,$B$94-3*SQRT($B$94*(1-$B$94)/H1331)),"")</f>
        <v/>
      </c>
      <c r="L1331" s="11">
        <f>IF(AND(ISNUMBER(H1331),ISNUMBER(I1331),H1331&gt;0,ISNUMBER($B$94)),$B$94+3*SQRT($B$94*(1-$B$94)/H1331),"")</f>
        <v/>
      </c>
      <c r="M1331" s="13">
        <f>IF(AND(ISNUMBER(J1331),ISNUMBER(K1331),ISNUMBER(L1331)),IF(J1331&gt;L1331,"boven UCL",IF(J1331&lt;K1331,"onder LCL","")),"")</f>
        <v/>
      </c>
      <c r="O1331" t="n">
        <v>1225</v>
      </c>
      <c r="P1331" s="7" t="n"/>
      <c r="Q1331" s="7" t="n"/>
      <c r="R1331" s="11">
        <f>IF(AND(ISNUMBER(P1331),ISNUMBER(Q1331),P1331&gt;0,ISNUMBER($B$100)),Q1331/P1331,"")</f>
        <v/>
      </c>
      <c r="S1331" s="11">
        <f>IF(AND(ISNUMBER(P1331),ISNUMBER(Q1331),P1331&gt;0,ISNUMBER($B$100)),MAX(0,$B$100-3*SQRT($B$100/P1331)),"")</f>
        <v/>
      </c>
      <c r="T1331" s="11">
        <f>IF(AND(ISNUMBER(P1331),ISNUMBER(Q1331),P1331&gt;0,ISNUMBER($B$100)),$B$100+3*SQRT($B$100/P1331),"")</f>
        <v/>
      </c>
      <c r="U1331" s="13">
        <f>IF(AND(ISNUMBER(R1331),ISNUMBER(S1331),ISNUMBER(T1331)),IF(R1331&gt;T1331,"boven UCL",IF(R1331&lt;S1331,"onder LCL","")),"")</f>
        <v/>
      </c>
    </row>
    <row r="1332">
      <c r="A1332" t="n">
        <v>1226</v>
      </c>
      <c r="B1332" s="7" t="n"/>
      <c r="C1332" s="11">
        <f>IF(AND(ISNUMBER(B1332),ISNUMBER(B1331)),ABS(B1332-B1331),"")</f>
        <v/>
      </c>
      <c r="D1332" s="13">
        <f>IF(AND(ISNUMBER(B1332),ISNUMBER($B$88),ISNUMBER($D$88)),IF(B1332&gt;$D$88,"boven UCL",IF(B1332&lt;$B$88,"onder LCL","")),"")</f>
        <v/>
      </c>
      <c r="E1332" s="13">
        <f>IF(AND(ISNUMBER(C1332),ISNUMBER($B$89),ISNUMBER($D$89)),IF(C1332&gt;$D$89,"boven UCL",IF(C1332&lt;$B$89,"onder LCL","")),"")</f>
        <v/>
      </c>
      <c r="G1332" t="n">
        <v>1226</v>
      </c>
      <c r="H1332" s="7" t="n"/>
      <c r="I1332" s="7" t="n"/>
      <c r="J1332" s="11">
        <f>IF(AND(ISNUMBER(H1332),ISNUMBER(I1332),H1332&gt;0,ISNUMBER($B$94)),I1332/H1332,"")</f>
        <v/>
      </c>
      <c r="K1332" s="11">
        <f>IF(AND(ISNUMBER(H1332),ISNUMBER(I1332),H1332&gt;0,ISNUMBER($B$94)),MAX(0,$B$94-3*SQRT($B$94*(1-$B$94)/H1332)),"")</f>
        <v/>
      </c>
      <c r="L1332" s="11">
        <f>IF(AND(ISNUMBER(H1332),ISNUMBER(I1332),H1332&gt;0,ISNUMBER($B$94)),$B$94+3*SQRT($B$94*(1-$B$94)/H1332),"")</f>
        <v/>
      </c>
      <c r="M1332" s="13">
        <f>IF(AND(ISNUMBER(J1332),ISNUMBER(K1332),ISNUMBER(L1332)),IF(J1332&gt;L1332,"boven UCL",IF(J1332&lt;K1332,"onder LCL","")),"")</f>
        <v/>
      </c>
      <c r="O1332" t="n">
        <v>1226</v>
      </c>
      <c r="P1332" s="7" t="n"/>
      <c r="Q1332" s="7" t="n"/>
      <c r="R1332" s="11">
        <f>IF(AND(ISNUMBER(P1332),ISNUMBER(Q1332),P1332&gt;0,ISNUMBER($B$100)),Q1332/P1332,"")</f>
        <v/>
      </c>
      <c r="S1332" s="11">
        <f>IF(AND(ISNUMBER(P1332),ISNUMBER(Q1332),P1332&gt;0,ISNUMBER($B$100)),MAX(0,$B$100-3*SQRT($B$100/P1332)),"")</f>
        <v/>
      </c>
      <c r="T1332" s="11">
        <f>IF(AND(ISNUMBER(P1332),ISNUMBER(Q1332),P1332&gt;0,ISNUMBER($B$100)),$B$100+3*SQRT($B$100/P1332),"")</f>
        <v/>
      </c>
      <c r="U1332" s="13">
        <f>IF(AND(ISNUMBER(R1332),ISNUMBER(S1332),ISNUMBER(T1332)),IF(R1332&gt;T1332,"boven UCL",IF(R1332&lt;S1332,"onder LCL","")),"")</f>
        <v/>
      </c>
    </row>
    <row r="1333">
      <c r="A1333" t="n">
        <v>1227</v>
      </c>
      <c r="B1333" s="7" t="n"/>
      <c r="C1333" s="11">
        <f>IF(AND(ISNUMBER(B1333),ISNUMBER(B1332)),ABS(B1333-B1332),"")</f>
        <v/>
      </c>
      <c r="D1333" s="13">
        <f>IF(AND(ISNUMBER(B1333),ISNUMBER($B$88),ISNUMBER($D$88)),IF(B1333&gt;$D$88,"boven UCL",IF(B1333&lt;$B$88,"onder LCL","")),"")</f>
        <v/>
      </c>
      <c r="E1333" s="13">
        <f>IF(AND(ISNUMBER(C1333),ISNUMBER($B$89),ISNUMBER($D$89)),IF(C1333&gt;$D$89,"boven UCL",IF(C1333&lt;$B$89,"onder LCL","")),"")</f>
        <v/>
      </c>
      <c r="G1333" t="n">
        <v>1227</v>
      </c>
      <c r="H1333" s="7" t="n"/>
      <c r="I1333" s="7" t="n"/>
      <c r="J1333" s="11">
        <f>IF(AND(ISNUMBER(H1333),ISNUMBER(I1333),H1333&gt;0,ISNUMBER($B$94)),I1333/H1333,"")</f>
        <v/>
      </c>
      <c r="K1333" s="11">
        <f>IF(AND(ISNUMBER(H1333),ISNUMBER(I1333),H1333&gt;0,ISNUMBER($B$94)),MAX(0,$B$94-3*SQRT($B$94*(1-$B$94)/H1333)),"")</f>
        <v/>
      </c>
      <c r="L1333" s="11">
        <f>IF(AND(ISNUMBER(H1333),ISNUMBER(I1333),H1333&gt;0,ISNUMBER($B$94)),$B$94+3*SQRT($B$94*(1-$B$94)/H1333),"")</f>
        <v/>
      </c>
      <c r="M1333" s="13">
        <f>IF(AND(ISNUMBER(J1333),ISNUMBER(K1333),ISNUMBER(L1333)),IF(J1333&gt;L1333,"boven UCL",IF(J1333&lt;K1333,"onder LCL","")),"")</f>
        <v/>
      </c>
      <c r="O1333" t="n">
        <v>1227</v>
      </c>
      <c r="P1333" s="7" t="n"/>
      <c r="Q1333" s="7" t="n"/>
      <c r="R1333" s="11">
        <f>IF(AND(ISNUMBER(P1333),ISNUMBER(Q1333),P1333&gt;0,ISNUMBER($B$100)),Q1333/P1333,"")</f>
        <v/>
      </c>
      <c r="S1333" s="11">
        <f>IF(AND(ISNUMBER(P1333),ISNUMBER(Q1333),P1333&gt;0,ISNUMBER($B$100)),MAX(0,$B$100-3*SQRT($B$100/P1333)),"")</f>
        <v/>
      </c>
      <c r="T1333" s="11">
        <f>IF(AND(ISNUMBER(P1333),ISNUMBER(Q1333),P1333&gt;0,ISNUMBER($B$100)),$B$100+3*SQRT($B$100/P1333),"")</f>
        <v/>
      </c>
      <c r="U1333" s="13">
        <f>IF(AND(ISNUMBER(R1333),ISNUMBER(S1333),ISNUMBER(T1333)),IF(R1333&gt;T1333,"boven UCL",IF(R1333&lt;S1333,"onder LCL","")),"")</f>
        <v/>
      </c>
    </row>
    <row r="1334">
      <c r="A1334" t="n">
        <v>1228</v>
      </c>
      <c r="B1334" s="7" t="n"/>
      <c r="C1334" s="11">
        <f>IF(AND(ISNUMBER(B1334),ISNUMBER(B1333)),ABS(B1334-B1333),"")</f>
        <v/>
      </c>
      <c r="D1334" s="13">
        <f>IF(AND(ISNUMBER(B1334),ISNUMBER($B$88),ISNUMBER($D$88)),IF(B1334&gt;$D$88,"boven UCL",IF(B1334&lt;$B$88,"onder LCL","")),"")</f>
        <v/>
      </c>
      <c r="E1334" s="13">
        <f>IF(AND(ISNUMBER(C1334),ISNUMBER($B$89),ISNUMBER($D$89)),IF(C1334&gt;$D$89,"boven UCL",IF(C1334&lt;$B$89,"onder LCL","")),"")</f>
        <v/>
      </c>
      <c r="G1334" t="n">
        <v>1228</v>
      </c>
      <c r="H1334" s="7" t="n"/>
      <c r="I1334" s="7" t="n"/>
      <c r="J1334" s="11">
        <f>IF(AND(ISNUMBER(H1334),ISNUMBER(I1334),H1334&gt;0,ISNUMBER($B$94)),I1334/H1334,"")</f>
        <v/>
      </c>
      <c r="K1334" s="11">
        <f>IF(AND(ISNUMBER(H1334),ISNUMBER(I1334),H1334&gt;0,ISNUMBER($B$94)),MAX(0,$B$94-3*SQRT($B$94*(1-$B$94)/H1334)),"")</f>
        <v/>
      </c>
      <c r="L1334" s="11">
        <f>IF(AND(ISNUMBER(H1334),ISNUMBER(I1334),H1334&gt;0,ISNUMBER($B$94)),$B$94+3*SQRT($B$94*(1-$B$94)/H1334),"")</f>
        <v/>
      </c>
      <c r="M1334" s="13">
        <f>IF(AND(ISNUMBER(J1334),ISNUMBER(K1334),ISNUMBER(L1334)),IF(J1334&gt;L1334,"boven UCL",IF(J1334&lt;K1334,"onder LCL","")),"")</f>
        <v/>
      </c>
      <c r="O1334" t="n">
        <v>1228</v>
      </c>
      <c r="P1334" s="7" t="n"/>
      <c r="Q1334" s="7" t="n"/>
      <c r="R1334" s="11">
        <f>IF(AND(ISNUMBER(P1334),ISNUMBER(Q1334),P1334&gt;0,ISNUMBER($B$100)),Q1334/P1334,"")</f>
        <v/>
      </c>
      <c r="S1334" s="11">
        <f>IF(AND(ISNUMBER(P1334),ISNUMBER(Q1334),P1334&gt;0,ISNUMBER($B$100)),MAX(0,$B$100-3*SQRT($B$100/P1334)),"")</f>
        <v/>
      </c>
      <c r="T1334" s="11">
        <f>IF(AND(ISNUMBER(P1334),ISNUMBER(Q1334),P1334&gt;0,ISNUMBER($B$100)),$B$100+3*SQRT($B$100/P1334),"")</f>
        <v/>
      </c>
      <c r="U1334" s="13">
        <f>IF(AND(ISNUMBER(R1334),ISNUMBER(S1334),ISNUMBER(T1334)),IF(R1334&gt;T1334,"boven UCL",IF(R1334&lt;S1334,"onder LCL","")),"")</f>
        <v/>
      </c>
    </row>
    <row r="1335">
      <c r="A1335" t="n">
        <v>1229</v>
      </c>
      <c r="B1335" s="7" t="n"/>
      <c r="C1335" s="11">
        <f>IF(AND(ISNUMBER(B1335),ISNUMBER(B1334)),ABS(B1335-B1334),"")</f>
        <v/>
      </c>
      <c r="D1335" s="13">
        <f>IF(AND(ISNUMBER(B1335),ISNUMBER($B$88),ISNUMBER($D$88)),IF(B1335&gt;$D$88,"boven UCL",IF(B1335&lt;$B$88,"onder LCL","")),"")</f>
        <v/>
      </c>
      <c r="E1335" s="13">
        <f>IF(AND(ISNUMBER(C1335),ISNUMBER($B$89),ISNUMBER($D$89)),IF(C1335&gt;$D$89,"boven UCL",IF(C1335&lt;$B$89,"onder LCL","")),"")</f>
        <v/>
      </c>
      <c r="G1335" t="n">
        <v>1229</v>
      </c>
      <c r="H1335" s="7" t="n"/>
      <c r="I1335" s="7" t="n"/>
      <c r="J1335" s="11">
        <f>IF(AND(ISNUMBER(H1335),ISNUMBER(I1335),H1335&gt;0,ISNUMBER($B$94)),I1335/H1335,"")</f>
        <v/>
      </c>
      <c r="K1335" s="11">
        <f>IF(AND(ISNUMBER(H1335),ISNUMBER(I1335),H1335&gt;0,ISNUMBER($B$94)),MAX(0,$B$94-3*SQRT($B$94*(1-$B$94)/H1335)),"")</f>
        <v/>
      </c>
      <c r="L1335" s="11">
        <f>IF(AND(ISNUMBER(H1335),ISNUMBER(I1335),H1335&gt;0,ISNUMBER($B$94)),$B$94+3*SQRT($B$94*(1-$B$94)/H1335),"")</f>
        <v/>
      </c>
      <c r="M1335" s="13">
        <f>IF(AND(ISNUMBER(J1335),ISNUMBER(K1335),ISNUMBER(L1335)),IF(J1335&gt;L1335,"boven UCL",IF(J1335&lt;K1335,"onder LCL","")),"")</f>
        <v/>
      </c>
      <c r="O1335" t="n">
        <v>1229</v>
      </c>
      <c r="P1335" s="7" t="n"/>
      <c r="Q1335" s="7" t="n"/>
      <c r="R1335" s="11">
        <f>IF(AND(ISNUMBER(P1335),ISNUMBER(Q1335),P1335&gt;0,ISNUMBER($B$100)),Q1335/P1335,"")</f>
        <v/>
      </c>
      <c r="S1335" s="11">
        <f>IF(AND(ISNUMBER(P1335),ISNUMBER(Q1335),P1335&gt;0,ISNUMBER($B$100)),MAX(0,$B$100-3*SQRT($B$100/P1335)),"")</f>
        <v/>
      </c>
      <c r="T1335" s="11">
        <f>IF(AND(ISNUMBER(P1335),ISNUMBER(Q1335),P1335&gt;0,ISNUMBER($B$100)),$B$100+3*SQRT($B$100/P1335),"")</f>
        <v/>
      </c>
      <c r="U1335" s="13">
        <f>IF(AND(ISNUMBER(R1335),ISNUMBER(S1335),ISNUMBER(T1335)),IF(R1335&gt;T1335,"boven UCL",IF(R1335&lt;S1335,"onder LCL","")),"")</f>
        <v/>
      </c>
    </row>
    <row r="1336">
      <c r="A1336" t="n">
        <v>1230</v>
      </c>
      <c r="B1336" s="7" t="n"/>
      <c r="C1336" s="11">
        <f>IF(AND(ISNUMBER(B1336),ISNUMBER(B1335)),ABS(B1336-B1335),"")</f>
        <v/>
      </c>
      <c r="D1336" s="13">
        <f>IF(AND(ISNUMBER(B1336),ISNUMBER($B$88),ISNUMBER($D$88)),IF(B1336&gt;$D$88,"boven UCL",IF(B1336&lt;$B$88,"onder LCL","")),"")</f>
        <v/>
      </c>
      <c r="E1336" s="13">
        <f>IF(AND(ISNUMBER(C1336),ISNUMBER($B$89),ISNUMBER($D$89)),IF(C1336&gt;$D$89,"boven UCL",IF(C1336&lt;$B$89,"onder LCL","")),"")</f>
        <v/>
      </c>
      <c r="G1336" t="n">
        <v>1230</v>
      </c>
      <c r="H1336" s="7" t="n"/>
      <c r="I1336" s="7" t="n"/>
      <c r="J1336" s="11">
        <f>IF(AND(ISNUMBER(H1336),ISNUMBER(I1336),H1336&gt;0,ISNUMBER($B$94)),I1336/H1336,"")</f>
        <v/>
      </c>
      <c r="K1336" s="11">
        <f>IF(AND(ISNUMBER(H1336),ISNUMBER(I1336),H1336&gt;0,ISNUMBER($B$94)),MAX(0,$B$94-3*SQRT($B$94*(1-$B$94)/H1336)),"")</f>
        <v/>
      </c>
      <c r="L1336" s="11">
        <f>IF(AND(ISNUMBER(H1336),ISNUMBER(I1336),H1336&gt;0,ISNUMBER($B$94)),$B$94+3*SQRT($B$94*(1-$B$94)/H1336),"")</f>
        <v/>
      </c>
      <c r="M1336" s="13">
        <f>IF(AND(ISNUMBER(J1336),ISNUMBER(K1336),ISNUMBER(L1336)),IF(J1336&gt;L1336,"boven UCL",IF(J1336&lt;K1336,"onder LCL","")),"")</f>
        <v/>
      </c>
      <c r="O1336" t="n">
        <v>1230</v>
      </c>
      <c r="P1336" s="7" t="n"/>
      <c r="Q1336" s="7" t="n"/>
      <c r="R1336" s="11">
        <f>IF(AND(ISNUMBER(P1336),ISNUMBER(Q1336),P1336&gt;0,ISNUMBER($B$100)),Q1336/P1336,"")</f>
        <v/>
      </c>
      <c r="S1336" s="11">
        <f>IF(AND(ISNUMBER(P1336),ISNUMBER(Q1336),P1336&gt;0,ISNUMBER($B$100)),MAX(0,$B$100-3*SQRT($B$100/P1336)),"")</f>
        <v/>
      </c>
      <c r="T1336" s="11">
        <f>IF(AND(ISNUMBER(P1336),ISNUMBER(Q1336),P1336&gt;0,ISNUMBER($B$100)),$B$100+3*SQRT($B$100/P1336),"")</f>
        <v/>
      </c>
      <c r="U1336" s="13">
        <f>IF(AND(ISNUMBER(R1336),ISNUMBER(S1336),ISNUMBER(T1336)),IF(R1336&gt;T1336,"boven UCL",IF(R1336&lt;S1336,"onder LCL","")),"")</f>
        <v/>
      </c>
    </row>
    <row r="1337">
      <c r="A1337" t="n">
        <v>1231</v>
      </c>
      <c r="B1337" s="7" t="n"/>
      <c r="C1337" s="11">
        <f>IF(AND(ISNUMBER(B1337),ISNUMBER(B1336)),ABS(B1337-B1336),"")</f>
        <v/>
      </c>
      <c r="D1337" s="13">
        <f>IF(AND(ISNUMBER(B1337),ISNUMBER($B$88),ISNUMBER($D$88)),IF(B1337&gt;$D$88,"boven UCL",IF(B1337&lt;$B$88,"onder LCL","")),"")</f>
        <v/>
      </c>
      <c r="E1337" s="13">
        <f>IF(AND(ISNUMBER(C1337),ISNUMBER($B$89),ISNUMBER($D$89)),IF(C1337&gt;$D$89,"boven UCL",IF(C1337&lt;$B$89,"onder LCL","")),"")</f>
        <v/>
      </c>
      <c r="G1337" t="n">
        <v>1231</v>
      </c>
      <c r="H1337" s="7" t="n"/>
      <c r="I1337" s="7" t="n"/>
      <c r="J1337" s="11">
        <f>IF(AND(ISNUMBER(H1337),ISNUMBER(I1337),H1337&gt;0,ISNUMBER($B$94)),I1337/H1337,"")</f>
        <v/>
      </c>
      <c r="K1337" s="11">
        <f>IF(AND(ISNUMBER(H1337),ISNUMBER(I1337),H1337&gt;0,ISNUMBER($B$94)),MAX(0,$B$94-3*SQRT($B$94*(1-$B$94)/H1337)),"")</f>
        <v/>
      </c>
      <c r="L1337" s="11">
        <f>IF(AND(ISNUMBER(H1337),ISNUMBER(I1337),H1337&gt;0,ISNUMBER($B$94)),$B$94+3*SQRT($B$94*(1-$B$94)/H1337),"")</f>
        <v/>
      </c>
      <c r="M1337" s="13">
        <f>IF(AND(ISNUMBER(J1337),ISNUMBER(K1337),ISNUMBER(L1337)),IF(J1337&gt;L1337,"boven UCL",IF(J1337&lt;K1337,"onder LCL","")),"")</f>
        <v/>
      </c>
      <c r="O1337" t="n">
        <v>1231</v>
      </c>
      <c r="P1337" s="7" t="n"/>
      <c r="Q1337" s="7" t="n"/>
      <c r="R1337" s="11">
        <f>IF(AND(ISNUMBER(P1337),ISNUMBER(Q1337),P1337&gt;0,ISNUMBER($B$100)),Q1337/P1337,"")</f>
        <v/>
      </c>
      <c r="S1337" s="11">
        <f>IF(AND(ISNUMBER(P1337),ISNUMBER(Q1337),P1337&gt;0,ISNUMBER($B$100)),MAX(0,$B$100-3*SQRT($B$100/P1337)),"")</f>
        <v/>
      </c>
      <c r="T1337" s="11">
        <f>IF(AND(ISNUMBER(P1337),ISNUMBER(Q1337),P1337&gt;0,ISNUMBER($B$100)),$B$100+3*SQRT($B$100/P1337),"")</f>
        <v/>
      </c>
      <c r="U1337" s="13">
        <f>IF(AND(ISNUMBER(R1337),ISNUMBER(S1337),ISNUMBER(T1337)),IF(R1337&gt;T1337,"boven UCL",IF(R1337&lt;S1337,"onder LCL","")),"")</f>
        <v/>
      </c>
    </row>
    <row r="1338">
      <c r="A1338" t="n">
        <v>1232</v>
      </c>
      <c r="B1338" s="7" t="n"/>
      <c r="C1338" s="11">
        <f>IF(AND(ISNUMBER(B1338),ISNUMBER(B1337)),ABS(B1338-B1337),"")</f>
        <v/>
      </c>
      <c r="D1338" s="13">
        <f>IF(AND(ISNUMBER(B1338),ISNUMBER($B$88),ISNUMBER($D$88)),IF(B1338&gt;$D$88,"boven UCL",IF(B1338&lt;$B$88,"onder LCL","")),"")</f>
        <v/>
      </c>
      <c r="E1338" s="13">
        <f>IF(AND(ISNUMBER(C1338),ISNUMBER($B$89),ISNUMBER($D$89)),IF(C1338&gt;$D$89,"boven UCL",IF(C1338&lt;$B$89,"onder LCL","")),"")</f>
        <v/>
      </c>
      <c r="G1338" t="n">
        <v>1232</v>
      </c>
      <c r="H1338" s="7" t="n"/>
      <c r="I1338" s="7" t="n"/>
      <c r="J1338" s="11">
        <f>IF(AND(ISNUMBER(H1338),ISNUMBER(I1338),H1338&gt;0,ISNUMBER($B$94)),I1338/H1338,"")</f>
        <v/>
      </c>
      <c r="K1338" s="11">
        <f>IF(AND(ISNUMBER(H1338),ISNUMBER(I1338),H1338&gt;0,ISNUMBER($B$94)),MAX(0,$B$94-3*SQRT($B$94*(1-$B$94)/H1338)),"")</f>
        <v/>
      </c>
      <c r="L1338" s="11">
        <f>IF(AND(ISNUMBER(H1338),ISNUMBER(I1338),H1338&gt;0,ISNUMBER($B$94)),$B$94+3*SQRT($B$94*(1-$B$94)/H1338),"")</f>
        <v/>
      </c>
      <c r="M1338" s="13">
        <f>IF(AND(ISNUMBER(J1338),ISNUMBER(K1338),ISNUMBER(L1338)),IF(J1338&gt;L1338,"boven UCL",IF(J1338&lt;K1338,"onder LCL","")),"")</f>
        <v/>
      </c>
      <c r="O1338" t="n">
        <v>1232</v>
      </c>
      <c r="P1338" s="7" t="n"/>
      <c r="Q1338" s="7" t="n"/>
      <c r="R1338" s="11">
        <f>IF(AND(ISNUMBER(P1338),ISNUMBER(Q1338),P1338&gt;0,ISNUMBER($B$100)),Q1338/P1338,"")</f>
        <v/>
      </c>
      <c r="S1338" s="11">
        <f>IF(AND(ISNUMBER(P1338),ISNUMBER(Q1338),P1338&gt;0,ISNUMBER($B$100)),MAX(0,$B$100-3*SQRT($B$100/P1338)),"")</f>
        <v/>
      </c>
      <c r="T1338" s="11">
        <f>IF(AND(ISNUMBER(P1338),ISNUMBER(Q1338),P1338&gt;0,ISNUMBER($B$100)),$B$100+3*SQRT($B$100/P1338),"")</f>
        <v/>
      </c>
      <c r="U1338" s="13">
        <f>IF(AND(ISNUMBER(R1338),ISNUMBER(S1338),ISNUMBER(T1338)),IF(R1338&gt;T1338,"boven UCL",IF(R1338&lt;S1338,"onder LCL","")),"")</f>
        <v/>
      </c>
    </row>
    <row r="1339">
      <c r="A1339" t="n">
        <v>1233</v>
      </c>
      <c r="B1339" s="7" t="n"/>
      <c r="C1339" s="11">
        <f>IF(AND(ISNUMBER(B1339),ISNUMBER(B1338)),ABS(B1339-B1338),"")</f>
        <v/>
      </c>
      <c r="D1339" s="13">
        <f>IF(AND(ISNUMBER(B1339),ISNUMBER($B$88),ISNUMBER($D$88)),IF(B1339&gt;$D$88,"boven UCL",IF(B1339&lt;$B$88,"onder LCL","")),"")</f>
        <v/>
      </c>
      <c r="E1339" s="13">
        <f>IF(AND(ISNUMBER(C1339),ISNUMBER($B$89),ISNUMBER($D$89)),IF(C1339&gt;$D$89,"boven UCL",IF(C1339&lt;$B$89,"onder LCL","")),"")</f>
        <v/>
      </c>
      <c r="G1339" t="n">
        <v>1233</v>
      </c>
      <c r="H1339" s="7" t="n"/>
      <c r="I1339" s="7" t="n"/>
      <c r="J1339" s="11">
        <f>IF(AND(ISNUMBER(H1339),ISNUMBER(I1339),H1339&gt;0,ISNUMBER($B$94)),I1339/H1339,"")</f>
        <v/>
      </c>
      <c r="K1339" s="11">
        <f>IF(AND(ISNUMBER(H1339),ISNUMBER(I1339),H1339&gt;0,ISNUMBER($B$94)),MAX(0,$B$94-3*SQRT($B$94*(1-$B$94)/H1339)),"")</f>
        <v/>
      </c>
      <c r="L1339" s="11">
        <f>IF(AND(ISNUMBER(H1339),ISNUMBER(I1339),H1339&gt;0,ISNUMBER($B$94)),$B$94+3*SQRT($B$94*(1-$B$94)/H1339),"")</f>
        <v/>
      </c>
      <c r="M1339" s="13">
        <f>IF(AND(ISNUMBER(J1339),ISNUMBER(K1339),ISNUMBER(L1339)),IF(J1339&gt;L1339,"boven UCL",IF(J1339&lt;K1339,"onder LCL","")),"")</f>
        <v/>
      </c>
      <c r="O1339" t="n">
        <v>1233</v>
      </c>
      <c r="P1339" s="7" t="n"/>
      <c r="Q1339" s="7" t="n"/>
      <c r="R1339" s="11">
        <f>IF(AND(ISNUMBER(P1339),ISNUMBER(Q1339),P1339&gt;0,ISNUMBER($B$100)),Q1339/P1339,"")</f>
        <v/>
      </c>
      <c r="S1339" s="11">
        <f>IF(AND(ISNUMBER(P1339),ISNUMBER(Q1339),P1339&gt;0,ISNUMBER($B$100)),MAX(0,$B$100-3*SQRT($B$100/P1339)),"")</f>
        <v/>
      </c>
      <c r="T1339" s="11">
        <f>IF(AND(ISNUMBER(P1339),ISNUMBER(Q1339),P1339&gt;0,ISNUMBER($B$100)),$B$100+3*SQRT($B$100/P1339),"")</f>
        <v/>
      </c>
      <c r="U1339" s="13">
        <f>IF(AND(ISNUMBER(R1339),ISNUMBER(S1339),ISNUMBER(T1339)),IF(R1339&gt;T1339,"boven UCL",IF(R1339&lt;S1339,"onder LCL","")),"")</f>
        <v/>
      </c>
    </row>
    <row r="1340">
      <c r="A1340" t="n">
        <v>1234</v>
      </c>
      <c r="B1340" s="7" t="n"/>
      <c r="C1340" s="11">
        <f>IF(AND(ISNUMBER(B1340),ISNUMBER(B1339)),ABS(B1340-B1339),"")</f>
        <v/>
      </c>
      <c r="D1340" s="13">
        <f>IF(AND(ISNUMBER(B1340),ISNUMBER($B$88),ISNUMBER($D$88)),IF(B1340&gt;$D$88,"boven UCL",IF(B1340&lt;$B$88,"onder LCL","")),"")</f>
        <v/>
      </c>
      <c r="E1340" s="13">
        <f>IF(AND(ISNUMBER(C1340),ISNUMBER($B$89),ISNUMBER($D$89)),IF(C1340&gt;$D$89,"boven UCL",IF(C1340&lt;$B$89,"onder LCL","")),"")</f>
        <v/>
      </c>
      <c r="G1340" t="n">
        <v>1234</v>
      </c>
      <c r="H1340" s="7" t="n"/>
      <c r="I1340" s="7" t="n"/>
      <c r="J1340" s="11">
        <f>IF(AND(ISNUMBER(H1340),ISNUMBER(I1340),H1340&gt;0,ISNUMBER($B$94)),I1340/H1340,"")</f>
        <v/>
      </c>
      <c r="K1340" s="11">
        <f>IF(AND(ISNUMBER(H1340),ISNUMBER(I1340),H1340&gt;0,ISNUMBER($B$94)),MAX(0,$B$94-3*SQRT($B$94*(1-$B$94)/H1340)),"")</f>
        <v/>
      </c>
      <c r="L1340" s="11">
        <f>IF(AND(ISNUMBER(H1340),ISNUMBER(I1340),H1340&gt;0,ISNUMBER($B$94)),$B$94+3*SQRT($B$94*(1-$B$94)/H1340),"")</f>
        <v/>
      </c>
      <c r="M1340" s="13">
        <f>IF(AND(ISNUMBER(J1340),ISNUMBER(K1340),ISNUMBER(L1340)),IF(J1340&gt;L1340,"boven UCL",IF(J1340&lt;K1340,"onder LCL","")),"")</f>
        <v/>
      </c>
      <c r="O1340" t="n">
        <v>1234</v>
      </c>
      <c r="P1340" s="7" t="n"/>
      <c r="Q1340" s="7" t="n"/>
      <c r="R1340" s="11">
        <f>IF(AND(ISNUMBER(P1340),ISNUMBER(Q1340),P1340&gt;0,ISNUMBER($B$100)),Q1340/P1340,"")</f>
        <v/>
      </c>
      <c r="S1340" s="11">
        <f>IF(AND(ISNUMBER(P1340),ISNUMBER(Q1340),P1340&gt;0,ISNUMBER($B$100)),MAX(0,$B$100-3*SQRT($B$100/P1340)),"")</f>
        <v/>
      </c>
      <c r="T1340" s="11">
        <f>IF(AND(ISNUMBER(P1340),ISNUMBER(Q1340),P1340&gt;0,ISNUMBER($B$100)),$B$100+3*SQRT($B$100/P1340),"")</f>
        <v/>
      </c>
      <c r="U1340" s="13">
        <f>IF(AND(ISNUMBER(R1340),ISNUMBER(S1340),ISNUMBER(T1340)),IF(R1340&gt;T1340,"boven UCL",IF(R1340&lt;S1340,"onder LCL","")),"")</f>
        <v/>
      </c>
    </row>
    <row r="1341">
      <c r="A1341" t="n">
        <v>1235</v>
      </c>
      <c r="B1341" s="7" t="n"/>
      <c r="C1341" s="11">
        <f>IF(AND(ISNUMBER(B1341),ISNUMBER(B1340)),ABS(B1341-B1340),"")</f>
        <v/>
      </c>
      <c r="D1341" s="13">
        <f>IF(AND(ISNUMBER(B1341),ISNUMBER($B$88),ISNUMBER($D$88)),IF(B1341&gt;$D$88,"boven UCL",IF(B1341&lt;$B$88,"onder LCL","")),"")</f>
        <v/>
      </c>
      <c r="E1341" s="13">
        <f>IF(AND(ISNUMBER(C1341),ISNUMBER($B$89),ISNUMBER($D$89)),IF(C1341&gt;$D$89,"boven UCL",IF(C1341&lt;$B$89,"onder LCL","")),"")</f>
        <v/>
      </c>
      <c r="G1341" t="n">
        <v>1235</v>
      </c>
      <c r="H1341" s="7" t="n"/>
      <c r="I1341" s="7" t="n"/>
      <c r="J1341" s="11">
        <f>IF(AND(ISNUMBER(H1341),ISNUMBER(I1341),H1341&gt;0,ISNUMBER($B$94)),I1341/H1341,"")</f>
        <v/>
      </c>
      <c r="K1341" s="11">
        <f>IF(AND(ISNUMBER(H1341),ISNUMBER(I1341),H1341&gt;0,ISNUMBER($B$94)),MAX(0,$B$94-3*SQRT($B$94*(1-$B$94)/H1341)),"")</f>
        <v/>
      </c>
      <c r="L1341" s="11">
        <f>IF(AND(ISNUMBER(H1341),ISNUMBER(I1341),H1341&gt;0,ISNUMBER($B$94)),$B$94+3*SQRT($B$94*(1-$B$94)/H1341),"")</f>
        <v/>
      </c>
      <c r="M1341" s="13">
        <f>IF(AND(ISNUMBER(J1341),ISNUMBER(K1341),ISNUMBER(L1341)),IF(J1341&gt;L1341,"boven UCL",IF(J1341&lt;K1341,"onder LCL","")),"")</f>
        <v/>
      </c>
      <c r="O1341" t="n">
        <v>1235</v>
      </c>
      <c r="P1341" s="7" t="n"/>
      <c r="Q1341" s="7" t="n"/>
      <c r="R1341" s="11">
        <f>IF(AND(ISNUMBER(P1341),ISNUMBER(Q1341),P1341&gt;0,ISNUMBER($B$100)),Q1341/P1341,"")</f>
        <v/>
      </c>
      <c r="S1341" s="11">
        <f>IF(AND(ISNUMBER(P1341),ISNUMBER(Q1341),P1341&gt;0,ISNUMBER($B$100)),MAX(0,$B$100-3*SQRT($B$100/P1341)),"")</f>
        <v/>
      </c>
      <c r="T1341" s="11">
        <f>IF(AND(ISNUMBER(P1341),ISNUMBER(Q1341),P1341&gt;0,ISNUMBER($B$100)),$B$100+3*SQRT($B$100/P1341),"")</f>
        <v/>
      </c>
      <c r="U1341" s="13">
        <f>IF(AND(ISNUMBER(R1341),ISNUMBER(S1341),ISNUMBER(T1341)),IF(R1341&gt;T1341,"boven UCL",IF(R1341&lt;S1341,"onder LCL","")),"")</f>
        <v/>
      </c>
    </row>
    <row r="1342">
      <c r="A1342" t="n">
        <v>1236</v>
      </c>
      <c r="B1342" s="7" t="n"/>
      <c r="C1342" s="11">
        <f>IF(AND(ISNUMBER(B1342),ISNUMBER(B1341)),ABS(B1342-B1341),"")</f>
        <v/>
      </c>
      <c r="D1342" s="13">
        <f>IF(AND(ISNUMBER(B1342),ISNUMBER($B$88),ISNUMBER($D$88)),IF(B1342&gt;$D$88,"boven UCL",IF(B1342&lt;$B$88,"onder LCL","")),"")</f>
        <v/>
      </c>
      <c r="E1342" s="13">
        <f>IF(AND(ISNUMBER(C1342),ISNUMBER($B$89),ISNUMBER($D$89)),IF(C1342&gt;$D$89,"boven UCL",IF(C1342&lt;$B$89,"onder LCL","")),"")</f>
        <v/>
      </c>
      <c r="G1342" t="n">
        <v>1236</v>
      </c>
      <c r="H1342" s="7" t="n"/>
      <c r="I1342" s="7" t="n"/>
      <c r="J1342" s="11">
        <f>IF(AND(ISNUMBER(H1342),ISNUMBER(I1342),H1342&gt;0,ISNUMBER($B$94)),I1342/H1342,"")</f>
        <v/>
      </c>
      <c r="K1342" s="11">
        <f>IF(AND(ISNUMBER(H1342),ISNUMBER(I1342),H1342&gt;0,ISNUMBER($B$94)),MAX(0,$B$94-3*SQRT($B$94*(1-$B$94)/H1342)),"")</f>
        <v/>
      </c>
      <c r="L1342" s="11">
        <f>IF(AND(ISNUMBER(H1342),ISNUMBER(I1342),H1342&gt;0,ISNUMBER($B$94)),$B$94+3*SQRT($B$94*(1-$B$94)/H1342),"")</f>
        <v/>
      </c>
      <c r="M1342" s="13">
        <f>IF(AND(ISNUMBER(J1342),ISNUMBER(K1342),ISNUMBER(L1342)),IF(J1342&gt;L1342,"boven UCL",IF(J1342&lt;K1342,"onder LCL","")),"")</f>
        <v/>
      </c>
      <c r="O1342" t="n">
        <v>1236</v>
      </c>
      <c r="P1342" s="7" t="n"/>
      <c r="Q1342" s="7" t="n"/>
      <c r="R1342" s="11">
        <f>IF(AND(ISNUMBER(P1342),ISNUMBER(Q1342),P1342&gt;0,ISNUMBER($B$100)),Q1342/P1342,"")</f>
        <v/>
      </c>
      <c r="S1342" s="11">
        <f>IF(AND(ISNUMBER(P1342),ISNUMBER(Q1342),P1342&gt;0,ISNUMBER($B$100)),MAX(0,$B$100-3*SQRT($B$100/P1342)),"")</f>
        <v/>
      </c>
      <c r="T1342" s="11">
        <f>IF(AND(ISNUMBER(P1342),ISNUMBER(Q1342),P1342&gt;0,ISNUMBER($B$100)),$B$100+3*SQRT($B$100/P1342),"")</f>
        <v/>
      </c>
      <c r="U1342" s="13">
        <f>IF(AND(ISNUMBER(R1342),ISNUMBER(S1342),ISNUMBER(T1342)),IF(R1342&gt;T1342,"boven UCL",IF(R1342&lt;S1342,"onder LCL","")),"")</f>
        <v/>
      </c>
    </row>
    <row r="1343">
      <c r="A1343" t="n">
        <v>1237</v>
      </c>
      <c r="B1343" s="7" t="n"/>
      <c r="C1343" s="11">
        <f>IF(AND(ISNUMBER(B1343),ISNUMBER(B1342)),ABS(B1343-B1342),"")</f>
        <v/>
      </c>
      <c r="D1343" s="13">
        <f>IF(AND(ISNUMBER(B1343),ISNUMBER($B$88),ISNUMBER($D$88)),IF(B1343&gt;$D$88,"boven UCL",IF(B1343&lt;$B$88,"onder LCL","")),"")</f>
        <v/>
      </c>
      <c r="E1343" s="13">
        <f>IF(AND(ISNUMBER(C1343),ISNUMBER($B$89),ISNUMBER($D$89)),IF(C1343&gt;$D$89,"boven UCL",IF(C1343&lt;$B$89,"onder LCL","")),"")</f>
        <v/>
      </c>
      <c r="G1343" t="n">
        <v>1237</v>
      </c>
      <c r="H1343" s="7" t="n"/>
      <c r="I1343" s="7" t="n"/>
      <c r="J1343" s="11">
        <f>IF(AND(ISNUMBER(H1343),ISNUMBER(I1343),H1343&gt;0,ISNUMBER($B$94)),I1343/H1343,"")</f>
        <v/>
      </c>
      <c r="K1343" s="11">
        <f>IF(AND(ISNUMBER(H1343),ISNUMBER(I1343),H1343&gt;0,ISNUMBER($B$94)),MAX(0,$B$94-3*SQRT($B$94*(1-$B$94)/H1343)),"")</f>
        <v/>
      </c>
      <c r="L1343" s="11">
        <f>IF(AND(ISNUMBER(H1343),ISNUMBER(I1343),H1343&gt;0,ISNUMBER($B$94)),$B$94+3*SQRT($B$94*(1-$B$94)/H1343),"")</f>
        <v/>
      </c>
      <c r="M1343" s="13">
        <f>IF(AND(ISNUMBER(J1343),ISNUMBER(K1343),ISNUMBER(L1343)),IF(J1343&gt;L1343,"boven UCL",IF(J1343&lt;K1343,"onder LCL","")),"")</f>
        <v/>
      </c>
      <c r="O1343" t="n">
        <v>1237</v>
      </c>
      <c r="P1343" s="7" t="n"/>
      <c r="Q1343" s="7" t="n"/>
      <c r="R1343" s="11">
        <f>IF(AND(ISNUMBER(P1343),ISNUMBER(Q1343),P1343&gt;0,ISNUMBER($B$100)),Q1343/P1343,"")</f>
        <v/>
      </c>
      <c r="S1343" s="11">
        <f>IF(AND(ISNUMBER(P1343),ISNUMBER(Q1343),P1343&gt;0,ISNUMBER($B$100)),MAX(0,$B$100-3*SQRT($B$100/P1343)),"")</f>
        <v/>
      </c>
      <c r="T1343" s="11">
        <f>IF(AND(ISNUMBER(P1343),ISNUMBER(Q1343),P1343&gt;0,ISNUMBER($B$100)),$B$100+3*SQRT($B$100/P1343),"")</f>
        <v/>
      </c>
      <c r="U1343" s="13">
        <f>IF(AND(ISNUMBER(R1343),ISNUMBER(S1343),ISNUMBER(T1343)),IF(R1343&gt;T1343,"boven UCL",IF(R1343&lt;S1343,"onder LCL","")),"")</f>
        <v/>
      </c>
    </row>
    <row r="1344">
      <c r="A1344" t="n">
        <v>1238</v>
      </c>
      <c r="B1344" s="7" t="n"/>
      <c r="C1344" s="11">
        <f>IF(AND(ISNUMBER(B1344),ISNUMBER(B1343)),ABS(B1344-B1343),"")</f>
        <v/>
      </c>
      <c r="D1344" s="13">
        <f>IF(AND(ISNUMBER(B1344),ISNUMBER($B$88),ISNUMBER($D$88)),IF(B1344&gt;$D$88,"boven UCL",IF(B1344&lt;$B$88,"onder LCL","")),"")</f>
        <v/>
      </c>
      <c r="E1344" s="13">
        <f>IF(AND(ISNUMBER(C1344),ISNUMBER($B$89),ISNUMBER($D$89)),IF(C1344&gt;$D$89,"boven UCL",IF(C1344&lt;$B$89,"onder LCL","")),"")</f>
        <v/>
      </c>
      <c r="G1344" t="n">
        <v>1238</v>
      </c>
      <c r="H1344" s="7" t="n"/>
      <c r="I1344" s="7" t="n"/>
      <c r="J1344" s="11">
        <f>IF(AND(ISNUMBER(H1344),ISNUMBER(I1344),H1344&gt;0,ISNUMBER($B$94)),I1344/H1344,"")</f>
        <v/>
      </c>
      <c r="K1344" s="11">
        <f>IF(AND(ISNUMBER(H1344),ISNUMBER(I1344),H1344&gt;0,ISNUMBER($B$94)),MAX(0,$B$94-3*SQRT($B$94*(1-$B$94)/H1344)),"")</f>
        <v/>
      </c>
      <c r="L1344" s="11">
        <f>IF(AND(ISNUMBER(H1344),ISNUMBER(I1344),H1344&gt;0,ISNUMBER($B$94)),$B$94+3*SQRT($B$94*(1-$B$94)/H1344),"")</f>
        <v/>
      </c>
      <c r="M1344" s="13">
        <f>IF(AND(ISNUMBER(J1344),ISNUMBER(K1344),ISNUMBER(L1344)),IF(J1344&gt;L1344,"boven UCL",IF(J1344&lt;K1344,"onder LCL","")),"")</f>
        <v/>
      </c>
      <c r="O1344" t="n">
        <v>1238</v>
      </c>
      <c r="P1344" s="7" t="n"/>
      <c r="Q1344" s="7" t="n"/>
      <c r="R1344" s="11">
        <f>IF(AND(ISNUMBER(P1344),ISNUMBER(Q1344),P1344&gt;0,ISNUMBER($B$100)),Q1344/P1344,"")</f>
        <v/>
      </c>
      <c r="S1344" s="11">
        <f>IF(AND(ISNUMBER(P1344),ISNUMBER(Q1344),P1344&gt;0,ISNUMBER($B$100)),MAX(0,$B$100-3*SQRT($B$100/P1344)),"")</f>
        <v/>
      </c>
      <c r="T1344" s="11">
        <f>IF(AND(ISNUMBER(P1344),ISNUMBER(Q1344),P1344&gt;0,ISNUMBER($B$100)),$B$100+3*SQRT($B$100/P1344),"")</f>
        <v/>
      </c>
      <c r="U1344" s="13">
        <f>IF(AND(ISNUMBER(R1344),ISNUMBER(S1344),ISNUMBER(T1344)),IF(R1344&gt;T1344,"boven UCL",IF(R1344&lt;S1344,"onder LCL","")),"")</f>
        <v/>
      </c>
    </row>
    <row r="1345">
      <c r="A1345" t="n">
        <v>1239</v>
      </c>
      <c r="B1345" s="7" t="n"/>
      <c r="C1345" s="11">
        <f>IF(AND(ISNUMBER(B1345),ISNUMBER(B1344)),ABS(B1345-B1344),"")</f>
        <v/>
      </c>
      <c r="D1345" s="13">
        <f>IF(AND(ISNUMBER(B1345),ISNUMBER($B$88),ISNUMBER($D$88)),IF(B1345&gt;$D$88,"boven UCL",IF(B1345&lt;$B$88,"onder LCL","")),"")</f>
        <v/>
      </c>
      <c r="E1345" s="13">
        <f>IF(AND(ISNUMBER(C1345),ISNUMBER($B$89),ISNUMBER($D$89)),IF(C1345&gt;$D$89,"boven UCL",IF(C1345&lt;$B$89,"onder LCL","")),"")</f>
        <v/>
      </c>
      <c r="G1345" t="n">
        <v>1239</v>
      </c>
      <c r="H1345" s="7" t="n"/>
      <c r="I1345" s="7" t="n"/>
      <c r="J1345" s="11">
        <f>IF(AND(ISNUMBER(H1345),ISNUMBER(I1345),H1345&gt;0,ISNUMBER($B$94)),I1345/H1345,"")</f>
        <v/>
      </c>
      <c r="K1345" s="11">
        <f>IF(AND(ISNUMBER(H1345),ISNUMBER(I1345),H1345&gt;0,ISNUMBER($B$94)),MAX(0,$B$94-3*SQRT($B$94*(1-$B$94)/H1345)),"")</f>
        <v/>
      </c>
      <c r="L1345" s="11">
        <f>IF(AND(ISNUMBER(H1345),ISNUMBER(I1345),H1345&gt;0,ISNUMBER($B$94)),$B$94+3*SQRT($B$94*(1-$B$94)/H1345),"")</f>
        <v/>
      </c>
      <c r="M1345" s="13">
        <f>IF(AND(ISNUMBER(J1345),ISNUMBER(K1345),ISNUMBER(L1345)),IF(J1345&gt;L1345,"boven UCL",IF(J1345&lt;K1345,"onder LCL","")),"")</f>
        <v/>
      </c>
      <c r="O1345" t="n">
        <v>1239</v>
      </c>
      <c r="P1345" s="7" t="n"/>
      <c r="Q1345" s="7" t="n"/>
      <c r="R1345" s="11">
        <f>IF(AND(ISNUMBER(P1345),ISNUMBER(Q1345),P1345&gt;0,ISNUMBER($B$100)),Q1345/P1345,"")</f>
        <v/>
      </c>
      <c r="S1345" s="11">
        <f>IF(AND(ISNUMBER(P1345),ISNUMBER(Q1345),P1345&gt;0,ISNUMBER($B$100)),MAX(0,$B$100-3*SQRT($B$100/P1345)),"")</f>
        <v/>
      </c>
      <c r="T1345" s="11">
        <f>IF(AND(ISNUMBER(P1345),ISNUMBER(Q1345),P1345&gt;0,ISNUMBER($B$100)),$B$100+3*SQRT($B$100/P1345),"")</f>
        <v/>
      </c>
      <c r="U1345" s="13">
        <f>IF(AND(ISNUMBER(R1345),ISNUMBER(S1345),ISNUMBER(T1345)),IF(R1345&gt;T1345,"boven UCL",IF(R1345&lt;S1345,"onder LCL","")),"")</f>
        <v/>
      </c>
    </row>
    <row r="1346">
      <c r="A1346" t="n">
        <v>1240</v>
      </c>
      <c r="B1346" s="7" t="n"/>
      <c r="C1346" s="11">
        <f>IF(AND(ISNUMBER(B1346),ISNUMBER(B1345)),ABS(B1346-B1345),"")</f>
        <v/>
      </c>
      <c r="D1346" s="13">
        <f>IF(AND(ISNUMBER(B1346),ISNUMBER($B$88),ISNUMBER($D$88)),IF(B1346&gt;$D$88,"boven UCL",IF(B1346&lt;$B$88,"onder LCL","")),"")</f>
        <v/>
      </c>
      <c r="E1346" s="13">
        <f>IF(AND(ISNUMBER(C1346),ISNUMBER($B$89),ISNUMBER($D$89)),IF(C1346&gt;$D$89,"boven UCL",IF(C1346&lt;$B$89,"onder LCL","")),"")</f>
        <v/>
      </c>
      <c r="G1346" t="n">
        <v>1240</v>
      </c>
      <c r="H1346" s="7" t="n"/>
      <c r="I1346" s="7" t="n"/>
      <c r="J1346" s="11">
        <f>IF(AND(ISNUMBER(H1346),ISNUMBER(I1346),H1346&gt;0,ISNUMBER($B$94)),I1346/H1346,"")</f>
        <v/>
      </c>
      <c r="K1346" s="11">
        <f>IF(AND(ISNUMBER(H1346),ISNUMBER(I1346),H1346&gt;0,ISNUMBER($B$94)),MAX(0,$B$94-3*SQRT($B$94*(1-$B$94)/H1346)),"")</f>
        <v/>
      </c>
      <c r="L1346" s="11">
        <f>IF(AND(ISNUMBER(H1346),ISNUMBER(I1346),H1346&gt;0,ISNUMBER($B$94)),$B$94+3*SQRT($B$94*(1-$B$94)/H1346),"")</f>
        <v/>
      </c>
      <c r="M1346" s="13">
        <f>IF(AND(ISNUMBER(J1346),ISNUMBER(K1346),ISNUMBER(L1346)),IF(J1346&gt;L1346,"boven UCL",IF(J1346&lt;K1346,"onder LCL","")),"")</f>
        <v/>
      </c>
      <c r="O1346" t="n">
        <v>1240</v>
      </c>
      <c r="P1346" s="7" t="n"/>
      <c r="Q1346" s="7" t="n"/>
      <c r="R1346" s="11">
        <f>IF(AND(ISNUMBER(P1346),ISNUMBER(Q1346),P1346&gt;0,ISNUMBER($B$100)),Q1346/P1346,"")</f>
        <v/>
      </c>
      <c r="S1346" s="11">
        <f>IF(AND(ISNUMBER(P1346),ISNUMBER(Q1346),P1346&gt;0,ISNUMBER($B$100)),MAX(0,$B$100-3*SQRT($B$100/P1346)),"")</f>
        <v/>
      </c>
      <c r="T1346" s="11">
        <f>IF(AND(ISNUMBER(P1346),ISNUMBER(Q1346),P1346&gt;0,ISNUMBER($B$100)),$B$100+3*SQRT($B$100/P1346),"")</f>
        <v/>
      </c>
      <c r="U1346" s="13">
        <f>IF(AND(ISNUMBER(R1346),ISNUMBER(S1346),ISNUMBER(T1346)),IF(R1346&gt;T1346,"boven UCL",IF(R1346&lt;S1346,"onder LCL","")),"")</f>
        <v/>
      </c>
    </row>
    <row r="1347">
      <c r="A1347" t="n">
        <v>1241</v>
      </c>
      <c r="B1347" s="7" t="n"/>
      <c r="C1347" s="11">
        <f>IF(AND(ISNUMBER(B1347),ISNUMBER(B1346)),ABS(B1347-B1346),"")</f>
        <v/>
      </c>
      <c r="D1347" s="13">
        <f>IF(AND(ISNUMBER(B1347),ISNUMBER($B$88),ISNUMBER($D$88)),IF(B1347&gt;$D$88,"boven UCL",IF(B1347&lt;$B$88,"onder LCL","")),"")</f>
        <v/>
      </c>
      <c r="E1347" s="13">
        <f>IF(AND(ISNUMBER(C1347),ISNUMBER($B$89),ISNUMBER($D$89)),IF(C1347&gt;$D$89,"boven UCL",IF(C1347&lt;$B$89,"onder LCL","")),"")</f>
        <v/>
      </c>
      <c r="G1347" t="n">
        <v>1241</v>
      </c>
      <c r="H1347" s="7" t="n"/>
      <c r="I1347" s="7" t="n"/>
      <c r="J1347" s="11">
        <f>IF(AND(ISNUMBER(H1347),ISNUMBER(I1347),H1347&gt;0,ISNUMBER($B$94)),I1347/H1347,"")</f>
        <v/>
      </c>
      <c r="K1347" s="11">
        <f>IF(AND(ISNUMBER(H1347),ISNUMBER(I1347),H1347&gt;0,ISNUMBER($B$94)),MAX(0,$B$94-3*SQRT($B$94*(1-$B$94)/H1347)),"")</f>
        <v/>
      </c>
      <c r="L1347" s="11">
        <f>IF(AND(ISNUMBER(H1347),ISNUMBER(I1347),H1347&gt;0,ISNUMBER($B$94)),$B$94+3*SQRT($B$94*(1-$B$94)/H1347),"")</f>
        <v/>
      </c>
      <c r="M1347" s="13">
        <f>IF(AND(ISNUMBER(J1347),ISNUMBER(K1347),ISNUMBER(L1347)),IF(J1347&gt;L1347,"boven UCL",IF(J1347&lt;K1347,"onder LCL","")),"")</f>
        <v/>
      </c>
      <c r="O1347" t="n">
        <v>1241</v>
      </c>
      <c r="P1347" s="7" t="n"/>
      <c r="Q1347" s="7" t="n"/>
      <c r="R1347" s="11">
        <f>IF(AND(ISNUMBER(P1347),ISNUMBER(Q1347),P1347&gt;0,ISNUMBER($B$100)),Q1347/P1347,"")</f>
        <v/>
      </c>
      <c r="S1347" s="11">
        <f>IF(AND(ISNUMBER(P1347),ISNUMBER(Q1347),P1347&gt;0,ISNUMBER($B$100)),MAX(0,$B$100-3*SQRT($B$100/P1347)),"")</f>
        <v/>
      </c>
      <c r="T1347" s="11">
        <f>IF(AND(ISNUMBER(P1347),ISNUMBER(Q1347),P1347&gt;0,ISNUMBER($B$100)),$B$100+3*SQRT($B$100/P1347),"")</f>
        <v/>
      </c>
      <c r="U1347" s="13">
        <f>IF(AND(ISNUMBER(R1347),ISNUMBER(S1347),ISNUMBER(T1347)),IF(R1347&gt;T1347,"boven UCL",IF(R1347&lt;S1347,"onder LCL","")),"")</f>
        <v/>
      </c>
    </row>
    <row r="1348">
      <c r="A1348" t="n">
        <v>1242</v>
      </c>
      <c r="B1348" s="7" t="n"/>
      <c r="C1348" s="11">
        <f>IF(AND(ISNUMBER(B1348),ISNUMBER(B1347)),ABS(B1348-B1347),"")</f>
        <v/>
      </c>
      <c r="D1348" s="13">
        <f>IF(AND(ISNUMBER(B1348),ISNUMBER($B$88),ISNUMBER($D$88)),IF(B1348&gt;$D$88,"boven UCL",IF(B1348&lt;$B$88,"onder LCL","")),"")</f>
        <v/>
      </c>
      <c r="E1348" s="13">
        <f>IF(AND(ISNUMBER(C1348),ISNUMBER($B$89),ISNUMBER($D$89)),IF(C1348&gt;$D$89,"boven UCL",IF(C1348&lt;$B$89,"onder LCL","")),"")</f>
        <v/>
      </c>
      <c r="G1348" t="n">
        <v>1242</v>
      </c>
      <c r="H1348" s="7" t="n"/>
      <c r="I1348" s="7" t="n"/>
      <c r="J1348" s="11">
        <f>IF(AND(ISNUMBER(H1348),ISNUMBER(I1348),H1348&gt;0,ISNUMBER($B$94)),I1348/H1348,"")</f>
        <v/>
      </c>
      <c r="K1348" s="11">
        <f>IF(AND(ISNUMBER(H1348),ISNUMBER(I1348),H1348&gt;0,ISNUMBER($B$94)),MAX(0,$B$94-3*SQRT($B$94*(1-$B$94)/H1348)),"")</f>
        <v/>
      </c>
      <c r="L1348" s="11">
        <f>IF(AND(ISNUMBER(H1348),ISNUMBER(I1348),H1348&gt;0,ISNUMBER($B$94)),$B$94+3*SQRT($B$94*(1-$B$94)/H1348),"")</f>
        <v/>
      </c>
      <c r="M1348" s="13">
        <f>IF(AND(ISNUMBER(J1348),ISNUMBER(K1348),ISNUMBER(L1348)),IF(J1348&gt;L1348,"boven UCL",IF(J1348&lt;K1348,"onder LCL","")),"")</f>
        <v/>
      </c>
      <c r="O1348" t="n">
        <v>1242</v>
      </c>
      <c r="P1348" s="7" t="n"/>
      <c r="Q1348" s="7" t="n"/>
      <c r="R1348" s="11">
        <f>IF(AND(ISNUMBER(P1348),ISNUMBER(Q1348),P1348&gt;0,ISNUMBER($B$100)),Q1348/P1348,"")</f>
        <v/>
      </c>
      <c r="S1348" s="11">
        <f>IF(AND(ISNUMBER(P1348),ISNUMBER(Q1348),P1348&gt;0,ISNUMBER($B$100)),MAX(0,$B$100-3*SQRT($B$100/P1348)),"")</f>
        <v/>
      </c>
      <c r="T1348" s="11">
        <f>IF(AND(ISNUMBER(P1348),ISNUMBER(Q1348),P1348&gt;0,ISNUMBER($B$100)),$B$100+3*SQRT($B$100/P1348),"")</f>
        <v/>
      </c>
      <c r="U1348" s="13">
        <f>IF(AND(ISNUMBER(R1348),ISNUMBER(S1348),ISNUMBER(T1348)),IF(R1348&gt;T1348,"boven UCL",IF(R1348&lt;S1348,"onder LCL","")),"")</f>
        <v/>
      </c>
    </row>
    <row r="1349">
      <c r="A1349" t="n">
        <v>1243</v>
      </c>
      <c r="B1349" s="7" t="n"/>
      <c r="C1349" s="11">
        <f>IF(AND(ISNUMBER(B1349),ISNUMBER(B1348)),ABS(B1349-B1348),"")</f>
        <v/>
      </c>
      <c r="D1349" s="13">
        <f>IF(AND(ISNUMBER(B1349),ISNUMBER($B$88),ISNUMBER($D$88)),IF(B1349&gt;$D$88,"boven UCL",IF(B1349&lt;$B$88,"onder LCL","")),"")</f>
        <v/>
      </c>
      <c r="E1349" s="13">
        <f>IF(AND(ISNUMBER(C1349),ISNUMBER($B$89),ISNUMBER($D$89)),IF(C1349&gt;$D$89,"boven UCL",IF(C1349&lt;$B$89,"onder LCL","")),"")</f>
        <v/>
      </c>
      <c r="G1349" t="n">
        <v>1243</v>
      </c>
      <c r="H1349" s="7" t="n"/>
      <c r="I1349" s="7" t="n"/>
      <c r="J1349" s="11">
        <f>IF(AND(ISNUMBER(H1349),ISNUMBER(I1349),H1349&gt;0,ISNUMBER($B$94)),I1349/H1349,"")</f>
        <v/>
      </c>
      <c r="K1349" s="11">
        <f>IF(AND(ISNUMBER(H1349),ISNUMBER(I1349),H1349&gt;0,ISNUMBER($B$94)),MAX(0,$B$94-3*SQRT($B$94*(1-$B$94)/H1349)),"")</f>
        <v/>
      </c>
      <c r="L1349" s="11">
        <f>IF(AND(ISNUMBER(H1349),ISNUMBER(I1349),H1349&gt;0,ISNUMBER($B$94)),$B$94+3*SQRT($B$94*(1-$B$94)/H1349),"")</f>
        <v/>
      </c>
      <c r="M1349" s="13">
        <f>IF(AND(ISNUMBER(J1349),ISNUMBER(K1349),ISNUMBER(L1349)),IF(J1349&gt;L1349,"boven UCL",IF(J1349&lt;K1349,"onder LCL","")),"")</f>
        <v/>
      </c>
      <c r="O1349" t="n">
        <v>1243</v>
      </c>
      <c r="P1349" s="7" t="n"/>
      <c r="Q1349" s="7" t="n"/>
      <c r="R1349" s="11">
        <f>IF(AND(ISNUMBER(P1349),ISNUMBER(Q1349),P1349&gt;0,ISNUMBER($B$100)),Q1349/P1349,"")</f>
        <v/>
      </c>
      <c r="S1349" s="11">
        <f>IF(AND(ISNUMBER(P1349),ISNUMBER(Q1349),P1349&gt;0,ISNUMBER($B$100)),MAX(0,$B$100-3*SQRT($B$100/P1349)),"")</f>
        <v/>
      </c>
      <c r="T1349" s="11">
        <f>IF(AND(ISNUMBER(P1349),ISNUMBER(Q1349),P1349&gt;0,ISNUMBER($B$100)),$B$100+3*SQRT($B$100/P1349),"")</f>
        <v/>
      </c>
      <c r="U1349" s="13">
        <f>IF(AND(ISNUMBER(R1349),ISNUMBER(S1349),ISNUMBER(T1349)),IF(R1349&gt;T1349,"boven UCL",IF(R1349&lt;S1349,"onder LCL","")),"")</f>
        <v/>
      </c>
    </row>
    <row r="1350">
      <c r="A1350" t="n">
        <v>1244</v>
      </c>
      <c r="B1350" s="7" t="n"/>
      <c r="C1350" s="11">
        <f>IF(AND(ISNUMBER(B1350),ISNUMBER(B1349)),ABS(B1350-B1349),"")</f>
        <v/>
      </c>
      <c r="D1350" s="13">
        <f>IF(AND(ISNUMBER(B1350),ISNUMBER($B$88),ISNUMBER($D$88)),IF(B1350&gt;$D$88,"boven UCL",IF(B1350&lt;$B$88,"onder LCL","")),"")</f>
        <v/>
      </c>
      <c r="E1350" s="13">
        <f>IF(AND(ISNUMBER(C1350),ISNUMBER($B$89),ISNUMBER($D$89)),IF(C1350&gt;$D$89,"boven UCL",IF(C1350&lt;$B$89,"onder LCL","")),"")</f>
        <v/>
      </c>
      <c r="G1350" t="n">
        <v>1244</v>
      </c>
      <c r="H1350" s="7" t="n"/>
      <c r="I1350" s="7" t="n"/>
      <c r="J1350" s="11">
        <f>IF(AND(ISNUMBER(H1350),ISNUMBER(I1350),H1350&gt;0,ISNUMBER($B$94)),I1350/H1350,"")</f>
        <v/>
      </c>
      <c r="K1350" s="11">
        <f>IF(AND(ISNUMBER(H1350),ISNUMBER(I1350),H1350&gt;0,ISNUMBER($B$94)),MAX(0,$B$94-3*SQRT($B$94*(1-$B$94)/H1350)),"")</f>
        <v/>
      </c>
      <c r="L1350" s="11">
        <f>IF(AND(ISNUMBER(H1350),ISNUMBER(I1350),H1350&gt;0,ISNUMBER($B$94)),$B$94+3*SQRT($B$94*(1-$B$94)/H1350),"")</f>
        <v/>
      </c>
      <c r="M1350" s="13">
        <f>IF(AND(ISNUMBER(J1350),ISNUMBER(K1350),ISNUMBER(L1350)),IF(J1350&gt;L1350,"boven UCL",IF(J1350&lt;K1350,"onder LCL","")),"")</f>
        <v/>
      </c>
      <c r="O1350" t="n">
        <v>1244</v>
      </c>
      <c r="P1350" s="7" t="n"/>
      <c r="Q1350" s="7" t="n"/>
      <c r="R1350" s="11">
        <f>IF(AND(ISNUMBER(P1350),ISNUMBER(Q1350),P1350&gt;0,ISNUMBER($B$100)),Q1350/P1350,"")</f>
        <v/>
      </c>
      <c r="S1350" s="11">
        <f>IF(AND(ISNUMBER(P1350),ISNUMBER(Q1350),P1350&gt;0,ISNUMBER($B$100)),MAX(0,$B$100-3*SQRT($B$100/P1350)),"")</f>
        <v/>
      </c>
      <c r="T1350" s="11">
        <f>IF(AND(ISNUMBER(P1350),ISNUMBER(Q1350),P1350&gt;0,ISNUMBER($B$100)),$B$100+3*SQRT($B$100/P1350),"")</f>
        <v/>
      </c>
      <c r="U1350" s="13">
        <f>IF(AND(ISNUMBER(R1350),ISNUMBER(S1350),ISNUMBER(T1350)),IF(R1350&gt;T1350,"boven UCL",IF(R1350&lt;S1350,"onder LCL","")),"")</f>
        <v/>
      </c>
    </row>
    <row r="1351">
      <c r="A1351" t="n">
        <v>1245</v>
      </c>
      <c r="B1351" s="7" t="n"/>
      <c r="C1351" s="11">
        <f>IF(AND(ISNUMBER(B1351),ISNUMBER(B1350)),ABS(B1351-B1350),"")</f>
        <v/>
      </c>
      <c r="D1351" s="13">
        <f>IF(AND(ISNUMBER(B1351),ISNUMBER($B$88),ISNUMBER($D$88)),IF(B1351&gt;$D$88,"boven UCL",IF(B1351&lt;$B$88,"onder LCL","")),"")</f>
        <v/>
      </c>
      <c r="E1351" s="13">
        <f>IF(AND(ISNUMBER(C1351),ISNUMBER($B$89),ISNUMBER($D$89)),IF(C1351&gt;$D$89,"boven UCL",IF(C1351&lt;$B$89,"onder LCL","")),"")</f>
        <v/>
      </c>
      <c r="G1351" t="n">
        <v>1245</v>
      </c>
      <c r="H1351" s="7" t="n"/>
      <c r="I1351" s="7" t="n"/>
      <c r="J1351" s="11">
        <f>IF(AND(ISNUMBER(H1351),ISNUMBER(I1351),H1351&gt;0,ISNUMBER($B$94)),I1351/H1351,"")</f>
        <v/>
      </c>
      <c r="K1351" s="11">
        <f>IF(AND(ISNUMBER(H1351),ISNUMBER(I1351),H1351&gt;0,ISNUMBER($B$94)),MAX(0,$B$94-3*SQRT($B$94*(1-$B$94)/H1351)),"")</f>
        <v/>
      </c>
      <c r="L1351" s="11">
        <f>IF(AND(ISNUMBER(H1351),ISNUMBER(I1351),H1351&gt;0,ISNUMBER($B$94)),$B$94+3*SQRT($B$94*(1-$B$94)/H1351),"")</f>
        <v/>
      </c>
      <c r="M1351" s="13">
        <f>IF(AND(ISNUMBER(J1351),ISNUMBER(K1351),ISNUMBER(L1351)),IF(J1351&gt;L1351,"boven UCL",IF(J1351&lt;K1351,"onder LCL","")),"")</f>
        <v/>
      </c>
      <c r="O1351" t="n">
        <v>1245</v>
      </c>
      <c r="P1351" s="7" t="n"/>
      <c r="Q1351" s="7" t="n"/>
      <c r="R1351" s="11">
        <f>IF(AND(ISNUMBER(P1351),ISNUMBER(Q1351),P1351&gt;0,ISNUMBER($B$100)),Q1351/P1351,"")</f>
        <v/>
      </c>
      <c r="S1351" s="11">
        <f>IF(AND(ISNUMBER(P1351),ISNUMBER(Q1351),P1351&gt;0,ISNUMBER($B$100)),MAX(0,$B$100-3*SQRT($B$100/P1351)),"")</f>
        <v/>
      </c>
      <c r="T1351" s="11">
        <f>IF(AND(ISNUMBER(P1351),ISNUMBER(Q1351),P1351&gt;0,ISNUMBER($B$100)),$B$100+3*SQRT($B$100/P1351),"")</f>
        <v/>
      </c>
      <c r="U1351" s="13">
        <f>IF(AND(ISNUMBER(R1351),ISNUMBER(S1351),ISNUMBER(T1351)),IF(R1351&gt;T1351,"boven UCL",IF(R1351&lt;S1351,"onder LCL","")),"")</f>
        <v/>
      </c>
    </row>
    <row r="1352">
      <c r="A1352" t="n">
        <v>1246</v>
      </c>
      <c r="B1352" s="7" t="n"/>
      <c r="C1352" s="11">
        <f>IF(AND(ISNUMBER(B1352),ISNUMBER(B1351)),ABS(B1352-B1351),"")</f>
        <v/>
      </c>
      <c r="D1352" s="13">
        <f>IF(AND(ISNUMBER(B1352),ISNUMBER($B$88),ISNUMBER($D$88)),IF(B1352&gt;$D$88,"boven UCL",IF(B1352&lt;$B$88,"onder LCL","")),"")</f>
        <v/>
      </c>
      <c r="E1352" s="13">
        <f>IF(AND(ISNUMBER(C1352),ISNUMBER($B$89),ISNUMBER($D$89)),IF(C1352&gt;$D$89,"boven UCL",IF(C1352&lt;$B$89,"onder LCL","")),"")</f>
        <v/>
      </c>
      <c r="G1352" t="n">
        <v>1246</v>
      </c>
      <c r="H1352" s="7" t="n"/>
      <c r="I1352" s="7" t="n"/>
      <c r="J1352" s="11">
        <f>IF(AND(ISNUMBER(H1352),ISNUMBER(I1352),H1352&gt;0,ISNUMBER($B$94)),I1352/H1352,"")</f>
        <v/>
      </c>
      <c r="K1352" s="11">
        <f>IF(AND(ISNUMBER(H1352),ISNUMBER(I1352),H1352&gt;0,ISNUMBER($B$94)),MAX(0,$B$94-3*SQRT($B$94*(1-$B$94)/H1352)),"")</f>
        <v/>
      </c>
      <c r="L1352" s="11">
        <f>IF(AND(ISNUMBER(H1352),ISNUMBER(I1352),H1352&gt;0,ISNUMBER($B$94)),$B$94+3*SQRT($B$94*(1-$B$94)/H1352),"")</f>
        <v/>
      </c>
      <c r="M1352" s="13">
        <f>IF(AND(ISNUMBER(J1352),ISNUMBER(K1352),ISNUMBER(L1352)),IF(J1352&gt;L1352,"boven UCL",IF(J1352&lt;K1352,"onder LCL","")),"")</f>
        <v/>
      </c>
      <c r="O1352" t="n">
        <v>1246</v>
      </c>
      <c r="P1352" s="7" t="n"/>
      <c r="Q1352" s="7" t="n"/>
      <c r="R1352" s="11">
        <f>IF(AND(ISNUMBER(P1352),ISNUMBER(Q1352),P1352&gt;0,ISNUMBER($B$100)),Q1352/P1352,"")</f>
        <v/>
      </c>
      <c r="S1352" s="11">
        <f>IF(AND(ISNUMBER(P1352),ISNUMBER(Q1352),P1352&gt;0,ISNUMBER($B$100)),MAX(0,$B$100-3*SQRT($B$100/P1352)),"")</f>
        <v/>
      </c>
      <c r="T1352" s="11">
        <f>IF(AND(ISNUMBER(P1352),ISNUMBER(Q1352),P1352&gt;0,ISNUMBER($B$100)),$B$100+3*SQRT($B$100/P1352),"")</f>
        <v/>
      </c>
      <c r="U1352" s="13">
        <f>IF(AND(ISNUMBER(R1352),ISNUMBER(S1352),ISNUMBER(T1352)),IF(R1352&gt;T1352,"boven UCL",IF(R1352&lt;S1352,"onder LCL","")),"")</f>
        <v/>
      </c>
    </row>
    <row r="1353">
      <c r="A1353" t="n">
        <v>1247</v>
      </c>
      <c r="B1353" s="7" t="n"/>
      <c r="C1353" s="11">
        <f>IF(AND(ISNUMBER(B1353),ISNUMBER(B1352)),ABS(B1353-B1352),"")</f>
        <v/>
      </c>
      <c r="D1353" s="13">
        <f>IF(AND(ISNUMBER(B1353),ISNUMBER($B$88),ISNUMBER($D$88)),IF(B1353&gt;$D$88,"boven UCL",IF(B1353&lt;$B$88,"onder LCL","")),"")</f>
        <v/>
      </c>
      <c r="E1353" s="13">
        <f>IF(AND(ISNUMBER(C1353),ISNUMBER($B$89),ISNUMBER($D$89)),IF(C1353&gt;$D$89,"boven UCL",IF(C1353&lt;$B$89,"onder LCL","")),"")</f>
        <v/>
      </c>
      <c r="G1353" t="n">
        <v>1247</v>
      </c>
      <c r="H1353" s="7" t="n"/>
      <c r="I1353" s="7" t="n"/>
      <c r="J1353" s="11">
        <f>IF(AND(ISNUMBER(H1353),ISNUMBER(I1353),H1353&gt;0,ISNUMBER($B$94)),I1353/H1353,"")</f>
        <v/>
      </c>
      <c r="K1353" s="11">
        <f>IF(AND(ISNUMBER(H1353),ISNUMBER(I1353),H1353&gt;0,ISNUMBER($B$94)),MAX(0,$B$94-3*SQRT($B$94*(1-$B$94)/H1353)),"")</f>
        <v/>
      </c>
      <c r="L1353" s="11">
        <f>IF(AND(ISNUMBER(H1353),ISNUMBER(I1353),H1353&gt;0,ISNUMBER($B$94)),$B$94+3*SQRT($B$94*(1-$B$94)/H1353),"")</f>
        <v/>
      </c>
      <c r="M1353" s="13">
        <f>IF(AND(ISNUMBER(J1353),ISNUMBER(K1353),ISNUMBER(L1353)),IF(J1353&gt;L1353,"boven UCL",IF(J1353&lt;K1353,"onder LCL","")),"")</f>
        <v/>
      </c>
      <c r="O1353" t="n">
        <v>1247</v>
      </c>
      <c r="P1353" s="7" t="n"/>
      <c r="Q1353" s="7" t="n"/>
      <c r="R1353" s="11">
        <f>IF(AND(ISNUMBER(P1353),ISNUMBER(Q1353),P1353&gt;0,ISNUMBER($B$100)),Q1353/P1353,"")</f>
        <v/>
      </c>
      <c r="S1353" s="11">
        <f>IF(AND(ISNUMBER(P1353),ISNUMBER(Q1353),P1353&gt;0,ISNUMBER($B$100)),MAX(0,$B$100-3*SQRT($B$100/P1353)),"")</f>
        <v/>
      </c>
      <c r="T1353" s="11">
        <f>IF(AND(ISNUMBER(P1353),ISNUMBER(Q1353),P1353&gt;0,ISNUMBER($B$100)),$B$100+3*SQRT($B$100/P1353),"")</f>
        <v/>
      </c>
      <c r="U1353" s="13">
        <f>IF(AND(ISNUMBER(R1353),ISNUMBER(S1353),ISNUMBER(T1353)),IF(R1353&gt;T1353,"boven UCL",IF(R1353&lt;S1353,"onder LCL","")),"")</f>
        <v/>
      </c>
    </row>
    <row r="1354">
      <c r="A1354" t="n">
        <v>1248</v>
      </c>
      <c r="B1354" s="7" t="n"/>
      <c r="C1354" s="11">
        <f>IF(AND(ISNUMBER(B1354),ISNUMBER(B1353)),ABS(B1354-B1353),"")</f>
        <v/>
      </c>
      <c r="D1354" s="13">
        <f>IF(AND(ISNUMBER(B1354),ISNUMBER($B$88),ISNUMBER($D$88)),IF(B1354&gt;$D$88,"boven UCL",IF(B1354&lt;$B$88,"onder LCL","")),"")</f>
        <v/>
      </c>
      <c r="E1354" s="13">
        <f>IF(AND(ISNUMBER(C1354),ISNUMBER($B$89),ISNUMBER($D$89)),IF(C1354&gt;$D$89,"boven UCL",IF(C1354&lt;$B$89,"onder LCL","")),"")</f>
        <v/>
      </c>
      <c r="G1354" t="n">
        <v>1248</v>
      </c>
      <c r="H1354" s="7" t="n"/>
      <c r="I1354" s="7" t="n"/>
      <c r="J1354" s="11">
        <f>IF(AND(ISNUMBER(H1354),ISNUMBER(I1354),H1354&gt;0,ISNUMBER($B$94)),I1354/H1354,"")</f>
        <v/>
      </c>
      <c r="K1354" s="11">
        <f>IF(AND(ISNUMBER(H1354),ISNUMBER(I1354),H1354&gt;0,ISNUMBER($B$94)),MAX(0,$B$94-3*SQRT($B$94*(1-$B$94)/H1354)),"")</f>
        <v/>
      </c>
      <c r="L1354" s="11">
        <f>IF(AND(ISNUMBER(H1354),ISNUMBER(I1354),H1354&gt;0,ISNUMBER($B$94)),$B$94+3*SQRT($B$94*(1-$B$94)/H1354),"")</f>
        <v/>
      </c>
      <c r="M1354" s="13">
        <f>IF(AND(ISNUMBER(J1354),ISNUMBER(K1354),ISNUMBER(L1354)),IF(J1354&gt;L1354,"boven UCL",IF(J1354&lt;K1354,"onder LCL","")),"")</f>
        <v/>
      </c>
      <c r="O1354" t="n">
        <v>1248</v>
      </c>
      <c r="P1354" s="7" t="n"/>
      <c r="Q1354" s="7" t="n"/>
      <c r="R1354" s="11">
        <f>IF(AND(ISNUMBER(P1354),ISNUMBER(Q1354),P1354&gt;0,ISNUMBER($B$100)),Q1354/P1354,"")</f>
        <v/>
      </c>
      <c r="S1354" s="11">
        <f>IF(AND(ISNUMBER(P1354),ISNUMBER(Q1354),P1354&gt;0,ISNUMBER($B$100)),MAX(0,$B$100-3*SQRT($B$100/P1354)),"")</f>
        <v/>
      </c>
      <c r="T1354" s="11">
        <f>IF(AND(ISNUMBER(P1354),ISNUMBER(Q1354),P1354&gt;0,ISNUMBER($B$100)),$B$100+3*SQRT($B$100/P1354),"")</f>
        <v/>
      </c>
      <c r="U1354" s="13">
        <f>IF(AND(ISNUMBER(R1354),ISNUMBER(S1354),ISNUMBER(T1354)),IF(R1354&gt;T1354,"boven UCL",IF(R1354&lt;S1354,"onder LCL","")),"")</f>
        <v/>
      </c>
    </row>
    <row r="1355">
      <c r="A1355" t="n">
        <v>1249</v>
      </c>
      <c r="B1355" s="7" t="n"/>
      <c r="C1355" s="11">
        <f>IF(AND(ISNUMBER(B1355),ISNUMBER(B1354)),ABS(B1355-B1354),"")</f>
        <v/>
      </c>
      <c r="D1355" s="13">
        <f>IF(AND(ISNUMBER(B1355),ISNUMBER($B$88),ISNUMBER($D$88)),IF(B1355&gt;$D$88,"boven UCL",IF(B1355&lt;$B$88,"onder LCL","")),"")</f>
        <v/>
      </c>
      <c r="E1355" s="13">
        <f>IF(AND(ISNUMBER(C1355),ISNUMBER($B$89),ISNUMBER($D$89)),IF(C1355&gt;$D$89,"boven UCL",IF(C1355&lt;$B$89,"onder LCL","")),"")</f>
        <v/>
      </c>
      <c r="G1355" t="n">
        <v>1249</v>
      </c>
      <c r="H1355" s="7" t="n"/>
      <c r="I1355" s="7" t="n"/>
      <c r="J1355" s="11">
        <f>IF(AND(ISNUMBER(H1355),ISNUMBER(I1355),H1355&gt;0,ISNUMBER($B$94)),I1355/H1355,"")</f>
        <v/>
      </c>
      <c r="K1355" s="11">
        <f>IF(AND(ISNUMBER(H1355),ISNUMBER(I1355),H1355&gt;0,ISNUMBER($B$94)),MAX(0,$B$94-3*SQRT($B$94*(1-$B$94)/H1355)),"")</f>
        <v/>
      </c>
      <c r="L1355" s="11">
        <f>IF(AND(ISNUMBER(H1355),ISNUMBER(I1355),H1355&gt;0,ISNUMBER($B$94)),$B$94+3*SQRT($B$94*(1-$B$94)/H1355),"")</f>
        <v/>
      </c>
      <c r="M1355" s="13">
        <f>IF(AND(ISNUMBER(J1355),ISNUMBER(K1355),ISNUMBER(L1355)),IF(J1355&gt;L1355,"boven UCL",IF(J1355&lt;K1355,"onder LCL","")),"")</f>
        <v/>
      </c>
      <c r="O1355" t="n">
        <v>1249</v>
      </c>
      <c r="P1355" s="7" t="n"/>
      <c r="Q1355" s="7" t="n"/>
      <c r="R1355" s="11">
        <f>IF(AND(ISNUMBER(P1355),ISNUMBER(Q1355),P1355&gt;0,ISNUMBER($B$100)),Q1355/P1355,"")</f>
        <v/>
      </c>
      <c r="S1355" s="11">
        <f>IF(AND(ISNUMBER(P1355),ISNUMBER(Q1355),P1355&gt;0,ISNUMBER($B$100)),MAX(0,$B$100-3*SQRT($B$100/P1355)),"")</f>
        <v/>
      </c>
      <c r="T1355" s="11">
        <f>IF(AND(ISNUMBER(P1355),ISNUMBER(Q1355),P1355&gt;0,ISNUMBER($B$100)),$B$100+3*SQRT($B$100/P1355),"")</f>
        <v/>
      </c>
      <c r="U1355" s="13">
        <f>IF(AND(ISNUMBER(R1355),ISNUMBER(S1355),ISNUMBER(T1355)),IF(R1355&gt;T1355,"boven UCL",IF(R1355&lt;S1355,"onder LCL","")),"")</f>
        <v/>
      </c>
    </row>
    <row r="1356">
      <c r="A1356" t="n">
        <v>1250</v>
      </c>
      <c r="B1356" s="7" t="n"/>
      <c r="C1356" s="11">
        <f>IF(AND(ISNUMBER(B1356),ISNUMBER(B1355)),ABS(B1356-B1355),"")</f>
        <v/>
      </c>
      <c r="D1356" s="13">
        <f>IF(AND(ISNUMBER(B1356),ISNUMBER($B$88),ISNUMBER($D$88)),IF(B1356&gt;$D$88,"boven UCL",IF(B1356&lt;$B$88,"onder LCL","")),"")</f>
        <v/>
      </c>
      <c r="E1356" s="13">
        <f>IF(AND(ISNUMBER(C1356),ISNUMBER($B$89),ISNUMBER($D$89)),IF(C1356&gt;$D$89,"boven UCL",IF(C1356&lt;$B$89,"onder LCL","")),"")</f>
        <v/>
      </c>
      <c r="G1356" t="n">
        <v>1250</v>
      </c>
      <c r="H1356" s="7" t="n"/>
      <c r="I1356" s="7" t="n"/>
      <c r="J1356" s="11">
        <f>IF(AND(ISNUMBER(H1356),ISNUMBER(I1356),H1356&gt;0,ISNUMBER($B$94)),I1356/H1356,"")</f>
        <v/>
      </c>
      <c r="K1356" s="11">
        <f>IF(AND(ISNUMBER(H1356),ISNUMBER(I1356),H1356&gt;0,ISNUMBER($B$94)),MAX(0,$B$94-3*SQRT($B$94*(1-$B$94)/H1356)),"")</f>
        <v/>
      </c>
      <c r="L1356" s="11">
        <f>IF(AND(ISNUMBER(H1356),ISNUMBER(I1356),H1356&gt;0,ISNUMBER($B$94)),$B$94+3*SQRT($B$94*(1-$B$94)/H1356),"")</f>
        <v/>
      </c>
      <c r="M1356" s="13">
        <f>IF(AND(ISNUMBER(J1356),ISNUMBER(K1356),ISNUMBER(L1356)),IF(J1356&gt;L1356,"boven UCL",IF(J1356&lt;K1356,"onder LCL","")),"")</f>
        <v/>
      </c>
      <c r="O1356" t="n">
        <v>1250</v>
      </c>
      <c r="P1356" s="7" t="n"/>
      <c r="Q1356" s="7" t="n"/>
      <c r="R1356" s="11">
        <f>IF(AND(ISNUMBER(P1356),ISNUMBER(Q1356),P1356&gt;0,ISNUMBER($B$100)),Q1356/P1356,"")</f>
        <v/>
      </c>
      <c r="S1356" s="11">
        <f>IF(AND(ISNUMBER(P1356),ISNUMBER(Q1356),P1356&gt;0,ISNUMBER($B$100)),MAX(0,$B$100-3*SQRT($B$100/P1356)),"")</f>
        <v/>
      </c>
      <c r="T1356" s="11">
        <f>IF(AND(ISNUMBER(P1356),ISNUMBER(Q1356),P1356&gt;0,ISNUMBER($B$100)),$B$100+3*SQRT($B$100/P1356),"")</f>
        <v/>
      </c>
      <c r="U1356" s="13">
        <f>IF(AND(ISNUMBER(R1356),ISNUMBER(S1356),ISNUMBER(T1356)),IF(R1356&gt;T1356,"boven UCL",IF(R1356&lt;S1356,"onder LCL","")),"")</f>
        <v/>
      </c>
    </row>
    <row r="1357">
      <c r="A1357" t="n">
        <v>1251</v>
      </c>
      <c r="B1357" s="7" t="n"/>
      <c r="C1357" s="11">
        <f>IF(AND(ISNUMBER(B1357),ISNUMBER(B1356)),ABS(B1357-B1356),"")</f>
        <v/>
      </c>
      <c r="D1357" s="13">
        <f>IF(AND(ISNUMBER(B1357),ISNUMBER($B$88),ISNUMBER($D$88)),IF(B1357&gt;$D$88,"boven UCL",IF(B1357&lt;$B$88,"onder LCL","")),"")</f>
        <v/>
      </c>
      <c r="E1357" s="13">
        <f>IF(AND(ISNUMBER(C1357),ISNUMBER($B$89),ISNUMBER($D$89)),IF(C1357&gt;$D$89,"boven UCL",IF(C1357&lt;$B$89,"onder LCL","")),"")</f>
        <v/>
      </c>
      <c r="G1357" t="n">
        <v>1251</v>
      </c>
      <c r="H1357" s="7" t="n"/>
      <c r="I1357" s="7" t="n"/>
      <c r="J1357" s="11">
        <f>IF(AND(ISNUMBER(H1357),ISNUMBER(I1357),H1357&gt;0,ISNUMBER($B$94)),I1357/H1357,"")</f>
        <v/>
      </c>
      <c r="K1357" s="11">
        <f>IF(AND(ISNUMBER(H1357),ISNUMBER(I1357),H1357&gt;0,ISNUMBER($B$94)),MAX(0,$B$94-3*SQRT($B$94*(1-$B$94)/H1357)),"")</f>
        <v/>
      </c>
      <c r="L1357" s="11">
        <f>IF(AND(ISNUMBER(H1357),ISNUMBER(I1357),H1357&gt;0,ISNUMBER($B$94)),$B$94+3*SQRT($B$94*(1-$B$94)/H1357),"")</f>
        <v/>
      </c>
      <c r="M1357" s="13">
        <f>IF(AND(ISNUMBER(J1357),ISNUMBER(K1357),ISNUMBER(L1357)),IF(J1357&gt;L1357,"boven UCL",IF(J1357&lt;K1357,"onder LCL","")),"")</f>
        <v/>
      </c>
      <c r="O1357" t="n">
        <v>1251</v>
      </c>
      <c r="P1357" s="7" t="n"/>
      <c r="Q1357" s="7" t="n"/>
      <c r="R1357" s="11">
        <f>IF(AND(ISNUMBER(P1357),ISNUMBER(Q1357),P1357&gt;0,ISNUMBER($B$100)),Q1357/P1357,"")</f>
        <v/>
      </c>
      <c r="S1357" s="11">
        <f>IF(AND(ISNUMBER(P1357),ISNUMBER(Q1357),P1357&gt;0,ISNUMBER($B$100)),MAX(0,$B$100-3*SQRT($B$100/P1357)),"")</f>
        <v/>
      </c>
      <c r="T1357" s="11">
        <f>IF(AND(ISNUMBER(P1357),ISNUMBER(Q1357),P1357&gt;0,ISNUMBER($B$100)),$B$100+3*SQRT($B$100/P1357),"")</f>
        <v/>
      </c>
      <c r="U1357" s="13">
        <f>IF(AND(ISNUMBER(R1357),ISNUMBER(S1357),ISNUMBER(T1357)),IF(R1357&gt;T1357,"boven UCL",IF(R1357&lt;S1357,"onder LCL","")),"")</f>
        <v/>
      </c>
    </row>
    <row r="1358">
      <c r="A1358" t="n">
        <v>1252</v>
      </c>
      <c r="B1358" s="7" t="n"/>
      <c r="C1358" s="11">
        <f>IF(AND(ISNUMBER(B1358),ISNUMBER(B1357)),ABS(B1358-B1357),"")</f>
        <v/>
      </c>
      <c r="D1358" s="13">
        <f>IF(AND(ISNUMBER(B1358),ISNUMBER($B$88),ISNUMBER($D$88)),IF(B1358&gt;$D$88,"boven UCL",IF(B1358&lt;$B$88,"onder LCL","")),"")</f>
        <v/>
      </c>
      <c r="E1358" s="13">
        <f>IF(AND(ISNUMBER(C1358),ISNUMBER($B$89),ISNUMBER($D$89)),IF(C1358&gt;$D$89,"boven UCL",IF(C1358&lt;$B$89,"onder LCL","")),"")</f>
        <v/>
      </c>
      <c r="G1358" t="n">
        <v>1252</v>
      </c>
      <c r="H1358" s="7" t="n"/>
      <c r="I1358" s="7" t="n"/>
      <c r="J1358" s="11">
        <f>IF(AND(ISNUMBER(H1358),ISNUMBER(I1358),H1358&gt;0,ISNUMBER($B$94)),I1358/H1358,"")</f>
        <v/>
      </c>
      <c r="K1358" s="11">
        <f>IF(AND(ISNUMBER(H1358),ISNUMBER(I1358),H1358&gt;0,ISNUMBER($B$94)),MAX(0,$B$94-3*SQRT($B$94*(1-$B$94)/H1358)),"")</f>
        <v/>
      </c>
      <c r="L1358" s="11">
        <f>IF(AND(ISNUMBER(H1358),ISNUMBER(I1358),H1358&gt;0,ISNUMBER($B$94)),$B$94+3*SQRT($B$94*(1-$B$94)/H1358),"")</f>
        <v/>
      </c>
      <c r="M1358" s="13">
        <f>IF(AND(ISNUMBER(J1358),ISNUMBER(K1358),ISNUMBER(L1358)),IF(J1358&gt;L1358,"boven UCL",IF(J1358&lt;K1358,"onder LCL","")),"")</f>
        <v/>
      </c>
      <c r="O1358" t="n">
        <v>1252</v>
      </c>
      <c r="P1358" s="7" t="n"/>
      <c r="Q1358" s="7" t="n"/>
      <c r="R1358" s="11">
        <f>IF(AND(ISNUMBER(P1358),ISNUMBER(Q1358),P1358&gt;0,ISNUMBER($B$100)),Q1358/P1358,"")</f>
        <v/>
      </c>
      <c r="S1358" s="11">
        <f>IF(AND(ISNUMBER(P1358),ISNUMBER(Q1358),P1358&gt;0,ISNUMBER($B$100)),MAX(0,$B$100-3*SQRT($B$100/P1358)),"")</f>
        <v/>
      </c>
      <c r="T1358" s="11">
        <f>IF(AND(ISNUMBER(P1358),ISNUMBER(Q1358),P1358&gt;0,ISNUMBER($B$100)),$B$100+3*SQRT($B$100/P1358),"")</f>
        <v/>
      </c>
      <c r="U1358" s="13">
        <f>IF(AND(ISNUMBER(R1358),ISNUMBER(S1358),ISNUMBER(T1358)),IF(R1358&gt;T1358,"boven UCL",IF(R1358&lt;S1358,"onder LCL","")),"")</f>
        <v/>
      </c>
    </row>
    <row r="1359">
      <c r="A1359" t="n">
        <v>1253</v>
      </c>
      <c r="B1359" s="7" t="n"/>
      <c r="C1359" s="11">
        <f>IF(AND(ISNUMBER(B1359),ISNUMBER(B1358)),ABS(B1359-B1358),"")</f>
        <v/>
      </c>
      <c r="D1359" s="13">
        <f>IF(AND(ISNUMBER(B1359),ISNUMBER($B$88),ISNUMBER($D$88)),IF(B1359&gt;$D$88,"boven UCL",IF(B1359&lt;$B$88,"onder LCL","")),"")</f>
        <v/>
      </c>
      <c r="E1359" s="13">
        <f>IF(AND(ISNUMBER(C1359),ISNUMBER($B$89),ISNUMBER($D$89)),IF(C1359&gt;$D$89,"boven UCL",IF(C1359&lt;$B$89,"onder LCL","")),"")</f>
        <v/>
      </c>
      <c r="G1359" t="n">
        <v>1253</v>
      </c>
      <c r="H1359" s="7" t="n"/>
      <c r="I1359" s="7" t="n"/>
      <c r="J1359" s="11">
        <f>IF(AND(ISNUMBER(H1359),ISNUMBER(I1359),H1359&gt;0,ISNUMBER($B$94)),I1359/H1359,"")</f>
        <v/>
      </c>
      <c r="K1359" s="11">
        <f>IF(AND(ISNUMBER(H1359),ISNUMBER(I1359),H1359&gt;0,ISNUMBER($B$94)),MAX(0,$B$94-3*SQRT($B$94*(1-$B$94)/H1359)),"")</f>
        <v/>
      </c>
      <c r="L1359" s="11">
        <f>IF(AND(ISNUMBER(H1359),ISNUMBER(I1359),H1359&gt;0,ISNUMBER($B$94)),$B$94+3*SQRT($B$94*(1-$B$94)/H1359),"")</f>
        <v/>
      </c>
      <c r="M1359" s="13">
        <f>IF(AND(ISNUMBER(J1359),ISNUMBER(K1359),ISNUMBER(L1359)),IF(J1359&gt;L1359,"boven UCL",IF(J1359&lt;K1359,"onder LCL","")),"")</f>
        <v/>
      </c>
      <c r="O1359" t="n">
        <v>1253</v>
      </c>
      <c r="P1359" s="7" t="n"/>
      <c r="Q1359" s="7" t="n"/>
      <c r="R1359" s="11">
        <f>IF(AND(ISNUMBER(P1359),ISNUMBER(Q1359),P1359&gt;0,ISNUMBER($B$100)),Q1359/P1359,"")</f>
        <v/>
      </c>
      <c r="S1359" s="11">
        <f>IF(AND(ISNUMBER(P1359),ISNUMBER(Q1359),P1359&gt;0,ISNUMBER($B$100)),MAX(0,$B$100-3*SQRT($B$100/P1359)),"")</f>
        <v/>
      </c>
      <c r="T1359" s="11">
        <f>IF(AND(ISNUMBER(P1359),ISNUMBER(Q1359),P1359&gt;0,ISNUMBER($B$100)),$B$100+3*SQRT($B$100/P1359),"")</f>
        <v/>
      </c>
      <c r="U1359" s="13">
        <f>IF(AND(ISNUMBER(R1359),ISNUMBER(S1359),ISNUMBER(T1359)),IF(R1359&gt;T1359,"boven UCL",IF(R1359&lt;S1359,"onder LCL","")),"")</f>
        <v/>
      </c>
    </row>
    <row r="1360">
      <c r="A1360" t="n">
        <v>1254</v>
      </c>
      <c r="B1360" s="7" t="n"/>
      <c r="C1360" s="11">
        <f>IF(AND(ISNUMBER(B1360),ISNUMBER(B1359)),ABS(B1360-B1359),"")</f>
        <v/>
      </c>
      <c r="D1360" s="13">
        <f>IF(AND(ISNUMBER(B1360),ISNUMBER($B$88),ISNUMBER($D$88)),IF(B1360&gt;$D$88,"boven UCL",IF(B1360&lt;$B$88,"onder LCL","")),"")</f>
        <v/>
      </c>
      <c r="E1360" s="13">
        <f>IF(AND(ISNUMBER(C1360),ISNUMBER($B$89),ISNUMBER($D$89)),IF(C1360&gt;$D$89,"boven UCL",IF(C1360&lt;$B$89,"onder LCL","")),"")</f>
        <v/>
      </c>
      <c r="G1360" t="n">
        <v>1254</v>
      </c>
      <c r="H1360" s="7" t="n"/>
      <c r="I1360" s="7" t="n"/>
      <c r="J1360" s="11">
        <f>IF(AND(ISNUMBER(H1360),ISNUMBER(I1360),H1360&gt;0,ISNUMBER($B$94)),I1360/H1360,"")</f>
        <v/>
      </c>
      <c r="K1360" s="11">
        <f>IF(AND(ISNUMBER(H1360),ISNUMBER(I1360),H1360&gt;0,ISNUMBER($B$94)),MAX(0,$B$94-3*SQRT($B$94*(1-$B$94)/H1360)),"")</f>
        <v/>
      </c>
      <c r="L1360" s="11">
        <f>IF(AND(ISNUMBER(H1360),ISNUMBER(I1360),H1360&gt;0,ISNUMBER($B$94)),$B$94+3*SQRT($B$94*(1-$B$94)/H1360),"")</f>
        <v/>
      </c>
      <c r="M1360" s="13">
        <f>IF(AND(ISNUMBER(J1360),ISNUMBER(K1360),ISNUMBER(L1360)),IF(J1360&gt;L1360,"boven UCL",IF(J1360&lt;K1360,"onder LCL","")),"")</f>
        <v/>
      </c>
      <c r="O1360" t="n">
        <v>1254</v>
      </c>
      <c r="P1360" s="7" t="n"/>
      <c r="Q1360" s="7" t="n"/>
      <c r="R1360" s="11">
        <f>IF(AND(ISNUMBER(P1360),ISNUMBER(Q1360),P1360&gt;0,ISNUMBER($B$100)),Q1360/P1360,"")</f>
        <v/>
      </c>
      <c r="S1360" s="11">
        <f>IF(AND(ISNUMBER(P1360),ISNUMBER(Q1360),P1360&gt;0,ISNUMBER($B$100)),MAX(0,$B$100-3*SQRT($B$100/P1360)),"")</f>
        <v/>
      </c>
      <c r="T1360" s="11">
        <f>IF(AND(ISNUMBER(P1360),ISNUMBER(Q1360),P1360&gt;0,ISNUMBER($B$100)),$B$100+3*SQRT($B$100/P1360),"")</f>
        <v/>
      </c>
      <c r="U1360" s="13">
        <f>IF(AND(ISNUMBER(R1360),ISNUMBER(S1360),ISNUMBER(T1360)),IF(R1360&gt;T1360,"boven UCL",IF(R1360&lt;S1360,"onder LCL","")),"")</f>
        <v/>
      </c>
    </row>
    <row r="1361">
      <c r="A1361" t="n">
        <v>1255</v>
      </c>
      <c r="B1361" s="7" t="n"/>
      <c r="C1361" s="11">
        <f>IF(AND(ISNUMBER(B1361),ISNUMBER(B1360)),ABS(B1361-B1360),"")</f>
        <v/>
      </c>
      <c r="D1361" s="13">
        <f>IF(AND(ISNUMBER(B1361),ISNUMBER($B$88),ISNUMBER($D$88)),IF(B1361&gt;$D$88,"boven UCL",IF(B1361&lt;$B$88,"onder LCL","")),"")</f>
        <v/>
      </c>
      <c r="E1361" s="13">
        <f>IF(AND(ISNUMBER(C1361),ISNUMBER($B$89),ISNUMBER($D$89)),IF(C1361&gt;$D$89,"boven UCL",IF(C1361&lt;$B$89,"onder LCL","")),"")</f>
        <v/>
      </c>
      <c r="G1361" t="n">
        <v>1255</v>
      </c>
      <c r="H1361" s="7" t="n"/>
      <c r="I1361" s="7" t="n"/>
      <c r="J1361" s="11">
        <f>IF(AND(ISNUMBER(H1361),ISNUMBER(I1361),H1361&gt;0,ISNUMBER($B$94)),I1361/H1361,"")</f>
        <v/>
      </c>
      <c r="K1361" s="11">
        <f>IF(AND(ISNUMBER(H1361),ISNUMBER(I1361),H1361&gt;0,ISNUMBER($B$94)),MAX(0,$B$94-3*SQRT($B$94*(1-$B$94)/H1361)),"")</f>
        <v/>
      </c>
      <c r="L1361" s="11">
        <f>IF(AND(ISNUMBER(H1361),ISNUMBER(I1361),H1361&gt;0,ISNUMBER($B$94)),$B$94+3*SQRT($B$94*(1-$B$94)/H1361),"")</f>
        <v/>
      </c>
      <c r="M1361" s="13">
        <f>IF(AND(ISNUMBER(J1361),ISNUMBER(K1361),ISNUMBER(L1361)),IF(J1361&gt;L1361,"boven UCL",IF(J1361&lt;K1361,"onder LCL","")),"")</f>
        <v/>
      </c>
      <c r="O1361" t="n">
        <v>1255</v>
      </c>
      <c r="P1361" s="7" t="n"/>
      <c r="Q1361" s="7" t="n"/>
      <c r="R1361" s="11">
        <f>IF(AND(ISNUMBER(P1361),ISNUMBER(Q1361),P1361&gt;0,ISNUMBER($B$100)),Q1361/P1361,"")</f>
        <v/>
      </c>
      <c r="S1361" s="11">
        <f>IF(AND(ISNUMBER(P1361),ISNUMBER(Q1361),P1361&gt;0,ISNUMBER($B$100)),MAX(0,$B$100-3*SQRT($B$100/P1361)),"")</f>
        <v/>
      </c>
      <c r="T1361" s="11">
        <f>IF(AND(ISNUMBER(P1361),ISNUMBER(Q1361),P1361&gt;0,ISNUMBER($B$100)),$B$100+3*SQRT($B$100/P1361),"")</f>
        <v/>
      </c>
      <c r="U1361" s="13">
        <f>IF(AND(ISNUMBER(R1361),ISNUMBER(S1361),ISNUMBER(T1361)),IF(R1361&gt;T1361,"boven UCL",IF(R1361&lt;S1361,"onder LCL","")),"")</f>
        <v/>
      </c>
    </row>
    <row r="1362">
      <c r="A1362" t="n">
        <v>1256</v>
      </c>
      <c r="B1362" s="7" t="n"/>
      <c r="C1362" s="11">
        <f>IF(AND(ISNUMBER(B1362),ISNUMBER(B1361)),ABS(B1362-B1361),"")</f>
        <v/>
      </c>
      <c r="D1362" s="13">
        <f>IF(AND(ISNUMBER(B1362),ISNUMBER($B$88),ISNUMBER($D$88)),IF(B1362&gt;$D$88,"boven UCL",IF(B1362&lt;$B$88,"onder LCL","")),"")</f>
        <v/>
      </c>
      <c r="E1362" s="13">
        <f>IF(AND(ISNUMBER(C1362),ISNUMBER($B$89),ISNUMBER($D$89)),IF(C1362&gt;$D$89,"boven UCL",IF(C1362&lt;$B$89,"onder LCL","")),"")</f>
        <v/>
      </c>
      <c r="G1362" t="n">
        <v>1256</v>
      </c>
      <c r="H1362" s="7" t="n"/>
      <c r="I1362" s="7" t="n"/>
      <c r="J1362" s="11">
        <f>IF(AND(ISNUMBER(H1362),ISNUMBER(I1362),H1362&gt;0,ISNUMBER($B$94)),I1362/H1362,"")</f>
        <v/>
      </c>
      <c r="K1362" s="11">
        <f>IF(AND(ISNUMBER(H1362),ISNUMBER(I1362),H1362&gt;0,ISNUMBER($B$94)),MAX(0,$B$94-3*SQRT($B$94*(1-$B$94)/H1362)),"")</f>
        <v/>
      </c>
      <c r="L1362" s="11">
        <f>IF(AND(ISNUMBER(H1362),ISNUMBER(I1362),H1362&gt;0,ISNUMBER($B$94)),$B$94+3*SQRT($B$94*(1-$B$94)/H1362),"")</f>
        <v/>
      </c>
      <c r="M1362" s="13">
        <f>IF(AND(ISNUMBER(J1362),ISNUMBER(K1362),ISNUMBER(L1362)),IF(J1362&gt;L1362,"boven UCL",IF(J1362&lt;K1362,"onder LCL","")),"")</f>
        <v/>
      </c>
      <c r="O1362" t="n">
        <v>1256</v>
      </c>
      <c r="P1362" s="7" t="n"/>
      <c r="Q1362" s="7" t="n"/>
      <c r="R1362" s="11">
        <f>IF(AND(ISNUMBER(P1362),ISNUMBER(Q1362),P1362&gt;0,ISNUMBER($B$100)),Q1362/P1362,"")</f>
        <v/>
      </c>
      <c r="S1362" s="11">
        <f>IF(AND(ISNUMBER(P1362),ISNUMBER(Q1362),P1362&gt;0,ISNUMBER($B$100)),MAX(0,$B$100-3*SQRT($B$100/P1362)),"")</f>
        <v/>
      </c>
      <c r="T1362" s="11">
        <f>IF(AND(ISNUMBER(P1362),ISNUMBER(Q1362),P1362&gt;0,ISNUMBER($B$100)),$B$100+3*SQRT($B$100/P1362),"")</f>
        <v/>
      </c>
      <c r="U1362" s="13">
        <f>IF(AND(ISNUMBER(R1362),ISNUMBER(S1362),ISNUMBER(T1362)),IF(R1362&gt;T1362,"boven UCL",IF(R1362&lt;S1362,"onder LCL","")),"")</f>
        <v/>
      </c>
    </row>
    <row r="1363">
      <c r="A1363" t="n">
        <v>1257</v>
      </c>
      <c r="B1363" s="7" t="n"/>
      <c r="C1363" s="11">
        <f>IF(AND(ISNUMBER(B1363),ISNUMBER(B1362)),ABS(B1363-B1362),"")</f>
        <v/>
      </c>
      <c r="D1363" s="13">
        <f>IF(AND(ISNUMBER(B1363),ISNUMBER($B$88),ISNUMBER($D$88)),IF(B1363&gt;$D$88,"boven UCL",IF(B1363&lt;$B$88,"onder LCL","")),"")</f>
        <v/>
      </c>
      <c r="E1363" s="13">
        <f>IF(AND(ISNUMBER(C1363),ISNUMBER($B$89),ISNUMBER($D$89)),IF(C1363&gt;$D$89,"boven UCL",IF(C1363&lt;$B$89,"onder LCL","")),"")</f>
        <v/>
      </c>
      <c r="G1363" t="n">
        <v>1257</v>
      </c>
      <c r="H1363" s="7" t="n"/>
      <c r="I1363" s="7" t="n"/>
      <c r="J1363" s="11">
        <f>IF(AND(ISNUMBER(H1363),ISNUMBER(I1363),H1363&gt;0,ISNUMBER($B$94)),I1363/H1363,"")</f>
        <v/>
      </c>
      <c r="K1363" s="11">
        <f>IF(AND(ISNUMBER(H1363),ISNUMBER(I1363),H1363&gt;0,ISNUMBER($B$94)),MAX(0,$B$94-3*SQRT($B$94*(1-$B$94)/H1363)),"")</f>
        <v/>
      </c>
      <c r="L1363" s="11">
        <f>IF(AND(ISNUMBER(H1363),ISNUMBER(I1363),H1363&gt;0,ISNUMBER($B$94)),$B$94+3*SQRT($B$94*(1-$B$94)/H1363),"")</f>
        <v/>
      </c>
      <c r="M1363" s="13">
        <f>IF(AND(ISNUMBER(J1363),ISNUMBER(K1363),ISNUMBER(L1363)),IF(J1363&gt;L1363,"boven UCL",IF(J1363&lt;K1363,"onder LCL","")),"")</f>
        <v/>
      </c>
      <c r="O1363" t="n">
        <v>1257</v>
      </c>
      <c r="P1363" s="7" t="n"/>
      <c r="Q1363" s="7" t="n"/>
      <c r="R1363" s="11">
        <f>IF(AND(ISNUMBER(P1363),ISNUMBER(Q1363),P1363&gt;0,ISNUMBER($B$100)),Q1363/P1363,"")</f>
        <v/>
      </c>
      <c r="S1363" s="11">
        <f>IF(AND(ISNUMBER(P1363),ISNUMBER(Q1363),P1363&gt;0,ISNUMBER($B$100)),MAX(0,$B$100-3*SQRT($B$100/P1363)),"")</f>
        <v/>
      </c>
      <c r="T1363" s="11">
        <f>IF(AND(ISNUMBER(P1363),ISNUMBER(Q1363),P1363&gt;0,ISNUMBER($B$100)),$B$100+3*SQRT($B$100/P1363),"")</f>
        <v/>
      </c>
      <c r="U1363" s="13">
        <f>IF(AND(ISNUMBER(R1363),ISNUMBER(S1363),ISNUMBER(T1363)),IF(R1363&gt;T1363,"boven UCL",IF(R1363&lt;S1363,"onder LCL","")),"")</f>
        <v/>
      </c>
    </row>
    <row r="1364">
      <c r="A1364" t="n">
        <v>1258</v>
      </c>
      <c r="B1364" s="7" t="n"/>
      <c r="C1364" s="11">
        <f>IF(AND(ISNUMBER(B1364),ISNUMBER(B1363)),ABS(B1364-B1363),"")</f>
        <v/>
      </c>
      <c r="D1364" s="13">
        <f>IF(AND(ISNUMBER(B1364),ISNUMBER($B$88),ISNUMBER($D$88)),IF(B1364&gt;$D$88,"boven UCL",IF(B1364&lt;$B$88,"onder LCL","")),"")</f>
        <v/>
      </c>
      <c r="E1364" s="13">
        <f>IF(AND(ISNUMBER(C1364),ISNUMBER($B$89),ISNUMBER($D$89)),IF(C1364&gt;$D$89,"boven UCL",IF(C1364&lt;$B$89,"onder LCL","")),"")</f>
        <v/>
      </c>
      <c r="G1364" t="n">
        <v>1258</v>
      </c>
      <c r="H1364" s="7" t="n"/>
      <c r="I1364" s="7" t="n"/>
      <c r="J1364" s="11">
        <f>IF(AND(ISNUMBER(H1364),ISNUMBER(I1364),H1364&gt;0,ISNUMBER($B$94)),I1364/H1364,"")</f>
        <v/>
      </c>
      <c r="K1364" s="11">
        <f>IF(AND(ISNUMBER(H1364),ISNUMBER(I1364),H1364&gt;0,ISNUMBER($B$94)),MAX(0,$B$94-3*SQRT($B$94*(1-$B$94)/H1364)),"")</f>
        <v/>
      </c>
      <c r="L1364" s="11">
        <f>IF(AND(ISNUMBER(H1364),ISNUMBER(I1364),H1364&gt;0,ISNUMBER($B$94)),$B$94+3*SQRT($B$94*(1-$B$94)/H1364),"")</f>
        <v/>
      </c>
      <c r="M1364" s="13">
        <f>IF(AND(ISNUMBER(J1364),ISNUMBER(K1364),ISNUMBER(L1364)),IF(J1364&gt;L1364,"boven UCL",IF(J1364&lt;K1364,"onder LCL","")),"")</f>
        <v/>
      </c>
      <c r="O1364" t="n">
        <v>1258</v>
      </c>
      <c r="P1364" s="7" t="n"/>
      <c r="Q1364" s="7" t="n"/>
      <c r="R1364" s="11">
        <f>IF(AND(ISNUMBER(P1364),ISNUMBER(Q1364),P1364&gt;0,ISNUMBER($B$100)),Q1364/P1364,"")</f>
        <v/>
      </c>
      <c r="S1364" s="11">
        <f>IF(AND(ISNUMBER(P1364),ISNUMBER(Q1364),P1364&gt;0,ISNUMBER($B$100)),MAX(0,$B$100-3*SQRT($B$100/P1364)),"")</f>
        <v/>
      </c>
      <c r="T1364" s="11">
        <f>IF(AND(ISNUMBER(P1364),ISNUMBER(Q1364),P1364&gt;0,ISNUMBER($B$100)),$B$100+3*SQRT($B$100/P1364),"")</f>
        <v/>
      </c>
      <c r="U1364" s="13">
        <f>IF(AND(ISNUMBER(R1364),ISNUMBER(S1364),ISNUMBER(T1364)),IF(R1364&gt;T1364,"boven UCL",IF(R1364&lt;S1364,"onder LCL","")),"")</f>
        <v/>
      </c>
    </row>
    <row r="1365">
      <c r="A1365" t="n">
        <v>1259</v>
      </c>
      <c r="B1365" s="7" t="n"/>
      <c r="C1365" s="11">
        <f>IF(AND(ISNUMBER(B1365),ISNUMBER(B1364)),ABS(B1365-B1364),"")</f>
        <v/>
      </c>
      <c r="D1365" s="13">
        <f>IF(AND(ISNUMBER(B1365),ISNUMBER($B$88),ISNUMBER($D$88)),IF(B1365&gt;$D$88,"boven UCL",IF(B1365&lt;$B$88,"onder LCL","")),"")</f>
        <v/>
      </c>
      <c r="E1365" s="13">
        <f>IF(AND(ISNUMBER(C1365),ISNUMBER($B$89),ISNUMBER($D$89)),IF(C1365&gt;$D$89,"boven UCL",IF(C1365&lt;$B$89,"onder LCL","")),"")</f>
        <v/>
      </c>
      <c r="G1365" t="n">
        <v>1259</v>
      </c>
      <c r="H1365" s="7" t="n"/>
      <c r="I1365" s="7" t="n"/>
      <c r="J1365" s="11">
        <f>IF(AND(ISNUMBER(H1365),ISNUMBER(I1365),H1365&gt;0,ISNUMBER($B$94)),I1365/H1365,"")</f>
        <v/>
      </c>
      <c r="K1365" s="11">
        <f>IF(AND(ISNUMBER(H1365),ISNUMBER(I1365),H1365&gt;0,ISNUMBER($B$94)),MAX(0,$B$94-3*SQRT($B$94*(1-$B$94)/H1365)),"")</f>
        <v/>
      </c>
      <c r="L1365" s="11">
        <f>IF(AND(ISNUMBER(H1365),ISNUMBER(I1365),H1365&gt;0,ISNUMBER($B$94)),$B$94+3*SQRT($B$94*(1-$B$94)/H1365),"")</f>
        <v/>
      </c>
      <c r="M1365" s="13">
        <f>IF(AND(ISNUMBER(J1365),ISNUMBER(K1365),ISNUMBER(L1365)),IF(J1365&gt;L1365,"boven UCL",IF(J1365&lt;K1365,"onder LCL","")),"")</f>
        <v/>
      </c>
      <c r="O1365" t="n">
        <v>1259</v>
      </c>
      <c r="P1365" s="7" t="n"/>
      <c r="Q1365" s="7" t="n"/>
      <c r="R1365" s="11">
        <f>IF(AND(ISNUMBER(P1365),ISNUMBER(Q1365),P1365&gt;0,ISNUMBER($B$100)),Q1365/P1365,"")</f>
        <v/>
      </c>
      <c r="S1365" s="11">
        <f>IF(AND(ISNUMBER(P1365),ISNUMBER(Q1365),P1365&gt;0,ISNUMBER($B$100)),MAX(0,$B$100-3*SQRT($B$100/P1365)),"")</f>
        <v/>
      </c>
      <c r="T1365" s="11">
        <f>IF(AND(ISNUMBER(P1365),ISNUMBER(Q1365),P1365&gt;0,ISNUMBER($B$100)),$B$100+3*SQRT($B$100/P1365),"")</f>
        <v/>
      </c>
      <c r="U1365" s="13">
        <f>IF(AND(ISNUMBER(R1365),ISNUMBER(S1365),ISNUMBER(T1365)),IF(R1365&gt;T1365,"boven UCL",IF(R1365&lt;S1365,"onder LCL","")),"")</f>
        <v/>
      </c>
    </row>
    <row r="1366">
      <c r="A1366" t="n">
        <v>1260</v>
      </c>
      <c r="B1366" s="7" t="n"/>
      <c r="C1366" s="11">
        <f>IF(AND(ISNUMBER(B1366),ISNUMBER(B1365)),ABS(B1366-B1365),"")</f>
        <v/>
      </c>
      <c r="D1366" s="13">
        <f>IF(AND(ISNUMBER(B1366),ISNUMBER($B$88),ISNUMBER($D$88)),IF(B1366&gt;$D$88,"boven UCL",IF(B1366&lt;$B$88,"onder LCL","")),"")</f>
        <v/>
      </c>
      <c r="E1366" s="13">
        <f>IF(AND(ISNUMBER(C1366),ISNUMBER($B$89),ISNUMBER($D$89)),IF(C1366&gt;$D$89,"boven UCL",IF(C1366&lt;$B$89,"onder LCL","")),"")</f>
        <v/>
      </c>
      <c r="G1366" t="n">
        <v>1260</v>
      </c>
      <c r="H1366" s="7" t="n"/>
      <c r="I1366" s="7" t="n"/>
      <c r="J1366" s="11">
        <f>IF(AND(ISNUMBER(H1366),ISNUMBER(I1366),H1366&gt;0,ISNUMBER($B$94)),I1366/H1366,"")</f>
        <v/>
      </c>
      <c r="K1366" s="11">
        <f>IF(AND(ISNUMBER(H1366),ISNUMBER(I1366),H1366&gt;0,ISNUMBER($B$94)),MAX(0,$B$94-3*SQRT($B$94*(1-$B$94)/H1366)),"")</f>
        <v/>
      </c>
      <c r="L1366" s="11">
        <f>IF(AND(ISNUMBER(H1366),ISNUMBER(I1366),H1366&gt;0,ISNUMBER($B$94)),$B$94+3*SQRT($B$94*(1-$B$94)/H1366),"")</f>
        <v/>
      </c>
      <c r="M1366" s="13">
        <f>IF(AND(ISNUMBER(J1366),ISNUMBER(K1366),ISNUMBER(L1366)),IF(J1366&gt;L1366,"boven UCL",IF(J1366&lt;K1366,"onder LCL","")),"")</f>
        <v/>
      </c>
      <c r="O1366" t="n">
        <v>1260</v>
      </c>
      <c r="P1366" s="7" t="n"/>
      <c r="Q1366" s="7" t="n"/>
      <c r="R1366" s="11">
        <f>IF(AND(ISNUMBER(P1366),ISNUMBER(Q1366),P1366&gt;0,ISNUMBER($B$100)),Q1366/P1366,"")</f>
        <v/>
      </c>
      <c r="S1366" s="11">
        <f>IF(AND(ISNUMBER(P1366),ISNUMBER(Q1366),P1366&gt;0,ISNUMBER($B$100)),MAX(0,$B$100-3*SQRT($B$100/P1366)),"")</f>
        <v/>
      </c>
      <c r="T1366" s="11">
        <f>IF(AND(ISNUMBER(P1366),ISNUMBER(Q1366),P1366&gt;0,ISNUMBER($B$100)),$B$100+3*SQRT($B$100/P1366),"")</f>
        <v/>
      </c>
      <c r="U1366" s="13">
        <f>IF(AND(ISNUMBER(R1366),ISNUMBER(S1366),ISNUMBER(T1366)),IF(R1366&gt;T1366,"boven UCL",IF(R1366&lt;S1366,"onder LCL","")),"")</f>
        <v/>
      </c>
    </row>
    <row r="1367">
      <c r="A1367" t="n">
        <v>1261</v>
      </c>
      <c r="B1367" s="7" t="n"/>
      <c r="C1367" s="11">
        <f>IF(AND(ISNUMBER(B1367),ISNUMBER(B1366)),ABS(B1367-B1366),"")</f>
        <v/>
      </c>
      <c r="D1367" s="13">
        <f>IF(AND(ISNUMBER(B1367),ISNUMBER($B$88),ISNUMBER($D$88)),IF(B1367&gt;$D$88,"boven UCL",IF(B1367&lt;$B$88,"onder LCL","")),"")</f>
        <v/>
      </c>
      <c r="E1367" s="13">
        <f>IF(AND(ISNUMBER(C1367),ISNUMBER($B$89),ISNUMBER($D$89)),IF(C1367&gt;$D$89,"boven UCL",IF(C1367&lt;$B$89,"onder LCL","")),"")</f>
        <v/>
      </c>
      <c r="G1367" t="n">
        <v>1261</v>
      </c>
      <c r="H1367" s="7" t="n"/>
      <c r="I1367" s="7" t="n"/>
      <c r="J1367" s="11">
        <f>IF(AND(ISNUMBER(H1367),ISNUMBER(I1367),H1367&gt;0,ISNUMBER($B$94)),I1367/H1367,"")</f>
        <v/>
      </c>
      <c r="K1367" s="11">
        <f>IF(AND(ISNUMBER(H1367),ISNUMBER(I1367),H1367&gt;0,ISNUMBER($B$94)),MAX(0,$B$94-3*SQRT($B$94*(1-$B$94)/H1367)),"")</f>
        <v/>
      </c>
      <c r="L1367" s="11">
        <f>IF(AND(ISNUMBER(H1367),ISNUMBER(I1367),H1367&gt;0,ISNUMBER($B$94)),$B$94+3*SQRT($B$94*(1-$B$94)/H1367),"")</f>
        <v/>
      </c>
      <c r="M1367" s="13">
        <f>IF(AND(ISNUMBER(J1367),ISNUMBER(K1367),ISNUMBER(L1367)),IF(J1367&gt;L1367,"boven UCL",IF(J1367&lt;K1367,"onder LCL","")),"")</f>
        <v/>
      </c>
      <c r="O1367" t="n">
        <v>1261</v>
      </c>
      <c r="P1367" s="7" t="n"/>
      <c r="Q1367" s="7" t="n"/>
      <c r="R1367" s="11">
        <f>IF(AND(ISNUMBER(P1367),ISNUMBER(Q1367),P1367&gt;0,ISNUMBER($B$100)),Q1367/P1367,"")</f>
        <v/>
      </c>
      <c r="S1367" s="11">
        <f>IF(AND(ISNUMBER(P1367),ISNUMBER(Q1367),P1367&gt;0,ISNUMBER($B$100)),MAX(0,$B$100-3*SQRT($B$100/P1367)),"")</f>
        <v/>
      </c>
      <c r="T1367" s="11">
        <f>IF(AND(ISNUMBER(P1367),ISNUMBER(Q1367),P1367&gt;0,ISNUMBER($B$100)),$B$100+3*SQRT($B$100/P1367),"")</f>
        <v/>
      </c>
      <c r="U1367" s="13">
        <f>IF(AND(ISNUMBER(R1367),ISNUMBER(S1367),ISNUMBER(T1367)),IF(R1367&gt;T1367,"boven UCL",IF(R1367&lt;S1367,"onder LCL","")),"")</f>
        <v/>
      </c>
    </row>
    <row r="1368">
      <c r="A1368" t="n">
        <v>1262</v>
      </c>
      <c r="B1368" s="7" t="n"/>
      <c r="C1368" s="11">
        <f>IF(AND(ISNUMBER(B1368),ISNUMBER(B1367)),ABS(B1368-B1367),"")</f>
        <v/>
      </c>
      <c r="D1368" s="13">
        <f>IF(AND(ISNUMBER(B1368),ISNUMBER($B$88),ISNUMBER($D$88)),IF(B1368&gt;$D$88,"boven UCL",IF(B1368&lt;$B$88,"onder LCL","")),"")</f>
        <v/>
      </c>
      <c r="E1368" s="13">
        <f>IF(AND(ISNUMBER(C1368),ISNUMBER($B$89),ISNUMBER($D$89)),IF(C1368&gt;$D$89,"boven UCL",IF(C1368&lt;$B$89,"onder LCL","")),"")</f>
        <v/>
      </c>
      <c r="G1368" t="n">
        <v>1262</v>
      </c>
      <c r="H1368" s="7" t="n"/>
      <c r="I1368" s="7" t="n"/>
      <c r="J1368" s="11">
        <f>IF(AND(ISNUMBER(H1368),ISNUMBER(I1368),H1368&gt;0,ISNUMBER($B$94)),I1368/H1368,"")</f>
        <v/>
      </c>
      <c r="K1368" s="11">
        <f>IF(AND(ISNUMBER(H1368),ISNUMBER(I1368),H1368&gt;0,ISNUMBER($B$94)),MAX(0,$B$94-3*SQRT($B$94*(1-$B$94)/H1368)),"")</f>
        <v/>
      </c>
      <c r="L1368" s="11">
        <f>IF(AND(ISNUMBER(H1368),ISNUMBER(I1368),H1368&gt;0,ISNUMBER($B$94)),$B$94+3*SQRT($B$94*(1-$B$94)/H1368),"")</f>
        <v/>
      </c>
      <c r="M1368" s="13">
        <f>IF(AND(ISNUMBER(J1368),ISNUMBER(K1368),ISNUMBER(L1368)),IF(J1368&gt;L1368,"boven UCL",IF(J1368&lt;K1368,"onder LCL","")),"")</f>
        <v/>
      </c>
      <c r="O1368" t="n">
        <v>1262</v>
      </c>
      <c r="P1368" s="7" t="n"/>
      <c r="Q1368" s="7" t="n"/>
      <c r="R1368" s="11">
        <f>IF(AND(ISNUMBER(P1368),ISNUMBER(Q1368),P1368&gt;0,ISNUMBER($B$100)),Q1368/P1368,"")</f>
        <v/>
      </c>
      <c r="S1368" s="11">
        <f>IF(AND(ISNUMBER(P1368),ISNUMBER(Q1368),P1368&gt;0,ISNUMBER($B$100)),MAX(0,$B$100-3*SQRT($B$100/P1368)),"")</f>
        <v/>
      </c>
      <c r="T1368" s="11">
        <f>IF(AND(ISNUMBER(P1368),ISNUMBER(Q1368),P1368&gt;0,ISNUMBER($B$100)),$B$100+3*SQRT($B$100/P1368),"")</f>
        <v/>
      </c>
      <c r="U1368" s="13">
        <f>IF(AND(ISNUMBER(R1368),ISNUMBER(S1368),ISNUMBER(T1368)),IF(R1368&gt;T1368,"boven UCL",IF(R1368&lt;S1368,"onder LCL","")),"")</f>
        <v/>
      </c>
    </row>
    <row r="1369">
      <c r="A1369" t="n">
        <v>1263</v>
      </c>
      <c r="B1369" s="7" t="n"/>
      <c r="C1369" s="11">
        <f>IF(AND(ISNUMBER(B1369),ISNUMBER(B1368)),ABS(B1369-B1368),"")</f>
        <v/>
      </c>
      <c r="D1369" s="13">
        <f>IF(AND(ISNUMBER(B1369),ISNUMBER($B$88),ISNUMBER($D$88)),IF(B1369&gt;$D$88,"boven UCL",IF(B1369&lt;$B$88,"onder LCL","")),"")</f>
        <v/>
      </c>
      <c r="E1369" s="13">
        <f>IF(AND(ISNUMBER(C1369),ISNUMBER($B$89),ISNUMBER($D$89)),IF(C1369&gt;$D$89,"boven UCL",IF(C1369&lt;$B$89,"onder LCL","")),"")</f>
        <v/>
      </c>
      <c r="G1369" t="n">
        <v>1263</v>
      </c>
      <c r="H1369" s="7" t="n"/>
      <c r="I1369" s="7" t="n"/>
      <c r="J1369" s="11">
        <f>IF(AND(ISNUMBER(H1369),ISNUMBER(I1369),H1369&gt;0,ISNUMBER($B$94)),I1369/H1369,"")</f>
        <v/>
      </c>
      <c r="K1369" s="11">
        <f>IF(AND(ISNUMBER(H1369),ISNUMBER(I1369),H1369&gt;0,ISNUMBER($B$94)),MAX(0,$B$94-3*SQRT($B$94*(1-$B$94)/H1369)),"")</f>
        <v/>
      </c>
      <c r="L1369" s="11">
        <f>IF(AND(ISNUMBER(H1369),ISNUMBER(I1369),H1369&gt;0,ISNUMBER($B$94)),$B$94+3*SQRT($B$94*(1-$B$94)/H1369),"")</f>
        <v/>
      </c>
      <c r="M1369" s="13">
        <f>IF(AND(ISNUMBER(J1369),ISNUMBER(K1369),ISNUMBER(L1369)),IF(J1369&gt;L1369,"boven UCL",IF(J1369&lt;K1369,"onder LCL","")),"")</f>
        <v/>
      </c>
      <c r="O1369" t="n">
        <v>1263</v>
      </c>
      <c r="P1369" s="7" t="n"/>
      <c r="Q1369" s="7" t="n"/>
      <c r="R1369" s="11">
        <f>IF(AND(ISNUMBER(P1369),ISNUMBER(Q1369),P1369&gt;0,ISNUMBER($B$100)),Q1369/P1369,"")</f>
        <v/>
      </c>
      <c r="S1369" s="11">
        <f>IF(AND(ISNUMBER(P1369),ISNUMBER(Q1369),P1369&gt;0,ISNUMBER($B$100)),MAX(0,$B$100-3*SQRT($B$100/P1369)),"")</f>
        <v/>
      </c>
      <c r="T1369" s="11">
        <f>IF(AND(ISNUMBER(P1369),ISNUMBER(Q1369),P1369&gt;0,ISNUMBER($B$100)),$B$100+3*SQRT($B$100/P1369),"")</f>
        <v/>
      </c>
      <c r="U1369" s="13">
        <f>IF(AND(ISNUMBER(R1369),ISNUMBER(S1369),ISNUMBER(T1369)),IF(R1369&gt;T1369,"boven UCL",IF(R1369&lt;S1369,"onder LCL","")),"")</f>
        <v/>
      </c>
    </row>
    <row r="1370">
      <c r="A1370" t="n">
        <v>1264</v>
      </c>
      <c r="B1370" s="7" t="n"/>
      <c r="C1370" s="11">
        <f>IF(AND(ISNUMBER(B1370),ISNUMBER(B1369)),ABS(B1370-B1369),"")</f>
        <v/>
      </c>
      <c r="D1370" s="13">
        <f>IF(AND(ISNUMBER(B1370),ISNUMBER($B$88),ISNUMBER($D$88)),IF(B1370&gt;$D$88,"boven UCL",IF(B1370&lt;$B$88,"onder LCL","")),"")</f>
        <v/>
      </c>
      <c r="E1370" s="13">
        <f>IF(AND(ISNUMBER(C1370),ISNUMBER($B$89),ISNUMBER($D$89)),IF(C1370&gt;$D$89,"boven UCL",IF(C1370&lt;$B$89,"onder LCL","")),"")</f>
        <v/>
      </c>
      <c r="G1370" t="n">
        <v>1264</v>
      </c>
      <c r="H1370" s="7" t="n"/>
      <c r="I1370" s="7" t="n"/>
      <c r="J1370" s="11">
        <f>IF(AND(ISNUMBER(H1370),ISNUMBER(I1370),H1370&gt;0,ISNUMBER($B$94)),I1370/H1370,"")</f>
        <v/>
      </c>
      <c r="K1370" s="11">
        <f>IF(AND(ISNUMBER(H1370),ISNUMBER(I1370),H1370&gt;0,ISNUMBER($B$94)),MAX(0,$B$94-3*SQRT($B$94*(1-$B$94)/H1370)),"")</f>
        <v/>
      </c>
      <c r="L1370" s="11">
        <f>IF(AND(ISNUMBER(H1370),ISNUMBER(I1370),H1370&gt;0,ISNUMBER($B$94)),$B$94+3*SQRT($B$94*(1-$B$94)/H1370),"")</f>
        <v/>
      </c>
      <c r="M1370" s="13">
        <f>IF(AND(ISNUMBER(J1370),ISNUMBER(K1370),ISNUMBER(L1370)),IF(J1370&gt;L1370,"boven UCL",IF(J1370&lt;K1370,"onder LCL","")),"")</f>
        <v/>
      </c>
      <c r="O1370" t="n">
        <v>1264</v>
      </c>
      <c r="P1370" s="7" t="n"/>
      <c r="Q1370" s="7" t="n"/>
      <c r="R1370" s="11">
        <f>IF(AND(ISNUMBER(P1370),ISNUMBER(Q1370),P1370&gt;0,ISNUMBER($B$100)),Q1370/P1370,"")</f>
        <v/>
      </c>
      <c r="S1370" s="11">
        <f>IF(AND(ISNUMBER(P1370),ISNUMBER(Q1370),P1370&gt;0,ISNUMBER($B$100)),MAX(0,$B$100-3*SQRT($B$100/P1370)),"")</f>
        <v/>
      </c>
      <c r="T1370" s="11">
        <f>IF(AND(ISNUMBER(P1370),ISNUMBER(Q1370),P1370&gt;0,ISNUMBER($B$100)),$B$100+3*SQRT($B$100/P1370),"")</f>
        <v/>
      </c>
      <c r="U1370" s="13">
        <f>IF(AND(ISNUMBER(R1370),ISNUMBER(S1370),ISNUMBER(T1370)),IF(R1370&gt;T1370,"boven UCL",IF(R1370&lt;S1370,"onder LCL","")),"")</f>
        <v/>
      </c>
    </row>
    <row r="1371">
      <c r="A1371" t="n">
        <v>1265</v>
      </c>
      <c r="B1371" s="7" t="n"/>
      <c r="C1371" s="11">
        <f>IF(AND(ISNUMBER(B1371),ISNUMBER(B1370)),ABS(B1371-B1370),"")</f>
        <v/>
      </c>
      <c r="D1371" s="13">
        <f>IF(AND(ISNUMBER(B1371),ISNUMBER($B$88),ISNUMBER($D$88)),IF(B1371&gt;$D$88,"boven UCL",IF(B1371&lt;$B$88,"onder LCL","")),"")</f>
        <v/>
      </c>
      <c r="E1371" s="13">
        <f>IF(AND(ISNUMBER(C1371),ISNUMBER($B$89),ISNUMBER($D$89)),IF(C1371&gt;$D$89,"boven UCL",IF(C1371&lt;$B$89,"onder LCL","")),"")</f>
        <v/>
      </c>
      <c r="G1371" t="n">
        <v>1265</v>
      </c>
      <c r="H1371" s="7" t="n"/>
      <c r="I1371" s="7" t="n"/>
      <c r="J1371" s="11">
        <f>IF(AND(ISNUMBER(H1371),ISNUMBER(I1371),H1371&gt;0,ISNUMBER($B$94)),I1371/H1371,"")</f>
        <v/>
      </c>
      <c r="K1371" s="11">
        <f>IF(AND(ISNUMBER(H1371),ISNUMBER(I1371),H1371&gt;0,ISNUMBER($B$94)),MAX(0,$B$94-3*SQRT($B$94*(1-$B$94)/H1371)),"")</f>
        <v/>
      </c>
      <c r="L1371" s="11">
        <f>IF(AND(ISNUMBER(H1371),ISNUMBER(I1371),H1371&gt;0,ISNUMBER($B$94)),$B$94+3*SQRT($B$94*(1-$B$94)/H1371),"")</f>
        <v/>
      </c>
      <c r="M1371" s="13">
        <f>IF(AND(ISNUMBER(J1371),ISNUMBER(K1371),ISNUMBER(L1371)),IF(J1371&gt;L1371,"boven UCL",IF(J1371&lt;K1371,"onder LCL","")),"")</f>
        <v/>
      </c>
      <c r="O1371" t="n">
        <v>1265</v>
      </c>
      <c r="P1371" s="7" t="n"/>
      <c r="Q1371" s="7" t="n"/>
      <c r="R1371" s="11">
        <f>IF(AND(ISNUMBER(P1371),ISNUMBER(Q1371),P1371&gt;0,ISNUMBER($B$100)),Q1371/P1371,"")</f>
        <v/>
      </c>
      <c r="S1371" s="11">
        <f>IF(AND(ISNUMBER(P1371),ISNUMBER(Q1371),P1371&gt;0,ISNUMBER($B$100)),MAX(0,$B$100-3*SQRT($B$100/P1371)),"")</f>
        <v/>
      </c>
      <c r="T1371" s="11">
        <f>IF(AND(ISNUMBER(P1371),ISNUMBER(Q1371),P1371&gt;0,ISNUMBER($B$100)),$B$100+3*SQRT($B$100/P1371),"")</f>
        <v/>
      </c>
      <c r="U1371" s="13">
        <f>IF(AND(ISNUMBER(R1371),ISNUMBER(S1371),ISNUMBER(T1371)),IF(R1371&gt;T1371,"boven UCL",IF(R1371&lt;S1371,"onder LCL","")),"")</f>
        <v/>
      </c>
    </row>
    <row r="1372">
      <c r="A1372" t="n">
        <v>1266</v>
      </c>
      <c r="B1372" s="7" t="n"/>
      <c r="C1372" s="11">
        <f>IF(AND(ISNUMBER(B1372),ISNUMBER(B1371)),ABS(B1372-B1371),"")</f>
        <v/>
      </c>
      <c r="D1372" s="13">
        <f>IF(AND(ISNUMBER(B1372),ISNUMBER($B$88),ISNUMBER($D$88)),IF(B1372&gt;$D$88,"boven UCL",IF(B1372&lt;$B$88,"onder LCL","")),"")</f>
        <v/>
      </c>
      <c r="E1372" s="13">
        <f>IF(AND(ISNUMBER(C1372),ISNUMBER($B$89),ISNUMBER($D$89)),IF(C1372&gt;$D$89,"boven UCL",IF(C1372&lt;$B$89,"onder LCL","")),"")</f>
        <v/>
      </c>
      <c r="G1372" t="n">
        <v>1266</v>
      </c>
      <c r="H1372" s="7" t="n"/>
      <c r="I1372" s="7" t="n"/>
      <c r="J1372" s="11">
        <f>IF(AND(ISNUMBER(H1372),ISNUMBER(I1372),H1372&gt;0,ISNUMBER($B$94)),I1372/H1372,"")</f>
        <v/>
      </c>
      <c r="K1372" s="11">
        <f>IF(AND(ISNUMBER(H1372),ISNUMBER(I1372),H1372&gt;0,ISNUMBER($B$94)),MAX(0,$B$94-3*SQRT($B$94*(1-$B$94)/H1372)),"")</f>
        <v/>
      </c>
      <c r="L1372" s="11">
        <f>IF(AND(ISNUMBER(H1372),ISNUMBER(I1372),H1372&gt;0,ISNUMBER($B$94)),$B$94+3*SQRT($B$94*(1-$B$94)/H1372),"")</f>
        <v/>
      </c>
      <c r="M1372" s="13">
        <f>IF(AND(ISNUMBER(J1372),ISNUMBER(K1372),ISNUMBER(L1372)),IF(J1372&gt;L1372,"boven UCL",IF(J1372&lt;K1372,"onder LCL","")),"")</f>
        <v/>
      </c>
      <c r="O1372" t="n">
        <v>1266</v>
      </c>
      <c r="P1372" s="7" t="n"/>
      <c r="Q1372" s="7" t="n"/>
      <c r="R1372" s="11">
        <f>IF(AND(ISNUMBER(P1372),ISNUMBER(Q1372),P1372&gt;0,ISNUMBER($B$100)),Q1372/P1372,"")</f>
        <v/>
      </c>
      <c r="S1372" s="11">
        <f>IF(AND(ISNUMBER(P1372),ISNUMBER(Q1372),P1372&gt;0,ISNUMBER($B$100)),MAX(0,$B$100-3*SQRT($B$100/P1372)),"")</f>
        <v/>
      </c>
      <c r="T1372" s="11">
        <f>IF(AND(ISNUMBER(P1372),ISNUMBER(Q1372),P1372&gt;0,ISNUMBER($B$100)),$B$100+3*SQRT($B$100/P1372),"")</f>
        <v/>
      </c>
      <c r="U1372" s="13">
        <f>IF(AND(ISNUMBER(R1372),ISNUMBER(S1372),ISNUMBER(T1372)),IF(R1372&gt;T1372,"boven UCL",IF(R1372&lt;S1372,"onder LCL","")),"")</f>
        <v/>
      </c>
    </row>
    <row r="1373">
      <c r="A1373" t="n">
        <v>1267</v>
      </c>
      <c r="B1373" s="7" t="n"/>
      <c r="C1373" s="11">
        <f>IF(AND(ISNUMBER(B1373),ISNUMBER(B1372)),ABS(B1373-B1372),"")</f>
        <v/>
      </c>
      <c r="D1373" s="13">
        <f>IF(AND(ISNUMBER(B1373),ISNUMBER($B$88),ISNUMBER($D$88)),IF(B1373&gt;$D$88,"boven UCL",IF(B1373&lt;$B$88,"onder LCL","")),"")</f>
        <v/>
      </c>
      <c r="E1373" s="13">
        <f>IF(AND(ISNUMBER(C1373),ISNUMBER($B$89),ISNUMBER($D$89)),IF(C1373&gt;$D$89,"boven UCL",IF(C1373&lt;$B$89,"onder LCL","")),"")</f>
        <v/>
      </c>
      <c r="G1373" t="n">
        <v>1267</v>
      </c>
      <c r="H1373" s="7" t="n"/>
      <c r="I1373" s="7" t="n"/>
      <c r="J1373" s="11">
        <f>IF(AND(ISNUMBER(H1373),ISNUMBER(I1373),H1373&gt;0,ISNUMBER($B$94)),I1373/H1373,"")</f>
        <v/>
      </c>
      <c r="K1373" s="11">
        <f>IF(AND(ISNUMBER(H1373),ISNUMBER(I1373),H1373&gt;0,ISNUMBER($B$94)),MAX(0,$B$94-3*SQRT($B$94*(1-$B$94)/H1373)),"")</f>
        <v/>
      </c>
      <c r="L1373" s="11">
        <f>IF(AND(ISNUMBER(H1373),ISNUMBER(I1373),H1373&gt;0,ISNUMBER($B$94)),$B$94+3*SQRT($B$94*(1-$B$94)/H1373),"")</f>
        <v/>
      </c>
      <c r="M1373" s="13">
        <f>IF(AND(ISNUMBER(J1373),ISNUMBER(K1373),ISNUMBER(L1373)),IF(J1373&gt;L1373,"boven UCL",IF(J1373&lt;K1373,"onder LCL","")),"")</f>
        <v/>
      </c>
      <c r="O1373" t="n">
        <v>1267</v>
      </c>
      <c r="P1373" s="7" t="n"/>
      <c r="Q1373" s="7" t="n"/>
      <c r="R1373" s="11">
        <f>IF(AND(ISNUMBER(P1373),ISNUMBER(Q1373),P1373&gt;0,ISNUMBER($B$100)),Q1373/P1373,"")</f>
        <v/>
      </c>
      <c r="S1373" s="11">
        <f>IF(AND(ISNUMBER(P1373),ISNUMBER(Q1373),P1373&gt;0,ISNUMBER($B$100)),MAX(0,$B$100-3*SQRT($B$100/P1373)),"")</f>
        <v/>
      </c>
      <c r="T1373" s="11">
        <f>IF(AND(ISNUMBER(P1373),ISNUMBER(Q1373),P1373&gt;0,ISNUMBER($B$100)),$B$100+3*SQRT($B$100/P1373),"")</f>
        <v/>
      </c>
      <c r="U1373" s="13">
        <f>IF(AND(ISNUMBER(R1373),ISNUMBER(S1373),ISNUMBER(T1373)),IF(R1373&gt;T1373,"boven UCL",IF(R1373&lt;S1373,"onder LCL","")),"")</f>
        <v/>
      </c>
    </row>
    <row r="1374">
      <c r="A1374" t="n">
        <v>1268</v>
      </c>
      <c r="B1374" s="7" t="n"/>
      <c r="C1374" s="11">
        <f>IF(AND(ISNUMBER(B1374),ISNUMBER(B1373)),ABS(B1374-B1373),"")</f>
        <v/>
      </c>
      <c r="D1374" s="13">
        <f>IF(AND(ISNUMBER(B1374),ISNUMBER($B$88),ISNUMBER($D$88)),IF(B1374&gt;$D$88,"boven UCL",IF(B1374&lt;$B$88,"onder LCL","")),"")</f>
        <v/>
      </c>
      <c r="E1374" s="13">
        <f>IF(AND(ISNUMBER(C1374),ISNUMBER($B$89),ISNUMBER($D$89)),IF(C1374&gt;$D$89,"boven UCL",IF(C1374&lt;$B$89,"onder LCL","")),"")</f>
        <v/>
      </c>
      <c r="G1374" t="n">
        <v>1268</v>
      </c>
      <c r="H1374" s="7" t="n"/>
      <c r="I1374" s="7" t="n"/>
      <c r="J1374" s="11">
        <f>IF(AND(ISNUMBER(H1374),ISNUMBER(I1374),H1374&gt;0,ISNUMBER($B$94)),I1374/H1374,"")</f>
        <v/>
      </c>
      <c r="K1374" s="11">
        <f>IF(AND(ISNUMBER(H1374),ISNUMBER(I1374),H1374&gt;0,ISNUMBER($B$94)),MAX(0,$B$94-3*SQRT($B$94*(1-$B$94)/H1374)),"")</f>
        <v/>
      </c>
      <c r="L1374" s="11">
        <f>IF(AND(ISNUMBER(H1374),ISNUMBER(I1374),H1374&gt;0,ISNUMBER($B$94)),$B$94+3*SQRT($B$94*(1-$B$94)/H1374),"")</f>
        <v/>
      </c>
      <c r="M1374" s="13">
        <f>IF(AND(ISNUMBER(J1374),ISNUMBER(K1374),ISNUMBER(L1374)),IF(J1374&gt;L1374,"boven UCL",IF(J1374&lt;K1374,"onder LCL","")),"")</f>
        <v/>
      </c>
      <c r="O1374" t="n">
        <v>1268</v>
      </c>
      <c r="P1374" s="7" t="n"/>
      <c r="Q1374" s="7" t="n"/>
      <c r="R1374" s="11">
        <f>IF(AND(ISNUMBER(P1374),ISNUMBER(Q1374),P1374&gt;0,ISNUMBER($B$100)),Q1374/P1374,"")</f>
        <v/>
      </c>
      <c r="S1374" s="11">
        <f>IF(AND(ISNUMBER(P1374),ISNUMBER(Q1374),P1374&gt;0,ISNUMBER($B$100)),MAX(0,$B$100-3*SQRT($B$100/P1374)),"")</f>
        <v/>
      </c>
      <c r="T1374" s="11">
        <f>IF(AND(ISNUMBER(P1374),ISNUMBER(Q1374),P1374&gt;0,ISNUMBER($B$100)),$B$100+3*SQRT($B$100/P1374),"")</f>
        <v/>
      </c>
      <c r="U1374" s="13">
        <f>IF(AND(ISNUMBER(R1374),ISNUMBER(S1374),ISNUMBER(T1374)),IF(R1374&gt;T1374,"boven UCL",IF(R1374&lt;S1374,"onder LCL","")),"")</f>
        <v/>
      </c>
    </row>
    <row r="1375">
      <c r="A1375" t="n">
        <v>1269</v>
      </c>
      <c r="B1375" s="7" t="n"/>
      <c r="C1375" s="11">
        <f>IF(AND(ISNUMBER(B1375),ISNUMBER(B1374)),ABS(B1375-B1374),"")</f>
        <v/>
      </c>
      <c r="D1375" s="13">
        <f>IF(AND(ISNUMBER(B1375),ISNUMBER($B$88),ISNUMBER($D$88)),IF(B1375&gt;$D$88,"boven UCL",IF(B1375&lt;$B$88,"onder LCL","")),"")</f>
        <v/>
      </c>
      <c r="E1375" s="13">
        <f>IF(AND(ISNUMBER(C1375),ISNUMBER($B$89),ISNUMBER($D$89)),IF(C1375&gt;$D$89,"boven UCL",IF(C1375&lt;$B$89,"onder LCL","")),"")</f>
        <v/>
      </c>
      <c r="G1375" t="n">
        <v>1269</v>
      </c>
      <c r="H1375" s="7" t="n"/>
      <c r="I1375" s="7" t="n"/>
      <c r="J1375" s="11">
        <f>IF(AND(ISNUMBER(H1375),ISNUMBER(I1375),H1375&gt;0,ISNUMBER($B$94)),I1375/H1375,"")</f>
        <v/>
      </c>
      <c r="K1375" s="11">
        <f>IF(AND(ISNUMBER(H1375),ISNUMBER(I1375),H1375&gt;0,ISNUMBER($B$94)),MAX(0,$B$94-3*SQRT($B$94*(1-$B$94)/H1375)),"")</f>
        <v/>
      </c>
      <c r="L1375" s="11">
        <f>IF(AND(ISNUMBER(H1375),ISNUMBER(I1375),H1375&gt;0,ISNUMBER($B$94)),$B$94+3*SQRT($B$94*(1-$B$94)/H1375),"")</f>
        <v/>
      </c>
      <c r="M1375" s="13">
        <f>IF(AND(ISNUMBER(J1375),ISNUMBER(K1375),ISNUMBER(L1375)),IF(J1375&gt;L1375,"boven UCL",IF(J1375&lt;K1375,"onder LCL","")),"")</f>
        <v/>
      </c>
      <c r="O1375" t="n">
        <v>1269</v>
      </c>
      <c r="P1375" s="7" t="n"/>
      <c r="Q1375" s="7" t="n"/>
      <c r="R1375" s="11">
        <f>IF(AND(ISNUMBER(P1375),ISNUMBER(Q1375),P1375&gt;0,ISNUMBER($B$100)),Q1375/P1375,"")</f>
        <v/>
      </c>
      <c r="S1375" s="11">
        <f>IF(AND(ISNUMBER(P1375),ISNUMBER(Q1375),P1375&gt;0,ISNUMBER($B$100)),MAX(0,$B$100-3*SQRT($B$100/P1375)),"")</f>
        <v/>
      </c>
      <c r="T1375" s="11">
        <f>IF(AND(ISNUMBER(P1375),ISNUMBER(Q1375),P1375&gt;0,ISNUMBER($B$100)),$B$100+3*SQRT($B$100/P1375),"")</f>
        <v/>
      </c>
      <c r="U1375" s="13">
        <f>IF(AND(ISNUMBER(R1375),ISNUMBER(S1375),ISNUMBER(T1375)),IF(R1375&gt;T1375,"boven UCL",IF(R1375&lt;S1375,"onder LCL","")),"")</f>
        <v/>
      </c>
    </row>
    <row r="1376">
      <c r="A1376" t="n">
        <v>1270</v>
      </c>
      <c r="B1376" s="7" t="n"/>
      <c r="C1376" s="11">
        <f>IF(AND(ISNUMBER(B1376),ISNUMBER(B1375)),ABS(B1376-B1375),"")</f>
        <v/>
      </c>
      <c r="D1376" s="13">
        <f>IF(AND(ISNUMBER(B1376),ISNUMBER($B$88),ISNUMBER($D$88)),IF(B1376&gt;$D$88,"boven UCL",IF(B1376&lt;$B$88,"onder LCL","")),"")</f>
        <v/>
      </c>
      <c r="E1376" s="13">
        <f>IF(AND(ISNUMBER(C1376),ISNUMBER($B$89),ISNUMBER($D$89)),IF(C1376&gt;$D$89,"boven UCL",IF(C1376&lt;$B$89,"onder LCL","")),"")</f>
        <v/>
      </c>
      <c r="G1376" t="n">
        <v>1270</v>
      </c>
      <c r="H1376" s="7" t="n"/>
      <c r="I1376" s="7" t="n"/>
      <c r="J1376" s="11">
        <f>IF(AND(ISNUMBER(H1376),ISNUMBER(I1376),H1376&gt;0,ISNUMBER($B$94)),I1376/H1376,"")</f>
        <v/>
      </c>
      <c r="K1376" s="11">
        <f>IF(AND(ISNUMBER(H1376),ISNUMBER(I1376),H1376&gt;0,ISNUMBER($B$94)),MAX(0,$B$94-3*SQRT($B$94*(1-$B$94)/H1376)),"")</f>
        <v/>
      </c>
      <c r="L1376" s="11">
        <f>IF(AND(ISNUMBER(H1376),ISNUMBER(I1376),H1376&gt;0,ISNUMBER($B$94)),$B$94+3*SQRT($B$94*(1-$B$94)/H1376),"")</f>
        <v/>
      </c>
      <c r="M1376" s="13">
        <f>IF(AND(ISNUMBER(J1376),ISNUMBER(K1376),ISNUMBER(L1376)),IF(J1376&gt;L1376,"boven UCL",IF(J1376&lt;K1376,"onder LCL","")),"")</f>
        <v/>
      </c>
      <c r="O1376" t="n">
        <v>1270</v>
      </c>
      <c r="P1376" s="7" t="n"/>
      <c r="Q1376" s="7" t="n"/>
      <c r="R1376" s="11">
        <f>IF(AND(ISNUMBER(P1376),ISNUMBER(Q1376),P1376&gt;0,ISNUMBER($B$100)),Q1376/P1376,"")</f>
        <v/>
      </c>
      <c r="S1376" s="11">
        <f>IF(AND(ISNUMBER(P1376),ISNUMBER(Q1376),P1376&gt;0,ISNUMBER($B$100)),MAX(0,$B$100-3*SQRT($B$100/P1376)),"")</f>
        <v/>
      </c>
      <c r="T1376" s="11">
        <f>IF(AND(ISNUMBER(P1376),ISNUMBER(Q1376),P1376&gt;0,ISNUMBER($B$100)),$B$100+3*SQRT($B$100/P1376),"")</f>
        <v/>
      </c>
      <c r="U1376" s="13">
        <f>IF(AND(ISNUMBER(R1376),ISNUMBER(S1376),ISNUMBER(T1376)),IF(R1376&gt;T1376,"boven UCL",IF(R1376&lt;S1376,"onder LCL","")),"")</f>
        <v/>
      </c>
    </row>
    <row r="1377">
      <c r="A1377" t="n">
        <v>1271</v>
      </c>
      <c r="B1377" s="7" t="n"/>
      <c r="C1377" s="11">
        <f>IF(AND(ISNUMBER(B1377),ISNUMBER(B1376)),ABS(B1377-B1376),"")</f>
        <v/>
      </c>
      <c r="D1377" s="13">
        <f>IF(AND(ISNUMBER(B1377),ISNUMBER($B$88),ISNUMBER($D$88)),IF(B1377&gt;$D$88,"boven UCL",IF(B1377&lt;$B$88,"onder LCL","")),"")</f>
        <v/>
      </c>
      <c r="E1377" s="13">
        <f>IF(AND(ISNUMBER(C1377),ISNUMBER($B$89),ISNUMBER($D$89)),IF(C1377&gt;$D$89,"boven UCL",IF(C1377&lt;$B$89,"onder LCL","")),"")</f>
        <v/>
      </c>
      <c r="G1377" t="n">
        <v>1271</v>
      </c>
      <c r="H1377" s="7" t="n"/>
      <c r="I1377" s="7" t="n"/>
      <c r="J1377" s="11">
        <f>IF(AND(ISNUMBER(H1377),ISNUMBER(I1377),H1377&gt;0,ISNUMBER($B$94)),I1377/H1377,"")</f>
        <v/>
      </c>
      <c r="K1377" s="11">
        <f>IF(AND(ISNUMBER(H1377),ISNUMBER(I1377),H1377&gt;0,ISNUMBER($B$94)),MAX(0,$B$94-3*SQRT($B$94*(1-$B$94)/H1377)),"")</f>
        <v/>
      </c>
      <c r="L1377" s="11">
        <f>IF(AND(ISNUMBER(H1377),ISNUMBER(I1377),H1377&gt;0,ISNUMBER($B$94)),$B$94+3*SQRT($B$94*(1-$B$94)/H1377),"")</f>
        <v/>
      </c>
      <c r="M1377" s="13">
        <f>IF(AND(ISNUMBER(J1377),ISNUMBER(K1377),ISNUMBER(L1377)),IF(J1377&gt;L1377,"boven UCL",IF(J1377&lt;K1377,"onder LCL","")),"")</f>
        <v/>
      </c>
      <c r="O1377" t="n">
        <v>1271</v>
      </c>
      <c r="P1377" s="7" t="n"/>
      <c r="Q1377" s="7" t="n"/>
      <c r="R1377" s="11">
        <f>IF(AND(ISNUMBER(P1377),ISNUMBER(Q1377),P1377&gt;0,ISNUMBER($B$100)),Q1377/P1377,"")</f>
        <v/>
      </c>
      <c r="S1377" s="11">
        <f>IF(AND(ISNUMBER(P1377),ISNUMBER(Q1377),P1377&gt;0,ISNUMBER($B$100)),MAX(0,$B$100-3*SQRT($B$100/P1377)),"")</f>
        <v/>
      </c>
      <c r="T1377" s="11">
        <f>IF(AND(ISNUMBER(P1377),ISNUMBER(Q1377),P1377&gt;0,ISNUMBER($B$100)),$B$100+3*SQRT($B$100/P1377),"")</f>
        <v/>
      </c>
      <c r="U1377" s="13">
        <f>IF(AND(ISNUMBER(R1377),ISNUMBER(S1377),ISNUMBER(T1377)),IF(R1377&gt;T1377,"boven UCL",IF(R1377&lt;S1377,"onder LCL","")),"")</f>
        <v/>
      </c>
    </row>
    <row r="1378">
      <c r="A1378" t="n">
        <v>1272</v>
      </c>
      <c r="B1378" s="7" t="n"/>
      <c r="C1378" s="11">
        <f>IF(AND(ISNUMBER(B1378),ISNUMBER(B1377)),ABS(B1378-B1377),"")</f>
        <v/>
      </c>
      <c r="D1378" s="13">
        <f>IF(AND(ISNUMBER(B1378),ISNUMBER($B$88),ISNUMBER($D$88)),IF(B1378&gt;$D$88,"boven UCL",IF(B1378&lt;$B$88,"onder LCL","")),"")</f>
        <v/>
      </c>
      <c r="E1378" s="13">
        <f>IF(AND(ISNUMBER(C1378),ISNUMBER($B$89),ISNUMBER($D$89)),IF(C1378&gt;$D$89,"boven UCL",IF(C1378&lt;$B$89,"onder LCL","")),"")</f>
        <v/>
      </c>
      <c r="G1378" t="n">
        <v>1272</v>
      </c>
      <c r="H1378" s="7" t="n"/>
      <c r="I1378" s="7" t="n"/>
      <c r="J1378" s="11">
        <f>IF(AND(ISNUMBER(H1378),ISNUMBER(I1378),H1378&gt;0,ISNUMBER($B$94)),I1378/H1378,"")</f>
        <v/>
      </c>
      <c r="K1378" s="11">
        <f>IF(AND(ISNUMBER(H1378),ISNUMBER(I1378),H1378&gt;0,ISNUMBER($B$94)),MAX(0,$B$94-3*SQRT($B$94*(1-$B$94)/H1378)),"")</f>
        <v/>
      </c>
      <c r="L1378" s="11">
        <f>IF(AND(ISNUMBER(H1378),ISNUMBER(I1378),H1378&gt;0,ISNUMBER($B$94)),$B$94+3*SQRT($B$94*(1-$B$94)/H1378),"")</f>
        <v/>
      </c>
      <c r="M1378" s="13">
        <f>IF(AND(ISNUMBER(J1378),ISNUMBER(K1378),ISNUMBER(L1378)),IF(J1378&gt;L1378,"boven UCL",IF(J1378&lt;K1378,"onder LCL","")),"")</f>
        <v/>
      </c>
      <c r="O1378" t="n">
        <v>1272</v>
      </c>
      <c r="P1378" s="7" t="n"/>
      <c r="Q1378" s="7" t="n"/>
      <c r="R1378" s="11">
        <f>IF(AND(ISNUMBER(P1378),ISNUMBER(Q1378),P1378&gt;0,ISNUMBER($B$100)),Q1378/P1378,"")</f>
        <v/>
      </c>
      <c r="S1378" s="11">
        <f>IF(AND(ISNUMBER(P1378),ISNUMBER(Q1378),P1378&gt;0,ISNUMBER($B$100)),MAX(0,$B$100-3*SQRT($B$100/P1378)),"")</f>
        <v/>
      </c>
      <c r="T1378" s="11">
        <f>IF(AND(ISNUMBER(P1378),ISNUMBER(Q1378),P1378&gt;0,ISNUMBER($B$100)),$B$100+3*SQRT($B$100/P1378),"")</f>
        <v/>
      </c>
      <c r="U1378" s="13">
        <f>IF(AND(ISNUMBER(R1378),ISNUMBER(S1378),ISNUMBER(T1378)),IF(R1378&gt;T1378,"boven UCL",IF(R1378&lt;S1378,"onder LCL","")),"")</f>
        <v/>
      </c>
    </row>
    <row r="1379">
      <c r="A1379" t="n">
        <v>1273</v>
      </c>
      <c r="B1379" s="7" t="n"/>
      <c r="C1379" s="11">
        <f>IF(AND(ISNUMBER(B1379),ISNUMBER(B1378)),ABS(B1379-B1378),"")</f>
        <v/>
      </c>
      <c r="D1379" s="13">
        <f>IF(AND(ISNUMBER(B1379),ISNUMBER($B$88),ISNUMBER($D$88)),IF(B1379&gt;$D$88,"boven UCL",IF(B1379&lt;$B$88,"onder LCL","")),"")</f>
        <v/>
      </c>
      <c r="E1379" s="13">
        <f>IF(AND(ISNUMBER(C1379),ISNUMBER($B$89),ISNUMBER($D$89)),IF(C1379&gt;$D$89,"boven UCL",IF(C1379&lt;$B$89,"onder LCL","")),"")</f>
        <v/>
      </c>
      <c r="G1379" t="n">
        <v>1273</v>
      </c>
      <c r="H1379" s="7" t="n"/>
      <c r="I1379" s="7" t="n"/>
      <c r="J1379" s="11">
        <f>IF(AND(ISNUMBER(H1379),ISNUMBER(I1379),H1379&gt;0,ISNUMBER($B$94)),I1379/H1379,"")</f>
        <v/>
      </c>
      <c r="K1379" s="11">
        <f>IF(AND(ISNUMBER(H1379),ISNUMBER(I1379),H1379&gt;0,ISNUMBER($B$94)),MAX(0,$B$94-3*SQRT($B$94*(1-$B$94)/H1379)),"")</f>
        <v/>
      </c>
      <c r="L1379" s="11">
        <f>IF(AND(ISNUMBER(H1379),ISNUMBER(I1379),H1379&gt;0,ISNUMBER($B$94)),$B$94+3*SQRT($B$94*(1-$B$94)/H1379),"")</f>
        <v/>
      </c>
      <c r="M1379" s="13">
        <f>IF(AND(ISNUMBER(J1379),ISNUMBER(K1379),ISNUMBER(L1379)),IF(J1379&gt;L1379,"boven UCL",IF(J1379&lt;K1379,"onder LCL","")),"")</f>
        <v/>
      </c>
      <c r="O1379" t="n">
        <v>1273</v>
      </c>
      <c r="P1379" s="7" t="n"/>
      <c r="Q1379" s="7" t="n"/>
      <c r="R1379" s="11">
        <f>IF(AND(ISNUMBER(P1379),ISNUMBER(Q1379),P1379&gt;0,ISNUMBER($B$100)),Q1379/P1379,"")</f>
        <v/>
      </c>
      <c r="S1379" s="11">
        <f>IF(AND(ISNUMBER(P1379),ISNUMBER(Q1379),P1379&gt;0,ISNUMBER($B$100)),MAX(0,$B$100-3*SQRT($B$100/P1379)),"")</f>
        <v/>
      </c>
      <c r="T1379" s="11">
        <f>IF(AND(ISNUMBER(P1379),ISNUMBER(Q1379),P1379&gt;0,ISNUMBER($B$100)),$B$100+3*SQRT($B$100/P1379),"")</f>
        <v/>
      </c>
      <c r="U1379" s="13">
        <f>IF(AND(ISNUMBER(R1379),ISNUMBER(S1379),ISNUMBER(T1379)),IF(R1379&gt;T1379,"boven UCL",IF(R1379&lt;S1379,"onder LCL","")),"")</f>
        <v/>
      </c>
    </row>
    <row r="1380">
      <c r="A1380" t="n">
        <v>1274</v>
      </c>
      <c r="B1380" s="7" t="n"/>
      <c r="C1380" s="11">
        <f>IF(AND(ISNUMBER(B1380),ISNUMBER(B1379)),ABS(B1380-B1379),"")</f>
        <v/>
      </c>
      <c r="D1380" s="13">
        <f>IF(AND(ISNUMBER(B1380),ISNUMBER($B$88),ISNUMBER($D$88)),IF(B1380&gt;$D$88,"boven UCL",IF(B1380&lt;$B$88,"onder LCL","")),"")</f>
        <v/>
      </c>
      <c r="E1380" s="13">
        <f>IF(AND(ISNUMBER(C1380),ISNUMBER($B$89),ISNUMBER($D$89)),IF(C1380&gt;$D$89,"boven UCL",IF(C1380&lt;$B$89,"onder LCL","")),"")</f>
        <v/>
      </c>
      <c r="G1380" t="n">
        <v>1274</v>
      </c>
      <c r="H1380" s="7" t="n"/>
      <c r="I1380" s="7" t="n"/>
      <c r="J1380" s="11">
        <f>IF(AND(ISNUMBER(H1380),ISNUMBER(I1380),H1380&gt;0,ISNUMBER($B$94)),I1380/H1380,"")</f>
        <v/>
      </c>
      <c r="K1380" s="11">
        <f>IF(AND(ISNUMBER(H1380),ISNUMBER(I1380),H1380&gt;0,ISNUMBER($B$94)),MAX(0,$B$94-3*SQRT($B$94*(1-$B$94)/H1380)),"")</f>
        <v/>
      </c>
      <c r="L1380" s="11">
        <f>IF(AND(ISNUMBER(H1380),ISNUMBER(I1380),H1380&gt;0,ISNUMBER($B$94)),$B$94+3*SQRT($B$94*(1-$B$94)/H1380),"")</f>
        <v/>
      </c>
      <c r="M1380" s="13">
        <f>IF(AND(ISNUMBER(J1380),ISNUMBER(K1380),ISNUMBER(L1380)),IF(J1380&gt;L1380,"boven UCL",IF(J1380&lt;K1380,"onder LCL","")),"")</f>
        <v/>
      </c>
      <c r="O1380" t="n">
        <v>1274</v>
      </c>
      <c r="P1380" s="7" t="n"/>
      <c r="Q1380" s="7" t="n"/>
      <c r="R1380" s="11">
        <f>IF(AND(ISNUMBER(P1380),ISNUMBER(Q1380),P1380&gt;0,ISNUMBER($B$100)),Q1380/P1380,"")</f>
        <v/>
      </c>
      <c r="S1380" s="11">
        <f>IF(AND(ISNUMBER(P1380),ISNUMBER(Q1380),P1380&gt;0,ISNUMBER($B$100)),MAX(0,$B$100-3*SQRT($B$100/P1380)),"")</f>
        <v/>
      </c>
      <c r="T1380" s="11">
        <f>IF(AND(ISNUMBER(P1380),ISNUMBER(Q1380),P1380&gt;0,ISNUMBER($B$100)),$B$100+3*SQRT($B$100/P1380),"")</f>
        <v/>
      </c>
      <c r="U1380" s="13">
        <f>IF(AND(ISNUMBER(R1380),ISNUMBER(S1380),ISNUMBER(T1380)),IF(R1380&gt;T1380,"boven UCL",IF(R1380&lt;S1380,"onder LCL","")),"")</f>
        <v/>
      </c>
    </row>
    <row r="1381">
      <c r="A1381" t="n">
        <v>1275</v>
      </c>
      <c r="B1381" s="7" t="n"/>
      <c r="C1381" s="11">
        <f>IF(AND(ISNUMBER(B1381),ISNUMBER(B1380)),ABS(B1381-B1380),"")</f>
        <v/>
      </c>
      <c r="D1381" s="13">
        <f>IF(AND(ISNUMBER(B1381),ISNUMBER($B$88),ISNUMBER($D$88)),IF(B1381&gt;$D$88,"boven UCL",IF(B1381&lt;$B$88,"onder LCL","")),"")</f>
        <v/>
      </c>
      <c r="E1381" s="13">
        <f>IF(AND(ISNUMBER(C1381),ISNUMBER($B$89),ISNUMBER($D$89)),IF(C1381&gt;$D$89,"boven UCL",IF(C1381&lt;$B$89,"onder LCL","")),"")</f>
        <v/>
      </c>
      <c r="G1381" t="n">
        <v>1275</v>
      </c>
      <c r="H1381" s="7" t="n"/>
      <c r="I1381" s="7" t="n"/>
      <c r="J1381" s="11">
        <f>IF(AND(ISNUMBER(H1381),ISNUMBER(I1381),H1381&gt;0,ISNUMBER($B$94)),I1381/H1381,"")</f>
        <v/>
      </c>
      <c r="K1381" s="11">
        <f>IF(AND(ISNUMBER(H1381),ISNUMBER(I1381),H1381&gt;0,ISNUMBER($B$94)),MAX(0,$B$94-3*SQRT($B$94*(1-$B$94)/H1381)),"")</f>
        <v/>
      </c>
      <c r="L1381" s="11">
        <f>IF(AND(ISNUMBER(H1381),ISNUMBER(I1381),H1381&gt;0,ISNUMBER($B$94)),$B$94+3*SQRT($B$94*(1-$B$94)/H1381),"")</f>
        <v/>
      </c>
      <c r="M1381" s="13">
        <f>IF(AND(ISNUMBER(J1381),ISNUMBER(K1381),ISNUMBER(L1381)),IF(J1381&gt;L1381,"boven UCL",IF(J1381&lt;K1381,"onder LCL","")),"")</f>
        <v/>
      </c>
      <c r="O1381" t="n">
        <v>1275</v>
      </c>
      <c r="P1381" s="7" t="n"/>
      <c r="Q1381" s="7" t="n"/>
      <c r="R1381" s="11">
        <f>IF(AND(ISNUMBER(P1381),ISNUMBER(Q1381),P1381&gt;0,ISNUMBER($B$100)),Q1381/P1381,"")</f>
        <v/>
      </c>
      <c r="S1381" s="11">
        <f>IF(AND(ISNUMBER(P1381),ISNUMBER(Q1381),P1381&gt;0,ISNUMBER($B$100)),MAX(0,$B$100-3*SQRT($B$100/P1381)),"")</f>
        <v/>
      </c>
      <c r="T1381" s="11">
        <f>IF(AND(ISNUMBER(P1381),ISNUMBER(Q1381),P1381&gt;0,ISNUMBER($B$100)),$B$100+3*SQRT($B$100/P1381),"")</f>
        <v/>
      </c>
      <c r="U1381" s="13">
        <f>IF(AND(ISNUMBER(R1381),ISNUMBER(S1381),ISNUMBER(T1381)),IF(R1381&gt;T1381,"boven UCL",IF(R1381&lt;S1381,"onder LCL","")),"")</f>
        <v/>
      </c>
    </row>
    <row r="1382">
      <c r="A1382" t="n">
        <v>1276</v>
      </c>
      <c r="B1382" s="7" t="n"/>
      <c r="C1382" s="11">
        <f>IF(AND(ISNUMBER(B1382),ISNUMBER(B1381)),ABS(B1382-B1381),"")</f>
        <v/>
      </c>
      <c r="D1382" s="13">
        <f>IF(AND(ISNUMBER(B1382),ISNUMBER($B$88),ISNUMBER($D$88)),IF(B1382&gt;$D$88,"boven UCL",IF(B1382&lt;$B$88,"onder LCL","")),"")</f>
        <v/>
      </c>
      <c r="E1382" s="13">
        <f>IF(AND(ISNUMBER(C1382),ISNUMBER($B$89),ISNUMBER($D$89)),IF(C1382&gt;$D$89,"boven UCL",IF(C1382&lt;$B$89,"onder LCL","")),"")</f>
        <v/>
      </c>
      <c r="G1382" t="n">
        <v>1276</v>
      </c>
      <c r="H1382" s="7" t="n"/>
      <c r="I1382" s="7" t="n"/>
      <c r="J1382" s="11">
        <f>IF(AND(ISNUMBER(H1382),ISNUMBER(I1382),H1382&gt;0,ISNUMBER($B$94)),I1382/H1382,"")</f>
        <v/>
      </c>
      <c r="K1382" s="11">
        <f>IF(AND(ISNUMBER(H1382),ISNUMBER(I1382),H1382&gt;0,ISNUMBER($B$94)),MAX(0,$B$94-3*SQRT($B$94*(1-$B$94)/H1382)),"")</f>
        <v/>
      </c>
      <c r="L1382" s="11">
        <f>IF(AND(ISNUMBER(H1382),ISNUMBER(I1382),H1382&gt;0,ISNUMBER($B$94)),$B$94+3*SQRT($B$94*(1-$B$94)/H1382),"")</f>
        <v/>
      </c>
      <c r="M1382" s="13">
        <f>IF(AND(ISNUMBER(J1382),ISNUMBER(K1382),ISNUMBER(L1382)),IF(J1382&gt;L1382,"boven UCL",IF(J1382&lt;K1382,"onder LCL","")),"")</f>
        <v/>
      </c>
      <c r="O1382" t="n">
        <v>1276</v>
      </c>
      <c r="P1382" s="7" t="n"/>
      <c r="Q1382" s="7" t="n"/>
      <c r="R1382" s="11">
        <f>IF(AND(ISNUMBER(P1382),ISNUMBER(Q1382),P1382&gt;0,ISNUMBER($B$100)),Q1382/P1382,"")</f>
        <v/>
      </c>
      <c r="S1382" s="11">
        <f>IF(AND(ISNUMBER(P1382),ISNUMBER(Q1382),P1382&gt;0,ISNUMBER($B$100)),MAX(0,$B$100-3*SQRT($B$100/P1382)),"")</f>
        <v/>
      </c>
      <c r="T1382" s="11">
        <f>IF(AND(ISNUMBER(P1382),ISNUMBER(Q1382),P1382&gt;0,ISNUMBER($B$100)),$B$100+3*SQRT($B$100/P1382),"")</f>
        <v/>
      </c>
      <c r="U1382" s="13">
        <f>IF(AND(ISNUMBER(R1382),ISNUMBER(S1382),ISNUMBER(T1382)),IF(R1382&gt;T1382,"boven UCL",IF(R1382&lt;S1382,"onder LCL","")),"")</f>
        <v/>
      </c>
    </row>
    <row r="1383">
      <c r="A1383" t="n">
        <v>1277</v>
      </c>
      <c r="B1383" s="7" t="n"/>
      <c r="C1383" s="11">
        <f>IF(AND(ISNUMBER(B1383),ISNUMBER(B1382)),ABS(B1383-B1382),"")</f>
        <v/>
      </c>
      <c r="D1383" s="13">
        <f>IF(AND(ISNUMBER(B1383),ISNUMBER($B$88),ISNUMBER($D$88)),IF(B1383&gt;$D$88,"boven UCL",IF(B1383&lt;$B$88,"onder LCL","")),"")</f>
        <v/>
      </c>
      <c r="E1383" s="13">
        <f>IF(AND(ISNUMBER(C1383),ISNUMBER($B$89),ISNUMBER($D$89)),IF(C1383&gt;$D$89,"boven UCL",IF(C1383&lt;$B$89,"onder LCL","")),"")</f>
        <v/>
      </c>
      <c r="G1383" t="n">
        <v>1277</v>
      </c>
      <c r="H1383" s="7" t="n"/>
      <c r="I1383" s="7" t="n"/>
      <c r="J1383" s="11">
        <f>IF(AND(ISNUMBER(H1383),ISNUMBER(I1383),H1383&gt;0,ISNUMBER($B$94)),I1383/H1383,"")</f>
        <v/>
      </c>
      <c r="K1383" s="11">
        <f>IF(AND(ISNUMBER(H1383),ISNUMBER(I1383),H1383&gt;0,ISNUMBER($B$94)),MAX(0,$B$94-3*SQRT($B$94*(1-$B$94)/H1383)),"")</f>
        <v/>
      </c>
      <c r="L1383" s="11">
        <f>IF(AND(ISNUMBER(H1383),ISNUMBER(I1383),H1383&gt;0,ISNUMBER($B$94)),$B$94+3*SQRT($B$94*(1-$B$94)/H1383),"")</f>
        <v/>
      </c>
      <c r="M1383" s="13">
        <f>IF(AND(ISNUMBER(J1383),ISNUMBER(K1383),ISNUMBER(L1383)),IF(J1383&gt;L1383,"boven UCL",IF(J1383&lt;K1383,"onder LCL","")),"")</f>
        <v/>
      </c>
      <c r="O1383" t="n">
        <v>1277</v>
      </c>
      <c r="P1383" s="7" t="n"/>
      <c r="Q1383" s="7" t="n"/>
      <c r="R1383" s="11">
        <f>IF(AND(ISNUMBER(P1383),ISNUMBER(Q1383),P1383&gt;0,ISNUMBER($B$100)),Q1383/P1383,"")</f>
        <v/>
      </c>
      <c r="S1383" s="11">
        <f>IF(AND(ISNUMBER(P1383),ISNUMBER(Q1383),P1383&gt;0,ISNUMBER($B$100)),MAX(0,$B$100-3*SQRT($B$100/P1383)),"")</f>
        <v/>
      </c>
      <c r="T1383" s="11">
        <f>IF(AND(ISNUMBER(P1383),ISNUMBER(Q1383),P1383&gt;0,ISNUMBER($B$100)),$B$100+3*SQRT($B$100/P1383),"")</f>
        <v/>
      </c>
      <c r="U1383" s="13">
        <f>IF(AND(ISNUMBER(R1383),ISNUMBER(S1383),ISNUMBER(T1383)),IF(R1383&gt;T1383,"boven UCL",IF(R1383&lt;S1383,"onder LCL","")),"")</f>
        <v/>
      </c>
    </row>
    <row r="1384">
      <c r="A1384" t="n">
        <v>1278</v>
      </c>
      <c r="B1384" s="7" t="n"/>
      <c r="C1384" s="11">
        <f>IF(AND(ISNUMBER(B1384),ISNUMBER(B1383)),ABS(B1384-B1383),"")</f>
        <v/>
      </c>
      <c r="D1384" s="13">
        <f>IF(AND(ISNUMBER(B1384),ISNUMBER($B$88),ISNUMBER($D$88)),IF(B1384&gt;$D$88,"boven UCL",IF(B1384&lt;$B$88,"onder LCL","")),"")</f>
        <v/>
      </c>
      <c r="E1384" s="13">
        <f>IF(AND(ISNUMBER(C1384),ISNUMBER($B$89),ISNUMBER($D$89)),IF(C1384&gt;$D$89,"boven UCL",IF(C1384&lt;$B$89,"onder LCL","")),"")</f>
        <v/>
      </c>
      <c r="G1384" t="n">
        <v>1278</v>
      </c>
      <c r="H1384" s="7" t="n"/>
      <c r="I1384" s="7" t="n"/>
      <c r="J1384" s="11">
        <f>IF(AND(ISNUMBER(H1384),ISNUMBER(I1384),H1384&gt;0,ISNUMBER($B$94)),I1384/H1384,"")</f>
        <v/>
      </c>
      <c r="K1384" s="11">
        <f>IF(AND(ISNUMBER(H1384),ISNUMBER(I1384),H1384&gt;0,ISNUMBER($B$94)),MAX(0,$B$94-3*SQRT($B$94*(1-$B$94)/H1384)),"")</f>
        <v/>
      </c>
      <c r="L1384" s="11">
        <f>IF(AND(ISNUMBER(H1384),ISNUMBER(I1384),H1384&gt;0,ISNUMBER($B$94)),$B$94+3*SQRT($B$94*(1-$B$94)/H1384),"")</f>
        <v/>
      </c>
      <c r="M1384" s="13">
        <f>IF(AND(ISNUMBER(J1384),ISNUMBER(K1384),ISNUMBER(L1384)),IF(J1384&gt;L1384,"boven UCL",IF(J1384&lt;K1384,"onder LCL","")),"")</f>
        <v/>
      </c>
      <c r="O1384" t="n">
        <v>1278</v>
      </c>
      <c r="P1384" s="7" t="n"/>
      <c r="Q1384" s="7" t="n"/>
      <c r="R1384" s="11">
        <f>IF(AND(ISNUMBER(P1384),ISNUMBER(Q1384),P1384&gt;0,ISNUMBER($B$100)),Q1384/P1384,"")</f>
        <v/>
      </c>
      <c r="S1384" s="11">
        <f>IF(AND(ISNUMBER(P1384),ISNUMBER(Q1384),P1384&gt;0,ISNUMBER($B$100)),MAX(0,$B$100-3*SQRT($B$100/P1384)),"")</f>
        <v/>
      </c>
      <c r="T1384" s="11">
        <f>IF(AND(ISNUMBER(P1384),ISNUMBER(Q1384),P1384&gt;0,ISNUMBER($B$100)),$B$100+3*SQRT($B$100/P1384),"")</f>
        <v/>
      </c>
      <c r="U1384" s="13">
        <f>IF(AND(ISNUMBER(R1384),ISNUMBER(S1384),ISNUMBER(T1384)),IF(R1384&gt;T1384,"boven UCL",IF(R1384&lt;S1384,"onder LCL","")),"")</f>
        <v/>
      </c>
    </row>
    <row r="1385">
      <c r="A1385" t="n">
        <v>1279</v>
      </c>
      <c r="B1385" s="7" t="n"/>
      <c r="C1385" s="11">
        <f>IF(AND(ISNUMBER(B1385),ISNUMBER(B1384)),ABS(B1385-B1384),"")</f>
        <v/>
      </c>
      <c r="D1385" s="13">
        <f>IF(AND(ISNUMBER(B1385),ISNUMBER($B$88),ISNUMBER($D$88)),IF(B1385&gt;$D$88,"boven UCL",IF(B1385&lt;$B$88,"onder LCL","")),"")</f>
        <v/>
      </c>
      <c r="E1385" s="13">
        <f>IF(AND(ISNUMBER(C1385),ISNUMBER($B$89),ISNUMBER($D$89)),IF(C1385&gt;$D$89,"boven UCL",IF(C1385&lt;$B$89,"onder LCL","")),"")</f>
        <v/>
      </c>
      <c r="G1385" t="n">
        <v>1279</v>
      </c>
      <c r="H1385" s="7" t="n"/>
      <c r="I1385" s="7" t="n"/>
      <c r="J1385" s="11">
        <f>IF(AND(ISNUMBER(H1385),ISNUMBER(I1385),H1385&gt;0,ISNUMBER($B$94)),I1385/H1385,"")</f>
        <v/>
      </c>
      <c r="K1385" s="11">
        <f>IF(AND(ISNUMBER(H1385),ISNUMBER(I1385),H1385&gt;0,ISNUMBER($B$94)),MAX(0,$B$94-3*SQRT($B$94*(1-$B$94)/H1385)),"")</f>
        <v/>
      </c>
      <c r="L1385" s="11">
        <f>IF(AND(ISNUMBER(H1385),ISNUMBER(I1385),H1385&gt;0,ISNUMBER($B$94)),$B$94+3*SQRT($B$94*(1-$B$94)/H1385),"")</f>
        <v/>
      </c>
      <c r="M1385" s="13">
        <f>IF(AND(ISNUMBER(J1385),ISNUMBER(K1385),ISNUMBER(L1385)),IF(J1385&gt;L1385,"boven UCL",IF(J1385&lt;K1385,"onder LCL","")),"")</f>
        <v/>
      </c>
      <c r="O1385" t="n">
        <v>1279</v>
      </c>
      <c r="P1385" s="7" t="n"/>
      <c r="Q1385" s="7" t="n"/>
      <c r="R1385" s="11">
        <f>IF(AND(ISNUMBER(P1385),ISNUMBER(Q1385),P1385&gt;0,ISNUMBER($B$100)),Q1385/P1385,"")</f>
        <v/>
      </c>
      <c r="S1385" s="11">
        <f>IF(AND(ISNUMBER(P1385),ISNUMBER(Q1385),P1385&gt;0,ISNUMBER($B$100)),MAX(0,$B$100-3*SQRT($B$100/P1385)),"")</f>
        <v/>
      </c>
      <c r="T1385" s="11">
        <f>IF(AND(ISNUMBER(P1385),ISNUMBER(Q1385),P1385&gt;0,ISNUMBER($B$100)),$B$100+3*SQRT($B$100/P1385),"")</f>
        <v/>
      </c>
      <c r="U1385" s="13">
        <f>IF(AND(ISNUMBER(R1385),ISNUMBER(S1385),ISNUMBER(T1385)),IF(R1385&gt;T1385,"boven UCL",IF(R1385&lt;S1385,"onder LCL","")),"")</f>
        <v/>
      </c>
    </row>
    <row r="1386">
      <c r="A1386" t="n">
        <v>1280</v>
      </c>
      <c r="B1386" s="7" t="n"/>
      <c r="C1386" s="11">
        <f>IF(AND(ISNUMBER(B1386),ISNUMBER(B1385)),ABS(B1386-B1385),"")</f>
        <v/>
      </c>
      <c r="D1386" s="13">
        <f>IF(AND(ISNUMBER(B1386),ISNUMBER($B$88),ISNUMBER($D$88)),IF(B1386&gt;$D$88,"boven UCL",IF(B1386&lt;$B$88,"onder LCL","")),"")</f>
        <v/>
      </c>
      <c r="E1386" s="13">
        <f>IF(AND(ISNUMBER(C1386),ISNUMBER($B$89),ISNUMBER($D$89)),IF(C1386&gt;$D$89,"boven UCL",IF(C1386&lt;$B$89,"onder LCL","")),"")</f>
        <v/>
      </c>
      <c r="G1386" t="n">
        <v>1280</v>
      </c>
      <c r="H1386" s="7" t="n"/>
      <c r="I1386" s="7" t="n"/>
      <c r="J1386" s="11">
        <f>IF(AND(ISNUMBER(H1386),ISNUMBER(I1386),H1386&gt;0,ISNUMBER($B$94)),I1386/H1386,"")</f>
        <v/>
      </c>
      <c r="K1386" s="11">
        <f>IF(AND(ISNUMBER(H1386),ISNUMBER(I1386),H1386&gt;0,ISNUMBER($B$94)),MAX(0,$B$94-3*SQRT($B$94*(1-$B$94)/H1386)),"")</f>
        <v/>
      </c>
      <c r="L1386" s="11">
        <f>IF(AND(ISNUMBER(H1386),ISNUMBER(I1386),H1386&gt;0,ISNUMBER($B$94)),$B$94+3*SQRT($B$94*(1-$B$94)/H1386),"")</f>
        <v/>
      </c>
      <c r="M1386" s="13">
        <f>IF(AND(ISNUMBER(J1386),ISNUMBER(K1386),ISNUMBER(L1386)),IF(J1386&gt;L1386,"boven UCL",IF(J1386&lt;K1386,"onder LCL","")),"")</f>
        <v/>
      </c>
      <c r="O1386" t="n">
        <v>1280</v>
      </c>
      <c r="P1386" s="7" t="n"/>
      <c r="Q1386" s="7" t="n"/>
      <c r="R1386" s="11">
        <f>IF(AND(ISNUMBER(P1386),ISNUMBER(Q1386),P1386&gt;0,ISNUMBER($B$100)),Q1386/P1386,"")</f>
        <v/>
      </c>
      <c r="S1386" s="11">
        <f>IF(AND(ISNUMBER(P1386),ISNUMBER(Q1386),P1386&gt;0,ISNUMBER($B$100)),MAX(0,$B$100-3*SQRT($B$100/P1386)),"")</f>
        <v/>
      </c>
      <c r="T1386" s="11">
        <f>IF(AND(ISNUMBER(P1386),ISNUMBER(Q1386),P1386&gt;0,ISNUMBER($B$100)),$B$100+3*SQRT($B$100/P1386),"")</f>
        <v/>
      </c>
      <c r="U1386" s="13">
        <f>IF(AND(ISNUMBER(R1386),ISNUMBER(S1386),ISNUMBER(T1386)),IF(R1386&gt;T1386,"boven UCL",IF(R1386&lt;S1386,"onder LCL","")),"")</f>
        <v/>
      </c>
    </row>
    <row r="1387">
      <c r="A1387" t="n">
        <v>1281</v>
      </c>
      <c r="B1387" s="7" t="n"/>
      <c r="C1387" s="11">
        <f>IF(AND(ISNUMBER(B1387),ISNUMBER(B1386)),ABS(B1387-B1386),"")</f>
        <v/>
      </c>
      <c r="D1387" s="13">
        <f>IF(AND(ISNUMBER(B1387),ISNUMBER($B$88),ISNUMBER($D$88)),IF(B1387&gt;$D$88,"boven UCL",IF(B1387&lt;$B$88,"onder LCL","")),"")</f>
        <v/>
      </c>
      <c r="E1387" s="13">
        <f>IF(AND(ISNUMBER(C1387),ISNUMBER($B$89),ISNUMBER($D$89)),IF(C1387&gt;$D$89,"boven UCL",IF(C1387&lt;$B$89,"onder LCL","")),"")</f>
        <v/>
      </c>
      <c r="G1387" t="n">
        <v>1281</v>
      </c>
      <c r="H1387" s="7" t="n"/>
      <c r="I1387" s="7" t="n"/>
      <c r="J1387" s="11">
        <f>IF(AND(ISNUMBER(H1387),ISNUMBER(I1387),H1387&gt;0,ISNUMBER($B$94)),I1387/H1387,"")</f>
        <v/>
      </c>
      <c r="K1387" s="11">
        <f>IF(AND(ISNUMBER(H1387),ISNUMBER(I1387),H1387&gt;0,ISNUMBER($B$94)),MAX(0,$B$94-3*SQRT($B$94*(1-$B$94)/H1387)),"")</f>
        <v/>
      </c>
      <c r="L1387" s="11">
        <f>IF(AND(ISNUMBER(H1387),ISNUMBER(I1387),H1387&gt;0,ISNUMBER($B$94)),$B$94+3*SQRT($B$94*(1-$B$94)/H1387),"")</f>
        <v/>
      </c>
      <c r="M1387" s="13">
        <f>IF(AND(ISNUMBER(J1387),ISNUMBER(K1387),ISNUMBER(L1387)),IF(J1387&gt;L1387,"boven UCL",IF(J1387&lt;K1387,"onder LCL","")),"")</f>
        <v/>
      </c>
      <c r="O1387" t="n">
        <v>1281</v>
      </c>
      <c r="P1387" s="7" t="n"/>
      <c r="Q1387" s="7" t="n"/>
      <c r="R1387" s="11">
        <f>IF(AND(ISNUMBER(P1387),ISNUMBER(Q1387),P1387&gt;0,ISNUMBER($B$100)),Q1387/P1387,"")</f>
        <v/>
      </c>
      <c r="S1387" s="11">
        <f>IF(AND(ISNUMBER(P1387),ISNUMBER(Q1387),P1387&gt;0,ISNUMBER($B$100)),MAX(0,$B$100-3*SQRT($B$100/P1387)),"")</f>
        <v/>
      </c>
      <c r="T1387" s="11">
        <f>IF(AND(ISNUMBER(P1387),ISNUMBER(Q1387),P1387&gt;0,ISNUMBER($B$100)),$B$100+3*SQRT($B$100/P1387),"")</f>
        <v/>
      </c>
      <c r="U1387" s="13">
        <f>IF(AND(ISNUMBER(R1387),ISNUMBER(S1387),ISNUMBER(T1387)),IF(R1387&gt;T1387,"boven UCL",IF(R1387&lt;S1387,"onder LCL","")),"")</f>
        <v/>
      </c>
    </row>
    <row r="1388">
      <c r="A1388" t="n">
        <v>1282</v>
      </c>
      <c r="B1388" s="7" t="n"/>
      <c r="C1388" s="11">
        <f>IF(AND(ISNUMBER(B1388),ISNUMBER(B1387)),ABS(B1388-B1387),"")</f>
        <v/>
      </c>
      <c r="D1388" s="13">
        <f>IF(AND(ISNUMBER(B1388),ISNUMBER($B$88),ISNUMBER($D$88)),IF(B1388&gt;$D$88,"boven UCL",IF(B1388&lt;$B$88,"onder LCL","")),"")</f>
        <v/>
      </c>
      <c r="E1388" s="13">
        <f>IF(AND(ISNUMBER(C1388),ISNUMBER($B$89),ISNUMBER($D$89)),IF(C1388&gt;$D$89,"boven UCL",IF(C1388&lt;$B$89,"onder LCL","")),"")</f>
        <v/>
      </c>
      <c r="G1388" t="n">
        <v>1282</v>
      </c>
      <c r="H1388" s="7" t="n"/>
      <c r="I1388" s="7" t="n"/>
      <c r="J1388" s="11">
        <f>IF(AND(ISNUMBER(H1388),ISNUMBER(I1388),H1388&gt;0,ISNUMBER($B$94)),I1388/H1388,"")</f>
        <v/>
      </c>
      <c r="K1388" s="11">
        <f>IF(AND(ISNUMBER(H1388),ISNUMBER(I1388),H1388&gt;0,ISNUMBER($B$94)),MAX(0,$B$94-3*SQRT($B$94*(1-$B$94)/H1388)),"")</f>
        <v/>
      </c>
      <c r="L1388" s="11">
        <f>IF(AND(ISNUMBER(H1388),ISNUMBER(I1388),H1388&gt;0,ISNUMBER($B$94)),$B$94+3*SQRT($B$94*(1-$B$94)/H1388),"")</f>
        <v/>
      </c>
      <c r="M1388" s="13">
        <f>IF(AND(ISNUMBER(J1388),ISNUMBER(K1388),ISNUMBER(L1388)),IF(J1388&gt;L1388,"boven UCL",IF(J1388&lt;K1388,"onder LCL","")),"")</f>
        <v/>
      </c>
      <c r="O1388" t="n">
        <v>1282</v>
      </c>
      <c r="P1388" s="7" t="n"/>
      <c r="Q1388" s="7" t="n"/>
      <c r="R1388" s="11">
        <f>IF(AND(ISNUMBER(P1388),ISNUMBER(Q1388),P1388&gt;0,ISNUMBER($B$100)),Q1388/P1388,"")</f>
        <v/>
      </c>
      <c r="S1388" s="11">
        <f>IF(AND(ISNUMBER(P1388),ISNUMBER(Q1388),P1388&gt;0,ISNUMBER($B$100)),MAX(0,$B$100-3*SQRT($B$100/P1388)),"")</f>
        <v/>
      </c>
      <c r="T1388" s="11">
        <f>IF(AND(ISNUMBER(P1388),ISNUMBER(Q1388),P1388&gt;0,ISNUMBER($B$100)),$B$100+3*SQRT($B$100/P1388),"")</f>
        <v/>
      </c>
      <c r="U1388" s="13">
        <f>IF(AND(ISNUMBER(R1388),ISNUMBER(S1388),ISNUMBER(T1388)),IF(R1388&gt;T1388,"boven UCL",IF(R1388&lt;S1388,"onder LCL","")),"")</f>
        <v/>
      </c>
    </row>
    <row r="1389">
      <c r="A1389" t="n">
        <v>1283</v>
      </c>
      <c r="B1389" s="7" t="n"/>
      <c r="C1389" s="11">
        <f>IF(AND(ISNUMBER(B1389),ISNUMBER(B1388)),ABS(B1389-B1388),"")</f>
        <v/>
      </c>
      <c r="D1389" s="13">
        <f>IF(AND(ISNUMBER(B1389),ISNUMBER($B$88),ISNUMBER($D$88)),IF(B1389&gt;$D$88,"boven UCL",IF(B1389&lt;$B$88,"onder LCL","")),"")</f>
        <v/>
      </c>
      <c r="E1389" s="13">
        <f>IF(AND(ISNUMBER(C1389),ISNUMBER($B$89),ISNUMBER($D$89)),IF(C1389&gt;$D$89,"boven UCL",IF(C1389&lt;$B$89,"onder LCL","")),"")</f>
        <v/>
      </c>
      <c r="G1389" t="n">
        <v>1283</v>
      </c>
      <c r="H1389" s="7" t="n"/>
      <c r="I1389" s="7" t="n"/>
      <c r="J1389" s="11">
        <f>IF(AND(ISNUMBER(H1389),ISNUMBER(I1389),H1389&gt;0,ISNUMBER($B$94)),I1389/H1389,"")</f>
        <v/>
      </c>
      <c r="K1389" s="11">
        <f>IF(AND(ISNUMBER(H1389),ISNUMBER(I1389),H1389&gt;0,ISNUMBER($B$94)),MAX(0,$B$94-3*SQRT($B$94*(1-$B$94)/H1389)),"")</f>
        <v/>
      </c>
      <c r="L1389" s="11">
        <f>IF(AND(ISNUMBER(H1389),ISNUMBER(I1389),H1389&gt;0,ISNUMBER($B$94)),$B$94+3*SQRT($B$94*(1-$B$94)/H1389),"")</f>
        <v/>
      </c>
      <c r="M1389" s="13">
        <f>IF(AND(ISNUMBER(J1389),ISNUMBER(K1389),ISNUMBER(L1389)),IF(J1389&gt;L1389,"boven UCL",IF(J1389&lt;K1389,"onder LCL","")),"")</f>
        <v/>
      </c>
      <c r="O1389" t="n">
        <v>1283</v>
      </c>
      <c r="P1389" s="7" t="n"/>
      <c r="Q1389" s="7" t="n"/>
      <c r="R1389" s="11">
        <f>IF(AND(ISNUMBER(P1389),ISNUMBER(Q1389),P1389&gt;0,ISNUMBER($B$100)),Q1389/P1389,"")</f>
        <v/>
      </c>
      <c r="S1389" s="11">
        <f>IF(AND(ISNUMBER(P1389),ISNUMBER(Q1389),P1389&gt;0,ISNUMBER($B$100)),MAX(0,$B$100-3*SQRT($B$100/P1389)),"")</f>
        <v/>
      </c>
      <c r="T1389" s="11">
        <f>IF(AND(ISNUMBER(P1389),ISNUMBER(Q1389),P1389&gt;0,ISNUMBER($B$100)),$B$100+3*SQRT($B$100/P1389),"")</f>
        <v/>
      </c>
      <c r="U1389" s="13">
        <f>IF(AND(ISNUMBER(R1389),ISNUMBER(S1389),ISNUMBER(T1389)),IF(R1389&gt;T1389,"boven UCL",IF(R1389&lt;S1389,"onder LCL","")),"")</f>
        <v/>
      </c>
    </row>
    <row r="1390">
      <c r="A1390" t="n">
        <v>1284</v>
      </c>
      <c r="B1390" s="7" t="n"/>
      <c r="C1390" s="11">
        <f>IF(AND(ISNUMBER(B1390),ISNUMBER(B1389)),ABS(B1390-B1389),"")</f>
        <v/>
      </c>
      <c r="D1390" s="13">
        <f>IF(AND(ISNUMBER(B1390),ISNUMBER($B$88),ISNUMBER($D$88)),IF(B1390&gt;$D$88,"boven UCL",IF(B1390&lt;$B$88,"onder LCL","")),"")</f>
        <v/>
      </c>
      <c r="E1390" s="13">
        <f>IF(AND(ISNUMBER(C1390),ISNUMBER($B$89),ISNUMBER($D$89)),IF(C1390&gt;$D$89,"boven UCL",IF(C1390&lt;$B$89,"onder LCL","")),"")</f>
        <v/>
      </c>
      <c r="G1390" t="n">
        <v>1284</v>
      </c>
      <c r="H1390" s="7" t="n"/>
      <c r="I1390" s="7" t="n"/>
      <c r="J1390" s="11">
        <f>IF(AND(ISNUMBER(H1390),ISNUMBER(I1390),H1390&gt;0,ISNUMBER($B$94)),I1390/H1390,"")</f>
        <v/>
      </c>
      <c r="K1390" s="11">
        <f>IF(AND(ISNUMBER(H1390),ISNUMBER(I1390),H1390&gt;0,ISNUMBER($B$94)),MAX(0,$B$94-3*SQRT($B$94*(1-$B$94)/H1390)),"")</f>
        <v/>
      </c>
      <c r="L1390" s="11">
        <f>IF(AND(ISNUMBER(H1390),ISNUMBER(I1390),H1390&gt;0,ISNUMBER($B$94)),$B$94+3*SQRT($B$94*(1-$B$94)/H1390),"")</f>
        <v/>
      </c>
      <c r="M1390" s="13">
        <f>IF(AND(ISNUMBER(J1390),ISNUMBER(K1390),ISNUMBER(L1390)),IF(J1390&gt;L1390,"boven UCL",IF(J1390&lt;K1390,"onder LCL","")),"")</f>
        <v/>
      </c>
      <c r="O1390" t="n">
        <v>1284</v>
      </c>
      <c r="P1390" s="7" t="n"/>
      <c r="Q1390" s="7" t="n"/>
      <c r="R1390" s="11">
        <f>IF(AND(ISNUMBER(P1390),ISNUMBER(Q1390),P1390&gt;0,ISNUMBER($B$100)),Q1390/P1390,"")</f>
        <v/>
      </c>
      <c r="S1390" s="11">
        <f>IF(AND(ISNUMBER(P1390),ISNUMBER(Q1390),P1390&gt;0,ISNUMBER($B$100)),MAX(0,$B$100-3*SQRT($B$100/P1390)),"")</f>
        <v/>
      </c>
      <c r="T1390" s="11">
        <f>IF(AND(ISNUMBER(P1390),ISNUMBER(Q1390),P1390&gt;0,ISNUMBER($B$100)),$B$100+3*SQRT($B$100/P1390),"")</f>
        <v/>
      </c>
      <c r="U1390" s="13">
        <f>IF(AND(ISNUMBER(R1390),ISNUMBER(S1390),ISNUMBER(T1390)),IF(R1390&gt;T1390,"boven UCL",IF(R1390&lt;S1390,"onder LCL","")),"")</f>
        <v/>
      </c>
    </row>
    <row r="1391">
      <c r="A1391" t="n">
        <v>1285</v>
      </c>
      <c r="B1391" s="7" t="n"/>
      <c r="C1391" s="11">
        <f>IF(AND(ISNUMBER(B1391),ISNUMBER(B1390)),ABS(B1391-B1390),"")</f>
        <v/>
      </c>
      <c r="D1391" s="13">
        <f>IF(AND(ISNUMBER(B1391),ISNUMBER($B$88),ISNUMBER($D$88)),IF(B1391&gt;$D$88,"boven UCL",IF(B1391&lt;$B$88,"onder LCL","")),"")</f>
        <v/>
      </c>
      <c r="E1391" s="13">
        <f>IF(AND(ISNUMBER(C1391),ISNUMBER($B$89),ISNUMBER($D$89)),IF(C1391&gt;$D$89,"boven UCL",IF(C1391&lt;$B$89,"onder LCL","")),"")</f>
        <v/>
      </c>
      <c r="G1391" t="n">
        <v>1285</v>
      </c>
      <c r="H1391" s="7" t="n"/>
      <c r="I1391" s="7" t="n"/>
      <c r="J1391" s="11">
        <f>IF(AND(ISNUMBER(H1391),ISNUMBER(I1391),H1391&gt;0,ISNUMBER($B$94)),I1391/H1391,"")</f>
        <v/>
      </c>
      <c r="K1391" s="11">
        <f>IF(AND(ISNUMBER(H1391),ISNUMBER(I1391),H1391&gt;0,ISNUMBER($B$94)),MAX(0,$B$94-3*SQRT($B$94*(1-$B$94)/H1391)),"")</f>
        <v/>
      </c>
      <c r="L1391" s="11">
        <f>IF(AND(ISNUMBER(H1391),ISNUMBER(I1391),H1391&gt;0,ISNUMBER($B$94)),$B$94+3*SQRT($B$94*(1-$B$94)/H1391),"")</f>
        <v/>
      </c>
      <c r="M1391" s="13">
        <f>IF(AND(ISNUMBER(J1391),ISNUMBER(K1391),ISNUMBER(L1391)),IF(J1391&gt;L1391,"boven UCL",IF(J1391&lt;K1391,"onder LCL","")),"")</f>
        <v/>
      </c>
      <c r="O1391" t="n">
        <v>1285</v>
      </c>
      <c r="P1391" s="7" t="n"/>
      <c r="Q1391" s="7" t="n"/>
      <c r="R1391" s="11">
        <f>IF(AND(ISNUMBER(P1391),ISNUMBER(Q1391),P1391&gt;0,ISNUMBER($B$100)),Q1391/P1391,"")</f>
        <v/>
      </c>
      <c r="S1391" s="11">
        <f>IF(AND(ISNUMBER(P1391),ISNUMBER(Q1391),P1391&gt;0,ISNUMBER($B$100)),MAX(0,$B$100-3*SQRT($B$100/P1391)),"")</f>
        <v/>
      </c>
      <c r="T1391" s="11">
        <f>IF(AND(ISNUMBER(P1391),ISNUMBER(Q1391),P1391&gt;0,ISNUMBER($B$100)),$B$100+3*SQRT($B$100/P1391),"")</f>
        <v/>
      </c>
      <c r="U1391" s="13">
        <f>IF(AND(ISNUMBER(R1391),ISNUMBER(S1391),ISNUMBER(T1391)),IF(R1391&gt;T1391,"boven UCL",IF(R1391&lt;S1391,"onder LCL","")),"")</f>
        <v/>
      </c>
    </row>
    <row r="1392">
      <c r="A1392" t="n">
        <v>1286</v>
      </c>
      <c r="B1392" s="7" t="n"/>
      <c r="C1392" s="11">
        <f>IF(AND(ISNUMBER(B1392),ISNUMBER(B1391)),ABS(B1392-B1391),"")</f>
        <v/>
      </c>
      <c r="D1392" s="13">
        <f>IF(AND(ISNUMBER(B1392),ISNUMBER($B$88),ISNUMBER($D$88)),IF(B1392&gt;$D$88,"boven UCL",IF(B1392&lt;$B$88,"onder LCL","")),"")</f>
        <v/>
      </c>
      <c r="E1392" s="13">
        <f>IF(AND(ISNUMBER(C1392),ISNUMBER($B$89),ISNUMBER($D$89)),IF(C1392&gt;$D$89,"boven UCL",IF(C1392&lt;$B$89,"onder LCL","")),"")</f>
        <v/>
      </c>
      <c r="G1392" t="n">
        <v>1286</v>
      </c>
      <c r="H1392" s="7" t="n"/>
      <c r="I1392" s="7" t="n"/>
      <c r="J1392" s="11">
        <f>IF(AND(ISNUMBER(H1392),ISNUMBER(I1392),H1392&gt;0,ISNUMBER($B$94)),I1392/H1392,"")</f>
        <v/>
      </c>
      <c r="K1392" s="11">
        <f>IF(AND(ISNUMBER(H1392),ISNUMBER(I1392),H1392&gt;0,ISNUMBER($B$94)),MAX(0,$B$94-3*SQRT($B$94*(1-$B$94)/H1392)),"")</f>
        <v/>
      </c>
      <c r="L1392" s="11">
        <f>IF(AND(ISNUMBER(H1392),ISNUMBER(I1392),H1392&gt;0,ISNUMBER($B$94)),$B$94+3*SQRT($B$94*(1-$B$94)/H1392),"")</f>
        <v/>
      </c>
      <c r="M1392" s="13">
        <f>IF(AND(ISNUMBER(J1392),ISNUMBER(K1392),ISNUMBER(L1392)),IF(J1392&gt;L1392,"boven UCL",IF(J1392&lt;K1392,"onder LCL","")),"")</f>
        <v/>
      </c>
      <c r="O1392" t="n">
        <v>1286</v>
      </c>
      <c r="P1392" s="7" t="n"/>
      <c r="Q1392" s="7" t="n"/>
      <c r="R1392" s="11">
        <f>IF(AND(ISNUMBER(P1392),ISNUMBER(Q1392),P1392&gt;0,ISNUMBER($B$100)),Q1392/P1392,"")</f>
        <v/>
      </c>
      <c r="S1392" s="11">
        <f>IF(AND(ISNUMBER(P1392),ISNUMBER(Q1392),P1392&gt;0,ISNUMBER($B$100)),MAX(0,$B$100-3*SQRT($B$100/P1392)),"")</f>
        <v/>
      </c>
      <c r="T1392" s="11">
        <f>IF(AND(ISNUMBER(P1392),ISNUMBER(Q1392),P1392&gt;0,ISNUMBER($B$100)),$B$100+3*SQRT($B$100/P1392),"")</f>
        <v/>
      </c>
      <c r="U1392" s="13">
        <f>IF(AND(ISNUMBER(R1392),ISNUMBER(S1392),ISNUMBER(T1392)),IF(R1392&gt;T1392,"boven UCL",IF(R1392&lt;S1392,"onder LCL","")),"")</f>
        <v/>
      </c>
    </row>
    <row r="1393">
      <c r="A1393" t="n">
        <v>1287</v>
      </c>
      <c r="B1393" s="7" t="n"/>
      <c r="C1393" s="11">
        <f>IF(AND(ISNUMBER(B1393),ISNUMBER(B1392)),ABS(B1393-B1392),"")</f>
        <v/>
      </c>
      <c r="D1393" s="13">
        <f>IF(AND(ISNUMBER(B1393),ISNUMBER($B$88),ISNUMBER($D$88)),IF(B1393&gt;$D$88,"boven UCL",IF(B1393&lt;$B$88,"onder LCL","")),"")</f>
        <v/>
      </c>
      <c r="E1393" s="13">
        <f>IF(AND(ISNUMBER(C1393),ISNUMBER($B$89),ISNUMBER($D$89)),IF(C1393&gt;$D$89,"boven UCL",IF(C1393&lt;$B$89,"onder LCL","")),"")</f>
        <v/>
      </c>
      <c r="G1393" t="n">
        <v>1287</v>
      </c>
      <c r="H1393" s="7" t="n"/>
      <c r="I1393" s="7" t="n"/>
      <c r="J1393" s="11">
        <f>IF(AND(ISNUMBER(H1393),ISNUMBER(I1393),H1393&gt;0,ISNUMBER($B$94)),I1393/H1393,"")</f>
        <v/>
      </c>
      <c r="K1393" s="11">
        <f>IF(AND(ISNUMBER(H1393),ISNUMBER(I1393),H1393&gt;0,ISNUMBER($B$94)),MAX(0,$B$94-3*SQRT($B$94*(1-$B$94)/H1393)),"")</f>
        <v/>
      </c>
      <c r="L1393" s="11">
        <f>IF(AND(ISNUMBER(H1393),ISNUMBER(I1393),H1393&gt;0,ISNUMBER($B$94)),$B$94+3*SQRT($B$94*(1-$B$94)/H1393),"")</f>
        <v/>
      </c>
      <c r="M1393" s="13">
        <f>IF(AND(ISNUMBER(J1393),ISNUMBER(K1393),ISNUMBER(L1393)),IF(J1393&gt;L1393,"boven UCL",IF(J1393&lt;K1393,"onder LCL","")),"")</f>
        <v/>
      </c>
      <c r="O1393" t="n">
        <v>1287</v>
      </c>
      <c r="P1393" s="7" t="n"/>
      <c r="Q1393" s="7" t="n"/>
      <c r="R1393" s="11">
        <f>IF(AND(ISNUMBER(P1393),ISNUMBER(Q1393),P1393&gt;0,ISNUMBER($B$100)),Q1393/P1393,"")</f>
        <v/>
      </c>
      <c r="S1393" s="11">
        <f>IF(AND(ISNUMBER(P1393),ISNUMBER(Q1393),P1393&gt;0,ISNUMBER($B$100)),MAX(0,$B$100-3*SQRT($B$100/P1393)),"")</f>
        <v/>
      </c>
      <c r="T1393" s="11">
        <f>IF(AND(ISNUMBER(P1393),ISNUMBER(Q1393),P1393&gt;0,ISNUMBER($B$100)),$B$100+3*SQRT($B$100/P1393),"")</f>
        <v/>
      </c>
      <c r="U1393" s="13">
        <f>IF(AND(ISNUMBER(R1393),ISNUMBER(S1393),ISNUMBER(T1393)),IF(R1393&gt;T1393,"boven UCL",IF(R1393&lt;S1393,"onder LCL","")),"")</f>
        <v/>
      </c>
    </row>
    <row r="1394">
      <c r="A1394" t="n">
        <v>1288</v>
      </c>
      <c r="B1394" s="7" t="n"/>
      <c r="C1394" s="11">
        <f>IF(AND(ISNUMBER(B1394),ISNUMBER(B1393)),ABS(B1394-B1393),"")</f>
        <v/>
      </c>
      <c r="D1394" s="13">
        <f>IF(AND(ISNUMBER(B1394),ISNUMBER($B$88),ISNUMBER($D$88)),IF(B1394&gt;$D$88,"boven UCL",IF(B1394&lt;$B$88,"onder LCL","")),"")</f>
        <v/>
      </c>
      <c r="E1394" s="13">
        <f>IF(AND(ISNUMBER(C1394),ISNUMBER($B$89),ISNUMBER($D$89)),IF(C1394&gt;$D$89,"boven UCL",IF(C1394&lt;$B$89,"onder LCL","")),"")</f>
        <v/>
      </c>
      <c r="G1394" t="n">
        <v>1288</v>
      </c>
      <c r="H1394" s="7" t="n"/>
      <c r="I1394" s="7" t="n"/>
      <c r="J1394" s="11">
        <f>IF(AND(ISNUMBER(H1394),ISNUMBER(I1394),H1394&gt;0,ISNUMBER($B$94)),I1394/H1394,"")</f>
        <v/>
      </c>
      <c r="K1394" s="11">
        <f>IF(AND(ISNUMBER(H1394),ISNUMBER(I1394),H1394&gt;0,ISNUMBER($B$94)),MAX(0,$B$94-3*SQRT($B$94*(1-$B$94)/H1394)),"")</f>
        <v/>
      </c>
      <c r="L1394" s="11">
        <f>IF(AND(ISNUMBER(H1394),ISNUMBER(I1394),H1394&gt;0,ISNUMBER($B$94)),$B$94+3*SQRT($B$94*(1-$B$94)/H1394),"")</f>
        <v/>
      </c>
      <c r="M1394" s="13">
        <f>IF(AND(ISNUMBER(J1394),ISNUMBER(K1394),ISNUMBER(L1394)),IF(J1394&gt;L1394,"boven UCL",IF(J1394&lt;K1394,"onder LCL","")),"")</f>
        <v/>
      </c>
      <c r="O1394" t="n">
        <v>1288</v>
      </c>
      <c r="P1394" s="7" t="n"/>
      <c r="Q1394" s="7" t="n"/>
      <c r="R1394" s="11">
        <f>IF(AND(ISNUMBER(P1394),ISNUMBER(Q1394),P1394&gt;0,ISNUMBER($B$100)),Q1394/P1394,"")</f>
        <v/>
      </c>
      <c r="S1394" s="11">
        <f>IF(AND(ISNUMBER(P1394),ISNUMBER(Q1394),P1394&gt;0,ISNUMBER($B$100)),MAX(0,$B$100-3*SQRT($B$100/P1394)),"")</f>
        <v/>
      </c>
      <c r="T1394" s="11">
        <f>IF(AND(ISNUMBER(P1394),ISNUMBER(Q1394),P1394&gt;0,ISNUMBER($B$100)),$B$100+3*SQRT($B$100/P1394),"")</f>
        <v/>
      </c>
      <c r="U1394" s="13">
        <f>IF(AND(ISNUMBER(R1394),ISNUMBER(S1394),ISNUMBER(T1394)),IF(R1394&gt;T1394,"boven UCL",IF(R1394&lt;S1394,"onder LCL","")),"")</f>
        <v/>
      </c>
    </row>
    <row r="1395">
      <c r="A1395" t="n">
        <v>1289</v>
      </c>
      <c r="B1395" s="7" t="n"/>
      <c r="C1395" s="11">
        <f>IF(AND(ISNUMBER(B1395),ISNUMBER(B1394)),ABS(B1395-B1394),"")</f>
        <v/>
      </c>
      <c r="D1395" s="13">
        <f>IF(AND(ISNUMBER(B1395),ISNUMBER($B$88),ISNUMBER($D$88)),IF(B1395&gt;$D$88,"boven UCL",IF(B1395&lt;$B$88,"onder LCL","")),"")</f>
        <v/>
      </c>
      <c r="E1395" s="13">
        <f>IF(AND(ISNUMBER(C1395),ISNUMBER($B$89),ISNUMBER($D$89)),IF(C1395&gt;$D$89,"boven UCL",IF(C1395&lt;$B$89,"onder LCL","")),"")</f>
        <v/>
      </c>
      <c r="G1395" t="n">
        <v>1289</v>
      </c>
      <c r="H1395" s="7" t="n"/>
      <c r="I1395" s="7" t="n"/>
      <c r="J1395" s="11">
        <f>IF(AND(ISNUMBER(H1395),ISNUMBER(I1395),H1395&gt;0,ISNUMBER($B$94)),I1395/H1395,"")</f>
        <v/>
      </c>
      <c r="K1395" s="11">
        <f>IF(AND(ISNUMBER(H1395),ISNUMBER(I1395),H1395&gt;0,ISNUMBER($B$94)),MAX(0,$B$94-3*SQRT($B$94*(1-$B$94)/H1395)),"")</f>
        <v/>
      </c>
      <c r="L1395" s="11">
        <f>IF(AND(ISNUMBER(H1395),ISNUMBER(I1395),H1395&gt;0,ISNUMBER($B$94)),$B$94+3*SQRT($B$94*(1-$B$94)/H1395),"")</f>
        <v/>
      </c>
      <c r="M1395" s="13">
        <f>IF(AND(ISNUMBER(J1395),ISNUMBER(K1395),ISNUMBER(L1395)),IF(J1395&gt;L1395,"boven UCL",IF(J1395&lt;K1395,"onder LCL","")),"")</f>
        <v/>
      </c>
      <c r="O1395" t="n">
        <v>1289</v>
      </c>
      <c r="P1395" s="7" t="n"/>
      <c r="Q1395" s="7" t="n"/>
      <c r="R1395" s="11">
        <f>IF(AND(ISNUMBER(P1395),ISNUMBER(Q1395),P1395&gt;0,ISNUMBER($B$100)),Q1395/P1395,"")</f>
        <v/>
      </c>
      <c r="S1395" s="11">
        <f>IF(AND(ISNUMBER(P1395),ISNUMBER(Q1395),P1395&gt;0,ISNUMBER($B$100)),MAX(0,$B$100-3*SQRT($B$100/P1395)),"")</f>
        <v/>
      </c>
      <c r="T1395" s="11">
        <f>IF(AND(ISNUMBER(P1395),ISNUMBER(Q1395),P1395&gt;0,ISNUMBER($B$100)),$B$100+3*SQRT($B$100/P1395),"")</f>
        <v/>
      </c>
      <c r="U1395" s="13">
        <f>IF(AND(ISNUMBER(R1395),ISNUMBER(S1395),ISNUMBER(T1395)),IF(R1395&gt;T1395,"boven UCL",IF(R1395&lt;S1395,"onder LCL","")),"")</f>
        <v/>
      </c>
    </row>
    <row r="1396">
      <c r="A1396" t="n">
        <v>1290</v>
      </c>
      <c r="B1396" s="7" t="n"/>
      <c r="C1396" s="11">
        <f>IF(AND(ISNUMBER(B1396),ISNUMBER(B1395)),ABS(B1396-B1395),"")</f>
        <v/>
      </c>
      <c r="D1396" s="13">
        <f>IF(AND(ISNUMBER(B1396),ISNUMBER($B$88),ISNUMBER($D$88)),IF(B1396&gt;$D$88,"boven UCL",IF(B1396&lt;$B$88,"onder LCL","")),"")</f>
        <v/>
      </c>
      <c r="E1396" s="13">
        <f>IF(AND(ISNUMBER(C1396),ISNUMBER($B$89),ISNUMBER($D$89)),IF(C1396&gt;$D$89,"boven UCL",IF(C1396&lt;$B$89,"onder LCL","")),"")</f>
        <v/>
      </c>
      <c r="G1396" t="n">
        <v>1290</v>
      </c>
      <c r="H1396" s="7" t="n"/>
      <c r="I1396" s="7" t="n"/>
      <c r="J1396" s="11">
        <f>IF(AND(ISNUMBER(H1396),ISNUMBER(I1396),H1396&gt;0,ISNUMBER($B$94)),I1396/H1396,"")</f>
        <v/>
      </c>
      <c r="K1396" s="11">
        <f>IF(AND(ISNUMBER(H1396),ISNUMBER(I1396),H1396&gt;0,ISNUMBER($B$94)),MAX(0,$B$94-3*SQRT($B$94*(1-$B$94)/H1396)),"")</f>
        <v/>
      </c>
      <c r="L1396" s="11">
        <f>IF(AND(ISNUMBER(H1396),ISNUMBER(I1396),H1396&gt;0,ISNUMBER($B$94)),$B$94+3*SQRT($B$94*(1-$B$94)/H1396),"")</f>
        <v/>
      </c>
      <c r="M1396" s="13">
        <f>IF(AND(ISNUMBER(J1396),ISNUMBER(K1396),ISNUMBER(L1396)),IF(J1396&gt;L1396,"boven UCL",IF(J1396&lt;K1396,"onder LCL","")),"")</f>
        <v/>
      </c>
      <c r="O1396" t="n">
        <v>1290</v>
      </c>
      <c r="P1396" s="7" t="n"/>
      <c r="Q1396" s="7" t="n"/>
      <c r="R1396" s="11">
        <f>IF(AND(ISNUMBER(P1396),ISNUMBER(Q1396),P1396&gt;0,ISNUMBER($B$100)),Q1396/P1396,"")</f>
        <v/>
      </c>
      <c r="S1396" s="11">
        <f>IF(AND(ISNUMBER(P1396),ISNUMBER(Q1396),P1396&gt;0,ISNUMBER($B$100)),MAX(0,$B$100-3*SQRT($B$100/P1396)),"")</f>
        <v/>
      </c>
      <c r="T1396" s="11">
        <f>IF(AND(ISNUMBER(P1396),ISNUMBER(Q1396),P1396&gt;0,ISNUMBER($B$100)),$B$100+3*SQRT($B$100/P1396),"")</f>
        <v/>
      </c>
      <c r="U1396" s="13">
        <f>IF(AND(ISNUMBER(R1396),ISNUMBER(S1396),ISNUMBER(T1396)),IF(R1396&gt;T1396,"boven UCL",IF(R1396&lt;S1396,"onder LCL","")),"")</f>
        <v/>
      </c>
    </row>
    <row r="1397">
      <c r="A1397" t="n">
        <v>1291</v>
      </c>
      <c r="B1397" s="7" t="n"/>
      <c r="C1397" s="11">
        <f>IF(AND(ISNUMBER(B1397),ISNUMBER(B1396)),ABS(B1397-B1396),"")</f>
        <v/>
      </c>
      <c r="D1397" s="13">
        <f>IF(AND(ISNUMBER(B1397),ISNUMBER($B$88),ISNUMBER($D$88)),IF(B1397&gt;$D$88,"boven UCL",IF(B1397&lt;$B$88,"onder LCL","")),"")</f>
        <v/>
      </c>
      <c r="E1397" s="13">
        <f>IF(AND(ISNUMBER(C1397),ISNUMBER($B$89),ISNUMBER($D$89)),IF(C1397&gt;$D$89,"boven UCL",IF(C1397&lt;$B$89,"onder LCL","")),"")</f>
        <v/>
      </c>
      <c r="G1397" t="n">
        <v>1291</v>
      </c>
      <c r="H1397" s="7" t="n"/>
      <c r="I1397" s="7" t="n"/>
      <c r="J1397" s="11">
        <f>IF(AND(ISNUMBER(H1397),ISNUMBER(I1397),H1397&gt;0,ISNUMBER($B$94)),I1397/H1397,"")</f>
        <v/>
      </c>
      <c r="K1397" s="11">
        <f>IF(AND(ISNUMBER(H1397),ISNUMBER(I1397),H1397&gt;0,ISNUMBER($B$94)),MAX(0,$B$94-3*SQRT($B$94*(1-$B$94)/H1397)),"")</f>
        <v/>
      </c>
      <c r="L1397" s="11">
        <f>IF(AND(ISNUMBER(H1397),ISNUMBER(I1397),H1397&gt;0,ISNUMBER($B$94)),$B$94+3*SQRT($B$94*(1-$B$94)/H1397),"")</f>
        <v/>
      </c>
      <c r="M1397" s="13">
        <f>IF(AND(ISNUMBER(J1397),ISNUMBER(K1397),ISNUMBER(L1397)),IF(J1397&gt;L1397,"boven UCL",IF(J1397&lt;K1397,"onder LCL","")),"")</f>
        <v/>
      </c>
      <c r="O1397" t="n">
        <v>1291</v>
      </c>
      <c r="P1397" s="7" t="n"/>
      <c r="Q1397" s="7" t="n"/>
      <c r="R1397" s="11">
        <f>IF(AND(ISNUMBER(P1397),ISNUMBER(Q1397),P1397&gt;0,ISNUMBER($B$100)),Q1397/P1397,"")</f>
        <v/>
      </c>
      <c r="S1397" s="11">
        <f>IF(AND(ISNUMBER(P1397),ISNUMBER(Q1397),P1397&gt;0,ISNUMBER($B$100)),MAX(0,$B$100-3*SQRT($B$100/P1397)),"")</f>
        <v/>
      </c>
      <c r="T1397" s="11">
        <f>IF(AND(ISNUMBER(P1397),ISNUMBER(Q1397),P1397&gt;0,ISNUMBER($B$100)),$B$100+3*SQRT($B$100/P1397),"")</f>
        <v/>
      </c>
      <c r="U1397" s="13">
        <f>IF(AND(ISNUMBER(R1397),ISNUMBER(S1397),ISNUMBER(T1397)),IF(R1397&gt;T1397,"boven UCL",IF(R1397&lt;S1397,"onder LCL","")),"")</f>
        <v/>
      </c>
    </row>
    <row r="1398">
      <c r="A1398" t="n">
        <v>1292</v>
      </c>
      <c r="B1398" s="7" t="n"/>
      <c r="C1398" s="11">
        <f>IF(AND(ISNUMBER(B1398),ISNUMBER(B1397)),ABS(B1398-B1397),"")</f>
        <v/>
      </c>
      <c r="D1398" s="13">
        <f>IF(AND(ISNUMBER(B1398),ISNUMBER($B$88),ISNUMBER($D$88)),IF(B1398&gt;$D$88,"boven UCL",IF(B1398&lt;$B$88,"onder LCL","")),"")</f>
        <v/>
      </c>
      <c r="E1398" s="13">
        <f>IF(AND(ISNUMBER(C1398),ISNUMBER($B$89),ISNUMBER($D$89)),IF(C1398&gt;$D$89,"boven UCL",IF(C1398&lt;$B$89,"onder LCL","")),"")</f>
        <v/>
      </c>
      <c r="G1398" t="n">
        <v>1292</v>
      </c>
      <c r="H1398" s="7" t="n"/>
      <c r="I1398" s="7" t="n"/>
      <c r="J1398" s="11">
        <f>IF(AND(ISNUMBER(H1398),ISNUMBER(I1398),H1398&gt;0,ISNUMBER($B$94)),I1398/H1398,"")</f>
        <v/>
      </c>
      <c r="K1398" s="11">
        <f>IF(AND(ISNUMBER(H1398),ISNUMBER(I1398),H1398&gt;0,ISNUMBER($B$94)),MAX(0,$B$94-3*SQRT($B$94*(1-$B$94)/H1398)),"")</f>
        <v/>
      </c>
      <c r="L1398" s="11">
        <f>IF(AND(ISNUMBER(H1398),ISNUMBER(I1398),H1398&gt;0,ISNUMBER($B$94)),$B$94+3*SQRT($B$94*(1-$B$94)/H1398),"")</f>
        <v/>
      </c>
      <c r="M1398" s="13">
        <f>IF(AND(ISNUMBER(J1398),ISNUMBER(K1398),ISNUMBER(L1398)),IF(J1398&gt;L1398,"boven UCL",IF(J1398&lt;K1398,"onder LCL","")),"")</f>
        <v/>
      </c>
      <c r="O1398" t="n">
        <v>1292</v>
      </c>
      <c r="P1398" s="7" t="n"/>
      <c r="Q1398" s="7" t="n"/>
      <c r="R1398" s="11">
        <f>IF(AND(ISNUMBER(P1398),ISNUMBER(Q1398),P1398&gt;0,ISNUMBER($B$100)),Q1398/P1398,"")</f>
        <v/>
      </c>
      <c r="S1398" s="11">
        <f>IF(AND(ISNUMBER(P1398),ISNUMBER(Q1398),P1398&gt;0,ISNUMBER($B$100)),MAX(0,$B$100-3*SQRT($B$100/P1398)),"")</f>
        <v/>
      </c>
      <c r="T1398" s="11">
        <f>IF(AND(ISNUMBER(P1398),ISNUMBER(Q1398),P1398&gt;0,ISNUMBER($B$100)),$B$100+3*SQRT($B$100/P1398),"")</f>
        <v/>
      </c>
      <c r="U1398" s="13">
        <f>IF(AND(ISNUMBER(R1398),ISNUMBER(S1398),ISNUMBER(T1398)),IF(R1398&gt;T1398,"boven UCL",IF(R1398&lt;S1398,"onder LCL","")),"")</f>
        <v/>
      </c>
    </row>
    <row r="1399">
      <c r="A1399" t="n">
        <v>1293</v>
      </c>
      <c r="B1399" s="7" t="n"/>
      <c r="C1399" s="11">
        <f>IF(AND(ISNUMBER(B1399),ISNUMBER(B1398)),ABS(B1399-B1398),"")</f>
        <v/>
      </c>
      <c r="D1399" s="13">
        <f>IF(AND(ISNUMBER(B1399),ISNUMBER($B$88),ISNUMBER($D$88)),IF(B1399&gt;$D$88,"boven UCL",IF(B1399&lt;$B$88,"onder LCL","")),"")</f>
        <v/>
      </c>
      <c r="E1399" s="13">
        <f>IF(AND(ISNUMBER(C1399),ISNUMBER($B$89),ISNUMBER($D$89)),IF(C1399&gt;$D$89,"boven UCL",IF(C1399&lt;$B$89,"onder LCL","")),"")</f>
        <v/>
      </c>
      <c r="G1399" t="n">
        <v>1293</v>
      </c>
      <c r="H1399" s="7" t="n"/>
      <c r="I1399" s="7" t="n"/>
      <c r="J1399" s="11">
        <f>IF(AND(ISNUMBER(H1399),ISNUMBER(I1399),H1399&gt;0,ISNUMBER($B$94)),I1399/H1399,"")</f>
        <v/>
      </c>
      <c r="K1399" s="11">
        <f>IF(AND(ISNUMBER(H1399),ISNUMBER(I1399),H1399&gt;0,ISNUMBER($B$94)),MAX(0,$B$94-3*SQRT($B$94*(1-$B$94)/H1399)),"")</f>
        <v/>
      </c>
      <c r="L1399" s="11">
        <f>IF(AND(ISNUMBER(H1399),ISNUMBER(I1399),H1399&gt;0,ISNUMBER($B$94)),$B$94+3*SQRT($B$94*(1-$B$94)/H1399),"")</f>
        <v/>
      </c>
      <c r="M1399" s="13">
        <f>IF(AND(ISNUMBER(J1399),ISNUMBER(K1399),ISNUMBER(L1399)),IF(J1399&gt;L1399,"boven UCL",IF(J1399&lt;K1399,"onder LCL","")),"")</f>
        <v/>
      </c>
      <c r="O1399" t="n">
        <v>1293</v>
      </c>
      <c r="P1399" s="7" t="n"/>
      <c r="Q1399" s="7" t="n"/>
      <c r="R1399" s="11">
        <f>IF(AND(ISNUMBER(P1399),ISNUMBER(Q1399),P1399&gt;0,ISNUMBER($B$100)),Q1399/P1399,"")</f>
        <v/>
      </c>
      <c r="S1399" s="11">
        <f>IF(AND(ISNUMBER(P1399),ISNUMBER(Q1399),P1399&gt;0,ISNUMBER($B$100)),MAX(0,$B$100-3*SQRT($B$100/P1399)),"")</f>
        <v/>
      </c>
      <c r="T1399" s="11">
        <f>IF(AND(ISNUMBER(P1399),ISNUMBER(Q1399),P1399&gt;0,ISNUMBER($B$100)),$B$100+3*SQRT($B$100/P1399),"")</f>
        <v/>
      </c>
      <c r="U1399" s="13">
        <f>IF(AND(ISNUMBER(R1399),ISNUMBER(S1399),ISNUMBER(T1399)),IF(R1399&gt;T1399,"boven UCL",IF(R1399&lt;S1399,"onder LCL","")),"")</f>
        <v/>
      </c>
    </row>
    <row r="1400">
      <c r="A1400" t="n">
        <v>1294</v>
      </c>
      <c r="B1400" s="7" t="n"/>
      <c r="C1400" s="11">
        <f>IF(AND(ISNUMBER(B1400),ISNUMBER(B1399)),ABS(B1400-B1399),"")</f>
        <v/>
      </c>
      <c r="D1400" s="13">
        <f>IF(AND(ISNUMBER(B1400),ISNUMBER($B$88),ISNUMBER($D$88)),IF(B1400&gt;$D$88,"boven UCL",IF(B1400&lt;$B$88,"onder LCL","")),"")</f>
        <v/>
      </c>
      <c r="E1400" s="13">
        <f>IF(AND(ISNUMBER(C1400),ISNUMBER($B$89),ISNUMBER($D$89)),IF(C1400&gt;$D$89,"boven UCL",IF(C1400&lt;$B$89,"onder LCL","")),"")</f>
        <v/>
      </c>
      <c r="G1400" t="n">
        <v>1294</v>
      </c>
      <c r="H1400" s="7" t="n"/>
      <c r="I1400" s="7" t="n"/>
      <c r="J1400" s="11">
        <f>IF(AND(ISNUMBER(H1400),ISNUMBER(I1400),H1400&gt;0,ISNUMBER($B$94)),I1400/H1400,"")</f>
        <v/>
      </c>
      <c r="K1400" s="11">
        <f>IF(AND(ISNUMBER(H1400),ISNUMBER(I1400),H1400&gt;0,ISNUMBER($B$94)),MAX(0,$B$94-3*SQRT($B$94*(1-$B$94)/H1400)),"")</f>
        <v/>
      </c>
      <c r="L1400" s="11">
        <f>IF(AND(ISNUMBER(H1400),ISNUMBER(I1400),H1400&gt;0,ISNUMBER($B$94)),$B$94+3*SQRT($B$94*(1-$B$94)/H1400),"")</f>
        <v/>
      </c>
      <c r="M1400" s="13">
        <f>IF(AND(ISNUMBER(J1400),ISNUMBER(K1400),ISNUMBER(L1400)),IF(J1400&gt;L1400,"boven UCL",IF(J1400&lt;K1400,"onder LCL","")),"")</f>
        <v/>
      </c>
      <c r="O1400" t="n">
        <v>1294</v>
      </c>
      <c r="P1400" s="7" t="n"/>
      <c r="Q1400" s="7" t="n"/>
      <c r="R1400" s="11">
        <f>IF(AND(ISNUMBER(P1400),ISNUMBER(Q1400),P1400&gt;0,ISNUMBER($B$100)),Q1400/P1400,"")</f>
        <v/>
      </c>
      <c r="S1400" s="11">
        <f>IF(AND(ISNUMBER(P1400),ISNUMBER(Q1400),P1400&gt;0,ISNUMBER($B$100)),MAX(0,$B$100-3*SQRT($B$100/P1400)),"")</f>
        <v/>
      </c>
      <c r="T1400" s="11">
        <f>IF(AND(ISNUMBER(P1400),ISNUMBER(Q1400),P1400&gt;0,ISNUMBER($B$100)),$B$100+3*SQRT($B$100/P1400),"")</f>
        <v/>
      </c>
      <c r="U1400" s="13">
        <f>IF(AND(ISNUMBER(R1400),ISNUMBER(S1400),ISNUMBER(T1400)),IF(R1400&gt;T1400,"boven UCL",IF(R1400&lt;S1400,"onder LCL","")),"")</f>
        <v/>
      </c>
    </row>
    <row r="1401">
      <c r="A1401" t="n">
        <v>1295</v>
      </c>
      <c r="B1401" s="7" t="n"/>
      <c r="C1401" s="11">
        <f>IF(AND(ISNUMBER(B1401),ISNUMBER(B1400)),ABS(B1401-B1400),"")</f>
        <v/>
      </c>
      <c r="D1401" s="13">
        <f>IF(AND(ISNUMBER(B1401),ISNUMBER($B$88),ISNUMBER($D$88)),IF(B1401&gt;$D$88,"boven UCL",IF(B1401&lt;$B$88,"onder LCL","")),"")</f>
        <v/>
      </c>
      <c r="E1401" s="13">
        <f>IF(AND(ISNUMBER(C1401),ISNUMBER($B$89),ISNUMBER($D$89)),IF(C1401&gt;$D$89,"boven UCL",IF(C1401&lt;$B$89,"onder LCL","")),"")</f>
        <v/>
      </c>
      <c r="G1401" t="n">
        <v>1295</v>
      </c>
      <c r="H1401" s="7" t="n"/>
      <c r="I1401" s="7" t="n"/>
      <c r="J1401" s="11">
        <f>IF(AND(ISNUMBER(H1401),ISNUMBER(I1401),H1401&gt;0,ISNUMBER($B$94)),I1401/H1401,"")</f>
        <v/>
      </c>
      <c r="K1401" s="11">
        <f>IF(AND(ISNUMBER(H1401),ISNUMBER(I1401),H1401&gt;0,ISNUMBER($B$94)),MAX(0,$B$94-3*SQRT($B$94*(1-$B$94)/H1401)),"")</f>
        <v/>
      </c>
      <c r="L1401" s="11">
        <f>IF(AND(ISNUMBER(H1401),ISNUMBER(I1401),H1401&gt;0,ISNUMBER($B$94)),$B$94+3*SQRT($B$94*(1-$B$94)/H1401),"")</f>
        <v/>
      </c>
      <c r="M1401" s="13">
        <f>IF(AND(ISNUMBER(J1401),ISNUMBER(K1401),ISNUMBER(L1401)),IF(J1401&gt;L1401,"boven UCL",IF(J1401&lt;K1401,"onder LCL","")),"")</f>
        <v/>
      </c>
      <c r="O1401" t="n">
        <v>1295</v>
      </c>
      <c r="P1401" s="7" t="n"/>
      <c r="Q1401" s="7" t="n"/>
      <c r="R1401" s="11">
        <f>IF(AND(ISNUMBER(P1401),ISNUMBER(Q1401),P1401&gt;0,ISNUMBER($B$100)),Q1401/P1401,"")</f>
        <v/>
      </c>
      <c r="S1401" s="11">
        <f>IF(AND(ISNUMBER(P1401),ISNUMBER(Q1401),P1401&gt;0,ISNUMBER($B$100)),MAX(0,$B$100-3*SQRT($B$100/P1401)),"")</f>
        <v/>
      </c>
      <c r="T1401" s="11">
        <f>IF(AND(ISNUMBER(P1401),ISNUMBER(Q1401),P1401&gt;0,ISNUMBER($B$100)),$B$100+3*SQRT($B$100/P1401),"")</f>
        <v/>
      </c>
      <c r="U1401" s="13">
        <f>IF(AND(ISNUMBER(R1401),ISNUMBER(S1401),ISNUMBER(T1401)),IF(R1401&gt;T1401,"boven UCL",IF(R1401&lt;S1401,"onder LCL","")),"")</f>
        <v/>
      </c>
    </row>
    <row r="1402">
      <c r="A1402" t="n">
        <v>1296</v>
      </c>
      <c r="B1402" s="7" t="n"/>
      <c r="C1402" s="11">
        <f>IF(AND(ISNUMBER(B1402),ISNUMBER(B1401)),ABS(B1402-B1401),"")</f>
        <v/>
      </c>
      <c r="D1402" s="13">
        <f>IF(AND(ISNUMBER(B1402),ISNUMBER($B$88),ISNUMBER($D$88)),IF(B1402&gt;$D$88,"boven UCL",IF(B1402&lt;$B$88,"onder LCL","")),"")</f>
        <v/>
      </c>
      <c r="E1402" s="13">
        <f>IF(AND(ISNUMBER(C1402),ISNUMBER($B$89),ISNUMBER($D$89)),IF(C1402&gt;$D$89,"boven UCL",IF(C1402&lt;$B$89,"onder LCL","")),"")</f>
        <v/>
      </c>
      <c r="G1402" t="n">
        <v>1296</v>
      </c>
      <c r="H1402" s="7" t="n"/>
      <c r="I1402" s="7" t="n"/>
      <c r="J1402" s="11">
        <f>IF(AND(ISNUMBER(H1402),ISNUMBER(I1402),H1402&gt;0,ISNUMBER($B$94)),I1402/H1402,"")</f>
        <v/>
      </c>
      <c r="K1402" s="11">
        <f>IF(AND(ISNUMBER(H1402),ISNUMBER(I1402),H1402&gt;0,ISNUMBER($B$94)),MAX(0,$B$94-3*SQRT($B$94*(1-$B$94)/H1402)),"")</f>
        <v/>
      </c>
      <c r="L1402" s="11">
        <f>IF(AND(ISNUMBER(H1402),ISNUMBER(I1402),H1402&gt;0,ISNUMBER($B$94)),$B$94+3*SQRT($B$94*(1-$B$94)/H1402),"")</f>
        <v/>
      </c>
      <c r="M1402" s="13">
        <f>IF(AND(ISNUMBER(J1402),ISNUMBER(K1402),ISNUMBER(L1402)),IF(J1402&gt;L1402,"boven UCL",IF(J1402&lt;K1402,"onder LCL","")),"")</f>
        <v/>
      </c>
      <c r="O1402" t="n">
        <v>1296</v>
      </c>
      <c r="P1402" s="7" t="n"/>
      <c r="Q1402" s="7" t="n"/>
      <c r="R1402" s="11">
        <f>IF(AND(ISNUMBER(P1402),ISNUMBER(Q1402),P1402&gt;0,ISNUMBER($B$100)),Q1402/P1402,"")</f>
        <v/>
      </c>
      <c r="S1402" s="11">
        <f>IF(AND(ISNUMBER(P1402),ISNUMBER(Q1402),P1402&gt;0,ISNUMBER($B$100)),MAX(0,$B$100-3*SQRT($B$100/P1402)),"")</f>
        <v/>
      </c>
      <c r="T1402" s="11">
        <f>IF(AND(ISNUMBER(P1402),ISNUMBER(Q1402),P1402&gt;0,ISNUMBER($B$100)),$B$100+3*SQRT($B$100/P1402),"")</f>
        <v/>
      </c>
      <c r="U1402" s="13">
        <f>IF(AND(ISNUMBER(R1402),ISNUMBER(S1402),ISNUMBER(T1402)),IF(R1402&gt;T1402,"boven UCL",IF(R1402&lt;S1402,"onder LCL","")),"")</f>
        <v/>
      </c>
    </row>
    <row r="1403">
      <c r="A1403" t="n">
        <v>1297</v>
      </c>
      <c r="B1403" s="7" t="n"/>
      <c r="C1403" s="11">
        <f>IF(AND(ISNUMBER(B1403),ISNUMBER(B1402)),ABS(B1403-B1402),"")</f>
        <v/>
      </c>
      <c r="D1403" s="13">
        <f>IF(AND(ISNUMBER(B1403),ISNUMBER($B$88),ISNUMBER($D$88)),IF(B1403&gt;$D$88,"boven UCL",IF(B1403&lt;$B$88,"onder LCL","")),"")</f>
        <v/>
      </c>
      <c r="E1403" s="13">
        <f>IF(AND(ISNUMBER(C1403),ISNUMBER($B$89),ISNUMBER($D$89)),IF(C1403&gt;$D$89,"boven UCL",IF(C1403&lt;$B$89,"onder LCL","")),"")</f>
        <v/>
      </c>
      <c r="G1403" t="n">
        <v>1297</v>
      </c>
      <c r="H1403" s="7" t="n"/>
      <c r="I1403" s="7" t="n"/>
      <c r="J1403" s="11">
        <f>IF(AND(ISNUMBER(H1403),ISNUMBER(I1403),H1403&gt;0,ISNUMBER($B$94)),I1403/H1403,"")</f>
        <v/>
      </c>
      <c r="K1403" s="11">
        <f>IF(AND(ISNUMBER(H1403),ISNUMBER(I1403),H1403&gt;0,ISNUMBER($B$94)),MAX(0,$B$94-3*SQRT($B$94*(1-$B$94)/H1403)),"")</f>
        <v/>
      </c>
      <c r="L1403" s="11">
        <f>IF(AND(ISNUMBER(H1403),ISNUMBER(I1403),H1403&gt;0,ISNUMBER($B$94)),$B$94+3*SQRT($B$94*(1-$B$94)/H1403),"")</f>
        <v/>
      </c>
      <c r="M1403" s="13">
        <f>IF(AND(ISNUMBER(J1403),ISNUMBER(K1403),ISNUMBER(L1403)),IF(J1403&gt;L1403,"boven UCL",IF(J1403&lt;K1403,"onder LCL","")),"")</f>
        <v/>
      </c>
      <c r="O1403" t="n">
        <v>1297</v>
      </c>
      <c r="P1403" s="7" t="n"/>
      <c r="Q1403" s="7" t="n"/>
      <c r="R1403" s="11">
        <f>IF(AND(ISNUMBER(P1403),ISNUMBER(Q1403),P1403&gt;0,ISNUMBER($B$100)),Q1403/P1403,"")</f>
        <v/>
      </c>
      <c r="S1403" s="11">
        <f>IF(AND(ISNUMBER(P1403),ISNUMBER(Q1403),P1403&gt;0,ISNUMBER($B$100)),MAX(0,$B$100-3*SQRT($B$100/P1403)),"")</f>
        <v/>
      </c>
      <c r="T1403" s="11">
        <f>IF(AND(ISNUMBER(P1403),ISNUMBER(Q1403),P1403&gt;0,ISNUMBER($B$100)),$B$100+3*SQRT($B$100/P1403),"")</f>
        <v/>
      </c>
      <c r="U1403" s="13">
        <f>IF(AND(ISNUMBER(R1403),ISNUMBER(S1403),ISNUMBER(T1403)),IF(R1403&gt;T1403,"boven UCL",IF(R1403&lt;S1403,"onder LCL","")),"")</f>
        <v/>
      </c>
    </row>
    <row r="1404">
      <c r="A1404" t="n">
        <v>1298</v>
      </c>
      <c r="B1404" s="7" t="n"/>
      <c r="C1404" s="11">
        <f>IF(AND(ISNUMBER(B1404),ISNUMBER(B1403)),ABS(B1404-B1403),"")</f>
        <v/>
      </c>
      <c r="D1404" s="13">
        <f>IF(AND(ISNUMBER(B1404),ISNUMBER($B$88),ISNUMBER($D$88)),IF(B1404&gt;$D$88,"boven UCL",IF(B1404&lt;$B$88,"onder LCL","")),"")</f>
        <v/>
      </c>
      <c r="E1404" s="13">
        <f>IF(AND(ISNUMBER(C1404),ISNUMBER($B$89),ISNUMBER($D$89)),IF(C1404&gt;$D$89,"boven UCL",IF(C1404&lt;$B$89,"onder LCL","")),"")</f>
        <v/>
      </c>
      <c r="G1404" t="n">
        <v>1298</v>
      </c>
      <c r="H1404" s="7" t="n"/>
      <c r="I1404" s="7" t="n"/>
      <c r="J1404" s="11">
        <f>IF(AND(ISNUMBER(H1404),ISNUMBER(I1404),H1404&gt;0,ISNUMBER($B$94)),I1404/H1404,"")</f>
        <v/>
      </c>
      <c r="K1404" s="11">
        <f>IF(AND(ISNUMBER(H1404),ISNUMBER(I1404),H1404&gt;0,ISNUMBER($B$94)),MAX(0,$B$94-3*SQRT($B$94*(1-$B$94)/H1404)),"")</f>
        <v/>
      </c>
      <c r="L1404" s="11">
        <f>IF(AND(ISNUMBER(H1404),ISNUMBER(I1404),H1404&gt;0,ISNUMBER($B$94)),$B$94+3*SQRT($B$94*(1-$B$94)/H1404),"")</f>
        <v/>
      </c>
      <c r="M1404" s="13">
        <f>IF(AND(ISNUMBER(J1404),ISNUMBER(K1404),ISNUMBER(L1404)),IF(J1404&gt;L1404,"boven UCL",IF(J1404&lt;K1404,"onder LCL","")),"")</f>
        <v/>
      </c>
      <c r="O1404" t="n">
        <v>1298</v>
      </c>
      <c r="P1404" s="7" t="n"/>
      <c r="Q1404" s="7" t="n"/>
      <c r="R1404" s="11">
        <f>IF(AND(ISNUMBER(P1404),ISNUMBER(Q1404),P1404&gt;0,ISNUMBER($B$100)),Q1404/P1404,"")</f>
        <v/>
      </c>
      <c r="S1404" s="11">
        <f>IF(AND(ISNUMBER(P1404),ISNUMBER(Q1404),P1404&gt;0,ISNUMBER($B$100)),MAX(0,$B$100-3*SQRT($B$100/P1404)),"")</f>
        <v/>
      </c>
      <c r="T1404" s="11">
        <f>IF(AND(ISNUMBER(P1404),ISNUMBER(Q1404),P1404&gt;0,ISNUMBER($B$100)),$B$100+3*SQRT($B$100/P1404),"")</f>
        <v/>
      </c>
      <c r="U1404" s="13">
        <f>IF(AND(ISNUMBER(R1404),ISNUMBER(S1404),ISNUMBER(T1404)),IF(R1404&gt;T1404,"boven UCL",IF(R1404&lt;S1404,"onder LCL","")),"")</f>
        <v/>
      </c>
    </row>
    <row r="1405">
      <c r="A1405" t="n">
        <v>1299</v>
      </c>
      <c r="B1405" s="7" t="n"/>
      <c r="C1405" s="11">
        <f>IF(AND(ISNUMBER(B1405),ISNUMBER(B1404)),ABS(B1405-B1404),"")</f>
        <v/>
      </c>
      <c r="D1405" s="13">
        <f>IF(AND(ISNUMBER(B1405),ISNUMBER($B$88),ISNUMBER($D$88)),IF(B1405&gt;$D$88,"boven UCL",IF(B1405&lt;$B$88,"onder LCL","")),"")</f>
        <v/>
      </c>
      <c r="E1405" s="13">
        <f>IF(AND(ISNUMBER(C1405),ISNUMBER($B$89),ISNUMBER($D$89)),IF(C1405&gt;$D$89,"boven UCL",IF(C1405&lt;$B$89,"onder LCL","")),"")</f>
        <v/>
      </c>
      <c r="G1405" t="n">
        <v>1299</v>
      </c>
      <c r="H1405" s="7" t="n"/>
      <c r="I1405" s="7" t="n"/>
      <c r="J1405" s="11">
        <f>IF(AND(ISNUMBER(H1405),ISNUMBER(I1405),H1405&gt;0,ISNUMBER($B$94)),I1405/H1405,"")</f>
        <v/>
      </c>
      <c r="K1405" s="11">
        <f>IF(AND(ISNUMBER(H1405),ISNUMBER(I1405),H1405&gt;0,ISNUMBER($B$94)),MAX(0,$B$94-3*SQRT($B$94*(1-$B$94)/H1405)),"")</f>
        <v/>
      </c>
      <c r="L1405" s="11">
        <f>IF(AND(ISNUMBER(H1405),ISNUMBER(I1405),H1405&gt;0,ISNUMBER($B$94)),$B$94+3*SQRT($B$94*(1-$B$94)/H1405),"")</f>
        <v/>
      </c>
      <c r="M1405" s="13">
        <f>IF(AND(ISNUMBER(J1405),ISNUMBER(K1405),ISNUMBER(L1405)),IF(J1405&gt;L1405,"boven UCL",IF(J1405&lt;K1405,"onder LCL","")),"")</f>
        <v/>
      </c>
      <c r="O1405" t="n">
        <v>1299</v>
      </c>
      <c r="P1405" s="7" t="n"/>
      <c r="Q1405" s="7" t="n"/>
      <c r="R1405" s="11">
        <f>IF(AND(ISNUMBER(P1405),ISNUMBER(Q1405),P1405&gt;0,ISNUMBER($B$100)),Q1405/P1405,"")</f>
        <v/>
      </c>
      <c r="S1405" s="11">
        <f>IF(AND(ISNUMBER(P1405),ISNUMBER(Q1405),P1405&gt;0,ISNUMBER($B$100)),MAX(0,$B$100-3*SQRT($B$100/P1405)),"")</f>
        <v/>
      </c>
      <c r="T1405" s="11">
        <f>IF(AND(ISNUMBER(P1405),ISNUMBER(Q1405),P1405&gt;0,ISNUMBER($B$100)),$B$100+3*SQRT($B$100/P1405),"")</f>
        <v/>
      </c>
      <c r="U1405" s="13">
        <f>IF(AND(ISNUMBER(R1405),ISNUMBER(S1405),ISNUMBER(T1405)),IF(R1405&gt;T1405,"boven UCL",IF(R1405&lt;S1405,"onder LCL","")),"")</f>
        <v/>
      </c>
    </row>
    <row r="1406">
      <c r="A1406" t="n">
        <v>1300</v>
      </c>
      <c r="B1406" s="7" t="n"/>
      <c r="C1406" s="11">
        <f>IF(AND(ISNUMBER(B1406),ISNUMBER(B1405)),ABS(B1406-B1405),"")</f>
        <v/>
      </c>
      <c r="D1406" s="13">
        <f>IF(AND(ISNUMBER(B1406),ISNUMBER($B$88),ISNUMBER($D$88)),IF(B1406&gt;$D$88,"boven UCL",IF(B1406&lt;$B$88,"onder LCL","")),"")</f>
        <v/>
      </c>
      <c r="E1406" s="13">
        <f>IF(AND(ISNUMBER(C1406),ISNUMBER($B$89),ISNUMBER($D$89)),IF(C1406&gt;$D$89,"boven UCL",IF(C1406&lt;$B$89,"onder LCL","")),"")</f>
        <v/>
      </c>
      <c r="G1406" t="n">
        <v>1300</v>
      </c>
      <c r="H1406" s="7" t="n"/>
      <c r="I1406" s="7" t="n"/>
      <c r="J1406" s="11">
        <f>IF(AND(ISNUMBER(H1406),ISNUMBER(I1406),H1406&gt;0,ISNUMBER($B$94)),I1406/H1406,"")</f>
        <v/>
      </c>
      <c r="K1406" s="11">
        <f>IF(AND(ISNUMBER(H1406),ISNUMBER(I1406),H1406&gt;0,ISNUMBER($B$94)),MAX(0,$B$94-3*SQRT($B$94*(1-$B$94)/H1406)),"")</f>
        <v/>
      </c>
      <c r="L1406" s="11">
        <f>IF(AND(ISNUMBER(H1406),ISNUMBER(I1406),H1406&gt;0,ISNUMBER($B$94)),$B$94+3*SQRT($B$94*(1-$B$94)/H1406),"")</f>
        <v/>
      </c>
      <c r="M1406" s="13">
        <f>IF(AND(ISNUMBER(J1406),ISNUMBER(K1406),ISNUMBER(L1406)),IF(J1406&gt;L1406,"boven UCL",IF(J1406&lt;K1406,"onder LCL","")),"")</f>
        <v/>
      </c>
      <c r="O1406" t="n">
        <v>1300</v>
      </c>
      <c r="P1406" s="7" t="n"/>
      <c r="Q1406" s="7" t="n"/>
      <c r="R1406" s="11">
        <f>IF(AND(ISNUMBER(P1406),ISNUMBER(Q1406),P1406&gt;0,ISNUMBER($B$100)),Q1406/P1406,"")</f>
        <v/>
      </c>
      <c r="S1406" s="11">
        <f>IF(AND(ISNUMBER(P1406),ISNUMBER(Q1406),P1406&gt;0,ISNUMBER($B$100)),MAX(0,$B$100-3*SQRT($B$100/P1406)),"")</f>
        <v/>
      </c>
      <c r="T1406" s="11">
        <f>IF(AND(ISNUMBER(P1406),ISNUMBER(Q1406),P1406&gt;0,ISNUMBER($B$100)),$B$100+3*SQRT($B$100/P1406),"")</f>
        <v/>
      </c>
      <c r="U1406" s="13">
        <f>IF(AND(ISNUMBER(R1406),ISNUMBER(S1406),ISNUMBER(T1406)),IF(R1406&gt;T1406,"boven UCL",IF(R1406&lt;S1406,"onder LCL","")),"")</f>
        <v/>
      </c>
    </row>
    <row r="1407">
      <c r="A1407" t="n">
        <v>1301</v>
      </c>
      <c r="B1407" s="7" t="n"/>
      <c r="C1407" s="11">
        <f>IF(AND(ISNUMBER(B1407),ISNUMBER(B1406)),ABS(B1407-B1406),"")</f>
        <v/>
      </c>
      <c r="D1407" s="13">
        <f>IF(AND(ISNUMBER(B1407),ISNUMBER($B$88),ISNUMBER($D$88)),IF(B1407&gt;$D$88,"boven UCL",IF(B1407&lt;$B$88,"onder LCL","")),"")</f>
        <v/>
      </c>
      <c r="E1407" s="13">
        <f>IF(AND(ISNUMBER(C1407),ISNUMBER($B$89),ISNUMBER($D$89)),IF(C1407&gt;$D$89,"boven UCL",IF(C1407&lt;$B$89,"onder LCL","")),"")</f>
        <v/>
      </c>
      <c r="G1407" t="n">
        <v>1301</v>
      </c>
      <c r="H1407" s="7" t="n"/>
      <c r="I1407" s="7" t="n"/>
      <c r="J1407" s="11">
        <f>IF(AND(ISNUMBER(H1407),ISNUMBER(I1407),H1407&gt;0,ISNUMBER($B$94)),I1407/H1407,"")</f>
        <v/>
      </c>
      <c r="K1407" s="11">
        <f>IF(AND(ISNUMBER(H1407),ISNUMBER(I1407),H1407&gt;0,ISNUMBER($B$94)),MAX(0,$B$94-3*SQRT($B$94*(1-$B$94)/H1407)),"")</f>
        <v/>
      </c>
      <c r="L1407" s="11">
        <f>IF(AND(ISNUMBER(H1407),ISNUMBER(I1407),H1407&gt;0,ISNUMBER($B$94)),$B$94+3*SQRT($B$94*(1-$B$94)/H1407),"")</f>
        <v/>
      </c>
      <c r="M1407" s="13">
        <f>IF(AND(ISNUMBER(J1407),ISNUMBER(K1407),ISNUMBER(L1407)),IF(J1407&gt;L1407,"boven UCL",IF(J1407&lt;K1407,"onder LCL","")),"")</f>
        <v/>
      </c>
      <c r="O1407" t="n">
        <v>1301</v>
      </c>
      <c r="P1407" s="7" t="n"/>
      <c r="Q1407" s="7" t="n"/>
      <c r="R1407" s="11">
        <f>IF(AND(ISNUMBER(P1407),ISNUMBER(Q1407),P1407&gt;0,ISNUMBER($B$100)),Q1407/P1407,"")</f>
        <v/>
      </c>
      <c r="S1407" s="11">
        <f>IF(AND(ISNUMBER(P1407),ISNUMBER(Q1407),P1407&gt;0,ISNUMBER($B$100)),MAX(0,$B$100-3*SQRT($B$100/P1407)),"")</f>
        <v/>
      </c>
      <c r="T1407" s="11">
        <f>IF(AND(ISNUMBER(P1407),ISNUMBER(Q1407),P1407&gt;0,ISNUMBER($B$100)),$B$100+3*SQRT($B$100/P1407),"")</f>
        <v/>
      </c>
      <c r="U1407" s="13">
        <f>IF(AND(ISNUMBER(R1407),ISNUMBER(S1407),ISNUMBER(T1407)),IF(R1407&gt;T1407,"boven UCL",IF(R1407&lt;S1407,"onder LCL","")),"")</f>
        <v/>
      </c>
    </row>
    <row r="1408">
      <c r="A1408" t="n">
        <v>1302</v>
      </c>
      <c r="B1408" s="7" t="n"/>
      <c r="C1408" s="11">
        <f>IF(AND(ISNUMBER(B1408),ISNUMBER(B1407)),ABS(B1408-B1407),"")</f>
        <v/>
      </c>
      <c r="D1408" s="13">
        <f>IF(AND(ISNUMBER(B1408),ISNUMBER($B$88),ISNUMBER($D$88)),IF(B1408&gt;$D$88,"boven UCL",IF(B1408&lt;$B$88,"onder LCL","")),"")</f>
        <v/>
      </c>
      <c r="E1408" s="13">
        <f>IF(AND(ISNUMBER(C1408),ISNUMBER($B$89),ISNUMBER($D$89)),IF(C1408&gt;$D$89,"boven UCL",IF(C1408&lt;$B$89,"onder LCL","")),"")</f>
        <v/>
      </c>
      <c r="G1408" t="n">
        <v>1302</v>
      </c>
      <c r="H1408" s="7" t="n"/>
      <c r="I1408" s="7" t="n"/>
      <c r="J1408" s="11">
        <f>IF(AND(ISNUMBER(H1408),ISNUMBER(I1408),H1408&gt;0,ISNUMBER($B$94)),I1408/H1408,"")</f>
        <v/>
      </c>
      <c r="K1408" s="11">
        <f>IF(AND(ISNUMBER(H1408),ISNUMBER(I1408),H1408&gt;0,ISNUMBER($B$94)),MAX(0,$B$94-3*SQRT($B$94*(1-$B$94)/H1408)),"")</f>
        <v/>
      </c>
      <c r="L1408" s="11">
        <f>IF(AND(ISNUMBER(H1408),ISNUMBER(I1408),H1408&gt;0,ISNUMBER($B$94)),$B$94+3*SQRT($B$94*(1-$B$94)/H1408),"")</f>
        <v/>
      </c>
      <c r="M1408" s="13">
        <f>IF(AND(ISNUMBER(J1408),ISNUMBER(K1408),ISNUMBER(L1408)),IF(J1408&gt;L1408,"boven UCL",IF(J1408&lt;K1408,"onder LCL","")),"")</f>
        <v/>
      </c>
      <c r="O1408" t="n">
        <v>1302</v>
      </c>
      <c r="P1408" s="7" t="n"/>
      <c r="Q1408" s="7" t="n"/>
      <c r="R1408" s="11">
        <f>IF(AND(ISNUMBER(P1408),ISNUMBER(Q1408),P1408&gt;0,ISNUMBER($B$100)),Q1408/P1408,"")</f>
        <v/>
      </c>
      <c r="S1408" s="11">
        <f>IF(AND(ISNUMBER(P1408),ISNUMBER(Q1408),P1408&gt;0,ISNUMBER($B$100)),MAX(0,$B$100-3*SQRT($B$100/P1408)),"")</f>
        <v/>
      </c>
      <c r="T1408" s="11">
        <f>IF(AND(ISNUMBER(P1408),ISNUMBER(Q1408),P1408&gt;0,ISNUMBER($B$100)),$B$100+3*SQRT($B$100/P1408),"")</f>
        <v/>
      </c>
      <c r="U1408" s="13">
        <f>IF(AND(ISNUMBER(R1408),ISNUMBER(S1408),ISNUMBER(T1408)),IF(R1408&gt;T1408,"boven UCL",IF(R1408&lt;S1408,"onder LCL","")),"")</f>
        <v/>
      </c>
    </row>
    <row r="1409">
      <c r="A1409" t="n">
        <v>1303</v>
      </c>
      <c r="B1409" s="7" t="n"/>
      <c r="C1409" s="11">
        <f>IF(AND(ISNUMBER(B1409),ISNUMBER(B1408)),ABS(B1409-B1408),"")</f>
        <v/>
      </c>
      <c r="D1409" s="13">
        <f>IF(AND(ISNUMBER(B1409),ISNUMBER($B$88),ISNUMBER($D$88)),IF(B1409&gt;$D$88,"boven UCL",IF(B1409&lt;$B$88,"onder LCL","")),"")</f>
        <v/>
      </c>
      <c r="E1409" s="13">
        <f>IF(AND(ISNUMBER(C1409),ISNUMBER($B$89),ISNUMBER($D$89)),IF(C1409&gt;$D$89,"boven UCL",IF(C1409&lt;$B$89,"onder LCL","")),"")</f>
        <v/>
      </c>
      <c r="G1409" t="n">
        <v>1303</v>
      </c>
      <c r="H1409" s="7" t="n"/>
      <c r="I1409" s="7" t="n"/>
      <c r="J1409" s="11">
        <f>IF(AND(ISNUMBER(H1409),ISNUMBER(I1409),H1409&gt;0,ISNUMBER($B$94)),I1409/H1409,"")</f>
        <v/>
      </c>
      <c r="K1409" s="11">
        <f>IF(AND(ISNUMBER(H1409),ISNUMBER(I1409),H1409&gt;0,ISNUMBER($B$94)),MAX(0,$B$94-3*SQRT($B$94*(1-$B$94)/H1409)),"")</f>
        <v/>
      </c>
      <c r="L1409" s="11">
        <f>IF(AND(ISNUMBER(H1409),ISNUMBER(I1409),H1409&gt;0,ISNUMBER($B$94)),$B$94+3*SQRT($B$94*(1-$B$94)/H1409),"")</f>
        <v/>
      </c>
      <c r="M1409" s="13">
        <f>IF(AND(ISNUMBER(J1409),ISNUMBER(K1409),ISNUMBER(L1409)),IF(J1409&gt;L1409,"boven UCL",IF(J1409&lt;K1409,"onder LCL","")),"")</f>
        <v/>
      </c>
      <c r="O1409" t="n">
        <v>1303</v>
      </c>
      <c r="P1409" s="7" t="n"/>
      <c r="Q1409" s="7" t="n"/>
      <c r="R1409" s="11">
        <f>IF(AND(ISNUMBER(P1409),ISNUMBER(Q1409),P1409&gt;0,ISNUMBER($B$100)),Q1409/P1409,"")</f>
        <v/>
      </c>
      <c r="S1409" s="11">
        <f>IF(AND(ISNUMBER(P1409),ISNUMBER(Q1409),P1409&gt;0,ISNUMBER($B$100)),MAX(0,$B$100-3*SQRT($B$100/P1409)),"")</f>
        <v/>
      </c>
      <c r="T1409" s="11">
        <f>IF(AND(ISNUMBER(P1409),ISNUMBER(Q1409),P1409&gt;0,ISNUMBER($B$100)),$B$100+3*SQRT($B$100/P1409),"")</f>
        <v/>
      </c>
      <c r="U1409" s="13">
        <f>IF(AND(ISNUMBER(R1409),ISNUMBER(S1409),ISNUMBER(T1409)),IF(R1409&gt;T1409,"boven UCL",IF(R1409&lt;S1409,"onder LCL","")),"")</f>
        <v/>
      </c>
    </row>
    <row r="1410">
      <c r="A1410" t="n">
        <v>1304</v>
      </c>
      <c r="B1410" s="7" t="n"/>
      <c r="C1410" s="11">
        <f>IF(AND(ISNUMBER(B1410),ISNUMBER(B1409)),ABS(B1410-B1409),"")</f>
        <v/>
      </c>
      <c r="D1410" s="13">
        <f>IF(AND(ISNUMBER(B1410),ISNUMBER($B$88),ISNUMBER($D$88)),IF(B1410&gt;$D$88,"boven UCL",IF(B1410&lt;$B$88,"onder LCL","")),"")</f>
        <v/>
      </c>
      <c r="E1410" s="13">
        <f>IF(AND(ISNUMBER(C1410),ISNUMBER($B$89),ISNUMBER($D$89)),IF(C1410&gt;$D$89,"boven UCL",IF(C1410&lt;$B$89,"onder LCL","")),"")</f>
        <v/>
      </c>
      <c r="G1410" t="n">
        <v>1304</v>
      </c>
      <c r="H1410" s="7" t="n"/>
      <c r="I1410" s="7" t="n"/>
      <c r="J1410" s="11">
        <f>IF(AND(ISNUMBER(H1410),ISNUMBER(I1410),H1410&gt;0,ISNUMBER($B$94)),I1410/H1410,"")</f>
        <v/>
      </c>
      <c r="K1410" s="11">
        <f>IF(AND(ISNUMBER(H1410),ISNUMBER(I1410),H1410&gt;0,ISNUMBER($B$94)),MAX(0,$B$94-3*SQRT($B$94*(1-$B$94)/H1410)),"")</f>
        <v/>
      </c>
      <c r="L1410" s="11">
        <f>IF(AND(ISNUMBER(H1410),ISNUMBER(I1410),H1410&gt;0,ISNUMBER($B$94)),$B$94+3*SQRT($B$94*(1-$B$94)/H1410),"")</f>
        <v/>
      </c>
      <c r="M1410" s="13">
        <f>IF(AND(ISNUMBER(J1410),ISNUMBER(K1410),ISNUMBER(L1410)),IF(J1410&gt;L1410,"boven UCL",IF(J1410&lt;K1410,"onder LCL","")),"")</f>
        <v/>
      </c>
      <c r="O1410" t="n">
        <v>1304</v>
      </c>
      <c r="P1410" s="7" t="n"/>
      <c r="Q1410" s="7" t="n"/>
      <c r="R1410" s="11">
        <f>IF(AND(ISNUMBER(P1410),ISNUMBER(Q1410),P1410&gt;0,ISNUMBER($B$100)),Q1410/P1410,"")</f>
        <v/>
      </c>
      <c r="S1410" s="11">
        <f>IF(AND(ISNUMBER(P1410),ISNUMBER(Q1410),P1410&gt;0,ISNUMBER($B$100)),MAX(0,$B$100-3*SQRT($B$100/P1410)),"")</f>
        <v/>
      </c>
      <c r="T1410" s="11">
        <f>IF(AND(ISNUMBER(P1410),ISNUMBER(Q1410),P1410&gt;0,ISNUMBER($B$100)),$B$100+3*SQRT($B$100/P1410),"")</f>
        <v/>
      </c>
      <c r="U1410" s="13">
        <f>IF(AND(ISNUMBER(R1410),ISNUMBER(S1410),ISNUMBER(T1410)),IF(R1410&gt;T1410,"boven UCL",IF(R1410&lt;S1410,"onder LCL","")),"")</f>
        <v/>
      </c>
    </row>
    <row r="1411">
      <c r="A1411" t="n">
        <v>1305</v>
      </c>
      <c r="B1411" s="7" t="n"/>
      <c r="C1411" s="11">
        <f>IF(AND(ISNUMBER(B1411),ISNUMBER(B1410)),ABS(B1411-B1410),"")</f>
        <v/>
      </c>
      <c r="D1411" s="13">
        <f>IF(AND(ISNUMBER(B1411),ISNUMBER($B$88),ISNUMBER($D$88)),IF(B1411&gt;$D$88,"boven UCL",IF(B1411&lt;$B$88,"onder LCL","")),"")</f>
        <v/>
      </c>
      <c r="E1411" s="13">
        <f>IF(AND(ISNUMBER(C1411),ISNUMBER($B$89),ISNUMBER($D$89)),IF(C1411&gt;$D$89,"boven UCL",IF(C1411&lt;$B$89,"onder LCL","")),"")</f>
        <v/>
      </c>
      <c r="G1411" t="n">
        <v>1305</v>
      </c>
      <c r="H1411" s="7" t="n"/>
      <c r="I1411" s="7" t="n"/>
      <c r="J1411" s="11">
        <f>IF(AND(ISNUMBER(H1411),ISNUMBER(I1411),H1411&gt;0,ISNUMBER($B$94)),I1411/H1411,"")</f>
        <v/>
      </c>
      <c r="K1411" s="11">
        <f>IF(AND(ISNUMBER(H1411),ISNUMBER(I1411),H1411&gt;0,ISNUMBER($B$94)),MAX(0,$B$94-3*SQRT($B$94*(1-$B$94)/H1411)),"")</f>
        <v/>
      </c>
      <c r="L1411" s="11">
        <f>IF(AND(ISNUMBER(H1411),ISNUMBER(I1411),H1411&gt;0,ISNUMBER($B$94)),$B$94+3*SQRT($B$94*(1-$B$94)/H1411),"")</f>
        <v/>
      </c>
      <c r="M1411" s="13">
        <f>IF(AND(ISNUMBER(J1411),ISNUMBER(K1411),ISNUMBER(L1411)),IF(J1411&gt;L1411,"boven UCL",IF(J1411&lt;K1411,"onder LCL","")),"")</f>
        <v/>
      </c>
      <c r="O1411" t="n">
        <v>1305</v>
      </c>
      <c r="P1411" s="7" t="n"/>
      <c r="Q1411" s="7" t="n"/>
      <c r="R1411" s="11">
        <f>IF(AND(ISNUMBER(P1411),ISNUMBER(Q1411),P1411&gt;0,ISNUMBER($B$100)),Q1411/P1411,"")</f>
        <v/>
      </c>
      <c r="S1411" s="11">
        <f>IF(AND(ISNUMBER(P1411),ISNUMBER(Q1411),P1411&gt;0,ISNUMBER($B$100)),MAX(0,$B$100-3*SQRT($B$100/P1411)),"")</f>
        <v/>
      </c>
      <c r="T1411" s="11">
        <f>IF(AND(ISNUMBER(P1411),ISNUMBER(Q1411),P1411&gt;0,ISNUMBER($B$100)),$B$100+3*SQRT($B$100/P1411),"")</f>
        <v/>
      </c>
      <c r="U1411" s="13">
        <f>IF(AND(ISNUMBER(R1411),ISNUMBER(S1411),ISNUMBER(T1411)),IF(R1411&gt;T1411,"boven UCL",IF(R1411&lt;S1411,"onder LCL","")),"")</f>
        <v/>
      </c>
    </row>
    <row r="1412">
      <c r="A1412" t="n">
        <v>1306</v>
      </c>
      <c r="B1412" s="7" t="n"/>
      <c r="C1412" s="11">
        <f>IF(AND(ISNUMBER(B1412),ISNUMBER(B1411)),ABS(B1412-B1411),"")</f>
        <v/>
      </c>
      <c r="D1412" s="13">
        <f>IF(AND(ISNUMBER(B1412),ISNUMBER($B$88),ISNUMBER($D$88)),IF(B1412&gt;$D$88,"boven UCL",IF(B1412&lt;$B$88,"onder LCL","")),"")</f>
        <v/>
      </c>
      <c r="E1412" s="13">
        <f>IF(AND(ISNUMBER(C1412),ISNUMBER($B$89),ISNUMBER($D$89)),IF(C1412&gt;$D$89,"boven UCL",IF(C1412&lt;$B$89,"onder LCL","")),"")</f>
        <v/>
      </c>
      <c r="G1412" t="n">
        <v>1306</v>
      </c>
      <c r="H1412" s="7" t="n"/>
      <c r="I1412" s="7" t="n"/>
      <c r="J1412" s="11">
        <f>IF(AND(ISNUMBER(H1412),ISNUMBER(I1412),H1412&gt;0,ISNUMBER($B$94)),I1412/H1412,"")</f>
        <v/>
      </c>
      <c r="K1412" s="11">
        <f>IF(AND(ISNUMBER(H1412),ISNUMBER(I1412),H1412&gt;0,ISNUMBER($B$94)),MAX(0,$B$94-3*SQRT($B$94*(1-$B$94)/H1412)),"")</f>
        <v/>
      </c>
      <c r="L1412" s="11">
        <f>IF(AND(ISNUMBER(H1412),ISNUMBER(I1412),H1412&gt;0,ISNUMBER($B$94)),$B$94+3*SQRT($B$94*(1-$B$94)/H1412),"")</f>
        <v/>
      </c>
      <c r="M1412" s="13">
        <f>IF(AND(ISNUMBER(J1412),ISNUMBER(K1412),ISNUMBER(L1412)),IF(J1412&gt;L1412,"boven UCL",IF(J1412&lt;K1412,"onder LCL","")),"")</f>
        <v/>
      </c>
      <c r="O1412" t="n">
        <v>1306</v>
      </c>
      <c r="P1412" s="7" t="n"/>
      <c r="Q1412" s="7" t="n"/>
      <c r="R1412" s="11">
        <f>IF(AND(ISNUMBER(P1412),ISNUMBER(Q1412),P1412&gt;0,ISNUMBER($B$100)),Q1412/P1412,"")</f>
        <v/>
      </c>
      <c r="S1412" s="11">
        <f>IF(AND(ISNUMBER(P1412),ISNUMBER(Q1412),P1412&gt;0,ISNUMBER($B$100)),MAX(0,$B$100-3*SQRT($B$100/P1412)),"")</f>
        <v/>
      </c>
      <c r="T1412" s="11">
        <f>IF(AND(ISNUMBER(P1412),ISNUMBER(Q1412),P1412&gt;0,ISNUMBER($B$100)),$B$100+3*SQRT($B$100/P1412),"")</f>
        <v/>
      </c>
      <c r="U1412" s="13">
        <f>IF(AND(ISNUMBER(R1412),ISNUMBER(S1412),ISNUMBER(T1412)),IF(R1412&gt;T1412,"boven UCL",IF(R1412&lt;S1412,"onder LCL","")),"")</f>
        <v/>
      </c>
    </row>
    <row r="1413">
      <c r="A1413" t="n">
        <v>1307</v>
      </c>
      <c r="B1413" s="7" t="n"/>
      <c r="C1413" s="11">
        <f>IF(AND(ISNUMBER(B1413),ISNUMBER(B1412)),ABS(B1413-B1412),"")</f>
        <v/>
      </c>
      <c r="D1413" s="13">
        <f>IF(AND(ISNUMBER(B1413),ISNUMBER($B$88),ISNUMBER($D$88)),IF(B1413&gt;$D$88,"boven UCL",IF(B1413&lt;$B$88,"onder LCL","")),"")</f>
        <v/>
      </c>
      <c r="E1413" s="13">
        <f>IF(AND(ISNUMBER(C1413),ISNUMBER($B$89),ISNUMBER($D$89)),IF(C1413&gt;$D$89,"boven UCL",IF(C1413&lt;$B$89,"onder LCL","")),"")</f>
        <v/>
      </c>
      <c r="G1413" t="n">
        <v>1307</v>
      </c>
      <c r="H1413" s="7" t="n"/>
      <c r="I1413" s="7" t="n"/>
      <c r="J1413" s="11">
        <f>IF(AND(ISNUMBER(H1413),ISNUMBER(I1413),H1413&gt;0,ISNUMBER($B$94)),I1413/H1413,"")</f>
        <v/>
      </c>
      <c r="K1413" s="11">
        <f>IF(AND(ISNUMBER(H1413),ISNUMBER(I1413),H1413&gt;0,ISNUMBER($B$94)),MAX(0,$B$94-3*SQRT($B$94*(1-$B$94)/H1413)),"")</f>
        <v/>
      </c>
      <c r="L1413" s="11">
        <f>IF(AND(ISNUMBER(H1413),ISNUMBER(I1413),H1413&gt;0,ISNUMBER($B$94)),$B$94+3*SQRT($B$94*(1-$B$94)/H1413),"")</f>
        <v/>
      </c>
      <c r="M1413" s="13">
        <f>IF(AND(ISNUMBER(J1413),ISNUMBER(K1413),ISNUMBER(L1413)),IF(J1413&gt;L1413,"boven UCL",IF(J1413&lt;K1413,"onder LCL","")),"")</f>
        <v/>
      </c>
      <c r="O1413" t="n">
        <v>1307</v>
      </c>
      <c r="P1413" s="7" t="n"/>
      <c r="Q1413" s="7" t="n"/>
      <c r="R1413" s="11">
        <f>IF(AND(ISNUMBER(P1413),ISNUMBER(Q1413),P1413&gt;0,ISNUMBER($B$100)),Q1413/P1413,"")</f>
        <v/>
      </c>
      <c r="S1413" s="11">
        <f>IF(AND(ISNUMBER(P1413),ISNUMBER(Q1413),P1413&gt;0,ISNUMBER($B$100)),MAX(0,$B$100-3*SQRT($B$100/P1413)),"")</f>
        <v/>
      </c>
      <c r="T1413" s="11">
        <f>IF(AND(ISNUMBER(P1413),ISNUMBER(Q1413),P1413&gt;0,ISNUMBER($B$100)),$B$100+3*SQRT($B$100/P1413),"")</f>
        <v/>
      </c>
      <c r="U1413" s="13">
        <f>IF(AND(ISNUMBER(R1413),ISNUMBER(S1413),ISNUMBER(T1413)),IF(R1413&gt;T1413,"boven UCL",IF(R1413&lt;S1413,"onder LCL","")),"")</f>
        <v/>
      </c>
    </row>
    <row r="1414">
      <c r="A1414" t="n">
        <v>1308</v>
      </c>
      <c r="B1414" s="7" t="n"/>
      <c r="C1414" s="11">
        <f>IF(AND(ISNUMBER(B1414),ISNUMBER(B1413)),ABS(B1414-B1413),"")</f>
        <v/>
      </c>
      <c r="D1414" s="13">
        <f>IF(AND(ISNUMBER(B1414),ISNUMBER($B$88),ISNUMBER($D$88)),IF(B1414&gt;$D$88,"boven UCL",IF(B1414&lt;$B$88,"onder LCL","")),"")</f>
        <v/>
      </c>
      <c r="E1414" s="13">
        <f>IF(AND(ISNUMBER(C1414),ISNUMBER($B$89),ISNUMBER($D$89)),IF(C1414&gt;$D$89,"boven UCL",IF(C1414&lt;$B$89,"onder LCL","")),"")</f>
        <v/>
      </c>
      <c r="G1414" t="n">
        <v>1308</v>
      </c>
      <c r="H1414" s="7" t="n"/>
      <c r="I1414" s="7" t="n"/>
      <c r="J1414" s="11">
        <f>IF(AND(ISNUMBER(H1414),ISNUMBER(I1414),H1414&gt;0,ISNUMBER($B$94)),I1414/H1414,"")</f>
        <v/>
      </c>
      <c r="K1414" s="11">
        <f>IF(AND(ISNUMBER(H1414),ISNUMBER(I1414),H1414&gt;0,ISNUMBER($B$94)),MAX(0,$B$94-3*SQRT($B$94*(1-$B$94)/H1414)),"")</f>
        <v/>
      </c>
      <c r="L1414" s="11">
        <f>IF(AND(ISNUMBER(H1414),ISNUMBER(I1414),H1414&gt;0,ISNUMBER($B$94)),$B$94+3*SQRT($B$94*(1-$B$94)/H1414),"")</f>
        <v/>
      </c>
      <c r="M1414" s="13">
        <f>IF(AND(ISNUMBER(J1414),ISNUMBER(K1414),ISNUMBER(L1414)),IF(J1414&gt;L1414,"boven UCL",IF(J1414&lt;K1414,"onder LCL","")),"")</f>
        <v/>
      </c>
      <c r="O1414" t="n">
        <v>1308</v>
      </c>
      <c r="P1414" s="7" t="n"/>
      <c r="Q1414" s="7" t="n"/>
      <c r="R1414" s="11">
        <f>IF(AND(ISNUMBER(P1414),ISNUMBER(Q1414),P1414&gt;0,ISNUMBER($B$100)),Q1414/P1414,"")</f>
        <v/>
      </c>
      <c r="S1414" s="11">
        <f>IF(AND(ISNUMBER(P1414),ISNUMBER(Q1414),P1414&gt;0,ISNUMBER($B$100)),MAX(0,$B$100-3*SQRT($B$100/P1414)),"")</f>
        <v/>
      </c>
      <c r="T1414" s="11">
        <f>IF(AND(ISNUMBER(P1414),ISNUMBER(Q1414),P1414&gt;0,ISNUMBER($B$100)),$B$100+3*SQRT($B$100/P1414),"")</f>
        <v/>
      </c>
      <c r="U1414" s="13">
        <f>IF(AND(ISNUMBER(R1414),ISNUMBER(S1414),ISNUMBER(T1414)),IF(R1414&gt;T1414,"boven UCL",IF(R1414&lt;S1414,"onder LCL","")),"")</f>
        <v/>
      </c>
    </row>
    <row r="1415">
      <c r="A1415" t="n">
        <v>1309</v>
      </c>
      <c r="B1415" s="7" t="n"/>
      <c r="C1415" s="11">
        <f>IF(AND(ISNUMBER(B1415),ISNUMBER(B1414)),ABS(B1415-B1414),"")</f>
        <v/>
      </c>
      <c r="D1415" s="13">
        <f>IF(AND(ISNUMBER(B1415),ISNUMBER($B$88),ISNUMBER($D$88)),IF(B1415&gt;$D$88,"boven UCL",IF(B1415&lt;$B$88,"onder LCL","")),"")</f>
        <v/>
      </c>
      <c r="E1415" s="13">
        <f>IF(AND(ISNUMBER(C1415),ISNUMBER($B$89),ISNUMBER($D$89)),IF(C1415&gt;$D$89,"boven UCL",IF(C1415&lt;$B$89,"onder LCL","")),"")</f>
        <v/>
      </c>
      <c r="G1415" t="n">
        <v>1309</v>
      </c>
      <c r="H1415" s="7" t="n"/>
      <c r="I1415" s="7" t="n"/>
      <c r="J1415" s="11">
        <f>IF(AND(ISNUMBER(H1415),ISNUMBER(I1415),H1415&gt;0,ISNUMBER($B$94)),I1415/H1415,"")</f>
        <v/>
      </c>
      <c r="K1415" s="11">
        <f>IF(AND(ISNUMBER(H1415),ISNUMBER(I1415),H1415&gt;0,ISNUMBER($B$94)),MAX(0,$B$94-3*SQRT($B$94*(1-$B$94)/H1415)),"")</f>
        <v/>
      </c>
      <c r="L1415" s="11">
        <f>IF(AND(ISNUMBER(H1415),ISNUMBER(I1415),H1415&gt;0,ISNUMBER($B$94)),$B$94+3*SQRT($B$94*(1-$B$94)/H1415),"")</f>
        <v/>
      </c>
      <c r="M1415" s="13">
        <f>IF(AND(ISNUMBER(J1415),ISNUMBER(K1415),ISNUMBER(L1415)),IF(J1415&gt;L1415,"boven UCL",IF(J1415&lt;K1415,"onder LCL","")),"")</f>
        <v/>
      </c>
      <c r="O1415" t="n">
        <v>1309</v>
      </c>
      <c r="P1415" s="7" t="n"/>
      <c r="Q1415" s="7" t="n"/>
      <c r="R1415" s="11">
        <f>IF(AND(ISNUMBER(P1415),ISNUMBER(Q1415),P1415&gt;0,ISNUMBER($B$100)),Q1415/P1415,"")</f>
        <v/>
      </c>
      <c r="S1415" s="11">
        <f>IF(AND(ISNUMBER(P1415),ISNUMBER(Q1415),P1415&gt;0,ISNUMBER($B$100)),MAX(0,$B$100-3*SQRT($B$100/P1415)),"")</f>
        <v/>
      </c>
      <c r="T1415" s="11">
        <f>IF(AND(ISNUMBER(P1415),ISNUMBER(Q1415),P1415&gt;0,ISNUMBER($B$100)),$B$100+3*SQRT($B$100/P1415),"")</f>
        <v/>
      </c>
      <c r="U1415" s="13">
        <f>IF(AND(ISNUMBER(R1415),ISNUMBER(S1415),ISNUMBER(T1415)),IF(R1415&gt;T1415,"boven UCL",IF(R1415&lt;S1415,"onder LCL","")),"")</f>
        <v/>
      </c>
    </row>
    <row r="1416">
      <c r="A1416" t="n">
        <v>1310</v>
      </c>
      <c r="B1416" s="7" t="n"/>
      <c r="C1416" s="11">
        <f>IF(AND(ISNUMBER(B1416),ISNUMBER(B1415)),ABS(B1416-B1415),"")</f>
        <v/>
      </c>
      <c r="D1416" s="13">
        <f>IF(AND(ISNUMBER(B1416),ISNUMBER($B$88),ISNUMBER($D$88)),IF(B1416&gt;$D$88,"boven UCL",IF(B1416&lt;$B$88,"onder LCL","")),"")</f>
        <v/>
      </c>
      <c r="E1416" s="13">
        <f>IF(AND(ISNUMBER(C1416),ISNUMBER($B$89),ISNUMBER($D$89)),IF(C1416&gt;$D$89,"boven UCL",IF(C1416&lt;$B$89,"onder LCL","")),"")</f>
        <v/>
      </c>
      <c r="G1416" t="n">
        <v>1310</v>
      </c>
      <c r="H1416" s="7" t="n"/>
      <c r="I1416" s="7" t="n"/>
      <c r="J1416" s="11">
        <f>IF(AND(ISNUMBER(H1416),ISNUMBER(I1416),H1416&gt;0,ISNUMBER($B$94)),I1416/H1416,"")</f>
        <v/>
      </c>
      <c r="K1416" s="11">
        <f>IF(AND(ISNUMBER(H1416),ISNUMBER(I1416),H1416&gt;0,ISNUMBER($B$94)),MAX(0,$B$94-3*SQRT($B$94*(1-$B$94)/H1416)),"")</f>
        <v/>
      </c>
      <c r="L1416" s="11">
        <f>IF(AND(ISNUMBER(H1416),ISNUMBER(I1416),H1416&gt;0,ISNUMBER($B$94)),$B$94+3*SQRT($B$94*(1-$B$94)/H1416),"")</f>
        <v/>
      </c>
      <c r="M1416" s="13">
        <f>IF(AND(ISNUMBER(J1416),ISNUMBER(K1416),ISNUMBER(L1416)),IF(J1416&gt;L1416,"boven UCL",IF(J1416&lt;K1416,"onder LCL","")),"")</f>
        <v/>
      </c>
      <c r="O1416" t="n">
        <v>1310</v>
      </c>
      <c r="P1416" s="7" t="n"/>
      <c r="Q1416" s="7" t="n"/>
      <c r="R1416" s="11">
        <f>IF(AND(ISNUMBER(P1416),ISNUMBER(Q1416),P1416&gt;0,ISNUMBER($B$100)),Q1416/P1416,"")</f>
        <v/>
      </c>
      <c r="S1416" s="11">
        <f>IF(AND(ISNUMBER(P1416),ISNUMBER(Q1416),P1416&gt;0,ISNUMBER($B$100)),MAX(0,$B$100-3*SQRT($B$100/P1416)),"")</f>
        <v/>
      </c>
      <c r="T1416" s="11">
        <f>IF(AND(ISNUMBER(P1416),ISNUMBER(Q1416),P1416&gt;0,ISNUMBER($B$100)),$B$100+3*SQRT($B$100/P1416),"")</f>
        <v/>
      </c>
      <c r="U1416" s="13">
        <f>IF(AND(ISNUMBER(R1416),ISNUMBER(S1416),ISNUMBER(T1416)),IF(R1416&gt;T1416,"boven UCL",IF(R1416&lt;S1416,"onder LCL","")),"")</f>
        <v/>
      </c>
    </row>
    <row r="1417">
      <c r="A1417" t="n">
        <v>1311</v>
      </c>
      <c r="B1417" s="7" t="n"/>
      <c r="C1417" s="11">
        <f>IF(AND(ISNUMBER(B1417),ISNUMBER(B1416)),ABS(B1417-B1416),"")</f>
        <v/>
      </c>
      <c r="D1417" s="13">
        <f>IF(AND(ISNUMBER(B1417),ISNUMBER($B$88),ISNUMBER($D$88)),IF(B1417&gt;$D$88,"boven UCL",IF(B1417&lt;$B$88,"onder LCL","")),"")</f>
        <v/>
      </c>
      <c r="E1417" s="13">
        <f>IF(AND(ISNUMBER(C1417),ISNUMBER($B$89),ISNUMBER($D$89)),IF(C1417&gt;$D$89,"boven UCL",IF(C1417&lt;$B$89,"onder LCL","")),"")</f>
        <v/>
      </c>
      <c r="G1417" t="n">
        <v>1311</v>
      </c>
      <c r="H1417" s="7" t="n"/>
      <c r="I1417" s="7" t="n"/>
      <c r="J1417" s="11">
        <f>IF(AND(ISNUMBER(H1417),ISNUMBER(I1417),H1417&gt;0,ISNUMBER($B$94)),I1417/H1417,"")</f>
        <v/>
      </c>
      <c r="K1417" s="11">
        <f>IF(AND(ISNUMBER(H1417),ISNUMBER(I1417),H1417&gt;0,ISNUMBER($B$94)),MAX(0,$B$94-3*SQRT($B$94*(1-$B$94)/H1417)),"")</f>
        <v/>
      </c>
      <c r="L1417" s="11">
        <f>IF(AND(ISNUMBER(H1417),ISNUMBER(I1417),H1417&gt;0,ISNUMBER($B$94)),$B$94+3*SQRT($B$94*(1-$B$94)/H1417),"")</f>
        <v/>
      </c>
      <c r="M1417" s="13">
        <f>IF(AND(ISNUMBER(J1417),ISNUMBER(K1417),ISNUMBER(L1417)),IF(J1417&gt;L1417,"boven UCL",IF(J1417&lt;K1417,"onder LCL","")),"")</f>
        <v/>
      </c>
      <c r="O1417" t="n">
        <v>1311</v>
      </c>
      <c r="P1417" s="7" t="n"/>
      <c r="Q1417" s="7" t="n"/>
      <c r="R1417" s="11">
        <f>IF(AND(ISNUMBER(P1417),ISNUMBER(Q1417),P1417&gt;0,ISNUMBER($B$100)),Q1417/P1417,"")</f>
        <v/>
      </c>
      <c r="S1417" s="11">
        <f>IF(AND(ISNUMBER(P1417),ISNUMBER(Q1417),P1417&gt;0,ISNUMBER($B$100)),MAX(0,$B$100-3*SQRT($B$100/P1417)),"")</f>
        <v/>
      </c>
      <c r="T1417" s="11">
        <f>IF(AND(ISNUMBER(P1417),ISNUMBER(Q1417),P1417&gt;0,ISNUMBER($B$100)),$B$100+3*SQRT($B$100/P1417),"")</f>
        <v/>
      </c>
      <c r="U1417" s="13">
        <f>IF(AND(ISNUMBER(R1417),ISNUMBER(S1417),ISNUMBER(T1417)),IF(R1417&gt;T1417,"boven UCL",IF(R1417&lt;S1417,"onder LCL","")),"")</f>
        <v/>
      </c>
    </row>
    <row r="1418">
      <c r="A1418" t="n">
        <v>1312</v>
      </c>
      <c r="B1418" s="7" t="n"/>
      <c r="C1418" s="11">
        <f>IF(AND(ISNUMBER(B1418),ISNUMBER(B1417)),ABS(B1418-B1417),"")</f>
        <v/>
      </c>
      <c r="D1418" s="13">
        <f>IF(AND(ISNUMBER(B1418),ISNUMBER($B$88),ISNUMBER($D$88)),IF(B1418&gt;$D$88,"boven UCL",IF(B1418&lt;$B$88,"onder LCL","")),"")</f>
        <v/>
      </c>
      <c r="E1418" s="13">
        <f>IF(AND(ISNUMBER(C1418),ISNUMBER($B$89),ISNUMBER($D$89)),IF(C1418&gt;$D$89,"boven UCL",IF(C1418&lt;$B$89,"onder LCL","")),"")</f>
        <v/>
      </c>
      <c r="G1418" t="n">
        <v>1312</v>
      </c>
      <c r="H1418" s="7" t="n"/>
      <c r="I1418" s="7" t="n"/>
      <c r="J1418" s="11">
        <f>IF(AND(ISNUMBER(H1418),ISNUMBER(I1418),H1418&gt;0,ISNUMBER($B$94)),I1418/H1418,"")</f>
        <v/>
      </c>
      <c r="K1418" s="11">
        <f>IF(AND(ISNUMBER(H1418),ISNUMBER(I1418),H1418&gt;0,ISNUMBER($B$94)),MAX(0,$B$94-3*SQRT($B$94*(1-$B$94)/H1418)),"")</f>
        <v/>
      </c>
      <c r="L1418" s="11">
        <f>IF(AND(ISNUMBER(H1418),ISNUMBER(I1418),H1418&gt;0,ISNUMBER($B$94)),$B$94+3*SQRT($B$94*(1-$B$94)/H1418),"")</f>
        <v/>
      </c>
      <c r="M1418" s="13">
        <f>IF(AND(ISNUMBER(J1418),ISNUMBER(K1418),ISNUMBER(L1418)),IF(J1418&gt;L1418,"boven UCL",IF(J1418&lt;K1418,"onder LCL","")),"")</f>
        <v/>
      </c>
      <c r="O1418" t="n">
        <v>1312</v>
      </c>
      <c r="P1418" s="7" t="n"/>
      <c r="Q1418" s="7" t="n"/>
      <c r="R1418" s="11">
        <f>IF(AND(ISNUMBER(P1418),ISNUMBER(Q1418),P1418&gt;0,ISNUMBER($B$100)),Q1418/P1418,"")</f>
        <v/>
      </c>
      <c r="S1418" s="11">
        <f>IF(AND(ISNUMBER(P1418),ISNUMBER(Q1418),P1418&gt;0,ISNUMBER($B$100)),MAX(0,$B$100-3*SQRT($B$100/P1418)),"")</f>
        <v/>
      </c>
      <c r="T1418" s="11">
        <f>IF(AND(ISNUMBER(P1418),ISNUMBER(Q1418),P1418&gt;0,ISNUMBER($B$100)),$B$100+3*SQRT($B$100/P1418),"")</f>
        <v/>
      </c>
      <c r="U1418" s="13">
        <f>IF(AND(ISNUMBER(R1418),ISNUMBER(S1418),ISNUMBER(T1418)),IF(R1418&gt;T1418,"boven UCL",IF(R1418&lt;S1418,"onder LCL","")),"")</f>
        <v/>
      </c>
    </row>
    <row r="1419">
      <c r="A1419" t="n">
        <v>1313</v>
      </c>
      <c r="B1419" s="7" t="n"/>
      <c r="C1419" s="11">
        <f>IF(AND(ISNUMBER(B1419),ISNUMBER(B1418)),ABS(B1419-B1418),"")</f>
        <v/>
      </c>
      <c r="D1419" s="13">
        <f>IF(AND(ISNUMBER(B1419),ISNUMBER($B$88),ISNUMBER($D$88)),IF(B1419&gt;$D$88,"boven UCL",IF(B1419&lt;$B$88,"onder LCL","")),"")</f>
        <v/>
      </c>
      <c r="E1419" s="13">
        <f>IF(AND(ISNUMBER(C1419),ISNUMBER($B$89),ISNUMBER($D$89)),IF(C1419&gt;$D$89,"boven UCL",IF(C1419&lt;$B$89,"onder LCL","")),"")</f>
        <v/>
      </c>
      <c r="G1419" t="n">
        <v>1313</v>
      </c>
      <c r="H1419" s="7" t="n"/>
      <c r="I1419" s="7" t="n"/>
      <c r="J1419" s="11">
        <f>IF(AND(ISNUMBER(H1419),ISNUMBER(I1419),H1419&gt;0,ISNUMBER($B$94)),I1419/H1419,"")</f>
        <v/>
      </c>
      <c r="K1419" s="11">
        <f>IF(AND(ISNUMBER(H1419),ISNUMBER(I1419),H1419&gt;0,ISNUMBER($B$94)),MAX(0,$B$94-3*SQRT($B$94*(1-$B$94)/H1419)),"")</f>
        <v/>
      </c>
      <c r="L1419" s="11">
        <f>IF(AND(ISNUMBER(H1419),ISNUMBER(I1419),H1419&gt;0,ISNUMBER($B$94)),$B$94+3*SQRT($B$94*(1-$B$94)/H1419),"")</f>
        <v/>
      </c>
      <c r="M1419" s="13">
        <f>IF(AND(ISNUMBER(J1419),ISNUMBER(K1419),ISNUMBER(L1419)),IF(J1419&gt;L1419,"boven UCL",IF(J1419&lt;K1419,"onder LCL","")),"")</f>
        <v/>
      </c>
      <c r="O1419" t="n">
        <v>1313</v>
      </c>
      <c r="P1419" s="7" t="n"/>
      <c r="Q1419" s="7" t="n"/>
      <c r="R1419" s="11">
        <f>IF(AND(ISNUMBER(P1419),ISNUMBER(Q1419),P1419&gt;0,ISNUMBER($B$100)),Q1419/P1419,"")</f>
        <v/>
      </c>
      <c r="S1419" s="11">
        <f>IF(AND(ISNUMBER(P1419),ISNUMBER(Q1419),P1419&gt;0,ISNUMBER($B$100)),MAX(0,$B$100-3*SQRT($B$100/P1419)),"")</f>
        <v/>
      </c>
      <c r="T1419" s="11">
        <f>IF(AND(ISNUMBER(P1419),ISNUMBER(Q1419),P1419&gt;0,ISNUMBER($B$100)),$B$100+3*SQRT($B$100/P1419),"")</f>
        <v/>
      </c>
      <c r="U1419" s="13">
        <f>IF(AND(ISNUMBER(R1419),ISNUMBER(S1419),ISNUMBER(T1419)),IF(R1419&gt;T1419,"boven UCL",IF(R1419&lt;S1419,"onder LCL","")),"")</f>
        <v/>
      </c>
    </row>
    <row r="1420">
      <c r="A1420" t="n">
        <v>1314</v>
      </c>
      <c r="B1420" s="7" t="n"/>
      <c r="C1420" s="11">
        <f>IF(AND(ISNUMBER(B1420),ISNUMBER(B1419)),ABS(B1420-B1419),"")</f>
        <v/>
      </c>
      <c r="D1420" s="13">
        <f>IF(AND(ISNUMBER(B1420),ISNUMBER($B$88),ISNUMBER($D$88)),IF(B1420&gt;$D$88,"boven UCL",IF(B1420&lt;$B$88,"onder LCL","")),"")</f>
        <v/>
      </c>
      <c r="E1420" s="13">
        <f>IF(AND(ISNUMBER(C1420),ISNUMBER($B$89),ISNUMBER($D$89)),IF(C1420&gt;$D$89,"boven UCL",IF(C1420&lt;$B$89,"onder LCL","")),"")</f>
        <v/>
      </c>
      <c r="G1420" t="n">
        <v>1314</v>
      </c>
      <c r="H1420" s="7" t="n"/>
      <c r="I1420" s="7" t="n"/>
      <c r="J1420" s="11">
        <f>IF(AND(ISNUMBER(H1420),ISNUMBER(I1420),H1420&gt;0,ISNUMBER($B$94)),I1420/H1420,"")</f>
        <v/>
      </c>
      <c r="K1420" s="11">
        <f>IF(AND(ISNUMBER(H1420),ISNUMBER(I1420),H1420&gt;0,ISNUMBER($B$94)),MAX(0,$B$94-3*SQRT($B$94*(1-$B$94)/H1420)),"")</f>
        <v/>
      </c>
      <c r="L1420" s="11">
        <f>IF(AND(ISNUMBER(H1420),ISNUMBER(I1420),H1420&gt;0,ISNUMBER($B$94)),$B$94+3*SQRT($B$94*(1-$B$94)/H1420),"")</f>
        <v/>
      </c>
      <c r="M1420" s="13">
        <f>IF(AND(ISNUMBER(J1420),ISNUMBER(K1420),ISNUMBER(L1420)),IF(J1420&gt;L1420,"boven UCL",IF(J1420&lt;K1420,"onder LCL","")),"")</f>
        <v/>
      </c>
      <c r="O1420" t="n">
        <v>1314</v>
      </c>
      <c r="P1420" s="7" t="n"/>
      <c r="Q1420" s="7" t="n"/>
      <c r="R1420" s="11">
        <f>IF(AND(ISNUMBER(P1420),ISNUMBER(Q1420),P1420&gt;0,ISNUMBER($B$100)),Q1420/P1420,"")</f>
        <v/>
      </c>
      <c r="S1420" s="11">
        <f>IF(AND(ISNUMBER(P1420),ISNUMBER(Q1420),P1420&gt;0,ISNUMBER($B$100)),MAX(0,$B$100-3*SQRT($B$100/P1420)),"")</f>
        <v/>
      </c>
      <c r="T1420" s="11">
        <f>IF(AND(ISNUMBER(P1420),ISNUMBER(Q1420),P1420&gt;0,ISNUMBER($B$100)),$B$100+3*SQRT($B$100/P1420),"")</f>
        <v/>
      </c>
      <c r="U1420" s="13">
        <f>IF(AND(ISNUMBER(R1420),ISNUMBER(S1420),ISNUMBER(T1420)),IF(R1420&gt;T1420,"boven UCL",IF(R1420&lt;S1420,"onder LCL","")),"")</f>
        <v/>
      </c>
    </row>
    <row r="1421">
      <c r="A1421" t="n">
        <v>1315</v>
      </c>
      <c r="B1421" s="7" t="n"/>
      <c r="C1421" s="11">
        <f>IF(AND(ISNUMBER(B1421),ISNUMBER(B1420)),ABS(B1421-B1420),"")</f>
        <v/>
      </c>
      <c r="D1421" s="13">
        <f>IF(AND(ISNUMBER(B1421),ISNUMBER($B$88),ISNUMBER($D$88)),IF(B1421&gt;$D$88,"boven UCL",IF(B1421&lt;$B$88,"onder LCL","")),"")</f>
        <v/>
      </c>
      <c r="E1421" s="13">
        <f>IF(AND(ISNUMBER(C1421),ISNUMBER($B$89),ISNUMBER($D$89)),IF(C1421&gt;$D$89,"boven UCL",IF(C1421&lt;$B$89,"onder LCL","")),"")</f>
        <v/>
      </c>
      <c r="G1421" t="n">
        <v>1315</v>
      </c>
      <c r="H1421" s="7" t="n"/>
      <c r="I1421" s="7" t="n"/>
      <c r="J1421" s="11">
        <f>IF(AND(ISNUMBER(H1421),ISNUMBER(I1421),H1421&gt;0,ISNUMBER($B$94)),I1421/H1421,"")</f>
        <v/>
      </c>
      <c r="K1421" s="11">
        <f>IF(AND(ISNUMBER(H1421),ISNUMBER(I1421),H1421&gt;0,ISNUMBER($B$94)),MAX(0,$B$94-3*SQRT($B$94*(1-$B$94)/H1421)),"")</f>
        <v/>
      </c>
      <c r="L1421" s="11">
        <f>IF(AND(ISNUMBER(H1421),ISNUMBER(I1421),H1421&gt;0,ISNUMBER($B$94)),$B$94+3*SQRT($B$94*(1-$B$94)/H1421),"")</f>
        <v/>
      </c>
      <c r="M1421" s="13">
        <f>IF(AND(ISNUMBER(J1421),ISNUMBER(K1421),ISNUMBER(L1421)),IF(J1421&gt;L1421,"boven UCL",IF(J1421&lt;K1421,"onder LCL","")),"")</f>
        <v/>
      </c>
      <c r="O1421" t="n">
        <v>1315</v>
      </c>
      <c r="P1421" s="7" t="n"/>
      <c r="Q1421" s="7" t="n"/>
      <c r="R1421" s="11">
        <f>IF(AND(ISNUMBER(P1421),ISNUMBER(Q1421),P1421&gt;0,ISNUMBER($B$100)),Q1421/P1421,"")</f>
        <v/>
      </c>
      <c r="S1421" s="11">
        <f>IF(AND(ISNUMBER(P1421),ISNUMBER(Q1421),P1421&gt;0,ISNUMBER($B$100)),MAX(0,$B$100-3*SQRT($B$100/P1421)),"")</f>
        <v/>
      </c>
      <c r="T1421" s="11">
        <f>IF(AND(ISNUMBER(P1421),ISNUMBER(Q1421),P1421&gt;0,ISNUMBER($B$100)),$B$100+3*SQRT($B$100/P1421),"")</f>
        <v/>
      </c>
      <c r="U1421" s="13">
        <f>IF(AND(ISNUMBER(R1421),ISNUMBER(S1421),ISNUMBER(T1421)),IF(R1421&gt;T1421,"boven UCL",IF(R1421&lt;S1421,"onder LCL","")),"")</f>
        <v/>
      </c>
    </row>
    <row r="1422">
      <c r="A1422" t="n">
        <v>1316</v>
      </c>
      <c r="B1422" s="7" t="n"/>
      <c r="C1422" s="11">
        <f>IF(AND(ISNUMBER(B1422),ISNUMBER(B1421)),ABS(B1422-B1421),"")</f>
        <v/>
      </c>
      <c r="D1422" s="13">
        <f>IF(AND(ISNUMBER(B1422),ISNUMBER($B$88),ISNUMBER($D$88)),IF(B1422&gt;$D$88,"boven UCL",IF(B1422&lt;$B$88,"onder LCL","")),"")</f>
        <v/>
      </c>
      <c r="E1422" s="13">
        <f>IF(AND(ISNUMBER(C1422),ISNUMBER($B$89),ISNUMBER($D$89)),IF(C1422&gt;$D$89,"boven UCL",IF(C1422&lt;$B$89,"onder LCL","")),"")</f>
        <v/>
      </c>
      <c r="G1422" t="n">
        <v>1316</v>
      </c>
      <c r="H1422" s="7" t="n"/>
      <c r="I1422" s="7" t="n"/>
      <c r="J1422" s="11">
        <f>IF(AND(ISNUMBER(H1422),ISNUMBER(I1422),H1422&gt;0,ISNUMBER($B$94)),I1422/H1422,"")</f>
        <v/>
      </c>
      <c r="K1422" s="11">
        <f>IF(AND(ISNUMBER(H1422),ISNUMBER(I1422),H1422&gt;0,ISNUMBER($B$94)),MAX(0,$B$94-3*SQRT($B$94*(1-$B$94)/H1422)),"")</f>
        <v/>
      </c>
      <c r="L1422" s="11">
        <f>IF(AND(ISNUMBER(H1422),ISNUMBER(I1422),H1422&gt;0,ISNUMBER($B$94)),$B$94+3*SQRT($B$94*(1-$B$94)/H1422),"")</f>
        <v/>
      </c>
      <c r="M1422" s="13">
        <f>IF(AND(ISNUMBER(J1422),ISNUMBER(K1422),ISNUMBER(L1422)),IF(J1422&gt;L1422,"boven UCL",IF(J1422&lt;K1422,"onder LCL","")),"")</f>
        <v/>
      </c>
      <c r="O1422" t="n">
        <v>1316</v>
      </c>
      <c r="P1422" s="7" t="n"/>
      <c r="Q1422" s="7" t="n"/>
      <c r="R1422" s="11">
        <f>IF(AND(ISNUMBER(P1422),ISNUMBER(Q1422),P1422&gt;0,ISNUMBER($B$100)),Q1422/P1422,"")</f>
        <v/>
      </c>
      <c r="S1422" s="11">
        <f>IF(AND(ISNUMBER(P1422),ISNUMBER(Q1422),P1422&gt;0,ISNUMBER($B$100)),MAX(0,$B$100-3*SQRT($B$100/P1422)),"")</f>
        <v/>
      </c>
      <c r="T1422" s="11">
        <f>IF(AND(ISNUMBER(P1422),ISNUMBER(Q1422),P1422&gt;0,ISNUMBER($B$100)),$B$100+3*SQRT($B$100/P1422),"")</f>
        <v/>
      </c>
      <c r="U1422" s="13">
        <f>IF(AND(ISNUMBER(R1422),ISNUMBER(S1422),ISNUMBER(T1422)),IF(R1422&gt;T1422,"boven UCL",IF(R1422&lt;S1422,"onder LCL","")),"")</f>
        <v/>
      </c>
    </row>
    <row r="1423">
      <c r="A1423" t="n">
        <v>1317</v>
      </c>
      <c r="B1423" s="7" t="n"/>
      <c r="C1423" s="11">
        <f>IF(AND(ISNUMBER(B1423),ISNUMBER(B1422)),ABS(B1423-B1422),"")</f>
        <v/>
      </c>
      <c r="D1423" s="13">
        <f>IF(AND(ISNUMBER(B1423),ISNUMBER($B$88),ISNUMBER($D$88)),IF(B1423&gt;$D$88,"boven UCL",IF(B1423&lt;$B$88,"onder LCL","")),"")</f>
        <v/>
      </c>
      <c r="E1423" s="13">
        <f>IF(AND(ISNUMBER(C1423),ISNUMBER($B$89),ISNUMBER($D$89)),IF(C1423&gt;$D$89,"boven UCL",IF(C1423&lt;$B$89,"onder LCL","")),"")</f>
        <v/>
      </c>
      <c r="G1423" t="n">
        <v>1317</v>
      </c>
      <c r="H1423" s="7" t="n"/>
      <c r="I1423" s="7" t="n"/>
      <c r="J1423" s="11">
        <f>IF(AND(ISNUMBER(H1423),ISNUMBER(I1423),H1423&gt;0,ISNUMBER($B$94)),I1423/H1423,"")</f>
        <v/>
      </c>
      <c r="K1423" s="11">
        <f>IF(AND(ISNUMBER(H1423),ISNUMBER(I1423),H1423&gt;0,ISNUMBER($B$94)),MAX(0,$B$94-3*SQRT($B$94*(1-$B$94)/H1423)),"")</f>
        <v/>
      </c>
      <c r="L1423" s="11">
        <f>IF(AND(ISNUMBER(H1423),ISNUMBER(I1423),H1423&gt;0,ISNUMBER($B$94)),$B$94+3*SQRT($B$94*(1-$B$94)/H1423),"")</f>
        <v/>
      </c>
      <c r="M1423" s="13">
        <f>IF(AND(ISNUMBER(J1423),ISNUMBER(K1423),ISNUMBER(L1423)),IF(J1423&gt;L1423,"boven UCL",IF(J1423&lt;K1423,"onder LCL","")),"")</f>
        <v/>
      </c>
      <c r="O1423" t="n">
        <v>1317</v>
      </c>
      <c r="P1423" s="7" t="n"/>
      <c r="Q1423" s="7" t="n"/>
      <c r="R1423" s="11">
        <f>IF(AND(ISNUMBER(P1423),ISNUMBER(Q1423),P1423&gt;0,ISNUMBER($B$100)),Q1423/P1423,"")</f>
        <v/>
      </c>
      <c r="S1423" s="11">
        <f>IF(AND(ISNUMBER(P1423),ISNUMBER(Q1423),P1423&gt;0,ISNUMBER($B$100)),MAX(0,$B$100-3*SQRT($B$100/P1423)),"")</f>
        <v/>
      </c>
      <c r="T1423" s="11">
        <f>IF(AND(ISNUMBER(P1423),ISNUMBER(Q1423),P1423&gt;0,ISNUMBER($B$100)),$B$100+3*SQRT($B$100/P1423),"")</f>
        <v/>
      </c>
      <c r="U1423" s="13">
        <f>IF(AND(ISNUMBER(R1423),ISNUMBER(S1423),ISNUMBER(T1423)),IF(R1423&gt;T1423,"boven UCL",IF(R1423&lt;S1423,"onder LCL","")),"")</f>
        <v/>
      </c>
    </row>
    <row r="1424">
      <c r="A1424" t="n">
        <v>1318</v>
      </c>
      <c r="B1424" s="7" t="n"/>
      <c r="C1424" s="11">
        <f>IF(AND(ISNUMBER(B1424),ISNUMBER(B1423)),ABS(B1424-B1423),"")</f>
        <v/>
      </c>
      <c r="D1424" s="13">
        <f>IF(AND(ISNUMBER(B1424),ISNUMBER($B$88),ISNUMBER($D$88)),IF(B1424&gt;$D$88,"boven UCL",IF(B1424&lt;$B$88,"onder LCL","")),"")</f>
        <v/>
      </c>
      <c r="E1424" s="13">
        <f>IF(AND(ISNUMBER(C1424),ISNUMBER($B$89),ISNUMBER($D$89)),IF(C1424&gt;$D$89,"boven UCL",IF(C1424&lt;$B$89,"onder LCL","")),"")</f>
        <v/>
      </c>
      <c r="G1424" t="n">
        <v>1318</v>
      </c>
      <c r="H1424" s="7" t="n"/>
      <c r="I1424" s="7" t="n"/>
      <c r="J1424" s="11">
        <f>IF(AND(ISNUMBER(H1424),ISNUMBER(I1424),H1424&gt;0,ISNUMBER($B$94)),I1424/H1424,"")</f>
        <v/>
      </c>
      <c r="K1424" s="11">
        <f>IF(AND(ISNUMBER(H1424),ISNUMBER(I1424),H1424&gt;0,ISNUMBER($B$94)),MAX(0,$B$94-3*SQRT($B$94*(1-$B$94)/H1424)),"")</f>
        <v/>
      </c>
      <c r="L1424" s="11">
        <f>IF(AND(ISNUMBER(H1424),ISNUMBER(I1424),H1424&gt;0,ISNUMBER($B$94)),$B$94+3*SQRT($B$94*(1-$B$94)/H1424),"")</f>
        <v/>
      </c>
      <c r="M1424" s="13">
        <f>IF(AND(ISNUMBER(J1424),ISNUMBER(K1424),ISNUMBER(L1424)),IF(J1424&gt;L1424,"boven UCL",IF(J1424&lt;K1424,"onder LCL","")),"")</f>
        <v/>
      </c>
      <c r="O1424" t="n">
        <v>1318</v>
      </c>
      <c r="P1424" s="7" t="n"/>
      <c r="Q1424" s="7" t="n"/>
      <c r="R1424" s="11">
        <f>IF(AND(ISNUMBER(P1424),ISNUMBER(Q1424),P1424&gt;0,ISNUMBER($B$100)),Q1424/P1424,"")</f>
        <v/>
      </c>
      <c r="S1424" s="11">
        <f>IF(AND(ISNUMBER(P1424),ISNUMBER(Q1424),P1424&gt;0,ISNUMBER($B$100)),MAX(0,$B$100-3*SQRT($B$100/P1424)),"")</f>
        <v/>
      </c>
      <c r="T1424" s="11">
        <f>IF(AND(ISNUMBER(P1424),ISNUMBER(Q1424),P1424&gt;0,ISNUMBER($B$100)),$B$100+3*SQRT($B$100/P1424),"")</f>
        <v/>
      </c>
      <c r="U1424" s="13">
        <f>IF(AND(ISNUMBER(R1424),ISNUMBER(S1424),ISNUMBER(T1424)),IF(R1424&gt;T1424,"boven UCL",IF(R1424&lt;S1424,"onder LCL","")),"")</f>
        <v/>
      </c>
    </row>
    <row r="1425">
      <c r="A1425" t="n">
        <v>1319</v>
      </c>
      <c r="B1425" s="7" t="n"/>
      <c r="C1425" s="11">
        <f>IF(AND(ISNUMBER(B1425),ISNUMBER(B1424)),ABS(B1425-B1424),"")</f>
        <v/>
      </c>
      <c r="D1425" s="13">
        <f>IF(AND(ISNUMBER(B1425),ISNUMBER($B$88),ISNUMBER($D$88)),IF(B1425&gt;$D$88,"boven UCL",IF(B1425&lt;$B$88,"onder LCL","")),"")</f>
        <v/>
      </c>
      <c r="E1425" s="13">
        <f>IF(AND(ISNUMBER(C1425),ISNUMBER($B$89),ISNUMBER($D$89)),IF(C1425&gt;$D$89,"boven UCL",IF(C1425&lt;$B$89,"onder LCL","")),"")</f>
        <v/>
      </c>
      <c r="G1425" t="n">
        <v>1319</v>
      </c>
      <c r="H1425" s="7" t="n"/>
      <c r="I1425" s="7" t="n"/>
      <c r="J1425" s="11">
        <f>IF(AND(ISNUMBER(H1425),ISNUMBER(I1425),H1425&gt;0,ISNUMBER($B$94)),I1425/H1425,"")</f>
        <v/>
      </c>
      <c r="K1425" s="11">
        <f>IF(AND(ISNUMBER(H1425),ISNUMBER(I1425),H1425&gt;0,ISNUMBER($B$94)),MAX(0,$B$94-3*SQRT($B$94*(1-$B$94)/H1425)),"")</f>
        <v/>
      </c>
      <c r="L1425" s="11">
        <f>IF(AND(ISNUMBER(H1425),ISNUMBER(I1425),H1425&gt;0,ISNUMBER($B$94)),$B$94+3*SQRT($B$94*(1-$B$94)/H1425),"")</f>
        <v/>
      </c>
      <c r="M1425" s="13">
        <f>IF(AND(ISNUMBER(J1425),ISNUMBER(K1425),ISNUMBER(L1425)),IF(J1425&gt;L1425,"boven UCL",IF(J1425&lt;K1425,"onder LCL","")),"")</f>
        <v/>
      </c>
      <c r="O1425" t="n">
        <v>1319</v>
      </c>
      <c r="P1425" s="7" t="n"/>
      <c r="Q1425" s="7" t="n"/>
      <c r="R1425" s="11">
        <f>IF(AND(ISNUMBER(P1425),ISNUMBER(Q1425),P1425&gt;0,ISNUMBER($B$100)),Q1425/P1425,"")</f>
        <v/>
      </c>
      <c r="S1425" s="11">
        <f>IF(AND(ISNUMBER(P1425),ISNUMBER(Q1425),P1425&gt;0,ISNUMBER($B$100)),MAX(0,$B$100-3*SQRT($B$100/P1425)),"")</f>
        <v/>
      </c>
      <c r="T1425" s="11">
        <f>IF(AND(ISNUMBER(P1425),ISNUMBER(Q1425),P1425&gt;0,ISNUMBER($B$100)),$B$100+3*SQRT($B$100/P1425),"")</f>
        <v/>
      </c>
      <c r="U1425" s="13">
        <f>IF(AND(ISNUMBER(R1425),ISNUMBER(S1425),ISNUMBER(T1425)),IF(R1425&gt;T1425,"boven UCL",IF(R1425&lt;S1425,"onder LCL","")),"")</f>
        <v/>
      </c>
    </row>
    <row r="1426">
      <c r="A1426" t="n">
        <v>1320</v>
      </c>
      <c r="B1426" s="7" t="n"/>
      <c r="C1426" s="11">
        <f>IF(AND(ISNUMBER(B1426),ISNUMBER(B1425)),ABS(B1426-B1425),"")</f>
        <v/>
      </c>
      <c r="D1426" s="13">
        <f>IF(AND(ISNUMBER(B1426),ISNUMBER($B$88),ISNUMBER($D$88)),IF(B1426&gt;$D$88,"boven UCL",IF(B1426&lt;$B$88,"onder LCL","")),"")</f>
        <v/>
      </c>
      <c r="E1426" s="13">
        <f>IF(AND(ISNUMBER(C1426),ISNUMBER($B$89),ISNUMBER($D$89)),IF(C1426&gt;$D$89,"boven UCL",IF(C1426&lt;$B$89,"onder LCL","")),"")</f>
        <v/>
      </c>
      <c r="G1426" t="n">
        <v>1320</v>
      </c>
      <c r="H1426" s="7" t="n"/>
      <c r="I1426" s="7" t="n"/>
      <c r="J1426" s="11">
        <f>IF(AND(ISNUMBER(H1426),ISNUMBER(I1426),H1426&gt;0,ISNUMBER($B$94)),I1426/H1426,"")</f>
        <v/>
      </c>
      <c r="K1426" s="11">
        <f>IF(AND(ISNUMBER(H1426),ISNUMBER(I1426),H1426&gt;0,ISNUMBER($B$94)),MAX(0,$B$94-3*SQRT($B$94*(1-$B$94)/H1426)),"")</f>
        <v/>
      </c>
      <c r="L1426" s="11">
        <f>IF(AND(ISNUMBER(H1426),ISNUMBER(I1426),H1426&gt;0,ISNUMBER($B$94)),$B$94+3*SQRT($B$94*(1-$B$94)/H1426),"")</f>
        <v/>
      </c>
      <c r="M1426" s="13">
        <f>IF(AND(ISNUMBER(J1426),ISNUMBER(K1426),ISNUMBER(L1426)),IF(J1426&gt;L1426,"boven UCL",IF(J1426&lt;K1426,"onder LCL","")),"")</f>
        <v/>
      </c>
      <c r="O1426" t="n">
        <v>1320</v>
      </c>
      <c r="P1426" s="7" t="n"/>
      <c r="Q1426" s="7" t="n"/>
      <c r="R1426" s="11">
        <f>IF(AND(ISNUMBER(P1426),ISNUMBER(Q1426),P1426&gt;0,ISNUMBER($B$100)),Q1426/P1426,"")</f>
        <v/>
      </c>
      <c r="S1426" s="11">
        <f>IF(AND(ISNUMBER(P1426),ISNUMBER(Q1426),P1426&gt;0,ISNUMBER($B$100)),MAX(0,$B$100-3*SQRT($B$100/P1426)),"")</f>
        <v/>
      </c>
      <c r="T1426" s="11">
        <f>IF(AND(ISNUMBER(P1426),ISNUMBER(Q1426),P1426&gt;0,ISNUMBER($B$100)),$B$100+3*SQRT($B$100/P1426),"")</f>
        <v/>
      </c>
      <c r="U1426" s="13">
        <f>IF(AND(ISNUMBER(R1426),ISNUMBER(S1426),ISNUMBER(T1426)),IF(R1426&gt;T1426,"boven UCL",IF(R1426&lt;S1426,"onder LCL","")),"")</f>
        <v/>
      </c>
    </row>
    <row r="1427">
      <c r="A1427" t="n">
        <v>1321</v>
      </c>
      <c r="B1427" s="7" t="n"/>
      <c r="C1427" s="11">
        <f>IF(AND(ISNUMBER(B1427),ISNUMBER(B1426)),ABS(B1427-B1426),"")</f>
        <v/>
      </c>
      <c r="D1427" s="13">
        <f>IF(AND(ISNUMBER(B1427),ISNUMBER($B$88),ISNUMBER($D$88)),IF(B1427&gt;$D$88,"boven UCL",IF(B1427&lt;$B$88,"onder LCL","")),"")</f>
        <v/>
      </c>
      <c r="E1427" s="13">
        <f>IF(AND(ISNUMBER(C1427),ISNUMBER($B$89),ISNUMBER($D$89)),IF(C1427&gt;$D$89,"boven UCL",IF(C1427&lt;$B$89,"onder LCL","")),"")</f>
        <v/>
      </c>
      <c r="G1427" t="n">
        <v>1321</v>
      </c>
      <c r="H1427" s="7" t="n"/>
      <c r="I1427" s="7" t="n"/>
      <c r="J1427" s="11">
        <f>IF(AND(ISNUMBER(H1427),ISNUMBER(I1427),H1427&gt;0,ISNUMBER($B$94)),I1427/H1427,"")</f>
        <v/>
      </c>
      <c r="K1427" s="11">
        <f>IF(AND(ISNUMBER(H1427),ISNUMBER(I1427),H1427&gt;0,ISNUMBER($B$94)),MAX(0,$B$94-3*SQRT($B$94*(1-$B$94)/H1427)),"")</f>
        <v/>
      </c>
      <c r="L1427" s="11">
        <f>IF(AND(ISNUMBER(H1427),ISNUMBER(I1427),H1427&gt;0,ISNUMBER($B$94)),$B$94+3*SQRT($B$94*(1-$B$94)/H1427),"")</f>
        <v/>
      </c>
      <c r="M1427" s="13">
        <f>IF(AND(ISNUMBER(J1427),ISNUMBER(K1427),ISNUMBER(L1427)),IF(J1427&gt;L1427,"boven UCL",IF(J1427&lt;K1427,"onder LCL","")),"")</f>
        <v/>
      </c>
      <c r="O1427" t="n">
        <v>1321</v>
      </c>
      <c r="P1427" s="7" t="n"/>
      <c r="Q1427" s="7" t="n"/>
      <c r="R1427" s="11">
        <f>IF(AND(ISNUMBER(P1427),ISNUMBER(Q1427),P1427&gt;0,ISNUMBER($B$100)),Q1427/P1427,"")</f>
        <v/>
      </c>
      <c r="S1427" s="11">
        <f>IF(AND(ISNUMBER(P1427),ISNUMBER(Q1427),P1427&gt;0,ISNUMBER($B$100)),MAX(0,$B$100-3*SQRT($B$100/P1427)),"")</f>
        <v/>
      </c>
      <c r="T1427" s="11">
        <f>IF(AND(ISNUMBER(P1427),ISNUMBER(Q1427),P1427&gt;0,ISNUMBER($B$100)),$B$100+3*SQRT($B$100/P1427),"")</f>
        <v/>
      </c>
      <c r="U1427" s="13">
        <f>IF(AND(ISNUMBER(R1427),ISNUMBER(S1427),ISNUMBER(T1427)),IF(R1427&gt;T1427,"boven UCL",IF(R1427&lt;S1427,"onder LCL","")),"")</f>
        <v/>
      </c>
    </row>
    <row r="1428">
      <c r="A1428" t="n">
        <v>1322</v>
      </c>
      <c r="B1428" s="7" t="n"/>
      <c r="C1428" s="11">
        <f>IF(AND(ISNUMBER(B1428),ISNUMBER(B1427)),ABS(B1428-B1427),"")</f>
        <v/>
      </c>
      <c r="D1428" s="13">
        <f>IF(AND(ISNUMBER(B1428),ISNUMBER($B$88),ISNUMBER($D$88)),IF(B1428&gt;$D$88,"boven UCL",IF(B1428&lt;$B$88,"onder LCL","")),"")</f>
        <v/>
      </c>
      <c r="E1428" s="13">
        <f>IF(AND(ISNUMBER(C1428),ISNUMBER($B$89),ISNUMBER($D$89)),IF(C1428&gt;$D$89,"boven UCL",IF(C1428&lt;$B$89,"onder LCL","")),"")</f>
        <v/>
      </c>
      <c r="G1428" t="n">
        <v>1322</v>
      </c>
      <c r="H1428" s="7" t="n"/>
      <c r="I1428" s="7" t="n"/>
      <c r="J1428" s="11">
        <f>IF(AND(ISNUMBER(H1428),ISNUMBER(I1428),H1428&gt;0,ISNUMBER($B$94)),I1428/H1428,"")</f>
        <v/>
      </c>
      <c r="K1428" s="11">
        <f>IF(AND(ISNUMBER(H1428),ISNUMBER(I1428),H1428&gt;0,ISNUMBER($B$94)),MAX(0,$B$94-3*SQRT($B$94*(1-$B$94)/H1428)),"")</f>
        <v/>
      </c>
      <c r="L1428" s="11">
        <f>IF(AND(ISNUMBER(H1428),ISNUMBER(I1428),H1428&gt;0,ISNUMBER($B$94)),$B$94+3*SQRT($B$94*(1-$B$94)/H1428),"")</f>
        <v/>
      </c>
      <c r="M1428" s="13">
        <f>IF(AND(ISNUMBER(J1428),ISNUMBER(K1428),ISNUMBER(L1428)),IF(J1428&gt;L1428,"boven UCL",IF(J1428&lt;K1428,"onder LCL","")),"")</f>
        <v/>
      </c>
      <c r="O1428" t="n">
        <v>1322</v>
      </c>
      <c r="P1428" s="7" t="n"/>
      <c r="Q1428" s="7" t="n"/>
      <c r="R1428" s="11">
        <f>IF(AND(ISNUMBER(P1428),ISNUMBER(Q1428),P1428&gt;0,ISNUMBER($B$100)),Q1428/P1428,"")</f>
        <v/>
      </c>
      <c r="S1428" s="11">
        <f>IF(AND(ISNUMBER(P1428),ISNUMBER(Q1428),P1428&gt;0,ISNUMBER($B$100)),MAX(0,$B$100-3*SQRT($B$100/P1428)),"")</f>
        <v/>
      </c>
      <c r="T1428" s="11">
        <f>IF(AND(ISNUMBER(P1428),ISNUMBER(Q1428),P1428&gt;0,ISNUMBER($B$100)),$B$100+3*SQRT($B$100/P1428),"")</f>
        <v/>
      </c>
      <c r="U1428" s="13">
        <f>IF(AND(ISNUMBER(R1428),ISNUMBER(S1428),ISNUMBER(T1428)),IF(R1428&gt;T1428,"boven UCL",IF(R1428&lt;S1428,"onder LCL","")),"")</f>
        <v/>
      </c>
    </row>
    <row r="1429">
      <c r="A1429" t="n">
        <v>1323</v>
      </c>
      <c r="B1429" s="7" t="n"/>
      <c r="C1429" s="11">
        <f>IF(AND(ISNUMBER(B1429),ISNUMBER(B1428)),ABS(B1429-B1428),"")</f>
        <v/>
      </c>
      <c r="D1429" s="13">
        <f>IF(AND(ISNUMBER(B1429),ISNUMBER($B$88),ISNUMBER($D$88)),IF(B1429&gt;$D$88,"boven UCL",IF(B1429&lt;$B$88,"onder LCL","")),"")</f>
        <v/>
      </c>
      <c r="E1429" s="13">
        <f>IF(AND(ISNUMBER(C1429),ISNUMBER($B$89),ISNUMBER($D$89)),IF(C1429&gt;$D$89,"boven UCL",IF(C1429&lt;$B$89,"onder LCL","")),"")</f>
        <v/>
      </c>
      <c r="G1429" t="n">
        <v>1323</v>
      </c>
      <c r="H1429" s="7" t="n"/>
      <c r="I1429" s="7" t="n"/>
      <c r="J1429" s="11">
        <f>IF(AND(ISNUMBER(H1429),ISNUMBER(I1429),H1429&gt;0,ISNUMBER($B$94)),I1429/H1429,"")</f>
        <v/>
      </c>
      <c r="K1429" s="11">
        <f>IF(AND(ISNUMBER(H1429),ISNUMBER(I1429),H1429&gt;0,ISNUMBER($B$94)),MAX(0,$B$94-3*SQRT($B$94*(1-$B$94)/H1429)),"")</f>
        <v/>
      </c>
      <c r="L1429" s="11">
        <f>IF(AND(ISNUMBER(H1429),ISNUMBER(I1429),H1429&gt;0,ISNUMBER($B$94)),$B$94+3*SQRT($B$94*(1-$B$94)/H1429),"")</f>
        <v/>
      </c>
      <c r="M1429" s="13">
        <f>IF(AND(ISNUMBER(J1429),ISNUMBER(K1429),ISNUMBER(L1429)),IF(J1429&gt;L1429,"boven UCL",IF(J1429&lt;K1429,"onder LCL","")),"")</f>
        <v/>
      </c>
      <c r="O1429" t="n">
        <v>1323</v>
      </c>
      <c r="P1429" s="7" t="n"/>
      <c r="Q1429" s="7" t="n"/>
      <c r="R1429" s="11">
        <f>IF(AND(ISNUMBER(P1429),ISNUMBER(Q1429),P1429&gt;0,ISNUMBER($B$100)),Q1429/P1429,"")</f>
        <v/>
      </c>
      <c r="S1429" s="11">
        <f>IF(AND(ISNUMBER(P1429),ISNUMBER(Q1429),P1429&gt;0,ISNUMBER($B$100)),MAX(0,$B$100-3*SQRT($B$100/P1429)),"")</f>
        <v/>
      </c>
      <c r="T1429" s="11">
        <f>IF(AND(ISNUMBER(P1429),ISNUMBER(Q1429),P1429&gt;0,ISNUMBER($B$100)),$B$100+3*SQRT($B$100/P1429),"")</f>
        <v/>
      </c>
      <c r="U1429" s="13">
        <f>IF(AND(ISNUMBER(R1429),ISNUMBER(S1429),ISNUMBER(T1429)),IF(R1429&gt;T1429,"boven UCL",IF(R1429&lt;S1429,"onder LCL","")),"")</f>
        <v/>
      </c>
    </row>
    <row r="1430">
      <c r="A1430" t="n">
        <v>1324</v>
      </c>
      <c r="B1430" s="7" t="n"/>
      <c r="C1430" s="11">
        <f>IF(AND(ISNUMBER(B1430),ISNUMBER(B1429)),ABS(B1430-B1429),"")</f>
        <v/>
      </c>
      <c r="D1430" s="13">
        <f>IF(AND(ISNUMBER(B1430),ISNUMBER($B$88),ISNUMBER($D$88)),IF(B1430&gt;$D$88,"boven UCL",IF(B1430&lt;$B$88,"onder LCL","")),"")</f>
        <v/>
      </c>
      <c r="E1430" s="13">
        <f>IF(AND(ISNUMBER(C1430),ISNUMBER($B$89),ISNUMBER($D$89)),IF(C1430&gt;$D$89,"boven UCL",IF(C1430&lt;$B$89,"onder LCL","")),"")</f>
        <v/>
      </c>
      <c r="G1430" t="n">
        <v>1324</v>
      </c>
      <c r="H1430" s="7" t="n"/>
      <c r="I1430" s="7" t="n"/>
      <c r="J1430" s="11">
        <f>IF(AND(ISNUMBER(H1430),ISNUMBER(I1430),H1430&gt;0,ISNUMBER($B$94)),I1430/H1430,"")</f>
        <v/>
      </c>
      <c r="K1430" s="11">
        <f>IF(AND(ISNUMBER(H1430),ISNUMBER(I1430),H1430&gt;0,ISNUMBER($B$94)),MAX(0,$B$94-3*SQRT($B$94*(1-$B$94)/H1430)),"")</f>
        <v/>
      </c>
      <c r="L1430" s="11">
        <f>IF(AND(ISNUMBER(H1430),ISNUMBER(I1430),H1430&gt;0,ISNUMBER($B$94)),$B$94+3*SQRT($B$94*(1-$B$94)/H1430),"")</f>
        <v/>
      </c>
      <c r="M1430" s="13">
        <f>IF(AND(ISNUMBER(J1430),ISNUMBER(K1430),ISNUMBER(L1430)),IF(J1430&gt;L1430,"boven UCL",IF(J1430&lt;K1430,"onder LCL","")),"")</f>
        <v/>
      </c>
      <c r="O1430" t="n">
        <v>1324</v>
      </c>
      <c r="P1430" s="7" t="n"/>
      <c r="Q1430" s="7" t="n"/>
      <c r="R1430" s="11">
        <f>IF(AND(ISNUMBER(P1430),ISNUMBER(Q1430),P1430&gt;0,ISNUMBER($B$100)),Q1430/P1430,"")</f>
        <v/>
      </c>
      <c r="S1430" s="11">
        <f>IF(AND(ISNUMBER(P1430),ISNUMBER(Q1430),P1430&gt;0,ISNUMBER($B$100)),MAX(0,$B$100-3*SQRT($B$100/P1430)),"")</f>
        <v/>
      </c>
      <c r="T1430" s="11">
        <f>IF(AND(ISNUMBER(P1430),ISNUMBER(Q1430),P1430&gt;0,ISNUMBER($B$100)),$B$100+3*SQRT($B$100/P1430),"")</f>
        <v/>
      </c>
      <c r="U1430" s="13">
        <f>IF(AND(ISNUMBER(R1430),ISNUMBER(S1430),ISNUMBER(T1430)),IF(R1430&gt;T1430,"boven UCL",IF(R1430&lt;S1430,"onder LCL","")),"")</f>
        <v/>
      </c>
    </row>
    <row r="1431">
      <c r="A1431" t="n">
        <v>1325</v>
      </c>
      <c r="B1431" s="7" t="n"/>
      <c r="C1431" s="11">
        <f>IF(AND(ISNUMBER(B1431),ISNUMBER(B1430)),ABS(B1431-B1430),"")</f>
        <v/>
      </c>
      <c r="D1431" s="13">
        <f>IF(AND(ISNUMBER(B1431),ISNUMBER($B$88),ISNUMBER($D$88)),IF(B1431&gt;$D$88,"boven UCL",IF(B1431&lt;$B$88,"onder LCL","")),"")</f>
        <v/>
      </c>
      <c r="E1431" s="13">
        <f>IF(AND(ISNUMBER(C1431),ISNUMBER($B$89),ISNUMBER($D$89)),IF(C1431&gt;$D$89,"boven UCL",IF(C1431&lt;$B$89,"onder LCL","")),"")</f>
        <v/>
      </c>
      <c r="G1431" t="n">
        <v>1325</v>
      </c>
      <c r="H1431" s="7" t="n"/>
      <c r="I1431" s="7" t="n"/>
      <c r="J1431" s="11">
        <f>IF(AND(ISNUMBER(H1431),ISNUMBER(I1431),H1431&gt;0,ISNUMBER($B$94)),I1431/H1431,"")</f>
        <v/>
      </c>
      <c r="K1431" s="11">
        <f>IF(AND(ISNUMBER(H1431),ISNUMBER(I1431),H1431&gt;0,ISNUMBER($B$94)),MAX(0,$B$94-3*SQRT($B$94*(1-$B$94)/H1431)),"")</f>
        <v/>
      </c>
      <c r="L1431" s="11">
        <f>IF(AND(ISNUMBER(H1431),ISNUMBER(I1431),H1431&gt;0,ISNUMBER($B$94)),$B$94+3*SQRT($B$94*(1-$B$94)/H1431),"")</f>
        <v/>
      </c>
      <c r="M1431" s="13">
        <f>IF(AND(ISNUMBER(J1431),ISNUMBER(K1431),ISNUMBER(L1431)),IF(J1431&gt;L1431,"boven UCL",IF(J1431&lt;K1431,"onder LCL","")),"")</f>
        <v/>
      </c>
      <c r="O1431" t="n">
        <v>1325</v>
      </c>
      <c r="P1431" s="7" t="n"/>
      <c r="Q1431" s="7" t="n"/>
      <c r="R1431" s="11">
        <f>IF(AND(ISNUMBER(P1431),ISNUMBER(Q1431),P1431&gt;0,ISNUMBER($B$100)),Q1431/P1431,"")</f>
        <v/>
      </c>
      <c r="S1431" s="11">
        <f>IF(AND(ISNUMBER(P1431),ISNUMBER(Q1431),P1431&gt;0,ISNUMBER($B$100)),MAX(0,$B$100-3*SQRT($B$100/P1431)),"")</f>
        <v/>
      </c>
      <c r="T1431" s="11">
        <f>IF(AND(ISNUMBER(P1431),ISNUMBER(Q1431),P1431&gt;0,ISNUMBER($B$100)),$B$100+3*SQRT($B$100/P1431),"")</f>
        <v/>
      </c>
      <c r="U1431" s="13">
        <f>IF(AND(ISNUMBER(R1431),ISNUMBER(S1431),ISNUMBER(T1431)),IF(R1431&gt;T1431,"boven UCL",IF(R1431&lt;S1431,"onder LCL","")),"")</f>
        <v/>
      </c>
    </row>
    <row r="1432">
      <c r="A1432" t="n">
        <v>1326</v>
      </c>
      <c r="B1432" s="7" t="n"/>
      <c r="C1432" s="11">
        <f>IF(AND(ISNUMBER(B1432),ISNUMBER(B1431)),ABS(B1432-B1431),"")</f>
        <v/>
      </c>
      <c r="D1432" s="13">
        <f>IF(AND(ISNUMBER(B1432),ISNUMBER($B$88),ISNUMBER($D$88)),IF(B1432&gt;$D$88,"boven UCL",IF(B1432&lt;$B$88,"onder LCL","")),"")</f>
        <v/>
      </c>
      <c r="E1432" s="13">
        <f>IF(AND(ISNUMBER(C1432),ISNUMBER($B$89),ISNUMBER($D$89)),IF(C1432&gt;$D$89,"boven UCL",IF(C1432&lt;$B$89,"onder LCL","")),"")</f>
        <v/>
      </c>
      <c r="G1432" t="n">
        <v>1326</v>
      </c>
      <c r="H1432" s="7" t="n"/>
      <c r="I1432" s="7" t="n"/>
      <c r="J1432" s="11">
        <f>IF(AND(ISNUMBER(H1432),ISNUMBER(I1432),H1432&gt;0,ISNUMBER($B$94)),I1432/H1432,"")</f>
        <v/>
      </c>
      <c r="K1432" s="11">
        <f>IF(AND(ISNUMBER(H1432),ISNUMBER(I1432),H1432&gt;0,ISNUMBER($B$94)),MAX(0,$B$94-3*SQRT($B$94*(1-$B$94)/H1432)),"")</f>
        <v/>
      </c>
      <c r="L1432" s="11">
        <f>IF(AND(ISNUMBER(H1432),ISNUMBER(I1432),H1432&gt;0,ISNUMBER($B$94)),$B$94+3*SQRT($B$94*(1-$B$94)/H1432),"")</f>
        <v/>
      </c>
      <c r="M1432" s="13">
        <f>IF(AND(ISNUMBER(J1432),ISNUMBER(K1432),ISNUMBER(L1432)),IF(J1432&gt;L1432,"boven UCL",IF(J1432&lt;K1432,"onder LCL","")),"")</f>
        <v/>
      </c>
      <c r="O1432" t="n">
        <v>1326</v>
      </c>
      <c r="P1432" s="7" t="n"/>
      <c r="Q1432" s="7" t="n"/>
      <c r="R1432" s="11">
        <f>IF(AND(ISNUMBER(P1432),ISNUMBER(Q1432),P1432&gt;0,ISNUMBER($B$100)),Q1432/P1432,"")</f>
        <v/>
      </c>
      <c r="S1432" s="11">
        <f>IF(AND(ISNUMBER(P1432),ISNUMBER(Q1432),P1432&gt;0,ISNUMBER($B$100)),MAX(0,$B$100-3*SQRT($B$100/P1432)),"")</f>
        <v/>
      </c>
      <c r="T1432" s="11">
        <f>IF(AND(ISNUMBER(P1432),ISNUMBER(Q1432),P1432&gt;0,ISNUMBER($B$100)),$B$100+3*SQRT($B$100/P1432),"")</f>
        <v/>
      </c>
      <c r="U1432" s="13">
        <f>IF(AND(ISNUMBER(R1432),ISNUMBER(S1432),ISNUMBER(T1432)),IF(R1432&gt;T1432,"boven UCL",IF(R1432&lt;S1432,"onder LCL","")),"")</f>
        <v/>
      </c>
    </row>
    <row r="1433">
      <c r="A1433" t="n">
        <v>1327</v>
      </c>
      <c r="B1433" s="7" t="n"/>
      <c r="C1433" s="11">
        <f>IF(AND(ISNUMBER(B1433),ISNUMBER(B1432)),ABS(B1433-B1432),"")</f>
        <v/>
      </c>
      <c r="D1433" s="13">
        <f>IF(AND(ISNUMBER(B1433),ISNUMBER($B$88),ISNUMBER($D$88)),IF(B1433&gt;$D$88,"boven UCL",IF(B1433&lt;$B$88,"onder LCL","")),"")</f>
        <v/>
      </c>
      <c r="E1433" s="13">
        <f>IF(AND(ISNUMBER(C1433),ISNUMBER($B$89),ISNUMBER($D$89)),IF(C1433&gt;$D$89,"boven UCL",IF(C1433&lt;$B$89,"onder LCL","")),"")</f>
        <v/>
      </c>
      <c r="G1433" t="n">
        <v>1327</v>
      </c>
      <c r="H1433" s="7" t="n"/>
      <c r="I1433" s="7" t="n"/>
      <c r="J1433" s="11">
        <f>IF(AND(ISNUMBER(H1433),ISNUMBER(I1433),H1433&gt;0,ISNUMBER($B$94)),I1433/H1433,"")</f>
        <v/>
      </c>
      <c r="K1433" s="11">
        <f>IF(AND(ISNUMBER(H1433),ISNUMBER(I1433),H1433&gt;0,ISNUMBER($B$94)),MAX(0,$B$94-3*SQRT($B$94*(1-$B$94)/H1433)),"")</f>
        <v/>
      </c>
      <c r="L1433" s="11">
        <f>IF(AND(ISNUMBER(H1433),ISNUMBER(I1433),H1433&gt;0,ISNUMBER($B$94)),$B$94+3*SQRT($B$94*(1-$B$94)/H1433),"")</f>
        <v/>
      </c>
      <c r="M1433" s="13">
        <f>IF(AND(ISNUMBER(J1433),ISNUMBER(K1433),ISNUMBER(L1433)),IF(J1433&gt;L1433,"boven UCL",IF(J1433&lt;K1433,"onder LCL","")),"")</f>
        <v/>
      </c>
      <c r="O1433" t="n">
        <v>1327</v>
      </c>
      <c r="P1433" s="7" t="n"/>
      <c r="Q1433" s="7" t="n"/>
      <c r="R1433" s="11">
        <f>IF(AND(ISNUMBER(P1433),ISNUMBER(Q1433),P1433&gt;0,ISNUMBER($B$100)),Q1433/P1433,"")</f>
        <v/>
      </c>
      <c r="S1433" s="11">
        <f>IF(AND(ISNUMBER(P1433),ISNUMBER(Q1433),P1433&gt;0,ISNUMBER($B$100)),MAX(0,$B$100-3*SQRT($B$100/P1433)),"")</f>
        <v/>
      </c>
      <c r="T1433" s="11">
        <f>IF(AND(ISNUMBER(P1433),ISNUMBER(Q1433),P1433&gt;0,ISNUMBER($B$100)),$B$100+3*SQRT($B$100/P1433),"")</f>
        <v/>
      </c>
      <c r="U1433" s="13">
        <f>IF(AND(ISNUMBER(R1433),ISNUMBER(S1433),ISNUMBER(T1433)),IF(R1433&gt;T1433,"boven UCL",IF(R1433&lt;S1433,"onder LCL","")),"")</f>
        <v/>
      </c>
    </row>
    <row r="1434">
      <c r="A1434" t="n">
        <v>1328</v>
      </c>
      <c r="B1434" s="7" t="n"/>
      <c r="C1434" s="11">
        <f>IF(AND(ISNUMBER(B1434),ISNUMBER(B1433)),ABS(B1434-B1433),"")</f>
        <v/>
      </c>
      <c r="D1434" s="13">
        <f>IF(AND(ISNUMBER(B1434),ISNUMBER($B$88),ISNUMBER($D$88)),IF(B1434&gt;$D$88,"boven UCL",IF(B1434&lt;$B$88,"onder LCL","")),"")</f>
        <v/>
      </c>
      <c r="E1434" s="13">
        <f>IF(AND(ISNUMBER(C1434),ISNUMBER($B$89),ISNUMBER($D$89)),IF(C1434&gt;$D$89,"boven UCL",IF(C1434&lt;$B$89,"onder LCL","")),"")</f>
        <v/>
      </c>
      <c r="G1434" t="n">
        <v>1328</v>
      </c>
      <c r="H1434" s="7" t="n"/>
      <c r="I1434" s="7" t="n"/>
      <c r="J1434" s="11">
        <f>IF(AND(ISNUMBER(H1434),ISNUMBER(I1434),H1434&gt;0,ISNUMBER($B$94)),I1434/H1434,"")</f>
        <v/>
      </c>
      <c r="K1434" s="11">
        <f>IF(AND(ISNUMBER(H1434),ISNUMBER(I1434),H1434&gt;0,ISNUMBER($B$94)),MAX(0,$B$94-3*SQRT($B$94*(1-$B$94)/H1434)),"")</f>
        <v/>
      </c>
      <c r="L1434" s="11">
        <f>IF(AND(ISNUMBER(H1434),ISNUMBER(I1434),H1434&gt;0,ISNUMBER($B$94)),$B$94+3*SQRT($B$94*(1-$B$94)/H1434),"")</f>
        <v/>
      </c>
      <c r="M1434" s="13">
        <f>IF(AND(ISNUMBER(J1434),ISNUMBER(K1434),ISNUMBER(L1434)),IF(J1434&gt;L1434,"boven UCL",IF(J1434&lt;K1434,"onder LCL","")),"")</f>
        <v/>
      </c>
      <c r="O1434" t="n">
        <v>1328</v>
      </c>
      <c r="P1434" s="7" t="n"/>
      <c r="Q1434" s="7" t="n"/>
      <c r="R1434" s="11">
        <f>IF(AND(ISNUMBER(P1434),ISNUMBER(Q1434),P1434&gt;0,ISNUMBER($B$100)),Q1434/P1434,"")</f>
        <v/>
      </c>
      <c r="S1434" s="11">
        <f>IF(AND(ISNUMBER(P1434),ISNUMBER(Q1434),P1434&gt;0,ISNUMBER($B$100)),MAX(0,$B$100-3*SQRT($B$100/P1434)),"")</f>
        <v/>
      </c>
      <c r="T1434" s="11">
        <f>IF(AND(ISNUMBER(P1434),ISNUMBER(Q1434),P1434&gt;0,ISNUMBER($B$100)),$B$100+3*SQRT($B$100/P1434),"")</f>
        <v/>
      </c>
      <c r="U1434" s="13">
        <f>IF(AND(ISNUMBER(R1434),ISNUMBER(S1434),ISNUMBER(T1434)),IF(R1434&gt;T1434,"boven UCL",IF(R1434&lt;S1434,"onder LCL","")),"")</f>
        <v/>
      </c>
    </row>
    <row r="1435">
      <c r="A1435" t="n">
        <v>1329</v>
      </c>
      <c r="B1435" s="7" t="n"/>
      <c r="C1435" s="11">
        <f>IF(AND(ISNUMBER(B1435),ISNUMBER(B1434)),ABS(B1435-B1434),"")</f>
        <v/>
      </c>
      <c r="D1435" s="13">
        <f>IF(AND(ISNUMBER(B1435),ISNUMBER($B$88),ISNUMBER($D$88)),IF(B1435&gt;$D$88,"boven UCL",IF(B1435&lt;$B$88,"onder LCL","")),"")</f>
        <v/>
      </c>
      <c r="E1435" s="13">
        <f>IF(AND(ISNUMBER(C1435),ISNUMBER($B$89),ISNUMBER($D$89)),IF(C1435&gt;$D$89,"boven UCL",IF(C1435&lt;$B$89,"onder LCL","")),"")</f>
        <v/>
      </c>
      <c r="G1435" t="n">
        <v>1329</v>
      </c>
      <c r="H1435" s="7" t="n"/>
      <c r="I1435" s="7" t="n"/>
      <c r="J1435" s="11">
        <f>IF(AND(ISNUMBER(H1435),ISNUMBER(I1435),H1435&gt;0,ISNUMBER($B$94)),I1435/H1435,"")</f>
        <v/>
      </c>
      <c r="K1435" s="11">
        <f>IF(AND(ISNUMBER(H1435),ISNUMBER(I1435),H1435&gt;0,ISNUMBER($B$94)),MAX(0,$B$94-3*SQRT($B$94*(1-$B$94)/H1435)),"")</f>
        <v/>
      </c>
      <c r="L1435" s="11">
        <f>IF(AND(ISNUMBER(H1435),ISNUMBER(I1435),H1435&gt;0,ISNUMBER($B$94)),$B$94+3*SQRT($B$94*(1-$B$94)/H1435),"")</f>
        <v/>
      </c>
      <c r="M1435" s="13">
        <f>IF(AND(ISNUMBER(J1435),ISNUMBER(K1435),ISNUMBER(L1435)),IF(J1435&gt;L1435,"boven UCL",IF(J1435&lt;K1435,"onder LCL","")),"")</f>
        <v/>
      </c>
      <c r="O1435" t="n">
        <v>1329</v>
      </c>
      <c r="P1435" s="7" t="n"/>
      <c r="Q1435" s="7" t="n"/>
      <c r="R1435" s="11">
        <f>IF(AND(ISNUMBER(P1435),ISNUMBER(Q1435),P1435&gt;0,ISNUMBER($B$100)),Q1435/P1435,"")</f>
        <v/>
      </c>
      <c r="S1435" s="11">
        <f>IF(AND(ISNUMBER(P1435),ISNUMBER(Q1435),P1435&gt;0,ISNUMBER($B$100)),MAX(0,$B$100-3*SQRT($B$100/P1435)),"")</f>
        <v/>
      </c>
      <c r="T1435" s="11">
        <f>IF(AND(ISNUMBER(P1435),ISNUMBER(Q1435),P1435&gt;0,ISNUMBER($B$100)),$B$100+3*SQRT($B$100/P1435),"")</f>
        <v/>
      </c>
      <c r="U1435" s="13">
        <f>IF(AND(ISNUMBER(R1435),ISNUMBER(S1435),ISNUMBER(T1435)),IF(R1435&gt;T1435,"boven UCL",IF(R1435&lt;S1435,"onder LCL","")),"")</f>
        <v/>
      </c>
    </row>
    <row r="1436">
      <c r="A1436" t="n">
        <v>1330</v>
      </c>
      <c r="B1436" s="7" t="n"/>
      <c r="C1436" s="11">
        <f>IF(AND(ISNUMBER(B1436),ISNUMBER(B1435)),ABS(B1436-B1435),"")</f>
        <v/>
      </c>
      <c r="D1436" s="13">
        <f>IF(AND(ISNUMBER(B1436),ISNUMBER($B$88),ISNUMBER($D$88)),IF(B1436&gt;$D$88,"boven UCL",IF(B1436&lt;$B$88,"onder LCL","")),"")</f>
        <v/>
      </c>
      <c r="E1436" s="13">
        <f>IF(AND(ISNUMBER(C1436),ISNUMBER($B$89),ISNUMBER($D$89)),IF(C1436&gt;$D$89,"boven UCL",IF(C1436&lt;$B$89,"onder LCL","")),"")</f>
        <v/>
      </c>
      <c r="G1436" t="n">
        <v>1330</v>
      </c>
      <c r="H1436" s="7" t="n"/>
      <c r="I1436" s="7" t="n"/>
      <c r="J1436" s="11">
        <f>IF(AND(ISNUMBER(H1436),ISNUMBER(I1436),H1436&gt;0,ISNUMBER($B$94)),I1436/H1436,"")</f>
        <v/>
      </c>
      <c r="K1436" s="11">
        <f>IF(AND(ISNUMBER(H1436),ISNUMBER(I1436),H1436&gt;0,ISNUMBER($B$94)),MAX(0,$B$94-3*SQRT($B$94*(1-$B$94)/H1436)),"")</f>
        <v/>
      </c>
      <c r="L1436" s="11">
        <f>IF(AND(ISNUMBER(H1436),ISNUMBER(I1436),H1436&gt;0,ISNUMBER($B$94)),$B$94+3*SQRT($B$94*(1-$B$94)/H1436),"")</f>
        <v/>
      </c>
      <c r="M1436" s="13">
        <f>IF(AND(ISNUMBER(J1436),ISNUMBER(K1436),ISNUMBER(L1436)),IF(J1436&gt;L1436,"boven UCL",IF(J1436&lt;K1436,"onder LCL","")),"")</f>
        <v/>
      </c>
      <c r="O1436" t="n">
        <v>1330</v>
      </c>
      <c r="P1436" s="7" t="n"/>
      <c r="Q1436" s="7" t="n"/>
      <c r="R1436" s="11">
        <f>IF(AND(ISNUMBER(P1436),ISNUMBER(Q1436),P1436&gt;0,ISNUMBER($B$100)),Q1436/P1436,"")</f>
        <v/>
      </c>
      <c r="S1436" s="11">
        <f>IF(AND(ISNUMBER(P1436),ISNUMBER(Q1436),P1436&gt;0,ISNUMBER($B$100)),MAX(0,$B$100-3*SQRT($B$100/P1436)),"")</f>
        <v/>
      </c>
      <c r="T1436" s="11">
        <f>IF(AND(ISNUMBER(P1436),ISNUMBER(Q1436),P1436&gt;0,ISNUMBER($B$100)),$B$100+3*SQRT($B$100/P1436),"")</f>
        <v/>
      </c>
      <c r="U1436" s="13">
        <f>IF(AND(ISNUMBER(R1436),ISNUMBER(S1436),ISNUMBER(T1436)),IF(R1436&gt;T1436,"boven UCL",IF(R1436&lt;S1436,"onder LCL","")),"")</f>
        <v/>
      </c>
    </row>
    <row r="1437">
      <c r="A1437" t="n">
        <v>1331</v>
      </c>
      <c r="B1437" s="7" t="n"/>
      <c r="C1437" s="11">
        <f>IF(AND(ISNUMBER(B1437),ISNUMBER(B1436)),ABS(B1437-B1436),"")</f>
        <v/>
      </c>
      <c r="D1437" s="13">
        <f>IF(AND(ISNUMBER(B1437),ISNUMBER($B$88),ISNUMBER($D$88)),IF(B1437&gt;$D$88,"boven UCL",IF(B1437&lt;$B$88,"onder LCL","")),"")</f>
        <v/>
      </c>
      <c r="E1437" s="13">
        <f>IF(AND(ISNUMBER(C1437),ISNUMBER($B$89),ISNUMBER($D$89)),IF(C1437&gt;$D$89,"boven UCL",IF(C1437&lt;$B$89,"onder LCL","")),"")</f>
        <v/>
      </c>
      <c r="G1437" t="n">
        <v>1331</v>
      </c>
      <c r="H1437" s="7" t="n"/>
      <c r="I1437" s="7" t="n"/>
      <c r="J1437" s="11">
        <f>IF(AND(ISNUMBER(H1437),ISNUMBER(I1437),H1437&gt;0,ISNUMBER($B$94)),I1437/H1437,"")</f>
        <v/>
      </c>
      <c r="K1437" s="11">
        <f>IF(AND(ISNUMBER(H1437),ISNUMBER(I1437),H1437&gt;0,ISNUMBER($B$94)),MAX(0,$B$94-3*SQRT($B$94*(1-$B$94)/H1437)),"")</f>
        <v/>
      </c>
      <c r="L1437" s="11">
        <f>IF(AND(ISNUMBER(H1437),ISNUMBER(I1437),H1437&gt;0,ISNUMBER($B$94)),$B$94+3*SQRT($B$94*(1-$B$94)/H1437),"")</f>
        <v/>
      </c>
      <c r="M1437" s="13">
        <f>IF(AND(ISNUMBER(J1437),ISNUMBER(K1437),ISNUMBER(L1437)),IF(J1437&gt;L1437,"boven UCL",IF(J1437&lt;K1437,"onder LCL","")),"")</f>
        <v/>
      </c>
      <c r="O1437" t="n">
        <v>1331</v>
      </c>
      <c r="P1437" s="7" t="n"/>
      <c r="Q1437" s="7" t="n"/>
      <c r="R1437" s="11">
        <f>IF(AND(ISNUMBER(P1437),ISNUMBER(Q1437),P1437&gt;0,ISNUMBER($B$100)),Q1437/P1437,"")</f>
        <v/>
      </c>
      <c r="S1437" s="11">
        <f>IF(AND(ISNUMBER(P1437),ISNUMBER(Q1437),P1437&gt;0,ISNUMBER($B$100)),MAX(0,$B$100-3*SQRT($B$100/P1437)),"")</f>
        <v/>
      </c>
      <c r="T1437" s="11">
        <f>IF(AND(ISNUMBER(P1437),ISNUMBER(Q1437),P1437&gt;0,ISNUMBER($B$100)),$B$100+3*SQRT($B$100/P1437),"")</f>
        <v/>
      </c>
      <c r="U1437" s="13">
        <f>IF(AND(ISNUMBER(R1437),ISNUMBER(S1437),ISNUMBER(T1437)),IF(R1437&gt;T1437,"boven UCL",IF(R1437&lt;S1437,"onder LCL","")),"")</f>
        <v/>
      </c>
    </row>
    <row r="1438">
      <c r="A1438" t="n">
        <v>1332</v>
      </c>
      <c r="B1438" s="7" t="n"/>
      <c r="C1438" s="11">
        <f>IF(AND(ISNUMBER(B1438),ISNUMBER(B1437)),ABS(B1438-B1437),"")</f>
        <v/>
      </c>
      <c r="D1438" s="13">
        <f>IF(AND(ISNUMBER(B1438),ISNUMBER($B$88),ISNUMBER($D$88)),IF(B1438&gt;$D$88,"boven UCL",IF(B1438&lt;$B$88,"onder LCL","")),"")</f>
        <v/>
      </c>
      <c r="E1438" s="13">
        <f>IF(AND(ISNUMBER(C1438),ISNUMBER($B$89),ISNUMBER($D$89)),IF(C1438&gt;$D$89,"boven UCL",IF(C1438&lt;$B$89,"onder LCL","")),"")</f>
        <v/>
      </c>
      <c r="G1438" t="n">
        <v>1332</v>
      </c>
      <c r="H1438" s="7" t="n"/>
      <c r="I1438" s="7" t="n"/>
      <c r="J1438" s="11">
        <f>IF(AND(ISNUMBER(H1438),ISNUMBER(I1438),H1438&gt;0,ISNUMBER($B$94)),I1438/H1438,"")</f>
        <v/>
      </c>
      <c r="K1438" s="11">
        <f>IF(AND(ISNUMBER(H1438),ISNUMBER(I1438),H1438&gt;0,ISNUMBER($B$94)),MAX(0,$B$94-3*SQRT($B$94*(1-$B$94)/H1438)),"")</f>
        <v/>
      </c>
      <c r="L1438" s="11">
        <f>IF(AND(ISNUMBER(H1438),ISNUMBER(I1438),H1438&gt;0,ISNUMBER($B$94)),$B$94+3*SQRT($B$94*(1-$B$94)/H1438),"")</f>
        <v/>
      </c>
      <c r="M1438" s="13">
        <f>IF(AND(ISNUMBER(J1438),ISNUMBER(K1438),ISNUMBER(L1438)),IF(J1438&gt;L1438,"boven UCL",IF(J1438&lt;K1438,"onder LCL","")),"")</f>
        <v/>
      </c>
      <c r="O1438" t="n">
        <v>1332</v>
      </c>
      <c r="P1438" s="7" t="n"/>
      <c r="Q1438" s="7" t="n"/>
      <c r="R1438" s="11">
        <f>IF(AND(ISNUMBER(P1438),ISNUMBER(Q1438),P1438&gt;0,ISNUMBER($B$100)),Q1438/P1438,"")</f>
        <v/>
      </c>
      <c r="S1438" s="11">
        <f>IF(AND(ISNUMBER(P1438),ISNUMBER(Q1438),P1438&gt;0,ISNUMBER($B$100)),MAX(0,$B$100-3*SQRT($B$100/P1438)),"")</f>
        <v/>
      </c>
      <c r="T1438" s="11">
        <f>IF(AND(ISNUMBER(P1438),ISNUMBER(Q1438),P1438&gt;0,ISNUMBER($B$100)),$B$100+3*SQRT($B$100/P1438),"")</f>
        <v/>
      </c>
      <c r="U1438" s="13">
        <f>IF(AND(ISNUMBER(R1438),ISNUMBER(S1438),ISNUMBER(T1438)),IF(R1438&gt;T1438,"boven UCL",IF(R1438&lt;S1438,"onder LCL","")),"")</f>
        <v/>
      </c>
    </row>
    <row r="1439">
      <c r="A1439" t="n">
        <v>1333</v>
      </c>
      <c r="B1439" s="7" t="n"/>
      <c r="C1439" s="11">
        <f>IF(AND(ISNUMBER(B1439),ISNUMBER(B1438)),ABS(B1439-B1438),"")</f>
        <v/>
      </c>
      <c r="D1439" s="13">
        <f>IF(AND(ISNUMBER(B1439),ISNUMBER($B$88),ISNUMBER($D$88)),IF(B1439&gt;$D$88,"boven UCL",IF(B1439&lt;$B$88,"onder LCL","")),"")</f>
        <v/>
      </c>
      <c r="E1439" s="13">
        <f>IF(AND(ISNUMBER(C1439),ISNUMBER($B$89),ISNUMBER($D$89)),IF(C1439&gt;$D$89,"boven UCL",IF(C1439&lt;$B$89,"onder LCL","")),"")</f>
        <v/>
      </c>
      <c r="G1439" t="n">
        <v>1333</v>
      </c>
      <c r="H1439" s="7" t="n"/>
      <c r="I1439" s="7" t="n"/>
      <c r="J1439" s="11">
        <f>IF(AND(ISNUMBER(H1439),ISNUMBER(I1439),H1439&gt;0,ISNUMBER($B$94)),I1439/H1439,"")</f>
        <v/>
      </c>
      <c r="K1439" s="11">
        <f>IF(AND(ISNUMBER(H1439),ISNUMBER(I1439),H1439&gt;0,ISNUMBER($B$94)),MAX(0,$B$94-3*SQRT($B$94*(1-$B$94)/H1439)),"")</f>
        <v/>
      </c>
      <c r="L1439" s="11">
        <f>IF(AND(ISNUMBER(H1439),ISNUMBER(I1439),H1439&gt;0,ISNUMBER($B$94)),$B$94+3*SQRT($B$94*(1-$B$94)/H1439),"")</f>
        <v/>
      </c>
      <c r="M1439" s="13">
        <f>IF(AND(ISNUMBER(J1439),ISNUMBER(K1439),ISNUMBER(L1439)),IF(J1439&gt;L1439,"boven UCL",IF(J1439&lt;K1439,"onder LCL","")),"")</f>
        <v/>
      </c>
      <c r="O1439" t="n">
        <v>1333</v>
      </c>
      <c r="P1439" s="7" t="n"/>
      <c r="Q1439" s="7" t="n"/>
      <c r="R1439" s="11">
        <f>IF(AND(ISNUMBER(P1439),ISNUMBER(Q1439),P1439&gt;0,ISNUMBER($B$100)),Q1439/P1439,"")</f>
        <v/>
      </c>
      <c r="S1439" s="11">
        <f>IF(AND(ISNUMBER(P1439),ISNUMBER(Q1439),P1439&gt;0,ISNUMBER($B$100)),MAX(0,$B$100-3*SQRT($B$100/P1439)),"")</f>
        <v/>
      </c>
      <c r="T1439" s="11">
        <f>IF(AND(ISNUMBER(P1439),ISNUMBER(Q1439),P1439&gt;0,ISNUMBER($B$100)),$B$100+3*SQRT($B$100/P1439),"")</f>
        <v/>
      </c>
      <c r="U1439" s="13">
        <f>IF(AND(ISNUMBER(R1439),ISNUMBER(S1439),ISNUMBER(T1439)),IF(R1439&gt;T1439,"boven UCL",IF(R1439&lt;S1439,"onder LCL","")),"")</f>
        <v/>
      </c>
    </row>
    <row r="1440">
      <c r="A1440" t="n">
        <v>1334</v>
      </c>
      <c r="B1440" s="7" t="n"/>
      <c r="C1440" s="11">
        <f>IF(AND(ISNUMBER(B1440),ISNUMBER(B1439)),ABS(B1440-B1439),"")</f>
        <v/>
      </c>
      <c r="D1440" s="13">
        <f>IF(AND(ISNUMBER(B1440),ISNUMBER($B$88),ISNUMBER($D$88)),IF(B1440&gt;$D$88,"boven UCL",IF(B1440&lt;$B$88,"onder LCL","")),"")</f>
        <v/>
      </c>
      <c r="E1440" s="13">
        <f>IF(AND(ISNUMBER(C1440),ISNUMBER($B$89),ISNUMBER($D$89)),IF(C1440&gt;$D$89,"boven UCL",IF(C1440&lt;$B$89,"onder LCL","")),"")</f>
        <v/>
      </c>
      <c r="G1440" t="n">
        <v>1334</v>
      </c>
      <c r="H1440" s="7" t="n"/>
      <c r="I1440" s="7" t="n"/>
      <c r="J1440" s="11">
        <f>IF(AND(ISNUMBER(H1440),ISNUMBER(I1440),H1440&gt;0,ISNUMBER($B$94)),I1440/H1440,"")</f>
        <v/>
      </c>
      <c r="K1440" s="11">
        <f>IF(AND(ISNUMBER(H1440),ISNUMBER(I1440),H1440&gt;0,ISNUMBER($B$94)),MAX(0,$B$94-3*SQRT($B$94*(1-$B$94)/H1440)),"")</f>
        <v/>
      </c>
      <c r="L1440" s="11">
        <f>IF(AND(ISNUMBER(H1440),ISNUMBER(I1440),H1440&gt;0,ISNUMBER($B$94)),$B$94+3*SQRT($B$94*(1-$B$94)/H1440),"")</f>
        <v/>
      </c>
      <c r="M1440" s="13">
        <f>IF(AND(ISNUMBER(J1440),ISNUMBER(K1440),ISNUMBER(L1440)),IF(J1440&gt;L1440,"boven UCL",IF(J1440&lt;K1440,"onder LCL","")),"")</f>
        <v/>
      </c>
      <c r="O1440" t="n">
        <v>1334</v>
      </c>
      <c r="P1440" s="7" t="n"/>
      <c r="Q1440" s="7" t="n"/>
      <c r="R1440" s="11">
        <f>IF(AND(ISNUMBER(P1440),ISNUMBER(Q1440),P1440&gt;0,ISNUMBER($B$100)),Q1440/P1440,"")</f>
        <v/>
      </c>
      <c r="S1440" s="11">
        <f>IF(AND(ISNUMBER(P1440),ISNUMBER(Q1440),P1440&gt;0,ISNUMBER($B$100)),MAX(0,$B$100-3*SQRT($B$100/P1440)),"")</f>
        <v/>
      </c>
      <c r="T1440" s="11">
        <f>IF(AND(ISNUMBER(P1440),ISNUMBER(Q1440),P1440&gt;0,ISNUMBER($B$100)),$B$100+3*SQRT($B$100/P1440),"")</f>
        <v/>
      </c>
      <c r="U1440" s="13">
        <f>IF(AND(ISNUMBER(R1440),ISNUMBER(S1440),ISNUMBER(T1440)),IF(R1440&gt;T1440,"boven UCL",IF(R1440&lt;S1440,"onder LCL","")),"")</f>
        <v/>
      </c>
    </row>
    <row r="1441">
      <c r="A1441" t="n">
        <v>1335</v>
      </c>
      <c r="B1441" s="7" t="n"/>
      <c r="C1441" s="11">
        <f>IF(AND(ISNUMBER(B1441),ISNUMBER(B1440)),ABS(B1441-B1440),"")</f>
        <v/>
      </c>
      <c r="D1441" s="13">
        <f>IF(AND(ISNUMBER(B1441),ISNUMBER($B$88),ISNUMBER($D$88)),IF(B1441&gt;$D$88,"boven UCL",IF(B1441&lt;$B$88,"onder LCL","")),"")</f>
        <v/>
      </c>
      <c r="E1441" s="13">
        <f>IF(AND(ISNUMBER(C1441),ISNUMBER($B$89),ISNUMBER($D$89)),IF(C1441&gt;$D$89,"boven UCL",IF(C1441&lt;$B$89,"onder LCL","")),"")</f>
        <v/>
      </c>
      <c r="G1441" t="n">
        <v>1335</v>
      </c>
      <c r="H1441" s="7" t="n"/>
      <c r="I1441" s="7" t="n"/>
      <c r="J1441" s="11">
        <f>IF(AND(ISNUMBER(H1441),ISNUMBER(I1441),H1441&gt;0,ISNUMBER($B$94)),I1441/H1441,"")</f>
        <v/>
      </c>
      <c r="K1441" s="11">
        <f>IF(AND(ISNUMBER(H1441),ISNUMBER(I1441),H1441&gt;0,ISNUMBER($B$94)),MAX(0,$B$94-3*SQRT($B$94*(1-$B$94)/H1441)),"")</f>
        <v/>
      </c>
      <c r="L1441" s="11">
        <f>IF(AND(ISNUMBER(H1441),ISNUMBER(I1441),H1441&gt;0,ISNUMBER($B$94)),$B$94+3*SQRT($B$94*(1-$B$94)/H1441),"")</f>
        <v/>
      </c>
      <c r="M1441" s="13">
        <f>IF(AND(ISNUMBER(J1441),ISNUMBER(K1441),ISNUMBER(L1441)),IF(J1441&gt;L1441,"boven UCL",IF(J1441&lt;K1441,"onder LCL","")),"")</f>
        <v/>
      </c>
      <c r="O1441" t="n">
        <v>1335</v>
      </c>
      <c r="P1441" s="7" t="n"/>
      <c r="Q1441" s="7" t="n"/>
      <c r="R1441" s="11">
        <f>IF(AND(ISNUMBER(P1441),ISNUMBER(Q1441),P1441&gt;0,ISNUMBER($B$100)),Q1441/P1441,"")</f>
        <v/>
      </c>
      <c r="S1441" s="11">
        <f>IF(AND(ISNUMBER(P1441),ISNUMBER(Q1441),P1441&gt;0,ISNUMBER($B$100)),MAX(0,$B$100-3*SQRT($B$100/P1441)),"")</f>
        <v/>
      </c>
      <c r="T1441" s="11">
        <f>IF(AND(ISNUMBER(P1441),ISNUMBER(Q1441),P1441&gt;0,ISNUMBER($B$100)),$B$100+3*SQRT($B$100/P1441),"")</f>
        <v/>
      </c>
      <c r="U1441" s="13">
        <f>IF(AND(ISNUMBER(R1441),ISNUMBER(S1441),ISNUMBER(T1441)),IF(R1441&gt;T1441,"boven UCL",IF(R1441&lt;S1441,"onder LCL","")),"")</f>
        <v/>
      </c>
    </row>
    <row r="1442">
      <c r="A1442" t="n">
        <v>1336</v>
      </c>
      <c r="B1442" s="7" t="n"/>
      <c r="C1442" s="11">
        <f>IF(AND(ISNUMBER(B1442),ISNUMBER(B1441)),ABS(B1442-B1441),"")</f>
        <v/>
      </c>
      <c r="D1442" s="13">
        <f>IF(AND(ISNUMBER(B1442),ISNUMBER($B$88),ISNUMBER($D$88)),IF(B1442&gt;$D$88,"boven UCL",IF(B1442&lt;$B$88,"onder LCL","")),"")</f>
        <v/>
      </c>
      <c r="E1442" s="13">
        <f>IF(AND(ISNUMBER(C1442),ISNUMBER($B$89),ISNUMBER($D$89)),IF(C1442&gt;$D$89,"boven UCL",IF(C1442&lt;$B$89,"onder LCL","")),"")</f>
        <v/>
      </c>
      <c r="G1442" t="n">
        <v>1336</v>
      </c>
      <c r="H1442" s="7" t="n"/>
      <c r="I1442" s="7" t="n"/>
      <c r="J1442" s="11">
        <f>IF(AND(ISNUMBER(H1442),ISNUMBER(I1442),H1442&gt;0,ISNUMBER($B$94)),I1442/H1442,"")</f>
        <v/>
      </c>
      <c r="K1442" s="11">
        <f>IF(AND(ISNUMBER(H1442),ISNUMBER(I1442),H1442&gt;0,ISNUMBER($B$94)),MAX(0,$B$94-3*SQRT($B$94*(1-$B$94)/H1442)),"")</f>
        <v/>
      </c>
      <c r="L1442" s="11">
        <f>IF(AND(ISNUMBER(H1442),ISNUMBER(I1442),H1442&gt;0,ISNUMBER($B$94)),$B$94+3*SQRT($B$94*(1-$B$94)/H1442),"")</f>
        <v/>
      </c>
      <c r="M1442" s="13">
        <f>IF(AND(ISNUMBER(J1442),ISNUMBER(K1442),ISNUMBER(L1442)),IF(J1442&gt;L1442,"boven UCL",IF(J1442&lt;K1442,"onder LCL","")),"")</f>
        <v/>
      </c>
      <c r="O1442" t="n">
        <v>1336</v>
      </c>
      <c r="P1442" s="7" t="n"/>
      <c r="Q1442" s="7" t="n"/>
      <c r="R1442" s="11">
        <f>IF(AND(ISNUMBER(P1442),ISNUMBER(Q1442),P1442&gt;0,ISNUMBER($B$100)),Q1442/P1442,"")</f>
        <v/>
      </c>
      <c r="S1442" s="11">
        <f>IF(AND(ISNUMBER(P1442),ISNUMBER(Q1442),P1442&gt;0,ISNUMBER($B$100)),MAX(0,$B$100-3*SQRT($B$100/P1442)),"")</f>
        <v/>
      </c>
      <c r="T1442" s="11">
        <f>IF(AND(ISNUMBER(P1442),ISNUMBER(Q1442),P1442&gt;0,ISNUMBER($B$100)),$B$100+3*SQRT($B$100/P1442),"")</f>
        <v/>
      </c>
      <c r="U1442" s="13">
        <f>IF(AND(ISNUMBER(R1442),ISNUMBER(S1442),ISNUMBER(T1442)),IF(R1442&gt;T1442,"boven UCL",IF(R1442&lt;S1442,"onder LCL","")),"")</f>
        <v/>
      </c>
    </row>
    <row r="1443">
      <c r="A1443" t="n">
        <v>1337</v>
      </c>
      <c r="B1443" s="7" t="n"/>
      <c r="C1443" s="11">
        <f>IF(AND(ISNUMBER(B1443),ISNUMBER(B1442)),ABS(B1443-B1442),"")</f>
        <v/>
      </c>
      <c r="D1443" s="13">
        <f>IF(AND(ISNUMBER(B1443),ISNUMBER($B$88),ISNUMBER($D$88)),IF(B1443&gt;$D$88,"boven UCL",IF(B1443&lt;$B$88,"onder LCL","")),"")</f>
        <v/>
      </c>
      <c r="E1443" s="13">
        <f>IF(AND(ISNUMBER(C1443),ISNUMBER($B$89),ISNUMBER($D$89)),IF(C1443&gt;$D$89,"boven UCL",IF(C1443&lt;$B$89,"onder LCL","")),"")</f>
        <v/>
      </c>
      <c r="G1443" t="n">
        <v>1337</v>
      </c>
      <c r="H1443" s="7" t="n"/>
      <c r="I1443" s="7" t="n"/>
      <c r="J1443" s="11">
        <f>IF(AND(ISNUMBER(H1443),ISNUMBER(I1443),H1443&gt;0,ISNUMBER($B$94)),I1443/H1443,"")</f>
        <v/>
      </c>
      <c r="K1443" s="11">
        <f>IF(AND(ISNUMBER(H1443),ISNUMBER(I1443),H1443&gt;0,ISNUMBER($B$94)),MAX(0,$B$94-3*SQRT($B$94*(1-$B$94)/H1443)),"")</f>
        <v/>
      </c>
      <c r="L1443" s="11">
        <f>IF(AND(ISNUMBER(H1443),ISNUMBER(I1443),H1443&gt;0,ISNUMBER($B$94)),$B$94+3*SQRT($B$94*(1-$B$94)/H1443),"")</f>
        <v/>
      </c>
      <c r="M1443" s="13">
        <f>IF(AND(ISNUMBER(J1443),ISNUMBER(K1443),ISNUMBER(L1443)),IF(J1443&gt;L1443,"boven UCL",IF(J1443&lt;K1443,"onder LCL","")),"")</f>
        <v/>
      </c>
      <c r="O1443" t="n">
        <v>1337</v>
      </c>
      <c r="P1443" s="7" t="n"/>
      <c r="Q1443" s="7" t="n"/>
      <c r="R1443" s="11">
        <f>IF(AND(ISNUMBER(P1443),ISNUMBER(Q1443),P1443&gt;0,ISNUMBER($B$100)),Q1443/P1443,"")</f>
        <v/>
      </c>
      <c r="S1443" s="11">
        <f>IF(AND(ISNUMBER(P1443),ISNUMBER(Q1443),P1443&gt;0,ISNUMBER($B$100)),MAX(0,$B$100-3*SQRT($B$100/P1443)),"")</f>
        <v/>
      </c>
      <c r="T1443" s="11">
        <f>IF(AND(ISNUMBER(P1443),ISNUMBER(Q1443),P1443&gt;0,ISNUMBER($B$100)),$B$100+3*SQRT($B$100/P1443),"")</f>
        <v/>
      </c>
      <c r="U1443" s="13">
        <f>IF(AND(ISNUMBER(R1443),ISNUMBER(S1443),ISNUMBER(T1443)),IF(R1443&gt;T1443,"boven UCL",IF(R1443&lt;S1443,"onder LCL","")),"")</f>
        <v/>
      </c>
    </row>
    <row r="1444">
      <c r="A1444" t="n">
        <v>1338</v>
      </c>
      <c r="B1444" s="7" t="n"/>
      <c r="C1444" s="11">
        <f>IF(AND(ISNUMBER(B1444),ISNUMBER(B1443)),ABS(B1444-B1443),"")</f>
        <v/>
      </c>
      <c r="D1444" s="13">
        <f>IF(AND(ISNUMBER(B1444),ISNUMBER($B$88),ISNUMBER($D$88)),IF(B1444&gt;$D$88,"boven UCL",IF(B1444&lt;$B$88,"onder LCL","")),"")</f>
        <v/>
      </c>
      <c r="E1444" s="13">
        <f>IF(AND(ISNUMBER(C1444),ISNUMBER($B$89),ISNUMBER($D$89)),IF(C1444&gt;$D$89,"boven UCL",IF(C1444&lt;$B$89,"onder LCL","")),"")</f>
        <v/>
      </c>
      <c r="G1444" t="n">
        <v>1338</v>
      </c>
      <c r="H1444" s="7" t="n"/>
      <c r="I1444" s="7" t="n"/>
      <c r="J1444" s="11">
        <f>IF(AND(ISNUMBER(H1444),ISNUMBER(I1444),H1444&gt;0,ISNUMBER($B$94)),I1444/H1444,"")</f>
        <v/>
      </c>
      <c r="K1444" s="11">
        <f>IF(AND(ISNUMBER(H1444),ISNUMBER(I1444),H1444&gt;0,ISNUMBER($B$94)),MAX(0,$B$94-3*SQRT($B$94*(1-$B$94)/H1444)),"")</f>
        <v/>
      </c>
      <c r="L1444" s="11">
        <f>IF(AND(ISNUMBER(H1444),ISNUMBER(I1444),H1444&gt;0,ISNUMBER($B$94)),$B$94+3*SQRT($B$94*(1-$B$94)/H1444),"")</f>
        <v/>
      </c>
      <c r="M1444" s="13">
        <f>IF(AND(ISNUMBER(J1444),ISNUMBER(K1444),ISNUMBER(L1444)),IF(J1444&gt;L1444,"boven UCL",IF(J1444&lt;K1444,"onder LCL","")),"")</f>
        <v/>
      </c>
      <c r="O1444" t="n">
        <v>1338</v>
      </c>
      <c r="P1444" s="7" t="n"/>
      <c r="Q1444" s="7" t="n"/>
      <c r="R1444" s="11">
        <f>IF(AND(ISNUMBER(P1444),ISNUMBER(Q1444),P1444&gt;0,ISNUMBER($B$100)),Q1444/P1444,"")</f>
        <v/>
      </c>
      <c r="S1444" s="11">
        <f>IF(AND(ISNUMBER(P1444),ISNUMBER(Q1444),P1444&gt;0,ISNUMBER($B$100)),MAX(0,$B$100-3*SQRT($B$100/P1444)),"")</f>
        <v/>
      </c>
      <c r="T1444" s="11">
        <f>IF(AND(ISNUMBER(P1444),ISNUMBER(Q1444),P1444&gt;0,ISNUMBER($B$100)),$B$100+3*SQRT($B$100/P1444),"")</f>
        <v/>
      </c>
      <c r="U1444" s="13">
        <f>IF(AND(ISNUMBER(R1444),ISNUMBER(S1444),ISNUMBER(T1444)),IF(R1444&gt;T1444,"boven UCL",IF(R1444&lt;S1444,"onder LCL","")),"")</f>
        <v/>
      </c>
    </row>
    <row r="1445">
      <c r="A1445" t="n">
        <v>1339</v>
      </c>
      <c r="B1445" s="7" t="n"/>
      <c r="C1445" s="11">
        <f>IF(AND(ISNUMBER(B1445),ISNUMBER(B1444)),ABS(B1445-B1444),"")</f>
        <v/>
      </c>
      <c r="D1445" s="13">
        <f>IF(AND(ISNUMBER(B1445),ISNUMBER($B$88),ISNUMBER($D$88)),IF(B1445&gt;$D$88,"boven UCL",IF(B1445&lt;$B$88,"onder LCL","")),"")</f>
        <v/>
      </c>
      <c r="E1445" s="13">
        <f>IF(AND(ISNUMBER(C1445),ISNUMBER($B$89),ISNUMBER($D$89)),IF(C1445&gt;$D$89,"boven UCL",IF(C1445&lt;$B$89,"onder LCL","")),"")</f>
        <v/>
      </c>
      <c r="G1445" t="n">
        <v>1339</v>
      </c>
      <c r="H1445" s="7" t="n"/>
      <c r="I1445" s="7" t="n"/>
      <c r="J1445" s="11">
        <f>IF(AND(ISNUMBER(H1445),ISNUMBER(I1445),H1445&gt;0,ISNUMBER($B$94)),I1445/H1445,"")</f>
        <v/>
      </c>
      <c r="K1445" s="11">
        <f>IF(AND(ISNUMBER(H1445),ISNUMBER(I1445),H1445&gt;0,ISNUMBER($B$94)),MAX(0,$B$94-3*SQRT($B$94*(1-$B$94)/H1445)),"")</f>
        <v/>
      </c>
      <c r="L1445" s="11">
        <f>IF(AND(ISNUMBER(H1445),ISNUMBER(I1445),H1445&gt;0,ISNUMBER($B$94)),$B$94+3*SQRT($B$94*(1-$B$94)/H1445),"")</f>
        <v/>
      </c>
      <c r="M1445" s="13">
        <f>IF(AND(ISNUMBER(J1445),ISNUMBER(K1445),ISNUMBER(L1445)),IF(J1445&gt;L1445,"boven UCL",IF(J1445&lt;K1445,"onder LCL","")),"")</f>
        <v/>
      </c>
      <c r="O1445" t="n">
        <v>1339</v>
      </c>
      <c r="P1445" s="7" t="n"/>
      <c r="Q1445" s="7" t="n"/>
      <c r="R1445" s="11">
        <f>IF(AND(ISNUMBER(P1445),ISNUMBER(Q1445),P1445&gt;0,ISNUMBER($B$100)),Q1445/P1445,"")</f>
        <v/>
      </c>
      <c r="S1445" s="11">
        <f>IF(AND(ISNUMBER(P1445),ISNUMBER(Q1445),P1445&gt;0,ISNUMBER($B$100)),MAX(0,$B$100-3*SQRT($B$100/P1445)),"")</f>
        <v/>
      </c>
      <c r="T1445" s="11">
        <f>IF(AND(ISNUMBER(P1445),ISNUMBER(Q1445),P1445&gt;0,ISNUMBER($B$100)),$B$100+3*SQRT($B$100/P1445),"")</f>
        <v/>
      </c>
      <c r="U1445" s="13">
        <f>IF(AND(ISNUMBER(R1445),ISNUMBER(S1445),ISNUMBER(T1445)),IF(R1445&gt;T1445,"boven UCL",IF(R1445&lt;S1445,"onder LCL","")),"")</f>
        <v/>
      </c>
    </row>
    <row r="1446">
      <c r="A1446" t="n">
        <v>1340</v>
      </c>
      <c r="B1446" s="7" t="n"/>
      <c r="C1446" s="11">
        <f>IF(AND(ISNUMBER(B1446),ISNUMBER(B1445)),ABS(B1446-B1445),"")</f>
        <v/>
      </c>
      <c r="D1446" s="13">
        <f>IF(AND(ISNUMBER(B1446),ISNUMBER($B$88),ISNUMBER($D$88)),IF(B1446&gt;$D$88,"boven UCL",IF(B1446&lt;$B$88,"onder LCL","")),"")</f>
        <v/>
      </c>
      <c r="E1446" s="13">
        <f>IF(AND(ISNUMBER(C1446),ISNUMBER($B$89),ISNUMBER($D$89)),IF(C1446&gt;$D$89,"boven UCL",IF(C1446&lt;$B$89,"onder LCL","")),"")</f>
        <v/>
      </c>
      <c r="G1446" t="n">
        <v>1340</v>
      </c>
      <c r="H1446" s="7" t="n"/>
      <c r="I1446" s="7" t="n"/>
      <c r="J1446" s="11">
        <f>IF(AND(ISNUMBER(H1446),ISNUMBER(I1446),H1446&gt;0,ISNUMBER($B$94)),I1446/H1446,"")</f>
        <v/>
      </c>
      <c r="K1446" s="11">
        <f>IF(AND(ISNUMBER(H1446),ISNUMBER(I1446),H1446&gt;0,ISNUMBER($B$94)),MAX(0,$B$94-3*SQRT($B$94*(1-$B$94)/H1446)),"")</f>
        <v/>
      </c>
      <c r="L1446" s="11">
        <f>IF(AND(ISNUMBER(H1446),ISNUMBER(I1446),H1446&gt;0,ISNUMBER($B$94)),$B$94+3*SQRT($B$94*(1-$B$94)/H1446),"")</f>
        <v/>
      </c>
      <c r="M1446" s="13">
        <f>IF(AND(ISNUMBER(J1446),ISNUMBER(K1446),ISNUMBER(L1446)),IF(J1446&gt;L1446,"boven UCL",IF(J1446&lt;K1446,"onder LCL","")),"")</f>
        <v/>
      </c>
      <c r="O1446" t="n">
        <v>1340</v>
      </c>
      <c r="P1446" s="7" t="n"/>
      <c r="Q1446" s="7" t="n"/>
      <c r="R1446" s="11">
        <f>IF(AND(ISNUMBER(P1446),ISNUMBER(Q1446),P1446&gt;0,ISNUMBER($B$100)),Q1446/P1446,"")</f>
        <v/>
      </c>
      <c r="S1446" s="11">
        <f>IF(AND(ISNUMBER(P1446),ISNUMBER(Q1446),P1446&gt;0,ISNUMBER($B$100)),MAX(0,$B$100-3*SQRT($B$100/P1446)),"")</f>
        <v/>
      </c>
      <c r="T1446" s="11">
        <f>IF(AND(ISNUMBER(P1446),ISNUMBER(Q1446),P1446&gt;0,ISNUMBER($B$100)),$B$100+3*SQRT($B$100/P1446),"")</f>
        <v/>
      </c>
      <c r="U1446" s="13">
        <f>IF(AND(ISNUMBER(R1446),ISNUMBER(S1446),ISNUMBER(T1446)),IF(R1446&gt;T1446,"boven UCL",IF(R1446&lt;S1446,"onder LCL","")),"")</f>
        <v/>
      </c>
    </row>
    <row r="1447">
      <c r="A1447" t="n">
        <v>1341</v>
      </c>
      <c r="B1447" s="7" t="n"/>
      <c r="C1447" s="11">
        <f>IF(AND(ISNUMBER(B1447),ISNUMBER(B1446)),ABS(B1447-B1446),"")</f>
        <v/>
      </c>
      <c r="D1447" s="13">
        <f>IF(AND(ISNUMBER(B1447),ISNUMBER($B$88),ISNUMBER($D$88)),IF(B1447&gt;$D$88,"boven UCL",IF(B1447&lt;$B$88,"onder LCL","")),"")</f>
        <v/>
      </c>
      <c r="E1447" s="13">
        <f>IF(AND(ISNUMBER(C1447),ISNUMBER($B$89),ISNUMBER($D$89)),IF(C1447&gt;$D$89,"boven UCL",IF(C1447&lt;$B$89,"onder LCL","")),"")</f>
        <v/>
      </c>
      <c r="G1447" t="n">
        <v>1341</v>
      </c>
      <c r="H1447" s="7" t="n"/>
      <c r="I1447" s="7" t="n"/>
      <c r="J1447" s="11">
        <f>IF(AND(ISNUMBER(H1447),ISNUMBER(I1447),H1447&gt;0,ISNUMBER($B$94)),I1447/H1447,"")</f>
        <v/>
      </c>
      <c r="K1447" s="11">
        <f>IF(AND(ISNUMBER(H1447),ISNUMBER(I1447),H1447&gt;0,ISNUMBER($B$94)),MAX(0,$B$94-3*SQRT($B$94*(1-$B$94)/H1447)),"")</f>
        <v/>
      </c>
      <c r="L1447" s="11">
        <f>IF(AND(ISNUMBER(H1447),ISNUMBER(I1447),H1447&gt;0,ISNUMBER($B$94)),$B$94+3*SQRT($B$94*(1-$B$94)/H1447),"")</f>
        <v/>
      </c>
      <c r="M1447" s="13">
        <f>IF(AND(ISNUMBER(J1447),ISNUMBER(K1447),ISNUMBER(L1447)),IF(J1447&gt;L1447,"boven UCL",IF(J1447&lt;K1447,"onder LCL","")),"")</f>
        <v/>
      </c>
      <c r="O1447" t="n">
        <v>1341</v>
      </c>
      <c r="P1447" s="7" t="n"/>
      <c r="Q1447" s="7" t="n"/>
      <c r="R1447" s="11">
        <f>IF(AND(ISNUMBER(P1447),ISNUMBER(Q1447),P1447&gt;0,ISNUMBER($B$100)),Q1447/P1447,"")</f>
        <v/>
      </c>
      <c r="S1447" s="11">
        <f>IF(AND(ISNUMBER(P1447),ISNUMBER(Q1447),P1447&gt;0,ISNUMBER($B$100)),MAX(0,$B$100-3*SQRT($B$100/P1447)),"")</f>
        <v/>
      </c>
      <c r="T1447" s="11">
        <f>IF(AND(ISNUMBER(P1447),ISNUMBER(Q1447),P1447&gt;0,ISNUMBER($B$100)),$B$100+3*SQRT($B$100/P1447),"")</f>
        <v/>
      </c>
      <c r="U1447" s="13">
        <f>IF(AND(ISNUMBER(R1447),ISNUMBER(S1447),ISNUMBER(T1447)),IF(R1447&gt;T1447,"boven UCL",IF(R1447&lt;S1447,"onder LCL","")),"")</f>
        <v/>
      </c>
    </row>
    <row r="1448">
      <c r="A1448" t="n">
        <v>1342</v>
      </c>
      <c r="B1448" s="7" t="n"/>
      <c r="C1448" s="11">
        <f>IF(AND(ISNUMBER(B1448),ISNUMBER(B1447)),ABS(B1448-B1447),"")</f>
        <v/>
      </c>
      <c r="D1448" s="13">
        <f>IF(AND(ISNUMBER(B1448),ISNUMBER($B$88),ISNUMBER($D$88)),IF(B1448&gt;$D$88,"boven UCL",IF(B1448&lt;$B$88,"onder LCL","")),"")</f>
        <v/>
      </c>
      <c r="E1448" s="13">
        <f>IF(AND(ISNUMBER(C1448),ISNUMBER($B$89),ISNUMBER($D$89)),IF(C1448&gt;$D$89,"boven UCL",IF(C1448&lt;$B$89,"onder LCL","")),"")</f>
        <v/>
      </c>
      <c r="G1448" t="n">
        <v>1342</v>
      </c>
      <c r="H1448" s="7" t="n"/>
      <c r="I1448" s="7" t="n"/>
      <c r="J1448" s="11">
        <f>IF(AND(ISNUMBER(H1448),ISNUMBER(I1448),H1448&gt;0,ISNUMBER($B$94)),I1448/H1448,"")</f>
        <v/>
      </c>
      <c r="K1448" s="11">
        <f>IF(AND(ISNUMBER(H1448),ISNUMBER(I1448),H1448&gt;0,ISNUMBER($B$94)),MAX(0,$B$94-3*SQRT($B$94*(1-$B$94)/H1448)),"")</f>
        <v/>
      </c>
      <c r="L1448" s="11">
        <f>IF(AND(ISNUMBER(H1448),ISNUMBER(I1448),H1448&gt;0,ISNUMBER($B$94)),$B$94+3*SQRT($B$94*(1-$B$94)/H1448),"")</f>
        <v/>
      </c>
      <c r="M1448" s="13">
        <f>IF(AND(ISNUMBER(J1448),ISNUMBER(K1448),ISNUMBER(L1448)),IF(J1448&gt;L1448,"boven UCL",IF(J1448&lt;K1448,"onder LCL","")),"")</f>
        <v/>
      </c>
      <c r="O1448" t="n">
        <v>1342</v>
      </c>
      <c r="P1448" s="7" t="n"/>
      <c r="Q1448" s="7" t="n"/>
      <c r="R1448" s="11">
        <f>IF(AND(ISNUMBER(P1448),ISNUMBER(Q1448),P1448&gt;0,ISNUMBER($B$100)),Q1448/P1448,"")</f>
        <v/>
      </c>
      <c r="S1448" s="11">
        <f>IF(AND(ISNUMBER(P1448),ISNUMBER(Q1448),P1448&gt;0,ISNUMBER($B$100)),MAX(0,$B$100-3*SQRT($B$100/P1448)),"")</f>
        <v/>
      </c>
      <c r="T1448" s="11">
        <f>IF(AND(ISNUMBER(P1448),ISNUMBER(Q1448),P1448&gt;0,ISNUMBER($B$100)),$B$100+3*SQRT($B$100/P1448),"")</f>
        <v/>
      </c>
      <c r="U1448" s="13">
        <f>IF(AND(ISNUMBER(R1448),ISNUMBER(S1448),ISNUMBER(T1448)),IF(R1448&gt;T1448,"boven UCL",IF(R1448&lt;S1448,"onder LCL","")),"")</f>
        <v/>
      </c>
    </row>
    <row r="1449">
      <c r="A1449" t="n">
        <v>1343</v>
      </c>
      <c r="B1449" s="7" t="n"/>
      <c r="C1449" s="11">
        <f>IF(AND(ISNUMBER(B1449),ISNUMBER(B1448)),ABS(B1449-B1448),"")</f>
        <v/>
      </c>
      <c r="D1449" s="13">
        <f>IF(AND(ISNUMBER(B1449),ISNUMBER($B$88),ISNUMBER($D$88)),IF(B1449&gt;$D$88,"boven UCL",IF(B1449&lt;$B$88,"onder LCL","")),"")</f>
        <v/>
      </c>
      <c r="E1449" s="13">
        <f>IF(AND(ISNUMBER(C1449),ISNUMBER($B$89),ISNUMBER($D$89)),IF(C1449&gt;$D$89,"boven UCL",IF(C1449&lt;$B$89,"onder LCL","")),"")</f>
        <v/>
      </c>
      <c r="G1449" t="n">
        <v>1343</v>
      </c>
      <c r="H1449" s="7" t="n"/>
      <c r="I1449" s="7" t="n"/>
      <c r="J1449" s="11">
        <f>IF(AND(ISNUMBER(H1449),ISNUMBER(I1449),H1449&gt;0,ISNUMBER($B$94)),I1449/H1449,"")</f>
        <v/>
      </c>
      <c r="K1449" s="11">
        <f>IF(AND(ISNUMBER(H1449),ISNUMBER(I1449),H1449&gt;0,ISNUMBER($B$94)),MAX(0,$B$94-3*SQRT($B$94*(1-$B$94)/H1449)),"")</f>
        <v/>
      </c>
      <c r="L1449" s="11">
        <f>IF(AND(ISNUMBER(H1449),ISNUMBER(I1449),H1449&gt;0,ISNUMBER($B$94)),$B$94+3*SQRT($B$94*(1-$B$94)/H1449),"")</f>
        <v/>
      </c>
      <c r="M1449" s="13">
        <f>IF(AND(ISNUMBER(J1449),ISNUMBER(K1449),ISNUMBER(L1449)),IF(J1449&gt;L1449,"boven UCL",IF(J1449&lt;K1449,"onder LCL","")),"")</f>
        <v/>
      </c>
      <c r="O1449" t="n">
        <v>1343</v>
      </c>
      <c r="P1449" s="7" t="n"/>
      <c r="Q1449" s="7" t="n"/>
      <c r="R1449" s="11">
        <f>IF(AND(ISNUMBER(P1449),ISNUMBER(Q1449),P1449&gt;0,ISNUMBER($B$100)),Q1449/P1449,"")</f>
        <v/>
      </c>
      <c r="S1449" s="11">
        <f>IF(AND(ISNUMBER(P1449),ISNUMBER(Q1449),P1449&gt;0,ISNUMBER($B$100)),MAX(0,$B$100-3*SQRT($B$100/P1449)),"")</f>
        <v/>
      </c>
      <c r="T1449" s="11">
        <f>IF(AND(ISNUMBER(P1449),ISNUMBER(Q1449),P1449&gt;0,ISNUMBER($B$100)),$B$100+3*SQRT($B$100/P1449),"")</f>
        <v/>
      </c>
      <c r="U1449" s="13">
        <f>IF(AND(ISNUMBER(R1449),ISNUMBER(S1449),ISNUMBER(T1449)),IF(R1449&gt;T1449,"boven UCL",IF(R1449&lt;S1449,"onder LCL","")),"")</f>
        <v/>
      </c>
    </row>
    <row r="1450">
      <c r="A1450" t="n">
        <v>1344</v>
      </c>
      <c r="B1450" s="7" t="n"/>
      <c r="C1450" s="11">
        <f>IF(AND(ISNUMBER(B1450),ISNUMBER(B1449)),ABS(B1450-B1449),"")</f>
        <v/>
      </c>
      <c r="D1450" s="13">
        <f>IF(AND(ISNUMBER(B1450),ISNUMBER($B$88),ISNUMBER($D$88)),IF(B1450&gt;$D$88,"boven UCL",IF(B1450&lt;$B$88,"onder LCL","")),"")</f>
        <v/>
      </c>
      <c r="E1450" s="13">
        <f>IF(AND(ISNUMBER(C1450),ISNUMBER($B$89),ISNUMBER($D$89)),IF(C1450&gt;$D$89,"boven UCL",IF(C1450&lt;$B$89,"onder LCL","")),"")</f>
        <v/>
      </c>
      <c r="G1450" t="n">
        <v>1344</v>
      </c>
      <c r="H1450" s="7" t="n"/>
      <c r="I1450" s="7" t="n"/>
      <c r="J1450" s="11">
        <f>IF(AND(ISNUMBER(H1450),ISNUMBER(I1450),H1450&gt;0,ISNUMBER($B$94)),I1450/H1450,"")</f>
        <v/>
      </c>
      <c r="K1450" s="11">
        <f>IF(AND(ISNUMBER(H1450),ISNUMBER(I1450),H1450&gt;0,ISNUMBER($B$94)),MAX(0,$B$94-3*SQRT($B$94*(1-$B$94)/H1450)),"")</f>
        <v/>
      </c>
      <c r="L1450" s="11">
        <f>IF(AND(ISNUMBER(H1450),ISNUMBER(I1450),H1450&gt;0,ISNUMBER($B$94)),$B$94+3*SQRT($B$94*(1-$B$94)/H1450),"")</f>
        <v/>
      </c>
      <c r="M1450" s="13">
        <f>IF(AND(ISNUMBER(J1450),ISNUMBER(K1450),ISNUMBER(L1450)),IF(J1450&gt;L1450,"boven UCL",IF(J1450&lt;K1450,"onder LCL","")),"")</f>
        <v/>
      </c>
      <c r="O1450" t="n">
        <v>1344</v>
      </c>
      <c r="P1450" s="7" t="n"/>
      <c r="Q1450" s="7" t="n"/>
      <c r="R1450" s="11">
        <f>IF(AND(ISNUMBER(P1450),ISNUMBER(Q1450),P1450&gt;0,ISNUMBER($B$100)),Q1450/P1450,"")</f>
        <v/>
      </c>
      <c r="S1450" s="11">
        <f>IF(AND(ISNUMBER(P1450),ISNUMBER(Q1450),P1450&gt;0,ISNUMBER($B$100)),MAX(0,$B$100-3*SQRT($B$100/P1450)),"")</f>
        <v/>
      </c>
      <c r="T1450" s="11">
        <f>IF(AND(ISNUMBER(P1450),ISNUMBER(Q1450),P1450&gt;0,ISNUMBER($B$100)),$B$100+3*SQRT($B$100/P1450),"")</f>
        <v/>
      </c>
      <c r="U1450" s="13">
        <f>IF(AND(ISNUMBER(R1450),ISNUMBER(S1450),ISNUMBER(T1450)),IF(R1450&gt;T1450,"boven UCL",IF(R1450&lt;S1450,"onder LCL","")),"")</f>
        <v/>
      </c>
    </row>
    <row r="1451">
      <c r="A1451" t="n">
        <v>1345</v>
      </c>
      <c r="B1451" s="7" t="n"/>
      <c r="C1451" s="11">
        <f>IF(AND(ISNUMBER(B1451),ISNUMBER(B1450)),ABS(B1451-B1450),"")</f>
        <v/>
      </c>
      <c r="D1451" s="13">
        <f>IF(AND(ISNUMBER(B1451),ISNUMBER($B$88),ISNUMBER($D$88)),IF(B1451&gt;$D$88,"boven UCL",IF(B1451&lt;$B$88,"onder LCL","")),"")</f>
        <v/>
      </c>
      <c r="E1451" s="13">
        <f>IF(AND(ISNUMBER(C1451),ISNUMBER($B$89),ISNUMBER($D$89)),IF(C1451&gt;$D$89,"boven UCL",IF(C1451&lt;$B$89,"onder LCL","")),"")</f>
        <v/>
      </c>
      <c r="G1451" t="n">
        <v>1345</v>
      </c>
      <c r="H1451" s="7" t="n"/>
      <c r="I1451" s="7" t="n"/>
      <c r="J1451" s="11">
        <f>IF(AND(ISNUMBER(H1451),ISNUMBER(I1451),H1451&gt;0,ISNUMBER($B$94)),I1451/H1451,"")</f>
        <v/>
      </c>
      <c r="K1451" s="11">
        <f>IF(AND(ISNUMBER(H1451),ISNUMBER(I1451),H1451&gt;0,ISNUMBER($B$94)),MAX(0,$B$94-3*SQRT($B$94*(1-$B$94)/H1451)),"")</f>
        <v/>
      </c>
      <c r="L1451" s="11">
        <f>IF(AND(ISNUMBER(H1451),ISNUMBER(I1451),H1451&gt;0,ISNUMBER($B$94)),$B$94+3*SQRT($B$94*(1-$B$94)/H1451),"")</f>
        <v/>
      </c>
      <c r="M1451" s="13">
        <f>IF(AND(ISNUMBER(J1451),ISNUMBER(K1451),ISNUMBER(L1451)),IF(J1451&gt;L1451,"boven UCL",IF(J1451&lt;K1451,"onder LCL","")),"")</f>
        <v/>
      </c>
      <c r="O1451" t="n">
        <v>1345</v>
      </c>
      <c r="P1451" s="7" t="n"/>
      <c r="Q1451" s="7" t="n"/>
      <c r="R1451" s="11">
        <f>IF(AND(ISNUMBER(P1451),ISNUMBER(Q1451),P1451&gt;0,ISNUMBER($B$100)),Q1451/P1451,"")</f>
        <v/>
      </c>
      <c r="S1451" s="11">
        <f>IF(AND(ISNUMBER(P1451),ISNUMBER(Q1451),P1451&gt;0,ISNUMBER($B$100)),MAX(0,$B$100-3*SQRT($B$100/P1451)),"")</f>
        <v/>
      </c>
      <c r="T1451" s="11">
        <f>IF(AND(ISNUMBER(P1451),ISNUMBER(Q1451),P1451&gt;0,ISNUMBER($B$100)),$B$100+3*SQRT($B$100/P1451),"")</f>
        <v/>
      </c>
      <c r="U1451" s="13">
        <f>IF(AND(ISNUMBER(R1451),ISNUMBER(S1451),ISNUMBER(T1451)),IF(R1451&gt;T1451,"boven UCL",IF(R1451&lt;S1451,"onder LCL","")),"")</f>
        <v/>
      </c>
    </row>
    <row r="1452">
      <c r="A1452" t="n">
        <v>1346</v>
      </c>
      <c r="B1452" s="7" t="n"/>
      <c r="C1452" s="11">
        <f>IF(AND(ISNUMBER(B1452),ISNUMBER(B1451)),ABS(B1452-B1451),"")</f>
        <v/>
      </c>
      <c r="D1452" s="13">
        <f>IF(AND(ISNUMBER(B1452),ISNUMBER($B$88),ISNUMBER($D$88)),IF(B1452&gt;$D$88,"boven UCL",IF(B1452&lt;$B$88,"onder LCL","")),"")</f>
        <v/>
      </c>
      <c r="E1452" s="13">
        <f>IF(AND(ISNUMBER(C1452),ISNUMBER($B$89),ISNUMBER($D$89)),IF(C1452&gt;$D$89,"boven UCL",IF(C1452&lt;$B$89,"onder LCL","")),"")</f>
        <v/>
      </c>
      <c r="G1452" t="n">
        <v>1346</v>
      </c>
      <c r="H1452" s="7" t="n"/>
      <c r="I1452" s="7" t="n"/>
      <c r="J1452" s="11">
        <f>IF(AND(ISNUMBER(H1452),ISNUMBER(I1452),H1452&gt;0,ISNUMBER($B$94)),I1452/H1452,"")</f>
        <v/>
      </c>
      <c r="K1452" s="11">
        <f>IF(AND(ISNUMBER(H1452),ISNUMBER(I1452),H1452&gt;0,ISNUMBER($B$94)),MAX(0,$B$94-3*SQRT($B$94*(1-$B$94)/H1452)),"")</f>
        <v/>
      </c>
      <c r="L1452" s="11">
        <f>IF(AND(ISNUMBER(H1452),ISNUMBER(I1452),H1452&gt;0,ISNUMBER($B$94)),$B$94+3*SQRT($B$94*(1-$B$94)/H1452),"")</f>
        <v/>
      </c>
      <c r="M1452" s="13">
        <f>IF(AND(ISNUMBER(J1452),ISNUMBER(K1452),ISNUMBER(L1452)),IF(J1452&gt;L1452,"boven UCL",IF(J1452&lt;K1452,"onder LCL","")),"")</f>
        <v/>
      </c>
      <c r="O1452" t="n">
        <v>1346</v>
      </c>
      <c r="P1452" s="7" t="n"/>
      <c r="Q1452" s="7" t="n"/>
      <c r="R1452" s="11">
        <f>IF(AND(ISNUMBER(P1452),ISNUMBER(Q1452),P1452&gt;0,ISNUMBER($B$100)),Q1452/P1452,"")</f>
        <v/>
      </c>
      <c r="S1452" s="11">
        <f>IF(AND(ISNUMBER(P1452),ISNUMBER(Q1452),P1452&gt;0,ISNUMBER($B$100)),MAX(0,$B$100-3*SQRT($B$100/P1452)),"")</f>
        <v/>
      </c>
      <c r="T1452" s="11">
        <f>IF(AND(ISNUMBER(P1452),ISNUMBER(Q1452),P1452&gt;0,ISNUMBER($B$100)),$B$100+3*SQRT($B$100/P1452),"")</f>
        <v/>
      </c>
      <c r="U1452" s="13">
        <f>IF(AND(ISNUMBER(R1452),ISNUMBER(S1452),ISNUMBER(T1452)),IF(R1452&gt;T1452,"boven UCL",IF(R1452&lt;S1452,"onder LCL","")),"")</f>
        <v/>
      </c>
    </row>
    <row r="1453">
      <c r="A1453" t="n">
        <v>1347</v>
      </c>
      <c r="B1453" s="7" t="n"/>
      <c r="C1453" s="11">
        <f>IF(AND(ISNUMBER(B1453),ISNUMBER(B1452)),ABS(B1453-B1452),"")</f>
        <v/>
      </c>
      <c r="D1453" s="13">
        <f>IF(AND(ISNUMBER(B1453),ISNUMBER($B$88),ISNUMBER($D$88)),IF(B1453&gt;$D$88,"boven UCL",IF(B1453&lt;$B$88,"onder LCL","")),"")</f>
        <v/>
      </c>
      <c r="E1453" s="13">
        <f>IF(AND(ISNUMBER(C1453),ISNUMBER($B$89),ISNUMBER($D$89)),IF(C1453&gt;$D$89,"boven UCL",IF(C1453&lt;$B$89,"onder LCL","")),"")</f>
        <v/>
      </c>
      <c r="G1453" t="n">
        <v>1347</v>
      </c>
      <c r="H1453" s="7" t="n"/>
      <c r="I1453" s="7" t="n"/>
      <c r="J1453" s="11">
        <f>IF(AND(ISNUMBER(H1453),ISNUMBER(I1453),H1453&gt;0,ISNUMBER($B$94)),I1453/H1453,"")</f>
        <v/>
      </c>
      <c r="K1453" s="11">
        <f>IF(AND(ISNUMBER(H1453),ISNUMBER(I1453),H1453&gt;0,ISNUMBER($B$94)),MAX(0,$B$94-3*SQRT($B$94*(1-$B$94)/H1453)),"")</f>
        <v/>
      </c>
      <c r="L1453" s="11">
        <f>IF(AND(ISNUMBER(H1453),ISNUMBER(I1453),H1453&gt;0,ISNUMBER($B$94)),$B$94+3*SQRT($B$94*(1-$B$94)/H1453),"")</f>
        <v/>
      </c>
      <c r="M1453" s="13">
        <f>IF(AND(ISNUMBER(J1453),ISNUMBER(K1453),ISNUMBER(L1453)),IF(J1453&gt;L1453,"boven UCL",IF(J1453&lt;K1453,"onder LCL","")),"")</f>
        <v/>
      </c>
      <c r="O1453" t="n">
        <v>1347</v>
      </c>
      <c r="P1453" s="7" t="n"/>
      <c r="Q1453" s="7" t="n"/>
      <c r="R1453" s="11">
        <f>IF(AND(ISNUMBER(P1453),ISNUMBER(Q1453),P1453&gt;0,ISNUMBER($B$100)),Q1453/P1453,"")</f>
        <v/>
      </c>
      <c r="S1453" s="11">
        <f>IF(AND(ISNUMBER(P1453),ISNUMBER(Q1453),P1453&gt;0,ISNUMBER($B$100)),MAX(0,$B$100-3*SQRT($B$100/P1453)),"")</f>
        <v/>
      </c>
      <c r="T1453" s="11">
        <f>IF(AND(ISNUMBER(P1453),ISNUMBER(Q1453),P1453&gt;0,ISNUMBER($B$100)),$B$100+3*SQRT($B$100/P1453),"")</f>
        <v/>
      </c>
      <c r="U1453" s="13">
        <f>IF(AND(ISNUMBER(R1453),ISNUMBER(S1453),ISNUMBER(T1453)),IF(R1453&gt;T1453,"boven UCL",IF(R1453&lt;S1453,"onder LCL","")),"")</f>
        <v/>
      </c>
    </row>
    <row r="1454">
      <c r="A1454" t="n">
        <v>1348</v>
      </c>
      <c r="B1454" s="7" t="n"/>
      <c r="C1454" s="11">
        <f>IF(AND(ISNUMBER(B1454),ISNUMBER(B1453)),ABS(B1454-B1453),"")</f>
        <v/>
      </c>
      <c r="D1454" s="13">
        <f>IF(AND(ISNUMBER(B1454),ISNUMBER($B$88),ISNUMBER($D$88)),IF(B1454&gt;$D$88,"boven UCL",IF(B1454&lt;$B$88,"onder LCL","")),"")</f>
        <v/>
      </c>
      <c r="E1454" s="13">
        <f>IF(AND(ISNUMBER(C1454),ISNUMBER($B$89),ISNUMBER($D$89)),IF(C1454&gt;$D$89,"boven UCL",IF(C1454&lt;$B$89,"onder LCL","")),"")</f>
        <v/>
      </c>
      <c r="G1454" t="n">
        <v>1348</v>
      </c>
      <c r="H1454" s="7" t="n"/>
      <c r="I1454" s="7" t="n"/>
      <c r="J1454" s="11">
        <f>IF(AND(ISNUMBER(H1454),ISNUMBER(I1454),H1454&gt;0,ISNUMBER($B$94)),I1454/H1454,"")</f>
        <v/>
      </c>
      <c r="K1454" s="11">
        <f>IF(AND(ISNUMBER(H1454),ISNUMBER(I1454),H1454&gt;0,ISNUMBER($B$94)),MAX(0,$B$94-3*SQRT($B$94*(1-$B$94)/H1454)),"")</f>
        <v/>
      </c>
      <c r="L1454" s="11">
        <f>IF(AND(ISNUMBER(H1454),ISNUMBER(I1454),H1454&gt;0,ISNUMBER($B$94)),$B$94+3*SQRT($B$94*(1-$B$94)/H1454),"")</f>
        <v/>
      </c>
      <c r="M1454" s="13">
        <f>IF(AND(ISNUMBER(J1454),ISNUMBER(K1454),ISNUMBER(L1454)),IF(J1454&gt;L1454,"boven UCL",IF(J1454&lt;K1454,"onder LCL","")),"")</f>
        <v/>
      </c>
      <c r="O1454" t="n">
        <v>1348</v>
      </c>
      <c r="P1454" s="7" t="n"/>
      <c r="Q1454" s="7" t="n"/>
      <c r="R1454" s="11">
        <f>IF(AND(ISNUMBER(P1454),ISNUMBER(Q1454),P1454&gt;0,ISNUMBER($B$100)),Q1454/P1454,"")</f>
        <v/>
      </c>
      <c r="S1454" s="11">
        <f>IF(AND(ISNUMBER(P1454),ISNUMBER(Q1454),P1454&gt;0,ISNUMBER($B$100)),MAX(0,$B$100-3*SQRT($B$100/P1454)),"")</f>
        <v/>
      </c>
      <c r="T1454" s="11">
        <f>IF(AND(ISNUMBER(P1454),ISNUMBER(Q1454),P1454&gt;0,ISNUMBER($B$100)),$B$100+3*SQRT($B$100/P1454),"")</f>
        <v/>
      </c>
      <c r="U1454" s="13">
        <f>IF(AND(ISNUMBER(R1454),ISNUMBER(S1454),ISNUMBER(T1454)),IF(R1454&gt;T1454,"boven UCL",IF(R1454&lt;S1454,"onder LCL","")),"")</f>
        <v/>
      </c>
    </row>
    <row r="1455">
      <c r="A1455" t="n">
        <v>1349</v>
      </c>
      <c r="B1455" s="7" t="n"/>
      <c r="C1455" s="11">
        <f>IF(AND(ISNUMBER(B1455),ISNUMBER(B1454)),ABS(B1455-B1454),"")</f>
        <v/>
      </c>
      <c r="D1455" s="13">
        <f>IF(AND(ISNUMBER(B1455),ISNUMBER($B$88),ISNUMBER($D$88)),IF(B1455&gt;$D$88,"boven UCL",IF(B1455&lt;$B$88,"onder LCL","")),"")</f>
        <v/>
      </c>
      <c r="E1455" s="13">
        <f>IF(AND(ISNUMBER(C1455),ISNUMBER($B$89),ISNUMBER($D$89)),IF(C1455&gt;$D$89,"boven UCL",IF(C1455&lt;$B$89,"onder LCL","")),"")</f>
        <v/>
      </c>
      <c r="G1455" t="n">
        <v>1349</v>
      </c>
      <c r="H1455" s="7" t="n"/>
      <c r="I1455" s="7" t="n"/>
      <c r="J1455" s="11">
        <f>IF(AND(ISNUMBER(H1455),ISNUMBER(I1455),H1455&gt;0,ISNUMBER($B$94)),I1455/H1455,"")</f>
        <v/>
      </c>
      <c r="K1455" s="11">
        <f>IF(AND(ISNUMBER(H1455),ISNUMBER(I1455),H1455&gt;0,ISNUMBER($B$94)),MAX(0,$B$94-3*SQRT($B$94*(1-$B$94)/H1455)),"")</f>
        <v/>
      </c>
      <c r="L1455" s="11">
        <f>IF(AND(ISNUMBER(H1455),ISNUMBER(I1455),H1455&gt;0,ISNUMBER($B$94)),$B$94+3*SQRT($B$94*(1-$B$94)/H1455),"")</f>
        <v/>
      </c>
      <c r="M1455" s="13">
        <f>IF(AND(ISNUMBER(J1455),ISNUMBER(K1455),ISNUMBER(L1455)),IF(J1455&gt;L1455,"boven UCL",IF(J1455&lt;K1455,"onder LCL","")),"")</f>
        <v/>
      </c>
      <c r="O1455" t="n">
        <v>1349</v>
      </c>
      <c r="P1455" s="7" t="n"/>
      <c r="Q1455" s="7" t="n"/>
      <c r="R1455" s="11">
        <f>IF(AND(ISNUMBER(P1455),ISNUMBER(Q1455),P1455&gt;0,ISNUMBER($B$100)),Q1455/P1455,"")</f>
        <v/>
      </c>
      <c r="S1455" s="11">
        <f>IF(AND(ISNUMBER(P1455),ISNUMBER(Q1455),P1455&gt;0,ISNUMBER($B$100)),MAX(0,$B$100-3*SQRT($B$100/P1455)),"")</f>
        <v/>
      </c>
      <c r="T1455" s="11">
        <f>IF(AND(ISNUMBER(P1455),ISNUMBER(Q1455),P1455&gt;0,ISNUMBER($B$100)),$B$100+3*SQRT($B$100/P1455),"")</f>
        <v/>
      </c>
      <c r="U1455" s="13">
        <f>IF(AND(ISNUMBER(R1455),ISNUMBER(S1455),ISNUMBER(T1455)),IF(R1455&gt;T1455,"boven UCL",IF(R1455&lt;S1455,"onder LCL","")),"")</f>
        <v/>
      </c>
    </row>
    <row r="1456">
      <c r="A1456" t="n">
        <v>1350</v>
      </c>
      <c r="B1456" s="7" t="n"/>
      <c r="C1456" s="11">
        <f>IF(AND(ISNUMBER(B1456),ISNUMBER(B1455)),ABS(B1456-B1455),"")</f>
        <v/>
      </c>
      <c r="D1456" s="13">
        <f>IF(AND(ISNUMBER(B1456),ISNUMBER($B$88),ISNUMBER($D$88)),IF(B1456&gt;$D$88,"boven UCL",IF(B1456&lt;$B$88,"onder LCL","")),"")</f>
        <v/>
      </c>
      <c r="E1456" s="13">
        <f>IF(AND(ISNUMBER(C1456),ISNUMBER($B$89),ISNUMBER($D$89)),IF(C1456&gt;$D$89,"boven UCL",IF(C1456&lt;$B$89,"onder LCL","")),"")</f>
        <v/>
      </c>
      <c r="G1456" t="n">
        <v>1350</v>
      </c>
      <c r="H1456" s="7" t="n"/>
      <c r="I1456" s="7" t="n"/>
      <c r="J1456" s="11">
        <f>IF(AND(ISNUMBER(H1456),ISNUMBER(I1456),H1456&gt;0,ISNUMBER($B$94)),I1456/H1456,"")</f>
        <v/>
      </c>
      <c r="K1456" s="11">
        <f>IF(AND(ISNUMBER(H1456),ISNUMBER(I1456),H1456&gt;0,ISNUMBER($B$94)),MAX(0,$B$94-3*SQRT($B$94*(1-$B$94)/H1456)),"")</f>
        <v/>
      </c>
      <c r="L1456" s="11">
        <f>IF(AND(ISNUMBER(H1456),ISNUMBER(I1456),H1456&gt;0,ISNUMBER($B$94)),$B$94+3*SQRT($B$94*(1-$B$94)/H1456),"")</f>
        <v/>
      </c>
      <c r="M1456" s="13">
        <f>IF(AND(ISNUMBER(J1456),ISNUMBER(K1456),ISNUMBER(L1456)),IF(J1456&gt;L1456,"boven UCL",IF(J1456&lt;K1456,"onder LCL","")),"")</f>
        <v/>
      </c>
      <c r="O1456" t="n">
        <v>1350</v>
      </c>
      <c r="P1456" s="7" t="n"/>
      <c r="Q1456" s="7" t="n"/>
      <c r="R1456" s="11">
        <f>IF(AND(ISNUMBER(P1456),ISNUMBER(Q1456),P1456&gt;0,ISNUMBER($B$100)),Q1456/P1456,"")</f>
        <v/>
      </c>
      <c r="S1456" s="11">
        <f>IF(AND(ISNUMBER(P1456),ISNUMBER(Q1456),P1456&gt;0,ISNUMBER($B$100)),MAX(0,$B$100-3*SQRT($B$100/P1456)),"")</f>
        <v/>
      </c>
      <c r="T1456" s="11">
        <f>IF(AND(ISNUMBER(P1456),ISNUMBER(Q1456),P1456&gt;0,ISNUMBER($B$100)),$B$100+3*SQRT($B$100/P1456),"")</f>
        <v/>
      </c>
      <c r="U1456" s="13">
        <f>IF(AND(ISNUMBER(R1456),ISNUMBER(S1456),ISNUMBER(T1456)),IF(R1456&gt;T1456,"boven UCL",IF(R1456&lt;S1456,"onder LCL","")),"")</f>
        <v/>
      </c>
    </row>
    <row r="1457">
      <c r="A1457" t="n">
        <v>1351</v>
      </c>
      <c r="B1457" s="7" t="n"/>
      <c r="C1457" s="11">
        <f>IF(AND(ISNUMBER(B1457),ISNUMBER(B1456)),ABS(B1457-B1456),"")</f>
        <v/>
      </c>
      <c r="D1457" s="13">
        <f>IF(AND(ISNUMBER(B1457),ISNUMBER($B$88),ISNUMBER($D$88)),IF(B1457&gt;$D$88,"boven UCL",IF(B1457&lt;$B$88,"onder LCL","")),"")</f>
        <v/>
      </c>
      <c r="E1457" s="13">
        <f>IF(AND(ISNUMBER(C1457),ISNUMBER($B$89),ISNUMBER($D$89)),IF(C1457&gt;$D$89,"boven UCL",IF(C1457&lt;$B$89,"onder LCL","")),"")</f>
        <v/>
      </c>
      <c r="G1457" t="n">
        <v>1351</v>
      </c>
      <c r="H1457" s="7" t="n"/>
      <c r="I1457" s="7" t="n"/>
      <c r="J1457" s="11">
        <f>IF(AND(ISNUMBER(H1457),ISNUMBER(I1457),H1457&gt;0,ISNUMBER($B$94)),I1457/H1457,"")</f>
        <v/>
      </c>
      <c r="K1457" s="11">
        <f>IF(AND(ISNUMBER(H1457),ISNUMBER(I1457),H1457&gt;0,ISNUMBER($B$94)),MAX(0,$B$94-3*SQRT($B$94*(1-$B$94)/H1457)),"")</f>
        <v/>
      </c>
      <c r="L1457" s="11">
        <f>IF(AND(ISNUMBER(H1457),ISNUMBER(I1457),H1457&gt;0,ISNUMBER($B$94)),$B$94+3*SQRT($B$94*(1-$B$94)/H1457),"")</f>
        <v/>
      </c>
      <c r="M1457" s="13">
        <f>IF(AND(ISNUMBER(J1457),ISNUMBER(K1457),ISNUMBER(L1457)),IF(J1457&gt;L1457,"boven UCL",IF(J1457&lt;K1457,"onder LCL","")),"")</f>
        <v/>
      </c>
      <c r="O1457" t="n">
        <v>1351</v>
      </c>
      <c r="P1457" s="7" t="n"/>
      <c r="Q1457" s="7" t="n"/>
      <c r="R1457" s="11">
        <f>IF(AND(ISNUMBER(P1457),ISNUMBER(Q1457),P1457&gt;0,ISNUMBER($B$100)),Q1457/P1457,"")</f>
        <v/>
      </c>
      <c r="S1457" s="11">
        <f>IF(AND(ISNUMBER(P1457),ISNUMBER(Q1457),P1457&gt;0,ISNUMBER($B$100)),MAX(0,$B$100-3*SQRT($B$100/P1457)),"")</f>
        <v/>
      </c>
      <c r="T1457" s="11">
        <f>IF(AND(ISNUMBER(P1457),ISNUMBER(Q1457),P1457&gt;0,ISNUMBER($B$100)),$B$100+3*SQRT($B$100/P1457),"")</f>
        <v/>
      </c>
      <c r="U1457" s="13">
        <f>IF(AND(ISNUMBER(R1457),ISNUMBER(S1457),ISNUMBER(T1457)),IF(R1457&gt;T1457,"boven UCL",IF(R1457&lt;S1457,"onder LCL","")),"")</f>
        <v/>
      </c>
    </row>
    <row r="1458">
      <c r="A1458" t="n">
        <v>1352</v>
      </c>
      <c r="B1458" s="7" t="n"/>
      <c r="C1458" s="11">
        <f>IF(AND(ISNUMBER(B1458),ISNUMBER(B1457)),ABS(B1458-B1457),"")</f>
        <v/>
      </c>
      <c r="D1458" s="13">
        <f>IF(AND(ISNUMBER(B1458),ISNUMBER($B$88),ISNUMBER($D$88)),IF(B1458&gt;$D$88,"boven UCL",IF(B1458&lt;$B$88,"onder LCL","")),"")</f>
        <v/>
      </c>
      <c r="E1458" s="13">
        <f>IF(AND(ISNUMBER(C1458),ISNUMBER($B$89),ISNUMBER($D$89)),IF(C1458&gt;$D$89,"boven UCL",IF(C1458&lt;$B$89,"onder LCL","")),"")</f>
        <v/>
      </c>
      <c r="G1458" t="n">
        <v>1352</v>
      </c>
      <c r="H1458" s="7" t="n"/>
      <c r="I1458" s="7" t="n"/>
      <c r="J1458" s="11">
        <f>IF(AND(ISNUMBER(H1458),ISNUMBER(I1458),H1458&gt;0,ISNUMBER($B$94)),I1458/H1458,"")</f>
        <v/>
      </c>
      <c r="K1458" s="11">
        <f>IF(AND(ISNUMBER(H1458),ISNUMBER(I1458),H1458&gt;0,ISNUMBER($B$94)),MAX(0,$B$94-3*SQRT($B$94*(1-$B$94)/H1458)),"")</f>
        <v/>
      </c>
      <c r="L1458" s="11">
        <f>IF(AND(ISNUMBER(H1458),ISNUMBER(I1458),H1458&gt;0,ISNUMBER($B$94)),$B$94+3*SQRT($B$94*(1-$B$94)/H1458),"")</f>
        <v/>
      </c>
      <c r="M1458" s="13">
        <f>IF(AND(ISNUMBER(J1458),ISNUMBER(K1458),ISNUMBER(L1458)),IF(J1458&gt;L1458,"boven UCL",IF(J1458&lt;K1458,"onder LCL","")),"")</f>
        <v/>
      </c>
      <c r="O1458" t="n">
        <v>1352</v>
      </c>
      <c r="P1458" s="7" t="n"/>
      <c r="Q1458" s="7" t="n"/>
      <c r="R1458" s="11">
        <f>IF(AND(ISNUMBER(P1458),ISNUMBER(Q1458),P1458&gt;0,ISNUMBER($B$100)),Q1458/P1458,"")</f>
        <v/>
      </c>
      <c r="S1458" s="11">
        <f>IF(AND(ISNUMBER(P1458),ISNUMBER(Q1458),P1458&gt;0,ISNUMBER($B$100)),MAX(0,$B$100-3*SQRT($B$100/P1458)),"")</f>
        <v/>
      </c>
      <c r="T1458" s="11">
        <f>IF(AND(ISNUMBER(P1458),ISNUMBER(Q1458),P1458&gt;0,ISNUMBER($B$100)),$B$100+3*SQRT($B$100/P1458),"")</f>
        <v/>
      </c>
      <c r="U1458" s="13">
        <f>IF(AND(ISNUMBER(R1458),ISNUMBER(S1458),ISNUMBER(T1458)),IF(R1458&gt;T1458,"boven UCL",IF(R1458&lt;S1458,"onder LCL","")),"")</f>
        <v/>
      </c>
    </row>
    <row r="1459">
      <c r="A1459" t="n">
        <v>1353</v>
      </c>
      <c r="B1459" s="7" t="n"/>
      <c r="C1459" s="11">
        <f>IF(AND(ISNUMBER(B1459),ISNUMBER(B1458)),ABS(B1459-B1458),"")</f>
        <v/>
      </c>
      <c r="D1459" s="13">
        <f>IF(AND(ISNUMBER(B1459),ISNUMBER($B$88),ISNUMBER($D$88)),IF(B1459&gt;$D$88,"boven UCL",IF(B1459&lt;$B$88,"onder LCL","")),"")</f>
        <v/>
      </c>
      <c r="E1459" s="13">
        <f>IF(AND(ISNUMBER(C1459),ISNUMBER($B$89),ISNUMBER($D$89)),IF(C1459&gt;$D$89,"boven UCL",IF(C1459&lt;$B$89,"onder LCL","")),"")</f>
        <v/>
      </c>
      <c r="G1459" t="n">
        <v>1353</v>
      </c>
      <c r="H1459" s="7" t="n"/>
      <c r="I1459" s="7" t="n"/>
      <c r="J1459" s="11">
        <f>IF(AND(ISNUMBER(H1459),ISNUMBER(I1459),H1459&gt;0,ISNUMBER($B$94)),I1459/H1459,"")</f>
        <v/>
      </c>
      <c r="K1459" s="11">
        <f>IF(AND(ISNUMBER(H1459),ISNUMBER(I1459),H1459&gt;0,ISNUMBER($B$94)),MAX(0,$B$94-3*SQRT($B$94*(1-$B$94)/H1459)),"")</f>
        <v/>
      </c>
      <c r="L1459" s="11">
        <f>IF(AND(ISNUMBER(H1459),ISNUMBER(I1459),H1459&gt;0,ISNUMBER($B$94)),$B$94+3*SQRT($B$94*(1-$B$94)/H1459),"")</f>
        <v/>
      </c>
      <c r="M1459" s="13">
        <f>IF(AND(ISNUMBER(J1459),ISNUMBER(K1459),ISNUMBER(L1459)),IF(J1459&gt;L1459,"boven UCL",IF(J1459&lt;K1459,"onder LCL","")),"")</f>
        <v/>
      </c>
      <c r="O1459" t="n">
        <v>1353</v>
      </c>
      <c r="P1459" s="7" t="n"/>
      <c r="Q1459" s="7" t="n"/>
      <c r="R1459" s="11">
        <f>IF(AND(ISNUMBER(P1459),ISNUMBER(Q1459),P1459&gt;0,ISNUMBER($B$100)),Q1459/P1459,"")</f>
        <v/>
      </c>
      <c r="S1459" s="11">
        <f>IF(AND(ISNUMBER(P1459),ISNUMBER(Q1459),P1459&gt;0,ISNUMBER($B$100)),MAX(0,$B$100-3*SQRT($B$100/P1459)),"")</f>
        <v/>
      </c>
      <c r="T1459" s="11">
        <f>IF(AND(ISNUMBER(P1459),ISNUMBER(Q1459),P1459&gt;0,ISNUMBER($B$100)),$B$100+3*SQRT($B$100/P1459),"")</f>
        <v/>
      </c>
      <c r="U1459" s="13">
        <f>IF(AND(ISNUMBER(R1459),ISNUMBER(S1459),ISNUMBER(T1459)),IF(R1459&gt;T1459,"boven UCL",IF(R1459&lt;S1459,"onder LCL","")),"")</f>
        <v/>
      </c>
    </row>
    <row r="1460">
      <c r="A1460" t="n">
        <v>1354</v>
      </c>
      <c r="B1460" s="7" t="n"/>
      <c r="C1460" s="11">
        <f>IF(AND(ISNUMBER(B1460),ISNUMBER(B1459)),ABS(B1460-B1459),"")</f>
        <v/>
      </c>
      <c r="D1460" s="13">
        <f>IF(AND(ISNUMBER(B1460),ISNUMBER($B$88),ISNUMBER($D$88)),IF(B1460&gt;$D$88,"boven UCL",IF(B1460&lt;$B$88,"onder LCL","")),"")</f>
        <v/>
      </c>
      <c r="E1460" s="13">
        <f>IF(AND(ISNUMBER(C1460),ISNUMBER($B$89),ISNUMBER($D$89)),IF(C1460&gt;$D$89,"boven UCL",IF(C1460&lt;$B$89,"onder LCL","")),"")</f>
        <v/>
      </c>
      <c r="G1460" t="n">
        <v>1354</v>
      </c>
      <c r="H1460" s="7" t="n"/>
      <c r="I1460" s="7" t="n"/>
      <c r="J1460" s="11">
        <f>IF(AND(ISNUMBER(H1460),ISNUMBER(I1460),H1460&gt;0,ISNUMBER($B$94)),I1460/H1460,"")</f>
        <v/>
      </c>
      <c r="K1460" s="11">
        <f>IF(AND(ISNUMBER(H1460),ISNUMBER(I1460),H1460&gt;0,ISNUMBER($B$94)),MAX(0,$B$94-3*SQRT($B$94*(1-$B$94)/H1460)),"")</f>
        <v/>
      </c>
      <c r="L1460" s="11">
        <f>IF(AND(ISNUMBER(H1460),ISNUMBER(I1460),H1460&gt;0,ISNUMBER($B$94)),$B$94+3*SQRT($B$94*(1-$B$94)/H1460),"")</f>
        <v/>
      </c>
      <c r="M1460" s="13">
        <f>IF(AND(ISNUMBER(J1460),ISNUMBER(K1460),ISNUMBER(L1460)),IF(J1460&gt;L1460,"boven UCL",IF(J1460&lt;K1460,"onder LCL","")),"")</f>
        <v/>
      </c>
      <c r="O1460" t="n">
        <v>1354</v>
      </c>
      <c r="P1460" s="7" t="n"/>
      <c r="Q1460" s="7" t="n"/>
      <c r="R1460" s="11">
        <f>IF(AND(ISNUMBER(P1460),ISNUMBER(Q1460),P1460&gt;0,ISNUMBER($B$100)),Q1460/P1460,"")</f>
        <v/>
      </c>
      <c r="S1460" s="11">
        <f>IF(AND(ISNUMBER(P1460),ISNUMBER(Q1460),P1460&gt;0,ISNUMBER($B$100)),MAX(0,$B$100-3*SQRT($B$100/P1460)),"")</f>
        <v/>
      </c>
      <c r="T1460" s="11">
        <f>IF(AND(ISNUMBER(P1460),ISNUMBER(Q1460),P1460&gt;0,ISNUMBER($B$100)),$B$100+3*SQRT($B$100/P1460),"")</f>
        <v/>
      </c>
      <c r="U1460" s="13">
        <f>IF(AND(ISNUMBER(R1460),ISNUMBER(S1460),ISNUMBER(T1460)),IF(R1460&gt;T1460,"boven UCL",IF(R1460&lt;S1460,"onder LCL","")),"")</f>
        <v/>
      </c>
    </row>
    <row r="1461">
      <c r="A1461" t="n">
        <v>1355</v>
      </c>
      <c r="B1461" s="7" t="n"/>
      <c r="C1461" s="11">
        <f>IF(AND(ISNUMBER(B1461),ISNUMBER(B1460)),ABS(B1461-B1460),"")</f>
        <v/>
      </c>
      <c r="D1461" s="13">
        <f>IF(AND(ISNUMBER(B1461),ISNUMBER($B$88),ISNUMBER($D$88)),IF(B1461&gt;$D$88,"boven UCL",IF(B1461&lt;$B$88,"onder LCL","")),"")</f>
        <v/>
      </c>
      <c r="E1461" s="13">
        <f>IF(AND(ISNUMBER(C1461),ISNUMBER($B$89),ISNUMBER($D$89)),IF(C1461&gt;$D$89,"boven UCL",IF(C1461&lt;$B$89,"onder LCL","")),"")</f>
        <v/>
      </c>
      <c r="G1461" t="n">
        <v>1355</v>
      </c>
      <c r="H1461" s="7" t="n"/>
      <c r="I1461" s="7" t="n"/>
      <c r="J1461" s="11">
        <f>IF(AND(ISNUMBER(H1461),ISNUMBER(I1461),H1461&gt;0,ISNUMBER($B$94)),I1461/H1461,"")</f>
        <v/>
      </c>
      <c r="K1461" s="11">
        <f>IF(AND(ISNUMBER(H1461),ISNUMBER(I1461),H1461&gt;0,ISNUMBER($B$94)),MAX(0,$B$94-3*SQRT($B$94*(1-$B$94)/H1461)),"")</f>
        <v/>
      </c>
      <c r="L1461" s="11">
        <f>IF(AND(ISNUMBER(H1461),ISNUMBER(I1461),H1461&gt;0,ISNUMBER($B$94)),$B$94+3*SQRT($B$94*(1-$B$94)/H1461),"")</f>
        <v/>
      </c>
      <c r="M1461" s="13">
        <f>IF(AND(ISNUMBER(J1461),ISNUMBER(K1461),ISNUMBER(L1461)),IF(J1461&gt;L1461,"boven UCL",IF(J1461&lt;K1461,"onder LCL","")),"")</f>
        <v/>
      </c>
      <c r="O1461" t="n">
        <v>1355</v>
      </c>
      <c r="P1461" s="7" t="n"/>
      <c r="Q1461" s="7" t="n"/>
      <c r="R1461" s="11">
        <f>IF(AND(ISNUMBER(P1461),ISNUMBER(Q1461),P1461&gt;0,ISNUMBER($B$100)),Q1461/P1461,"")</f>
        <v/>
      </c>
      <c r="S1461" s="11">
        <f>IF(AND(ISNUMBER(P1461),ISNUMBER(Q1461),P1461&gt;0,ISNUMBER($B$100)),MAX(0,$B$100-3*SQRT($B$100/P1461)),"")</f>
        <v/>
      </c>
      <c r="T1461" s="11">
        <f>IF(AND(ISNUMBER(P1461),ISNUMBER(Q1461),P1461&gt;0,ISNUMBER($B$100)),$B$100+3*SQRT($B$100/P1461),"")</f>
        <v/>
      </c>
      <c r="U1461" s="13">
        <f>IF(AND(ISNUMBER(R1461),ISNUMBER(S1461),ISNUMBER(T1461)),IF(R1461&gt;T1461,"boven UCL",IF(R1461&lt;S1461,"onder LCL","")),"")</f>
        <v/>
      </c>
    </row>
    <row r="1462">
      <c r="A1462" t="n">
        <v>1356</v>
      </c>
      <c r="B1462" s="7" t="n"/>
      <c r="C1462" s="11">
        <f>IF(AND(ISNUMBER(B1462),ISNUMBER(B1461)),ABS(B1462-B1461),"")</f>
        <v/>
      </c>
      <c r="D1462" s="13">
        <f>IF(AND(ISNUMBER(B1462),ISNUMBER($B$88),ISNUMBER($D$88)),IF(B1462&gt;$D$88,"boven UCL",IF(B1462&lt;$B$88,"onder LCL","")),"")</f>
        <v/>
      </c>
      <c r="E1462" s="13">
        <f>IF(AND(ISNUMBER(C1462),ISNUMBER($B$89),ISNUMBER($D$89)),IF(C1462&gt;$D$89,"boven UCL",IF(C1462&lt;$B$89,"onder LCL","")),"")</f>
        <v/>
      </c>
      <c r="G1462" t="n">
        <v>1356</v>
      </c>
      <c r="H1462" s="7" t="n"/>
      <c r="I1462" s="7" t="n"/>
      <c r="J1462" s="11">
        <f>IF(AND(ISNUMBER(H1462),ISNUMBER(I1462),H1462&gt;0,ISNUMBER($B$94)),I1462/H1462,"")</f>
        <v/>
      </c>
      <c r="K1462" s="11">
        <f>IF(AND(ISNUMBER(H1462),ISNUMBER(I1462),H1462&gt;0,ISNUMBER($B$94)),MAX(0,$B$94-3*SQRT($B$94*(1-$B$94)/H1462)),"")</f>
        <v/>
      </c>
      <c r="L1462" s="11">
        <f>IF(AND(ISNUMBER(H1462),ISNUMBER(I1462),H1462&gt;0,ISNUMBER($B$94)),$B$94+3*SQRT($B$94*(1-$B$94)/H1462),"")</f>
        <v/>
      </c>
      <c r="M1462" s="13">
        <f>IF(AND(ISNUMBER(J1462),ISNUMBER(K1462),ISNUMBER(L1462)),IF(J1462&gt;L1462,"boven UCL",IF(J1462&lt;K1462,"onder LCL","")),"")</f>
        <v/>
      </c>
      <c r="O1462" t="n">
        <v>1356</v>
      </c>
      <c r="P1462" s="7" t="n"/>
      <c r="Q1462" s="7" t="n"/>
      <c r="R1462" s="11">
        <f>IF(AND(ISNUMBER(P1462),ISNUMBER(Q1462),P1462&gt;0,ISNUMBER($B$100)),Q1462/P1462,"")</f>
        <v/>
      </c>
      <c r="S1462" s="11">
        <f>IF(AND(ISNUMBER(P1462),ISNUMBER(Q1462),P1462&gt;0,ISNUMBER($B$100)),MAX(0,$B$100-3*SQRT($B$100/P1462)),"")</f>
        <v/>
      </c>
      <c r="T1462" s="11">
        <f>IF(AND(ISNUMBER(P1462),ISNUMBER(Q1462),P1462&gt;0,ISNUMBER($B$100)),$B$100+3*SQRT($B$100/P1462),"")</f>
        <v/>
      </c>
      <c r="U1462" s="13">
        <f>IF(AND(ISNUMBER(R1462),ISNUMBER(S1462),ISNUMBER(T1462)),IF(R1462&gt;T1462,"boven UCL",IF(R1462&lt;S1462,"onder LCL","")),"")</f>
        <v/>
      </c>
    </row>
    <row r="1463">
      <c r="A1463" t="n">
        <v>1357</v>
      </c>
      <c r="B1463" s="7" t="n"/>
      <c r="C1463" s="11">
        <f>IF(AND(ISNUMBER(B1463),ISNUMBER(B1462)),ABS(B1463-B1462),"")</f>
        <v/>
      </c>
      <c r="D1463" s="13">
        <f>IF(AND(ISNUMBER(B1463),ISNUMBER($B$88),ISNUMBER($D$88)),IF(B1463&gt;$D$88,"boven UCL",IF(B1463&lt;$B$88,"onder LCL","")),"")</f>
        <v/>
      </c>
      <c r="E1463" s="13">
        <f>IF(AND(ISNUMBER(C1463),ISNUMBER($B$89),ISNUMBER($D$89)),IF(C1463&gt;$D$89,"boven UCL",IF(C1463&lt;$B$89,"onder LCL","")),"")</f>
        <v/>
      </c>
      <c r="G1463" t="n">
        <v>1357</v>
      </c>
      <c r="H1463" s="7" t="n"/>
      <c r="I1463" s="7" t="n"/>
      <c r="J1463" s="11">
        <f>IF(AND(ISNUMBER(H1463),ISNUMBER(I1463),H1463&gt;0,ISNUMBER($B$94)),I1463/H1463,"")</f>
        <v/>
      </c>
      <c r="K1463" s="11">
        <f>IF(AND(ISNUMBER(H1463),ISNUMBER(I1463),H1463&gt;0,ISNUMBER($B$94)),MAX(0,$B$94-3*SQRT($B$94*(1-$B$94)/H1463)),"")</f>
        <v/>
      </c>
      <c r="L1463" s="11">
        <f>IF(AND(ISNUMBER(H1463),ISNUMBER(I1463),H1463&gt;0,ISNUMBER($B$94)),$B$94+3*SQRT($B$94*(1-$B$94)/H1463),"")</f>
        <v/>
      </c>
      <c r="M1463" s="13">
        <f>IF(AND(ISNUMBER(J1463),ISNUMBER(K1463),ISNUMBER(L1463)),IF(J1463&gt;L1463,"boven UCL",IF(J1463&lt;K1463,"onder LCL","")),"")</f>
        <v/>
      </c>
      <c r="O1463" t="n">
        <v>1357</v>
      </c>
      <c r="P1463" s="7" t="n"/>
      <c r="Q1463" s="7" t="n"/>
      <c r="R1463" s="11">
        <f>IF(AND(ISNUMBER(P1463),ISNUMBER(Q1463),P1463&gt;0,ISNUMBER($B$100)),Q1463/P1463,"")</f>
        <v/>
      </c>
      <c r="S1463" s="11">
        <f>IF(AND(ISNUMBER(P1463),ISNUMBER(Q1463),P1463&gt;0,ISNUMBER($B$100)),MAX(0,$B$100-3*SQRT($B$100/P1463)),"")</f>
        <v/>
      </c>
      <c r="T1463" s="11">
        <f>IF(AND(ISNUMBER(P1463),ISNUMBER(Q1463),P1463&gt;0,ISNUMBER($B$100)),$B$100+3*SQRT($B$100/P1463),"")</f>
        <v/>
      </c>
      <c r="U1463" s="13">
        <f>IF(AND(ISNUMBER(R1463),ISNUMBER(S1463),ISNUMBER(T1463)),IF(R1463&gt;T1463,"boven UCL",IF(R1463&lt;S1463,"onder LCL","")),"")</f>
        <v/>
      </c>
    </row>
    <row r="1464">
      <c r="A1464" t="n">
        <v>1358</v>
      </c>
      <c r="B1464" s="7" t="n"/>
      <c r="C1464" s="11">
        <f>IF(AND(ISNUMBER(B1464),ISNUMBER(B1463)),ABS(B1464-B1463),"")</f>
        <v/>
      </c>
      <c r="D1464" s="13">
        <f>IF(AND(ISNUMBER(B1464),ISNUMBER($B$88),ISNUMBER($D$88)),IF(B1464&gt;$D$88,"boven UCL",IF(B1464&lt;$B$88,"onder LCL","")),"")</f>
        <v/>
      </c>
      <c r="E1464" s="13">
        <f>IF(AND(ISNUMBER(C1464),ISNUMBER($B$89),ISNUMBER($D$89)),IF(C1464&gt;$D$89,"boven UCL",IF(C1464&lt;$B$89,"onder LCL","")),"")</f>
        <v/>
      </c>
      <c r="G1464" t="n">
        <v>1358</v>
      </c>
      <c r="H1464" s="7" t="n"/>
      <c r="I1464" s="7" t="n"/>
      <c r="J1464" s="11">
        <f>IF(AND(ISNUMBER(H1464),ISNUMBER(I1464),H1464&gt;0,ISNUMBER($B$94)),I1464/H1464,"")</f>
        <v/>
      </c>
      <c r="K1464" s="11">
        <f>IF(AND(ISNUMBER(H1464),ISNUMBER(I1464),H1464&gt;0,ISNUMBER($B$94)),MAX(0,$B$94-3*SQRT($B$94*(1-$B$94)/H1464)),"")</f>
        <v/>
      </c>
      <c r="L1464" s="11">
        <f>IF(AND(ISNUMBER(H1464),ISNUMBER(I1464),H1464&gt;0,ISNUMBER($B$94)),$B$94+3*SQRT($B$94*(1-$B$94)/H1464),"")</f>
        <v/>
      </c>
      <c r="M1464" s="13">
        <f>IF(AND(ISNUMBER(J1464),ISNUMBER(K1464),ISNUMBER(L1464)),IF(J1464&gt;L1464,"boven UCL",IF(J1464&lt;K1464,"onder LCL","")),"")</f>
        <v/>
      </c>
      <c r="O1464" t="n">
        <v>1358</v>
      </c>
      <c r="P1464" s="7" t="n"/>
      <c r="Q1464" s="7" t="n"/>
      <c r="R1464" s="11">
        <f>IF(AND(ISNUMBER(P1464),ISNUMBER(Q1464),P1464&gt;0,ISNUMBER($B$100)),Q1464/P1464,"")</f>
        <v/>
      </c>
      <c r="S1464" s="11">
        <f>IF(AND(ISNUMBER(P1464),ISNUMBER(Q1464),P1464&gt;0,ISNUMBER($B$100)),MAX(0,$B$100-3*SQRT($B$100/P1464)),"")</f>
        <v/>
      </c>
      <c r="T1464" s="11">
        <f>IF(AND(ISNUMBER(P1464),ISNUMBER(Q1464),P1464&gt;0,ISNUMBER($B$100)),$B$100+3*SQRT($B$100/P1464),"")</f>
        <v/>
      </c>
      <c r="U1464" s="13">
        <f>IF(AND(ISNUMBER(R1464),ISNUMBER(S1464),ISNUMBER(T1464)),IF(R1464&gt;T1464,"boven UCL",IF(R1464&lt;S1464,"onder LCL","")),"")</f>
        <v/>
      </c>
    </row>
    <row r="1465">
      <c r="A1465" t="n">
        <v>1359</v>
      </c>
      <c r="B1465" s="7" t="n"/>
      <c r="C1465" s="11">
        <f>IF(AND(ISNUMBER(B1465),ISNUMBER(B1464)),ABS(B1465-B1464),"")</f>
        <v/>
      </c>
      <c r="D1465" s="13">
        <f>IF(AND(ISNUMBER(B1465),ISNUMBER($B$88),ISNUMBER($D$88)),IF(B1465&gt;$D$88,"boven UCL",IF(B1465&lt;$B$88,"onder LCL","")),"")</f>
        <v/>
      </c>
      <c r="E1465" s="13">
        <f>IF(AND(ISNUMBER(C1465),ISNUMBER($B$89),ISNUMBER($D$89)),IF(C1465&gt;$D$89,"boven UCL",IF(C1465&lt;$B$89,"onder LCL","")),"")</f>
        <v/>
      </c>
      <c r="G1465" t="n">
        <v>1359</v>
      </c>
      <c r="H1465" s="7" t="n"/>
      <c r="I1465" s="7" t="n"/>
      <c r="J1465" s="11">
        <f>IF(AND(ISNUMBER(H1465),ISNUMBER(I1465),H1465&gt;0,ISNUMBER($B$94)),I1465/H1465,"")</f>
        <v/>
      </c>
      <c r="K1465" s="11">
        <f>IF(AND(ISNUMBER(H1465),ISNUMBER(I1465),H1465&gt;0,ISNUMBER($B$94)),MAX(0,$B$94-3*SQRT($B$94*(1-$B$94)/H1465)),"")</f>
        <v/>
      </c>
      <c r="L1465" s="11">
        <f>IF(AND(ISNUMBER(H1465),ISNUMBER(I1465),H1465&gt;0,ISNUMBER($B$94)),$B$94+3*SQRT($B$94*(1-$B$94)/H1465),"")</f>
        <v/>
      </c>
      <c r="M1465" s="13">
        <f>IF(AND(ISNUMBER(J1465),ISNUMBER(K1465),ISNUMBER(L1465)),IF(J1465&gt;L1465,"boven UCL",IF(J1465&lt;K1465,"onder LCL","")),"")</f>
        <v/>
      </c>
      <c r="O1465" t="n">
        <v>1359</v>
      </c>
      <c r="P1465" s="7" t="n"/>
      <c r="Q1465" s="7" t="n"/>
      <c r="R1465" s="11">
        <f>IF(AND(ISNUMBER(P1465),ISNUMBER(Q1465),P1465&gt;0,ISNUMBER($B$100)),Q1465/P1465,"")</f>
        <v/>
      </c>
      <c r="S1465" s="11">
        <f>IF(AND(ISNUMBER(P1465),ISNUMBER(Q1465),P1465&gt;0,ISNUMBER($B$100)),MAX(0,$B$100-3*SQRT($B$100/P1465)),"")</f>
        <v/>
      </c>
      <c r="T1465" s="11">
        <f>IF(AND(ISNUMBER(P1465),ISNUMBER(Q1465),P1465&gt;0,ISNUMBER($B$100)),$B$100+3*SQRT($B$100/P1465),"")</f>
        <v/>
      </c>
      <c r="U1465" s="13">
        <f>IF(AND(ISNUMBER(R1465),ISNUMBER(S1465),ISNUMBER(T1465)),IF(R1465&gt;T1465,"boven UCL",IF(R1465&lt;S1465,"onder LCL","")),"")</f>
        <v/>
      </c>
    </row>
    <row r="1466">
      <c r="A1466" t="n">
        <v>1360</v>
      </c>
      <c r="B1466" s="7" t="n"/>
      <c r="C1466" s="11">
        <f>IF(AND(ISNUMBER(B1466),ISNUMBER(B1465)),ABS(B1466-B1465),"")</f>
        <v/>
      </c>
      <c r="D1466" s="13">
        <f>IF(AND(ISNUMBER(B1466),ISNUMBER($B$88),ISNUMBER($D$88)),IF(B1466&gt;$D$88,"boven UCL",IF(B1466&lt;$B$88,"onder LCL","")),"")</f>
        <v/>
      </c>
      <c r="E1466" s="13">
        <f>IF(AND(ISNUMBER(C1466),ISNUMBER($B$89),ISNUMBER($D$89)),IF(C1466&gt;$D$89,"boven UCL",IF(C1466&lt;$B$89,"onder LCL","")),"")</f>
        <v/>
      </c>
      <c r="G1466" t="n">
        <v>1360</v>
      </c>
      <c r="H1466" s="7" t="n"/>
      <c r="I1466" s="7" t="n"/>
      <c r="J1466" s="11">
        <f>IF(AND(ISNUMBER(H1466),ISNUMBER(I1466),H1466&gt;0,ISNUMBER($B$94)),I1466/H1466,"")</f>
        <v/>
      </c>
      <c r="K1466" s="11">
        <f>IF(AND(ISNUMBER(H1466),ISNUMBER(I1466),H1466&gt;0,ISNUMBER($B$94)),MAX(0,$B$94-3*SQRT($B$94*(1-$B$94)/H1466)),"")</f>
        <v/>
      </c>
      <c r="L1466" s="11">
        <f>IF(AND(ISNUMBER(H1466),ISNUMBER(I1466),H1466&gt;0,ISNUMBER($B$94)),$B$94+3*SQRT($B$94*(1-$B$94)/H1466),"")</f>
        <v/>
      </c>
      <c r="M1466" s="13">
        <f>IF(AND(ISNUMBER(J1466),ISNUMBER(K1466),ISNUMBER(L1466)),IF(J1466&gt;L1466,"boven UCL",IF(J1466&lt;K1466,"onder LCL","")),"")</f>
        <v/>
      </c>
      <c r="O1466" t="n">
        <v>1360</v>
      </c>
      <c r="P1466" s="7" t="n"/>
      <c r="Q1466" s="7" t="n"/>
      <c r="R1466" s="11">
        <f>IF(AND(ISNUMBER(P1466),ISNUMBER(Q1466),P1466&gt;0,ISNUMBER($B$100)),Q1466/P1466,"")</f>
        <v/>
      </c>
      <c r="S1466" s="11">
        <f>IF(AND(ISNUMBER(P1466),ISNUMBER(Q1466),P1466&gt;0,ISNUMBER($B$100)),MAX(0,$B$100-3*SQRT($B$100/P1466)),"")</f>
        <v/>
      </c>
      <c r="T1466" s="11">
        <f>IF(AND(ISNUMBER(P1466),ISNUMBER(Q1466),P1466&gt;0,ISNUMBER($B$100)),$B$100+3*SQRT($B$100/P1466),"")</f>
        <v/>
      </c>
      <c r="U1466" s="13">
        <f>IF(AND(ISNUMBER(R1466),ISNUMBER(S1466),ISNUMBER(T1466)),IF(R1466&gt;T1466,"boven UCL",IF(R1466&lt;S1466,"onder LCL","")),"")</f>
        <v/>
      </c>
    </row>
    <row r="1467">
      <c r="A1467" t="n">
        <v>1361</v>
      </c>
      <c r="B1467" s="7" t="n"/>
      <c r="C1467" s="11">
        <f>IF(AND(ISNUMBER(B1467),ISNUMBER(B1466)),ABS(B1467-B1466),"")</f>
        <v/>
      </c>
      <c r="D1467" s="13">
        <f>IF(AND(ISNUMBER(B1467),ISNUMBER($B$88),ISNUMBER($D$88)),IF(B1467&gt;$D$88,"boven UCL",IF(B1467&lt;$B$88,"onder LCL","")),"")</f>
        <v/>
      </c>
      <c r="E1467" s="13">
        <f>IF(AND(ISNUMBER(C1467),ISNUMBER($B$89),ISNUMBER($D$89)),IF(C1467&gt;$D$89,"boven UCL",IF(C1467&lt;$B$89,"onder LCL","")),"")</f>
        <v/>
      </c>
      <c r="G1467" t="n">
        <v>1361</v>
      </c>
      <c r="H1467" s="7" t="n"/>
      <c r="I1467" s="7" t="n"/>
      <c r="J1467" s="11">
        <f>IF(AND(ISNUMBER(H1467),ISNUMBER(I1467),H1467&gt;0,ISNUMBER($B$94)),I1467/H1467,"")</f>
        <v/>
      </c>
      <c r="K1467" s="11">
        <f>IF(AND(ISNUMBER(H1467),ISNUMBER(I1467),H1467&gt;0,ISNUMBER($B$94)),MAX(0,$B$94-3*SQRT($B$94*(1-$B$94)/H1467)),"")</f>
        <v/>
      </c>
      <c r="L1467" s="11">
        <f>IF(AND(ISNUMBER(H1467),ISNUMBER(I1467),H1467&gt;0,ISNUMBER($B$94)),$B$94+3*SQRT($B$94*(1-$B$94)/H1467),"")</f>
        <v/>
      </c>
      <c r="M1467" s="13">
        <f>IF(AND(ISNUMBER(J1467),ISNUMBER(K1467),ISNUMBER(L1467)),IF(J1467&gt;L1467,"boven UCL",IF(J1467&lt;K1467,"onder LCL","")),"")</f>
        <v/>
      </c>
      <c r="O1467" t="n">
        <v>1361</v>
      </c>
      <c r="P1467" s="7" t="n"/>
      <c r="Q1467" s="7" t="n"/>
      <c r="R1467" s="11">
        <f>IF(AND(ISNUMBER(P1467),ISNUMBER(Q1467),P1467&gt;0,ISNUMBER($B$100)),Q1467/P1467,"")</f>
        <v/>
      </c>
      <c r="S1467" s="11">
        <f>IF(AND(ISNUMBER(P1467),ISNUMBER(Q1467),P1467&gt;0,ISNUMBER($B$100)),MAX(0,$B$100-3*SQRT($B$100/P1467)),"")</f>
        <v/>
      </c>
      <c r="T1467" s="11">
        <f>IF(AND(ISNUMBER(P1467),ISNUMBER(Q1467),P1467&gt;0,ISNUMBER($B$100)),$B$100+3*SQRT($B$100/P1467),"")</f>
        <v/>
      </c>
      <c r="U1467" s="13">
        <f>IF(AND(ISNUMBER(R1467),ISNUMBER(S1467),ISNUMBER(T1467)),IF(R1467&gt;T1467,"boven UCL",IF(R1467&lt;S1467,"onder LCL","")),"")</f>
        <v/>
      </c>
    </row>
    <row r="1468">
      <c r="A1468" t="n">
        <v>1362</v>
      </c>
      <c r="B1468" s="7" t="n"/>
      <c r="C1468" s="11">
        <f>IF(AND(ISNUMBER(B1468),ISNUMBER(B1467)),ABS(B1468-B1467),"")</f>
        <v/>
      </c>
      <c r="D1468" s="13">
        <f>IF(AND(ISNUMBER(B1468),ISNUMBER($B$88),ISNUMBER($D$88)),IF(B1468&gt;$D$88,"boven UCL",IF(B1468&lt;$B$88,"onder LCL","")),"")</f>
        <v/>
      </c>
      <c r="E1468" s="13">
        <f>IF(AND(ISNUMBER(C1468),ISNUMBER($B$89),ISNUMBER($D$89)),IF(C1468&gt;$D$89,"boven UCL",IF(C1468&lt;$B$89,"onder LCL","")),"")</f>
        <v/>
      </c>
      <c r="G1468" t="n">
        <v>1362</v>
      </c>
      <c r="H1468" s="7" t="n"/>
      <c r="I1468" s="7" t="n"/>
      <c r="J1468" s="11">
        <f>IF(AND(ISNUMBER(H1468),ISNUMBER(I1468),H1468&gt;0,ISNUMBER($B$94)),I1468/H1468,"")</f>
        <v/>
      </c>
      <c r="K1468" s="11">
        <f>IF(AND(ISNUMBER(H1468),ISNUMBER(I1468),H1468&gt;0,ISNUMBER($B$94)),MAX(0,$B$94-3*SQRT($B$94*(1-$B$94)/H1468)),"")</f>
        <v/>
      </c>
      <c r="L1468" s="11">
        <f>IF(AND(ISNUMBER(H1468),ISNUMBER(I1468),H1468&gt;0,ISNUMBER($B$94)),$B$94+3*SQRT($B$94*(1-$B$94)/H1468),"")</f>
        <v/>
      </c>
      <c r="M1468" s="13">
        <f>IF(AND(ISNUMBER(J1468),ISNUMBER(K1468),ISNUMBER(L1468)),IF(J1468&gt;L1468,"boven UCL",IF(J1468&lt;K1468,"onder LCL","")),"")</f>
        <v/>
      </c>
      <c r="O1468" t="n">
        <v>1362</v>
      </c>
      <c r="P1468" s="7" t="n"/>
      <c r="Q1468" s="7" t="n"/>
      <c r="R1468" s="11">
        <f>IF(AND(ISNUMBER(P1468),ISNUMBER(Q1468),P1468&gt;0,ISNUMBER($B$100)),Q1468/P1468,"")</f>
        <v/>
      </c>
      <c r="S1468" s="11">
        <f>IF(AND(ISNUMBER(P1468),ISNUMBER(Q1468),P1468&gt;0,ISNUMBER($B$100)),MAX(0,$B$100-3*SQRT($B$100/P1468)),"")</f>
        <v/>
      </c>
      <c r="T1468" s="11">
        <f>IF(AND(ISNUMBER(P1468),ISNUMBER(Q1468),P1468&gt;0,ISNUMBER($B$100)),$B$100+3*SQRT($B$100/P1468),"")</f>
        <v/>
      </c>
      <c r="U1468" s="13">
        <f>IF(AND(ISNUMBER(R1468),ISNUMBER(S1468),ISNUMBER(T1468)),IF(R1468&gt;T1468,"boven UCL",IF(R1468&lt;S1468,"onder LCL","")),"")</f>
        <v/>
      </c>
    </row>
    <row r="1469">
      <c r="A1469" t="n">
        <v>1363</v>
      </c>
      <c r="B1469" s="7" t="n"/>
      <c r="C1469" s="11">
        <f>IF(AND(ISNUMBER(B1469),ISNUMBER(B1468)),ABS(B1469-B1468),"")</f>
        <v/>
      </c>
      <c r="D1469" s="13">
        <f>IF(AND(ISNUMBER(B1469),ISNUMBER($B$88),ISNUMBER($D$88)),IF(B1469&gt;$D$88,"boven UCL",IF(B1469&lt;$B$88,"onder LCL","")),"")</f>
        <v/>
      </c>
      <c r="E1469" s="13">
        <f>IF(AND(ISNUMBER(C1469),ISNUMBER($B$89),ISNUMBER($D$89)),IF(C1469&gt;$D$89,"boven UCL",IF(C1469&lt;$B$89,"onder LCL","")),"")</f>
        <v/>
      </c>
      <c r="G1469" t="n">
        <v>1363</v>
      </c>
      <c r="H1469" s="7" t="n"/>
      <c r="I1469" s="7" t="n"/>
      <c r="J1469" s="11">
        <f>IF(AND(ISNUMBER(H1469),ISNUMBER(I1469),H1469&gt;0,ISNUMBER($B$94)),I1469/H1469,"")</f>
        <v/>
      </c>
      <c r="K1469" s="11">
        <f>IF(AND(ISNUMBER(H1469),ISNUMBER(I1469),H1469&gt;0,ISNUMBER($B$94)),MAX(0,$B$94-3*SQRT($B$94*(1-$B$94)/H1469)),"")</f>
        <v/>
      </c>
      <c r="L1469" s="11">
        <f>IF(AND(ISNUMBER(H1469),ISNUMBER(I1469),H1469&gt;0,ISNUMBER($B$94)),$B$94+3*SQRT($B$94*(1-$B$94)/H1469),"")</f>
        <v/>
      </c>
      <c r="M1469" s="13">
        <f>IF(AND(ISNUMBER(J1469),ISNUMBER(K1469),ISNUMBER(L1469)),IF(J1469&gt;L1469,"boven UCL",IF(J1469&lt;K1469,"onder LCL","")),"")</f>
        <v/>
      </c>
      <c r="O1469" t="n">
        <v>1363</v>
      </c>
      <c r="P1469" s="7" t="n"/>
      <c r="Q1469" s="7" t="n"/>
      <c r="R1469" s="11">
        <f>IF(AND(ISNUMBER(P1469),ISNUMBER(Q1469),P1469&gt;0,ISNUMBER($B$100)),Q1469/P1469,"")</f>
        <v/>
      </c>
      <c r="S1469" s="11">
        <f>IF(AND(ISNUMBER(P1469),ISNUMBER(Q1469),P1469&gt;0,ISNUMBER($B$100)),MAX(0,$B$100-3*SQRT($B$100/P1469)),"")</f>
        <v/>
      </c>
      <c r="T1469" s="11">
        <f>IF(AND(ISNUMBER(P1469),ISNUMBER(Q1469),P1469&gt;0,ISNUMBER($B$100)),$B$100+3*SQRT($B$100/P1469),"")</f>
        <v/>
      </c>
      <c r="U1469" s="13">
        <f>IF(AND(ISNUMBER(R1469),ISNUMBER(S1469),ISNUMBER(T1469)),IF(R1469&gt;T1469,"boven UCL",IF(R1469&lt;S1469,"onder LCL","")),"")</f>
        <v/>
      </c>
    </row>
    <row r="1470">
      <c r="A1470" t="n">
        <v>1364</v>
      </c>
      <c r="B1470" s="7" t="n"/>
      <c r="C1470" s="11">
        <f>IF(AND(ISNUMBER(B1470),ISNUMBER(B1469)),ABS(B1470-B1469),"")</f>
        <v/>
      </c>
      <c r="D1470" s="13">
        <f>IF(AND(ISNUMBER(B1470),ISNUMBER($B$88),ISNUMBER($D$88)),IF(B1470&gt;$D$88,"boven UCL",IF(B1470&lt;$B$88,"onder LCL","")),"")</f>
        <v/>
      </c>
      <c r="E1470" s="13">
        <f>IF(AND(ISNUMBER(C1470),ISNUMBER($B$89),ISNUMBER($D$89)),IF(C1470&gt;$D$89,"boven UCL",IF(C1470&lt;$B$89,"onder LCL","")),"")</f>
        <v/>
      </c>
      <c r="G1470" t="n">
        <v>1364</v>
      </c>
      <c r="H1470" s="7" t="n"/>
      <c r="I1470" s="7" t="n"/>
      <c r="J1470" s="11">
        <f>IF(AND(ISNUMBER(H1470),ISNUMBER(I1470),H1470&gt;0,ISNUMBER($B$94)),I1470/H1470,"")</f>
        <v/>
      </c>
      <c r="K1470" s="11">
        <f>IF(AND(ISNUMBER(H1470),ISNUMBER(I1470),H1470&gt;0,ISNUMBER($B$94)),MAX(0,$B$94-3*SQRT($B$94*(1-$B$94)/H1470)),"")</f>
        <v/>
      </c>
      <c r="L1470" s="11">
        <f>IF(AND(ISNUMBER(H1470),ISNUMBER(I1470),H1470&gt;0,ISNUMBER($B$94)),$B$94+3*SQRT($B$94*(1-$B$94)/H1470),"")</f>
        <v/>
      </c>
      <c r="M1470" s="13">
        <f>IF(AND(ISNUMBER(J1470),ISNUMBER(K1470),ISNUMBER(L1470)),IF(J1470&gt;L1470,"boven UCL",IF(J1470&lt;K1470,"onder LCL","")),"")</f>
        <v/>
      </c>
      <c r="O1470" t="n">
        <v>1364</v>
      </c>
      <c r="P1470" s="7" t="n"/>
      <c r="Q1470" s="7" t="n"/>
      <c r="R1470" s="11">
        <f>IF(AND(ISNUMBER(P1470),ISNUMBER(Q1470),P1470&gt;0,ISNUMBER($B$100)),Q1470/P1470,"")</f>
        <v/>
      </c>
      <c r="S1470" s="11">
        <f>IF(AND(ISNUMBER(P1470),ISNUMBER(Q1470),P1470&gt;0,ISNUMBER($B$100)),MAX(0,$B$100-3*SQRT($B$100/P1470)),"")</f>
        <v/>
      </c>
      <c r="T1470" s="11">
        <f>IF(AND(ISNUMBER(P1470),ISNUMBER(Q1470),P1470&gt;0,ISNUMBER($B$100)),$B$100+3*SQRT($B$100/P1470),"")</f>
        <v/>
      </c>
      <c r="U1470" s="13">
        <f>IF(AND(ISNUMBER(R1470),ISNUMBER(S1470),ISNUMBER(T1470)),IF(R1470&gt;T1470,"boven UCL",IF(R1470&lt;S1470,"onder LCL","")),"")</f>
        <v/>
      </c>
    </row>
    <row r="1471">
      <c r="A1471" t="n">
        <v>1365</v>
      </c>
      <c r="B1471" s="7" t="n"/>
      <c r="C1471" s="11">
        <f>IF(AND(ISNUMBER(B1471),ISNUMBER(B1470)),ABS(B1471-B1470),"")</f>
        <v/>
      </c>
      <c r="D1471" s="13">
        <f>IF(AND(ISNUMBER(B1471),ISNUMBER($B$88),ISNUMBER($D$88)),IF(B1471&gt;$D$88,"boven UCL",IF(B1471&lt;$B$88,"onder LCL","")),"")</f>
        <v/>
      </c>
      <c r="E1471" s="13">
        <f>IF(AND(ISNUMBER(C1471),ISNUMBER($B$89),ISNUMBER($D$89)),IF(C1471&gt;$D$89,"boven UCL",IF(C1471&lt;$B$89,"onder LCL","")),"")</f>
        <v/>
      </c>
      <c r="G1471" t="n">
        <v>1365</v>
      </c>
      <c r="H1471" s="7" t="n"/>
      <c r="I1471" s="7" t="n"/>
      <c r="J1471" s="11">
        <f>IF(AND(ISNUMBER(H1471),ISNUMBER(I1471),H1471&gt;0,ISNUMBER($B$94)),I1471/H1471,"")</f>
        <v/>
      </c>
      <c r="K1471" s="11">
        <f>IF(AND(ISNUMBER(H1471),ISNUMBER(I1471),H1471&gt;0,ISNUMBER($B$94)),MAX(0,$B$94-3*SQRT($B$94*(1-$B$94)/H1471)),"")</f>
        <v/>
      </c>
      <c r="L1471" s="11">
        <f>IF(AND(ISNUMBER(H1471),ISNUMBER(I1471),H1471&gt;0,ISNUMBER($B$94)),$B$94+3*SQRT($B$94*(1-$B$94)/H1471),"")</f>
        <v/>
      </c>
      <c r="M1471" s="13">
        <f>IF(AND(ISNUMBER(J1471),ISNUMBER(K1471),ISNUMBER(L1471)),IF(J1471&gt;L1471,"boven UCL",IF(J1471&lt;K1471,"onder LCL","")),"")</f>
        <v/>
      </c>
      <c r="O1471" t="n">
        <v>1365</v>
      </c>
      <c r="P1471" s="7" t="n"/>
      <c r="Q1471" s="7" t="n"/>
      <c r="R1471" s="11">
        <f>IF(AND(ISNUMBER(P1471),ISNUMBER(Q1471),P1471&gt;0,ISNUMBER($B$100)),Q1471/P1471,"")</f>
        <v/>
      </c>
      <c r="S1471" s="11">
        <f>IF(AND(ISNUMBER(P1471),ISNUMBER(Q1471),P1471&gt;0,ISNUMBER($B$100)),MAX(0,$B$100-3*SQRT($B$100/P1471)),"")</f>
        <v/>
      </c>
      <c r="T1471" s="11">
        <f>IF(AND(ISNUMBER(P1471),ISNUMBER(Q1471),P1471&gt;0,ISNUMBER($B$100)),$B$100+3*SQRT($B$100/P1471),"")</f>
        <v/>
      </c>
      <c r="U1471" s="13">
        <f>IF(AND(ISNUMBER(R1471),ISNUMBER(S1471),ISNUMBER(T1471)),IF(R1471&gt;T1471,"boven UCL",IF(R1471&lt;S1471,"onder LCL","")),"")</f>
        <v/>
      </c>
    </row>
    <row r="1472">
      <c r="A1472" t="n">
        <v>1366</v>
      </c>
      <c r="B1472" s="7" t="n"/>
      <c r="C1472" s="11">
        <f>IF(AND(ISNUMBER(B1472),ISNUMBER(B1471)),ABS(B1472-B1471),"")</f>
        <v/>
      </c>
      <c r="D1472" s="13">
        <f>IF(AND(ISNUMBER(B1472),ISNUMBER($B$88),ISNUMBER($D$88)),IF(B1472&gt;$D$88,"boven UCL",IF(B1472&lt;$B$88,"onder LCL","")),"")</f>
        <v/>
      </c>
      <c r="E1472" s="13">
        <f>IF(AND(ISNUMBER(C1472),ISNUMBER($B$89),ISNUMBER($D$89)),IF(C1472&gt;$D$89,"boven UCL",IF(C1472&lt;$B$89,"onder LCL","")),"")</f>
        <v/>
      </c>
      <c r="G1472" t="n">
        <v>1366</v>
      </c>
      <c r="H1472" s="7" t="n"/>
      <c r="I1472" s="7" t="n"/>
      <c r="J1472" s="11">
        <f>IF(AND(ISNUMBER(H1472),ISNUMBER(I1472),H1472&gt;0,ISNUMBER($B$94)),I1472/H1472,"")</f>
        <v/>
      </c>
      <c r="K1472" s="11">
        <f>IF(AND(ISNUMBER(H1472),ISNUMBER(I1472),H1472&gt;0,ISNUMBER($B$94)),MAX(0,$B$94-3*SQRT($B$94*(1-$B$94)/H1472)),"")</f>
        <v/>
      </c>
      <c r="L1472" s="11">
        <f>IF(AND(ISNUMBER(H1472),ISNUMBER(I1472),H1472&gt;0,ISNUMBER($B$94)),$B$94+3*SQRT($B$94*(1-$B$94)/H1472),"")</f>
        <v/>
      </c>
      <c r="M1472" s="13">
        <f>IF(AND(ISNUMBER(J1472),ISNUMBER(K1472),ISNUMBER(L1472)),IF(J1472&gt;L1472,"boven UCL",IF(J1472&lt;K1472,"onder LCL","")),"")</f>
        <v/>
      </c>
      <c r="O1472" t="n">
        <v>1366</v>
      </c>
      <c r="P1472" s="7" t="n"/>
      <c r="Q1472" s="7" t="n"/>
      <c r="R1472" s="11">
        <f>IF(AND(ISNUMBER(P1472),ISNUMBER(Q1472),P1472&gt;0,ISNUMBER($B$100)),Q1472/P1472,"")</f>
        <v/>
      </c>
      <c r="S1472" s="11">
        <f>IF(AND(ISNUMBER(P1472),ISNUMBER(Q1472),P1472&gt;0,ISNUMBER($B$100)),MAX(0,$B$100-3*SQRT($B$100/P1472)),"")</f>
        <v/>
      </c>
      <c r="T1472" s="11">
        <f>IF(AND(ISNUMBER(P1472),ISNUMBER(Q1472),P1472&gt;0,ISNUMBER($B$100)),$B$100+3*SQRT($B$100/P1472),"")</f>
        <v/>
      </c>
      <c r="U1472" s="13">
        <f>IF(AND(ISNUMBER(R1472),ISNUMBER(S1472),ISNUMBER(T1472)),IF(R1472&gt;T1472,"boven UCL",IF(R1472&lt;S1472,"onder LCL","")),"")</f>
        <v/>
      </c>
    </row>
    <row r="1473">
      <c r="A1473" t="n">
        <v>1367</v>
      </c>
      <c r="B1473" s="7" t="n"/>
      <c r="C1473" s="11">
        <f>IF(AND(ISNUMBER(B1473),ISNUMBER(B1472)),ABS(B1473-B1472),"")</f>
        <v/>
      </c>
      <c r="D1473" s="13">
        <f>IF(AND(ISNUMBER(B1473),ISNUMBER($B$88),ISNUMBER($D$88)),IF(B1473&gt;$D$88,"boven UCL",IF(B1473&lt;$B$88,"onder LCL","")),"")</f>
        <v/>
      </c>
      <c r="E1473" s="13">
        <f>IF(AND(ISNUMBER(C1473),ISNUMBER($B$89),ISNUMBER($D$89)),IF(C1473&gt;$D$89,"boven UCL",IF(C1473&lt;$B$89,"onder LCL","")),"")</f>
        <v/>
      </c>
      <c r="G1473" t="n">
        <v>1367</v>
      </c>
      <c r="H1473" s="7" t="n"/>
      <c r="I1473" s="7" t="n"/>
      <c r="J1473" s="11">
        <f>IF(AND(ISNUMBER(H1473),ISNUMBER(I1473),H1473&gt;0,ISNUMBER($B$94)),I1473/H1473,"")</f>
        <v/>
      </c>
      <c r="K1473" s="11">
        <f>IF(AND(ISNUMBER(H1473),ISNUMBER(I1473),H1473&gt;0,ISNUMBER($B$94)),MAX(0,$B$94-3*SQRT($B$94*(1-$B$94)/H1473)),"")</f>
        <v/>
      </c>
      <c r="L1473" s="11">
        <f>IF(AND(ISNUMBER(H1473),ISNUMBER(I1473),H1473&gt;0,ISNUMBER($B$94)),$B$94+3*SQRT($B$94*(1-$B$94)/H1473),"")</f>
        <v/>
      </c>
      <c r="M1473" s="13">
        <f>IF(AND(ISNUMBER(J1473),ISNUMBER(K1473),ISNUMBER(L1473)),IF(J1473&gt;L1473,"boven UCL",IF(J1473&lt;K1473,"onder LCL","")),"")</f>
        <v/>
      </c>
      <c r="O1473" t="n">
        <v>1367</v>
      </c>
      <c r="P1473" s="7" t="n"/>
      <c r="Q1473" s="7" t="n"/>
      <c r="R1473" s="11">
        <f>IF(AND(ISNUMBER(P1473),ISNUMBER(Q1473),P1473&gt;0,ISNUMBER($B$100)),Q1473/P1473,"")</f>
        <v/>
      </c>
      <c r="S1473" s="11">
        <f>IF(AND(ISNUMBER(P1473),ISNUMBER(Q1473),P1473&gt;0,ISNUMBER($B$100)),MAX(0,$B$100-3*SQRT($B$100/P1473)),"")</f>
        <v/>
      </c>
      <c r="T1473" s="11">
        <f>IF(AND(ISNUMBER(P1473),ISNUMBER(Q1473),P1473&gt;0,ISNUMBER($B$100)),$B$100+3*SQRT($B$100/P1473),"")</f>
        <v/>
      </c>
      <c r="U1473" s="13">
        <f>IF(AND(ISNUMBER(R1473),ISNUMBER(S1473),ISNUMBER(T1473)),IF(R1473&gt;T1473,"boven UCL",IF(R1473&lt;S1473,"onder LCL","")),"")</f>
        <v/>
      </c>
    </row>
    <row r="1474">
      <c r="A1474" t="n">
        <v>1368</v>
      </c>
      <c r="B1474" s="7" t="n"/>
      <c r="C1474" s="11">
        <f>IF(AND(ISNUMBER(B1474),ISNUMBER(B1473)),ABS(B1474-B1473),"")</f>
        <v/>
      </c>
      <c r="D1474" s="13">
        <f>IF(AND(ISNUMBER(B1474),ISNUMBER($B$88),ISNUMBER($D$88)),IF(B1474&gt;$D$88,"boven UCL",IF(B1474&lt;$B$88,"onder LCL","")),"")</f>
        <v/>
      </c>
      <c r="E1474" s="13">
        <f>IF(AND(ISNUMBER(C1474),ISNUMBER($B$89),ISNUMBER($D$89)),IF(C1474&gt;$D$89,"boven UCL",IF(C1474&lt;$B$89,"onder LCL","")),"")</f>
        <v/>
      </c>
      <c r="G1474" t="n">
        <v>1368</v>
      </c>
      <c r="H1474" s="7" t="n"/>
      <c r="I1474" s="7" t="n"/>
      <c r="J1474" s="11">
        <f>IF(AND(ISNUMBER(H1474),ISNUMBER(I1474),H1474&gt;0,ISNUMBER($B$94)),I1474/H1474,"")</f>
        <v/>
      </c>
      <c r="K1474" s="11">
        <f>IF(AND(ISNUMBER(H1474),ISNUMBER(I1474),H1474&gt;0,ISNUMBER($B$94)),MAX(0,$B$94-3*SQRT($B$94*(1-$B$94)/H1474)),"")</f>
        <v/>
      </c>
      <c r="L1474" s="11">
        <f>IF(AND(ISNUMBER(H1474),ISNUMBER(I1474),H1474&gt;0,ISNUMBER($B$94)),$B$94+3*SQRT($B$94*(1-$B$94)/H1474),"")</f>
        <v/>
      </c>
      <c r="M1474" s="13">
        <f>IF(AND(ISNUMBER(J1474),ISNUMBER(K1474),ISNUMBER(L1474)),IF(J1474&gt;L1474,"boven UCL",IF(J1474&lt;K1474,"onder LCL","")),"")</f>
        <v/>
      </c>
      <c r="O1474" t="n">
        <v>1368</v>
      </c>
      <c r="P1474" s="7" t="n"/>
      <c r="Q1474" s="7" t="n"/>
      <c r="R1474" s="11">
        <f>IF(AND(ISNUMBER(P1474),ISNUMBER(Q1474),P1474&gt;0,ISNUMBER($B$100)),Q1474/P1474,"")</f>
        <v/>
      </c>
      <c r="S1474" s="11">
        <f>IF(AND(ISNUMBER(P1474),ISNUMBER(Q1474),P1474&gt;0,ISNUMBER($B$100)),MAX(0,$B$100-3*SQRT($B$100/P1474)),"")</f>
        <v/>
      </c>
      <c r="T1474" s="11">
        <f>IF(AND(ISNUMBER(P1474),ISNUMBER(Q1474),P1474&gt;0,ISNUMBER($B$100)),$B$100+3*SQRT($B$100/P1474),"")</f>
        <v/>
      </c>
      <c r="U1474" s="13">
        <f>IF(AND(ISNUMBER(R1474),ISNUMBER(S1474),ISNUMBER(T1474)),IF(R1474&gt;T1474,"boven UCL",IF(R1474&lt;S1474,"onder LCL","")),"")</f>
        <v/>
      </c>
    </row>
    <row r="1475">
      <c r="A1475" t="n">
        <v>1369</v>
      </c>
      <c r="B1475" s="7" t="n"/>
      <c r="C1475" s="11">
        <f>IF(AND(ISNUMBER(B1475),ISNUMBER(B1474)),ABS(B1475-B1474),"")</f>
        <v/>
      </c>
      <c r="D1475" s="13">
        <f>IF(AND(ISNUMBER(B1475),ISNUMBER($B$88),ISNUMBER($D$88)),IF(B1475&gt;$D$88,"boven UCL",IF(B1475&lt;$B$88,"onder LCL","")),"")</f>
        <v/>
      </c>
      <c r="E1475" s="13">
        <f>IF(AND(ISNUMBER(C1475),ISNUMBER($B$89),ISNUMBER($D$89)),IF(C1475&gt;$D$89,"boven UCL",IF(C1475&lt;$B$89,"onder LCL","")),"")</f>
        <v/>
      </c>
      <c r="G1475" t="n">
        <v>1369</v>
      </c>
      <c r="H1475" s="7" t="n"/>
      <c r="I1475" s="7" t="n"/>
      <c r="J1475" s="11">
        <f>IF(AND(ISNUMBER(H1475),ISNUMBER(I1475),H1475&gt;0,ISNUMBER($B$94)),I1475/H1475,"")</f>
        <v/>
      </c>
      <c r="K1475" s="11">
        <f>IF(AND(ISNUMBER(H1475),ISNUMBER(I1475),H1475&gt;0,ISNUMBER($B$94)),MAX(0,$B$94-3*SQRT($B$94*(1-$B$94)/H1475)),"")</f>
        <v/>
      </c>
      <c r="L1475" s="11">
        <f>IF(AND(ISNUMBER(H1475),ISNUMBER(I1475),H1475&gt;0,ISNUMBER($B$94)),$B$94+3*SQRT($B$94*(1-$B$94)/H1475),"")</f>
        <v/>
      </c>
      <c r="M1475" s="13">
        <f>IF(AND(ISNUMBER(J1475),ISNUMBER(K1475),ISNUMBER(L1475)),IF(J1475&gt;L1475,"boven UCL",IF(J1475&lt;K1475,"onder LCL","")),"")</f>
        <v/>
      </c>
      <c r="O1475" t="n">
        <v>1369</v>
      </c>
      <c r="P1475" s="7" t="n"/>
      <c r="Q1475" s="7" t="n"/>
      <c r="R1475" s="11">
        <f>IF(AND(ISNUMBER(P1475),ISNUMBER(Q1475),P1475&gt;0,ISNUMBER($B$100)),Q1475/P1475,"")</f>
        <v/>
      </c>
      <c r="S1475" s="11">
        <f>IF(AND(ISNUMBER(P1475),ISNUMBER(Q1475),P1475&gt;0,ISNUMBER($B$100)),MAX(0,$B$100-3*SQRT($B$100/P1475)),"")</f>
        <v/>
      </c>
      <c r="T1475" s="11">
        <f>IF(AND(ISNUMBER(P1475),ISNUMBER(Q1475),P1475&gt;0,ISNUMBER($B$100)),$B$100+3*SQRT($B$100/P1475),"")</f>
        <v/>
      </c>
      <c r="U1475" s="13">
        <f>IF(AND(ISNUMBER(R1475),ISNUMBER(S1475),ISNUMBER(T1475)),IF(R1475&gt;T1475,"boven UCL",IF(R1475&lt;S1475,"onder LCL","")),"")</f>
        <v/>
      </c>
    </row>
    <row r="1476">
      <c r="A1476" t="n">
        <v>1370</v>
      </c>
      <c r="B1476" s="7" t="n"/>
      <c r="C1476" s="11">
        <f>IF(AND(ISNUMBER(B1476),ISNUMBER(B1475)),ABS(B1476-B1475),"")</f>
        <v/>
      </c>
      <c r="D1476" s="13">
        <f>IF(AND(ISNUMBER(B1476),ISNUMBER($B$88),ISNUMBER($D$88)),IF(B1476&gt;$D$88,"boven UCL",IF(B1476&lt;$B$88,"onder LCL","")),"")</f>
        <v/>
      </c>
      <c r="E1476" s="13">
        <f>IF(AND(ISNUMBER(C1476),ISNUMBER($B$89),ISNUMBER($D$89)),IF(C1476&gt;$D$89,"boven UCL",IF(C1476&lt;$B$89,"onder LCL","")),"")</f>
        <v/>
      </c>
      <c r="G1476" t="n">
        <v>1370</v>
      </c>
      <c r="H1476" s="7" t="n"/>
      <c r="I1476" s="7" t="n"/>
      <c r="J1476" s="11">
        <f>IF(AND(ISNUMBER(H1476),ISNUMBER(I1476),H1476&gt;0,ISNUMBER($B$94)),I1476/H1476,"")</f>
        <v/>
      </c>
      <c r="K1476" s="11">
        <f>IF(AND(ISNUMBER(H1476),ISNUMBER(I1476),H1476&gt;0,ISNUMBER($B$94)),MAX(0,$B$94-3*SQRT($B$94*(1-$B$94)/H1476)),"")</f>
        <v/>
      </c>
      <c r="L1476" s="11">
        <f>IF(AND(ISNUMBER(H1476),ISNUMBER(I1476),H1476&gt;0,ISNUMBER($B$94)),$B$94+3*SQRT($B$94*(1-$B$94)/H1476),"")</f>
        <v/>
      </c>
      <c r="M1476" s="13">
        <f>IF(AND(ISNUMBER(J1476),ISNUMBER(K1476),ISNUMBER(L1476)),IF(J1476&gt;L1476,"boven UCL",IF(J1476&lt;K1476,"onder LCL","")),"")</f>
        <v/>
      </c>
      <c r="O1476" t="n">
        <v>1370</v>
      </c>
      <c r="P1476" s="7" t="n"/>
      <c r="Q1476" s="7" t="n"/>
      <c r="R1476" s="11">
        <f>IF(AND(ISNUMBER(P1476),ISNUMBER(Q1476),P1476&gt;0,ISNUMBER($B$100)),Q1476/P1476,"")</f>
        <v/>
      </c>
      <c r="S1476" s="11">
        <f>IF(AND(ISNUMBER(P1476),ISNUMBER(Q1476),P1476&gt;0,ISNUMBER($B$100)),MAX(0,$B$100-3*SQRT($B$100/P1476)),"")</f>
        <v/>
      </c>
      <c r="T1476" s="11">
        <f>IF(AND(ISNUMBER(P1476),ISNUMBER(Q1476),P1476&gt;0,ISNUMBER($B$100)),$B$100+3*SQRT($B$100/P1476),"")</f>
        <v/>
      </c>
      <c r="U1476" s="13">
        <f>IF(AND(ISNUMBER(R1476),ISNUMBER(S1476),ISNUMBER(T1476)),IF(R1476&gt;T1476,"boven UCL",IF(R1476&lt;S1476,"onder LCL","")),"")</f>
        <v/>
      </c>
    </row>
    <row r="1477">
      <c r="A1477" t="n">
        <v>1371</v>
      </c>
      <c r="B1477" s="7" t="n"/>
      <c r="C1477" s="11">
        <f>IF(AND(ISNUMBER(B1477),ISNUMBER(B1476)),ABS(B1477-B1476),"")</f>
        <v/>
      </c>
      <c r="D1477" s="13">
        <f>IF(AND(ISNUMBER(B1477),ISNUMBER($B$88),ISNUMBER($D$88)),IF(B1477&gt;$D$88,"boven UCL",IF(B1477&lt;$B$88,"onder LCL","")),"")</f>
        <v/>
      </c>
      <c r="E1477" s="13">
        <f>IF(AND(ISNUMBER(C1477),ISNUMBER($B$89),ISNUMBER($D$89)),IF(C1477&gt;$D$89,"boven UCL",IF(C1477&lt;$B$89,"onder LCL","")),"")</f>
        <v/>
      </c>
      <c r="G1477" t="n">
        <v>1371</v>
      </c>
      <c r="H1477" s="7" t="n"/>
      <c r="I1477" s="7" t="n"/>
      <c r="J1477" s="11">
        <f>IF(AND(ISNUMBER(H1477),ISNUMBER(I1477),H1477&gt;0,ISNUMBER($B$94)),I1477/H1477,"")</f>
        <v/>
      </c>
      <c r="K1477" s="11">
        <f>IF(AND(ISNUMBER(H1477),ISNUMBER(I1477),H1477&gt;0,ISNUMBER($B$94)),MAX(0,$B$94-3*SQRT($B$94*(1-$B$94)/H1477)),"")</f>
        <v/>
      </c>
      <c r="L1477" s="11">
        <f>IF(AND(ISNUMBER(H1477),ISNUMBER(I1477),H1477&gt;0,ISNUMBER($B$94)),$B$94+3*SQRT($B$94*(1-$B$94)/H1477),"")</f>
        <v/>
      </c>
      <c r="M1477" s="13">
        <f>IF(AND(ISNUMBER(J1477),ISNUMBER(K1477),ISNUMBER(L1477)),IF(J1477&gt;L1477,"boven UCL",IF(J1477&lt;K1477,"onder LCL","")),"")</f>
        <v/>
      </c>
      <c r="O1477" t="n">
        <v>1371</v>
      </c>
      <c r="P1477" s="7" t="n"/>
      <c r="Q1477" s="7" t="n"/>
      <c r="R1477" s="11">
        <f>IF(AND(ISNUMBER(P1477),ISNUMBER(Q1477),P1477&gt;0,ISNUMBER($B$100)),Q1477/P1477,"")</f>
        <v/>
      </c>
      <c r="S1477" s="11">
        <f>IF(AND(ISNUMBER(P1477),ISNUMBER(Q1477),P1477&gt;0,ISNUMBER($B$100)),MAX(0,$B$100-3*SQRT($B$100/P1477)),"")</f>
        <v/>
      </c>
      <c r="T1477" s="11">
        <f>IF(AND(ISNUMBER(P1477),ISNUMBER(Q1477),P1477&gt;0,ISNUMBER($B$100)),$B$100+3*SQRT($B$100/P1477),"")</f>
        <v/>
      </c>
      <c r="U1477" s="13">
        <f>IF(AND(ISNUMBER(R1477),ISNUMBER(S1477),ISNUMBER(T1477)),IF(R1477&gt;T1477,"boven UCL",IF(R1477&lt;S1477,"onder LCL","")),"")</f>
        <v/>
      </c>
    </row>
    <row r="1478">
      <c r="A1478" t="n">
        <v>1372</v>
      </c>
      <c r="B1478" s="7" t="n"/>
      <c r="C1478" s="11">
        <f>IF(AND(ISNUMBER(B1478),ISNUMBER(B1477)),ABS(B1478-B1477),"")</f>
        <v/>
      </c>
      <c r="D1478" s="13">
        <f>IF(AND(ISNUMBER(B1478),ISNUMBER($B$88),ISNUMBER($D$88)),IF(B1478&gt;$D$88,"boven UCL",IF(B1478&lt;$B$88,"onder LCL","")),"")</f>
        <v/>
      </c>
      <c r="E1478" s="13">
        <f>IF(AND(ISNUMBER(C1478),ISNUMBER($B$89),ISNUMBER($D$89)),IF(C1478&gt;$D$89,"boven UCL",IF(C1478&lt;$B$89,"onder LCL","")),"")</f>
        <v/>
      </c>
      <c r="G1478" t="n">
        <v>1372</v>
      </c>
      <c r="H1478" s="7" t="n"/>
      <c r="I1478" s="7" t="n"/>
      <c r="J1478" s="11">
        <f>IF(AND(ISNUMBER(H1478),ISNUMBER(I1478),H1478&gt;0,ISNUMBER($B$94)),I1478/H1478,"")</f>
        <v/>
      </c>
      <c r="K1478" s="11">
        <f>IF(AND(ISNUMBER(H1478),ISNUMBER(I1478),H1478&gt;0,ISNUMBER($B$94)),MAX(0,$B$94-3*SQRT($B$94*(1-$B$94)/H1478)),"")</f>
        <v/>
      </c>
      <c r="L1478" s="11">
        <f>IF(AND(ISNUMBER(H1478),ISNUMBER(I1478),H1478&gt;0,ISNUMBER($B$94)),$B$94+3*SQRT($B$94*(1-$B$94)/H1478),"")</f>
        <v/>
      </c>
      <c r="M1478" s="13">
        <f>IF(AND(ISNUMBER(J1478),ISNUMBER(K1478),ISNUMBER(L1478)),IF(J1478&gt;L1478,"boven UCL",IF(J1478&lt;K1478,"onder LCL","")),"")</f>
        <v/>
      </c>
      <c r="O1478" t="n">
        <v>1372</v>
      </c>
      <c r="P1478" s="7" t="n"/>
      <c r="Q1478" s="7" t="n"/>
      <c r="R1478" s="11">
        <f>IF(AND(ISNUMBER(P1478),ISNUMBER(Q1478),P1478&gt;0,ISNUMBER($B$100)),Q1478/P1478,"")</f>
        <v/>
      </c>
      <c r="S1478" s="11">
        <f>IF(AND(ISNUMBER(P1478),ISNUMBER(Q1478),P1478&gt;0,ISNUMBER($B$100)),MAX(0,$B$100-3*SQRT($B$100/P1478)),"")</f>
        <v/>
      </c>
      <c r="T1478" s="11">
        <f>IF(AND(ISNUMBER(P1478),ISNUMBER(Q1478),P1478&gt;0,ISNUMBER($B$100)),$B$100+3*SQRT($B$100/P1478),"")</f>
        <v/>
      </c>
      <c r="U1478" s="13">
        <f>IF(AND(ISNUMBER(R1478),ISNUMBER(S1478),ISNUMBER(T1478)),IF(R1478&gt;T1478,"boven UCL",IF(R1478&lt;S1478,"onder LCL","")),"")</f>
        <v/>
      </c>
    </row>
    <row r="1479">
      <c r="A1479" t="n">
        <v>1373</v>
      </c>
      <c r="B1479" s="7" t="n"/>
      <c r="C1479" s="11">
        <f>IF(AND(ISNUMBER(B1479),ISNUMBER(B1478)),ABS(B1479-B1478),"")</f>
        <v/>
      </c>
      <c r="D1479" s="13">
        <f>IF(AND(ISNUMBER(B1479),ISNUMBER($B$88),ISNUMBER($D$88)),IF(B1479&gt;$D$88,"boven UCL",IF(B1479&lt;$B$88,"onder LCL","")),"")</f>
        <v/>
      </c>
      <c r="E1479" s="13">
        <f>IF(AND(ISNUMBER(C1479),ISNUMBER($B$89),ISNUMBER($D$89)),IF(C1479&gt;$D$89,"boven UCL",IF(C1479&lt;$B$89,"onder LCL","")),"")</f>
        <v/>
      </c>
      <c r="G1479" t="n">
        <v>1373</v>
      </c>
      <c r="H1479" s="7" t="n"/>
      <c r="I1479" s="7" t="n"/>
      <c r="J1479" s="11">
        <f>IF(AND(ISNUMBER(H1479),ISNUMBER(I1479),H1479&gt;0,ISNUMBER($B$94)),I1479/H1479,"")</f>
        <v/>
      </c>
      <c r="K1479" s="11">
        <f>IF(AND(ISNUMBER(H1479),ISNUMBER(I1479),H1479&gt;0,ISNUMBER($B$94)),MAX(0,$B$94-3*SQRT($B$94*(1-$B$94)/H1479)),"")</f>
        <v/>
      </c>
      <c r="L1479" s="11">
        <f>IF(AND(ISNUMBER(H1479),ISNUMBER(I1479),H1479&gt;0,ISNUMBER($B$94)),$B$94+3*SQRT($B$94*(1-$B$94)/H1479),"")</f>
        <v/>
      </c>
      <c r="M1479" s="13">
        <f>IF(AND(ISNUMBER(J1479),ISNUMBER(K1479),ISNUMBER(L1479)),IF(J1479&gt;L1479,"boven UCL",IF(J1479&lt;K1479,"onder LCL","")),"")</f>
        <v/>
      </c>
      <c r="O1479" t="n">
        <v>1373</v>
      </c>
      <c r="P1479" s="7" t="n"/>
      <c r="Q1479" s="7" t="n"/>
      <c r="R1479" s="11">
        <f>IF(AND(ISNUMBER(P1479),ISNUMBER(Q1479),P1479&gt;0,ISNUMBER($B$100)),Q1479/P1479,"")</f>
        <v/>
      </c>
      <c r="S1479" s="11">
        <f>IF(AND(ISNUMBER(P1479),ISNUMBER(Q1479),P1479&gt;0,ISNUMBER($B$100)),MAX(0,$B$100-3*SQRT($B$100/P1479)),"")</f>
        <v/>
      </c>
      <c r="T1479" s="11">
        <f>IF(AND(ISNUMBER(P1479),ISNUMBER(Q1479),P1479&gt;0,ISNUMBER($B$100)),$B$100+3*SQRT($B$100/P1479),"")</f>
        <v/>
      </c>
      <c r="U1479" s="13">
        <f>IF(AND(ISNUMBER(R1479),ISNUMBER(S1479),ISNUMBER(T1479)),IF(R1479&gt;T1479,"boven UCL",IF(R1479&lt;S1479,"onder LCL","")),"")</f>
        <v/>
      </c>
    </row>
    <row r="1480">
      <c r="A1480" t="n">
        <v>1374</v>
      </c>
      <c r="B1480" s="7" t="n"/>
      <c r="C1480" s="11">
        <f>IF(AND(ISNUMBER(B1480),ISNUMBER(B1479)),ABS(B1480-B1479),"")</f>
        <v/>
      </c>
      <c r="D1480" s="13">
        <f>IF(AND(ISNUMBER(B1480),ISNUMBER($B$88),ISNUMBER($D$88)),IF(B1480&gt;$D$88,"boven UCL",IF(B1480&lt;$B$88,"onder LCL","")),"")</f>
        <v/>
      </c>
      <c r="E1480" s="13">
        <f>IF(AND(ISNUMBER(C1480),ISNUMBER($B$89),ISNUMBER($D$89)),IF(C1480&gt;$D$89,"boven UCL",IF(C1480&lt;$B$89,"onder LCL","")),"")</f>
        <v/>
      </c>
      <c r="G1480" t="n">
        <v>1374</v>
      </c>
      <c r="H1480" s="7" t="n"/>
      <c r="I1480" s="7" t="n"/>
      <c r="J1480" s="11">
        <f>IF(AND(ISNUMBER(H1480),ISNUMBER(I1480),H1480&gt;0,ISNUMBER($B$94)),I1480/H1480,"")</f>
        <v/>
      </c>
      <c r="K1480" s="11">
        <f>IF(AND(ISNUMBER(H1480),ISNUMBER(I1480),H1480&gt;0,ISNUMBER($B$94)),MAX(0,$B$94-3*SQRT($B$94*(1-$B$94)/H1480)),"")</f>
        <v/>
      </c>
      <c r="L1480" s="11">
        <f>IF(AND(ISNUMBER(H1480),ISNUMBER(I1480),H1480&gt;0,ISNUMBER($B$94)),$B$94+3*SQRT($B$94*(1-$B$94)/H1480),"")</f>
        <v/>
      </c>
      <c r="M1480" s="13">
        <f>IF(AND(ISNUMBER(J1480),ISNUMBER(K1480),ISNUMBER(L1480)),IF(J1480&gt;L1480,"boven UCL",IF(J1480&lt;K1480,"onder LCL","")),"")</f>
        <v/>
      </c>
      <c r="O1480" t="n">
        <v>1374</v>
      </c>
      <c r="P1480" s="7" t="n"/>
      <c r="Q1480" s="7" t="n"/>
      <c r="R1480" s="11">
        <f>IF(AND(ISNUMBER(P1480),ISNUMBER(Q1480),P1480&gt;0,ISNUMBER($B$100)),Q1480/P1480,"")</f>
        <v/>
      </c>
      <c r="S1480" s="11">
        <f>IF(AND(ISNUMBER(P1480),ISNUMBER(Q1480),P1480&gt;0,ISNUMBER($B$100)),MAX(0,$B$100-3*SQRT($B$100/P1480)),"")</f>
        <v/>
      </c>
      <c r="T1480" s="11">
        <f>IF(AND(ISNUMBER(P1480),ISNUMBER(Q1480),P1480&gt;0,ISNUMBER($B$100)),$B$100+3*SQRT($B$100/P1480),"")</f>
        <v/>
      </c>
      <c r="U1480" s="13">
        <f>IF(AND(ISNUMBER(R1480),ISNUMBER(S1480),ISNUMBER(T1480)),IF(R1480&gt;T1480,"boven UCL",IF(R1480&lt;S1480,"onder LCL","")),"")</f>
        <v/>
      </c>
    </row>
    <row r="1481">
      <c r="A1481" t="n">
        <v>1375</v>
      </c>
      <c r="B1481" s="7" t="n"/>
      <c r="C1481" s="11">
        <f>IF(AND(ISNUMBER(B1481),ISNUMBER(B1480)),ABS(B1481-B1480),"")</f>
        <v/>
      </c>
      <c r="D1481" s="13">
        <f>IF(AND(ISNUMBER(B1481),ISNUMBER($B$88),ISNUMBER($D$88)),IF(B1481&gt;$D$88,"boven UCL",IF(B1481&lt;$B$88,"onder LCL","")),"")</f>
        <v/>
      </c>
      <c r="E1481" s="13">
        <f>IF(AND(ISNUMBER(C1481),ISNUMBER($B$89),ISNUMBER($D$89)),IF(C1481&gt;$D$89,"boven UCL",IF(C1481&lt;$B$89,"onder LCL","")),"")</f>
        <v/>
      </c>
      <c r="G1481" t="n">
        <v>1375</v>
      </c>
      <c r="H1481" s="7" t="n"/>
      <c r="I1481" s="7" t="n"/>
      <c r="J1481" s="11">
        <f>IF(AND(ISNUMBER(H1481),ISNUMBER(I1481),H1481&gt;0,ISNUMBER($B$94)),I1481/H1481,"")</f>
        <v/>
      </c>
      <c r="K1481" s="11">
        <f>IF(AND(ISNUMBER(H1481),ISNUMBER(I1481),H1481&gt;0,ISNUMBER($B$94)),MAX(0,$B$94-3*SQRT($B$94*(1-$B$94)/H1481)),"")</f>
        <v/>
      </c>
      <c r="L1481" s="11">
        <f>IF(AND(ISNUMBER(H1481),ISNUMBER(I1481),H1481&gt;0,ISNUMBER($B$94)),$B$94+3*SQRT($B$94*(1-$B$94)/H1481),"")</f>
        <v/>
      </c>
      <c r="M1481" s="13">
        <f>IF(AND(ISNUMBER(J1481),ISNUMBER(K1481),ISNUMBER(L1481)),IF(J1481&gt;L1481,"boven UCL",IF(J1481&lt;K1481,"onder LCL","")),"")</f>
        <v/>
      </c>
      <c r="O1481" t="n">
        <v>1375</v>
      </c>
      <c r="P1481" s="7" t="n"/>
      <c r="Q1481" s="7" t="n"/>
      <c r="R1481" s="11">
        <f>IF(AND(ISNUMBER(P1481),ISNUMBER(Q1481),P1481&gt;0,ISNUMBER($B$100)),Q1481/P1481,"")</f>
        <v/>
      </c>
      <c r="S1481" s="11">
        <f>IF(AND(ISNUMBER(P1481),ISNUMBER(Q1481),P1481&gt;0,ISNUMBER($B$100)),MAX(0,$B$100-3*SQRT($B$100/P1481)),"")</f>
        <v/>
      </c>
      <c r="T1481" s="11">
        <f>IF(AND(ISNUMBER(P1481),ISNUMBER(Q1481),P1481&gt;0,ISNUMBER($B$100)),$B$100+3*SQRT($B$100/P1481),"")</f>
        <v/>
      </c>
      <c r="U1481" s="13">
        <f>IF(AND(ISNUMBER(R1481),ISNUMBER(S1481),ISNUMBER(T1481)),IF(R1481&gt;T1481,"boven UCL",IF(R1481&lt;S1481,"onder LCL","")),"")</f>
        <v/>
      </c>
    </row>
    <row r="1482">
      <c r="A1482" t="n">
        <v>1376</v>
      </c>
      <c r="B1482" s="7" t="n"/>
      <c r="C1482" s="11">
        <f>IF(AND(ISNUMBER(B1482),ISNUMBER(B1481)),ABS(B1482-B1481),"")</f>
        <v/>
      </c>
      <c r="D1482" s="13">
        <f>IF(AND(ISNUMBER(B1482),ISNUMBER($B$88),ISNUMBER($D$88)),IF(B1482&gt;$D$88,"boven UCL",IF(B1482&lt;$B$88,"onder LCL","")),"")</f>
        <v/>
      </c>
      <c r="E1482" s="13">
        <f>IF(AND(ISNUMBER(C1482),ISNUMBER($B$89),ISNUMBER($D$89)),IF(C1482&gt;$D$89,"boven UCL",IF(C1482&lt;$B$89,"onder LCL","")),"")</f>
        <v/>
      </c>
      <c r="G1482" t="n">
        <v>1376</v>
      </c>
      <c r="H1482" s="7" t="n"/>
      <c r="I1482" s="7" t="n"/>
      <c r="J1482" s="11">
        <f>IF(AND(ISNUMBER(H1482),ISNUMBER(I1482),H1482&gt;0,ISNUMBER($B$94)),I1482/H1482,"")</f>
        <v/>
      </c>
      <c r="K1482" s="11">
        <f>IF(AND(ISNUMBER(H1482),ISNUMBER(I1482),H1482&gt;0,ISNUMBER($B$94)),MAX(0,$B$94-3*SQRT($B$94*(1-$B$94)/H1482)),"")</f>
        <v/>
      </c>
      <c r="L1482" s="11">
        <f>IF(AND(ISNUMBER(H1482),ISNUMBER(I1482),H1482&gt;0,ISNUMBER($B$94)),$B$94+3*SQRT($B$94*(1-$B$94)/H1482),"")</f>
        <v/>
      </c>
      <c r="M1482" s="13">
        <f>IF(AND(ISNUMBER(J1482),ISNUMBER(K1482),ISNUMBER(L1482)),IF(J1482&gt;L1482,"boven UCL",IF(J1482&lt;K1482,"onder LCL","")),"")</f>
        <v/>
      </c>
      <c r="O1482" t="n">
        <v>1376</v>
      </c>
      <c r="P1482" s="7" t="n"/>
      <c r="Q1482" s="7" t="n"/>
      <c r="R1482" s="11">
        <f>IF(AND(ISNUMBER(P1482),ISNUMBER(Q1482),P1482&gt;0,ISNUMBER($B$100)),Q1482/P1482,"")</f>
        <v/>
      </c>
      <c r="S1482" s="11">
        <f>IF(AND(ISNUMBER(P1482),ISNUMBER(Q1482),P1482&gt;0,ISNUMBER($B$100)),MAX(0,$B$100-3*SQRT($B$100/P1482)),"")</f>
        <v/>
      </c>
      <c r="T1482" s="11">
        <f>IF(AND(ISNUMBER(P1482),ISNUMBER(Q1482),P1482&gt;0,ISNUMBER($B$100)),$B$100+3*SQRT($B$100/P1482),"")</f>
        <v/>
      </c>
      <c r="U1482" s="13">
        <f>IF(AND(ISNUMBER(R1482),ISNUMBER(S1482),ISNUMBER(T1482)),IF(R1482&gt;T1482,"boven UCL",IF(R1482&lt;S1482,"onder LCL","")),"")</f>
        <v/>
      </c>
    </row>
    <row r="1483">
      <c r="A1483" t="n">
        <v>1377</v>
      </c>
      <c r="B1483" s="7" t="n"/>
      <c r="C1483" s="11">
        <f>IF(AND(ISNUMBER(B1483),ISNUMBER(B1482)),ABS(B1483-B1482),"")</f>
        <v/>
      </c>
      <c r="D1483" s="13">
        <f>IF(AND(ISNUMBER(B1483),ISNUMBER($B$88),ISNUMBER($D$88)),IF(B1483&gt;$D$88,"boven UCL",IF(B1483&lt;$B$88,"onder LCL","")),"")</f>
        <v/>
      </c>
      <c r="E1483" s="13">
        <f>IF(AND(ISNUMBER(C1483),ISNUMBER($B$89),ISNUMBER($D$89)),IF(C1483&gt;$D$89,"boven UCL",IF(C1483&lt;$B$89,"onder LCL","")),"")</f>
        <v/>
      </c>
      <c r="G1483" t="n">
        <v>1377</v>
      </c>
      <c r="H1483" s="7" t="n"/>
      <c r="I1483" s="7" t="n"/>
      <c r="J1483" s="11">
        <f>IF(AND(ISNUMBER(H1483),ISNUMBER(I1483),H1483&gt;0,ISNUMBER($B$94)),I1483/H1483,"")</f>
        <v/>
      </c>
      <c r="K1483" s="11">
        <f>IF(AND(ISNUMBER(H1483),ISNUMBER(I1483),H1483&gt;0,ISNUMBER($B$94)),MAX(0,$B$94-3*SQRT($B$94*(1-$B$94)/H1483)),"")</f>
        <v/>
      </c>
      <c r="L1483" s="11">
        <f>IF(AND(ISNUMBER(H1483),ISNUMBER(I1483),H1483&gt;0,ISNUMBER($B$94)),$B$94+3*SQRT($B$94*(1-$B$94)/H1483),"")</f>
        <v/>
      </c>
      <c r="M1483" s="13">
        <f>IF(AND(ISNUMBER(J1483),ISNUMBER(K1483),ISNUMBER(L1483)),IF(J1483&gt;L1483,"boven UCL",IF(J1483&lt;K1483,"onder LCL","")),"")</f>
        <v/>
      </c>
      <c r="O1483" t="n">
        <v>1377</v>
      </c>
      <c r="P1483" s="7" t="n"/>
      <c r="Q1483" s="7" t="n"/>
      <c r="R1483" s="11">
        <f>IF(AND(ISNUMBER(P1483),ISNUMBER(Q1483),P1483&gt;0,ISNUMBER($B$100)),Q1483/P1483,"")</f>
        <v/>
      </c>
      <c r="S1483" s="11">
        <f>IF(AND(ISNUMBER(P1483),ISNUMBER(Q1483),P1483&gt;0,ISNUMBER($B$100)),MAX(0,$B$100-3*SQRT($B$100/P1483)),"")</f>
        <v/>
      </c>
      <c r="T1483" s="11">
        <f>IF(AND(ISNUMBER(P1483),ISNUMBER(Q1483),P1483&gt;0,ISNUMBER($B$100)),$B$100+3*SQRT($B$100/P1483),"")</f>
        <v/>
      </c>
      <c r="U1483" s="13">
        <f>IF(AND(ISNUMBER(R1483),ISNUMBER(S1483),ISNUMBER(T1483)),IF(R1483&gt;T1483,"boven UCL",IF(R1483&lt;S1483,"onder LCL","")),"")</f>
        <v/>
      </c>
    </row>
    <row r="1484">
      <c r="A1484" t="n">
        <v>1378</v>
      </c>
      <c r="B1484" s="7" t="n"/>
      <c r="C1484" s="11">
        <f>IF(AND(ISNUMBER(B1484),ISNUMBER(B1483)),ABS(B1484-B1483),"")</f>
        <v/>
      </c>
      <c r="D1484" s="13">
        <f>IF(AND(ISNUMBER(B1484),ISNUMBER($B$88),ISNUMBER($D$88)),IF(B1484&gt;$D$88,"boven UCL",IF(B1484&lt;$B$88,"onder LCL","")),"")</f>
        <v/>
      </c>
      <c r="E1484" s="13">
        <f>IF(AND(ISNUMBER(C1484),ISNUMBER($B$89),ISNUMBER($D$89)),IF(C1484&gt;$D$89,"boven UCL",IF(C1484&lt;$B$89,"onder LCL","")),"")</f>
        <v/>
      </c>
      <c r="G1484" t="n">
        <v>1378</v>
      </c>
      <c r="H1484" s="7" t="n"/>
      <c r="I1484" s="7" t="n"/>
      <c r="J1484" s="11">
        <f>IF(AND(ISNUMBER(H1484),ISNUMBER(I1484),H1484&gt;0,ISNUMBER($B$94)),I1484/H1484,"")</f>
        <v/>
      </c>
      <c r="K1484" s="11">
        <f>IF(AND(ISNUMBER(H1484),ISNUMBER(I1484),H1484&gt;0,ISNUMBER($B$94)),MAX(0,$B$94-3*SQRT($B$94*(1-$B$94)/H1484)),"")</f>
        <v/>
      </c>
      <c r="L1484" s="11">
        <f>IF(AND(ISNUMBER(H1484),ISNUMBER(I1484),H1484&gt;0,ISNUMBER($B$94)),$B$94+3*SQRT($B$94*(1-$B$94)/H1484),"")</f>
        <v/>
      </c>
      <c r="M1484" s="13">
        <f>IF(AND(ISNUMBER(J1484),ISNUMBER(K1484),ISNUMBER(L1484)),IF(J1484&gt;L1484,"boven UCL",IF(J1484&lt;K1484,"onder LCL","")),"")</f>
        <v/>
      </c>
      <c r="O1484" t="n">
        <v>1378</v>
      </c>
      <c r="P1484" s="7" t="n"/>
      <c r="Q1484" s="7" t="n"/>
      <c r="R1484" s="11">
        <f>IF(AND(ISNUMBER(P1484),ISNUMBER(Q1484),P1484&gt;0,ISNUMBER($B$100)),Q1484/P1484,"")</f>
        <v/>
      </c>
      <c r="S1484" s="11">
        <f>IF(AND(ISNUMBER(P1484),ISNUMBER(Q1484),P1484&gt;0,ISNUMBER($B$100)),MAX(0,$B$100-3*SQRT($B$100/P1484)),"")</f>
        <v/>
      </c>
      <c r="T1484" s="11">
        <f>IF(AND(ISNUMBER(P1484),ISNUMBER(Q1484),P1484&gt;0,ISNUMBER($B$100)),$B$100+3*SQRT($B$100/P1484),"")</f>
        <v/>
      </c>
      <c r="U1484" s="13">
        <f>IF(AND(ISNUMBER(R1484),ISNUMBER(S1484),ISNUMBER(T1484)),IF(R1484&gt;T1484,"boven UCL",IF(R1484&lt;S1484,"onder LCL","")),"")</f>
        <v/>
      </c>
    </row>
    <row r="1485">
      <c r="A1485" t="n">
        <v>1379</v>
      </c>
      <c r="B1485" s="7" t="n"/>
      <c r="C1485" s="11">
        <f>IF(AND(ISNUMBER(B1485),ISNUMBER(B1484)),ABS(B1485-B1484),"")</f>
        <v/>
      </c>
      <c r="D1485" s="13">
        <f>IF(AND(ISNUMBER(B1485),ISNUMBER($B$88),ISNUMBER($D$88)),IF(B1485&gt;$D$88,"boven UCL",IF(B1485&lt;$B$88,"onder LCL","")),"")</f>
        <v/>
      </c>
      <c r="E1485" s="13">
        <f>IF(AND(ISNUMBER(C1485),ISNUMBER($B$89),ISNUMBER($D$89)),IF(C1485&gt;$D$89,"boven UCL",IF(C1485&lt;$B$89,"onder LCL","")),"")</f>
        <v/>
      </c>
      <c r="G1485" t="n">
        <v>1379</v>
      </c>
      <c r="H1485" s="7" t="n"/>
      <c r="I1485" s="7" t="n"/>
      <c r="J1485" s="11">
        <f>IF(AND(ISNUMBER(H1485),ISNUMBER(I1485),H1485&gt;0,ISNUMBER($B$94)),I1485/H1485,"")</f>
        <v/>
      </c>
      <c r="K1485" s="11">
        <f>IF(AND(ISNUMBER(H1485),ISNUMBER(I1485),H1485&gt;0,ISNUMBER($B$94)),MAX(0,$B$94-3*SQRT($B$94*(1-$B$94)/H1485)),"")</f>
        <v/>
      </c>
      <c r="L1485" s="11">
        <f>IF(AND(ISNUMBER(H1485),ISNUMBER(I1485),H1485&gt;0,ISNUMBER($B$94)),$B$94+3*SQRT($B$94*(1-$B$94)/H1485),"")</f>
        <v/>
      </c>
      <c r="M1485" s="13">
        <f>IF(AND(ISNUMBER(J1485),ISNUMBER(K1485),ISNUMBER(L1485)),IF(J1485&gt;L1485,"boven UCL",IF(J1485&lt;K1485,"onder LCL","")),"")</f>
        <v/>
      </c>
      <c r="O1485" t="n">
        <v>1379</v>
      </c>
      <c r="P1485" s="7" t="n"/>
      <c r="Q1485" s="7" t="n"/>
      <c r="R1485" s="11">
        <f>IF(AND(ISNUMBER(P1485),ISNUMBER(Q1485),P1485&gt;0,ISNUMBER($B$100)),Q1485/P1485,"")</f>
        <v/>
      </c>
      <c r="S1485" s="11">
        <f>IF(AND(ISNUMBER(P1485),ISNUMBER(Q1485),P1485&gt;0,ISNUMBER($B$100)),MAX(0,$B$100-3*SQRT($B$100/P1485)),"")</f>
        <v/>
      </c>
      <c r="T1485" s="11">
        <f>IF(AND(ISNUMBER(P1485),ISNUMBER(Q1485),P1485&gt;0,ISNUMBER($B$100)),$B$100+3*SQRT($B$100/P1485),"")</f>
        <v/>
      </c>
      <c r="U1485" s="13">
        <f>IF(AND(ISNUMBER(R1485),ISNUMBER(S1485),ISNUMBER(T1485)),IF(R1485&gt;T1485,"boven UCL",IF(R1485&lt;S1485,"onder LCL","")),"")</f>
        <v/>
      </c>
    </row>
    <row r="1486">
      <c r="A1486" t="n">
        <v>1380</v>
      </c>
      <c r="B1486" s="7" t="n"/>
      <c r="C1486" s="11">
        <f>IF(AND(ISNUMBER(B1486),ISNUMBER(B1485)),ABS(B1486-B1485),"")</f>
        <v/>
      </c>
      <c r="D1486" s="13">
        <f>IF(AND(ISNUMBER(B1486),ISNUMBER($B$88),ISNUMBER($D$88)),IF(B1486&gt;$D$88,"boven UCL",IF(B1486&lt;$B$88,"onder LCL","")),"")</f>
        <v/>
      </c>
      <c r="E1486" s="13">
        <f>IF(AND(ISNUMBER(C1486),ISNUMBER($B$89),ISNUMBER($D$89)),IF(C1486&gt;$D$89,"boven UCL",IF(C1486&lt;$B$89,"onder LCL","")),"")</f>
        <v/>
      </c>
      <c r="G1486" t="n">
        <v>1380</v>
      </c>
      <c r="H1486" s="7" t="n"/>
      <c r="I1486" s="7" t="n"/>
      <c r="J1486" s="11">
        <f>IF(AND(ISNUMBER(H1486),ISNUMBER(I1486),H1486&gt;0,ISNUMBER($B$94)),I1486/H1486,"")</f>
        <v/>
      </c>
      <c r="K1486" s="11">
        <f>IF(AND(ISNUMBER(H1486),ISNUMBER(I1486),H1486&gt;0,ISNUMBER($B$94)),MAX(0,$B$94-3*SQRT($B$94*(1-$B$94)/H1486)),"")</f>
        <v/>
      </c>
      <c r="L1486" s="11">
        <f>IF(AND(ISNUMBER(H1486),ISNUMBER(I1486),H1486&gt;0,ISNUMBER($B$94)),$B$94+3*SQRT($B$94*(1-$B$94)/H1486),"")</f>
        <v/>
      </c>
      <c r="M1486" s="13">
        <f>IF(AND(ISNUMBER(J1486),ISNUMBER(K1486),ISNUMBER(L1486)),IF(J1486&gt;L1486,"boven UCL",IF(J1486&lt;K1486,"onder LCL","")),"")</f>
        <v/>
      </c>
      <c r="O1486" t="n">
        <v>1380</v>
      </c>
      <c r="P1486" s="7" t="n"/>
      <c r="Q1486" s="7" t="n"/>
      <c r="R1486" s="11">
        <f>IF(AND(ISNUMBER(P1486),ISNUMBER(Q1486),P1486&gt;0,ISNUMBER($B$100)),Q1486/P1486,"")</f>
        <v/>
      </c>
      <c r="S1486" s="11">
        <f>IF(AND(ISNUMBER(P1486),ISNUMBER(Q1486),P1486&gt;0,ISNUMBER($B$100)),MAX(0,$B$100-3*SQRT($B$100/P1486)),"")</f>
        <v/>
      </c>
      <c r="T1486" s="11">
        <f>IF(AND(ISNUMBER(P1486),ISNUMBER(Q1486),P1486&gt;0,ISNUMBER($B$100)),$B$100+3*SQRT($B$100/P1486),"")</f>
        <v/>
      </c>
      <c r="U1486" s="13">
        <f>IF(AND(ISNUMBER(R1486),ISNUMBER(S1486),ISNUMBER(T1486)),IF(R1486&gt;T1486,"boven UCL",IF(R1486&lt;S1486,"onder LCL","")),"")</f>
        <v/>
      </c>
    </row>
    <row r="1487">
      <c r="A1487" t="n">
        <v>1381</v>
      </c>
      <c r="B1487" s="7" t="n"/>
      <c r="C1487" s="11">
        <f>IF(AND(ISNUMBER(B1487),ISNUMBER(B1486)),ABS(B1487-B1486),"")</f>
        <v/>
      </c>
      <c r="D1487" s="13">
        <f>IF(AND(ISNUMBER(B1487),ISNUMBER($B$88),ISNUMBER($D$88)),IF(B1487&gt;$D$88,"boven UCL",IF(B1487&lt;$B$88,"onder LCL","")),"")</f>
        <v/>
      </c>
      <c r="E1487" s="13">
        <f>IF(AND(ISNUMBER(C1487),ISNUMBER($B$89),ISNUMBER($D$89)),IF(C1487&gt;$D$89,"boven UCL",IF(C1487&lt;$B$89,"onder LCL","")),"")</f>
        <v/>
      </c>
      <c r="G1487" t="n">
        <v>1381</v>
      </c>
      <c r="H1487" s="7" t="n"/>
      <c r="I1487" s="7" t="n"/>
      <c r="J1487" s="11">
        <f>IF(AND(ISNUMBER(H1487),ISNUMBER(I1487),H1487&gt;0,ISNUMBER($B$94)),I1487/H1487,"")</f>
        <v/>
      </c>
      <c r="K1487" s="11">
        <f>IF(AND(ISNUMBER(H1487),ISNUMBER(I1487),H1487&gt;0,ISNUMBER($B$94)),MAX(0,$B$94-3*SQRT($B$94*(1-$B$94)/H1487)),"")</f>
        <v/>
      </c>
      <c r="L1487" s="11">
        <f>IF(AND(ISNUMBER(H1487),ISNUMBER(I1487),H1487&gt;0,ISNUMBER($B$94)),$B$94+3*SQRT($B$94*(1-$B$94)/H1487),"")</f>
        <v/>
      </c>
      <c r="M1487" s="13">
        <f>IF(AND(ISNUMBER(J1487),ISNUMBER(K1487),ISNUMBER(L1487)),IF(J1487&gt;L1487,"boven UCL",IF(J1487&lt;K1487,"onder LCL","")),"")</f>
        <v/>
      </c>
      <c r="O1487" t="n">
        <v>1381</v>
      </c>
      <c r="P1487" s="7" t="n"/>
      <c r="Q1487" s="7" t="n"/>
      <c r="R1487" s="11">
        <f>IF(AND(ISNUMBER(P1487),ISNUMBER(Q1487),P1487&gt;0,ISNUMBER($B$100)),Q1487/P1487,"")</f>
        <v/>
      </c>
      <c r="S1487" s="11">
        <f>IF(AND(ISNUMBER(P1487),ISNUMBER(Q1487),P1487&gt;0,ISNUMBER($B$100)),MAX(0,$B$100-3*SQRT($B$100/P1487)),"")</f>
        <v/>
      </c>
      <c r="T1487" s="11">
        <f>IF(AND(ISNUMBER(P1487),ISNUMBER(Q1487),P1487&gt;0,ISNUMBER($B$100)),$B$100+3*SQRT($B$100/P1487),"")</f>
        <v/>
      </c>
      <c r="U1487" s="13">
        <f>IF(AND(ISNUMBER(R1487),ISNUMBER(S1487),ISNUMBER(T1487)),IF(R1487&gt;T1487,"boven UCL",IF(R1487&lt;S1487,"onder LCL","")),"")</f>
        <v/>
      </c>
    </row>
    <row r="1488">
      <c r="A1488" t="n">
        <v>1382</v>
      </c>
      <c r="B1488" s="7" t="n"/>
      <c r="C1488" s="11">
        <f>IF(AND(ISNUMBER(B1488),ISNUMBER(B1487)),ABS(B1488-B1487),"")</f>
        <v/>
      </c>
      <c r="D1488" s="13">
        <f>IF(AND(ISNUMBER(B1488),ISNUMBER($B$88),ISNUMBER($D$88)),IF(B1488&gt;$D$88,"boven UCL",IF(B1488&lt;$B$88,"onder LCL","")),"")</f>
        <v/>
      </c>
      <c r="E1488" s="13">
        <f>IF(AND(ISNUMBER(C1488),ISNUMBER($B$89),ISNUMBER($D$89)),IF(C1488&gt;$D$89,"boven UCL",IF(C1488&lt;$B$89,"onder LCL","")),"")</f>
        <v/>
      </c>
      <c r="G1488" t="n">
        <v>1382</v>
      </c>
      <c r="H1488" s="7" t="n"/>
      <c r="I1488" s="7" t="n"/>
      <c r="J1488" s="11">
        <f>IF(AND(ISNUMBER(H1488),ISNUMBER(I1488),H1488&gt;0,ISNUMBER($B$94)),I1488/H1488,"")</f>
        <v/>
      </c>
      <c r="K1488" s="11">
        <f>IF(AND(ISNUMBER(H1488),ISNUMBER(I1488),H1488&gt;0,ISNUMBER($B$94)),MAX(0,$B$94-3*SQRT($B$94*(1-$B$94)/H1488)),"")</f>
        <v/>
      </c>
      <c r="L1488" s="11">
        <f>IF(AND(ISNUMBER(H1488),ISNUMBER(I1488),H1488&gt;0,ISNUMBER($B$94)),$B$94+3*SQRT($B$94*(1-$B$94)/H1488),"")</f>
        <v/>
      </c>
      <c r="M1488" s="13">
        <f>IF(AND(ISNUMBER(J1488),ISNUMBER(K1488),ISNUMBER(L1488)),IF(J1488&gt;L1488,"boven UCL",IF(J1488&lt;K1488,"onder LCL","")),"")</f>
        <v/>
      </c>
      <c r="O1488" t="n">
        <v>1382</v>
      </c>
      <c r="P1488" s="7" t="n"/>
      <c r="Q1488" s="7" t="n"/>
      <c r="R1488" s="11">
        <f>IF(AND(ISNUMBER(P1488),ISNUMBER(Q1488),P1488&gt;0,ISNUMBER($B$100)),Q1488/P1488,"")</f>
        <v/>
      </c>
      <c r="S1488" s="11">
        <f>IF(AND(ISNUMBER(P1488),ISNUMBER(Q1488),P1488&gt;0,ISNUMBER($B$100)),MAX(0,$B$100-3*SQRT($B$100/P1488)),"")</f>
        <v/>
      </c>
      <c r="T1488" s="11">
        <f>IF(AND(ISNUMBER(P1488),ISNUMBER(Q1488),P1488&gt;0,ISNUMBER($B$100)),$B$100+3*SQRT($B$100/P1488),"")</f>
        <v/>
      </c>
      <c r="U1488" s="13">
        <f>IF(AND(ISNUMBER(R1488),ISNUMBER(S1488),ISNUMBER(T1488)),IF(R1488&gt;T1488,"boven UCL",IF(R1488&lt;S1488,"onder LCL","")),"")</f>
        <v/>
      </c>
    </row>
    <row r="1489">
      <c r="A1489" t="n">
        <v>1383</v>
      </c>
      <c r="B1489" s="7" t="n"/>
      <c r="C1489" s="11">
        <f>IF(AND(ISNUMBER(B1489),ISNUMBER(B1488)),ABS(B1489-B1488),"")</f>
        <v/>
      </c>
      <c r="D1489" s="13">
        <f>IF(AND(ISNUMBER(B1489),ISNUMBER($B$88),ISNUMBER($D$88)),IF(B1489&gt;$D$88,"boven UCL",IF(B1489&lt;$B$88,"onder LCL","")),"")</f>
        <v/>
      </c>
      <c r="E1489" s="13">
        <f>IF(AND(ISNUMBER(C1489),ISNUMBER($B$89),ISNUMBER($D$89)),IF(C1489&gt;$D$89,"boven UCL",IF(C1489&lt;$B$89,"onder LCL","")),"")</f>
        <v/>
      </c>
      <c r="G1489" t="n">
        <v>1383</v>
      </c>
      <c r="H1489" s="7" t="n"/>
      <c r="I1489" s="7" t="n"/>
      <c r="J1489" s="11">
        <f>IF(AND(ISNUMBER(H1489),ISNUMBER(I1489),H1489&gt;0,ISNUMBER($B$94)),I1489/H1489,"")</f>
        <v/>
      </c>
      <c r="K1489" s="11">
        <f>IF(AND(ISNUMBER(H1489),ISNUMBER(I1489),H1489&gt;0,ISNUMBER($B$94)),MAX(0,$B$94-3*SQRT($B$94*(1-$B$94)/H1489)),"")</f>
        <v/>
      </c>
      <c r="L1489" s="11">
        <f>IF(AND(ISNUMBER(H1489),ISNUMBER(I1489),H1489&gt;0,ISNUMBER($B$94)),$B$94+3*SQRT($B$94*(1-$B$94)/H1489),"")</f>
        <v/>
      </c>
      <c r="M1489" s="13">
        <f>IF(AND(ISNUMBER(J1489),ISNUMBER(K1489),ISNUMBER(L1489)),IF(J1489&gt;L1489,"boven UCL",IF(J1489&lt;K1489,"onder LCL","")),"")</f>
        <v/>
      </c>
      <c r="O1489" t="n">
        <v>1383</v>
      </c>
      <c r="P1489" s="7" t="n"/>
      <c r="Q1489" s="7" t="n"/>
      <c r="R1489" s="11">
        <f>IF(AND(ISNUMBER(P1489),ISNUMBER(Q1489),P1489&gt;0,ISNUMBER($B$100)),Q1489/P1489,"")</f>
        <v/>
      </c>
      <c r="S1489" s="11">
        <f>IF(AND(ISNUMBER(P1489),ISNUMBER(Q1489),P1489&gt;0,ISNUMBER($B$100)),MAX(0,$B$100-3*SQRT($B$100/P1489)),"")</f>
        <v/>
      </c>
      <c r="T1489" s="11">
        <f>IF(AND(ISNUMBER(P1489),ISNUMBER(Q1489),P1489&gt;0,ISNUMBER($B$100)),$B$100+3*SQRT($B$100/P1489),"")</f>
        <v/>
      </c>
      <c r="U1489" s="13">
        <f>IF(AND(ISNUMBER(R1489),ISNUMBER(S1489),ISNUMBER(T1489)),IF(R1489&gt;T1489,"boven UCL",IF(R1489&lt;S1489,"onder LCL","")),"")</f>
        <v/>
      </c>
    </row>
    <row r="1490">
      <c r="A1490" t="n">
        <v>1384</v>
      </c>
      <c r="B1490" s="7" t="n"/>
      <c r="C1490" s="11">
        <f>IF(AND(ISNUMBER(B1490),ISNUMBER(B1489)),ABS(B1490-B1489),"")</f>
        <v/>
      </c>
      <c r="D1490" s="13">
        <f>IF(AND(ISNUMBER(B1490),ISNUMBER($B$88),ISNUMBER($D$88)),IF(B1490&gt;$D$88,"boven UCL",IF(B1490&lt;$B$88,"onder LCL","")),"")</f>
        <v/>
      </c>
      <c r="E1490" s="13">
        <f>IF(AND(ISNUMBER(C1490),ISNUMBER($B$89),ISNUMBER($D$89)),IF(C1490&gt;$D$89,"boven UCL",IF(C1490&lt;$B$89,"onder LCL","")),"")</f>
        <v/>
      </c>
      <c r="G1490" t="n">
        <v>1384</v>
      </c>
      <c r="H1490" s="7" t="n"/>
      <c r="I1490" s="7" t="n"/>
      <c r="J1490" s="11">
        <f>IF(AND(ISNUMBER(H1490),ISNUMBER(I1490),H1490&gt;0,ISNUMBER($B$94)),I1490/H1490,"")</f>
        <v/>
      </c>
      <c r="K1490" s="11">
        <f>IF(AND(ISNUMBER(H1490),ISNUMBER(I1490),H1490&gt;0,ISNUMBER($B$94)),MAX(0,$B$94-3*SQRT($B$94*(1-$B$94)/H1490)),"")</f>
        <v/>
      </c>
      <c r="L1490" s="11">
        <f>IF(AND(ISNUMBER(H1490),ISNUMBER(I1490),H1490&gt;0,ISNUMBER($B$94)),$B$94+3*SQRT($B$94*(1-$B$94)/H1490),"")</f>
        <v/>
      </c>
      <c r="M1490" s="13">
        <f>IF(AND(ISNUMBER(J1490),ISNUMBER(K1490),ISNUMBER(L1490)),IF(J1490&gt;L1490,"boven UCL",IF(J1490&lt;K1490,"onder LCL","")),"")</f>
        <v/>
      </c>
      <c r="O1490" t="n">
        <v>1384</v>
      </c>
      <c r="P1490" s="7" t="n"/>
      <c r="Q1490" s="7" t="n"/>
      <c r="R1490" s="11">
        <f>IF(AND(ISNUMBER(P1490),ISNUMBER(Q1490),P1490&gt;0,ISNUMBER($B$100)),Q1490/P1490,"")</f>
        <v/>
      </c>
      <c r="S1490" s="11">
        <f>IF(AND(ISNUMBER(P1490),ISNUMBER(Q1490),P1490&gt;0,ISNUMBER($B$100)),MAX(0,$B$100-3*SQRT($B$100/P1490)),"")</f>
        <v/>
      </c>
      <c r="T1490" s="11">
        <f>IF(AND(ISNUMBER(P1490),ISNUMBER(Q1490),P1490&gt;0,ISNUMBER($B$100)),$B$100+3*SQRT($B$100/P1490),"")</f>
        <v/>
      </c>
      <c r="U1490" s="13">
        <f>IF(AND(ISNUMBER(R1490),ISNUMBER(S1490),ISNUMBER(T1490)),IF(R1490&gt;T1490,"boven UCL",IF(R1490&lt;S1490,"onder LCL","")),"")</f>
        <v/>
      </c>
    </row>
    <row r="1491">
      <c r="A1491" t="n">
        <v>1385</v>
      </c>
      <c r="B1491" s="7" t="n"/>
      <c r="C1491" s="11">
        <f>IF(AND(ISNUMBER(B1491),ISNUMBER(B1490)),ABS(B1491-B1490),"")</f>
        <v/>
      </c>
      <c r="D1491" s="13">
        <f>IF(AND(ISNUMBER(B1491),ISNUMBER($B$88),ISNUMBER($D$88)),IF(B1491&gt;$D$88,"boven UCL",IF(B1491&lt;$B$88,"onder LCL","")),"")</f>
        <v/>
      </c>
      <c r="E1491" s="13">
        <f>IF(AND(ISNUMBER(C1491),ISNUMBER($B$89),ISNUMBER($D$89)),IF(C1491&gt;$D$89,"boven UCL",IF(C1491&lt;$B$89,"onder LCL","")),"")</f>
        <v/>
      </c>
      <c r="G1491" t="n">
        <v>1385</v>
      </c>
      <c r="H1491" s="7" t="n"/>
      <c r="I1491" s="7" t="n"/>
      <c r="J1491" s="11">
        <f>IF(AND(ISNUMBER(H1491),ISNUMBER(I1491),H1491&gt;0,ISNUMBER($B$94)),I1491/H1491,"")</f>
        <v/>
      </c>
      <c r="K1491" s="11">
        <f>IF(AND(ISNUMBER(H1491),ISNUMBER(I1491),H1491&gt;0,ISNUMBER($B$94)),MAX(0,$B$94-3*SQRT($B$94*(1-$B$94)/H1491)),"")</f>
        <v/>
      </c>
      <c r="L1491" s="11">
        <f>IF(AND(ISNUMBER(H1491),ISNUMBER(I1491),H1491&gt;0,ISNUMBER($B$94)),$B$94+3*SQRT($B$94*(1-$B$94)/H1491),"")</f>
        <v/>
      </c>
      <c r="M1491" s="13">
        <f>IF(AND(ISNUMBER(J1491),ISNUMBER(K1491),ISNUMBER(L1491)),IF(J1491&gt;L1491,"boven UCL",IF(J1491&lt;K1491,"onder LCL","")),"")</f>
        <v/>
      </c>
      <c r="O1491" t="n">
        <v>1385</v>
      </c>
      <c r="P1491" s="7" t="n"/>
      <c r="Q1491" s="7" t="n"/>
      <c r="R1491" s="11">
        <f>IF(AND(ISNUMBER(P1491),ISNUMBER(Q1491),P1491&gt;0,ISNUMBER($B$100)),Q1491/P1491,"")</f>
        <v/>
      </c>
      <c r="S1491" s="11">
        <f>IF(AND(ISNUMBER(P1491),ISNUMBER(Q1491),P1491&gt;0,ISNUMBER($B$100)),MAX(0,$B$100-3*SQRT($B$100/P1491)),"")</f>
        <v/>
      </c>
      <c r="T1491" s="11">
        <f>IF(AND(ISNUMBER(P1491),ISNUMBER(Q1491),P1491&gt;0,ISNUMBER($B$100)),$B$100+3*SQRT($B$100/P1491),"")</f>
        <v/>
      </c>
      <c r="U1491" s="13">
        <f>IF(AND(ISNUMBER(R1491),ISNUMBER(S1491),ISNUMBER(T1491)),IF(R1491&gt;T1491,"boven UCL",IF(R1491&lt;S1491,"onder LCL","")),"")</f>
        <v/>
      </c>
    </row>
    <row r="1492">
      <c r="A1492" t="n">
        <v>1386</v>
      </c>
      <c r="B1492" s="7" t="n"/>
      <c r="C1492" s="11">
        <f>IF(AND(ISNUMBER(B1492),ISNUMBER(B1491)),ABS(B1492-B1491),"")</f>
        <v/>
      </c>
      <c r="D1492" s="13">
        <f>IF(AND(ISNUMBER(B1492),ISNUMBER($B$88),ISNUMBER($D$88)),IF(B1492&gt;$D$88,"boven UCL",IF(B1492&lt;$B$88,"onder LCL","")),"")</f>
        <v/>
      </c>
      <c r="E1492" s="13">
        <f>IF(AND(ISNUMBER(C1492),ISNUMBER($B$89),ISNUMBER($D$89)),IF(C1492&gt;$D$89,"boven UCL",IF(C1492&lt;$B$89,"onder LCL","")),"")</f>
        <v/>
      </c>
      <c r="G1492" t="n">
        <v>1386</v>
      </c>
      <c r="H1492" s="7" t="n"/>
      <c r="I1492" s="7" t="n"/>
      <c r="J1492" s="11">
        <f>IF(AND(ISNUMBER(H1492),ISNUMBER(I1492),H1492&gt;0,ISNUMBER($B$94)),I1492/H1492,"")</f>
        <v/>
      </c>
      <c r="K1492" s="11">
        <f>IF(AND(ISNUMBER(H1492),ISNUMBER(I1492),H1492&gt;0,ISNUMBER($B$94)),MAX(0,$B$94-3*SQRT($B$94*(1-$B$94)/H1492)),"")</f>
        <v/>
      </c>
      <c r="L1492" s="11">
        <f>IF(AND(ISNUMBER(H1492),ISNUMBER(I1492),H1492&gt;0,ISNUMBER($B$94)),$B$94+3*SQRT($B$94*(1-$B$94)/H1492),"")</f>
        <v/>
      </c>
      <c r="M1492" s="13">
        <f>IF(AND(ISNUMBER(J1492),ISNUMBER(K1492),ISNUMBER(L1492)),IF(J1492&gt;L1492,"boven UCL",IF(J1492&lt;K1492,"onder LCL","")),"")</f>
        <v/>
      </c>
      <c r="O1492" t="n">
        <v>1386</v>
      </c>
      <c r="P1492" s="7" t="n"/>
      <c r="Q1492" s="7" t="n"/>
      <c r="R1492" s="11">
        <f>IF(AND(ISNUMBER(P1492),ISNUMBER(Q1492),P1492&gt;0,ISNUMBER($B$100)),Q1492/P1492,"")</f>
        <v/>
      </c>
      <c r="S1492" s="11">
        <f>IF(AND(ISNUMBER(P1492),ISNUMBER(Q1492),P1492&gt;0,ISNUMBER($B$100)),MAX(0,$B$100-3*SQRT($B$100/P1492)),"")</f>
        <v/>
      </c>
      <c r="T1492" s="11">
        <f>IF(AND(ISNUMBER(P1492),ISNUMBER(Q1492),P1492&gt;0,ISNUMBER($B$100)),$B$100+3*SQRT($B$100/P1492),"")</f>
        <v/>
      </c>
      <c r="U1492" s="13">
        <f>IF(AND(ISNUMBER(R1492),ISNUMBER(S1492),ISNUMBER(T1492)),IF(R1492&gt;T1492,"boven UCL",IF(R1492&lt;S1492,"onder LCL","")),"")</f>
        <v/>
      </c>
    </row>
    <row r="1493">
      <c r="A1493" t="n">
        <v>1387</v>
      </c>
      <c r="B1493" s="7" t="n"/>
      <c r="C1493" s="11">
        <f>IF(AND(ISNUMBER(B1493),ISNUMBER(B1492)),ABS(B1493-B1492),"")</f>
        <v/>
      </c>
      <c r="D1493" s="13">
        <f>IF(AND(ISNUMBER(B1493),ISNUMBER($B$88),ISNUMBER($D$88)),IF(B1493&gt;$D$88,"boven UCL",IF(B1493&lt;$B$88,"onder LCL","")),"")</f>
        <v/>
      </c>
      <c r="E1493" s="13">
        <f>IF(AND(ISNUMBER(C1493),ISNUMBER($B$89),ISNUMBER($D$89)),IF(C1493&gt;$D$89,"boven UCL",IF(C1493&lt;$B$89,"onder LCL","")),"")</f>
        <v/>
      </c>
      <c r="G1493" t="n">
        <v>1387</v>
      </c>
      <c r="H1493" s="7" t="n"/>
      <c r="I1493" s="7" t="n"/>
      <c r="J1493" s="11">
        <f>IF(AND(ISNUMBER(H1493),ISNUMBER(I1493),H1493&gt;0,ISNUMBER($B$94)),I1493/H1493,"")</f>
        <v/>
      </c>
      <c r="K1493" s="11">
        <f>IF(AND(ISNUMBER(H1493),ISNUMBER(I1493),H1493&gt;0,ISNUMBER($B$94)),MAX(0,$B$94-3*SQRT($B$94*(1-$B$94)/H1493)),"")</f>
        <v/>
      </c>
      <c r="L1493" s="11">
        <f>IF(AND(ISNUMBER(H1493),ISNUMBER(I1493),H1493&gt;0,ISNUMBER($B$94)),$B$94+3*SQRT($B$94*(1-$B$94)/H1493),"")</f>
        <v/>
      </c>
      <c r="M1493" s="13">
        <f>IF(AND(ISNUMBER(J1493),ISNUMBER(K1493),ISNUMBER(L1493)),IF(J1493&gt;L1493,"boven UCL",IF(J1493&lt;K1493,"onder LCL","")),"")</f>
        <v/>
      </c>
      <c r="O1493" t="n">
        <v>1387</v>
      </c>
      <c r="P1493" s="7" t="n"/>
      <c r="Q1493" s="7" t="n"/>
      <c r="R1493" s="11">
        <f>IF(AND(ISNUMBER(P1493),ISNUMBER(Q1493),P1493&gt;0,ISNUMBER($B$100)),Q1493/P1493,"")</f>
        <v/>
      </c>
      <c r="S1493" s="11">
        <f>IF(AND(ISNUMBER(P1493),ISNUMBER(Q1493),P1493&gt;0,ISNUMBER($B$100)),MAX(0,$B$100-3*SQRT($B$100/P1493)),"")</f>
        <v/>
      </c>
      <c r="T1493" s="11">
        <f>IF(AND(ISNUMBER(P1493),ISNUMBER(Q1493),P1493&gt;0,ISNUMBER($B$100)),$B$100+3*SQRT($B$100/P1493),"")</f>
        <v/>
      </c>
      <c r="U1493" s="13">
        <f>IF(AND(ISNUMBER(R1493),ISNUMBER(S1493),ISNUMBER(T1493)),IF(R1493&gt;T1493,"boven UCL",IF(R1493&lt;S1493,"onder LCL","")),"")</f>
        <v/>
      </c>
    </row>
    <row r="1494">
      <c r="A1494" t="n">
        <v>1388</v>
      </c>
      <c r="B1494" s="7" t="n"/>
      <c r="C1494" s="11">
        <f>IF(AND(ISNUMBER(B1494),ISNUMBER(B1493)),ABS(B1494-B1493),"")</f>
        <v/>
      </c>
      <c r="D1494" s="13">
        <f>IF(AND(ISNUMBER(B1494),ISNUMBER($B$88),ISNUMBER($D$88)),IF(B1494&gt;$D$88,"boven UCL",IF(B1494&lt;$B$88,"onder LCL","")),"")</f>
        <v/>
      </c>
      <c r="E1494" s="13">
        <f>IF(AND(ISNUMBER(C1494),ISNUMBER($B$89),ISNUMBER($D$89)),IF(C1494&gt;$D$89,"boven UCL",IF(C1494&lt;$B$89,"onder LCL","")),"")</f>
        <v/>
      </c>
      <c r="G1494" t="n">
        <v>1388</v>
      </c>
      <c r="H1494" s="7" t="n"/>
      <c r="I1494" s="7" t="n"/>
      <c r="J1494" s="11">
        <f>IF(AND(ISNUMBER(H1494),ISNUMBER(I1494),H1494&gt;0,ISNUMBER($B$94)),I1494/H1494,"")</f>
        <v/>
      </c>
      <c r="K1494" s="11">
        <f>IF(AND(ISNUMBER(H1494),ISNUMBER(I1494),H1494&gt;0,ISNUMBER($B$94)),MAX(0,$B$94-3*SQRT($B$94*(1-$B$94)/H1494)),"")</f>
        <v/>
      </c>
      <c r="L1494" s="11">
        <f>IF(AND(ISNUMBER(H1494),ISNUMBER(I1494),H1494&gt;0,ISNUMBER($B$94)),$B$94+3*SQRT($B$94*(1-$B$94)/H1494),"")</f>
        <v/>
      </c>
      <c r="M1494" s="13">
        <f>IF(AND(ISNUMBER(J1494),ISNUMBER(K1494),ISNUMBER(L1494)),IF(J1494&gt;L1494,"boven UCL",IF(J1494&lt;K1494,"onder LCL","")),"")</f>
        <v/>
      </c>
      <c r="O1494" t="n">
        <v>1388</v>
      </c>
      <c r="P1494" s="7" t="n"/>
      <c r="Q1494" s="7" t="n"/>
      <c r="R1494" s="11">
        <f>IF(AND(ISNUMBER(P1494),ISNUMBER(Q1494),P1494&gt;0,ISNUMBER($B$100)),Q1494/P1494,"")</f>
        <v/>
      </c>
      <c r="S1494" s="11">
        <f>IF(AND(ISNUMBER(P1494),ISNUMBER(Q1494),P1494&gt;0,ISNUMBER($B$100)),MAX(0,$B$100-3*SQRT($B$100/P1494)),"")</f>
        <v/>
      </c>
      <c r="T1494" s="11">
        <f>IF(AND(ISNUMBER(P1494),ISNUMBER(Q1494),P1494&gt;0,ISNUMBER($B$100)),$B$100+3*SQRT($B$100/P1494),"")</f>
        <v/>
      </c>
      <c r="U1494" s="13">
        <f>IF(AND(ISNUMBER(R1494),ISNUMBER(S1494),ISNUMBER(T1494)),IF(R1494&gt;T1494,"boven UCL",IF(R1494&lt;S1494,"onder LCL","")),"")</f>
        <v/>
      </c>
    </row>
    <row r="1495">
      <c r="A1495" t="n">
        <v>1389</v>
      </c>
      <c r="B1495" s="7" t="n"/>
      <c r="C1495" s="11">
        <f>IF(AND(ISNUMBER(B1495),ISNUMBER(B1494)),ABS(B1495-B1494),"")</f>
        <v/>
      </c>
      <c r="D1495" s="13">
        <f>IF(AND(ISNUMBER(B1495),ISNUMBER($B$88),ISNUMBER($D$88)),IF(B1495&gt;$D$88,"boven UCL",IF(B1495&lt;$B$88,"onder LCL","")),"")</f>
        <v/>
      </c>
      <c r="E1495" s="13">
        <f>IF(AND(ISNUMBER(C1495),ISNUMBER($B$89),ISNUMBER($D$89)),IF(C1495&gt;$D$89,"boven UCL",IF(C1495&lt;$B$89,"onder LCL","")),"")</f>
        <v/>
      </c>
      <c r="G1495" t="n">
        <v>1389</v>
      </c>
      <c r="H1495" s="7" t="n"/>
      <c r="I1495" s="7" t="n"/>
      <c r="J1495" s="11">
        <f>IF(AND(ISNUMBER(H1495),ISNUMBER(I1495),H1495&gt;0,ISNUMBER($B$94)),I1495/H1495,"")</f>
        <v/>
      </c>
      <c r="K1495" s="11">
        <f>IF(AND(ISNUMBER(H1495),ISNUMBER(I1495),H1495&gt;0,ISNUMBER($B$94)),MAX(0,$B$94-3*SQRT($B$94*(1-$B$94)/H1495)),"")</f>
        <v/>
      </c>
      <c r="L1495" s="11">
        <f>IF(AND(ISNUMBER(H1495),ISNUMBER(I1495),H1495&gt;0,ISNUMBER($B$94)),$B$94+3*SQRT($B$94*(1-$B$94)/H1495),"")</f>
        <v/>
      </c>
      <c r="M1495" s="13">
        <f>IF(AND(ISNUMBER(J1495),ISNUMBER(K1495),ISNUMBER(L1495)),IF(J1495&gt;L1495,"boven UCL",IF(J1495&lt;K1495,"onder LCL","")),"")</f>
        <v/>
      </c>
      <c r="O1495" t="n">
        <v>1389</v>
      </c>
      <c r="P1495" s="7" t="n"/>
      <c r="Q1495" s="7" t="n"/>
      <c r="R1495" s="11">
        <f>IF(AND(ISNUMBER(P1495),ISNUMBER(Q1495),P1495&gt;0,ISNUMBER($B$100)),Q1495/P1495,"")</f>
        <v/>
      </c>
      <c r="S1495" s="11">
        <f>IF(AND(ISNUMBER(P1495),ISNUMBER(Q1495),P1495&gt;0,ISNUMBER($B$100)),MAX(0,$B$100-3*SQRT($B$100/P1495)),"")</f>
        <v/>
      </c>
      <c r="T1495" s="11">
        <f>IF(AND(ISNUMBER(P1495),ISNUMBER(Q1495),P1495&gt;0,ISNUMBER($B$100)),$B$100+3*SQRT($B$100/P1495),"")</f>
        <v/>
      </c>
      <c r="U1495" s="13">
        <f>IF(AND(ISNUMBER(R1495),ISNUMBER(S1495),ISNUMBER(T1495)),IF(R1495&gt;T1495,"boven UCL",IF(R1495&lt;S1495,"onder LCL","")),"")</f>
        <v/>
      </c>
    </row>
    <row r="1496">
      <c r="A1496" t="n">
        <v>1390</v>
      </c>
      <c r="B1496" s="7" t="n"/>
      <c r="C1496" s="11">
        <f>IF(AND(ISNUMBER(B1496),ISNUMBER(B1495)),ABS(B1496-B1495),"")</f>
        <v/>
      </c>
      <c r="D1496" s="13">
        <f>IF(AND(ISNUMBER(B1496),ISNUMBER($B$88),ISNUMBER($D$88)),IF(B1496&gt;$D$88,"boven UCL",IF(B1496&lt;$B$88,"onder LCL","")),"")</f>
        <v/>
      </c>
      <c r="E1496" s="13">
        <f>IF(AND(ISNUMBER(C1496),ISNUMBER($B$89),ISNUMBER($D$89)),IF(C1496&gt;$D$89,"boven UCL",IF(C1496&lt;$B$89,"onder LCL","")),"")</f>
        <v/>
      </c>
      <c r="G1496" t="n">
        <v>1390</v>
      </c>
      <c r="H1496" s="7" t="n"/>
      <c r="I1496" s="7" t="n"/>
      <c r="J1496" s="11">
        <f>IF(AND(ISNUMBER(H1496),ISNUMBER(I1496),H1496&gt;0,ISNUMBER($B$94)),I1496/H1496,"")</f>
        <v/>
      </c>
      <c r="K1496" s="11">
        <f>IF(AND(ISNUMBER(H1496),ISNUMBER(I1496),H1496&gt;0,ISNUMBER($B$94)),MAX(0,$B$94-3*SQRT($B$94*(1-$B$94)/H1496)),"")</f>
        <v/>
      </c>
      <c r="L1496" s="11">
        <f>IF(AND(ISNUMBER(H1496),ISNUMBER(I1496),H1496&gt;0,ISNUMBER($B$94)),$B$94+3*SQRT($B$94*(1-$B$94)/H1496),"")</f>
        <v/>
      </c>
      <c r="M1496" s="13">
        <f>IF(AND(ISNUMBER(J1496),ISNUMBER(K1496),ISNUMBER(L1496)),IF(J1496&gt;L1496,"boven UCL",IF(J1496&lt;K1496,"onder LCL","")),"")</f>
        <v/>
      </c>
      <c r="O1496" t="n">
        <v>1390</v>
      </c>
      <c r="P1496" s="7" t="n"/>
      <c r="Q1496" s="7" t="n"/>
      <c r="R1496" s="11">
        <f>IF(AND(ISNUMBER(P1496),ISNUMBER(Q1496),P1496&gt;0,ISNUMBER($B$100)),Q1496/P1496,"")</f>
        <v/>
      </c>
      <c r="S1496" s="11">
        <f>IF(AND(ISNUMBER(P1496),ISNUMBER(Q1496),P1496&gt;0,ISNUMBER($B$100)),MAX(0,$B$100-3*SQRT($B$100/P1496)),"")</f>
        <v/>
      </c>
      <c r="T1496" s="11">
        <f>IF(AND(ISNUMBER(P1496),ISNUMBER(Q1496),P1496&gt;0,ISNUMBER($B$100)),$B$100+3*SQRT($B$100/P1496),"")</f>
        <v/>
      </c>
      <c r="U1496" s="13">
        <f>IF(AND(ISNUMBER(R1496),ISNUMBER(S1496),ISNUMBER(T1496)),IF(R1496&gt;T1496,"boven UCL",IF(R1496&lt;S1496,"onder LCL","")),"")</f>
        <v/>
      </c>
    </row>
    <row r="1497">
      <c r="A1497" t="n">
        <v>1391</v>
      </c>
      <c r="B1497" s="7" t="n"/>
      <c r="C1497" s="11">
        <f>IF(AND(ISNUMBER(B1497),ISNUMBER(B1496)),ABS(B1497-B1496),"")</f>
        <v/>
      </c>
      <c r="D1497" s="13">
        <f>IF(AND(ISNUMBER(B1497),ISNUMBER($B$88),ISNUMBER($D$88)),IF(B1497&gt;$D$88,"boven UCL",IF(B1497&lt;$B$88,"onder LCL","")),"")</f>
        <v/>
      </c>
      <c r="E1497" s="13">
        <f>IF(AND(ISNUMBER(C1497),ISNUMBER($B$89),ISNUMBER($D$89)),IF(C1497&gt;$D$89,"boven UCL",IF(C1497&lt;$B$89,"onder LCL","")),"")</f>
        <v/>
      </c>
      <c r="G1497" t="n">
        <v>1391</v>
      </c>
      <c r="H1497" s="7" t="n"/>
      <c r="I1497" s="7" t="n"/>
      <c r="J1497" s="11">
        <f>IF(AND(ISNUMBER(H1497),ISNUMBER(I1497),H1497&gt;0,ISNUMBER($B$94)),I1497/H1497,"")</f>
        <v/>
      </c>
      <c r="K1497" s="11">
        <f>IF(AND(ISNUMBER(H1497),ISNUMBER(I1497),H1497&gt;0,ISNUMBER($B$94)),MAX(0,$B$94-3*SQRT($B$94*(1-$B$94)/H1497)),"")</f>
        <v/>
      </c>
      <c r="L1497" s="11">
        <f>IF(AND(ISNUMBER(H1497),ISNUMBER(I1497),H1497&gt;0,ISNUMBER($B$94)),$B$94+3*SQRT($B$94*(1-$B$94)/H1497),"")</f>
        <v/>
      </c>
      <c r="M1497" s="13">
        <f>IF(AND(ISNUMBER(J1497),ISNUMBER(K1497),ISNUMBER(L1497)),IF(J1497&gt;L1497,"boven UCL",IF(J1497&lt;K1497,"onder LCL","")),"")</f>
        <v/>
      </c>
      <c r="O1497" t="n">
        <v>1391</v>
      </c>
      <c r="P1497" s="7" t="n"/>
      <c r="Q1497" s="7" t="n"/>
      <c r="R1497" s="11">
        <f>IF(AND(ISNUMBER(P1497),ISNUMBER(Q1497),P1497&gt;0,ISNUMBER($B$100)),Q1497/P1497,"")</f>
        <v/>
      </c>
      <c r="S1497" s="11">
        <f>IF(AND(ISNUMBER(P1497),ISNUMBER(Q1497),P1497&gt;0,ISNUMBER($B$100)),MAX(0,$B$100-3*SQRT($B$100/P1497)),"")</f>
        <v/>
      </c>
      <c r="T1497" s="11">
        <f>IF(AND(ISNUMBER(P1497),ISNUMBER(Q1497),P1497&gt;0,ISNUMBER($B$100)),$B$100+3*SQRT($B$100/P1497),"")</f>
        <v/>
      </c>
      <c r="U1497" s="13">
        <f>IF(AND(ISNUMBER(R1497),ISNUMBER(S1497),ISNUMBER(T1497)),IF(R1497&gt;T1497,"boven UCL",IF(R1497&lt;S1497,"onder LCL","")),"")</f>
        <v/>
      </c>
    </row>
    <row r="1498">
      <c r="A1498" t="n">
        <v>1392</v>
      </c>
      <c r="B1498" s="7" t="n"/>
      <c r="C1498" s="11">
        <f>IF(AND(ISNUMBER(B1498),ISNUMBER(B1497)),ABS(B1498-B1497),"")</f>
        <v/>
      </c>
      <c r="D1498" s="13">
        <f>IF(AND(ISNUMBER(B1498),ISNUMBER($B$88),ISNUMBER($D$88)),IF(B1498&gt;$D$88,"boven UCL",IF(B1498&lt;$B$88,"onder LCL","")),"")</f>
        <v/>
      </c>
      <c r="E1498" s="13">
        <f>IF(AND(ISNUMBER(C1498),ISNUMBER($B$89),ISNUMBER($D$89)),IF(C1498&gt;$D$89,"boven UCL",IF(C1498&lt;$B$89,"onder LCL","")),"")</f>
        <v/>
      </c>
      <c r="G1498" t="n">
        <v>1392</v>
      </c>
      <c r="H1498" s="7" t="n"/>
      <c r="I1498" s="7" t="n"/>
      <c r="J1498" s="11">
        <f>IF(AND(ISNUMBER(H1498),ISNUMBER(I1498),H1498&gt;0,ISNUMBER($B$94)),I1498/H1498,"")</f>
        <v/>
      </c>
      <c r="K1498" s="11">
        <f>IF(AND(ISNUMBER(H1498),ISNUMBER(I1498),H1498&gt;0,ISNUMBER($B$94)),MAX(0,$B$94-3*SQRT($B$94*(1-$B$94)/H1498)),"")</f>
        <v/>
      </c>
      <c r="L1498" s="11">
        <f>IF(AND(ISNUMBER(H1498),ISNUMBER(I1498),H1498&gt;0,ISNUMBER($B$94)),$B$94+3*SQRT($B$94*(1-$B$94)/H1498),"")</f>
        <v/>
      </c>
      <c r="M1498" s="13">
        <f>IF(AND(ISNUMBER(J1498),ISNUMBER(K1498),ISNUMBER(L1498)),IF(J1498&gt;L1498,"boven UCL",IF(J1498&lt;K1498,"onder LCL","")),"")</f>
        <v/>
      </c>
      <c r="O1498" t="n">
        <v>1392</v>
      </c>
      <c r="P1498" s="7" t="n"/>
      <c r="Q1498" s="7" t="n"/>
      <c r="R1498" s="11">
        <f>IF(AND(ISNUMBER(P1498),ISNUMBER(Q1498),P1498&gt;0,ISNUMBER($B$100)),Q1498/P1498,"")</f>
        <v/>
      </c>
      <c r="S1498" s="11">
        <f>IF(AND(ISNUMBER(P1498),ISNUMBER(Q1498),P1498&gt;0,ISNUMBER($B$100)),MAX(0,$B$100-3*SQRT($B$100/P1498)),"")</f>
        <v/>
      </c>
      <c r="T1498" s="11">
        <f>IF(AND(ISNUMBER(P1498),ISNUMBER(Q1498),P1498&gt;0,ISNUMBER($B$100)),$B$100+3*SQRT($B$100/P1498),"")</f>
        <v/>
      </c>
      <c r="U1498" s="13">
        <f>IF(AND(ISNUMBER(R1498),ISNUMBER(S1498),ISNUMBER(T1498)),IF(R1498&gt;T1498,"boven UCL",IF(R1498&lt;S1498,"onder LCL","")),"")</f>
        <v/>
      </c>
    </row>
    <row r="1499">
      <c r="A1499" t="n">
        <v>1393</v>
      </c>
      <c r="B1499" s="7" t="n"/>
      <c r="C1499" s="11">
        <f>IF(AND(ISNUMBER(B1499),ISNUMBER(B1498)),ABS(B1499-B1498),"")</f>
        <v/>
      </c>
      <c r="D1499" s="13">
        <f>IF(AND(ISNUMBER(B1499),ISNUMBER($B$88),ISNUMBER($D$88)),IF(B1499&gt;$D$88,"boven UCL",IF(B1499&lt;$B$88,"onder LCL","")),"")</f>
        <v/>
      </c>
      <c r="E1499" s="13">
        <f>IF(AND(ISNUMBER(C1499),ISNUMBER($B$89),ISNUMBER($D$89)),IF(C1499&gt;$D$89,"boven UCL",IF(C1499&lt;$B$89,"onder LCL","")),"")</f>
        <v/>
      </c>
      <c r="G1499" t="n">
        <v>1393</v>
      </c>
      <c r="H1499" s="7" t="n"/>
      <c r="I1499" s="7" t="n"/>
      <c r="J1499" s="11">
        <f>IF(AND(ISNUMBER(H1499),ISNUMBER(I1499),H1499&gt;0,ISNUMBER($B$94)),I1499/H1499,"")</f>
        <v/>
      </c>
      <c r="K1499" s="11">
        <f>IF(AND(ISNUMBER(H1499),ISNUMBER(I1499),H1499&gt;0,ISNUMBER($B$94)),MAX(0,$B$94-3*SQRT($B$94*(1-$B$94)/H1499)),"")</f>
        <v/>
      </c>
      <c r="L1499" s="11">
        <f>IF(AND(ISNUMBER(H1499),ISNUMBER(I1499),H1499&gt;0,ISNUMBER($B$94)),$B$94+3*SQRT($B$94*(1-$B$94)/H1499),"")</f>
        <v/>
      </c>
      <c r="M1499" s="13">
        <f>IF(AND(ISNUMBER(J1499),ISNUMBER(K1499),ISNUMBER(L1499)),IF(J1499&gt;L1499,"boven UCL",IF(J1499&lt;K1499,"onder LCL","")),"")</f>
        <v/>
      </c>
      <c r="O1499" t="n">
        <v>1393</v>
      </c>
      <c r="P1499" s="7" t="n"/>
      <c r="Q1499" s="7" t="n"/>
      <c r="R1499" s="11">
        <f>IF(AND(ISNUMBER(P1499),ISNUMBER(Q1499),P1499&gt;0,ISNUMBER($B$100)),Q1499/P1499,"")</f>
        <v/>
      </c>
      <c r="S1499" s="11">
        <f>IF(AND(ISNUMBER(P1499),ISNUMBER(Q1499),P1499&gt;0,ISNUMBER($B$100)),MAX(0,$B$100-3*SQRT($B$100/P1499)),"")</f>
        <v/>
      </c>
      <c r="T1499" s="11">
        <f>IF(AND(ISNUMBER(P1499),ISNUMBER(Q1499),P1499&gt;0,ISNUMBER($B$100)),$B$100+3*SQRT($B$100/P1499),"")</f>
        <v/>
      </c>
      <c r="U1499" s="13">
        <f>IF(AND(ISNUMBER(R1499),ISNUMBER(S1499),ISNUMBER(T1499)),IF(R1499&gt;T1499,"boven UCL",IF(R1499&lt;S1499,"onder LCL","")),"")</f>
        <v/>
      </c>
    </row>
    <row r="1500">
      <c r="A1500" t="n">
        <v>1394</v>
      </c>
      <c r="B1500" s="7" t="n"/>
      <c r="C1500" s="11">
        <f>IF(AND(ISNUMBER(B1500),ISNUMBER(B1499)),ABS(B1500-B1499),"")</f>
        <v/>
      </c>
      <c r="D1500" s="13">
        <f>IF(AND(ISNUMBER(B1500),ISNUMBER($B$88),ISNUMBER($D$88)),IF(B1500&gt;$D$88,"boven UCL",IF(B1500&lt;$B$88,"onder LCL","")),"")</f>
        <v/>
      </c>
      <c r="E1500" s="13">
        <f>IF(AND(ISNUMBER(C1500),ISNUMBER($B$89),ISNUMBER($D$89)),IF(C1500&gt;$D$89,"boven UCL",IF(C1500&lt;$B$89,"onder LCL","")),"")</f>
        <v/>
      </c>
      <c r="G1500" t="n">
        <v>1394</v>
      </c>
      <c r="H1500" s="7" t="n"/>
      <c r="I1500" s="7" t="n"/>
      <c r="J1500" s="11">
        <f>IF(AND(ISNUMBER(H1500),ISNUMBER(I1500),H1500&gt;0,ISNUMBER($B$94)),I1500/H1500,"")</f>
        <v/>
      </c>
      <c r="K1500" s="11">
        <f>IF(AND(ISNUMBER(H1500),ISNUMBER(I1500),H1500&gt;0,ISNUMBER($B$94)),MAX(0,$B$94-3*SQRT($B$94*(1-$B$94)/H1500)),"")</f>
        <v/>
      </c>
      <c r="L1500" s="11">
        <f>IF(AND(ISNUMBER(H1500),ISNUMBER(I1500),H1500&gt;0,ISNUMBER($B$94)),$B$94+3*SQRT($B$94*(1-$B$94)/H1500),"")</f>
        <v/>
      </c>
      <c r="M1500" s="13">
        <f>IF(AND(ISNUMBER(J1500),ISNUMBER(K1500),ISNUMBER(L1500)),IF(J1500&gt;L1500,"boven UCL",IF(J1500&lt;K1500,"onder LCL","")),"")</f>
        <v/>
      </c>
      <c r="O1500" t="n">
        <v>1394</v>
      </c>
      <c r="P1500" s="7" t="n"/>
      <c r="Q1500" s="7" t="n"/>
      <c r="R1500" s="11">
        <f>IF(AND(ISNUMBER(P1500),ISNUMBER(Q1500),P1500&gt;0,ISNUMBER($B$100)),Q1500/P1500,"")</f>
        <v/>
      </c>
      <c r="S1500" s="11">
        <f>IF(AND(ISNUMBER(P1500),ISNUMBER(Q1500),P1500&gt;0,ISNUMBER($B$100)),MAX(0,$B$100-3*SQRT($B$100/P1500)),"")</f>
        <v/>
      </c>
      <c r="T1500" s="11">
        <f>IF(AND(ISNUMBER(P1500),ISNUMBER(Q1500),P1500&gt;0,ISNUMBER($B$100)),$B$100+3*SQRT($B$100/P1500),"")</f>
        <v/>
      </c>
      <c r="U1500" s="13">
        <f>IF(AND(ISNUMBER(R1500),ISNUMBER(S1500),ISNUMBER(T1500)),IF(R1500&gt;T1500,"boven UCL",IF(R1500&lt;S1500,"onder LCL","")),"")</f>
        <v/>
      </c>
    </row>
    <row r="1501">
      <c r="A1501" t="n">
        <v>1395</v>
      </c>
      <c r="B1501" s="7" t="n"/>
      <c r="C1501" s="11">
        <f>IF(AND(ISNUMBER(B1501),ISNUMBER(B1500)),ABS(B1501-B1500),"")</f>
        <v/>
      </c>
      <c r="D1501" s="13">
        <f>IF(AND(ISNUMBER(B1501),ISNUMBER($B$88),ISNUMBER($D$88)),IF(B1501&gt;$D$88,"boven UCL",IF(B1501&lt;$B$88,"onder LCL","")),"")</f>
        <v/>
      </c>
      <c r="E1501" s="13">
        <f>IF(AND(ISNUMBER(C1501),ISNUMBER($B$89),ISNUMBER($D$89)),IF(C1501&gt;$D$89,"boven UCL",IF(C1501&lt;$B$89,"onder LCL","")),"")</f>
        <v/>
      </c>
      <c r="G1501" t="n">
        <v>1395</v>
      </c>
      <c r="H1501" s="7" t="n"/>
      <c r="I1501" s="7" t="n"/>
      <c r="J1501" s="11">
        <f>IF(AND(ISNUMBER(H1501),ISNUMBER(I1501),H1501&gt;0,ISNUMBER($B$94)),I1501/H1501,"")</f>
        <v/>
      </c>
      <c r="K1501" s="11">
        <f>IF(AND(ISNUMBER(H1501),ISNUMBER(I1501),H1501&gt;0,ISNUMBER($B$94)),MAX(0,$B$94-3*SQRT($B$94*(1-$B$94)/H1501)),"")</f>
        <v/>
      </c>
      <c r="L1501" s="11">
        <f>IF(AND(ISNUMBER(H1501),ISNUMBER(I1501),H1501&gt;0,ISNUMBER($B$94)),$B$94+3*SQRT($B$94*(1-$B$94)/H1501),"")</f>
        <v/>
      </c>
      <c r="M1501" s="13">
        <f>IF(AND(ISNUMBER(J1501),ISNUMBER(K1501),ISNUMBER(L1501)),IF(J1501&gt;L1501,"boven UCL",IF(J1501&lt;K1501,"onder LCL","")),"")</f>
        <v/>
      </c>
      <c r="O1501" t="n">
        <v>1395</v>
      </c>
      <c r="P1501" s="7" t="n"/>
      <c r="Q1501" s="7" t="n"/>
      <c r="R1501" s="11">
        <f>IF(AND(ISNUMBER(P1501),ISNUMBER(Q1501),P1501&gt;0,ISNUMBER($B$100)),Q1501/P1501,"")</f>
        <v/>
      </c>
      <c r="S1501" s="11">
        <f>IF(AND(ISNUMBER(P1501),ISNUMBER(Q1501),P1501&gt;0,ISNUMBER($B$100)),MAX(0,$B$100-3*SQRT($B$100/P1501)),"")</f>
        <v/>
      </c>
      <c r="T1501" s="11">
        <f>IF(AND(ISNUMBER(P1501),ISNUMBER(Q1501),P1501&gt;0,ISNUMBER($B$100)),$B$100+3*SQRT($B$100/P1501),"")</f>
        <v/>
      </c>
      <c r="U1501" s="13">
        <f>IF(AND(ISNUMBER(R1501),ISNUMBER(S1501),ISNUMBER(T1501)),IF(R1501&gt;T1501,"boven UCL",IF(R1501&lt;S1501,"onder LCL","")),"")</f>
        <v/>
      </c>
    </row>
    <row r="1502">
      <c r="A1502" t="n">
        <v>1396</v>
      </c>
      <c r="B1502" s="7" t="n"/>
      <c r="C1502" s="11">
        <f>IF(AND(ISNUMBER(B1502),ISNUMBER(B1501)),ABS(B1502-B1501),"")</f>
        <v/>
      </c>
      <c r="D1502" s="13">
        <f>IF(AND(ISNUMBER(B1502),ISNUMBER($B$88),ISNUMBER($D$88)),IF(B1502&gt;$D$88,"boven UCL",IF(B1502&lt;$B$88,"onder LCL","")),"")</f>
        <v/>
      </c>
      <c r="E1502" s="13">
        <f>IF(AND(ISNUMBER(C1502),ISNUMBER($B$89),ISNUMBER($D$89)),IF(C1502&gt;$D$89,"boven UCL",IF(C1502&lt;$B$89,"onder LCL","")),"")</f>
        <v/>
      </c>
      <c r="G1502" t="n">
        <v>1396</v>
      </c>
      <c r="H1502" s="7" t="n"/>
      <c r="I1502" s="7" t="n"/>
      <c r="J1502" s="11">
        <f>IF(AND(ISNUMBER(H1502),ISNUMBER(I1502),H1502&gt;0,ISNUMBER($B$94)),I1502/H1502,"")</f>
        <v/>
      </c>
      <c r="K1502" s="11">
        <f>IF(AND(ISNUMBER(H1502),ISNUMBER(I1502),H1502&gt;0,ISNUMBER($B$94)),MAX(0,$B$94-3*SQRT($B$94*(1-$B$94)/H1502)),"")</f>
        <v/>
      </c>
      <c r="L1502" s="11">
        <f>IF(AND(ISNUMBER(H1502),ISNUMBER(I1502),H1502&gt;0,ISNUMBER($B$94)),$B$94+3*SQRT($B$94*(1-$B$94)/H1502),"")</f>
        <v/>
      </c>
      <c r="M1502" s="13">
        <f>IF(AND(ISNUMBER(J1502),ISNUMBER(K1502),ISNUMBER(L1502)),IF(J1502&gt;L1502,"boven UCL",IF(J1502&lt;K1502,"onder LCL","")),"")</f>
        <v/>
      </c>
      <c r="O1502" t="n">
        <v>1396</v>
      </c>
      <c r="P1502" s="7" t="n"/>
      <c r="Q1502" s="7" t="n"/>
      <c r="R1502" s="11">
        <f>IF(AND(ISNUMBER(P1502),ISNUMBER(Q1502),P1502&gt;0,ISNUMBER($B$100)),Q1502/P1502,"")</f>
        <v/>
      </c>
      <c r="S1502" s="11">
        <f>IF(AND(ISNUMBER(P1502),ISNUMBER(Q1502),P1502&gt;0,ISNUMBER($B$100)),MAX(0,$B$100-3*SQRT($B$100/P1502)),"")</f>
        <v/>
      </c>
      <c r="T1502" s="11">
        <f>IF(AND(ISNUMBER(P1502),ISNUMBER(Q1502),P1502&gt;0,ISNUMBER($B$100)),$B$100+3*SQRT($B$100/P1502),"")</f>
        <v/>
      </c>
      <c r="U1502" s="13">
        <f>IF(AND(ISNUMBER(R1502),ISNUMBER(S1502),ISNUMBER(T1502)),IF(R1502&gt;T1502,"boven UCL",IF(R1502&lt;S1502,"onder LCL","")),"")</f>
        <v/>
      </c>
    </row>
    <row r="1503">
      <c r="A1503" t="n">
        <v>1397</v>
      </c>
      <c r="B1503" s="7" t="n"/>
      <c r="C1503" s="11">
        <f>IF(AND(ISNUMBER(B1503),ISNUMBER(B1502)),ABS(B1503-B1502),"")</f>
        <v/>
      </c>
      <c r="D1503" s="13">
        <f>IF(AND(ISNUMBER(B1503),ISNUMBER($B$88),ISNUMBER($D$88)),IF(B1503&gt;$D$88,"boven UCL",IF(B1503&lt;$B$88,"onder LCL","")),"")</f>
        <v/>
      </c>
      <c r="E1503" s="13">
        <f>IF(AND(ISNUMBER(C1503),ISNUMBER($B$89),ISNUMBER($D$89)),IF(C1503&gt;$D$89,"boven UCL",IF(C1503&lt;$B$89,"onder LCL","")),"")</f>
        <v/>
      </c>
      <c r="G1503" t="n">
        <v>1397</v>
      </c>
      <c r="H1503" s="7" t="n"/>
      <c r="I1503" s="7" t="n"/>
      <c r="J1503" s="11">
        <f>IF(AND(ISNUMBER(H1503),ISNUMBER(I1503),H1503&gt;0,ISNUMBER($B$94)),I1503/H1503,"")</f>
        <v/>
      </c>
      <c r="K1503" s="11">
        <f>IF(AND(ISNUMBER(H1503),ISNUMBER(I1503),H1503&gt;0,ISNUMBER($B$94)),MAX(0,$B$94-3*SQRT($B$94*(1-$B$94)/H1503)),"")</f>
        <v/>
      </c>
      <c r="L1503" s="11">
        <f>IF(AND(ISNUMBER(H1503),ISNUMBER(I1503),H1503&gt;0,ISNUMBER($B$94)),$B$94+3*SQRT($B$94*(1-$B$94)/H1503),"")</f>
        <v/>
      </c>
      <c r="M1503" s="13">
        <f>IF(AND(ISNUMBER(J1503),ISNUMBER(K1503),ISNUMBER(L1503)),IF(J1503&gt;L1503,"boven UCL",IF(J1503&lt;K1503,"onder LCL","")),"")</f>
        <v/>
      </c>
      <c r="O1503" t="n">
        <v>1397</v>
      </c>
      <c r="P1503" s="7" t="n"/>
      <c r="Q1503" s="7" t="n"/>
      <c r="R1503" s="11">
        <f>IF(AND(ISNUMBER(P1503),ISNUMBER(Q1503),P1503&gt;0,ISNUMBER($B$100)),Q1503/P1503,"")</f>
        <v/>
      </c>
      <c r="S1503" s="11">
        <f>IF(AND(ISNUMBER(P1503),ISNUMBER(Q1503),P1503&gt;0,ISNUMBER($B$100)),MAX(0,$B$100-3*SQRT($B$100/P1503)),"")</f>
        <v/>
      </c>
      <c r="T1503" s="11">
        <f>IF(AND(ISNUMBER(P1503),ISNUMBER(Q1503),P1503&gt;0,ISNUMBER($B$100)),$B$100+3*SQRT($B$100/P1503),"")</f>
        <v/>
      </c>
      <c r="U1503" s="13">
        <f>IF(AND(ISNUMBER(R1503),ISNUMBER(S1503),ISNUMBER(T1503)),IF(R1503&gt;T1503,"boven UCL",IF(R1503&lt;S1503,"onder LCL","")),"")</f>
        <v/>
      </c>
    </row>
    <row r="1504">
      <c r="A1504" t="n">
        <v>1398</v>
      </c>
      <c r="B1504" s="7" t="n"/>
      <c r="C1504" s="11">
        <f>IF(AND(ISNUMBER(B1504),ISNUMBER(B1503)),ABS(B1504-B1503),"")</f>
        <v/>
      </c>
      <c r="D1504" s="13">
        <f>IF(AND(ISNUMBER(B1504),ISNUMBER($B$88),ISNUMBER($D$88)),IF(B1504&gt;$D$88,"boven UCL",IF(B1504&lt;$B$88,"onder LCL","")),"")</f>
        <v/>
      </c>
      <c r="E1504" s="13">
        <f>IF(AND(ISNUMBER(C1504),ISNUMBER($B$89),ISNUMBER($D$89)),IF(C1504&gt;$D$89,"boven UCL",IF(C1504&lt;$B$89,"onder LCL","")),"")</f>
        <v/>
      </c>
      <c r="G1504" t="n">
        <v>1398</v>
      </c>
      <c r="H1504" s="7" t="n"/>
      <c r="I1504" s="7" t="n"/>
      <c r="J1504" s="11">
        <f>IF(AND(ISNUMBER(H1504),ISNUMBER(I1504),H1504&gt;0,ISNUMBER($B$94)),I1504/H1504,"")</f>
        <v/>
      </c>
      <c r="K1504" s="11">
        <f>IF(AND(ISNUMBER(H1504),ISNUMBER(I1504),H1504&gt;0,ISNUMBER($B$94)),MAX(0,$B$94-3*SQRT($B$94*(1-$B$94)/H1504)),"")</f>
        <v/>
      </c>
      <c r="L1504" s="11">
        <f>IF(AND(ISNUMBER(H1504),ISNUMBER(I1504),H1504&gt;0,ISNUMBER($B$94)),$B$94+3*SQRT($B$94*(1-$B$94)/H1504),"")</f>
        <v/>
      </c>
      <c r="M1504" s="13">
        <f>IF(AND(ISNUMBER(J1504),ISNUMBER(K1504),ISNUMBER(L1504)),IF(J1504&gt;L1504,"boven UCL",IF(J1504&lt;K1504,"onder LCL","")),"")</f>
        <v/>
      </c>
      <c r="O1504" t="n">
        <v>1398</v>
      </c>
      <c r="P1504" s="7" t="n"/>
      <c r="Q1504" s="7" t="n"/>
      <c r="R1504" s="11">
        <f>IF(AND(ISNUMBER(P1504),ISNUMBER(Q1504),P1504&gt;0,ISNUMBER($B$100)),Q1504/P1504,"")</f>
        <v/>
      </c>
      <c r="S1504" s="11">
        <f>IF(AND(ISNUMBER(P1504),ISNUMBER(Q1504),P1504&gt;0,ISNUMBER($B$100)),MAX(0,$B$100-3*SQRT($B$100/P1504)),"")</f>
        <v/>
      </c>
      <c r="T1504" s="11">
        <f>IF(AND(ISNUMBER(P1504),ISNUMBER(Q1504),P1504&gt;0,ISNUMBER($B$100)),$B$100+3*SQRT($B$100/P1504),"")</f>
        <v/>
      </c>
      <c r="U1504" s="13">
        <f>IF(AND(ISNUMBER(R1504),ISNUMBER(S1504),ISNUMBER(T1504)),IF(R1504&gt;T1504,"boven UCL",IF(R1504&lt;S1504,"onder LCL","")),"")</f>
        <v/>
      </c>
    </row>
    <row r="1505">
      <c r="A1505" t="n">
        <v>1399</v>
      </c>
      <c r="B1505" s="7" t="n"/>
      <c r="C1505" s="11">
        <f>IF(AND(ISNUMBER(B1505),ISNUMBER(B1504)),ABS(B1505-B1504),"")</f>
        <v/>
      </c>
      <c r="D1505" s="13">
        <f>IF(AND(ISNUMBER(B1505),ISNUMBER($B$88),ISNUMBER($D$88)),IF(B1505&gt;$D$88,"boven UCL",IF(B1505&lt;$B$88,"onder LCL","")),"")</f>
        <v/>
      </c>
      <c r="E1505" s="13">
        <f>IF(AND(ISNUMBER(C1505),ISNUMBER($B$89),ISNUMBER($D$89)),IF(C1505&gt;$D$89,"boven UCL",IF(C1505&lt;$B$89,"onder LCL","")),"")</f>
        <v/>
      </c>
      <c r="G1505" t="n">
        <v>1399</v>
      </c>
      <c r="H1505" s="7" t="n"/>
      <c r="I1505" s="7" t="n"/>
      <c r="J1505" s="11">
        <f>IF(AND(ISNUMBER(H1505),ISNUMBER(I1505),H1505&gt;0,ISNUMBER($B$94)),I1505/H1505,"")</f>
        <v/>
      </c>
      <c r="K1505" s="11">
        <f>IF(AND(ISNUMBER(H1505),ISNUMBER(I1505),H1505&gt;0,ISNUMBER($B$94)),MAX(0,$B$94-3*SQRT($B$94*(1-$B$94)/H1505)),"")</f>
        <v/>
      </c>
      <c r="L1505" s="11">
        <f>IF(AND(ISNUMBER(H1505),ISNUMBER(I1505),H1505&gt;0,ISNUMBER($B$94)),$B$94+3*SQRT($B$94*(1-$B$94)/H1505),"")</f>
        <v/>
      </c>
      <c r="M1505" s="13">
        <f>IF(AND(ISNUMBER(J1505),ISNUMBER(K1505),ISNUMBER(L1505)),IF(J1505&gt;L1505,"boven UCL",IF(J1505&lt;K1505,"onder LCL","")),"")</f>
        <v/>
      </c>
      <c r="O1505" t="n">
        <v>1399</v>
      </c>
      <c r="P1505" s="7" t="n"/>
      <c r="Q1505" s="7" t="n"/>
      <c r="R1505" s="11">
        <f>IF(AND(ISNUMBER(P1505),ISNUMBER(Q1505),P1505&gt;0,ISNUMBER($B$100)),Q1505/P1505,"")</f>
        <v/>
      </c>
      <c r="S1505" s="11">
        <f>IF(AND(ISNUMBER(P1505),ISNUMBER(Q1505),P1505&gt;0,ISNUMBER($B$100)),MAX(0,$B$100-3*SQRT($B$100/P1505)),"")</f>
        <v/>
      </c>
      <c r="T1505" s="11">
        <f>IF(AND(ISNUMBER(P1505),ISNUMBER(Q1505),P1505&gt;0,ISNUMBER($B$100)),$B$100+3*SQRT($B$100/P1505),"")</f>
        <v/>
      </c>
      <c r="U1505" s="13">
        <f>IF(AND(ISNUMBER(R1505),ISNUMBER(S1505),ISNUMBER(T1505)),IF(R1505&gt;T1505,"boven UCL",IF(R1505&lt;S1505,"onder LCL","")),"")</f>
        <v/>
      </c>
    </row>
    <row r="1506">
      <c r="A1506" t="n">
        <v>1400</v>
      </c>
      <c r="B1506" s="7" t="n"/>
      <c r="C1506" s="11">
        <f>IF(AND(ISNUMBER(B1506),ISNUMBER(B1505)),ABS(B1506-B1505),"")</f>
        <v/>
      </c>
      <c r="D1506" s="13">
        <f>IF(AND(ISNUMBER(B1506),ISNUMBER($B$88),ISNUMBER($D$88)),IF(B1506&gt;$D$88,"boven UCL",IF(B1506&lt;$B$88,"onder LCL","")),"")</f>
        <v/>
      </c>
      <c r="E1506" s="13">
        <f>IF(AND(ISNUMBER(C1506),ISNUMBER($B$89),ISNUMBER($D$89)),IF(C1506&gt;$D$89,"boven UCL",IF(C1506&lt;$B$89,"onder LCL","")),"")</f>
        <v/>
      </c>
      <c r="G1506" t="n">
        <v>1400</v>
      </c>
      <c r="H1506" s="7" t="n"/>
      <c r="I1506" s="7" t="n"/>
      <c r="J1506" s="11">
        <f>IF(AND(ISNUMBER(H1506),ISNUMBER(I1506),H1506&gt;0,ISNUMBER($B$94)),I1506/H1506,"")</f>
        <v/>
      </c>
      <c r="K1506" s="11">
        <f>IF(AND(ISNUMBER(H1506),ISNUMBER(I1506),H1506&gt;0,ISNUMBER($B$94)),MAX(0,$B$94-3*SQRT($B$94*(1-$B$94)/H1506)),"")</f>
        <v/>
      </c>
      <c r="L1506" s="11">
        <f>IF(AND(ISNUMBER(H1506),ISNUMBER(I1506),H1506&gt;0,ISNUMBER($B$94)),$B$94+3*SQRT($B$94*(1-$B$94)/H1506),"")</f>
        <v/>
      </c>
      <c r="M1506" s="13">
        <f>IF(AND(ISNUMBER(J1506),ISNUMBER(K1506),ISNUMBER(L1506)),IF(J1506&gt;L1506,"boven UCL",IF(J1506&lt;K1506,"onder LCL","")),"")</f>
        <v/>
      </c>
      <c r="O1506" t="n">
        <v>1400</v>
      </c>
      <c r="P1506" s="7" t="n"/>
      <c r="Q1506" s="7" t="n"/>
      <c r="R1506" s="11">
        <f>IF(AND(ISNUMBER(P1506),ISNUMBER(Q1506),P1506&gt;0,ISNUMBER($B$100)),Q1506/P1506,"")</f>
        <v/>
      </c>
      <c r="S1506" s="11">
        <f>IF(AND(ISNUMBER(P1506),ISNUMBER(Q1506),P1506&gt;0,ISNUMBER($B$100)),MAX(0,$B$100-3*SQRT($B$100/P1506)),"")</f>
        <v/>
      </c>
      <c r="T1506" s="11">
        <f>IF(AND(ISNUMBER(P1506),ISNUMBER(Q1506),P1506&gt;0,ISNUMBER($B$100)),$B$100+3*SQRT($B$100/P1506),"")</f>
        <v/>
      </c>
      <c r="U1506" s="13">
        <f>IF(AND(ISNUMBER(R1506),ISNUMBER(S1506),ISNUMBER(T1506)),IF(R1506&gt;T1506,"boven UCL",IF(R1506&lt;S1506,"onder LCL","")),"")</f>
        <v/>
      </c>
    </row>
    <row r="1507">
      <c r="A1507" t="n">
        <v>1401</v>
      </c>
      <c r="B1507" s="7" t="n"/>
      <c r="C1507" s="11">
        <f>IF(AND(ISNUMBER(B1507),ISNUMBER(B1506)),ABS(B1507-B1506),"")</f>
        <v/>
      </c>
      <c r="D1507" s="13">
        <f>IF(AND(ISNUMBER(B1507),ISNUMBER($B$88),ISNUMBER($D$88)),IF(B1507&gt;$D$88,"boven UCL",IF(B1507&lt;$B$88,"onder LCL","")),"")</f>
        <v/>
      </c>
      <c r="E1507" s="13">
        <f>IF(AND(ISNUMBER(C1507),ISNUMBER($B$89),ISNUMBER($D$89)),IF(C1507&gt;$D$89,"boven UCL",IF(C1507&lt;$B$89,"onder LCL","")),"")</f>
        <v/>
      </c>
      <c r="G1507" t="n">
        <v>1401</v>
      </c>
      <c r="H1507" s="7" t="n"/>
      <c r="I1507" s="7" t="n"/>
      <c r="J1507" s="11">
        <f>IF(AND(ISNUMBER(H1507),ISNUMBER(I1507),H1507&gt;0,ISNUMBER($B$94)),I1507/H1507,"")</f>
        <v/>
      </c>
      <c r="K1507" s="11">
        <f>IF(AND(ISNUMBER(H1507),ISNUMBER(I1507),H1507&gt;0,ISNUMBER($B$94)),MAX(0,$B$94-3*SQRT($B$94*(1-$B$94)/H1507)),"")</f>
        <v/>
      </c>
      <c r="L1507" s="11">
        <f>IF(AND(ISNUMBER(H1507),ISNUMBER(I1507),H1507&gt;0,ISNUMBER($B$94)),$B$94+3*SQRT($B$94*(1-$B$94)/H1507),"")</f>
        <v/>
      </c>
      <c r="M1507" s="13">
        <f>IF(AND(ISNUMBER(J1507),ISNUMBER(K1507),ISNUMBER(L1507)),IF(J1507&gt;L1507,"boven UCL",IF(J1507&lt;K1507,"onder LCL","")),"")</f>
        <v/>
      </c>
      <c r="O1507" t="n">
        <v>1401</v>
      </c>
      <c r="P1507" s="7" t="n"/>
      <c r="Q1507" s="7" t="n"/>
      <c r="R1507" s="11">
        <f>IF(AND(ISNUMBER(P1507),ISNUMBER(Q1507),P1507&gt;0,ISNUMBER($B$100)),Q1507/P1507,"")</f>
        <v/>
      </c>
      <c r="S1507" s="11">
        <f>IF(AND(ISNUMBER(P1507),ISNUMBER(Q1507),P1507&gt;0,ISNUMBER($B$100)),MAX(0,$B$100-3*SQRT($B$100/P1507)),"")</f>
        <v/>
      </c>
      <c r="T1507" s="11">
        <f>IF(AND(ISNUMBER(P1507),ISNUMBER(Q1507),P1507&gt;0,ISNUMBER($B$100)),$B$100+3*SQRT($B$100/P1507),"")</f>
        <v/>
      </c>
      <c r="U1507" s="13">
        <f>IF(AND(ISNUMBER(R1507),ISNUMBER(S1507),ISNUMBER(T1507)),IF(R1507&gt;T1507,"boven UCL",IF(R1507&lt;S1507,"onder LCL","")),"")</f>
        <v/>
      </c>
    </row>
    <row r="1508">
      <c r="A1508" t="n">
        <v>1402</v>
      </c>
      <c r="B1508" s="7" t="n"/>
      <c r="C1508" s="11">
        <f>IF(AND(ISNUMBER(B1508),ISNUMBER(B1507)),ABS(B1508-B1507),"")</f>
        <v/>
      </c>
      <c r="D1508" s="13">
        <f>IF(AND(ISNUMBER(B1508),ISNUMBER($B$88),ISNUMBER($D$88)),IF(B1508&gt;$D$88,"boven UCL",IF(B1508&lt;$B$88,"onder LCL","")),"")</f>
        <v/>
      </c>
      <c r="E1508" s="13">
        <f>IF(AND(ISNUMBER(C1508),ISNUMBER($B$89),ISNUMBER($D$89)),IF(C1508&gt;$D$89,"boven UCL",IF(C1508&lt;$B$89,"onder LCL","")),"")</f>
        <v/>
      </c>
      <c r="G1508" t="n">
        <v>1402</v>
      </c>
      <c r="H1508" s="7" t="n"/>
      <c r="I1508" s="7" t="n"/>
      <c r="J1508" s="11">
        <f>IF(AND(ISNUMBER(H1508),ISNUMBER(I1508),H1508&gt;0,ISNUMBER($B$94)),I1508/H1508,"")</f>
        <v/>
      </c>
      <c r="K1508" s="11">
        <f>IF(AND(ISNUMBER(H1508),ISNUMBER(I1508),H1508&gt;0,ISNUMBER($B$94)),MAX(0,$B$94-3*SQRT($B$94*(1-$B$94)/H1508)),"")</f>
        <v/>
      </c>
      <c r="L1508" s="11">
        <f>IF(AND(ISNUMBER(H1508),ISNUMBER(I1508),H1508&gt;0,ISNUMBER($B$94)),$B$94+3*SQRT($B$94*(1-$B$94)/H1508),"")</f>
        <v/>
      </c>
      <c r="M1508" s="13">
        <f>IF(AND(ISNUMBER(J1508),ISNUMBER(K1508),ISNUMBER(L1508)),IF(J1508&gt;L1508,"boven UCL",IF(J1508&lt;K1508,"onder LCL","")),"")</f>
        <v/>
      </c>
      <c r="O1508" t="n">
        <v>1402</v>
      </c>
      <c r="P1508" s="7" t="n"/>
      <c r="Q1508" s="7" t="n"/>
      <c r="R1508" s="11">
        <f>IF(AND(ISNUMBER(P1508),ISNUMBER(Q1508),P1508&gt;0,ISNUMBER($B$100)),Q1508/P1508,"")</f>
        <v/>
      </c>
      <c r="S1508" s="11">
        <f>IF(AND(ISNUMBER(P1508),ISNUMBER(Q1508),P1508&gt;0,ISNUMBER($B$100)),MAX(0,$B$100-3*SQRT($B$100/P1508)),"")</f>
        <v/>
      </c>
      <c r="T1508" s="11">
        <f>IF(AND(ISNUMBER(P1508),ISNUMBER(Q1508),P1508&gt;0,ISNUMBER($B$100)),$B$100+3*SQRT($B$100/P1508),"")</f>
        <v/>
      </c>
      <c r="U1508" s="13">
        <f>IF(AND(ISNUMBER(R1508),ISNUMBER(S1508),ISNUMBER(T1508)),IF(R1508&gt;T1508,"boven UCL",IF(R1508&lt;S1508,"onder LCL","")),"")</f>
        <v/>
      </c>
    </row>
    <row r="1509">
      <c r="A1509" t="n">
        <v>1403</v>
      </c>
      <c r="B1509" s="7" t="n"/>
      <c r="C1509" s="11">
        <f>IF(AND(ISNUMBER(B1509),ISNUMBER(B1508)),ABS(B1509-B1508),"")</f>
        <v/>
      </c>
      <c r="D1509" s="13">
        <f>IF(AND(ISNUMBER(B1509),ISNUMBER($B$88),ISNUMBER($D$88)),IF(B1509&gt;$D$88,"boven UCL",IF(B1509&lt;$B$88,"onder LCL","")),"")</f>
        <v/>
      </c>
      <c r="E1509" s="13">
        <f>IF(AND(ISNUMBER(C1509),ISNUMBER($B$89),ISNUMBER($D$89)),IF(C1509&gt;$D$89,"boven UCL",IF(C1509&lt;$B$89,"onder LCL","")),"")</f>
        <v/>
      </c>
      <c r="G1509" t="n">
        <v>1403</v>
      </c>
      <c r="H1509" s="7" t="n"/>
      <c r="I1509" s="7" t="n"/>
      <c r="J1509" s="11">
        <f>IF(AND(ISNUMBER(H1509),ISNUMBER(I1509),H1509&gt;0,ISNUMBER($B$94)),I1509/H1509,"")</f>
        <v/>
      </c>
      <c r="K1509" s="11">
        <f>IF(AND(ISNUMBER(H1509),ISNUMBER(I1509),H1509&gt;0,ISNUMBER($B$94)),MAX(0,$B$94-3*SQRT($B$94*(1-$B$94)/H1509)),"")</f>
        <v/>
      </c>
      <c r="L1509" s="11">
        <f>IF(AND(ISNUMBER(H1509),ISNUMBER(I1509),H1509&gt;0,ISNUMBER($B$94)),$B$94+3*SQRT($B$94*(1-$B$94)/H1509),"")</f>
        <v/>
      </c>
      <c r="M1509" s="13">
        <f>IF(AND(ISNUMBER(J1509),ISNUMBER(K1509),ISNUMBER(L1509)),IF(J1509&gt;L1509,"boven UCL",IF(J1509&lt;K1509,"onder LCL","")),"")</f>
        <v/>
      </c>
      <c r="O1509" t="n">
        <v>1403</v>
      </c>
      <c r="P1509" s="7" t="n"/>
      <c r="Q1509" s="7" t="n"/>
      <c r="R1509" s="11">
        <f>IF(AND(ISNUMBER(P1509),ISNUMBER(Q1509),P1509&gt;0,ISNUMBER($B$100)),Q1509/P1509,"")</f>
        <v/>
      </c>
      <c r="S1509" s="11">
        <f>IF(AND(ISNUMBER(P1509),ISNUMBER(Q1509),P1509&gt;0,ISNUMBER($B$100)),MAX(0,$B$100-3*SQRT($B$100/P1509)),"")</f>
        <v/>
      </c>
      <c r="T1509" s="11">
        <f>IF(AND(ISNUMBER(P1509),ISNUMBER(Q1509),P1509&gt;0,ISNUMBER($B$100)),$B$100+3*SQRT($B$100/P1509),"")</f>
        <v/>
      </c>
      <c r="U1509" s="13">
        <f>IF(AND(ISNUMBER(R1509),ISNUMBER(S1509),ISNUMBER(T1509)),IF(R1509&gt;T1509,"boven UCL",IF(R1509&lt;S1509,"onder LCL","")),"")</f>
        <v/>
      </c>
    </row>
    <row r="1510">
      <c r="A1510" t="n">
        <v>1404</v>
      </c>
      <c r="B1510" s="7" t="n"/>
      <c r="C1510" s="11">
        <f>IF(AND(ISNUMBER(B1510),ISNUMBER(B1509)),ABS(B1510-B1509),"")</f>
        <v/>
      </c>
      <c r="D1510" s="13">
        <f>IF(AND(ISNUMBER(B1510),ISNUMBER($B$88),ISNUMBER($D$88)),IF(B1510&gt;$D$88,"boven UCL",IF(B1510&lt;$B$88,"onder LCL","")),"")</f>
        <v/>
      </c>
      <c r="E1510" s="13">
        <f>IF(AND(ISNUMBER(C1510),ISNUMBER($B$89),ISNUMBER($D$89)),IF(C1510&gt;$D$89,"boven UCL",IF(C1510&lt;$B$89,"onder LCL","")),"")</f>
        <v/>
      </c>
      <c r="G1510" t="n">
        <v>1404</v>
      </c>
      <c r="H1510" s="7" t="n"/>
      <c r="I1510" s="7" t="n"/>
      <c r="J1510" s="11">
        <f>IF(AND(ISNUMBER(H1510),ISNUMBER(I1510),H1510&gt;0,ISNUMBER($B$94)),I1510/H1510,"")</f>
        <v/>
      </c>
      <c r="K1510" s="11">
        <f>IF(AND(ISNUMBER(H1510),ISNUMBER(I1510),H1510&gt;0,ISNUMBER($B$94)),MAX(0,$B$94-3*SQRT($B$94*(1-$B$94)/H1510)),"")</f>
        <v/>
      </c>
      <c r="L1510" s="11">
        <f>IF(AND(ISNUMBER(H1510),ISNUMBER(I1510),H1510&gt;0,ISNUMBER($B$94)),$B$94+3*SQRT($B$94*(1-$B$94)/H1510),"")</f>
        <v/>
      </c>
      <c r="M1510" s="13">
        <f>IF(AND(ISNUMBER(J1510),ISNUMBER(K1510),ISNUMBER(L1510)),IF(J1510&gt;L1510,"boven UCL",IF(J1510&lt;K1510,"onder LCL","")),"")</f>
        <v/>
      </c>
      <c r="O1510" t="n">
        <v>1404</v>
      </c>
      <c r="P1510" s="7" t="n"/>
      <c r="Q1510" s="7" t="n"/>
      <c r="R1510" s="11">
        <f>IF(AND(ISNUMBER(P1510),ISNUMBER(Q1510),P1510&gt;0,ISNUMBER($B$100)),Q1510/P1510,"")</f>
        <v/>
      </c>
      <c r="S1510" s="11">
        <f>IF(AND(ISNUMBER(P1510),ISNUMBER(Q1510),P1510&gt;0,ISNUMBER($B$100)),MAX(0,$B$100-3*SQRT($B$100/P1510)),"")</f>
        <v/>
      </c>
      <c r="T1510" s="11">
        <f>IF(AND(ISNUMBER(P1510),ISNUMBER(Q1510),P1510&gt;0,ISNUMBER($B$100)),$B$100+3*SQRT($B$100/P1510),"")</f>
        <v/>
      </c>
      <c r="U1510" s="13">
        <f>IF(AND(ISNUMBER(R1510),ISNUMBER(S1510),ISNUMBER(T1510)),IF(R1510&gt;T1510,"boven UCL",IF(R1510&lt;S1510,"onder LCL","")),"")</f>
        <v/>
      </c>
    </row>
    <row r="1511">
      <c r="A1511" t="n">
        <v>1405</v>
      </c>
      <c r="B1511" s="7" t="n"/>
      <c r="C1511" s="11">
        <f>IF(AND(ISNUMBER(B1511),ISNUMBER(B1510)),ABS(B1511-B1510),"")</f>
        <v/>
      </c>
      <c r="D1511" s="13">
        <f>IF(AND(ISNUMBER(B1511),ISNUMBER($B$88),ISNUMBER($D$88)),IF(B1511&gt;$D$88,"boven UCL",IF(B1511&lt;$B$88,"onder LCL","")),"")</f>
        <v/>
      </c>
      <c r="E1511" s="13">
        <f>IF(AND(ISNUMBER(C1511),ISNUMBER($B$89),ISNUMBER($D$89)),IF(C1511&gt;$D$89,"boven UCL",IF(C1511&lt;$B$89,"onder LCL","")),"")</f>
        <v/>
      </c>
      <c r="G1511" t="n">
        <v>1405</v>
      </c>
      <c r="H1511" s="7" t="n"/>
      <c r="I1511" s="7" t="n"/>
      <c r="J1511" s="11">
        <f>IF(AND(ISNUMBER(H1511),ISNUMBER(I1511),H1511&gt;0,ISNUMBER($B$94)),I1511/H1511,"")</f>
        <v/>
      </c>
      <c r="K1511" s="11">
        <f>IF(AND(ISNUMBER(H1511),ISNUMBER(I1511),H1511&gt;0,ISNUMBER($B$94)),MAX(0,$B$94-3*SQRT($B$94*(1-$B$94)/H1511)),"")</f>
        <v/>
      </c>
      <c r="L1511" s="11">
        <f>IF(AND(ISNUMBER(H1511),ISNUMBER(I1511),H1511&gt;0,ISNUMBER($B$94)),$B$94+3*SQRT($B$94*(1-$B$94)/H1511),"")</f>
        <v/>
      </c>
      <c r="M1511" s="13">
        <f>IF(AND(ISNUMBER(J1511),ISNUMBER(K1511),ISNUMBER(L1511)),IF(J1511&gt;L1511,"boven UCL",IF(J1511&lt;K1511,"onder LCL","")),"")</f>
        <v/>
      </c>
      <c r="O1511" t="n">
        <v>1405</v>
      </c>
      <c r="P1511" s="7" t="n"/>
      <c r="Q1511" s="7" t="n"/>
      <c r="R1511" s="11">
        <f>IF(AND(ISNUMBER(P1511),ISNUMBER(Q1511),P1511&gt;0,ISNUMBER($B$100)),Q1511/P1511,"")</f>
        <v/>
      </c>
      <c r="S1511" s="11">
        <f>IF(AND(ISNUMBER(P1511),ISNUMBER(Q1511),P1511&gt;0,ISNUMBER($B$100)),MAX(0,$B$100-3*SQRT($B$100/P1511)),"")</f>
        <v/>
      </c>
      <c r="T1511" s="11">
        <f>IF(AND(ISNUMBER(P1511),ISNUMBER(Q1511),P1511&gt;0,ISNUMBER($B$100)),$B$100+3*SQRT($B$100/P1511),"")</f>
        <v/>
      </c>
      <c r="U1511" s="13">
        <f>IF(AND(ISNUMBER(R1511),ISNUMBER(S1511),ISNUMBER(T1511)),IF(R1511&gt;T1511,"boven UCL",IF(R1511&lt;S1511,"onder LCL","")),"")</f>
        <v/>
      </c>
    </row>
    <row r="1512">
      <c r="A1512" t="n">
        <v>1406</v>
      </c>
      <c r="B1512" s="7" t="n"/>
      <c r="C1512" s="11">
        <f>IF(AND(ISNUMBER(B1512),ISNUMBER(B1511)),ABS(B1512-B1511),"")</f>
        <v/>
      </c>
      <c r="D1512" s="13">
        <f>IF(AND(ISNUMBER(B1512),ISNUMBER($B$88),ISNUMBER($D$88)),IF(B1512&gt;$D$88,"boven UCL",IF(B1512&lt;$B$88,"onder LCL","")),"")</f>
        <v/>
      </c>
      <c r="E1512" s="13">
        <f>IF(AND(ISNUMBER(C1512),ISNUMBER($B$89),ISNUMBER($D$89)),IF(C1512&gt;$D$89,"boven UCL",IF(C1512&lt;$B$89,"onder LCL","")),"")</f>
        <v/>
      </c>
      <c r="G1512" t="n">
        <v>1406</v>
      </c>
      <c r="H1512" s="7" t="n"/>
      <c r="I1512" s="7" t="n"/>
      <c r="J1512" s="11">
        <f>IF(AND(ISNUMBER(H1512),ISNUMBER(I1512),H1512&gt;0,ISNUMBER($B$94)),I1512/H1512,"")</f>
        <v/>
      </c>
      <c r="K1512" s="11">
        <f>IF(AND(ISNUMBER(H1512),ISNUMBER(I1512),H1512&gt;0,ISNUMBER($B$94)),MAX(0,$B$94-3*SQRT($B$94*(1-$B$94)/H1512)),"")</f>
        <v/>
      </c>
      <c r="L1512" s="11">
        <f>IF(AND(ISNUMBER(H1512),ISNUMBER(I1512),H1512&gt;0,ISNUMBER($B$94)),$B$94+3*SQRT($B$94*(1-$B$94)/H1512),"")</f>
        <v/>
      </c>
      <c r="M1512" s="13">
        <f>IF(AND(ISNUMBER(J1512),ISNUMBER(K1512),ISNUMBER(L1512)),IF(J1512&gt;L1512,"boven UCL",IF(J1512&lt;K1512,"onder LCL","")),"")</f>
        <v/>
      </c>
      <c r="O1512" t="n">
        <v>1406</v>
      </c>
      <c r="P1512" s="7" t="n"/>
      <c r="Q1512" s="7" t="n"/>
      <c r="R1512" s="11">
        <f>IF(AND(ISNUMBER(P1512),ISNUMBER(Q1512),P1512&gt;0,ISNUMBER($B$100)),Q1512/P1512,"")</f>
        <v/>
      </c>
      <c r="S1512" s="11">
        <f>IF(AND(ISNUMBER(P1512),ISNUMBER(Q1512),P1512&gt;0,ISNUMBER($B$100)),MAX(0,$B$100-3*SQRT($B$100/P1512)),"")</f>
        <v/>
      </c>
      <c r="T1512" s="11">
        <f>IF(AND(ISNUMBER(P1512),ISNUMBER(Q1512),P1512&gt;0,ISNUMBER($B$100)),$B$100+3*SQRT($B$100/P1512),"")</f>
        <v/>
      </c>
      <c r="U1512" s="13">
        <f>IF(AND(ISNUMBER(R1512),ISNUMBER(S1512),ISNUMBER(T1512)),IF(R1512&gt;T1512,"boven UCL",IF(R1512&lt;S1512,"onder LCL","")),"")</f>
        <v/>
      </c>
    </row>
    <row r="1513">
      <c r="A1513" t="n">
        <v>1407</v>
      </c>
      <c r="B1513" s="7" t="n"/>
      <c r="C1513" s="11">
        <f>IF(AND(ISNUMBER(B1513),ISNUMBER(B1512)),ABS(B1513-B1512),"")</f>
        <v/>
      </c>
      <c r="D1513" s="13">
        <f>IF(AND(ISNUMBER(B1513),ISNUMBER($B$88),ISNUMBER($D$88)),IF(B1513&gt;$D$88,"boven UCL",IF(B1513&lt;$B$88,"onder LCL","")),"")</f>
        <v/>
      </c>
      <c r="E1513" s="13">
        <f>IF(AND(ISNUMBER(C1513),ISNUMBER($B$89),ISNUMBER($D$89)),IF(C1513&gt;$D$89,"boven UCL",IF(C1513&lt;$B$89,"onder LCL","")),"")</f>
        <v/>
      </c>
      <c r="G1513" t="n">
        <v>1407</v>
      </c>
      <c r="H1513" s="7" t="n"/>
      <c r="I1513" s="7" t="n"/>
      <c r="J1513" s="11">
        <f>IF(AND(ISNUMBER(H1513),ISNUMBER(I1513),H1513&gt;0,ISNUMBER($B$94)),I1513/H1513,"")</f>
        <v/>
      </c>
      <c r="K1513" s="11">
        <f>IF(AND(ISNUMBER(H1513),ISNUMBER(I1513),H1513&gt;0,ISNUMBER($B$94)),MAX(0,$B$94-3*SQRT($B$94*(1-$B$94)/H1513)),"")</f>
        <v/>
      </c>
      <c r="L1513" s="11">
        <f>IF(AND(ISNUMBER(H1513),ISNUMBER(I1513),H1513&gt;0,ISNUMBER($B$94)),$B$94+3*SQRT($B$94*(1-$B$94)/H1513),"")</f>
        <v/>
      </c>
      <c r="M1513" s="13">
        <f>IF(AND(ISNUMBER(J1513),ISNUMBER(K1513),ISNUMBER(L1513)),IF(J1513&gt;L1513,"boven UCL",IF(J1513&lt;K1513,"onder LCL","")),"")</f>
        <v/>
      </c>
      <c r="O1513" t="n">
        <v>1407</v>
      </c>
      <c r="P1513" s="7" t="n"/>
      <c r="Q1513" s="7" t="n"/>
      <c r="R1513" s="11">
        <f>IF(AND(ISNUMBER(P1513),ISNUMBER(Q1513),P1513&gt;0,ISNUMBER($B$100)),Q1513/P1513,"")</f>
        <v/>
      </c>
      <c r="S1513" s="11">
        <f>IF(AND(ISNUMBER(P1513),ISNUMBER(Q1513),P1513&gt;0,ISNUMBER($B$100)),MAX(0,$B$100-3*SQRT($B$100/P1513)),"")</f>
        <v/>
      </c>
      <c r="T1513" s="11">
        <f>IF(AND(ISNUMBER(P1513),ISNUMBER(Q1513),P1513&gt;0,ISNUMBER($B$100)),$B$100+3*SQRT($B$100/P1513),"")</f>
        <v/>
      </c>
      <c r="U1513" s="13">
        <f>IF(AND(ISNUMBER(R1513),ISNUMBER(S1513),ISNUMBER(T1513)),IF(R1513&gt;T1513,"boven UCL",IF(R1513&lt;S1513,"onder LCL","")),"")</f>
        <v/>
      </c>
    </row>
    <row r="1514">
      <c r="A1514" t="n">
        <v>1408</v>
      </c>
      <c r="B1514" s="7" t="n"/>
      <c r="C1514" s="11">
        <f>IF(AND(ISNUMBER(B1514),ISNUMBER(B1513)),ABS(B1514-B1513),"")</f>
        <v/>
      </c>
      <c r="D1514" s="13">
        <f>IF(AND(ISNUMBER(B1514),ISNUMBER($B$88),ISNUMBER($D$88)),IF(B1514&gt;$D$88,"boven UCL",IF(B1514&lt;$B$88,"onder LCL","")),"")</f>
        <v/>
      </c>
      <c r="E1514" s="13">
        <f>IF(AND(ISNUMBER(C1514),ISNUMBER($B$89),ISNUMBER($D$89)),IF(C1514&gt;$D$89,"boven UCL",IF(C1514&lt;$B$89,"onder LCL","")),"")</f>
        <v/>
      </c>
      <c r="G1514" t="n">
        <v>1408</v>
      </c>
      <c r="H1514" s="7" t="n"/>
      <c r="I1514" s="7" t="n"/>
      <c r="J1514" s="11">
        <f>IF(AND(ISNUMBER(H1514),ISNUMBER(I1514),H1514&gt;0,ISNUMBER($B$94)),I1514/H1514,"")</f>
        <v/>
      </c>
      <c r="K1514" s="11">
        <f>IF(AND(ISNUMBER(H1514),ISNUMBER(I1514),H1514&gt;0,ISNUMBER($B$94)),MAX(0,$B$94-3*SQRT($B$94*(1-$B$94)/H1514)),"")</f>
        <v/>
      </c>
      <c r="L1514" s="11">
        <f>IF(AND(ISNUMBER(H1514),ISNUMBER(I1514),H1514&gt;0,ISNUMBER($B$94)),$B$94+3*SQRT($B$94*(1-$B$94)/H1514),"")</f>
        <v/>
      </c>
      <c r="M1514" s="13">
        <f>IF(AND(ISNUMBER(J1514),ISNUMBER(K1514),ISNUMBER(L1514)),IF(J1514&gt;L1514,"boven UCL",IF(J1514&lt;K1514,"onder LCL","")),"")</f>
        <v/>
      </c>
      <c r="O1514" t="n">
        <v>1408</v>
      </c>
      <c r="P1514" s="7" t="n"/>
      <c r="Q1514" s="7" t="n"/>
      <c r="R1514" s="11">
        <f>IF(AND(ISNUMBER(P1514),ISNUMBER(Q1514),P1514&gt;0,ISNUMBER($B$100)),Q1514/P1514,"")</f>
        <v/>
      </c>
      <c r="S1514" s="11">
        <f>IF(AND(ISNUMBER(P1514),ISNUMBER(Q1514),P1514&gt;0,ISNUMBER($B$100)),MAX(0,$B$100-3*SQRT($B$100/P1514)),"")</f>
        <v/>
      </c>
      <c r="T1514" s="11">
        <f>IF(AND(ISNUMBER(P1514),ISNUMBER(Q1514),P1514&gt;0,ISNUMBER($B$100)),$B$100+3*SQRT($B$100/P1514),"")</f>
        <v/>
      </c>
      <c r="U1514" s="13">
        <f>IF(AND(ISNUMBER(R1514),ISNUMBER(S1514),ISNUMBER(T1514)),IF(R1514&gt;T1514,"boven UCL",IF(R1514&lt;S1514,"onder LCL","")),"")</f>
        <v/>
      </c>
    </row>
    <row r="1515">
      <c r="A1515" t="n">
        <v>1409</v>
      </c>
      <c r="B1515" s="7" t="n"/>
      <c r="C1515" s="11">
        <f>IF(AND(ISNUMBER(B1515),ISNUMBER(B1514)),ABS(B1515-B1514),"")</f>
        <v/>
      </c>
      <c r="D1515" s="13">
        <f>IF(AND(ISNUMBER(B1515),ISNUMBER($B$88),ISNUMBER($D$88)),IF(B1515&gt;$D$88,"boven UCL",IF(B1515&lt;$B$88,"onder LCL","")),"")</f>
        <v/>
      </c>
      <c r="E1515" s="13">
        <f>IF(AND(ISNUMBER(C1515),ISNUMBER($B$89),ISNUMBER($D$89)),IF(C1515&gt;$D$89,"boven UCL",IF(C1515&lt;$B$89,"onder LCL","")),"")</f>
        <v/>
      </c>
      <c r="G1515" t="n">
        <v>1409</v>
      </c>
      <c r="H1515" s="7" t="n"/>
      <c r="I1515" s="7" t="n"/>
      <c r="J1515" s="11">
        <f>IF(AND(ISNUMBER(H1515),ISNUMBER(I1515),H1515&gt;0,ISNUMBER($B$94)),I1515/H1515,"")</f>
        <v/>
      </c>
      <c r="K1515" s="11">
        <f>IF(AND(ISNUMBER(H1515),ISNUMBER(I1515),H1515&gt;0,ISNUMBER($B$94)),MAX(0,$B$94-3*SQRT($B$94*(1-$B$94)/H1515)),"")</f>
        <v/>
      </c>
      <c r="L1515" s="11">
        <f>IF(AND(ISNUMBER(H1515),ISNUMBER(I1515),H1515&gt;0,ISNUMBER($B$94)),$B$94+3*SQRT($B$94*(1-$B$94)/H1515),"")</f>
        <v/>
      </c>
      <c r="M1515" s="13">
        <f>IF(AND(ISNUMBER(J1515),ISNUMBER(K1515),ISNUMBER(L1515)),IF(J1515&gt;L1515,"boven UCL",IF(J1515&lt;K1515,"onder LCL","")),"")</f>
        <v/>
      </c>
      <c r="O1515" t="n">
        <v>1409</v>
      </c>
      <c r="P1515" s="7" t="n"/>
      <c r="Q1515" s="7" t="n"/>
      <c r="R1515" s="11">
        <f>IF(AND(ISNUMBER(P1515),ISNUMBER(Q1515),P1515&gt;0,ISNUMBER($B$100)),Q1515/P1515,"")</f>
        <v/>
      </c>
      <c r="S1515" s="11">
        <f>IF(AND(ISNUMBER(P1515),ISNUMBER(Q1515),P1515&gt;0,ISNUMBER($B$100)),MAX(0,$B$100-3*SQRT($B$100/P1515)),"")</f>
        <v/>
      </c>
      <c r="T1515" s="11">
        <f>IF(AND(ISNUMBER(P1515),ISNUMBER(Q1515),P1515&gt;0,ISNUMBER($B$100)),$B$100+3*SQRT($B$100/P1515),"")</f>
        <v/>
      </c>
      <c r="U1515" s="13">
        <f>IF(AND(ISNUMBER(R1515),ISNUMBER(S1515),ISNUMBER(T1515)),IF(R1515&gt;T1515,"boven UCL",IF(R1515&lt;S1515,"onder LCL","")),"")</f>
        <v/>
      </c>
    </row>
    <row r="1516">
      <c r="A1516" t="n">
        <v>1410</v>
      </c>
      <c r="B1516" s="7" t="n"/>
      <c r="C1516" s="11">
        <f>IF(AND(ISNUMBER(B1516),ISNUMBER(B1515)),ABS(B1516-B1515),"")</f>
        <v/>
      </c>
      <c r="D1516" s="13">
        <f>IF(AND(ISNUMBER(B1516),ISNUMBER($B$88),ISNUMBER($D$88)),IF(B1516&gt;$D$88,"boven UCL",IF(B1516&lt;$B$88,"onder LCL","")),"")</f>
        <v/>
      </c>
      <c r="E1516" s="13">
        <f>IF(AND(ISNUMBER(C1516),ISNUMBER($B$89),ISNUMBER($D$89)),IF(C1516&gt;$D$89,"boven UCL",IF(C1516&lt;$B$89,"onder LCL","")),"")</f>
        <v/>
      </c>
      <c r="G1516" t="n">
        <v>1410</v>
      </c>
      <c r="H1516" s="7" t="n"/>
      <c r="I1516" s="7" t="n"/>
      <c r="J1516" s="11">
        <f>IF(AND(ISNUMBER(H1516),ISNUMBER(I1516),H1516&gt;0,ISNUMBER($B$94)),I1516/H1516,"")</f>
        <v/>
      </c>
      <c r="K1516" s="11">
        <f>IF(AND(ISNUMBER(H1516),ISNUMBER(I1516),H1516&gt;0,ISNUMBER($B$94)),MAX(0,$B$94-3*SQRT($B$94*(1-$B$94)/H1516)),"")</f>
        <v/>
      </c>
      <c r="L1516" s="11">
        <f>IF(AND(ISNUMBER(H1516),ISNUMBER(I1516),H1516&gt;0,ISNUMBER($B$94)),$B$94+3*SQRT($B$94*(1-$B$94)/H1516),"")</f>
        <v/>
      </c>
      <c r="M1516" s="13">
        <f>IF(AND(ISNUMBER(J1516),ISNUMBER(K1516),ISNUMBER(L1516)),IF(J1516&gt;L1516,"boven UCL",IF(J1516&lt;K1516,"onder LCL","")),"")</f>
        <v/>
      </c>
      <c r="O1516" t="n">
        <v>1410</v>
      </c>
      <c r="P1516" s="7" t="n"/>
      <c r="Q1516" s="7" t="n"/>
      <c r="R1516" s="11">
        <f>IF(AND(ISNUMBER(P1516),ISNUMBER(Q1516),P1516&gt;0,ISNUMBER($B$100)),Q1516/P1516,"")</f>
        <v/>
      </c>
      <c r="S1516" s="11">
        <f>IF(AND(ISNUMBER(P1516),ISNUMBER(Q1516),P1516&gt;0,ISNUMBER($B$100)),MAX(0,$B$100-3*SQRT($B$100/P1516)),"")</f>
        <v/>
      </c>
      <c r="T1516" s="11">
        <f>IF(AND(ISNUMBER(P1516),ISNUMBER(Q1516),P1516&gt;0,ISNUMBER($B$100)),$B$100+3*SQRT($B$100/P1516),"")</f>
        <v/>
      </c>
      <c r="U1516" s="13">
        <f>IF(AND(ISNUMBER(R1516),ISNUMBER(S1516),ISNUMBER(T1516)),IF(R1516&gt;T1516,"boven UCL",IF(R1516&lt;S1516,"onder LCL","")),"")</f>
        <v/>
      </c>
    </row>
    <row r="1517">
      <c r="A1517" t="n">
        <v>1411</v>
      </c>
      <c r="B1517" s="7" t="n"/>
      <c r="C1517" s="11">
        <f>IF(AND(ISNUMBER(B1517),ISNUMBER(B1516)),ABS(B1517-B1516),"")</f>
        <v/>
      </c>
      <c r="D1517" s="13">
        <f>IF(AND(ISNUMBER(B1517),ISNUMBER($B$88),ISNUMBER($D$88)),IF(B1517&gt;$D$88,"boven UCL",IF(B1517&lt;$B$88,"onder LCL","")),"")</f>
        <v/>
      </c>
      <c r="E1517" s="13">
        <f>IF(AND(ISNUMBER(C1517),ISNUMBER($B$89),ISNUMBER($D$89)),IF(C1517&gt;$D$89,"boven UCL",IF(C1517&lt;$B$89,"onder LCL","")),"")</f>
        <v/>
      </c>
      <c r="G1517" t="n">
        <v>1411</v>
      </c>
      <c r="H1517" s="7" t="n"/>
      <c r="I1517" s="7" t="n"/>
      <c r="J1517" s="11">
        <f>IF(AND(ISNUMBER(H1517),ISNUMBER(I1517),H1517&gt;0,ISNUMBER($B$94)),I1517/H1517,"")</f>
        <v/>
      </c>
      <c r="K1517" s="11">
        <f>IF(AND(ISNUMBER(H1517),ISNUMBER(I1517),H1517&gt;0,ISNUMBER($B$94)),MAX(0,$B$94-3*SQRT($B$94*(1-$B$94)/H1517)),"")</f>
        <v/>
      </c>
      <c r="L1517" s="11">
        <f>IF(AND(ISNUMBER(H1517),ISNUMBER(I1517),H1517&gt;0,ISNUMBER($B$94)),$B$94+3*SQRT($B$94*(1-$B$94)/H1517),"")</f>
        <v/>
      </c>
      <c r="M1517" s="13">
        <f>IF(AND(ISNUMBER(J1517),ISNUMBER(K1517),ISNUMBER(L1517)),IF(J1517&gt;L1517,"boven UCL",IF(J1517&lt;K1517,"onder LCL","")),"")</f>
        <v/>
      </c>
      <c r="O1517" t="n">
        <v>1411</v>
      </c>
      <c r="P1517" s="7" t="n"/>
      <c r="Q1517" s="7" t="n"/>
      <c r="R1517" s="11">
        <f>IF(AND(ISNUMBER(P1517),ISNUMBER(Q1517),P1517&gt;0,ISNUMBER($B$100)),Q1517/P1517,"")</f>
        <v/>
      </c>
      <c r="S1517" s="11">
        <f>IF(AND(ISNUMBER(P1517),ISNUMBER(Q1517),P1517&gt;0,ISNUMBER($B$100)),MAX(0,$B$100-3*SQRT($B$100/P1517)),"")</f>
        <v/>
      </c>
      <c r="T1517" s="11">
        <f>IF(AND(ISNUMBER(P1517),ISNUMBER(Q1517),P1517&gt;0,ISNUMBER($B$100)),$B$100+3*SQRT($B$100/P1517),"")</f>
        <v/>
      </c>
      <c r="U1517" s="13">
        <f>IF(AND(ISNUMBER(R1517),ISNUMBER(S1517),ISNUMBER(T1517)),IF(R1517&gt;T1517,"boven UCL",IF(R1517&lt;S1517,"onder LCL","")),"")</f>
        <v/>
      </c>
    </row>
    <row r="1518">
      <c r="A1518" t="n">
        <v>1412</v>
      </c>
      <c r="B1518" s="7" t="n"/>
      <c r="C1518" s="11">
        <f>IF(AND(ISNUMBER(B1518),ISNUMBER(B1517)),ABS(B1518-B1517),"")</f>
        <v/>
      </c>
      <c r="D1518" s="13">
        <f>IF(AND(ISNUMBER(B1518),ISNUMBER($B$88),ISNUMBER($D$88)),IF(B1518&gt;$D$88,"boven UCL",IF(B1518&lt;$B$88,"onder LCL","")),"")</f>
        <v/>
      </c>
      <c r="E1518" s="13">
        <f>IF(AND(ISNUMBER(C1518),ISNUMBER($B$89),ISNUMBER($D$89)),IF(C1518&gt;$D$89,"boven UCL",IF(C1518&lt;$B$89,"onder LCL","")),"")</f>
        <v/>
      </c>
      <c r="G1518" t="n">
        <v>1412</v>
      </c>
      <c r="H1518" s="7" t="n"/>
      <c r="I1518" s="7" t="n"/>
      <c r="J1518" s="11">
        <f>IF(AND(ISNUMBER(H1518),ISNUMBER(I1518),H1518&gt;0,ISNUMBER($B$94)),I1518/H1518,"")</f>
        <v/>
      </c>
      <c r="K1518" s="11">
        <f>IF(AND(ISNUMBER(H1518),ISNUMBER(I1518),H1518&gt;0,ISNUMBER($B$94)),MAX(0,$B$94-3*SQRT($B$94*(1-$B$94)/H1518)),"")</f>
        <v/>
      </c>
      <c r="L1518" s="11">
        <f>IF(AND(ISNUMBER(H1518),ISNUMBER(I1518),H1518&gt;0,ISNUMBER($B$94)),$B$94+3*SQRT($B$94*(1-$B$94)/H1518),"")</f>
        <v/>
      </c>
      <c r="M1518" s="13">
        <f>IF(AND(ISNUMBER(J1518),ISNUMBER(K1518),ISNUMBER(L1518)),IF(J1518&gt;L1518,"boven UCL",IF(J1518&lt;K1518,"onder LCL","")),"")</f>
        <v/>
      </c>
      <c r="O1518" t="n">
        <v>1412</v>
      </c>
      <c r="P1518" s="7" t="n"/>
      <c r="Q1518" s="7" t="n"/>
      <c r="R1518" s="11">
        <f>IF(AND(ISNUMBER(P1518),ISNUMBER(Q1518),P1518&gt;0,ISNUMBER($B$100)),Q1518/P1518,"")</f>
        <v/>
      </c>
      <c r="S1518" s="11">
        <f>IF(AND(ISNUMBER(P1518),ISNUMBER(Q1518),P1518&gt;0,ISNUMBER($B$100)),MAX(0,$B$100-3*SQRT($B$100/P1518)),"")</f>
        <v/>
      </c>
      <c r="T1518" s="11">
        <f>IF(AND(ISNUMBER(P1518),ISNUMBER(Q1518),P1518&gt;0,ISNUMBER($B$100)),$B$100+3*SQRT($B$100/P1518),"")</f>
        <v/>
      </c>
      <c r="U1518" s="13">
        <f>IF(AND(ISNUMBER(R1518),ISNUMBER(S1518),ISNUMBER(T1518)),IF(R1518&gt;T1518,"boven UCL",IF(R1518&lt;S1518,"onder LCL","")),"")</f>
        <v/>
      </c>
    </row>
    <row r="1519">
      <c r="A1519" t="n">
        <v>1413</v>
      </c>
      <c r="B1519" s="7" t="n"/>
      <c r="C1519" s="11">
        <f>IF(AND(ISNUMBER(B1519),ISNUMBER(B1518)),ABS(B1519-B1518),"")</f>
        <v/>
      </c>
      <c r="D1519" s="13">
        <f>IF(AND(ISNUMBER(B1519),ISNUMBER($B$88),ISNUMBER($D$88)),IF(B1519&gt;$D$88,"boven UCL",IF(B1519&lt;$B$88,"onder LCL","")),"")</f>
        <v/>
      </c>
      <c r="E1519" s="13">
        <f>IF(AND(ISNUMBER(C1519),ISNUMBER($B$89),ISNUMBER($D$89)),IF(C1519&gt;$D$89,"boven UCL",IF(C1519&lt;$B$89,"onder LCL","")),"")</f>
        <v/>
      </c>
      <c r="G1519" t="n">
        <v>1413</v>
      </c>
      <c r="H1519" s="7" t="n"/>
      <c r="I1519" s="7" t="n"/>
      <c r="J1519" s="11">
        <f>IF(AND(ISNUMBER(H1519),ISNUMBER(I1519),H1519&gt;0,ISNUMBER($B$94)),I1519/H1519,"")</f>
        <v/>
      </c>
      <c r="K1519" s="11">
        <f>IF(AND(ISNUMBER(H1519),ISNUMBER(I1519),H1519&gt;0,ISNUMBER($B$94)),MAX(0,$B$94-3*SQRT($B$94*(1-$B$94)/H1519)),"")</f>
        <v/>
      </c>
      <c r="L1519" s="11">
        <f>IF(AND(ISNUMBER(H1519),ISNUMBER(I1519),H1519&gt;0,ISNUMBER($B$94)),$B$94+3*SQRT($B$94*(1-$B$94)/H1519),"")</f>
        <v/>
      </c>
      <c r="M1519" s="13">
        <f>IF(AND(ISNUMBER(J1519),ISNUMBER(K1519),ISNUMBER(L1519)),IF(J1519&gt;L1519,"boven UCL",IF(J1519&lt;K1519,"onder LCL","")),"")</f>
        <v/>
      </c>
      <c r="O1519" t="n">
        <v>1413</v>
      </c>
      <c r="P1519" s="7" t="n"/>
      <c r="Q1519" s="7" t="n"/>
      <c r="R1519" s="11">
        <f>IF(AND(ISNUMBER(P1519),ISNUMBER(Q1519),P1519&gt;0,ISNUMBER($B$100)),Q1519/P1519,"")</f>
        <v/>
      </c>
      <c r="S1519" s="11">
        <f>IF(AND(ISNUMBER(P1519),ISNUMBER(Q1519),P1519&gt;0,ISNUMBER($B$100)),MAX(0,$B$100-3*SQRT($B$100/P1519)),"")</f>
        <v/>
      </c>
      <c r="T1519" s="11">
        <f>IF(AND(ISNUMBER(P1519),ISNUMBER(Q1519),P1519&gt;0,ISNUMBER($B$100)),$B$100+3*SQRT($B$100/P1519),"")</f>
        <v/>
      </c>
      <c r="U1519" s="13">
        <f>IF(AND(ISNUMBER(R1519),ISNUMBER(S1519),ISNUMBER(T1519)),IF(R1519&gt;T1519,"boven UCL",IF(R1519&lt;S1519,"onder LCL","")),"")</f>
        <v/>
      </c>
    </row>
    <row r="1520">
      <c r="A1520" t="n">
        <v>1414</v>
      </c>
      <c r="B1520" s="7" t="n"/>
      <c r="C1520" s="11">
        <f>IF(AND(ISNUMBER(B1520),ISNUMBER(B1519)),ABS(B1520-B1519),"")</f>
        <v/>
      </c>
      <c r="D1520" s="13">
        <f>IF(AND(ISNUMBER(B1520),ISNUMBER($B$88),ISNUMBER($D$88)),IF(B1520&gt;$D$88,"boven UCL",IF(B1520&lt;$B$88,"onder LCL","")),"")</f>
        <v/>
      </c>
      <c r="E1520" s="13">
        <f>IF(AND(ISNUMBER(C1520),ISNUMBER($B$89),ISNUMBER($D$89)),IF(C1520&gt;$D$89,"boven UCL",IF(C1520&lt;$B$89,"onder LCL","")),"")</f>
        <v/>
      </c>
      <c r="G1520" t="n">
        <v>1414</v>
      </c>
      <c r="H1520" s="7" t="n"/>
      <c r="I1520" s="7" t="n"/>
      <c r="J1520" s="11">
        <f>IF(AND(ISNUMBER(H1520),ISNUMBER(I1520),H1520&gt;0,ISNUMBER($B$94)),I1520/H1520,"")</f>
        <v/>
      </c>
      <c r="K1520" s="11">
        <f>IF(AND(ISNUMBER(H1520),ISNUMBER(I1520),H1520&gt;0,ISNUMBER($B$94)),MAX(0,$B$94-3*SQRT($B$94*(1-$B$94)/H1520)),"")</f>
        <v/>
      </c>
      <c r="L1520" s="11">
        <f>IF(AND(ISNUMBER(H1520),ISNUMBER(I1520),H1520&gt;0,ISNUMBER($B$94)),$B$94+3*SQRT($B$94*(1-$B$94)/H1520),"")</f>
        <v/>
      </c>
      <c r="M1520" s="13">
        <f>IF(AND(ISNUMBER(J1520),ISNUMBER(K1520),ISNUMBER(L1520)),IF(J1520&gt;L1520,"boven UCL",IF(J1520&lt;K1520,"onder LCL","")),"")</f>
        <v/>
      </c>
      <c r="O1520" t="n">
        <v>1414</v>
      </c>
      <c r="P1520" s="7" t="n"/>
      <c r="Q1520" s="7" t="n"/>
      <c r="R1520" s="11">
        <f>IF(AND(ISNUMBER(P1520),ISNUMBER(Q1520),P1520&gt;0,ISNUMBER($B$100)),Q1520/P1520,"")</f>
        <v/>
      </c>
      <c r="S1520" s="11">
        <f>IF(AND(ISNUMBER(P1520),ISNUMBER(Q1520),P1520&gt;0,ISNUMBER($B$100)),MAX(0,$B$100-3*SQRT($B$100/P1520)),"")</f>
        <v/>
      </c>
      <c r="T1520" s="11">
        <f>IF(AND(ISNUMBER(P1520),ISNUMBER(Q1520),P1520&gt;0,ISNUMBER($B$100)),$B$100+3*SQRT($B$100/P1520),"")</f>
        <v/>
      </c>
      <c r="U1520" s="13">
        <f>IF(AND(ISNUMBER(R1520),ISNUMBER(S1520),ISNUMBER(T1520)),IF(R1520&gt;T1520,"boven UCL",IF(R1520&lt;S1520,"onder LCL","")),"")</f>
        <v/>
      </c>
    </row>
    <row r="1521">
      <c r="A1521" t="n">
        <v>1415</v>
      </c>
      <c r="B1521" s="7" t="n"/>
      <c r="C1521" s="11">
        <f>IF(AND(ISNUMBER(B1521),ISNUMBER(B1520)),ABS(B1521-B1520),"")</f>
        <v/>
      </c>
      <c r="D1521" s="13">
        <f>IF(AND(ISNUMBER(B1521),ISNUMBER($B$88),ISNUMBER($D$88)),IF(B1521&gt;$D$88,"boven UCL",IF(B1521&lt;$B$88,"onder LCL","")),"")</f>
        <v/>
      </c>
      <c r="E1521" s="13">
        <f>IF(AND(ISNUMBER(C1521),ISNUMBER($B$89),ISNUMBER($D$89)),IF(C1521&gt;$D$89,"boven UCL",IF(C1521&lt;$B$89,"onder LCL","")),"")</f>
        <v/>
      </c>
      <c r="G1521" t="n">
        <v>1415</v>
      </c>
      <c r="H1521" s="7" t="n"/>
      <c r="I1521" s="7" t="n"/>
      <c r="J1521" s="11">
        <f>IF(AND(ISNUMBER(H1521),ISNUMBER(I1521),H1521&gt;0,ISNUMBER($B$94)),I1521/H1521,"")</f>
        <v/>
      </c>
      <c r="K1521" s="11">
        <f>IF(AND(ISNUMBER(H1521),ISNUMBER(I1521),H1521&gt;0,ISNUMBER($B$94)),MAX(0,$B$94-3*SQRT($B$94*(1-$B$94)/H1521)),"")</f>
        <v/>
      </c>
      <c r="L1521" s="11">
        <f>IF(AND(ISNUMBER(H1521),ISNUMBER(I1521),H1521&gt;0,ISNUMBER($B$94)),$B$94+3*SQRT($B$94*(1-$B$94)/H1521),"")</f>
        <v/>
      </c>
      <c r="M1521" s="13">
        <f>IF(AND(ISNUMBER(J1521),ISNUMBER(K1521),ISNUMBER(L1521)),IF(J1521&gt;L1521,"boven UCL",IF(J1521&lt;K1521,"onder LCL","")),"")</f>
        <v/>
      </c>
      <c r="O1521" t="n">
        <v>1415</v>
      </c>
      <c r="P1521" s="7" t="n"/>
      <c r="Q1521" s="7" t="n"/>
      <c r="R1521" s="11">
        <f>IF(AND(ISNUMBER(P1521),ISNUMBER(Q1521),P1521&gt;0,ISNUMBER($B$100)),Q1521/P1521,"")</f>
        <v/>
      </c>
      <c r="S1521" s="11">
        <f>IF(AND(ISNUMBER(P1521),ISNUMBER(Q1521),P1521&gt;0,ISNUMBER($B$100)),MAX(0,$B$100-3*SQRT($B$100/P1521)),"")</f>
        <v/>
      </c>
      <c r="T1521" s="11">
        <f>IF(AND(ISNUMBER(P1521),ISNUMBER(Q1521),P1521&gt;0,ISNUMBER($B$100)),$B$100+3*SQRT($B$100/P1521),"")</f>
        <v/>
      </c>
      <c r="U1521" s="13">
        <f>IF(AND(ISNUMBER(R1521),ISNUMBER(S1521),ISNUMBER(T1521)),IF(R1521&gt;T1521,"boven UCL",IF(R1521&lt;S1521,"onder LCL","")),"")</f>
        <v/>
      </c>
    </row>
    <row r="1522">
      <c r="A1522" t="n">
        <v>1416</v>
      </c>
      <c r="B1522" s="7" t="n"/>
      <c r="C1522" s="11">
        <f>IF(AND(ISNUMBER(B1522),ISNUMBER(B1521)),ABS(B1522-B1521),"")</f>
        <v/>
      </c>
      <c r="D1522" s="13">
        <f>IF(AND(ISNUMBER(B1522),ISNUMBER($B$88),ISNUMBER($D$88)),IF(B1522&gt;$D$88,"boven UCL",IF(B1522&lt;$B$88,"onder LCL","")),"")</f>
        <v/>
      </c>
      <c r="E1522" s="13">
        <f>IF(AND(ISNUMBER(C1522),ISNUMBER($B$89),ISNUMBER($D$89)),IF(C1522&gt;$D$89,"boven UCL",IF(C1522&lt;$B$89,"onder LCL","")),"")</f>
        <v/>
      </c>
      <c r="G1522" t="n">
        <v>1416</v>
      </c>
      <c r="H1522" s="7" t="n"/>
      <c r="I1522" s="7" t="n"/>
      <c r="J1522" s="11">
        <f>IF(AND(ISNUMBER(H1522),ISNUMBER(I1522),H1522&gt;0,ISNUMBER($B$94)),I1522/H1522,"")</f>
        <v/>
      </c>
      <c r="K1522" s="11">
        <f>IF(AND(ISNUMBER(H1522),ISNUMBER(I1522),H1522&gt;0,ISNUMBER($B$94)),MAX(0,$B$94-3*SQRT($B$94*(1-$B$94)/H1522)),"")</f>
        <v/>
      </c>
      <c r="L1522" s="11">
        <f>IF(AND(ISNUMBER(H1522),ISNUMBER(I1522),H1522&gt;0,ISNUMBER($B$94)),$B$94+3*SQRT($B$94*(1-$B$94)/H1522),"")</f>
        <v/>
      </c>
      <c r="M1522" s="13">
        <f>IF(AND(ISNUMBER(J1522),ISNUMBER(K1522),ISNUMBER(L1522)),IF(J1522&gt;L1522,"boven UCL",IF(J1522&lt;K1522,"onder LCL","")),"")</f>
        <v/>
      </c>
      <c r="O1522" t="n">
        <v>1416</v>
      </c>
      <c r="P1522" s="7" t="n"/>
      <c r="Q1522" s="7" t="n"/>
      <c r="R1522" s="11">
        <f>IF(AND(ISNUMBER(P1522),ISNUMBER(Q1522),P1522&gt;0,ISNUMBER($B$100)),Q1522/P1522,"")</f>
        <v/>
      </c>
      <c r="S1522" s="11">
        <f>IF(AND(ISNUMBER(P1522),ISNUMBER(Q1522),P1522&gt;0,ISNUMBER($B$100)),MAX(0,$B$100-3*SQRT($B$100/P1522)),"")</f>
        <v/>
      </c>
      <c r="T1522" s="11">
        <f>IF(AND(ISNUMBER(P1522),ISNUMBER(Q1522),P1522&gt;0,ISNUMBER($B$100)),$B$100+3*SQRT($B$100/P1522),"")</f>
        <v/>
      </c>
      <c r="U1522" s="13">
        <f>IF(AND(ISNUMBER(R1522),ISNUMBER(S1522),ISNUMBER(T1522)),IF(R1522&gt;T1522,"boven UCL",IF(R1522&lt;S1522,"onder LCL","")),"")</f>
        <v/>
      </c>
    </row>
    <row r="1523">
      <c r="A1523" t="n">
        <v>1417</v>
      </c>
      <c r="B1523" s="7" t="n"/>
      <c r="C1523" s="11">
        <f>IF(AND(ISNUMBER(B1523),ISNUMBER(B1522)),ABS(B1523-B1522),"")</f>
        <v/>
      </c>
      <c r="D1523" s="13">
        <f>IF(AND(ISNUMBER(B1523),ISNUMBER($B$88),ISNUMBER($D$88)),IF(B1523&gt;$D$88,"boven UCL",IF(B1523&lt;$B$88,"onder LCL","")),"")</f>
        <v/>
      </c>
      <c r="E1523" s="13">
        <f>IF(AND(ISNUMBER(C1523),ISNUMBER($B$89),ISNUMBER($D$89)),IF(C1523&gt;$D$89,"boven UCL",IF(C1523&lt;$B$89,"onder LCL","")),"")</f>
        <v/>
      </c>
      <c r="G1523" t="n">
        <v>1417</v>
      </c>
      <c r="H1523" s="7" t="n"/>
      <c r="I1523" s="7" t="n"/>
      <c r="J1523" s="11">
        <f>IF(AND(ISNUMBER(H1523),ISNUMBER(I1523),H1523&gt;0,ISNUMBER($B$94)),I1523/H1523,"")</f>
        <v/>
      </c>
      <c r="K1523" s="11">
        <f>IF(AND(ISNUMBER(H1523),ISNUMBER(I1523),H1523&gt;0,ISNUMBER($B$94)),MAX(0,$B$94-3*SQRT($B$94*(1-$B$94)/H1523)),"")</f>
        <v/>
      </c>
      <c r="L1523" s="11">
        <f>IF(AND(ISNUMBER(H1523),ISNUMBER(I1523),H1523&gt;0,ISNUMBER($B$94)),$B$94+3*SQRT($B$94*(1-$B$94)/H1523),"")</f>
        <v/>
      </c>
      <c r="M1523" s="13">
        <f>IF(AND(ISNUMBER(J1523),ISNUMBER(K1523),ISNUMBER(L1523)),IF(J1523&gt;L1523,"boven UCL",IF(J1523&lt;K1523,"onder LCL","")),"")</f>
        <v/>
      </c>
      <c r="O1523" t="n">
        <v>1417</v>
      </c>
      <c r="P1523" s="7" t="n"/>
      <c r="Q1523" s="7" t="n"/>
      <c r="R1523" s="11">
        <f>IF(AND(ISNUMBER(P1523),ISNUMBER(Q1523),P1523&gt;0,ISNUMBER($B$100)),Q1523/P1523,"")</f>
        <v/>
      </c>
      <c r="S1523" s="11">
        <f>IF(AND(ISNUMBER(P1523),ISNUMBER(Q1523),P1523&gt;0,ISNUMBER($B$100)),MAX(0,$B$100-3*SQRT($B$100/P1523)),"")</f>
        <v/>
      </c>
      <c r="T1523" s="11">
        <f>IF(AND(ISNUMBER(P1523),ISNUMBER(Q1523),P1523&gt;0,ISNUMBER($B$100)),$B$100+3*SQRT($B$100/P1523),"")</f>
        <v/>
      </c>
      <c r="U1523" s="13">
        <f>IF(AND(ISNUMBER(R1523),ISNUMBER(S1523),ISNUMBER(T1523)),IF(R1523&gt;T1523,"boven UCL",IF(R1523&lt;S1523,"onder LCL","")),"")</f>
        <v/>
      </c>
    </row>
    <row r="1524">
      <c r="A1524" t="n">
        <v>1418</v>
      </c>
      <c r="B1524" s="7" t="n"/>
      <c r="C1524" s="11">
        <f>IF(AND(ISNUMBER(B1524),ISNUMBER(B1523)),ABS(B1524-B1523),"")</f>
        <v/>
      </c>
      <c r="D1524" s="13">
        <f>IF(AND(ISNUMBER(B1524),ISNUMBER($B$88),ISNUMBER($D$88)),IF(B1524&gt;$D$88,"boven UCL",IF(B1524&lt;$B$88,"onder LCL","")),"")</f>
        <v/>
      </c>
      <c r="E1524" s="13">
        <f>IF(AND(ISNUMBER(C1524),ISNUMBER($B$89),ISNUMBER($D$89)),IF(C1524&gt;$D$89,"boven UCL",IF(C1524&lt;$B$89,"onder LCL","")),"")</f>
        <v/>
      </c>
      <c r="G1524" t="n">
        <v>1418</v>
      </c>
      <c r="H1524" s="7" t="n"/>
      <c r="I1524" s="7" t="n"/>
      <c r="J1524" s="11">
        <f>IF(AND(ISNUMBER(H1524),ISNUMBER(I1524),H1524&gt;0,ISNUMBER($B$94)),I1524/H1524,"")</f>
        <v/>
      </c>
      <c r="K1524" s="11">
        <f>IF(AND(ISNUMBER(H1524),ISNUMBER(I1524),H1524&gt;0,ISNUMBER($B$94)),MAX(0,$B$94-3*SQRT($B$94*(1-$B$94)/H1524)),"")</f>
        <v/>
      </c>
      <c r="L1524" s="11">
        <f>IF(AND(ISNUMBER(H1524),ISNUMBER(I1524),H1524&gt;0,ISNUMBER($B$94)),$B$94+3*SQRT($B$94*(1-$B$94)/H1524),"")</f>
        <v/>
      </c>
      <c r="M1524" s="13">
        <f>IF(AND(ISNUMBER(J1524),ISNUMBER(K1524),ISNUMBER(L1524)),IF(J1524&gt;L1524,"boven UCL",IF(J1524&lt;K1524,"onder LCL","")),"")</f>
        <v/>
      </c>
      <c r="O1524" t="n">
        <v>1418</v>
      </c>
      <c r="P1524" s="7" t="n"/>
      <c r="Q1524" s="7" t="n"/>
      <c r="R1524" s="11">
        <f>IF(AND(ISNUMBER(P1524),ISNUMBER(Q1524),P1524&gt;0,ISNUMBER($B$100)),Q1524/P1524,"")</f>
        <v/>
      </c>
      <c r="S1524" s="11">
        <f>IF(AND(ISNUMBER(P1524),ISNUMBER(Q1524),P1524&gt;0,ISNUMBER($B$100)),MAX(0,$B$100-3*SQRT($B$100/P1524)),"")</f>
        <v/>
      </c>
      <c r="T1524" s="11">
        <f>IF(AND(ISNUMBER(P1524),ISNUMBER(Q1524),P1524&gt;0,ISNUMBER($B$100)),$B$100+3*SQRT($B$100/P1524),"")</f>
        <v/>
      </c>
      <c r="U1524" s="13">
        <f>IF(AND(ISNUMBER(R1524),ISNUMBER(S1524),ISNUMBER(T1524)),IF(R1524&gt;T1524,"boven UCL",IF(R1524&lt;S1524,"onder LCL","")),"")</f>
        <v/>
      </c>
    </row>
    <row r="1525">
      <c r="A1525" t="n">
        <v>1419</v>
      </c>
      <c r="B1525" s="7" t="n"/>
      <c r="C1525" s="11">
        <f>IF(AND(ISNUMBER(B1525),ISNUMBER(B1524)),ABS(B1525-B1524),"")</f>
        <v/>
      </c>
      <c r="D1525" s="13">
        <f>IF(AND(ISNUMBER(B1525),ISNUMBER($B$88),ISNUMBER($D$88)),IF(B1525&gt;$D$88,"boven UCL",IF(B1525&lt;$B$88,"onder LCL","")),"")</f>
        <v/>
      </c>
      <c r="E1525" s="13">
        <f>IF(AND(ISNUMBER(C1525),ISNUMBER($B$89),ISNUMBER($D$89)),IF(C1525&gt;$D$89,"boven UCL",IF(C1525&lt;$B$89,"onder LCL","")),"")</f>
        <v/>
      </c>
      <c r="G1525" t="n">
        <v>1419</v>
      </c>
      <c r="H1525" s="7" t="n"/>
      <c r="I1525" s="7" t="n"/>
      <c r="J1525" s="11">
        <f>IF(AND(ISNUMBER(H1525),ISNUMBER(I1525),H1525&gt;0,ISNUMBER($B$94)),I1525/H1525,"")</f>
        <v/>
      </c>
      <c r="K1525" s="11">
        <f>IF(AND(ISNUMBER(H1525),ISNUMBER(I1525),H1525&gt;0,ISNUMBER($B$94)),MAX(0,$B$94-3*SQRT($B$94*(1-$B$94)/H1525)),"")</f>
        <v/>
      </c>
      <c r="L1525" s="11">
        <f>IF(AND(ISNUMBER(H1525),ISNUMBER(I1525),H1525&gt;0,ISNUMBER($B$94)),$B$94+3*SQRT($B$94*(1-$B$94)/H1525),"")</f>
        <v/>
      </c>
      <c r="M1525" s="13">
        <f>IF(AND(ISNUMBER(J1525),ISNUMBER(K1525),ISNUMBER(L1525)),IF(J1525&gt;L1525,"boven UCL",IF(J1525&lt;K1525,"onder LCL","")),"")</f>
        <v/>
      </c>
      <c r="O1525" t="n">
        <v>1419</v>
      </c>
      <c r="P1525" s="7" t="n"/>
      <c r="Q1525" s="7" t="n"/>
      <c r="R1525" s="11">
        <f>IF(AND(ISNUMBER(P1525),ISNUMBER(Q1525),P1525&gt;0,ISNUMBER($B$100)),Q1525/P1525,"")</f>
        <v/>
      </c>
      <c r="S1525" s="11">
        <f>IF(AND(ISNUMBER(P1525),ISNUMBER(Q1525),P1525&gt;0,ISNUMBER($B$100)),MAX(0,$B$100-3*SQRT($B$100/P1525)),"")</f>
        <v/>
      </c>
      <c r="T1525" s="11">
        <f>IF(AND(ISNUMBER(P1525),ISNUMBER(Q1525),P1525&gt;0,ISNUMBER($B$100)),$B$100+3*SQRT($B$100/P1525),"")</f>
        <v/>
      </c>
      <c r="U1525" s="13">
        <f>IF(AND(ISNUMBER(R1525),ISNUMBER(S1525),ISNUMBER(T1525)),IF(R1525&gt;T1525,"boven UCL",IF(R1525&lt;S1525,"onder LCL","")),"")</f>
        <v/>
      </c>
    </row>
    <row r="1526">
      <c r="A1526" t="n">
        <v>1420</v>
      </c>
      <c r="B1526" s="7" t="n"/>
      <c r="C1526" s="11">
        <f>IF(AND(ISNUMBER(B1526),ISNUMBER(B1525)),ABS(B1526-B1525),"")</f>
        <v/>
      </c>
      <c r="D1526" s="13">
        <f>IF(AND(ISNUMBER(B1526),ISNUMBER($B$88),ISNUMBER($D$88)),IF(B1526&gt;$D$88,"boven UCL",IF(B1526&lt;$B$88,"onder LCL","")),"")</f>
        <v/>
      </c>
      <c r="E1526" s="13">
        <f>IF(AND(ISNUMBER(C1526),ISNUMBER($B$89),ISNUMBER($D$89)),IF(C1526&gt;$D$89,"boven UCL",IF(C1526&lt;$B$89,"onder LCL","")),"")</f>
        <v/>
      </c>
      <c r="G1526" t="n">
        <v>1420</v>
      </c>
      <c r="H1526" s="7" t="n"/>
      <c r="I1526" s="7" t="n"/>
      <c r="J1526" s="11">
        <f>IF(AND(ISNUMBER(H1526),ISNUMBER(I1526),H1526&gt;0,ISNUMBER($B$94)),I1526/H1526,"")</f>
        <v/>
      </c>
      <c r="K1526" s="11">
        <f>IF(AND(ISNUMBER(H1526),ISNUMBER(I1526),H1526&gt;0,ISNUMBER($B$94)),MAX(0,$B$94-3*SQRT($B$94*(1-$B$94)/H1526)),"")</f>
        <v/>
      </c>
      <c r="L1526" s="11">
        <f>IF(AND(ISNUMBER(H1526),ISNUMBER(I1526),H1526&gt;0,ISNUMBER($B$94)),$B$94+3*SQRT($B$94*(1-$B$94)/H1526),"")</f>
        <v/>
      </c>
      <c r="M1526" s="13">
        <f>IF(AND(ISNUMBER(J1526),ISNUMBER(K1526),ISNUMBER(L1526)),IF(J1526&gt;L1526,"boven UCL",IF(J1526&lt;K1526,"onder LCL","")),"")</f>
        <v/>
      </c>
      <c r="O1526" t="n">
        <v>1420</v>
      </c>
      <c r="P1526" s="7" t="n"/>
      <c r="Q1526" s="7" t="n"/>
      <c r="R1526" s="11">
        <f>IF(AND(ISNUMBER(P1526),ISNUMBER(Q1526),P1526&gt;0,ISNUMBER($B$100)),Q1526/P1526,"")</f>
        <v/>
      </c>
      <c r="S1526" s="11">
        <f>IF(AND(ISNUMBER(P1526),ISNUMBER(Q1526),P1526&gt;0,ISNUMBER($B$100)),MAX(0,$B$100-3*SQRT($B$100/P1526)),"")</f>
        <v/>
      </c>
      <c r="T1526" s="11">
        <f>IF(AND(ISNUMBER(P1526),ISNUMBER(Q1526),P1526&gt;0,ISNUMBER($B$100)),$B$100+3*SQRT($B$100/P1526),"")</f>
        <v/>
      </c>
      <c r="U1526" s="13">
        <f>IF(AND(ISNUMBER(R1526),ISNUMBER(S1526),ISNUMBER(T1526)),IF(R1526&gt;T1526,"boven UCL",IF(R1526&lt;S1526,"onder LCL","")),"")</f>
        <v/>
      </c>
    </row>
    <row r="1527">
      <c r="A1527" t="n">
        <v>1421</v>
      </c>
      <c r="B1527" s="7" t="n"/>
      <c r="C1527" s="11">
        <f>IF(AND(ISNUMBER(B1527),ISNUMBER(B1526)),ABS(B1527-B1526),"")</f>
        <v/>
      </c>
      <c r="D1527" s="13">
        <f>IF(AND(ISNUMBER(B1527),ISNUMBER($B$88),ISNUMBER($D$88)),IF(B1527&gt;$D$88,"boven UCL",IF(B1527&lt;$B$88,"onder LCL","")),"")</f>
        <v/>
      </c>
      <c r="E1527" s="13">
        <f>IF(AND(ISNUMBER(C1527),ISNUMBER($B$89),ISNUMBER($D$89)),IF(C1527&gt;$D$89,"boven UCL",IF(C1527&lt;$B$89,"onder LCL","")),"")</f>
        <v/>
      </c>
      <c r="G1527" t="n">
        <v>1421</v>
      </c>
      <c r="H1527" s="7" t="n"/>
      <c r="I1527" s="7" t="n"/>
      <c r="J1527" s="11">
        <f>IF(AND(ISNUMBER(H1527),ISNUMBER(I1527),H1527&gt;0,ISNUMBER($B$94)),I1527/H1527,"")</f>
        <v/>
      </c>
      <c r="K1527" s="11">
        <f>IF(AND(ISNUMBER(H1527),ISNUMBER(I1527),H1527&gt;0,ISNUMBER($B$94)),MAX(0,$B$94-3*SQRT($B$94*(1-$B$94)/H1527)),"")</f>
        <v/>
      </c>
      <c r="L1527" s="11">
        <f>IF(AND(ISNUMBER(H1527),ISNUMBER(I1527),H1527&gt;0,ISNUMBER($B$94)),$B$94+3*SQRT($B$94*(1-$B$94)/H1527),"")</f>
        <v/>
      </c>
      <c r="M1527" s="13">
        <f>IF(AND(ISNUMBER(J1527),ISNUMBER(K1527),ISNUMBER(L1527)),IF(J1527&gt;L1527,"boven UCL",IF(J1527&lt;K1527,"onder LCL","")),"")</f>
        <v/>
      </c>
      <c r="O1527" t="n">
        <v>1421</v>
      </c>
      <c r="P1527" s="7" t="n"/>
      <c r="Q1527" s="7" t="n"/>
      <c r="R1527" s="11">
        <f>IF(AND(ISNUMBER(P1527),ISNUMBER(Q1527),P1527&gt;0,ISNUMBER($B$100)),Q1527/P1527,"")</f>
        <v/>
      </c>
      <c r="S1527" s="11">
        <f>IF(AND(ISNUMBER(P1527),ISNUMBER(Q1527),P1527&gt;0,ISNUMBER($B$100)),MAX(0,$B$100-3*SQRT($B$100/P1527)),"")</f>
        <v/>
      </c>
      <c r="T1527" s="11">
        <f>IF(AND(ISNUMBER(P1527),ISNUMBER(Q1527),P1527&gt;0,ISNUMBER($B$100)),$B$100+3*SQRT($B$100/P1527),"")</f>
        <v/>
      </c>
      <c r="U1527" s="13">
        <f>IF(AND(ISNUMBER(R1527),ISNUMBER(S1527),ISNUMBER(T1527)),IF(R1527&gt;T1527,"boven UCL",IF(R1527&lt;S1527,"onder LCL","")),"")</f>
        <v/>
      </c>
    </row>
    <row r="1528">
      <c r="A1528" t="n">
        <v>1422</v>
      </c>
      <c r="B1528" s="7" t="n"/>
      <c r="C1528" s="11">
        <f>IF(AND(ISNUMBER(B1528),ISNUMBER(B1527)),ABS(B1528-B1527),"")</f>
        <v/>
      </c>
      <c r="D1528" s="13">
        <f>IF(AND(ISNUMBER(B1528),ISNUMBER($B$88),ISNUMBER($D$88)),IF(B1528&gt;$D$88,"boven UCL",IF(B1528&lt;$B$88,"onder LCL","")),"")</f>
        <v/>
      </c>
      <c r="E1528" s="13">
        <f>IF(AND(ISNUMBER(C1528),ISNUMBER($B$89),ISNUMBER($D$89)),IF(C1528&gt;$D$89,"boven UCL",IF(C1528&lt;$B$89,"onder LCL","")),"")</f>
        <v/>
      </c>
      <c r="G1528" t="n">
        <v>1422</v>
      </c>
      <c r="H1528" s="7" t="n"/>
      <c r="I1528" s="7" t="n"/>
      <c r="J1528" s="11">
        <f>IF(AND(ISNUMBER(H1528),ISNUMBER(I1528),H1528&gt;0,ISNUMBER($B$94)),I1528/H1528,"")</f>
        <v/>
      </c>
      <c r="K1528" s="11">
        <f>IF(AND(ISNUMBER(H1528),ISNUMBER(I1528),H1528&gt;0,ISNUMBER($B$94)),MAX(0,$B$94-3*SQRT($B$94*(1-$B$94)/H1528)),"")</f>
        <v/>
      </c>
      <c r="L1528" s="11">
        <f>IF(AND(ISNUMBER(H1528),ISNUMBER(I1528),H1528&gt;0,ISNUMBER($B$94)),$B$94+3*SQRT($B$94*(1-$B$94)/H1528),"")</f>
        <v/>
      </c>
      <c r="M1528" s="13">
        <f>IF(AND(ISNUMBER(J1528),ISNUMBER(K1528),ISNUMBER(L1528)),IF(J1528&gt;L1528,"boven UCL",IF(J1528&lt;K1528,"onder LCL","")),"")</f>
        <v/>
      </c>
      <c r="O1528" t="n">
        <v>1422</v>
      </c>
      <c r="P1528" s="7" t="n"/>
      <c r="Q1528" s="7" t="n"/>
      <c r="R1528" s="11">
        <f>IF(AND(ISNUMBER(P1528),ISNUMBER(Q1528),P1528&gt;0,ISNUMBER($B$100)),Q1528/P1528,"")</f>
        <v/>
      </c>
      <c r="S1528" s="11">
        <f>IF(AND(ISNUMBER(P1528),ISNUMBER(Q1528),P1528&gt;0,ISNUMBER($B$100)),MAX(0,$B$100-3*SQRT($B$100/P1528)),"")</f>
        <v/>
      </c>
      <c r="T1528" s="11">
        <f>IF(AND(ISNUMBER(P1528),ISNUMBER(Q1528),P1528&gt;0,ISNUMBER($B$100)),$B$100+3*SQRT($B$100/P1528),"")</f>
        <v/>
      </c>
      <c r="U1528" s="13">
        <f>IF(AND(ISNUMBER(R1528),ISNUMBER(S1528),ISNUMBER(T1528)),IF(R1528&gt;T1528,"boven UCL",IF(R1528&lt;S1528,"onder LCL","")),"")</f>
        <v/>
      </c>
    </row>
    <row r="1529">
      <c r="A1529" t="n">
        <v>1423</v>
      </c>
      <c r="B1529" s="7" t="n"/>
      <c r="C1529" s="11">
        <f>IF(AND(ISNUMBER(B1529),ISNUMBER(B1528)),ABS(B1529-B1528),"")</f>
        <v/>
      </c>
      <c r="D1529" s="13">
        <f>IF(AND(ISNUMBER(B1529),ISNUMBER($B$88),ISNUMBER($D$88)),IF(B1529&gt;$D$88,"boven UCL",IF(B1529&lt;$B$88,"onder LCL","")),"")</f>
        <v/>
      </c>
      <c r="E1529" s="13">
        <f>IF(AND(ISNUMBER(C1529),ISNUMBER($B$89),ISNUMBER($D$89)),IF(C1529&gt;$D$89,"boven UCL",IF(C1529&lt;$B$89,"onder LCL","")),"")</f>
        <v/>
      </c>
      <c r="G1529" t="n">
        <v>1423</v>
      </c>
      <c r="H1529" s="7" t="n"/>
      <c r="I1529" s="7" t="n"/>
      <c r="J1529" s="11">
        <f>IF(AND(ISNUMBER(H1529),ISNUMBER(I1529),H1529&gt;0,ISNUMBER($B$94)),I1529/H1529,"")</f>
        <v/>
      </c>
      <c r="K1529" s="11">
        <f>IF(AND(ISNUMBER(H1529),ISNUMBER(I1529),H1529&gt;0,ISNUMBER($B$94)),MAX(0,$B$94-3*SQRT($B$94*(1-$B$94)/H1529)),"")</f>
        <v/>
      </c>
      <c r="L1529" s="11">
        <f>IF(AND(ISNUMBER(H1529),ISNUMBER(I1529),H1529&gt;0,ISNUMBER($B$94)),$B$94+3*SQRT($B$94*(1-$B$94)/H1529),"")</f>
        <v/>
      </c>
      <c r="M1529" s="13">
        <f>IF(AND(ISNUMBER(J1529),ISNUMBER(K1529),ISNUMBER(L1529)),IF(J1529&gt;L1529,"boven UCL",IF(J1529&lt;K1529,"onder LCL","")),"")</f>
        <v/>
      </c>
      <c r="O1529" t="n">
        <v>1423</v>
      </c>
      <c r="P1529" s="7" t="n"/>
      <c r="Q1529" s="7" t="n"/>
      <c r="R1529" s="11">
        <f>IF(AND(ISNUMBER(P1529),ISNUMBER(Q1529),P1529&gt;0,ISNUMBER($B$100)),Q1529/P1529,"")</f>
        <v/>
      </c>
      <c r="S1529" s="11">
        <f>IF(AND(ISNUMBER(P1529),ISNUMBER(Q1529),P1529&gt;0,ISNUMBER($B$100)),MAX(0,$B$100-3*SQRT($B$100/P1529)),"")</f>
        <v/>
      </c>
      <c r="T1529" s="11">
        <f>IF(AND(ISNUMBER(P1529),ISNUMBER(Q1529),P1529&gt;0,ISNUMBER($B$100)),$B$100+3*SQRT($B$100/P1529),"")</f>
        <v/>
      </c>
      <c r="U1529" s="13">
        <f>IF(AND(ISNUMBER(R1529),ISNUMBER(S1529),ISNUMBER(T1529)),IF(R1529&gt;T1529,"boven UCL",IF(R1529&lt;S1529,"onder LCL","")),"")</f>
        <v/>
      </c>
    </row>
    <row r="1530">
      <c r="A1530" t="n">
        <v>1424</v>
      </c>
      <c r="B1530" s="7" t="n"/>
      <c r="C1530" s="11">
        <f>IF(AND(ISNUMBER(B1530),ISNUMBER(B1529)),ABS(B1530-B1529),"")</f>
        <v/>
      </c>
      <c r="D1530" s="13">
        <f>IF(AND(ISNUMBER(B1530),ISNUMBER($B$88),ISNUMBER($D$88)),IF(B1530&gt;$D$88,"boven UCL",IF(B1530&lt;$B$88,"onder LCL","")),"")</f>
        <v/>
      </c>
      <c r="E1530" s="13">
        <f>IF(AND(ISNUMBER(C1530),ISNUMBER($B$89),ISNUMBER($D$89)),IF(C1530&gt;$D$89,"boven UCL",IF(C1530&lt;$B$89,"onder LCL","")),"")</f>
        <v/>
      </c>
      <c r="G1530" t="n">
        <v>1424</v>
      </c>
      <c r="H1530" s="7" t="n"/>
      <c r="I1530" s="7" t="n"/>
      <c r="J1530" s="11">
        <f>IF(AND(ISNUMBER(H1530),ISNUMBER(I1530),H1530&gt;0,ISNUMBER($B$94)),I1530/H1530,"")</f>
        <v/>
      </c>
      <c r="K1530" s="11">
        <f>IF(AND(ISNUMBER(H1530),ISNUMBER(I1530),H1530&gt;0,ISNUMBER($B$94)),MAX(0,$B$94-3*SQRT($B$94*(1-$B$94)/H1530)),"")</f>
        <v/>
      </c>
      <c r="L1530" s="11">
        <f>IF(AND(ISNUMBER(H1530),ISNUMBER(I1530),H1530&gt;0,ISNUMBER($B$94)),$B$94+3*SQRT($B$94*(1-$B$94)/H1530),"")</f>
        <v/>
      </c>
      <c r="M1530" s="13">
        <f>IF(AND(ISNUMBER(J1530),ISNUMBER(K1530),ISNUMBER(L1530)),IF(J1530&gt;L1530,"boven UCL",IF(J1530&lt;K1530,"onder LCL","")),"")</f>
        <v/>
      </c>
      <c r="O1530" t="n">
        <v>1424</v>
      </c>
      <c r="P1530" s="7" t="n"/>
      <c r="Q1530" s="7" t="n"/>
      <c r="R1530" s="11">
        <f>IF(AND(ISNUMBER(P1530),ISNUMBER(Q1530),P1530&gt;0,ISNUMBER($B$100)),Q1530/P1530,"")</f>
        <v/>
      </c>
      <c r="S1530" s="11">
        <f>IF(AND(ISNUMBER(P1530),ISNUMBER(Q1530),P1530&gt;0,ISNUMBER($B$100)),MAX(0,$B$100-3*SQRT($B$100/P1530)),"")</f>
        <v/>
      </c>
      <c r="T1530" s="11">
        <f>IF(AND(ISNUMBER(P1530),ISNUMBER(Q1530),P1530&gt;0,ISNUMBER($B$100)),$B$100+3*SQRT($B$100/P1530),"")</f>
        <v/>
      </c>
      <c r="U1530" s="13">
        <f>IF(AND(ISNUMBER(R1530),ISNUMBER(S1530),ISNUMBER(T1530)),IF(R1530&gt;T1530,"boven UCL",IF(R1530&lt;S1530,"onder LCL","")),"")</f>
        <v/>
      </c>
    </row>
    <row r="1531">
      <c r="A1531" t="n">
        <v>1425</v>
      </c>
      <c r="B1531" s="7" t="n"/>
      <c r="C1531" s="11">
        <f>IF(AND(ISNUMBER(B1531),ISNUMBER(B1530)),ABS(B1531-B1530),"")</f>
        <v/>
      </c>
      <c r="D1531" s="13">
        <f>IF(AND(ISNUMBER(B1531),ISNUMBER($B$88),ISNUMBER($D$88)),IF(B1531&gt;$D$88,"boven UCL",IF(B1531&lt;$B$88,"onder LCL","")),"")</f>
        <v/>
      </c>
      <c r="E1531" s="13">
        <f>IF(AND(ISNUMBER(C1531),ISNUMBER($B$89),ISNUMBER($D$89)),IF(C1531&gt;$D$89,"boven UCL",IF(C1531&lt;$B$89,"onder LCL","")),"")</f>
        <v/>
      </c>
      <c r="G1531" t="n">
        <v>1425</v>
      </c>
      <c r="H1531" s="7" t="n"/>
      <c r="I1531" s="7" t="n"/>
      <c r="J1531" s="11">
        <f>IF(AND(ISNUMBER(H1531),ISNUMBER(I1531),H1531&gt;0,ISNUMBER($B$94)),I1531/H1531,"")</f>
        <v/>
      </c>
      <c r="K1531" s="11">
        <f>IF(AND(ISNUMBER(H1531),ISNUMBER(I1531),H1531&gt;0,ISNUMBER($B$94)),MAX(0,$B$94-3*SQRT($B$94*(1-$B$94)/H1531)),"")</f>
        <v/>
      </c>
      <c r="L1531" s="11">
        <f>IF(AND(ISNUMBER(H1531),ISNUMBER(I1531),H1531&gt;0,ISNUMBER($B$94)),$B$94+3*SQRT($B$94*(1-$B$94)/H1531),"")</f>
        <v/>
      </c>
      <c r="M1531" s="13">
        <f>IF(AND(ISNUMBER(J1531),ISNUMBER(K1531),ISNUMBER(L1531)),IF(J1531&gt;L1531,"boven UCL",IF(J1531&lt;K1531,"onder LCL","")),"")</f>
        <v/>
      </c>
      <c r="O1531" t="n">
        <v>1425</v>
      </c>
      <c r="P1531" s="7" t="n"/>
      <c r="Q1531" s="7" t="n"/>
      <c r="R1531" s="11">
        <f>IF(AND(ISNUMBER(P1531),ISNUMBER(Q1531),P1531&gt;0,ISNUMBER($B$100)),Q1531/P1531,"")</f>
        <v/>
      </c>
      <c r="S1531" s="11">
        <f>IF(AND(ISNUMBER(P1531),ISNUMBER(Q1531),P1531&gt;0,ISNUMBER($B$100)),MAX(0,$B$100-3*SQRT($B$100/P1531)),"")</f>
        <v/>
      </c>
      <c r="T1531" s="11">
        <f>IF(AND(ISNUMBER(P1531),ISNUMBER(Q1531),P1531&gt;0,ISNUMBER($B$100)),$B$100+3*SQRT($B$100/P1531),"")</f>
        <v/>
      </c>
      <c r="U1531" s="13">
        <f>IF(AND(ISNUMBER(R1531),ISNUMBER(S1531),ISNUMBER(T1531)),IF(R1531&gt;T1531,"boven UCL",IF(R1531&lt;S1531,"onder LCL","")),"")</f>
        <v/>
      </c>
    </row>
    <row r="1532">
      <c r="A1532" t="n">
        <v>1426</v>
      </c>
      <c r="B1532" s="7" t="n"/>
      <c r="C1532" s="11">
        <f>IF(AND(ISNUMBER(B1532),ISNUMBER(B1531)),ABS(B1532-B1531),"")</f>
        <v/>
      </c>
      <c r="D1532" s="13">
        <f>IF(AND(ISNUMBER(B1532),ISNUMBER($B$88),ISNUMBER($D$88)),IF(B1532&gt;$D$88,"boven UCL",IF(B1532&lt;$B$88,"onder LCL","")),"")</f>
        <v/>
      </c>
      <c r="E1532" s="13">
        <f>IF(AND(ISNUMBER(C1532),ISNUMBER($B$89),ISNUMBER($D$89)),IF(C1532&gt;$D$89,"boven UCL",IF(C1532&lt;$B$89,"onder LCL","")),"")</f>
        <v/>
      </c>
      <c r="G1532" t="n">
        <v>1426</v>
      </c>
      <c r="H1532" s="7" t="n"/>
      <c r="I1532" s="7" t="n"/>
      <c r="J1532" s="11">
        <f>IF(AND(ISNUMBER(H1532),ISNUMBER(I1532),H1532&gt;0,ISNUMBER($B$94)),I1532/H1532,"")</f>
        <v/>
      </c>
      <c r="K1532" s="11">
        <f>IF(AND(ISNUMBER(H1532),ISNUMBER(I1532),H1532&gt;0,ISNUMBER($B$94)),MAX(0,$B$94-3*SQRT($B$94*(1-$B$94)/H1532)),"")</f>
        <v/>
      </c>
      <c r="L1532" s="11">
        <f>IF(AND(ISNUMBER(H1532),ISNUMBER(I1532),H1532&gt;0,ISNUMBER($B$94)),$B$94+3*SQRT($B$94*(1-$B$94)/H1532),"")</f>
        <v/>
      </c>
      <c r="M1532" s="13">
        <f>IF(AND(ISNUMBER(J1532),ISNUMBER(K1532),ISNUMBER(L1532)),IF(J1532&gt;L1532,"boven UCL",IF(J1532&lt;K1532,"onder LCL","")),"")</f>
        <v/>
      </c>
      <c r="O1532" t="n">
        <v>1426</v>
      </c>
      <c r="P1532" s="7" t="n"/>
      <c r="Q1532" s="7" t="n"/>
      <c r="R1532" s="11">
        <f>IF(AND(ISNUMBER(P1532),ISNUMBER(Q1532),P1532&gt;0,ISNUMBER($B$100)),Q1532/P1532,"")</f>
        <v/>
      </c>
      <c r="S1532" s="11">
        <f>IF(AND(ISNUMBER(P1532),ISNUMBER(Q1532),P1532&gt;0,ISNUMBER($B$100)),MAX(0,$B$100-3*SQRT($B$100/P1532)),"")</f>
        <v/>
      </c>
      <c r="T1532" s="11">
        <f>IF(AND(ISNUMBER(P1532),ISNUMBER(Q1532),P1532&gt;0,ISNUMBER($B$100)),$B$100+3*SQRT($B$100/P1532),"")</f>
        <v/>
      </c>
      <c r="U1532" s="13">
        <f>IF(AND(ISNUMBER(R1532),ISNUMBER(S1532),ISNUMBER(T1532)),IF(R1532&gt;T1532,"boven UCL",IF(R1532&lt;S1532,"onder LCL","")),"")</f>
        <v/>
      </c>
    </row>
    <row r="1533">
      <c r="A1533" t="n">
        <v>1427</v>
      </c>
      <c r="B1533" s="7" t="n"/>
      <c r="C1533" s="11">
        <f>IF(AND(ISNUMBER(B1533),ISNUMBER(B1532)),ABS(B1533-B1532),"")</f>
        <v/>
      </c>
      <c r="D1533" s="13">
        <f>IF(AND(ISNUMBER(B1533),ISNUMBER($B$88),ISNUMBER($D$88)),IF(B1533&gt;$D$88,"boven UCL",IF(B1533&lt;$B$88,"onder LCL","")),"")</f>
        <v/>
      </c>
      <c r="E1533" s="13">
        <f>IF(AND(ISNUMBER(C1533),ISNUMBER($B$89),ISNUMBER($D$89)),IF(C1533&gt;$D$89,"boven UCL",IF(C1533&lt;$B$89,"onder LCL","")),"")</f>
        <v/>
      </c>
      <c r="G1533" t="n">
        <v>1427</v>
      </c>
      <c r="H1533" s="7" t="n"/>
      <c r="I1533" s="7" t="n"/>
      <c r="J1533" s="11">
        <f>IF(AND(ISNUMBER(H1533),ISNUMBER(I1533),H1533&gt;0,ISNUMBER($B$94)),I1533/H1533,"")</f>
        <v/>
      </c>
      <c r="K1533" s="11">
        <f>IF(AND(ISNUMBER(H1533),ISNUMBER(I1533),H1533&gt;0,ISNUMBER($B$94)),MAX(0,$B$94-3*SQRT($B$94*(1-$B$94)/H1533)),"")</f>
        <v/>
      </c>
      <c r="L1533" s="11">
        <f>IF(AND(ISNUMBER(H1533),ISNUMBER(I1533),H1533&gt;0,ISNUMBER($B$94)),$B$94+3*SQRT($B$94*(1-$B$94)/H1533),"")</f>
        <v/>
      </c>
      <c r="M1533" s="13">
        <f>IF(AND(ISNUMBER(J1533),ISNUMBER(K1533),ISNUMBER(L1533)),IF(J1533&gt;L1533,"boven UCL",IF(J1533&lt;K1533,"onder LCL","")),"")</f>
        <v/>
      </c>
      <c r="O1533" t="n">
        <v>1427</v>
      </c>
      <c r="P1533" s="7" t="n"/>
      <c r="Q1533" s="7" t="n"/>
      <c r="R1533" s="11">
        <f>IF(AND(ISNUMBER(P1533),ISNUMBER(Q1533),P1533&gt;0,ISNUMBER($B$100)),Q1533/P1533,"")</f>
        <v/>
      </c>
      <c r="S1533" s="11">
        <f>IF(AND(ISNUMBER(P1533),ISNUMBER(Q1533),P1533&gt;0,ISNUMBER($B$100)),MAX(0,$B$100-3*SQRT($B$100/P1533)),"")</f>
        <v/>
      </c>
      <c r="T1533" s="11">
        <f>IF(AND(ISNUMBER(P1533),ISNUMBER(Q1533),P1533&gt;0,ISNUMBER($B$100)),$B$100+3*SQRT($B$100/P1533),"")</f>
        <v/>
      </c>
      <c r="U1533" s="13">
        <f>IF(AND(ISNUMBER(R1533),ISNUMBER(S1533),ISNUMBER(T1533)),IF(R1533&gt;T1533,"boven UCL",IF(R1533&lt;S1533,"onder LCL","")),"")</f>
        <v/>
      </c>
    </row>
    <row r="1534">
      <c r="A1534" t="n">
        <v>1428</v>
      </c>
      <c r="B1534" s="7" t="n"/>
      <c r="C1534" s="11">
        <f>IF(AND(ISNUMBER(B1534),ISNUMBER(B1533)),ABS(B1534-B1533),"")</f>
        <v/>
      </c>
      <c r="D1534" s="13">
        <f>IF(AND(ISNUMBER(B1534),ISNUMBER($B$88),ISNUMBER($D$88)),IF(B1534&gt;$D$88,"boven UCL",IF(B1534&lt;$B$88,"onder LCL","")),"")</f>
        <v/>
      </c>
      <c r="E1534" s="13">
        <f>IF(AND(ISNUMBER(C1534),ISNUMBER($B$89),ISNUMBER($D$89)),IF(C1534&gt;$D$89,"boven UCL",IF(C1534&lt;$B$89,"onder LCL","")),"")</f>
        <v/>
      </c>
      <c r="G1534" t="n">
        <v>1428</v>
      </c>
      <c r="H1534" s="7" t="n"/>
      <c r="I1534" s="7" t="n"/>
      <c r="J1534" s="11">
        <f>IF(AND(ISNUMBER(H1534),ISNUMBER(I1534),H1534&gt;0,ISNUMBER($B$94)),I1534/H1534,"")</f>
        <v/>
      </c>
      <c r="K1534" s="11">
        <f>IF(AND(ISNUMBER(H1534),ISNUMBER(I1534),H1534&gt;0,ISNUMBER($B$94)),MAX(0,$B$94-3*SQRT($B$94*(1-$B$94)/H1534)),"")</f>
        <v/>
      </c>
      <c r="L1534" s="11">
        <f>IF(AND(ISNUMBER(H1534),ISNUMBER(I1534),H1534&gt;0,ISNUMBER($B$94)),$B$94+3*SQRT($B$94*(1-$B$94)/H1534),"")</f>
        <v/>
      </c>
      <c r="M1534" s="13">
        <f>IF(AND(ISNUMBER(J1534),ISNUMBER(K1534),ISNUMBER(L1534)),IF(J1534&gt;L1534,"boven UCL",IF(J1534&lt;K1534,"onder LCL","")),"")</f>
        <v/>
      </c>
      <c r="O1534" t="n">
        <v>1428</v>
      </c>
      <c r="P1534" s="7" t="n"/>
      <c r="Q1534" s="7" t="n"/>
      <c r="R1534" s="11">
        <f>IF(AND(ISNUMBER(P1534),ISNUMBER(Q1534),P1534&gt;0,ISNUMBER($B$100)),Q1534/P1534,"")</f>
        <v/>
      </c>
      <c r="S1534" s="11">
        <f>IF(AND(ISNUMBER(P1534),ISNUMBER(Q1534),P1534&gt;0,ISNUMBER($B$100)),MAX(0,$B$100-3*SQRT($B$100/P1534)),"")</f>
        <v/>
      </c>
      <c r="T1534" s="11">
        <f>IF(AND(ISNUMBER(P1534),ISNUMBER(Q1534),P1534&gt;0,ISNUMBER($B$100)),$B$100+3*SQRT($B$100/P1534),"")</f>
        <v/>
      </c>
      <c r="U1534" s="13">
        <f>IF(AND(ISNUMBER(R1534),ISNUMBER(S1534),ISNUMBER(T1534)),IF(R1534&gt;T1534,"boven UCL",IF(R1534&lt;S1534,"onder LCL","")),"")</f>
        <v/>
      </c>
    </row>
    <row r="1535">
      <c r="A1535" t="n">
        <v>1429</v>
      </c>
      <c r="B1535" s="7" t="n"/>
      <c r="C1535" s="11">
        <f>IF(AND(ISNUMBER(B1535),ISNUMBER(B1534)),ABS(B1535-B1534),"")</f>
        <v/>
      </c>
      <c r="D1535" s="13">
        <f>IF(AND(ISNUMBER(B1535),ISNUMBER($B$88),ISNUMBER($D$88)),IF(B1535&gt;$D$88,"boven UCL",IF(B1535&lt;$B$88,"onder LCL","")),"")</f>
        <v/>
      </c>
      <c r="E1535" s="13">
        <f>IF(AND(ISNUMBER(C1535),ISNUMBER($B$89),ISNUMBER($D$89)),IF(C1535&gt;$D$89,"boven UCL",IF(C1535&lt;$B$89,"onder LCL","")),"")</f>
        <v/>
      </c>
      <c r="G1535" t="n">
        <v>1429</v>
      </c>
      <c r="H1535" s="7" t="n"/>
      <c r="I1535" s="7" t="n"/>
      <c r="J1535" s="11">
        <f>IF(AND(ISNUMBER(H1535),ISNUMBER(I1535),H1535&gt;0,ISNUMBER($B$94)),I1535/H1535,"")</f>
        <v/>
      </c>
      <c r="K1535" s="11">
        <f>IF(AND(ISNUMBER(H1535),ISNUMBER(I1535),H1535&gt;0,ISNUMBER($B$94)),MAX(0,$B$94-3*SQRT($B$94*(1-$B$94)/H1535)),"")</f>
        <v/>
      </c>
      <c r="L1535" s="11">
        <f>IF(AND(ISNUMBER(H1535),ISNUMBER(I1535),H1535&gt;0,ISNUMBER($B$94)),$B$94+3*SQRT($B$94*(1-$B$94)/H1535),"")</f>
        <v/>
      </c>
      <c r="M1535" s="13">
        <f>IF(AND(ISNUMBER(J1535),ISNUMBER(K1535),ISNUMBER(L1535)),IF(J1535&gt;L1535,"boven UCL",IF(J1535&lt;K1535,"onder LCL","")),"")</f>
        <v/>
      </c>
      <c r="O1535" t="n">
        <v>1429</v>
      </c>
      <c r="P1535" s="7" t="n"/>
      <c r="Q1535" s="7" t="n"/>
      <c r="R1535" s="11">
        <f>IF(AND(ISNUMBER(P1535),ISNUMBER(Q1535),P1535&gt;0,ISNUMBER($B$100)),Q1535/P1535,"")</f>
        <v/>
      </c>
      <c r="S1535" s="11">
        <f>IF(AND(ISNUMBER(P1535),ISNUMBER(Q1535),P1535&gt;0,ISNUMBER($B$100)),MAX(0,$B$100-3*SQRT($B$100/P1535)),"")</f>
        <v/>
      </c>
      <c r="T1535" s="11">
        <f>IF(AND(ISNUMBER(P1535),ISNUMBER(Q1535),P1535&gt;0,ISNUMBER($B$100)),$B$100+3*SQRT($B$100/P1535),"")</f>
        <v/>
      </c>
      <c r="U1535" s="13">
        <f>IF(AND(ISNUMBER(R1535),ISNUMBER(S1535),ISNUMBER(T1535)),IF(R1535&gt;T1535,"boven UCL",IF(R1535&lt;S1535,"onder LCL","")),"")</f>
        <v/>
      </c>
    </row>
    <row r="1536">
      <c r="A1536" t="n">
        <v>1430</v>
      </c>
      <c r="B1536" s="7" t="n"/>
      <c r="C1536" s="11">
        <f>IF(AND(ISNUMBER(B1536),ISNUMBER(B1535)),ABS(B1536-B1535),"")</f>
        <v/>
      </c>
      <c r="D1536" s="13">
        <f>IF(AND(ISNUMBER(B1536),ISNUMBER($B$88),ISNUMBER($D$88)),IF(B1536&gt;$D$88,"boven UCL",IF(B1536&lt;$B$88,"onder LCL","")),"")</f>
        <v/>
      </c>
      <c r="E1536" s="13">
        <f>IF(AND(ISNUMBER(C1536),ISNUMBER($B$89),ISNUMBER($D$89)),IF(C1536&gt;$D$89,"boven UCL",IF(C1536&lt;$B$89,"onder LCL","")),"")</f>
        <v/>
      </c>
      <c r="G1536" t="n">
        <v>1430</v>
      </c>
      <c r="H1536" s="7" t="n"/>
      <c r="I1536" s="7" t="n"/>
      <c r="J1536" s="11">
        <f>IF(AND(ISNUMBER(H1536),ISNUMBER(I1536),H1536&gt;0,ISNUMBER($B$94)),I1536/H1536,"")</f>
        <v/>
      </c>
      <c r="K1536" s="11">
        <f>IF(AND(ISNUMBER(H1536),ISNUMBER(I1536),H1536&gt;0,ISNUMBER($B$94)),MAX(0,$B$94-3*SQRT($B$94*(1-$B$94)/H1536)),"")</f>
        <v/>
      </c>
      <c r="L1536" s="11">
        <f>IF(AND(ISNUMBER(H1536),ISNUMBER(I1536),H1536&gt;0,ISNUMBER($B$94)),$B$94+3*SQRT($B$94*(1-$B$94)/H1536),"")</f>
        <v/>
      </c>
      <c r="M1536" s="13">
        <f>IF(AND(ISNUMBER(J1536),ISNUMBER(K1536),ISNUMBER(L1536)),IF(J1536&gt;L1536,"boven UCL",IF(J1536&lt;K1536,"onder LCL","")),"")</f>
        <v/>
      </c>
      <c r="O1536" t="n">
        <v>1430</v>
      </c>
      <c r="P1536" s="7" t="n"/>
      <c r="Q1536" s="7" t="n"/>
      <c r="R1536" s="11">
        <f>IF(AND(ISNUMBER(P1536),ISNUMBER(Q1536),P1536&gt;0,ISNUMBER($B$100)),Q1536/P1536,"")</f>
        <v/>
      </c>
      <c r="S1536" s="11">
        <f>IF(AND(ISNUMBER(P1536),ISNUMBER(Q1536),P1536&gt;0,ISNUMBER($B$100)),MAX(0,$B$100-3*SQRT($B$100/P1536)),"")</f>
        <v/>
      </c>
      <c r="T1536" s="11">
        <f>IF(AND(ISNUMBER(P1536),ISNUMBER(Q1536),P1536&gt;0,ISNUMBER($B$100)),$B$100+3*SQRT($B$100/P1536),"")</f>
        <v/>
      </c>
      <c r="U1536" s="13">
        <f>IF(AND(ISNUMBER(R1536),ISNUMBER(S1536),ISNUMBER(T1536)),IF(R1536&gt;T1536,"boven UCL",IF(R1536&lt;S1536,"onder LCL","")),"")</f>
        <v/>
      </c>
    </row>
    <row r="1537">
      <c r="A1537" t="n">
        <v>1431</v>
      </c>
      <c r="B1537" s="7" t="n"/>
      <c r="C1537" s="11">
        <f>IF(AND(ISNUMBER(B1537),ISNUMBER(B1536)),ABS(B1537-B1536),"")</f>
        <v/>
      </c>
      <c r="D1537" s="13">
        <f>IF(AND(ISNUMBER(B1537),ISNUMBER($B$88),ISNUMBER($D$88)),IF(B1537&gt;$D$88,"boven UCL",IF(B1537&lt;$B$88,"onder LCL","")),"")</f>
        <v/>
      </c>
      <c r="E1537" s="13">
        <f>IF(AND(ISNUMBER(C1537),ISNUMBER($B$89),ISNUMBER($D$89)),IF(C1537&gt;$D$89,"boven UCL",IF(C1537&lt;$B$89,"onder LCL","")),"")</f>
        <v/>
      </c>
      <c r="G1537" t="n">
        <v>1431</v>
      </c>
      <c r="H1537" s="7" t="n"/>
      <c r="I1537" s="7" t="n"/>
      <c r="J1537" s="11">
        <f>IF(AND(ISNUMBER(H1537),ISNUMBER(I1537),H1537&gt;0,ISNUMBER($B$94)),I1537/H1537,"")</f>
        <v/>
      </c>
      <c r="K1537" s="11">
        <f>IF(AND(ISNUMBER(H1537),ISNUMBER(I1537),H1537&gt;0,ISNUMBER($B$94)),MAX(0,$B$94-3*SQRT($B$94*(1-$B$94)/H1537)),"")</f>
        <v/>
      </c>
      <c r="L1537" s="11">
        <f>IF(AND(ISNUMBER(H1537),ISNUMBER(I1537),H1537&gt;0,ISNUMBER($B$94)),$B$94+3*SQRT($B$94*(1-$B$94)/H1537),"")</f>
        <v/>
      </c>
      <c r="M1537" s="13">
        <f>IF(AND(ISNUMBER(J1537),ISNUMBER(K1537),ISNUMBER(L1537)),IF(J1537&gt;L1537,"boven UCL",IF(J1537&lt;K1537,"onder LCL","")),"")</f>
        <v/>
      </c>
      <c r="O1537" t="n">
        <v>1431</v>
      </c>
      <c r="P1537" s="7" t="n"/>
      <c r="Q1537" s="7" t="n"/>
      <c r="R1537" s="11">
        <f>IF(AND(ISNUMBER(P1537),ISNUMBER(Q1537),P1537&gt;0,ISNUMBER($B$100)),Q1537/P1537,"")</f>
        <v/>
      </c>
      <c r="S1537" s="11">
        <f>IF(AND(ISNUMBER(P1537),ISNUMBER(Q1537),P1537&gt;0,ISNUMBER($B$100)),MAX(0,$B$100-3*SQRT($B$100/P1537)),"")</f>
        <v/>
      </c>
      <c r="T1537" s="11">
        <f>IF(AND(ISNUMBER(P1537),ISNUMBER(Q1537),P1537&gt;0,ISNUMBER($B$100)),$B$100+3*SQRT($B$100/P1537),"")</f>
        <v/>
      </c>
      <c r="U1537" s="13">
        <f>IF(AND(ISNUMBER(R1537),ISNUMBER(S1537),ISNUMBER(T1537)),IF(R1537&gt;T1537,"boven UCL",IF(R1537&lt;S1537,"onder LCL","")),"")</f>
        <v/>
      </c>
    </row>
    <row r="1538">
      <c r="A1538" t="n">
        <v>1432</v>
      </c>
      <c r="B1538" s="7" t="n"/>
      <c r="C1538" s="11">
        <f>IF(AND(ISNUMBER(B1538),ISNUMBER(B1537)),ABS(B1538-B1537),"")</f>
        <v/>
      </c>
      <c r="D1538" s="13">
        <f>IF(AND(ISNUMBER(B1538),ISNUMBER($B$88),ISNUMBER($D$88)),IF(B1538&gt;$D$88,"boven UCL",IF(B1538&lt;$B$88,"onder LCL","")),"")</f>
        <v/>
      </c>
      <c r="E1538" s="13">
        <f>IF(AND(ISNUMBER(C1538),ISNUMBER($B$89),ISNUMBER($D$89)),IF(C1538&gt;$D$89,"boven UCL",IF(C1538&lt;$B$89,"onder LCL","")),"")</f>
        <v/>
      </c>
      <c r="G1538" t="n">
        <v>1432</v>
      </c>
      <c r="H1538" s="7" t="n"/>
      <c r="I1538" s="7" t="n"/>
      <c r="J1538" s="11">
        <f>IF(AND(ISNUMBER(H1538),ISNUMBER(I1538),H1538&gt;0,ISNUMBER($B$94)),I1538/H1538,"")</f>
        <v/>
      </c>
      <c r="K1538" s="11">
        <f>IF(AND(ISNUMBER(H1538),ISNUMBER(I1538),H1538&gt;0,ISNUMBER($B$94)),MAX(0,$B$94-3*SQRT($B$94*(1-$B$94)/H1538)),"")</f>
        <v/>
      </c>
      <c r="L1538" s="11">
        <f>IF(AND(ISNUMBER(H1538),ISNUMBER(I1538),H1538&gt;0,ISNUMBER($B$94)),$B$94+3*SQRT($B$94*(1-$B$94)/H1538),"")</f>
        <v/>
      </c>
      <c r="M1538" s="13">
        <f>IF(AND(ISNUMBER(J1538),ISNUMBER(K1538),ISNUMBER(L1538)),IF(J1538&gt;L1538,"boven UCL",IF(J1538&lt;K1538,"onder LCL","")),"")</f>
        <v/>
      </c>
      <c r="O1538" t="n">
        <v>1432</v>
      </c>
      <c r="P1538" s="7" t="n"/>
      <c r="Q1538" s="7" t="n"/>
      <c r="R1538" s="11">
        <f>IF(AND(ISNUMBER(P1538),ISNUMBER(Q1538),P1538&gt;0,ISNUMBER($B$100)),Q1538/P1538,"")</f>
        <v/>
      </c>
      <c r="S1538" s="11">
        <f>IF(AND(ISNUMBER(P1538),ISNUMBER(Q1538),P1538&gt;0,ISNUMBER($B$100)),MAX(0,$B$100-3*SQRT($B$100/P1538)),"")</f>
        <v/>
      </c>
      <c r="T1538" s="11">
        <f>IF(AND(ISNUMBER(P1538),ISNUMBER(Q1538),P1538&gt;0,ISNUMBER($B$100)),$B$100+3*SQRT($B$100/P1538),"")</f>
        <v/>
      </c>
      <c r="U1538" s="13">
        <f>IF(AND(ISNUMBER(R1538),ISNUMBER(S1538),ISNUMBER(T1538)),IF(R1538&gt;T1538,"boven UCL",IF(R1538&lt;S1538,"onder LCL","")),"")</f>
        <v/>
      </c>
    </row>
    <row r="1539">
      <c r="A1539" t="n">
        <v>1433</v>
      </c>
      <c r="B1539" s="7" t="n"/>
      <c r="C1539" s="11">
        <f>IF(AND(ISNUMBER(B1539),ISNUMBER(B1538)),ABS(B1539-B1538),"")</f>
        <v/>
      </c>
      <c r="D1539" s="13">
        <f>IF(AND(ISNUMBER(B1539),ISNUMBER($B$88),ISNUMBER($D$88)),IF(B1539&gt;$D$88,"boven UCL",IF(B1539&lt;$B$88,"onder LCL","")),"")</f>
        <v/>
      </c>
      <c r="E1539" s="13">
        <f>IF(AND(ISNUMBER(C1539),ISNUMBER($B$89),ISNUMBER($D$89)),IF(C1539&gt;$D$89,"boven UCL",IF(C1539&lt;$B$89,"onder LCL","")),"")</f>
        <v/>
      </c>
      <c r="G1539" t="n">
        <v>1433</v>
      </c>
      <c r="H1539" s="7" t="n"/>
      <c r="I1539" s="7" t="n"/>
      <c r="J1539" s="11">
        <f>IF(AND(ISNUMBER(H1539),ISNUMBER(I1539),H1539&gt;0,ISNUMBER($B$94)),I1539/H1539,"")</f>
        <v/>
      </c>
      <c r="K1539" s="11">
        <f>IF(AND(ISNUMBER(H1539),ISNUMBER(I1539),H1539&gt;0,ISNUMBER($B$94)),MAX(0,$B$94-3*SQRT($B$94*(1-$B$94)/H1539)),"")</f>
        <v/>
      </c>
      <c r="L1539" s="11">
        <f>IF(AND(ISNUMBER(H1539),ISNUMBER(I1539),H1539&gt;0,ISNUMBER($B$94)),$B$94+3*SQRT($B$94*(1-$B$94)/H1539),"")</f>
        <v/>
      </c>
      <c r="M1539" s="13">
        <f>IF(AND(ISNUMBER(J1539),ISNUMBER(K1539),ISNUMBER(L1539)),IF(J1539&gt;L1539,"boven UCL",IF(J1539&lt;K1539,"onder LCL","")),"")</f>
        <v/>
      </c>
      <c r="O1539" t="n">
        <v>1433</v>
      </c>
      <c r="P1539" s="7" t="n"/>
      <c r="Q1539" s="7" t="n"/>
      <c r="R1539" s="11">
        <f>IF(AND(ISNUMBER(P1539),ISNUMBER(Q1539),P1539&gt;0,ISNUMBER($B$100)),Q1539/P1539,"")</f>
        <v/>
      </c>
      <c r="S1539" s="11">
        <f>IF(AND(ISNUMBER(P1539),ISNUMBER(Q1539),P1539&gt;0,ISNUMBER($B$100)),MAX(0,$B$100-3*SQRT($B$100/P1539)),"")</f>
        <v/>
      </c>
      <c r="T1539" s="11">
        <f>IF(AND(ISNUMBER(P1539),ISNUMBER(Q1539),P1539&gt;0,ISNUMBER($B$100)),$B$100+3*SQRT($B$100/P1539),"")</f>
        <v/>
      </c>
      <c r="U1539" s="13">
        <f>IF(AND(ISNUMBER(R1539),ISNUMBER(S1539),ISNUMBER(T1539)),IF(R1539&gt;T1539,"boven UCL",IF(R1539&lt;S1539,"onder LCL","")),"")</f>
        <v/>
      </c>
    </row>
    <row r="1540">
      <c r="A1540" t="n">
        <v>1434</v>
      </c>
      <c r="B1540" s="7" t="n"/>
      <c r="C1540" s="11">
        <f>IF(AND(ISNUMBER(B1540),ISNUMBER(B1539)),ABS(B1540-B1539),"")</f>
        <v/>
      </c>
      <c r="D1540" s="13">
        <f>IF(AND(ISNUMBER(B1540),ISNUMBER($B$88),ISNUMBER($D$88)),IF(B1540&gt;$D$88,"boven UCL",IF(B1540&lt;$B$88,"onder LCL","")),"")</f>
        <v/>
      </c>
      <c r="E1540" s="13">
        <f>IF(AND(ISNUMBER(C1540),ISNUMBER($B$89),ISNUMBER($D$89)),IF(C1540&gt;$D$89,"boven UCL",IF(C1540&lt;$B$89,"onder LCL","")),"")</f>
        <v/>
      </c>
      <c r="G1540" t="n">
        <v>1434</v>
      </c>
      <c r="H1540" s="7" t="n"/>
      <c r="I1540" s="7" t="n"/>
      <c r="J1540" s="11">
        <f>IF(AND(ISNUMBER(H1540),ISNUMBER(I1540),H1540&gt;0,ISNUMBER($B$94)),I1540/H1540,"")</f>
        <v/>
      </c>
      <c r="K1540" s="11">
        <f>IF(AND(ISNUMBER(H1540),ISNUMBER(I1540),H1540&gt;0,ISNUMBER($B$94)),MAX(0,$B$94-3*SQRT($B$94*(1-$B$94)/H1540)),"")</f>
        <v/>
      </c>
      <c r="L1540" s="11">
        <f>IF(AND(ISNUMBER(H1540),ISNUMBER(I1540),H1540&gt;0,ISNUMBER($B$94)),$B$94+3*SQRT($B$94*(1-$B$94)/H1540),"")</f>
        <v/>
      </c>
      <c r="M1540" s="13">
        <f>IF(AND(ISNUMBER(J1540),ISNUMBER(K1540),ISNUMBER(L1540)),IF(J1540&gt;L1540,"boven UCL",IF(J1540&lt;K1540,"onder LCL","")),"")</f>
        <v/>
      </c>
      <c r="O1540" t="n">
        <v>1434</v>
      </c>
      <c r="P1540" s="7" t="n"/>
      <c r="Q1540" s="7" t="n"/>
      <c r="R1540" s="11">
        <f>IF(AND(ISNUMBER(P1540),ISNUMBER(Q1540),P1540&gt;0,ISNUMBER($B$100)),Q1540/P1540,"")</f>
        <v/>
      </c>
      <c r="S1540" s="11">
        <f>IF(AND(ISNUMBER(P1540),ISNUMBER(Q1540),P1540&gt;0,ISNUMBER($B$100)),MAX(0,$B$100-3*SQRT($B$100/P1540)),"")</f>
        <v/>
      </c>
      <c r="T1540" s="11">
        <f>IF(AND(ISNUMBER(P1540),ISNUMBER(Q1540),P1540&gt;0,ISNUMBER($B$100)),$B$100+3*SQRT($B$100/P1540),"")</f>
        <v/>
      </c>
      <c r="U1540" s="13">
        <f>IF(AND(ISNUMBER(R1540),ISNUMBER(S1540),ISNUMBER(T1540)),IF(R1540&gt;T1540,"boven UCL",IF(R1540&lt;S1540,"onder LCL","")),"")</f>
        <v/>
      </c>
    </row>
    <row r="1541">
      <c r="A1541" t="n">
        <v>1435</v>
      </c>
      <c r="B1541" s="7" t="n"/>
      <c r="C1541" s="11">
        <f>IF(AND(ISNUMBER(B1541),ISNUMBER(B1540)),ABS(B1541-B1540),"")</f>
        <v/>
      </c>
      <c r="D1541" s="13">
        <f>IF(AND(ISNUMBER(B1541),ISNUMBER($B$88),ISNUMBER($D$88)),IF(B1541&gt;$D$88,"boven UCL",IF(B1541&lt;$B$88,"onder LCL","")),"")</f>
        <v/>
      </c>
      <c r="E1541" s="13">
        <f>IF(AND(ISNUMBER(C1541),ISNUMBER($B$89),ISNUMBER($D$89)),IF(C1541&gt;$D$89,"boven UCL",IF(C1541&lt;$B$89,"onder LCL","")),"")</f>
        <v/>
      </c>
      <c r="G1541" t="n">
        <v>1435</v>
      </c>
      <c r="H1541" s="7" t="n"/>
      <c r="I1541" s="7" t="n"/>
      <c r="J1541" s="11">
        <f>IF(AND(ISNUMBER(H1541),ISNUMBER(I1541),H1541&gt;0,ISNUMBER($B$94)),I1541/H1541,"")</f>
        <v/>
      </c>
      <c r="K1541" s="11">
        <f>IF(AND(ISNUMBER(H1541),ISNUMBER(I1541),H1541&gt;0,ISNUMBER($B$94)),MAX(0,$B$94-3*SQRT($B$94*(1-$B$94)/H1541)),"")</f>
        <v/>
      </c>
      <c r="L1541" s="11">
        <f>IF(AND(ISNUMBER(H1541),ISNUMBER(I1541),H1541&gt;0,ISNUMBER($B$94)),$B$94+3*SQRT($B$94*(1-$B$94)/H1541),"")</f>
        <v/>
      </c>
      <c r="M1541" s="13">
        <f>IF(AND(ISNUMBER(J1541),ISNUMBER(K1541),ISNUMBER(L1541)),IF(J1541&gt;L1541,"boven UCL",IF(J1541&lt;K1541,"onder LCL","")),"")</f>
        <v/>
      </c>
      <c r="O1541" t="n">
        <v>1435</v>
      </c>
      <c r="P1541" s="7" t="n"/>
      <c r="Q1541" s="7" t="n"/>
      <c r="R1541" s="11">
        <f>IF(AND(ISNUMBER(P1541),ISNUMBER(Q1541),P1541&gt;0,ISNUMBER($B$100)),Q1541/P1541,"")</f>
        <v/>
      </c>
      <c r="S1541" s="11">
        <f>IF(AND(ISNUMBER(P1541),ISNUMBER(Q1541),P1541&gt;0,ISNUMBER($B$100)),MAX(0,$B$100-3*SQRT($B$100/P1541)),"")</f>
        <v/>
      </c>
      <c r="T1541" s="11">
        <f>IF(AND(ISNUMBER(P1541),ISNUMBER(Q1541),P1541&gt;0,ISNUMBER($B$100)),$B$100+3*SQRT($B$100/P1541),"")</f>
        <v/>
      </c>
      <c r="U1541" s="13">
        <f>IF(AND(ISNUMBER(R1541),ISNUMBER(S1541),ISNUMBER(T1541)),IF(R1541&gt;T1541,"boven UCL",IF(R1541&lt;S1541,"onder LCL","")),"")</f>
        <v/>
      </c>
    </row>
    <row r="1542">
      <c r="A1542" t="n">
        <v>1436</v>
      </c>
      <c r="B1542" s="7" t="n"/>
      <c r="C1542" s="11">
        <f>IF(AND(ISNUMBER(B1542),ISNUMBER(B1541)),ABS(B1542-B1541),"")</f>
        <v/>
      </c>
      <c r="D1542" s="13">
        <f>IF(AND(ISNUMBER(B1542),ISNUMBER($B$88),ISNUMBER($D$88)),IF(B1542&gt;$D$88,"boven UCL",IF(B1542&lt;$B$88,"onder LCL","")),"")</f>
        <v/>
      </c>
      <c r="E1542" s="13">
        <f>IF(AND(ISNUMBER(C1542),ISNUMBER($B$89),ISNUMBER($D$89)),IF(C1542&gt;$D$89,"boven UCL",IF(C1542&lt;$B$89,"onder LCL","")),"")</f>
        <v/>
      </c>
      <c r="G1542" t="n">
        <v>1436</v>
      </c>
      <c r="H1542" s="7" t="n"/>
      <c r="I1542" s="7" t="n"/>
      <c r="J1542" s="11">
        <f>IF(AND(ISNUMBER(H1542),ISNUMBER(I1542),H1542&gt;0,ISNUMBER($B$94)),I1542/H1542,"")</f>
        <v/>
      </c>
      <c r="K1542" s="11">
        <f>IF(AND(ISNUMBER(H1542),ISNUMBER(I1542),H1542&gt;0,ISNUMBER($B$94)),MAX(0,$B$94-3*SQRT($B$94*(1-$B$94)/H1542)),"")</f>
        <v/>
      </c>
      <c r="L1542" s="11">
        <f>IF(AND(ISNUMBER(H1542),ISNUMBER(I1542),H1542&gt;0,ISNUMBER($B$94)),$B$94+3*SQRT($B$94*(1-$B$94)/H1542),"")</f>
        <v/>
      </c>
      <c r="M1542" s="13">
        <f>IF(AND(ISNUMBER(J1542),ISNUMBER(K1542),ISNUMBER(L1542)),IF(J1542&gt;L1542,"boven UCL",IF(J1542&lt;K1542,"onder LCL","")),"")</f>
        <v/>
      </c>
      <c r="O1542" t="n">
        <v>1436</v>
      </c>
      <c r="P1542" s="7" t="n"/>
      <c r="Q1542" s="7" t="n"/>
      <c r="R1542" s="11">
        <f>IF(AND(ISNUMBER(P1542),ISNUMBER(Q1542),P1542&gt;0,ISNUMBER($B$100)),Q1542/P1542,"")</f>
        <v/>
      </c>
      <c r="S1542" s="11">
        <f>IF(AND(ISNUMBER(P1542),ISNUMBER(Q1542),P1542&gt;0,ISNUMBER($B$100)),MAX(0,$B$100-3*SQRT($B$100/P1542)),"")</f>
        <v/>
      </c>
      <c r="T1542" s="11">
        <f>IF(AND(ISNUMBER(P1542),ISNUMBER(Q1542),P1542&gt;0,ISNUMBER($B$100)),$B$100+3*SQRT($B$100/P1542),"")</f>
        <v/>
      </c>
      <c r="U1542" s="13">
        <f>IF(AND(ISNUMBER(R1542),ISNUMBER(S1542),ISNUMBER(T1542)),IF(R1542&gt;T1542,"boven UCL",IF(R1542&lt;S1542,"onder LCL","")),"")</f>
        <v/>
      </c>
    </row>
    <row r="1543">
      <c r="A1543" t="n">
        <v>1437</v>
      </c>
      <c r="B1543" s="7" t="n"/>
      <c r="C1543" s="11">
        <f>IF(AND(ISNUMBER(B1543),ISNUMBER(B1542)),ABS(B1543-B1542),"")</f>
        <v/>
      </c>
      <c r="D1543" s="13">
        <f>IF(AND(ISNUMBER(B1543),ISNUMBER($B$88),ISNUMBER($D$88)),IF(B1543&gt;$D$88,"boven UCL",IF(B1543&lt;$B$88,"onder LCL","")),"")</f>
        <v/>
      </c>
      <c r="E1543" s="13">
        <f>IF(AND(ISNUMBER(C1543),ISNUMBER($B$89),ISNUMBER($D$89)),IF(C1543&gt;$D$89,"boven UCL",IF(C1543&lt;$B$89,"onder LCL","")),"")</f>
        <v/>
      </c>
      <c r="G1543" t="n">
        <v>1437</v>
      </c>
      <c r="H1543" s="7" t="n"/>
      <c r="I1543" s="7" t="n"/>
      <c r="J1543" s="11">
        <f>IF(AND(ISNUMBER(H1543),ISNUMBER(I1543),H1543&gt;0,ISNUMBER($B$94)),I1543/H1543,"")</f>
        <v/>
      </c>
      <c r="K1543" s="11">
        <f>IF(AND(ISNUMBER(H1543),ISNUMBER(I1543),H1543&gt;0,ISNUMBER($B$94)),MAX(0,$B$94-3*SQRT($B$94*(1-$B$94)/H1543)),"")</f>
        <v/>
      </c>
      <c r="L1543" s="11">
        <f>IF(AND(ISNUMBER(H1543),ISNUMBER(I1543),H1543&gt;0,ISNUMBER($B$94)),$B$94+3*SQRT($B$94*(1-$B$94)/H1543),"")</f>
        <v/>
      </c>
      <c r="M1543" s="13">
        <f>IF(AND(ISNUMBER(J1543),ISNUMBER(K1543),ISNUMBER(L1543)),IF(J1543&gt;L1543,"boven UCL",IF(J1543&lt;K1543,"onder LCL","")),"")</f>
        <v/>
      </c>
      <c r="O1543" t="n">
        <v>1437</v>
      </c>
      <c r="P1543" s="7" t="n"/>
      <c r="Q1543" s="7" t="n"/>
      <c r="R1543" s="11">
        <f>IF(AND(ISNUMBER(P1543),ISNUMBER(Q1543),P1543&gt;0,ISNUMBER($B$100)),Q1543/P1543,"")</f>
        <v/>
      </c>
      <c r="S1543" s="11">
        <f>IF(AND(ISNUMBER(P1543),ISNUMBER(Q1543),P1543&gt;0,ISNUMBER($B$100)),MAX(0,$B$100-3*SQRT($B$100/P1543)),"")</f>
        <v/>
      </c>
      <c r="T1543" s="11">
        <f>IF(AND(ISNUMBER(P1543),ISNUMBER(Q1543),P1543&gt;0,ISNUMBER($B$100)),$B$100+3*SQRT($B$100/P1543),"")</f>
        <v/>
      </c>
      <c r="U1543" s="13">
        <f>IF(AND(ISNUMBER(R1543),ISNUMBER(S1543),ISNUMBER(T1543)),IF(R1543&gt;T1543,"boven UCL",IF(R1543&lt;S1543,"onder LCL","")),"")</f>
        <v/>
      </c>
    </row>
    <row r="1544">
      <c r="A1544" t="n">
        <v>1438</v>
      </c>
      <c r="B1544" s="7" t="n"/>
      <c r="C1544" s="11">
        <f>IF(AND(ISNUMBER(B1544),ISNUMBER(B1543)),ABS(B1544-B1543),"")</f>
        <v/>
      </c>
      <c r="D1544" s="13">
        <f>IF(AND(ISNUMBER(B1544),ISNUMBER($B$88),ISNUMBER($D$88)),IF(B1544&gt;$D$88,"boven UCL",IF(B1544&lt;$B$88,"onder LCL","")),"")</f>
        <v/>
      </c>
      <c r="E1544" s="13">
        <f>IF(AND(ISNUMBER(C1544),ISNUMBER($B$89),ISNUMBER($D$89)),IF(C1544&gt;$D$89,"boven UCL",IF(C1544&lt;$B$89,"onder LCL","")),"")</f>
        <v/>
      </c>
      <c r="G1544" t="n">
        <v>1438</v>
      </c>
      <c r="H1544" s="7" t="n"/>
      <c r="I1544" s="7" t="n"/>
      <c r="J1544" s="11">
        <f>IF(AND(ISNUMBER(H1544),ISNUMBER(I1544),H1544&gt;0,ISNUMBER($B$94)),I1544/H1544,"")</f>
        <v/>
      </c>
      <c r="K1544" s="11">
        <f>IF(AND(ISNUMBER(H1544),ISNUMBER(I1544),H1544&gt;0,ISNUMBER($B$94)),MAX(0,$B$94-3*SQRT($B$94*(1-$B$94)/H1544)),"")</f>
        <v/>
      </c>
      <c r="L1544" s="11">
        <f>IF(AND(ISNUMBER(H1544),ISNUMBER(I1544),H1544&gt;0,ISNUMBER($B$94)),$B$94+3*SQRT($B$94*(1-$B$94)/H1544),"")</f>
        <v/>
      </c>
      <c r="M1544" s="13">
        <f>IF(AND(ISNUMBER(J1544),ISNUMBER(K1544),ISNUMBER(L1544)),IF(J1544&gt;L1544,"boven UCL",IF(J1544&lt;K1544,"onder LCL","")),"")</f>
        <v/>
      </c>
      <c r="O1544" t="n">
        <v>1438</v>
      </c>
      <c r="P1544" s="7" t="n"/>
      <c r="Q1544" s="7" t="n"/>
      <c r="R1544" s="11">
        <f>IF(AND(ISNUMBER(P1544),ISNUMBER(Q1544),P1544&gt;0,ISNUMBER($B$100)),Q1544/P1544,"")</f>
        <v/>
      </c>
      <c r="S1544" s="11">
        <f>IF(AND(ISNUMBER(P1544),ISNUMBER(Q1544),P1544&gt;0,ISNUMBER($B$100)),MAX(0,$B$100-3*SQRT($B$100/P1544)),"")</f>
        <v/>
      </c>
      <c r="T1544" s="11">
        <f>IF(AND(ISNUMBER(P1544),ISNUMBER(Q1544),P1544&gt;0,ISNUMBER($B$100)),$B$100+3*SQRT($B$100/P1544),"")</f>
        <v/>
      </c>
      <c r="U1544" s="13">
        <f>IF(AND(ISNUMBER(R1544),ISNUMBER(S1544),ISNUMBER(T1544)),IF(R1544&gt;T1544,"boven UCL",IF(R1544&lt;S1544,"onder LCL","")),"")</f>
        <v/>
      </c>
    </row>
    <row r="1545">
      <c r="A1545" t="n">
        <v>1439</v>
      </c>
      <c r="B1545" s="7" t="n"/>
      <c r="C1545" s="11">
        <f>IF(AND(ISNUMBER(B1545),ISNUMBER(B1544)),ABS(B1545-B1544),"")</f>
        <v/>
      </c>
      <c r="D1545" s="13">
        <f>IF(AND(ISNUMBER(B1545),ISNUMBER($B$88),ISNUMBER($D$88)),IF(B1545&gt;$D$88,"boven UCL",IF(B1545&lt;$B$88,"onder LCL","")),"")</f>
        <v/>
      </c>
      <c r="E1545" s="13">
        <f>IF(AND(ISNUMBER(C1545),ISNUMBER($B$89),ISNUMBER($D$89)),IF(C1545&gt;$D$89,"boven UCL",IF(C1545&lt;$B$89,"onder LCL","")),"")</f>
        <v/>
      </c>
      <c r="G1545" t="n">
        <v>1439</v>
      </c>
      <c r="H1545" s="7" t="n"/>
      <c r="I1545" s="7" t="n"/>
      <c r="J1545" s="11">
        <f>IF(AND(ISNUMBER(H1545),ISNUMBER(I1545),H1545&gt;0,ISNUMBER($B$94)),I1545/H1545,"")</f>
        <v/>
      </c>
      <c r="K1545" s="11">
        <f>IF(AND(ISNUMBER(H1545),ISNUMBER(I1545),H1545&gt;0,ISNUMBER($B$94)),MAX(0,$B$94-3*SQRT($B$94*(1-$B$94)/H1545)),"")</f>
        <v/>
      </c>
      <c r="L1545" s="11">
        <f>IF(AND(ISNUMBER(H1545),ISNUMBER(I1545),H1545&gt;0,ISNUMBER($B$94)),$B$94+3*SQRT($B$94*(1-$B$94)/H1545),"")</f>
        <v/>
      </c>
      <c r="M1545" s="13">
        <f>IF(AND(ISNUMBER(J1545),ISNUMBER(K1545),ISNUMBER(L1545)),IF(J1545&gt;L1545,"boven UCL",IF(J1545&lt;K1545,"onder LCL","")),"")</f>
        <v/>
      </c>
      <c r="O1545" t="n">
        <v>1439</v>
      </c>
      <c r="P1545" s="7" t="n"/>
      <c r="Q1545" s="7" t="n"/>
      <c r="R1545" s="11">
        <f>IF(AND(ISNUMBER(P1545),ISNUMBER(Q1545),P1545&gt;0,ISNUMBER($B$100)),Q1545/P1545,"")</f>
        <v/>
      </c>
      <c r="S1545" s="11">
        <f>IF(AND(ISNUMBER(P1545),ISNUMBER(Q1545),P1545&gt;0,ISNUMBER($B$100)),MAX(0,$B$100-3*SQRT($B$100/P1545)),"")</f>
        <v/>
      </c>
      <c r="T1545" s="11">
        <f>IF(AND(ISNUMBER(P1545),ISNUMBER(Q1545),P1545&gt;0,ISNUMBER($B$100)),$B$100+3*SQRT($B$100/P1545),"")</f>
        <v/>
      </c>
      <c r="U1545" s="13">
        <f>IF(AND(ISNUMBER(R1545),ISNUMBER(S1545),ISNUMBER(T1545)),IF(R1545&gt;T1545,"boven UCL",IF(R1545&lt;S1545,"onder LCL","")),"")</f>
        <v/>
      </c>
    </row>
    <row r="1546">
      <c r="A1546" t="n">
        <v>1440</v>
      </c>
      <c r="B1546" s="7" t="n"/>
      <c r="C1546" s="11">
        <f>IF(AND(ISNUMBER(B1546),ISNUMBER(B1545)),ABS(B1546-B1545),"")</f>
        <v/>
      </c>
      <c r="D1546" s="13">
        <f>IF(AND(ISNUMBER(B1546),ISNUMBER($B$88),ISNUMBER($D$88)),IF(B1546&gt;$D$88,"boven UCL",IF(B1546&lt;$B$88,"onder LCL","")),"")</f>
        <v/>
      </c>
      <c r="E1546" s="13">
        <f>IF(AND(ISNUMBER(C1546),ISNUMBER($B$89),ISNUMBER($D$89)),IF(C1546&gt;$D$89,"boven UCL",IF(C1546&lt;$B$89,"onder LCL","")),"")</f>
        <v/>
      </c>
      <c r="G1546" t="n">
        <v>1440</v>
      </c>
      <c r="H1546" s="7" t="n"/>
      <c r="I1546" s="7" t="n"/>
      <c r="J1546" s="11">
        <f>IF(AND(ISNUMBER(H1546),ISNUMBER(I1546),H1546&gt;0,ISNUMBER($B$94)),I1546/H1546,"")</f>
        <v/>
      </c>
      <c r="K1546" s="11">
        <f>IF(AND(ISNUMBER(H1546),ISNUMBER(I1546),H1546&gt;0,ISNUMBER($B$94)),MAX(0,$B$94-3*SQRT($B$94*(1-$B$94)/H1546)),"")</f>
        <v/>
      </c>
      <c r="L1546" s="11">
        <f>IF(AND(ISNUMBER(H1546),ISNUMBER(I1546),H1546&gt;0,ISNUMBER($B$94)),$B$94+3*SQRT($B$94*(1-$B$94)/H1546),"")</f>
        <v/>
      </c>
      <c r="M1546" s="13">
        <f>IF(AND(ISNUMBER(J1546),ISNUMBER(K1546),ISNUMBER(L1546)),IF(J1546&gt;L1546,"boven UCL",IF(J1546&lt;K1546,"onder LCL","")),"")</f>
        <v/>
      </c>
      <c r="O1546" t="n">
        <v>1440</v>
      </c>
      <c r="P1546" s="7" t="n"/>
      <c r="Q1546" s="7" t="n"/>
      <c r="R1546" s="11">
        <f>IF(AND(ISNUMBER(P1546),ISNUMBER(Q1546),P1546&gt;0,ISNUMBER($B$100)),Q1546/P1546,"")</f>
        <v/>
      </c>
      <c r="S1546" s="11">
        <f>IF(AND(ISNUMBER(P1546),ISNUMBER(Q1546),P1546&gt;0,ISNUMBER($B$100)),MAX(0,$B$100-3*SQRT($B$100/P1546)),"")</f>
        <v/>
      </c>
      <c r="T1546" s="11">
        <f>IF(AND(ISNUMBER(P1546),ISNUMBER(Q1546),P1546&gt;0,ISNUMBER($B$100)),$B$100+3*SQRT($B$100/P1546),"")</f>
        <v/>
      </c>
      <c r="U1546" s="13">
        <f>IF(AND(ISNUMBER(R1546),ISNUMBER(S1546),ISNUMBER(T1546)),IF(R1546&gt;T1546,"boven UCL",IF(R1546&lt;S1546,"onder LCL","")),"")</f>
        <v/>
      </c>
    </row>
    <row r="1547">
      <c r="A1547" t="n">
        <v>1441</v>
      </c>
      <c r="B1547" s="7" t="n"/>
      <c r="C1547" s="11">
        <f>IF(AND(ISNUMBER(B1547),ISNUMBER(B1546)),ABS(B1547-B1546),"")</f>
        <v/>
      </c>
      <c r="D1547" s="13">
        <f>IF(AND(ISNUMBER(B1547),ISNUMBER($B$88),ISNUMBER($D$88)),IF(B1547&gt;$D$88,"boven UCL",IF(B1547&lt;$B$88,"onder LCL","")),"")</f>
        <v/>
      </c>
      <c r="E1547" s="13">
        <f>IF(AND(ISNUMBER(C1547),ISNUMBER($B$89),ISNUMBER($D$89)),IF(C1547&gt;$D$89,"boven UCL",IF(C1547&lt;$B$89,"onder LCL","")),"")</f>
        <v/>
      </c>
      <c r="G1547" t="n">
        <v>1441</v>
      </c>
      <c r="H1547" s="7" t="n"/>
      <c r="I1547" s="7" t="n"/>
      <c r="J1547" s="11">
        <f>IF(AND(ISNUMBER(H1547),ISNUMBER(I1547),H1547&gt;0,ISNUMBER($B$94)),I1547/H1547,"")</f>
        <v/>
      </c>
      <c r="K1547" s="11">
        <f>IF(AND(ISNUMBER(H1547),ISNUMBER(I1547),H1547&gt;0,ISNUMBER($B$94)),MAX(0,$B$94-3*SQRT($B$94*(1-$B$94)/H1547)),"")</f>
        <v/>
      </c>
      <c r="L1547" s="11">
        <f>IF(AND(ISNUMBER(H1547),ISNUMBER(I1547),H1547&gt;0,ISNUMBER($B$94)),$B$94+3*SQRT($B$94*(1-$B$94)/H1547),"")</f>
        <v/>
      </c>
      <c r="M1547" s="13">
        <f>IF(AND(ISNUMBER(J1547),ISNUMBER(K1547),ISNUMBER(L1547)),IF(J1547&gt;L1547,"boven UCL",IF(J1547&lt;K1547,"onder LCL","")),"")</f>
        <v/>
      </c>
      <c r="O1547" t="n">
        <v>1441</v>
      </c>
      <c r="P1547" s="7" t="n"/>
      <c r="Q1547" s="7" t="n"/>
      <c r="R1547" s="11">
        <f>IF(AND(ISNUMBER(P1547),ISNUMBER(Q1547),P1547&gt;0,ISNUMBER($B$100)),Q1547/P1547,"")</f>
        <v/>
      </c>
      <c r="S1547" s="11">
        <f>IF(AND(ISNUMBER(P1547),ISNUMBER(Q1547),P1547&gt;0,ISNUMBER($B$100)),MAX(0,$B$100-3*SQRT($B$100/P1547)),"")</f>
        <v/>
      </c>
      <c r="T1547" s="11">
        <f>IF(AND(ISNUMBER(P1547),ISNUMBER(Q1547),P1547&gt;0,ISNUMBER($B$100)),$B$100+3*SQRT($B$100/P1547),"")</f>
        <v/>
      </c>
      <c r="U1547" s="13">
        <f>IF(AND(ISNUMBER(R1547),ISNUMBER(S1547),ISNUMBER(T1547)),IF(R1547&gt;T1547,"boven UCL",IF(R1547&lt;S1547,"onder LCL","")),"")</f>
        <v/>
      </c>
    </row>
    <row r="1548">
      <c r="A1548" t="n">
        <v>1442</v>
      </c>
      <c r="B1548" s="7" t="n"/>
      <c r="C1548" s="11">
        <f>IF(AND(ISNUMBER(B1548),ISNUMBER(B1547)),ABS(B1548-B1547),"")</f>
        <v/>
      </c>
      <c r="D1548" s="13">
        <f>IF(AND(ISNUMBER(B1548),ISNUMBER($B$88),ISNUMBER($D$88)),IF(B1548&gt;$D$88,"boven UCL",IF(B1548&lt;$B$88,"onder LCL","")),"")</f>
        <v/>
      </c>
      <c r="E1548" s="13">
        <f>IF(AND(ISNUMBER(C1548),ISNUMBER($B$89),ISNUMBER($D$89)),IF(C1548&gt;$D$89,"boven UCL",IF(C1548&lt;$B$89,"onder LCL","")),"")</f>
        <v/>
      </c>
      <c r="G1548" t="n">
        <v>1442</v>
      </c>
      <c r="H1548" s="7" t="n"/>
      <c r="I1548" s="7" t="n"/>
      <c r="J1548" s="11">
        <f>IF(AND(ISNUMBER(H1548),ISNUMBER(I1548),H1548&gt;0,ISNUMBER($B$94)),I1548/H1548,"")</f>
        <v/>
      </c>
      <c r="K1548" s="11">
        <f>IF(AND(ISNUMBER(H1548),ISNUMBER(I1548),H1548&gt;0,ISNUMBER($B$94)),MAX(0,$B$94-3*SQRT($B$94*(1-$B$94)/H1548)),"")</f>
        <v/>
      </c>
      <c r="L1548" s="11">
        <f>IF(AND(ISNUMBER(H1548),ISNUMBER(I1548),H1548&gt;0,ISNUMBER($B$94)),$B$94+3*SQRT($B$94*(1-$B$94)/H1548),"")</f>
        <v/>
      </c>
      <c r="M1548" s="13">
        <f>IF(AND(ISNUMBER(J1548),ISNUMBER(K1548),ISNUMBER(L1548)),IF(J1548&gt;L1548,"boven UCL",IF(J1548&lt;K1548,"onder LCL","")),"")</f>
        <v/>
      </c>
      <c r="O1548" t="n">
        <v>1442</v>
      </c>
      <c r="P1548" s="7" t="n"/>
      <c r="Q1548" s="7" t="n"/>
      <c r="R1548" s="11">
        <f>IF(AND(ISNUMBER(P1548),ISNUMBER(Q1548),P1548&gt;0,ISNUMBER($B$100)),Q1548/P1548,"")</f>
        <v/>
      </c>
      <c r="S1548" s="11">
        <f>IF(AND(ISNUMBER(P1548),ISNUMBER(Q1548),P1548&gt;0,ISNUMBER($B$100)),MAX(0,$B$100-3*SQRT($B$100/P1548)),"")</f>
        <v/>
      </c>
      <c r="T1548" s="11">
        <f>IF(AND(ISNUMBER(P1548),ISNUMBER(Q1548),P1548&gt;0,ISNUMBER($B$100)),$B$100+3*SQRT($B$100/P1548),"")</f>
        <v/>
      </c>
      <c r="U1548" s="13">
        <f>IF(AND(ISNUMBER(R1548),ISNUMBER(S1548),ISNUMBER(T1548)),IF(R1548&gt;T1548,"boven UCL",IF(R1548&lt;S1548,"onder LCL","")),"")</f>
        <v/>
      </c>
    </row>
    <row r="1549">
      <c r="A1549" t="n">
        <v>1443</v>
      </c>
      <c r="B1549" s="7" t="n"/>
      <c r="C1549" s="11">
        <f>IF(AND(ISNUMBER(B1549),ISNUMBER(B1548)),ABS(B1549-B1548),"")</f>
        <v/>
      </c>
      <c r="D1549" s="13">
        <f>IF(AND(ISNUMBER(B1549),ISNUMBER($B$88),ISNUMBER($D$88)),IF(B1549&gt;$D$88,"boven UCL",IF(B1549&lt;$B$88,"onder LCL","")),"")</f>
        <v/>
      </c>
      <c r="E1549" s="13">
        <f>IF(AND(ISNUMBER(C1549),ISNUMBER($B$89),ISNUMBER($D$89)),IF(C1549&gt;$D$89,"boven UCL",IF(C1549&lt;$B$89,"onder LCL","")),"")</f>
        <v/>
      </c>
      <c r="G1549" t="n">
        <v>1443</v>
      </c>
      <c r="H1549" s="7" t="n"/>
      <c r="I1549" s="7" t="n"/>
      <c r="J1549" s="11">
        <f>IF(AND(ISNUMBER(H1549),ISNUMBER(I1549),H1549&gt;0,ISNUMBER($B$94)),I1549/H1549,"")</f>
        <v/>
      </c>
      <c r="K1549" s="11">
        <f>IF(AND(ISNUMBER(H1549),ISNUMBER(I1549),H1549&gt;0,ISNUMBER($B$94)),MAX(0,$B$94-3*SQRT($B$94*(1-$B$94)/H1549)),"")</f>
        <v/>
      </c>
      <c r="L1549" s="11">
        <f>IF(AND(ISNUMBER(H1549),ISNUMBER(I1549),H1549&gt;0,ISNUMBER($B$94)),$B$94+3*SQRT($B$94*(1-$B$94)/H1549),"")</f>
        <v/>
      </c>
      <c r="M1549" s="13">
        <f>IF(AND(ISNUMBER(J1549),ISNUMBER(K1549),ISNUMBER(L1549)),IF(J1549&gt;L1549,"boven UCL",IF(J1549&lt;K1549,"onder LCL","")),"")</f>
        <v/>
      </c>
      <c r="O1549" t="n">
        <v>1443</v>
      </c>
      <c r="P1549" s="7" t="n"/>
      <c r="Q1549" s="7" t="n"/>
      <c r="R1549" s="11">
        <f>IF(AND(ISNUMBER(P1549),ISNUMBER(Q1549),P1549&gt;0,ISNUMBER($B$100)),Q1549/P1549,"")</f>
        <v/>
      </c>
      <c r="S1549" s="11">
        <f>IF(AND(ISNUMBER(P1549),ISNUMBER(Q1549),P1549&gt;0,ISNUMBER($B$100)),MAX(0,$B$100-3*SQRT($B$100/P1549)),"")</f>
        <v/>
      </c>
      <c r="T1549" s="11">
        <f>IF(AND(ISNUMBER(P1549),ISNUMBER(Q1549),P1549&gt;0,ISNUMBER($B$100)),$B$100+3*SQRT($B$100/P1549),"")</f>
        <v/>
      </c>
      <c r="U1549" s="13">
        <f>IF(AND(ISNUMBER(R1549),ISNUMBER(S1549),ISNUMBER(T1549)),IF(R1549&gt;T1549,"boven UCL",IF(R1549&lt;S1549,"onder LCL","")),"")</f>
        <v/>
      </c>
    </row>
    <row r="1550">
      <c r="A1550" t="n">
        <v>1444</v>
      </c>
      <c r="B1550" s="7" t="n"/>
      <c r="C1550" s="11">
        <f>IF(AND(ISNUMBER(B1550),ISNUMBER(B1549)),ABS(B1550-B1549),"")</f>
        <v/>
      </c>
      <c r="D1550" s="13">
        <f>IF(AND(ISNUMBER(B1550),ISNUMBER($B$88),ISNUMBER($D$88)),IF(B1550&gt;$D$88,"boven UCL",IF(B1550&lt;$B$88,"onder LCL","")),"")</f>
        <v/>
      </c>
      <c r="E1550" s="13">
        <f>IF(AND(ISNUMBER(C1550),ISNUMBER($B$89),ISNUMBER($D$89)),IF(C1550&gt;$D$89,"boven UCL",IF(C1550&lt;$B$89,"onder LCL","")),"")</f>
        <v/>
      </c>
      <c r="G1550" t="n">
        <v>1444</v>
      </c>
      <c r="H1550" s="7" t="n"/>
      <c r="I1550" s="7" t="n"/>
      <c r="J1550" s="11">
        <f>IF(AND(ISNUMBER(H1550),ISNUMBER(I1550),H1550&gt;0,ISNUMBER($B$94)),I1550/H1550,"")</f>
        <v/>
      </c>
      <c r="K1550" s="11">
        <f>IF(AND(ISNUMBER(H1550),ISNUMBER(I1550),H1550&gt;0,ISNUMBER($B$94)),MAX(0,$B$94-3*SQRT($B$94*(1-$B$94)/H1550)),"")</f>
        <v/>
      </c>
      <c r="L1550" s="11">
        <f>IF(AND(ISNUMBER(H1550),ISNUMBER(I1550),H1550&gt;0,ISNUMBER($B$94)),$B$94+3*SQRT($B$94*(1-$B$94)/H1550),"")</f>
        <v/>
      </c>
      <c r="M1550" s="13">
        <f>IF(AND(ISNUMBER(J1550),ISNUMBER(K1550),ISNUMBER(L1550)),IF(J1550&gt;L1550,"boven UCL",IF(J1550&lt;K1550,"onder LCL","")),"")</f>
        <v/>
      </c>
      <c r="O1550" t="n">
        <v>1444</v>
      </c>
      <c r="P1550" s="7" t="n"/>
      <c r="Q1550" s="7" t="n"/>
      <c r="R1550" s="11">
        <f>IF(AND(ISNUMBER(P1550),ISNUMBER(Q1550),P1550&gt;0,ISNUMBER($B$100)),Q1550/P1550,"")</f>
        <v/>
      </c>
      <c r="S1550" s="11">
        <f>IF(AND(ISNUMBER(P1550),ISNUMBER(Q1550),P1550&gt;0,ISNUMBER($B$100)),MAX(0,$B$100-3*SQRT($B$100/P1550)),"")</f>
        <v/>
      </c>
      <c r="T1550" s="11">
        <f>IF(AND(ISNUMBER(P1550),ISNUMBER(Q1550),P1550&gt;0,ISNUMBER($B$100)),$B$100+3*SQRT($B$100/P1550),"")</f>
        <v/>
      </c>
      <c r="U1550" s="13">
        <f>IF(AND(ISNUMBER(R1550),ISNUMBER(S1550),ISNUMBER(T1550)),IF(R1550&gt;T1550,"boven UCL",IF(R1550&lt;S1550,"onder LCL","")),"")</f>
        <v/>
      </c>
    </row>
    <row r="1551">
      <c r="A1551" t="n">
        <v>1445</v>
      </c>
      <c r="B1551" s="7" t="n"/>
      <c r="C1551" s="11">
        <f>IF(AND(ISNUMBER(B1551),ISNUMBER(B1550)),ABS(B1551-B1550),"")</f>
        <v/>
      </c>
      <c r="D1551" s="13">
        <f>IF(AND(ISNUMBER(B1551),ISNUMBER($B$88),ISNUMBER($D$88)),IF(B1551&gt;$D$88,"boven UCL",IF(B1551&lt;$B$88,"onder LCL","")),"")</f>
        <v/>
      </c>
      <c r="E1551" s="13">
        <f>IF(AND(ISNUMBER(C1551),ISNUMBER($B$89),ISNUMBER($D$89)),IF(C1551&gt;$D$89,"boven UCL",IF(C1551&lt;$B$89,"onder LCL","")),"")</f>
        <v/>
      </c>
      <c r="G1551" t="n">
        <v>1445</v>
      </c>
      <c r="H1551" s="7" t="n"/>
      <c r="I1551" s="7" t="n"/>
      <c r="J1551" s="11">
        <f>IF(AND(ISNUMBER(H1551),ISNUMBER(I1551),H1551&gt;0,ISNUMBER($B$94)),I1551/H1551,"")</f>
        <v/>
      </c>
      <c r="K1551" s="11">
        <f>IF(AND(ISNUMBER(H1551),ISNUMBER(I1551),H1551&gt;0,ISNUMBER($B$94)),MAX(0,$B$94-3*SQRT($B$94*(1-$B$94)/H1551)),"")</f>
        <v/>
      </c>
      <c r="L1551" s="11">
        <f>IF(AND(ISNUMBER(H1551),ISNUMBER(I1551),H1551&gt;0,ISNUMBER($B$94)),$B$94+3*SQRT($B$94*(1-$B$94)/H1551),"")</f>
        <v/>
      </c>
      <c r="M1551" s="13">
        <f>IF(AND(ISNUMBER(J1551),ISNUMBER(K1551),ISNUMBER(L1551)),IF(J1551&gt;L1551,"boven UCL",IF(J1551&lt;K1551,"onder LCL","")),"")</f>
        <v/>
      </c>
      <c r="O1551" t="n">
        <v>1445</v>
      </c>
      <c r="P1551" s="7" t="n"/>
      <c r="Q1551" s="7" t="n"/>
      <c r="R1551" s="11">
        <f>IF(AND(ISNUMBER(P1551),ISNUMBER(Q1551),P1551&gt;0,ISNUMBER($B$100)),Q1551/P1551,"")</f>
        <v/>
      </c>
      <c r="S1551" s="11">
        <f>IF(AND(ISNUMBER(P1551),ISNUMBER(Q1551),P1551&gt;0,ISNUMBER($B$100)),MAX(0,$B$100-3*SQRT($B$100/P1551)),"")</f>
        <v/>
      </c>
      <c r="T1551" s="11">
        <f>IF(AND(ISNUMBER(P1551),ISNUMBER(Q1551),P1551&gt;0,ISNUMBER($B$100)),$B$100+3*SQRT($B$100/P1551),"")</f>
        <v/>
      </c>
      <c r="U1551" s="13">
        <f>IF(AND(ISNUMBER(R1551),ISNUMBER(S1551),ISNUMBER(T1551)),IF(R1551&gt;T1551,"boven UCL",IF(R1551&lt;S1551,"onder LCL","")),"")</f>
        <v/>
      </c>
    </row>
    <row r="1552">
      <c r="A1552" t="n">
        <v>1446</v>
      </c>
      <c r="B1552" s="7" t="n"/>
      <c r="C1552" s="11">
        <f>IF(AND(ISNUMBER(B1552),ISNUMBER(B1551)),ABS(B1552-B1551),"")</f>
        <v/>
      </c>
      <c r="D1552" s="13">
        <f>IF(AND(ISNUMBER(B1552),ISNUMBER($B$88),ISNUMBER($D$88)),IF(B1552&gt;$D$88,"boven UCL",IF(B1552&lt;$B$88,"onder LCL","")),"")</f>
        <v/>
      </c>
      <c r="E1552" s="13">
        <f>IF(AND(ISNUMBER(C1552),ISNUMBER($B$89),ISNUMBER($D$89)),IF(C1552&gt;$D$89,"boven UCL",IF(C1552&lt;$B$89,"onder LCL","")),"")</f>
        <v/>
      </c>
      <c r="G1552" t="n">
        <v>1446</v>
      </c>
      <c r="H1552" s="7" t="n"/>
      <c r="I1552" s="7" t="n"/>
      <c r="J1552" s="11">
        <f>IF(AND(ISNUMBER(H1552),ISNUMBER(I1552),H1552&gt;0,ISNUMBER($B$94)),I1552/H1552,"")</f>
        <v/>
      </c>
      <c r="K1552" s="11">
        <f>IF(AND(ISNUMBER(H1552),ISNUMBER(I1552),H1552&gt;0,ISNUMBER($B$94)),MAX(0,$B$94-3*SQRT($B$94*(1-$B$94)/H1552)),"")</f>
        <v/>
      </c>
      <c r="L1552" s="11">
        <f>IF(AND(ISNUMBER(H1552),ISNUMBER(I1552),H1552&gt;0,ISNUMBER($B$94)),$B$94+3*SQRT($B$94*(1-$B$94)/H1552),"")</f>
        <v/>
      </c>
      <c r="M1552" s="13">
        <f>IF(AND(ISNUMBER(J1552),ISNUMBER(K1552),ISNUMBER(L1552)),IF(J1552&gt;L1552,"boven UCL",IF(J1552&lt;K1552,"onder LCL","")),"")</f>
        <v/>
      </c>
      <c r="O1552" t="n">
        <v>1446</v>
      </c>
      <c r="P1552" s="7" t="n"/>
      <c r="Q1552" s="7" t="n"/>
      <c r="R1552" s="11">
        <f>IF(AND(ISNUMBER(P1552),ISNUMBER(Q1552),P1552&gt;0,ISNUMBER($B$100)),Q1552/P1552,"")</f>
        <v/>
      </c>
      <c r="S1552" s="11">
        <f>IF(AND(ISNUMBER(P1552),ISNUMBER(Q1552),P1552&gt;0,ISNUMBER($B$100)),MAX(0,$B$100-3*SQRT($B$100/P1552)),"")</f>
        <v/>
      </c>
      <c r="T1552" s="11">
        <f>IF(AND(ISNUMBER(P1552),ISNUMBER(Q1552),P1552&gt;0,ISNUMBER($B$100)),$B$100+3*SQRT($B$100/P1552),"")</f>
        <v/>
      </c>
      <c r="U1552" s="13">
        <f>IF(AND(ISNUMBER(R1552),ISNUMBER(S1552),ISNUMBER(T1552)),IF(R1552&gt;T1552,"boven UCL",IF(R1552&lt;S1552,"onder LCL","")),"")</f>
        <v/>
      </c>
    </row>
    <row r="1553">
      <c r="A1553" t="n">
        <v>1447</v>
      </c>
      <c r="B1553" s="7" t="n"/>
      <c r="C1553" s="11">
        <f>IF(AND(ISNUMBER(B1553),ISNUMBER(B1552)),ABS(B1553-B1552),"")</f>
        <v/>
      </c>
      <c r="D1553" s="13">
        <f>IF(AND(ISNUMBER(B1553),ISNUMBER($B$88),ISNUMBER($D$88)),IF(B1553&gt;$D$88,"boven UCL",IF(B1553&lt;$B$88,"onder LCL","")),"")</f>
        <v/>
      </c>
      <c r="E1553" s="13">
        <f>IF(AND(ISNUMBER(C1553),ISNUMBER($B$89),ISNUMBER($D$89)),IF(C1553&gt;$D$89,"boven UCL",IF(C1553&lt;$B$89,"onder LCL","")),"")</f>
        <v/>
      </c>
      <c r="G1553" t="n">
        <v>1447</v>
      </c>
      <c r="H1553" s="7" t="n"/>
      <c r="I1553" s="7" t="n"/>
      <c r="J1553" s="11">
        <f>IF(AND(ISNUMBER(H1553),ISNUMBER(I1553),H1553&gt;0,ISNUMBER($B$94)),I1553/H1553,"")</f>
        <v/>
      </c>
      <c r="K1553" s="11">
        <f>IF(AND(ISNUMBER(H1553),ISNUMBER(I1553),H1553&gt;0,ISNUMBER($B$94)),MAX(0,$B$94-3*SQRT($B$94*(1-$B$94)/H1553)),"")</f>
        <v/>
      </c>
      <c r="L1553" s="11">
        <f>IF(AND(ISNUMBER(H1553),ISNUMBER(I1553),H1553&gt;0,ISNUMBER($B$94)),$B$94+3*SQRT($B$94*(1-$B$94)/H1553),"")</f>
        <v/>
      </c>
      <c r="M1553" s="13">
        <f>IF(AND(ISNUMBER(J1553),ISNUMBER(K1553),ISNUMBER(L1553)),IF(J1553&gt;L1553,"boven UCL",IF(J1553&lt;K1553,"onder LCL","")),"")</f>
        <v/>
      </c>
      <c r="O1553" t="n">
        <v>1447</v>
      </c>
      <c r="P1553" s="7" t="n"/>
      <c r="Q1553" s="7" t="n"/>
      <c r="R1553" s="11">
        <f>IF(AND(ISNUMBER(P1553),ISNUMBER(Q1553),P1553&gt;0,ISNUMBER($B$100)),Q1553/P1553,"")</f>
        <v/>
      </c>
      <c r="S1553" s="11">
        <f>IF(AND(ISNUMBER(P1553),ISNUMBER(Q1553),P1553&gt;0,ISNUMBER($B$100)),MAX(0,$B$100-3*SQRT($B$100/P1553)),"")</f>
        <v/>
      </c>
      <c r="T1553" s="11">
        <f>IF(AND(ISNUMBER(P1553),ISNUMBER(Q1553),P1553&gt;0,ISNUMBER($B$100)),$B$100+3*SQRT($B$100/P1553),"")</f>
        <v/>
      </c>
      <c r="U1553" s="13">
        <f>IF(AND(ISNUMBER(R1553),ISNUMBER(S1553),ISNUMBER(T1553)),IF(R1553&gt;T1553,"boven UCL",IF(R1553&lt;S1553,"onder LCL","")),"")</f>
        <v/>
      </c>
    </row>
    <row r="1554">
      <c r="A1554" t="n">
        <v>1448</v>
      </c>
      <c r="B1554" s="7" t="n"/>
      <c r="C1554" s="11">
        <f>IF(AND(ISNUMBER(B1554),ISNUMBER(B1553)),ABS(B1554-B1553),"")</f>
        <v/>
      </c>
      <c r="D1554" s="13">
        <f>IF(AND(ISNUMBER(B1554),ISNUMBER($B$88),ISNUMBER($D$88)),IF(B1554&gt;$D$88,"boven UCL",IF(B1554&lt;$B$88,"onder LCL","")),"")</f>
        <v/>
      </c>
      <c r="E1554" s="13">
        <f>IF(AND(ISNUMBER(C1554),ISNUMBER($B$89),ISNUMBER($D$89)),IF(C1554&gt;$D$89,"boven UCL",IF(C1554&lt;$B$89,"onder LCL","")),"")</f>
        <v/>
      </c>
      <c r="G1554" t="n">
        <v>1448</v>
      </c>
      <c r="H1554" s="7" t="n"/>
      <c r="I1554" s="7" t="n"/>
      <c r="J1554" s="11">
        <f>IF(AND(ISNUMBER(H1554),ISNUMBER(I1554),H1554&gt;0,ISNUMBER($B$94)),I1554/H1554,"")</f>
        <v/>
      </c>
      <c r="K1554" s="11">
        <f>IF(AND(ISNUMBER(H1554),ISNUMBER(I1554),H1554&gt;0,ISNUMBER($B$94)),MAX(0,$B$94-3*SQRT($B$94*(1-$B$94)/H1554)),"")</f>
        <v/>
      </c>
      <c r="L1554" s="11">
        <f>IF(AND(ISNUMBER(H1554),ISNUMBER(I1554),H1554&gt;0,ISNUMBER($B$94)),$B$94+3*SQRT($B$94*(1-$B$94)/H1554),"")</f>
        <v/>
      </c>
      <c r="M1554" s="13">
        <f>IF(AND(ISNUMBER(J1554),ISNUMBER(K1554),ISNUMBER(L1554)),IF(J1554&gt;L1554,"boven UCL",IF(J1554&lt;K1554,"onder LCL","")),"")</f>
        <v/>
      </c>
      <c r="O1554" t="n">
        <v>1448</v>
      </c>
      <c r="P1554" s="7" t="n"/>
      <c r="Q1554" s="7" t="n"/>
      <c r="R1554" s="11">
        <f>IF(AND(ISNUMBER(P1554),ISNUMBER(Q1554),P1554&gt;0,ISNUMBER($B$100)),Q1554/P1554,"")</f>
        <v/>
      </c>
      <c r="S1554" s="11">
        <f>IF(AND(ISNUMBER(P1554),ISNUMBER(Q1554),P1554&gt;0,ISNUMBER($B$100)),MAX(0,$B$100-3*SQRT($B$100/P1554)),"")</f>
        <v/>
      </c>
      <c r="T1554" s="11">
        <f>IF(AND(ISNUMBER(P1554),ISNUMBER(Q1554),P1554&gt;0,ISNUMBER($B$100)),$B$100+3*SQRT($B$100/P1554),"")</f>
        <v/>
      </c>
      <c r="U1554" s="13">
        <f>IF(AND(ISNUMBER(R1554),ISNUMBER(S1554),ISNUMBER(T1554)),IF(R1554&gt;T1554,"boven UCL",IF(R1554&lt;S1554,"onder LCL","")),"")</f>
        <v/>
      </c>
    </row>
    <row r="1555">
      <c r="A1555" t="n">
        <v>1449</v>
      </c>
      <c r="B1555" s="7" t="n"/>
      <c r="C1555" s="11">
        <f>IF(AND(ISNUMBER(B1555),ISNUMBER(B1554)),ABS(B1555-B1554),"")</f>
        <v/>
      </c>
      <c r="D1555" s="13">
        <f>IF(AND(ISNUMBER(B1555),ISNUMBER($B$88),ISNUMBER($D$88)),IF(B1555&gt;$D$88,"boven UCL",IF(B1555&lt;$B$88,"onder LCL","")),"")</f>
        <v/>
      </c>
      <c r="E1555" s="13">
        <f>IF(AND(ISNUMBER(C1555),ISNUMBER($B$89),ISNUMBER($D$89)),IF(C1555&gt;$D$89,"boven UCL",IF(C1555&lt;$B$89,"onder LCL","")),"")</f>
        <v/>
      </c>
      <c r="G1555" t="n">
        <v>1449</v>
      </c>
      <c r="H1555" s="7" t="n"/>
      <c r="I1555" s="7" t="n"/>
      <c r="J1555" s="11">
        <f>IF(AND(ISNUMBER(H1555),ISNUMBER(I1555),H1555&gt;0,ISNUMBER($B$94)),I1555/H1555,"")</f>
        <v/>
      </c>
      <c r="K1555" s="11">
        <f>IF(AND(ISNUMBER(H1555),ISNUMBER(I1555),H1555&gt;0,ISNUMBER($B$94)),MAX(0,$B$94-3*SQRT($B$94*(1-$B$94)/H1555)),"")</f>
        <v/>
      </c>
      <c r="L1555" s="11">
        <f>IF(AND(ISNUMBER(H1555),ISNUMBER(I1555),H1555&gt;0,ISNUMBER($B$94)),$B$94+3*SQRT($B$94*(1-$B$94)/H1555),"")</f>
        <v/>
      </c>
      <c r="M1555" s="13">
        <f>IF(AND(ISNUMBER(J1555),ISNUMBER(K1555),ISNUMBER(L1555)),IF(J1555&gt;L1555,"boven UCL",IF(J1555&lt;K1555,"onder LCL","")),"")</f>
        <v/>
      </c>
      <c r="O1555" t="n">
        <v>1449</v>
      </c>
      <c r="P1555" s="7" t="n"/>
      <c r="Q1555" s="7" t="n"/>
      <c r="R1555" s="11">
        <f>IF(AND(ISNUMBER(P1555),ISNUMBER(Q1555),P1555&gt;0,ISNUMBER($B$100)),Q1555/P1555,"")</f>
        <v/>
      </c>
      <c r="S1555" s="11">
        <f>IF(AND(ISNUMBER(P1555),ISNUMBER(Q1555),P1555&gt;0,ISNUMBER($B$100)),MAX(0,$B$100-3*SQRT($B$100/P1555)),"")</f>
        <v/>
      </c>
      <c r="T1555" s="11">
        <f>IF(AND(ISNUMBER(P1555),ISNUMBER(Q1555),P1555&gt;0,ISNUMBER($B$100)),$B$100+3*SQRT($B$100/P1555),"")</f>
        <v/>
      </c>
      <c r="U1555" s="13">
        <f>IF(AND(ISNUMBER(R1555),ISNUMBER(S1555),ISNUMBER(T1555)),IF(R1555&gt;T1555,"boven UCL",IF(R1555&lt;S1555,"onder LCL","")),"")</f>
        <v/>
      </c>
    </row>
    <row r="1556">
      <c r="A1556" t="n">
        <v>1450</v>
      </c>
      <c r="B1556" s="7" t="n"/>
      <c r="C1556" s="11">
        <f>IF(AND(ISNUMBER(B1556),ISNUMBER(B1555)),ABS(B1556-B1555),"")</f>
        <v/>
      </c>
      <c r="D1556" s="13">
        <f>IF(AND(ISNUMBER(B1556),ISNUMBER($B$88),ISNUMBER($D$88)),IF(B1556&gt;$D$88,"boven UCL",IF(B1556&lt;$B$88,"onder LCL","")),"")</f>
        <v/>
      </c>
      <c r="E1556" s="13">
        <f>IF(AND(ISNUMBER(C1556),ISNUMBER($B$89),ISNUMBER($D$89)),IF(C1556&gt;$D$89,"boven UCL",IF(C1556&lt;$B$89,"onder LCL","")),"")</f>
        <v/>
      </c>
      <c r="G1556" t="n">
        <v>1450</v>
      </c>
      <c r="H1556" s="7" t="n"/>
      <c r="I1556" s="7" t="n"/>
      <c r="J1556" s="11">
        <f>IF(AND(ISNUMBER(H1556),ISNUMBER(I1556),H1556&gt;0,ISNUMBER($B$94)),I1556/H1556,"")</f>
        <v/>
      </c>
      <c r="K1556" s="11">
        <f>IF(AND(ISNUMBER(H1556),ISNUMBER(I1556),H1556&gt;0,ISNUMBER($B$94)),MAX(0,$B$94-3*SQRT($B$94*(1-$B$94)/H1556)),"")</f>
        <v/>
      </c>
      <c r="L1556" s="11">
        <f>IF(AND(ISNUMBER(H1556),ISNUMBER(I1556),H1556&gt;0,ISNUMBER($B$94)),$B$94+3*SQRT($B$94*(1-$B$94)/H1556),"")</f>
        <v/>
      </c>
      <c r="M1556" s="13">
        <f>IF(AND(ISNUMBER(J1556),ISNUMBER(K1556),ISNUMBER(L1556)),IF(J1556&gt;L1556,"boven UCL",IF(J1556&lt;K1556,"onder LCL","")),"")</f>
        <v/>
      </c>
      <c r="O1556" t="n">
        <v>1450</v>
      </c>
      <c r="P1556" s="7" t="n"/>
      <c r="Q1556" s="7" t="n"/>
      <c r="R1556" s="11">
        <f>IF(AND(ISNUMBER(P1556),ISNUMBER(Q1556),P1556&gt;0,ISNUMBER($B$100)),Q1556/P1556,"")</f>
        <v/>
      </c>
      <c r="S1556" s="11">
        <f>IF(AND(ISNUMBER(P1556),ISNUMBER(Q1556),P1556&gt;0,ISNUMBER($B$100)),MAX(0,$B$100-3*SQRT($B$100/P1556)),"")</f>
        <v/>
      </c>
      <c r="T1556" s="11">
        <f>IF(AND(ISNUMBER(P1556),ISNUMBER(Q1556),P1556&gt;0,ISNUMBER($B$100)),$B$100+3*SQRT($B$100/P1556),"")</f>
        <v/>
      </c>
      <c r="U1556" s="13">
        <f>IF(AND(ISNUMBER(R1556),ISNUMBER(S1556),ISNUMBER(T1556)),IF(R1556&gt;T1556,"boven UCL",IF(R1556&lt;S1556,"onder LCL","")),"")</f>
        <v/>
      </c>
    </row>
    <row r="1557">
      <c r="A1557" t="n">
        <v>1451</v>
      </c>
      <c r="B1557" s="7" t="n"/>
      <c r="C1557" s="11">
        <f>IF(AND(ISNUMBER(B1557),ISNUMBER(B1556)),ABS(B1557-B1556),"")</f>
        <v/>
      </c>
      <c r="D1557" s="13">
        <f>IF(AND(ISNUMBER(B1557),ISNUMBER($B$88),ISNUMBER($D$88)),IF(B1557&gt;$D$88,"boven UCL",IF(B1557&lt;$B$88,"onder LCL","")),"")</f>
        <v/>
      </c>
      <c r="E1557" s="13">
        <f>IF(AND(ISNUMBER(C1557),ISNUMBER($B$89),ISNUMBER($D$89)),IF(C1557&gt;$D$89,"boven UCL",IF(C1557&lt;$B$89,"onder LCL","")),"")</f>
        <v/>
      </c>
      <c r="G1557" t="n">
        <v>1451</v>
      </c>
      <c r="H1557" s="7" t="n"/>
      <c r="I1557" s="7" t="n"/>
      <c r="J1557" s="11">
        <f>IF(AND(ISNUMBER(H1557),ISNUMBER(I1557),H1557&gt;0,ISNUMBER($B$94)),I1557/H1557,"")</f>
        <v/>
      </c>
      <c r="K1557" s="11">
        <f>IF(AND(ISNUMBER(H1557),ISNUMBER(I1557),H1557&gt;0,ISNUMBER($B$94)),MAX(0,$B$94-3*SQRT($B$94*(1-$B$94)/H1557)),"")</f>
        <v/>
      </c>
      <c r="L1557" s="11">
        <f>IF(AND(ISNUMBER(H1557),ISNUMBER(I1557),H1557&gt;0,ISNUMBER($B$94)),$B$94+3*SQRT($B$94*(1-$B$94)/H1557),"")</f>
        <v/>
      </c>
      <c r="M1557" s="13">
        <f>IF(AND(ISNUMBER(J1557),ISNUMBER(K1557),ISNUMBER(L1557)),IF(J1557&gt;L1557,"boven UCL",IF(J1557&lt;K1557,"onder LCL","")),"")</f>
        <v/>
      </c>
      <c r="O1557" t="n">
        <v>1451</v>
      </c>
      <c r="P1557" s="7" t="n"/>
      <c r="Q1557" s="7" t="n"/>
      <c r="R1557" s="11">
        <f>IF(AND(ISNUMBER(P1557),ISNUMBER(Q1557),P1557&gt;0,ISNUMBER($B$100)),Q1557/P1557,"")</f>
        <v/>
      </c>
      <c r="S1557" s="11">
        <f>IF(AND(ISNUMBER(P1557),ISNUMBER(Q1557),P1557&gt;0,ISNUMBER($B$100)),MAX(0,$B$100-3*SQRT($B$100/P1557)),"")</f>
        <v/>
      </c>
      <c r="T1557" s="11">
        <f>IF(AND(ISNUMBER(P1557),ISNUMBER(Q1557),P1557&gt;0,ISNUMBER($B$100)),$B$100+3*SQRT($B$100/P1557),"")</f>
        <v/>
      </c>
      <c r="U1557" s="13">
        <f>IF(AND(ISNUMBER(R1557),ISNUMBER(S1557),ISNUMBER(T1557)),IF(R1557&gt;T1557,"boven UCL",IF(R1557&lt;S1557,"onder LCL","")),"")</f>
        <v/>
      </c>
    </row>
    <row r="1558">
      <c r="A1558" t="n">
        <v>1452</v>
      </c>
      <c r="B1558" s="7" t="n"/>
      <c r="C1558" s="11">
        <f>IF(AND(ISNUMBER(B1558),ISNUMBER(B1557)),ABS(B1558-B1557),"")</f>
        <v/>
      </c>
      <c r="D1558" s="13">
        <f>IF(AND(ISNUMBER(B1558),ISNUMBER($B$88),ISNUMBER($D$88)),IF(B1558&gt;$D$88,"boven UCL",IF(B1558&lt;$B$88,"onder LCL","")),"")</f>
        <v/>
      </c>
      <c r="E1558" s="13">
        <f>IF(AND(ISNUMBER(C1558),ISNUMBER($B$89),ISNUMBER($D$89)),IF(C1558&gt;$D$89,"boven UCL",IF(C1558&lt;$B$89,"onder LCL","")),"")</f>
        <v/>
      </c>
      <c r="G1558" t="n">
        <v>1452</v>
      </c>
      <c r="H1558" s="7" t="n"/>
      <c r="I1558" s="7" t="n"/>
      <c r="J1558" s="11">
        <f>IF(AND(ISNUMBER(H1558),ISNUMBER(I1558),H1558&gt;0,ISNUMBER($B$94)),I1558/H1558,"")</f>
        <v/>
      </c>
      <c r="K1558" s="11">
        <f>IF(AND(ISNUMBER(H1558),ISNUMBER(I1558),H1558&gt;0,ISNUMBER($B$94)),MAX(0,$B$94-3*SQRT($B$94*(1-$B$94)/H1558)),"")</f>
        <v/>
      </c>
      <c r="L1558" s="11">
        <f>IF(AND(ISNUMBER(H1558),ISNUMBER(I1558),H1558&gt;0,ISNUMBER($B$94)),$B$94+3*SQRT($B$94*(1-$B$94)/H1558),"")</f>
        <v/>
      </c>
      <c r="M1558" s="13">
        <f>IF(AND(ISNUMBER(J1558),ISNUMBER(K1558),ISNUMBER(L1558)),IF(J1558&gt;L1558,"boven UCL",IF(J1558&lt;K1558,"onder LCL","")),"")</f>
        <v/>
      </c>
      <c r="O1558" t="n">
        <v>1452</v>
      </c>
      <c r="P1558" s="7" t="n"/>
      <c r="Q1558" s="7" t="n"/>
      <c r="R1558" s="11">
        <f>IF(AND(ISNUMBER(P1558),ISNUMBER(Q1558),P1558&gt;0,ISNUMBER($B$100)),Q1558/P1558,"")</f>
        <v/>
      </c>
      <c r="S1558" s="11">
        <f>IF(AND(ISNUMBER(P1558),ISNUMBER(Q1558),P1558&gt;0,ISNUMBER($B$100)),MAX(0,$B$100-3*SQRT($B$100/P1558)),"")</f>
        <v/>
      </c>
      <c r="T1558" s="11">
        <f>IF(AND(ISNUMBER(P1558),ISNUMBER(Q1558),P1558&gt;0,ISNUMBER($B$100)),$B$100+3*SQRT($B$100/P1558),"")</f>
        <v/>
      </c>
      <c r="U1558" s="13">
        <f>IF(AND(ISNUMBER(R1558),ISNUMBER(S1558),ISNUMBER(T1558)),IF(R1558&gt;T1558,"boven UCL",IF(R1558&lt;S1558,"onder LCL","")),"")</f>
        <v/>
      </c>
    </row>
    <row r="1559">
      <c r="A1559" t="n">
        <v>1453</v>
      </c>
      <c r="B1559" s="7" t="n"/>
      <c r="C1559" s="11">
        <f>IF(AND(ISNUMBER(B1559),ISNUMBER(B1558)),ABS(B1559-B1558),"")</f>
        <v/>
      </c>
      <c r="D1559" s="13">
        <f>IF(AND(ISNUMBER(B1559),ISNUMBER($B$88),ISNUMBER($D$88)),IF(B1559&gt;$D$88,"boven UCL",IF(B1559&lt;$B$88,"onder LCL","")),"")</f>
        <v/>
      </c>
      <c r="E1559" s="13">
        <f>IF(AND(ISNUMBER(C1559),ISNUMBER($B$89),ISNUMBER($D$89)),IF(C1559&gt;$D$89,"boven UCL",IF(C1559&lt;$B$89,"onder LCL","")),"")</f>
        <v/>
      </c>
      <c r="G1559" t="n">
        <v>1453</v>
      </c>
      <c r="H1559" s="7" t="n"/>
      <c r="I1559" s="7" t="n"/>
      <c r="J1559" s="11">
        <f>IF(AND(ISNUMBER(H1559),ISNUMBER(I1559),H1559&gt;0,ISNUMBER($B$94)),I1559/H1559,"")</f>
        <v/>
      </c>
      <c r="K1559" s="11">
        <f>IF(AND(ISNUMBER(H1559),ISNUMBER(I1559),H1559&gt;0,ISNUMBER($B$94)),MAX(0,$B$94-3*SQRT($B$94*(1-$B$94)/H1559)),"")</f>
        <v/>
      </c>
      <c r="L1559" s="11">
        <f>IF(AND(ISNUMBER(H1559),ISNUMBER(I1559),H1559&gt;0,ISNUMBER($B$94)),$B$94+3*SQRT($B$94*(1-$B$94)/H1559),"")</f>
        <v/>
      </c>
      <c r="M1559" s="13">
        <f>IF(AND(ISNUMBER(J1559),ISNUMBER(K1559),ISNUMBER(L1559)),IF(J1559&gt;L1559,"boven UCL",IF(J1559&lt;K1559,"onder LCL","")),"")</f>
        <v/>
      </c>
      <c r="O1559" t="n">
        <v>1453</v>
      </c>
      <c r="P1559" s="7" t="n"/>
      <c r="Q1559" s="7" t="n"/>
      <c r="R1559" s="11">
        <f>IF(AND(ISNUMBER(P1559),ISNUMBER(Q1559),P1559&gt;0,ISNUMBER($B$100)),Q1559/P1559,"")</f>
        <v/>
      </c>
      <c r="S1559" s="11">
        <f>IF(AND(ISNUMBER(P1559),ISNUMBER(Q1559),P1559&gt;0,ISNUMBER($B$100)),MAX(0,$B$100-3*SQRT($B$100/P1559)),"")</f>
        <v/>
      </c>
      <c r="T1559" s="11">
        <f>IF(AND(ISNUMBER(P1559),ISNUMBER(Q1559),P1559&gt;0,ISNUMBER($B$100)),$B$100+3*SQRT($B$100/P1559),"")</f>
        <v/>
      </c>
      <c r="U1559" s="13">
        <f>IF(AND(ISNUMBER(R1559),ISNUMBER(S1559),ISNUMBER(T1559)),IF(R1559&gt;T1559,"boven UCL",IF(R1559&lt;S1559,"onder LCL","")),"")</f>
        <v/>
      </c>
    </row>
    <row r="1560">
      <c r="A1560" t="n">
        <v>1454</v>
      </c>
      <c r="B1560" s="7" t="n"/>
      <c r="C1560" s="11">
        <f>IF(AND(ISNUMBER(B1560),ISNUMBER(B1559)),ABS(B1560-B1559),"")</f>
        <v/>
      </c>
      <c r="D1560" s="13">
        <f>IF(AND(ISNUMBER(B1560),ISNUMBER($B$88),ISNUMBER($D$88)),IF(B1560&gt;$D$88,"boven UCL",IF(B1560&lt;$B$88,"onder LCL","")),"")</f>
        <v/>
      </c>
      <c r="E1560" s="13">
        <f>IF(AND(ISNUMBER(C1560),ISNUMBER($B$89),ISNUMBER($D$89)),IF(C1560&gt;$D$89,"boven UCL",IF(C1560&lt;$B$89,"onder LCL","")),"")</f>
        <v/>
      </c>
      <c r="G1560" t="n">
        <v>1454</v>
      </c>
      <c r="H1560" s="7" t="n"/>
      <c r="I1560" s="7" t="n"/>
      <c r="J1560" s="11">
        <f>IF(AND(ISNUMBER(H1560),ISNUMBER(I1560),H1560&gt;0,ISNUMBER($B$94)),I1560/H1560,"")</f>
        <v/>
      </c>
      <c r="K1560" s="11">
        <f>IF(AND(ISNUMBER(H1560),ISNUMBER(I1560),H1560&gt;0,ISNUMBER($B$94)),MAX(0,$B$94-3*SQRT($B$94*(1-$B$94)/H1560)),"")</f>
        <v/>
      </c>
      <c r="L1560" s="11">
        <f>IF(AND(ISNUMBER(H1560),ISNUMBER(I1560),H1560&gt;0,ISNUMBER($B$94)),$B$94+3*SQRT($B$94*(1-$B$94)/H1560),"")</f>
        <v/>
      </c>
      <c r="M1560" s="13">
        <f>IF(AND(ISNUMBER(J1560),ISNUMBER(K1560),ISNUMBER(L1560)),IF(J1560&gt;L1560,"boven UCL",IF(J1560&lt;K1560,"onder LCL","")),"")</f>
        <v/>
      </c>
      <c r="O1560" t="n">
        <v>1454</v>
      </c>
      <c r="P1560" s="7" t="n"/>
      <c r="Q1560" s="7" t="n"/>
      <c r="R1560" s="11">
        <f>IF(AND(ISNUMBER(P1560),ISNUMBER(Q1560),P1560&gt;0,ISNUMBER($B$100)),Q1560/P1560,"")</f>
        <v/>
      </c>
      <c r="S1560" s="11">
        <f>IF(AND(ISNUMBER(P1560),ISNUMBER(Q1560),P1560&gt;0,ISNUMBER($B$100)),MAX(0,$B$100-3*SQRT($B$100/P1560)),"")</f>
        <v/>
      </c>
      <c r="T1560" s="11">
        <f>IF(AND(ISNUMBER(P1560),ISNUMBER(Q1560),P1560&gt;0,ISNUMBER($B$100)),$B$100+3*SQRT($B$100/P1560),"")</f>
        <v/>
      </c>
      <c r="U1560" s="13">
        <f>IF(AND(ISNUMBER(R1560),ISNUMBER(S1560),ISNUMBER(T1560)),IF(R1560&gt;T1560,"boven UCL",IF(R1560&lt;S1560,"onder LCL","")),"")</f>
        <v/>
      </c>
    </row>
    <row r="1561">
      <c r="A1561" t="n">
        <v>1455</v>
      </c>
      <c r="B1561" s="7" t="n"/>
      <c r="C1561" s="11">
        <f>IF(AND(ISNUMBER(B1561),ISNUMBER(B1560)),ABS(B1561-B1560),"")</f>
        <v/>
      </c>
      <c r="D1561" s="13">
        <f>IF(AND(ISNUMBER(B1561),ISNUMBER($B$88),ISNUMBER($D$88)),IF(B1561&gt;$D$88,"boven UCL",IF(B1561&lt;$B$88,"onder LCL","")),"")</f>
        <v/>
      </c>
      <c r="E1561" s="13">
        <f>IF(AND(ISNUMBER(C1561),ISNUMBER($B$89),ISNUMBER($D$89)),IF(C1561&gt;$D$89,"boven UCL",IF(C1561&lt;$B$89,"onder LCL","")),"")</f>
        <v/>
      </c>
      <c r="G1561" t="n">
        <v>1455</v>
      </c>
      <c r="H1561" s="7" t="n"/>
      <c r="I1561" s="7" t="n"/>
      <c r="J1561" s="11">
        <f>IF(AND(ISNUMBER(H1561),ISNUMBER(I1561),H1561&gt;0,ISNUMBER($B$94)),I1561/H1561,"")</f>
        <v/>
      </c>
      <c r="K1561" s="11">
        <f>IF(AND(ISNUMBER(H1561),ISNUMBER(I1561),H1561&gt;0,ISNUMBER($B$94)),MAX(0,$B$94-3*SQRT($B$94*(1-$B$94)/H1561)),"")</f>
        <v/>
      </c>
      <c r="L1561" s="11">
        <f>IF(AND(ISNUMBER(H1561),ISNUMBER(I1561),H1561&gt;0,ISNUMBER($B$94)),$B$94+3*SQRT($B$94*(1-$B$94)/H1561),"")</f>
        <v/>
      </c>
      <c r="M1561" s="13">
        <f>IF(AND(ISNUMBER(J1561),ISNUMBER(K1561),ISNUMBER(L1561)),IF(J1561&gt;L1561,"boven UCL",IF(J1561&lt;K1561,"onder LCL","")),"")</f>
        <v/>
      </c>
      <c r="O1561" t="n">
        <v>1455</v>
      </c>
      <c r="P1561" s="7" t="n"/>
      <c r="Q1561" s="7" t="n"/>
      <c r="R1561" s="11">
        <f>IF(AND(ISNUMBER(P1561),ISNUMBER(Q1561),P1561&gt;0,ISNUMBER($B$100)),Q1561/P1561,"")</f>
        <v/>
      </c>
      <c r="S1561" s="11">
        <f>IF(AND(ISNUMBER(P1561),ISNUMBER(Q1561),P1561&gt;0,ISNUMBER($B$100)),MAX(0,$B$100-3*SQRT($B$100/P1561)),"")</f>
        <v/>
      </c>
      <c r="T1561" s="11">
        <f>IF(AND(ISNUMBER(P1561),ISNUMBER(Q1561),P1561&gt;0,ISNUMBER($B$100)),$B$100+3*SQRT($B$100/P1561),"")</f>
        <v/>
      </c>
      <c r="U1561" s="13">
        <f>IF(AND(ISNUMBER(R1561),ISNUMBER(S1561),ISNUMBER(T1561)),IF(R1561&gt;T1561,"boven UCL",IF(R1561&lt;S1561,"onder LCL","")),"")</f>
        <v/>
      </c>
    </row>
    <row r="1562">
      <c r="A1562" t="n">
        <v>1456</v>
      </c>
      <c r="B1562" s="7" t="n"/>
      <c r="C1562" s="11">
        <f>IF(AND(ISNUMBER(B1562),ISNUMBER(B1561)),ABS(B1562-B1561),"")</f>
        <v/>
      </c>
      <c r="D1562" s="13">
        <f>IF(AND(ISNUMBER(B1562),ISNUMBER($B$88),ISNUMBER($D$88)),IF(B1562&gt;$D$88,"boven UCL",IF(B1562&lt;$B$88,"onder LCL","")),"")</f>
        <v/>
      </c>
      <c r="E1562" s="13">
        <f>IF(AND(ISNUMBER(C1562),ISNUMBER($B$89),ISNUMBER($D$89)),IF(C1562&gt;$D$89,"boven UCL",IF(C1562&lt;$B$89,"onder LCL","")),"")</f>
        <v/>
      </c>
      <c r="G1562" t="n">
        <v>1456</v>
      </c>
      <c r="H1562" s="7" t="n"/>
      <c r="I1562" s="7" t="n"/>
      <c r="J1562" s="11">
        <f>IF(AND(ISNUMBER(H1562),ISNUMBER(I1562),H1562&gt;0,ISNUMBER($B$94)),I1562/H1562,"")</f>
        <v/>
      </c>
      <c r="K1562" s="11">
        <f>IF(AND(ISNUMBER(H1562),ISNUMBER(I1562),H1562&gt;0,ISNUMBER($B$94)),MAX(0,$B$94-3*SQRT($B$94*(1-$B$94)/H1562)),"")</f>
        <v/>
      </c>
      <c r="L1562" s="11">
        <f>IF(AND(ISNUMBER(H1562),ISNUMBER(I1562),H1562&gt;0,ISNUMBER($B$94)),$B$94+3*SQRT($B$94*(1-$B$94)/H1562),"")</f>
        <v/>
      </c>
      <c r="M1562" s="13">
        <f>IF(AND(ISNUMBER(J1562),ISNUMBER(K1562),ISNUMBER(L1562)),IF(J1562&gt;L1562,"boven UCL",IF(J1562&lt;K1562,"onder LCL","")),"")</f>
        <v/>
      </c>
      <c r="O1562" t="n">
        <v>1456</v>
      </c>
      <c r="P1562" s="7" t="n"/>
      <c r="Q1562" s="7" t="n"/>
      <c r="R1562" s="11">
        <f>IF(AND(ISNUMBER(P1562),ISNUMBER(Q1562),P1562&gt;0,ISNUMBER($B$100)),Q1562/P1562,"")</f>
        <v/>
      </c>
      <c r="S1562" s="11">
        <f>IF(AND(ISNUMBER(P1562),ISNUMBER(Q1562),P1562&gt;0,ISNUMBER($B$100)),MAX(0,$B$100-3*SQRT($B$100/P1562)),"")</f>
        <v/>
      </c>
      <c r="T1562" s="11">
        <f>IF(AND(ISNUMBER(P1562),ISNUMBER(Q1562),P1562&gt;0,ISNUMBER($B$100)),$B$100+3*SQRT($B$100/P1562),"")</f>
        <v/>
      </c>
      <c r="U1562" s="13">
        <f>IF(AND(ISNUMBER(R1562),ISNUMBER(S1562),ISNUMBER(T1562)),IF(R1562&gt;T1562,"boven UCL",IF(R1562&lt;S1562,"onder LCL","")),"")</f>
        <v/>
      </c>
    </row>
    <row r="1563">
      <c r="A1563" t="n">
        <v>1457</v>
      </c>
      <c r="B1563" s="7" t="n"/>
      <c r="C1563" s="11">
        <f>IF(AND(ISNUMBER(B1563),ISNUMBER(B1562)),ABS(B1563-B1562),"")</f>
        <v/>
      </c>
      <c r="D1563" s="13">
        <f>IF(AND(ISNUMBER(B1563),ISNUMBER($B$88),ISNUMBER($D$88)),IF(B1563&gt;$D$88,"boven UCL",IF(B1563&lt;$B$88,"onder LCL","")),"")</f>
        <v/>
      </c>
      <c r="E1563" s="13">
        <f>IF(AND(ISNUMBER(C1563),ISNUMBER($B$89),ISNUMBER($D$89)),IF(C1563&gt;$D$89,"boven UCL",IF(C1563&lt;$B$89,"onder LCL","")),"")</f>
        <v/>
      </c>
      <c r="G1563" t="n">
        <v>1457</v>
      </c>
      <c r="H1563" s="7" t="n"/>
      <c r="I1563" s="7" t="n"/>
      <c r="J1563" s="11">
        <f>IF(AND(ISNUMBER(H1563),ISNUMBER(I1563),H1563&gt;0,ISNUMBER($B$94)),I1563/H1563,"")</f>
        <v/>
      </c>
      <c r="K1563" s="11">
        <f>IF(AND(ISNUMBER(H1563),ISNUMBER(I1563),H1563&gt;0,ISNUMBER($B$94)),MAX(0,$B$94-3*SQRT($B$94*(1-$B$94)/H1563)),"")</f>
        <v/>
      </c>
      <c r="L1563" s="11">
        <f>IF(AND(ISNUMBER(H1563),ISNUMBER(I1563),H1563&gt;0,ISNUMBER($B$94)),$B$94+3*SQRT($B$94*(1-$B$94)/H1563),"")</f>
        <v/>
      </c>
      <c r="M1563" s="13">
        <f>IF(AND(ISNUMBER(J1563),ISNUMBER(K1563),ISNUMBER(L1563)),IF(J1563&gt;L1563,"boven UCL",IF(J1563&lt;K1563,"onder LCL","")),"")</f>
        <v/>
      </c>
      <c r="O1563" t="n">
        <v>1457</v>
      </c>
      <c r="P1563" s="7" t="n"/>
      <c r="Q1563" s="7" t="n"/>
      <c r="R1563" s="11">
        <f>IF(AND(ISNUMBER(P1563),ISNUMBER(Q1563),P1563&gt;0,ISNUMBER($B$100)),Q1563/P1563,"")</f>
        <v/>
      </c>
      <c r="S1563" s="11">
        <f>IF(AND(ISNUMBER(P1563),ISNUMBER(Q1563),P1563&gt;0,ISNUMBER($B$100)),MAX(0,$B$100-3*SQRT($B$100/P1563)),"")</f>
        <v/>
      </c>
      <c r="T1563" s="11">
        <f>IF(AND(ISNUMBER(P1563),ISNUMBER(Q1563),P1563&gt;0,ISNUMBER($B$100)),$B$100+3*SQRT($B$100/P1563),"")</f>
        <v/>
      </c>
      <c r="U1563" s="13">
        <f>IF(AND(ISNUMBER(R1563),ISNUMBER(S1563),ISNUMBER(T1563)),IF(R1563&gt;T1563,"boven UCL",IF(R1563&lt;S1563,"onder LCL","")),"")</f>
        <v/>
      </c>
    </row>
    <row r="1564">
      <c r="A1564" t="n">
        <v>1458</v>
      </c>
      <c r="B1564" s="7" t="n"/>
      <c r="C1564" s="11">
        <f>IF(AND(ISNUMBER(B1564),ISNUMBER(B1563)),ABS(B1564-B1563),"")</f>
        <v/>
      </c>
      <c r="D1564" s="13">
        <f>IF(AND(ISNUMBER(B1564),ISNUMBER($B$88),ISNUMBER($D$88)),IF(B1564&gt;$D$88,"boven UCL",IF(B1564&lt;$B$88,"onder LCL","")),"")</f>
        <v/>
      </c>
      <c r="E1564" s="13">
        <f>IF(AND(ISNUMBER(C1564),ISNUMBER($B$89),ISNUMBER($D$89)),IF(C1564&gt;$D$89,"boven UCL",IF(C1564&lt;$B$89,"onder LCL","")),"")</f>
        <v/>
      </c>
      <c r="G1564" t="n">
        <v>1458</v>
      </c>
      <c r="H1564" s="7" t="n"/>
      <c r="I1564" s="7" t="n"/>
      <c r="J1564" s="11">
        <f>IF(AND(ISNUMBER(H1564),ISNUMBER(I1564),H1564&gt;0,ISNUMBER($B$94)),I1564/H1564,"")</f>
        <v/>
      </c>
      <c r="K1564" s="11">
        <f>IF(AND(ISNUMBER(H1564),ISNUMBER(I1564),H1564&gt;0,ISNUMBER($B$94)),MAX(0,$B$94-3*SQRT($B$94*(1-$B$94)/H1564)),"")</f>
        <v/>
      </c>
      <c r="L1564" s="11">
        <f>IF(AND(ISNUMBER(H1564),ISNUMBER(I1564),H1564&gt;0,ISNUMBER($B$94)),$B$94+3*SQRT($B$94*(1-$B$94)/H1564),"")</f>
        <v/>
      </c>
      <c r="M1564" s="13">
        <f>IF(AND(ISNUMBER(J1564),ISNUMBER(K1564),ISNUMBER(L1564)),IF(J1564&gt;L1564,"boven UCL",IF(J1564&lt;K1564,"onder LCL","")),"")</f>
        <v/>
      </c>
      <c r="O1564" t="n">
        <v>1458</v>
      </c>
      <c r="P1564" s="7" t="n"/>
      <c r="Q1564" s="7" t="n"/>
      <c r="R1564" s="11">
        <f>IF(AND(ISNUMBER(P1564),ISNUMBER(Q1564),P1564&gt;0,ISNUMBER($B$100)),Q1564/P1564,"")</f>
        <v/>
      </c>
      <c r="S1564" s="11">
        <f>IF(AND(ISNUMBER(P1564),ISNUMBER(Q1564),P1564&gt;0,ISNUMBER($B$100)),MAX(0,$B$100-3*SQRT($B$100/P1564)),"")</f>
        <v/>
      </c>
      <c r="T1564" s="11">
        <f>IF(AND(ISNUMBER(P1564),ISNUMBER(Q1564),P1564&gt;0,ISNUMBER($B$100)),$B$100+3*SQRT($B$100/P1564),"")</f>
        <v/>
      </c>
      <c r="U1564" s="13">
        <f>IF(AND(ISNUMBER(R1564),ISNUMBER(S1564),ISNUMBER(T1564)),IF(R1564&gt;T1564,"boven UCL",IF(R1564&lt;S1564,"onder LCL","")),"")</f>
        <v/>
      </c>
    </row>
    <row r="1565">
      <c r="A1565" t="n">
        <v>1459</v>
      </c>
      <c r="B1565" s="7" t="n"/>
      <c r="C1565" s="11">
        <f>IF(AND(ISNUMBER(B1565),ISNUMBER(B1564)),ABS(B1565-B1564),"")</f>
        <v/>
      </c>
      <c r="D1565" s="13">
        <f>IF(AND(ISNUMBER(B1565),ISNUMBER($B$88),ISNUMBER($D$88)),IF(B1565&gt;$D$88,"boven UCL",IF(B1565&lt;$B$88,"onder LCL","")),"")</f>
        <v/>
      </c>
      <c r="E1565" s="13">
        <f>IF(AND(ISNUMBER(C1565),ISNUMBER($B$89),ISNUMBER($D$89)),IF(C1565&gt;$D$89,"boven UCL",IF(C1565&lt;$B$89,"onder LCL","")),"")</f>
        <v/>
      </c>
      <c r="G1565" t="n">
        <v>1459</v>
      </c>
      <c r="H1565" s="7" t="n"/>
      <c r="I1565" s="7" t="n"/>
      <c r="J1565" s="11">
        <f>IF(AND(ISNUMBER(H1565),ISNUMBER(I1565),H1565&gt;0,ISNUMBER($B$94)),I1565/H1565,"")</f>
        <v/>
      </c>
      <c r="K1565" s="11">
        <f>IF(AND(ISNUMBER(H1565),ISNUMBER(I1565),H1565&gt;0,ISNUMBER($B$94)),MAX(0,$B$94-3*SQRT($B$94*(1-$B$94)/H1565)),"")</f>
        <v/>
      </c>
      <c r="L1565" s="11">
        <f>IF(AND(ISNUMBER(H1565),ISNUMBER(I1565),H1565&gt;0,ISNUMBER($B$94)),$B$94+3*SQRT($B$94*(1-$B$94)/H1565),"")</f>
        <v/>
      </c>
      <c r="M1565" s="13">
        <f>IF(AND(ISNUMBER(J1565),ISNUMBER(K1565),ISNUMBER(L1565)),IF(J1565&gt;L1565,"boven UCL",IF(J1565&lt;K1565,"onder LCL","")),"")</f>
        <v/>
      </c>
      <c r="O1565" t="n">
        <v>1459</v>
      </c>
      <c r="P1565" s="7" t="n"/>
      <c r="Q1565" s="7" t="n"/>
      <c r="R1565" s="11">
        <f>IF(AND(ISNUMBER(P1565),ISNUMBER(Q1565),P1565&gt;0,ISNUMBER($B$100)),Q1565/P1565,"")</f>
        <v/>
      </c>
      <c r="S1565" s="11">
        <f>IF(AND(ISNUMBER(P1565),ISNUMBER(Q1565),P1565&gt;0,ISNUMBER($B$100)),MAX(0,$B$100-3*SQRT($B$100/P1565)),"")</f>
        <v/>
      </c>
      <c r="T1565" s="11">
        <f>IF(AND(ISNUMBER(P1565),ISNUMBER(Q1565),P1565&gt;0,ISNUMBER($B$100)),$B$100+3*SQRT($B$100/P1565),"")</f>
        <v/>
      </c>
      <c r="U1565" s="13">
        <f>IF(AND(ISNUMBER(R1565),ISNUMBER(S1565),ISNUMBER(T1565)),IF(R1565&gt;T1565,"boven UCL",IF(R1565&lt;S1565,"onder LCL","")),"")</f>
        <v/>
      </c>
    </row>
    <row r="1566">
      <c r="A1566" t="n">
        <v>1460</v>
      </c>
      <c r="B1566" s="7" t="n"/>
      <c r="C1566" s="11">
        <f>IF(AND(ISNUMBER(B1566),ISNUMBER(B1565)),ABS(B1566-B1565),"")</f>
        <v/>
      </c>
      <c r="D1566" s="13">
        <f>IF(AND(ISNUMBER(B1566),ISNUMBER($B$88),ISNUMBER($D$88)),IF(B1566&gt;$D$88,"boven UCL",IF(B1566&lt;$B$88,"onder LCL","")),"")</f>
        <v/>
      </c>
      <c r="E1566" s="13">
        <f>IF(AND(ISNUMBER(C1566),ISNUMBER($B$89),ISNUMBER($D$89)),IF(C1566&gt;$D$89,"boven UCL",IF(C1566&lt;$B$89,"onder LCL","")),"")</f>
        <v/>
      </c>
      <c r="G1566" t="n">
        <v>1460</v>
      </c>
      <c r="H1566" s="7" t="n"/>
      <c r="I1566" s="7" t="n"/>
      <c r="J1566" s="11">
        <f>IF(AND(ISNUMBER(H1566),ISNUMBER(I1566),H1566&gt;0,ISNUMBER($B$94)),I1566/H1566,"")</f>
        <v/>
      </c>
      <c r="K1566" s="11">
        <f>IF(AND(ISNUMBER(H1566),ISNUMBER(I1566),H1566&gt;0,ISNUMBER($B$94)),MAX(0,$B$94-3*SQRT($B$94*(1-$B$94)/H1566)),"")</f>
        <v/>
      </c>
      <c r="L1566" s="11">
        <f>IF(AND(ISNUMBER(H1566),ISNUMBER(I1566),H1566&gt;0,ISNUMBER($B$94)),$B$94+3*SQRT($B$94*(1-$B$94)/H1566),"")</f>
        <v/>
      </c>
      <c r="M1566" s="13">
        <f>IF(AND(ISNUMBER(J1566),ISNUMBER(K1566),ISNUMBER(L1566)),IF(J1566&gt;L1566,"boven UCL",IF(J1566&lt;K1566,"onder LCL","")),"")</f>
        <v/>
      </c>
      <c r="O1566" t="n">
        <v>1460</v>
      </c>
      <c r="P1566" s="7" t="n"/>
      <c r="Q1566" s="7" t="n"/>
      <c r="R1566" s="11">
        <f>IF(AND(ISNUMBER(P1566),ISNUMBER(Q1566),P1566&gt;0,ISNUMBER($B$100)),Q1566/P1566,"")</f>
        <v/>
      </c>
      <c r="S1566" s="11">
        <f>IF(AND(ISNUMBER(P1566),ISNUMBER(Q1566),P1566&gt;0,ISNUMBER($B$100)),MAX(0,$B$100-3*SQRT($B$100/P1566)),"")</f>
        <v/>
      </c>
      <c r="T1566" s="11">
        <f>IF(AND(ISNUMBER(P1566),ISNUMBER(Q1566),P1566&gt;0,ISNUMBER($B$100)),$B$100+3*SQRT($B$100/P1566),"")</f>
        <v/>
      </c>
      <c r="U1566" s="13">
        <f>IF(AND(ISNUMBER(R1566),ISNUMBER(S1566),ISNUMBER(T1566)),IF(R1566&gt;T1566,"boven UCL",IF(R1566&lt;S1566,"onder LCL","")),"")</f>
        <v/>
      </c>
    </row>
    <row r="1567">
      <c r="A1567" t="n">
        <v>1461</v>
      </c>
      <c r="B1567" s="7" t="n"/>
      <c r="C1567" s="11">
        <f>IF(AND(ISNUMBER(B1567),ISNUMBER(B1566)),ABS(B1567-B1566),"")</f>
        <v/>
      </c>
      <c r="D1567" s="13">
        <f>IF(AND(ISNUMBER(B1567),ISNUMBER($B$88),ISNUMBER($D$88)),IF(B1567&gt;$D$88,"boven UCL",IF(B1567&lt;$B$88,"onder LCL","")),"")</f>
        <v/>
      </c>
      <c r="E1567" s="13">
        <f>IF(AND(ISNUMBER(C1567),ISNUMBER($B$89),ISNUMBER($D$89)),IF(C1567&gt;$D$89,"boven UCL",IF(C1567&lt;$B$89,"onder LCL","")),"")</f>
        <v/>
      </c>
      <c r="G1567" t="n">
        <v>1461</v>
      </c>
      <c r="H1567" s="7" t="n"/>
      <c r="I1567" s="7" t="n"/>
      <c r="J1567" s="11">
        <f>IF(AND(ISNUMBER(H1567),ISNUMBER(I1567),H1567&gt;0,ISNUMBER($B$94)),I1567/H1567,"")</f>
        <v/>
      </c>
      <c r="K1567" s="11">
        <f>IF(AND(ISNUMBER(H1567),ISNUMBER(I1567),H1567&gt;0,ISNUMBER($B$94)),MAX(0,$B$94-3*SQRT($B$94*(1-$B$94)/H1567)),"")</f>
        <v/>
      </c>
      <c r="L1567" s="11">
        <f>IF(AND(ISNUMBER(H1567),ISNUMBER(I1567),H1567&gt;0,ISNUMBER($B$94)),$B$94+3*SQRT($B$94*(1-$B$94)/H1567),"")</f>
        <v/>
      </c>
      <c r="M1567" s="13">
        <f>IF(AND(ISNUMBER(J1567),ISNUMBER(K1567),ISNUMBER(L1567)),IF(J1567&gt;L1567,"boven UCL",IF(J1567&lt;K1567,"onder LCL","")),"")</f>
        <v/>
      </c>
      <c r="O1567" t="n">
        <v>1461</v>
      </c>
      <c r="P1567" s="7" t="n"/>
      <c r="Q1567" s="7" t="n"/>
      <c r="R1567" s="11">
        <f>IF(AND(ISNUMBER(P1567),ISNUMBER(Q1567),P1567&gt;0,ISNUMBER($B$100)),Q1567/P1567,"")</f>
        <v/>
      </c>
      <c r="S1567" s="11">
        <f>IF(AND(ISNUMBER(P1567),ISNUMBER(Q1567),P1567&gt;0,ISNUMBER($B$100)),MAX(0,$B$100-3*SQRT($B$100/P1567)),"")</f>
        <v/>
      </c>
      <c r="T1567" s="11">
        <f>IF(AND(ISNUMBER(P1567),ISNUMBER(Q1567),P1567&gt;0,ISNUMBER($B$100)),$B$100+3*SQRT($B$100/P1567),"")</f>
        <v/>
      </c>
      <c r="U1567" s="13">
        <f>IF(AND(ISNUMBER(R1567),ISNUMBER(S1567),ISNUMBER(T1567)),IF(R1567&gt;T1567,"boven UCL",IF(R1567&lt;S1567,"onder LCL","")),"")</f>
        <v/>
      </c>
    </row>
    <row r="1568">
      <c r="A1568" t="n">
        <v>1462</v>
      </c>
      <c r="B1568" s="7" t="n"/>
      <c r="C1568" s="11">
        <f>IF(AND(ISNUMBER(B1568),ISNUMBER(B1567)),ABS(B1568-B1567),"")</f>
        <v/>
      </c>
      <c r="D1568" s="13">
        <f>IF(AND(ISNUMBER(B1568),ISNUMBER($B$88),ISNUMBER($D$88)),IF(B1568&gt;$D$88,"boven UCL",IF(B1568&lt;$B$88,"onder LCL","")),"")</f>
        <v/>
      </c>
      <c r="E1568" s="13">
        <f>IF(AND(ISNUMBER(C1568),ISNUMBER($B$89),ISNUMBER($D$89)),IF(C1568&gt;$D$89,"boven UCL",IF(C1568&lt;$B$89,"onder LCL","")),"")</f>
        <v/>
      </c>
      <c r="G1568" t="n">
        <v>1462</v>
      </c>
      <c r="H1568" s="7" t="n"/>
      <c r="I1568" s="7" t="n"/>
      <c r="J1568" s="11">
        <f>IF(AND(ISNUMBER(H1568),ISNUMBER(I1568),H1568&gt;0,ISNUMBER($B$94)),I1568/H1568,"")</f>
        <v/>
      </c>
      <c r="K1568" s="11">
        <f>IF(AND(ISNUMBER(H1568),ISNUMBER(I1568),H1568&gt;0,ISNUMBER($B$94)),MAX(0,$B$94-3*SQRT($B$94*(1-$B$94)/H1568)),"")</f>
        <v/>
      </c>
      <c r="L1568" s="11">
        <f>IF(AND(ISNUMBER(H1568),ISNUMBER(I1568),H1568&gt;0,ISNUMBER($B$94)),$B$94+3*SQRT($B$94*(1-$B$94)/H1568),"")</f>
        <v/>
      </c>
      <c r="M1568" s="13">
        <f>IF(AND(ISNUMBER(J1568),ISNUMBER(K1568),ISNUMBER(L1568)),IF(J1568&gt;L1568,"boven UCL",IF(J1568&lt;K1568,"onder LCL","")),"")</f>
        <v/>
      </c>
      <c r="O1568" t="n">
        <v>1462</v>
      </c>
      <c r="P1568" s="7" t="n"/>
      <c r="Q1568" s="7" t="n"/>
      <c r="R1568" s="11">
        <f>IF(AND(ISNUMBER(P1568),ISNUMBER(Q1568),P1568&gt;0,ISNUMBER($B$100)),Q1568/P1568,"")</f>
        <v/>
      </c>
      <c r="S1568" s="11">
        <f>IF(AND(ISNUMBER(P1568),ISNUMBER(Q1568),P1568&gt;0,ISNUMBER($B$100)),MAX(0,$B$100-3*SQRT($B$100/P1568)),"")</f>
        <v/>
      </c>
      <c r="T1568" s="11">
        <f>IF(AND(ISNUMBER(P1568),ISNUMBER(Q1568),P1568&gt;0,ISNUMBER($B$100)),$B$100+3*SQRT($B$100/P1568),"")</f>
        <v/>
      </c>
      <c r="U1568" s="13">
        <f>IF(AND(ISNUMBER(R1568),ISNUMBER(S1568),ISNUMBER(T1568)),IF(R1568&gt;T1568,"boven UCL",IF(R1568&lt;S1568,"onder LCL","")),"")</f>
        <v/>
      </c>
    </row>
    <row r="1569">
      <c r="A1569" t="n">
        <v>1463</v>
      </c>
      <c r="B1569" s="7" t="n"/>
      <c r="C1569" s="11">
        <f>IF(AND(ISNUMBER(B1569),ISNUMBER(B1568)),ABS(B1569-B1568),"")</f>
        <v/>
      </c>
      <c r="D1569" s="13">
        <f>IF(AND(ISNUMBER(B1569),ISNUMBER($B$88),ISNUMBER($D$88)),IF(B1569&gt;$D$88,"boven UCL",IF(B1569&lt;$B$88,"onder LCL","")),"")</f>
        <v/>
      </c>
      <c r="E1569" s="13">
        <f>IF(AND(ISNUMBER(C1569),ISNUMBER($B$89),ISNUMBER($D$89)),IF(C1569&gt;$D$89,"boven UCL",IF(C1569&lt;$B$89,"onder LCL","")),"")</f>
        <v/>
      </c>
      <c r="G1569" t="n">
        <v>1463</v>
      </c>
      <c r="H1569" s="7" t="n"/>
      <c r="I1569" s="7" t="n"/>
      <c r="J1569" s="11">
        <f>IF(AND(ISNUMBER(H1569),ISNUMBER(I1569),H1569&gt;0,ISNUMBER($B$94)),I1569/H1569,"")</f>
        <v/>
      </c>
      <c r="K1569" s="11">
        <f>IF(AND(ISNUMBER(H1569),ISNUMBER(I1569),H1569&gt;0,ISNUMBER($B$94)),MAX(0,$B$94-3*SQRT($B$94*(1-$B$94)/H1569)),"")</f>
        <v/>
      </c>
      <c r="L1569" s="11">
        <f>IF(AND(ISNUMBER(H1569),ISNUMBER(I1569),H1569&gt;0,ISNUMBER($B$94)),$B$94+3*SQRT($B$94*(1-$B$94)/H1569),"")</f>
        <v/>
      </c>
      <c r="M1569" s="13">
        <f>IF(AND(ISNUMBER(J1569),ISNUMBER(K1569),ISNUMBER(L1569)),IF(J1569&gt;L1569,"boven UCL",IF(J1569&lt;K1569,"onder LCL","")),"")</f>
        <v/>
      </c>
      <c r="O1569" t="n">
        <v>1463</v>
      </c>
      <c r="P1569" s="7" t="n"/>
      <c r="Q1569" s="7" t="n"/>
      <c r="R1569" s="11">
        <f>IF(AND(ISNUMBER(P1569),ISNUMBER(Q1569),P1569&gt;0,ISNUMBER($B$100)),Q1569/P1569,"")</f>
        <v/>
      </c>
      <c r="S1569" s="11">
        <f>IF(AND(ISNUMBER(P1569),ISNUMBER(Q1569),P1569&gt;0,ISNUMBER($B$100)),MAX(0,$B$100-3*SQRT($B$100/P1569)),"")</f>
        <v/>
      </c>
      <c r="T1569" s="11">
        <f>IF(AND(ISNUMBER(P1569),ISNUMBER(Q1569),P1569&gt;0,ISNUMBER($B$100)),$B$100+3*SQRT($B$100/P1569),"")</f>
        <v/>
      </c>
      <c r="U1569" s="13">
        <f>IF(AND(ISNUMBER(R1569),ISNUMBER(S1569),ISNUMBER(T1569)),IF(R1569&gt;T1569,"boven UCL",IF(R1569&lt;S1569,"onder LCL","")),"")</f>
        <v/>
      </c>
    </row>
    <row r="1570">
      <c r="A1570" t="n">
        <v>1464</v>
      </c>
      <c r="B1570" s="7" t="n"/>
      <c r="C1570" s="11">
        <f>IF(AND(ISNUMBER(B1570),ISNUMBER(B1569)),ABS(B1570-B1569),"")</f>
        <v/>
      </c>
      <c r="D1570" s="13">
        <f>IF(AND(ISNUMBER(B1570),ISNUMBER($B$88),ISNUMBER($D$88)),IF(B1570&gt;$D$88,"boven UCL",IF(B1570&lt;$B$88,"onder LCL","")),"")</f>
        <v/>
      </c>
      <c r="E1570" s="13">
        <f>IF(AND(ISNUMBER(C1570),ISNUMBER($B$89),ISNUMBER($D$89)),IF(C1570&gt;$D$89,"boven UCL",IF(C1570&lt;$B$89,"onder LCL","")),"")</f>
        <v/>
      </c>
      <c r="G1570" t="n">
        <v>1464</v>
      </c>
      <c r="H1570" s="7" t="n"/>
      <c r="I1570" s="7" t="n"/>
      <c r="J1570" s="11">
        <f>IF(AND(ISNUMBER(H1570),ISNUMBER(I1570),H1570&gt;0,ISNUMBER($B$94)),I1570/H1570,"")</f>
        <v/>
      </c>
      <c r="K1570" s="11">
        <f>IF(AND(ISNUMBER(H1570),ISNUMBER(I1570),H1570&gt;0,ISNUMBER($B$94)),MAX(0,$B$94-3*SQRT($B$94*(1-$B$94)/H1570)),"")</f>
        <v/>
      </c>
      <c r="L1570" s="11">
        <f>IF(AND(ISNUMBER(H1570),ISNUMBER(I1570),H1570&gt;0,ISNUMBER($B$94)),$B$94+3*SQRT($B$94*(1-$B$94)/H1570),"")</f>
        <v/>
      </c>
      <c r="M1570" s="13">
        <f>IF(AND(ISNUMBER(J1570),ISNUMBER(K1570),ISNUMBER(L1570)),IF(J1570&gt;L1570,"boven UCL",IF(J1570&lt;K1570,"onder LCL","")),"")</f>
        <v/>
      </c>
      <c r="O1570" t="n">
        <v>1464</v>
      </c>
      <c r="P1570" s="7" t="n"/>
      <c r="Q1570" s="7" t="n"/>
      <c r="R1570" s="11">
        <f>IF(AND(ISNUMBER(P1570),ISNUMBER(Q1570),P1570&gt;0,ISNUMBER($B$100)),Q1570/P1570,"")</f>
        <v/>
      </c>
      <c r="S1570" s="11">
        <f>IF(AND(ISNUMBER(P1570),ISNUMBER(Q1570),P1570&gt;0,ISNUMBER($B$100)),MAX(0,$B$100-3*SQRT($B$100/P1570)),"")</f>
        <v/>
      </c>
      <c r="T1570" s="11">
        <f>IF(AND(ISNUMBER(P1570),ISNUMBER(Q1570),P1570&gt;0,ISNUMBER($B$100)),$B$100+3*SQRT($B$100/P1570),"")</f>
        <v/>
      </c>
      <c r="U1570" s="13">
        <f>IF(AND(ISNUMBER(R1570),ISNUMBER(S1570),ISNUMBER(T1570)),IF(R1570&gt;T1570,"boven UCL",IF(R1570&lt;S1570,"onder LCL","")),"")</f>
        <v/>
      </c>
    </row>
    <row r="1571">
      <c r="A1571" t="n">
        <v>1465</v>
      </c>
      <c r="B1571" s="7" t="n"/>
      <c r="C1571" s="11">
        <f>IF(AND(ISNUMBER(B1571),ISNUMBER(B1570)),ABS(B1571-B1570),"")</f>
        <v/>
      </c>
      <c r="D1571" s="13">
        <f>IF(AND(ISNUMBER(B1571),ISNUMBER($B$88),ISNUMBER($D$88)),IF(B1571&gt;$D$88,"boven UCL",IF(B1571&lt;$B$88,"onder LCL","")),"")</f>
        <v/>
      </c>
      <c r="E1571" s="13">
        <f>IF(AND(ISNUMBER(C1571),ISNUMBER($B$89),ISNUMBER($D$89)),IF(C1571&gt;$D$89,"boven UCL",IF(C1571&lt;$B$89,"onder LCL","")),"")</f>
        <v/>
      </c>
      <c r="G1571" t="n">
        <v>1465</v>
      </c>
      <c r="H1571" s="7" t="n"/>
      <c r="I1571" s="7" t="n"/>
      <c r="J1571" s="11">
        <f>IF(AND(ISNUMBER(H1571),ISNUMBER(I1571),H1571&gt;0,ISNUMBER($B$94)),I1571/H1571,"")</f>
        <v/>
      </c>
      <c r="K1571" s="11">
        <f>IF(AND(ISNUMBER(H1571),ISNUMBER(I1571),H1571&gt;0,ISNUMBER($B$94)),MAX(0,$B$94-3*SQRT($B$94*(1-$B$94)/H1571)),"")</f>
        <v/>
      </c>
      <c r="L1571" s="11">
        <f>IF(AND(ISNUMBER(H1571),ISNUMBER(I1571),H1571&gt;0,ISNUMBER($B$94)),$B$94+3*SQRT($B$94*(1-$B$94)/H1571),"")</f>
        <v/>
      </c>
      <c r="M1571" s="13">
        <f>IF(AND(ISNUMBER(J1571),ISNUMBER(K1571),ISNUMBER(L1571)),IF(J1571&gt;L1571,"boven UCL",IF(J1571&lt;K1571,"onder LCL","")),"")</f>
        <v/>
      </c>
      <c r="O1571" t="n">
        <v>1465</v>
      </c>
      <c r="P1571" s="7" t="n"/>
      <c r="Q1571" s="7" t="n"/>
      <c r="R1571" s="11">
        <f>IF(AND(ISNUMBER(P1571),ISNUMBER(Q1571),P1571&gt;0,ISNUMBER($B$100)),Q1571/P1571,"")</f>
        <v/>
      </c>
      <c r="S1571" s="11">
        <f>IF(AND(ISNUMBER(P1571),ISNUMBER(Q1571),P1571&gt;0,ISNUMBER($B$100)),MAX(0,$B$100-3*SQRT($B$100/P1571)),"")</f>
        <v/>
      </c>
      <c r="T1571" s="11">
        <f>IF(AND(ISNUMBER(P1571),ISNUMBER(Q1571),P1571&gt;0,ISNUMBER($B$100)),$B$100+3*SQRT($B$100/P1571),"")</f>
        <v/>
      </c>
      <c r="U1571" s="13">
        <f>IF(AND(ISNUMBER(R1571),ISNUMBER(S1571),ISNUMBER(T1571)),IF(R1571&gt;T1571,"boven UCL",IF(R1571&lt;S1571,"onder LCL","")),"")</f>
        <v/>
      </c>
    </row>
    <row r="1572">
      <c r="A1572" t="n">
        <v>1466</v>
      </c>
      <c r="B1572" s="7" t="n"/>
      <c r="C1572" s="11">
        <f>IF(AND(ISNUMBER(B1572),ISNUMBER(B1571)),ABS(B1572-B1571),"")</f>
        <v/>
      </c>
      <c r="D1572" s="13">
        <f>IF(AND(ISNUMBER(B1572),ISNUMBER($B$88),ISNUMBER($D$88)),IF(B1572&gt;$D$88,"boven UCL",IF(B1572&lt;$B$88,"onder LCL","")),"")</f>
        <v/>
      </c>
      <c r="E1572" s="13">
        <f>IF(AND(ISNUMBER(C1572),ISNUMBER($B$89),ISNUMBER($D$89)),IF(C1572&gt;$D$89,"boven UCL",IF(C1572&lt;$B$89,"onder LCL","")),"")</f>
        <v/>
      </c>
      <c r="G1572" t="n">
        <v>1466</v>
      </c>
      <c r="H1572" s="7" t="n"/>
      <c r="I1572" s="7" t="n"/>
      <c r="J1572" s="11">
        <f>IF(AND(ISNUMBER(H1572),ISNUMBER(I1572),H1572&gt;0,ISNUMBER($B$94)),I1572/H1572,"")</f>
        <v/>
      </c>
      <c r="K1572" s="11">
        <f>IF(AND(ISNUMBER(H1572),ISNUMBER(I1572),H1572&gt;0,ISNUMBER($B$94)),MAX(0,$B$94-3*SQRT($B$94*(1-$B$94)/H1572)),"")</f>
        <v/>
      </c>
      <c r="L1572" s="11">
        <f>IF(AND(ISNUMBER(H1572),ISNUMBER(I1572),H1572&gt;0,ISNUMBER($B$94)),$B$94+3*SQRT($B$94*(1-$B$94)/H1572),"")</f>
        <v/>
      </c>
      <c r="M1572" s="13">
        <f>IF(AND(ISNUMBER(J1572),ISNUMBER(K1572),ISNUMBER(L1572)),IF(J1572&gt;L1572,"boven UCL",IF(J1572&lt;K1572,"onder LCL","")),"")</f>
        <v/>
      </c>
      <c r="O1572" t="n">
        <v>1466</v>
      </c>
      <c r="P1572" s="7" t="n"/>
      <c r="Q1572" s="7" t="n"/>
      <c r="R1572" s="11">
        <f>IF(AND(ISNUMBER(P1572),ISNUMBER(Q1572),P1572&gt;0,ISNUMBER($B$100)),Q1572/P1572,"")</f>
        <v/>
      </c>
      <c r="S1572" s="11">
        <f>IF(AND(ISNUMBER(P1572),ISNUMBER(Q1572),P1572&gt;0,ISNUMBER($B$100)),MAX(0,$B$100-3*SQRT($B$100/P1572)),"")</f>
        <v/>
      </c>
      <c r="T1572" s="11">
        <f>IF(AND(ISNUMBER(P1572),ISNUMBER(Q1572),P1572&gt;0,ISNUMBER($B$100)),$B$100+3*SQRT($B$100/P1572),"")</f>
        <v/>
      </c>
      <c r="U1572" s="13">
        <f>IF(AND(ISNUMBER(R1572),ISNUMBER(S1572),ISNUMBER(T1572)),IF(R1572&gt;T1572,"boven UCL",IF(R1572&lt;S1572,"onder LCL","")),"")</f>
        <v/>
      </c>
    </row>
    <row r="1573">
      <c r="A1573" t="n">
        <v>1467</v>
      </c>
      <c r="B1573" s="7" t="n"/>
      <c r="C1573" s="11">
        <f>IF(AND(ISNUMBER(B1573),ISNUMBER(B1572)),ABS(B1573-B1572),"")</f>
        <v/>
      </c>
      <c r="D1573" s="13">
        <f>IF(AND(ISNUMBER(B1573),ISNUMBER($B$88),ISNUMBER($D$88)),IF(B1573&gt;$D$88,"boven UCL",IF(B1573&lt;$B$88,"onder LCL","")),"")</f>
        <v/>
      </c>
      <c r="E1573" s="13">
        <f>IF(AND(ISNUMBER(C1573),ISNUMBER($B$89),ISNUMBER($D$89)),IF(C1573&gt;$D$89,"boven UCL",IF(C1573&lt;$B$89,"onder LCL","")),"")</f>
        <v/>
      </c>
      <c r="G1573" t="n">
        <v>1467</v>
      </c>
      <c r="H1573" s="7" t="n"/>
      <c r="I1573" s="7" t="n"/>
      <c r="J1573" s="11">
        <f>IF(AND(ISNUMBER(H1573),ISNUMBER(I1573),H1573&gt;0,ISNUMBER($B$94)),I1573/H1573,"")</f>
        <v/>
      </c>
      <c r="K1573" s="11">
        <f>IF(AND(ISNUMBER(H1573),ISNUMBER(I1573),H1573&gt;0,ISNUMBER($B$94)),MAX(0,$B$94-3*SQRT($B$94*(1-$B$94)/H1573)),"")</f>
        <v/>
      </c>
      <c r="L1573" s="11">
        <f>IF(AND(ISNUMBER(H1573),ISNUMBER(I1573),H1573&gt;0,ISNUMBER($B$94)),$B$94+3*SQRT($B$94*(1-$B$94)/H1573),"")</f>
        <v/>
      </c>
      <c r="M1573" s="13">
        <f>IF(AND(ISNUMBER(J1573),ISNUMBER(K1573),ISNUMBER(L1573)),IF(J1573&gt;L1573,"boven UCL",IF(J1573&lt;K1573,"onder LCL","")),"")</f>
        <v/>
      </c>
      <c r="O1573" t="n">
        <v>1467</v>
      </c>
      <c r="P1573" s="7" t="n"/>
      <c r="Q1573" s="7" t="n"/>
      <c r="R1573" s="11">
        <f>IF(AND(ISNUMBER(P1573),ISNUMBER(Q1573),P1573&gt;0,ISNUMBER($B$100)),Q1573/P1573,"")</f>
        <v/>
      </c>
      <c r="S1573" s="11">
        <f>IF(AND(ISNUMBER(P1573),ISNUMBER(Q1573),P1573&gt;0,ISNUMBER($B$100)),MAX(0,$B$100-3*SQRT($B$100/P1573)),"")</f>
        <v/>
      </c>
      <c r="T1573" s="11">
        <f>IF(AND(ISNUMBER(P1573),ISNUMBER(Q1573),P1573&gt;0,ISNUMBER($B$100)),$B$100+3*SQRT($B$100/P1573),"")</f>
        <v/>
      </c>
      <c r="U1573" s="13">
        <f>IF(AND(ISNUMBER(R1573),ISNUMBER(S1573),ISNUMBER(T1573)),IF(R1573&gt;T1573,"boven UCL",IF(R1573&lt;S1573,"onder LCL","")),"")</f>
        <v/>
      </c>
    </row>
    <row r="1574">
      <c r="A1574" t="n">
        <v>1468</v>
      </c>
      <c r="B1574" s="7" t="n"/>
      <c r="C1574" s="11">
        <f>IF(AND(ISNUMBER(B1574),ISNUMBER(B1573)),ABS(B1574-B1573),"")</f>
        <v/>
      </c>
      <c r="D1574" s="13">
        <f>IF(AND(ISNUMBER(B1574),ISNUMBER($B$88),ISNUMBER($D$88)),IF(B1574&gt;$D$88,"boven UCL",IF(B1574&lt;$B$88,"onder LCL","")),"")</f>
        <v/>
      </c>
      <c r="E1574" s="13">
        <f>IF(AND(ISNUMBER(C1574),ISNUMBER($B$89),ISNUMBER($D$89)),IF(C1574&gt;$D$89,"boven UCL",IF(C1574&lt;$B$89,"onder LCL","")),"")</f>
        <v/>
      </c>
      <c r="G1574" t="n">
        <v>1468</v>
      </c>
      <c r="H1574" s="7" t="n"/>
      <c r="I1574" s="7" t="n"/>
      <c r="J1574" s="11">
        <f>IF(AND(ISNUMBER(H1574),ISNUMBER(I1574),H1574&gt;0,ISNUMBER($B$94)),I1574/H1574,"")</f>
        <v/>
      </c>
      <c r="K1574" s="11">
        <f>IF(AND(ISNUMBER(H1574),ISNUMBER(I1574),H1574&gt;0,ISNUMBER($B$94)),MAX(0,$B$94-3*SQRT($B$94*(1-$B$94)/H1574)),"")</f>
        <v/>
      </c>
      <c r="L1574" s="11">
        <f>IF(AND(ISNUMBER(H1574),ISNUMBER(I1574),H1574&gt;0,ISNUMBER($B$94)),$B$94+3*SQRT($B$94*(1-$B$94)/H1574),"")</f>
        <v/>
      </c>
      <c r="M1574" s="13">
        <f>IF(AND(ISNUMBER(J1574),ISNUMBER(K1574),ISNUMBER(L1574)),IF(J1574&gt;L1574,"boven UCL",IF(J1574&lt;K1574,"onder LCL","")),"")</f>
        <v/>
      </c>
      <c r="O1574" t="n">
        <v>1468</v>
      </c>
      <c r="P1574" s="7" t="n"/>
      <c r="Q1574" s="7" t="n"/>
      <c r="R1574" s="11">
        <f>IF(AND(ISNUMBER(P1574),ISNUMBER(Q1574),P1574&gt;0,ISNUMBER($B$100)),Q1574/P1574,"")</f>
        <v/>
      </c>
      <c r="S1574" s="11">
        <f>IF(AND(ISNUMBER(P1574),ISNUMBER(Q1574),P1574&gt;0,ISNUMBER($B$100)),MAX(0,$B$100-3*SQRT($B$100/P1574)),"")</f>
        <v/>
      </c>
      <c r="T1574" s="11">
        <f>IF(AND(ISNUMBER(P1574),ISNUMBER(Q1574),P1574&gt;0,ISNUMBER($B$100)),$B$100+3*SQRT($B$100/P1574),"")</f>
        <v/>
      </c>
      <c r="U1574" s="13">
        <f>IF(AND(ISNUMBER(R1574),ISNUMBER(S1574),ISNUMBER(T1574)),IF(R1574&gt;T1574,"boven UCL",IF(R1574&lt;S1574,"onder LCL","")),"")</f>
        <v/>
      </c>
    </row>
    <row r="1575">
      <c r="A1575" t="n">
        <v>1469</v>
      </c>
      <c r="B1575" s="7" t="n"/>
      <c r="C1575" s="11">
        <f>IF(AND(ISNUMBER(B1575),ISNUMBER(B1574)),ABS(B1575-B1574),"")</f>
        <v/>
      </c>
      <c r="D1575" s="13">
        <f>IF(AND(ISNUMBER(B1575),ISNUMBER($B$88),ISNUMBER($D$88)),IF(B1575&gt;$D$88,"boven UCL",IF(B1575&lt;$B$88,"onder LCL","")),"")</f>
        <v/>
      </c>
      <c r="E1575" s="13">
        <f>IF(AND(ISNUMBER(C1575),ISNUMBER($B$89),ISNUMBER($D$89)),IF(C1575&gt;$D$89,"boven UCL",IF(C1575&lt;$B$89,"onder LCL","")),"")</f>
        <v/>
      </c>
      <c r="G1575" t="n">
        <v>1469</v>
      </c>
      <c r="H1575" s="7" t="n"/>
      <c r="I1575" s="7" t="n"/>
      <c r="J1575" s="11">
        <f>IF(AND(ISNUMBER(H1575),ISNUMBER(I1575),H1575&gt;0,ISNUMBER($B$94)),I1575/H1575,"")</f>
        <v/>
      </c>
      <c r="K1575" s="11">
        <f>IF(AND(ISNUMBER(H1575),ISNUMBER(I1575),H1575&gt;0,ISNUMBER($B$94)),MAX(0,$B$94-3*SQRT($B$94*(1-$B$94)/H1575)),"")</f>
        <v/>
      </c>
      <c r="L1575" s="11">
        <f>IF(AND(ISNUMBER(H1575),ISNUMBER(I1575),H1575&gt;0,ISNUMBER($B$94)),$B$94+3*SQRT($B$94*(1-$B$94)/H1575),"")</f>
        <v/>
      </c>
      <c r="M1575" s="13">
        <f>IF(AND(ISNUMBER(J1575),ISNUMBER(K1575),ISNUMBER(L1575)),IF(J1575&gt;L1575,"boven UCL",IF(J1575&lt;K1575,"onder LCL","")),"")</f>
        <v/>
      </c>
      <c r="O1575" t="n">
        <v>1469</v>
      </c>
      <c r="P1575" s="7" t="n"/>
      <c r="Q1575" s="7" t="n"/>
      <c r="R1575" s="11">
        <f>IF(AND(ISNUMBER(P1575),ISNUMBER(Q1575),P1575&gt;0,ISNUMBER($B$100)),Q1575/P1575,"")</f>
        <v/>
      </c>
      <c r="S1575" s="11">
        <f>IF(AND(ISNUMBER(P1575),ISNUMBER(Q1575),P1575&gt;0,ISNUMBER($B$100)),MAX(0,$B$100-3*SQRT($B$100/P1575)),"")</f>
        <v/>
      </c>
      <c r="T1575" s="11">
        <f>IF(AND(ISNUMBER(P1575),ISNUMBER(Q1575),P1575&gt;0,ISNUMBER($B$100)),$B$100+3*SQRT($B$100/P1575),"")</f>
        <v/>
      </c>
      <c r="U1575" s="13">
        <f>IF(AND(ISNUMBER(R1575),ISNUMBER(S1575),ISNUMBER(T1575)),IF(R1575&gt;T1575,"boven UCL",IF(R1575&lt;S1575,"onder LCL","")),"")</f>
        <v/>
      </c>
    </row>
    <row r="1576">
      <c r="A1576" t="n">
        <v>1470</v>
      </c>
      <c r="B1576" s="7" t="n"/>
      <c r="C1576" s="11">
        <f>IF(AND(ISNUMBER(B1576),ISNUMBER(B1575)),ABS(B1576-B1575),"")</f>
        <v/>
      </c>
      <c r="D1576" s="13">
        <f>IF(AND(ISNUMBER(B1576),ISNUMBER($B$88),ISNUMBER($D$88)),IF(B1576&gt;$D$88,"boven UCL",IF(B1576&lt;$B$88,"onder LCL","")),"")</f>
        <v/>
      </c>
      <c r="E1576" s="13">
        <f>IF(AND(ISNUMBER(C1576),ISNUMBER($B$89),ISNUMBER($D$89)),IF(C1576&gt;$D$89,"boven UCL",IF(C1576&lt;$B$89,"onder LCL","")),"")</f>
        <v/>
      </c>
      <c r="G1576" t="n">
        <v>1470</v>
      </c>
      <c r="H1576" s="7" t="n"/>
      <c r="I1576" s="7" t="n"/>
      <c r="J1576" s="11">
        <f>IF(AND(ISNUMBER(H1576),ISNUMBER(I1576),H1576&gt;0,ISNUMBER($B$94)),I1576/H1576,"")</f>
        <v/>
      </c>
      <c r="K1576" s="11">
        <f>IF(AND(ISNUMBER(H1576),ISNUMBER(I1576),H1576&gt;0,ISNUMBER($B$94)),MAX(0,$B$94-3*SQRT($B$94*(1-$B$94)/H1576)),"")</f>
        <v/>
      </c>
      <c r="L1576" s="11">
        <f>IF(AND(ISNUMBER(H1576),ISNUMBER(I1576),H1576&gt;0,ISNUMBER($B$94)),$B$94+3*SQRT($B$94*(1-$B$94)/H1576),"")</f>
        <v/>
      </c>
      <c r="M1576" s="13">
        <f>IF(AND(ISNUMBER(J1576),ISNUMBER(K1576),ISNUMBER(L1576)),IF(J1576&gt;L1576,"boven UCL",IF(J1576&lt;K1576,"onder LCL","")),"")</f>
        <v/>
      </c>
      <c r="O1576" t="n">
        <v>1470</v>
      </c>
      <c r="P1576" s="7" t="n"/>
      <c r="Q1576" s="7" t="n"/>
      <c r="R1576" s="11">
        <f>IF(AND(ISNUMBER(P1576),ISNUMBER(Q1576),P1576&gt;0,ISNUMBER($B$100)),Q1576/P1576,"")</f>
        <v/>
      </c>
      <c r="S1576" s="11">
        <f>IF(AND(ISNUMBER(P1576),ISNUMBER(Q1576),P1576&gt;0,ISNUMBER($B$100)),MAX(0,$B$100-3*SQRT($B$100/P1576)),"")</f>
        <v/>
      </c>
      <c r="T1576" s="11">
        <f>IF(AND(ISNUMBER(P1576),ISNUMBER(Q1576),P1576&gt;0,ISNUMBER($B$100)),$B$100+3*SQRT($B$100/P1576),"")</f>
        <v/>
      </c>
      <c r="U1576" s="13">
        <f>IF(AND(ISNUMBER(R1576),ISNUMBER(S1576),ISNUMBER(T1576)),IF(R1576&gt;T1576,"boven UCL",IF(R1576&lt;S1576,"onder LCL","")),"")</f>
        <v/>
      </c>
    </row>
    <row r="1577">
      <c r="A1577" t="n">
        <v>1471</v>
      </c>
      <c r="B1577" s="7" t="n"/>
      <c r="C1577" s="11">
        <f>IF(AND(ISNUMBER(B1577),ISNUMBER(B1576)),ABS(B1577-B1576),"")</f>
        <v/>
      </c>
      <c r="D1577" s="13">
        <f>IF(AND(ISNUMBER(B1577),ISNUMBER($B$88),ISNUMBER($D$88)),IF(B1577&gt;$D$88,"boven UCL",IF(B1577&lt;$B$88,"onder LCL","")),"")</f>
        <v/>
      </c>
      <c r="E1577" s="13">
        <f>IF(AND(ISNUMBER(C1577),ISNUMBER($B$89),ISNUMBER($D$89)),IF(C1577&gt;$D$89,"boven UCL",IF(C1577&lt;$B$89,"onder LCL","")),"")</f>
        <v/>
      </c>
      <c r="G1577" t="n">
        <v>1471</v>
      </c>
      <c r="H1577" s="7" t="n"/>
      <c r="I1577" s="7" t="n"/>
      <c r="J1577" s="11">
        <f>IF(AND(ISNUMBER(H1577),ISNUMBER(I1577),H1577&gt;0,ISNUMBER($B$94)),I1577/H1577,"")</f>
        <v/>
      </c>
      <c r="K1577" s="11">
        <f>IF(AND(ISNUMBER(H1577),ISNUMBER(I1577),H1577&gt;0,ISNUMBER($B$94)),MAX(0,$B$94-3*SQRT($B$94*(1-$B$94)/H1577)),"")</f>
        <v/>
      </c>
      <c r="L1577" s="11">
        <f>IF(AND(ISNUMBER(H1577),ISNUMBER(I1577),H1577&gt;0,ISNUMBER($B$94)),$B$94+3*SQRT($B$94*(1-$B$94)/H1577),"")</f>
        <v/>
      </c>
      <c r="M1577" s="13">
        <f>IF(AND(ISNUMBER(J1577),ISNUMBER(K1577),ISNUMBER(L1577)),IF(J1577&gt;L1577,"boven UCL",IF(J1577&lt;K1577,"onder LCL","")),"")</f>
        <v/>
      </c>
      <c r="O1577" t="n">
        <v>1471</v>
      </c>
      <c r="P1577" s="7" t="n"/>
      <c r="Q1577" s="7" t="n"/>
      <c r="R1577" s="11">
        <f>IF(AND(ISNUMBER(P1577),ISNUMBER(Q1577),P1577&gt;0,ISNUMBER($B$100)),Q1577/P1577,"")</f>
        <v/>
      </c>
      <c r="S1577" s="11">
        <f>IF(AND(ISNUMBER(P1577),ISNUMBER(Q1577),P1577&gt;0,ISNUMBER($B$100)),MAX(0,$B$100-3*SQRT($B$100/P1577)),"")</f>
        <v/>
      </c>
      <c r="T1577" s="11">
        <f>IF(AND(ISNUMBER(P1577),ISNUMBER(Q1577),P1577&gt;0,ISNUMBER($B$100)),$B$100+3*SQRT($B$100/P1577),"")</f>
        <v/>
      </c>
      <c r="U1577" s="13">
        <f>IF(AND(ISNUMBER(R1577),ISNUMBER(S1577),ISNUMBER(T1577)),IF(R1577&gt;T1577,"boven UCL",IF(R1577&lt;S1577,"onder LCL","")),"")</f>
        <v/>
      </c>
    </row>
    <row r="1578">
      <c r="A1578" t="n">
        <v>1472</v>
      </c>
      <c r="B1578" s="7" t="n"/>
      <c r="C1578" s="11">
        <f>IF(AND(ISNUMBER(B1578),ISNUMBER(B1577)),ABS(B1578-B1577),"")</f>
        <v/>
      </c>
      <c r="D1578" s="13">
        <f>IF(AND(ISNUMBER(B1578),ISNUMBER($B$88),ISNUMBER($D$88)),IF(B1578&gt;$D$88,"boven UCL",IF(B1578&lt;$B$88,"onder LCL","")),"")</f>
        <v/>
      </c>
      <c r="E1578" s="13">
        <f>IF(AND(ISNUMBER(C1578),ISNUMBER($B$89),ISNUMBER($D$89)),IF(C1578&gt;$D$89,"boven UCL",IF(C1578&lt;$B$89,"onder LCL","")),"")</f>
        <v/>
      </c>
      <c r="G1578" t="n">
        <v>1472</v>
      </c>
      <c r="H1578" s="7" t="n"/>
      <c r="I1578" s="7" t="n"/>
      <c r="J1578" s="11">
        <f>IF(AND(ISNUMBER(H1578),ISNUMBER(I1578),H1578&gt;0,ISNUMBER($B$94)),I1578/H1578,"")</f>
        <v/>
      </c>
      <c r="K1578" s="11">
        <f>IF(AND(ISNUMBER(H1578),ISNUMBER(I1578),H1578&gt;0,ISNUMBER($B$94)),MAX(0,$B$94-3*SQRT($B$94*(1-$B$94)/H1578)),"")</f>
        <v/>
      </c>
      <c r="L1578" s="11">
        <f>IF(AND(ISNUMBER(H1578),ISNUMBER(I1578),H1578&gt;0,ISNUMBER($B$94)),$B$94+3*SQRT($B$94*(1-$B$94)/H1578),"")</f>
        <v/>
      </c>
      <c r="M1578" s="13">
        <f>IF(AND(ISNUMBER(J1578),ISNUMBER(K1578),ISNUMBER(L1578)),IF(J1578&gt;L1578,"boven UCL",IF(J1578&lt;K1578,"onder LCL","")),"")</f>
        <v/>
      </c>
      <c r="O1578" t="n">
        <v>1472</v>
      </c>
      <c r="P1578" s="7" t="n"/>
      <c r="Q1578" s="7" t="n"/>
      <c r="R1578" s="11">
        <f>IF(AND(ISNUMBER(P1578),ISNUMBER(Q1578),P1578&gt;0,ISNUMBER($B$100)),Q1578/P1578,"")</f>
        <v/>
      </c>
      <c r="S1578" s="11">
        <f>IF(AND(ISNUMBER(P1578),ISNUMBER(Q1578),P1578&gt;0,ISNUMBER($B$100)),MAX(0,$B$100-3*SQRT($B$100/P1578)),"")</f>
        <v/>
      </c>
      <c r="T1578" s="11">
        <f>IF(AND(ISNUMBER(P1578),ISNUMBER(Q1578),P1578&gt;0,ISNUMBER($B$100)),$B$100+3*SQRT($B$100/P1578),"")</f>
        <v/>
      </c>
      <c r="U1578" s="13">
        <f>IF(AND(ISNUMBER(R1578),ISNUMBER(S1578),ISNUMBER(T1578)),IF(R1578&gt;T1578,"boven UCL",IF(R1578&lt;S1578,"onder LCL","")),"")</f>
        <v/>
      </c>
    </row>
    <row r="1579">
      <c r="A1579" t="n">
        <v>1473</v>
      </c>
      <c r="B1579" s="7" t="n"/>
      <c r="C1579" s="11">
        <f>IF(AND(ISNUMBER(B1579),ISNUMBER(B1578)),ABS(B1579-B1578),"")</f>
        <v/>
      </c>
      <c r="D1579" s="13">
        <f>IF(AND(ISNUMBER(B1579),ISNUMBER($B$88),ISNUMBER($D$88)),IF(B1579&gt;$D$88,"boven UCL",IF(B1579&lt;$B$88,"onder LCL","")),"")</f>
        <v/>
      </c>
      <c r="E1579" s="13">
        <f>IF(AND(ISNUMBER(C1579),ISNUMBER($B$89),ISNUMBER($D$89)),IF(C1579&gt;$D$89,"boven UCL",IF(C1579&lt;$B$89,"onder LCL","")),"")</f>
        <v/>
      </c>
      <c r="G1579" t="n">
        <v>1473</v>
      </c>
      <c r="H1579" s="7" t="n"/>
      <c r="I1579" s="7" t="n"/>
      <c r="J1579" s="11">
        <f>IF(AND(ISNUMBER(H1579),ISNUMBER(I1579),H1579&gt;0,ISNUMBER($B$94)),I1579/H1579,"")</f>
        <v/>
      </c>
      <c r="K1579" s="11">
        <f>IF(AND(ISNUMBER(H1579),ISNUMBER(I1579),H1579&gt;0,ISNUMBER($B$94)),MAX(0,$B$94-3*SQRT($B$94*(1-$B$94)/H1579)),"")</f>
        <v/>
      </c>
      <c r="L1579" s="11">
        <f>IF(AND(ISNUMBER(H1579),ISNUMBER(I1579),H1579&gt;0,ISNUMBER($B$94)),$B$94+3*SQRT($B$94*(1-$B$94)/H1579),"")</f>
        <v/>
      </c>
      <c r="M1579" s="13">
        <f>IF(AND(ISNUMBER(J1579),ISNUMBER(K1579),ISNUMBER(L1579)),IF(J1579&gt;L1579,"boven UCL",IF(J1579&lt;K1579,"onder LCL","")),"")</f>
        <v/>
      </c>
      <c r="O1579" t="n">
        <v>1473</v>
      </c>
      <c r="P1579" s="7" t="n"/>
      <c r="Q1579" s="7" t="n"/>
      <c r="R1579" s="11">
        <f>IF(AND(ISNUMBER(P1579),ISNUMBER(Q1579),P1579&gt;0,ISNUMBER($B$100)),Q1579/P1579,"")</f>
        <v/>
      </c>
      <c r="S1579" s="11">
        <f>IF(AND(ISNUMBER(P1579),ISNUMBER(Q1579),P1579&gt;0,ISNUMBER($B$100)),MAX(0,$B$100-3*SQRT($B$100/P1579)),"")</f>
        <v/>
      </c>
      <c r="T1579" s="11">
        <f>IF(AND(ISNUMBER(P1579),ISNUMBER(Q1579),P1579&gt;0,ISNUMBER($B$100)),$B$100+3*SQRT($B$100/P1579),"")</f>
        <v/>
      </c>
      <c r="U1579" s="13">
        <f>IF(AND(ISNUMBER(R1579),ISNUMBER(S1579),ISNUMBER(T1579)),IF(R1579&gt;T1579,"boven UCL",IF(R1579&lt;S1579,"onder LCL","")),"")</f>
        <v/>
      </c>
    </row>
    <row r="1580">
      <c r="A1580" t="n">
        <v>1474</v>
      </c>
      <c r="B1580" s="7" t="n"/>
      <c r="C1580" s="11">
        <f>IF(AND(ISNUMBER(B1580),ISNUMBER(B1579)),ABS(B1580-B1579),"")</f>
        <v/>
      </c>
      <c r="D1580" s="13">
        <f>IF(AND(ISNUMBER(B1580),ISNUMBER($B$88),ISNUMBER($D$88)),IF(B1580&gt;$D$88,"boven UCL",IF(B1580&lt;$B$88,"onder LCL","")),"")</f>
        <v/>
      </c>
      <c r="E1580" s="13">
        <f>IF(AND(ISNUMBER(C1580),ISNUMBER($B$89),ISNUMBER($D$89)),IF(C1580&gt;$D$89,"boven UCL",IF(C1580&lt;$B$89,"onder LCL","")),"")</f>
        <v/>
      </c>
      <c r="G1580" t="n">
        <v>1474</v>
      </c>
      <c r="H1580" s="7" t="n"/>
      <c r="I1580" s="7" t="n"/>
      <c r="J1580" s="11">
        <f>IF(AND(ISNUMBER(H1580),ISNUMBER(I1580),H1580&gt;0,ISNUMBER($B$94)),I1580/H1580,"")</f>
        <v/>
      </c>
      <c r="K1580" s="11">
        <f>IF(AND(ISNUMBER(H1580),ISNUMBER(I1580),H1580&gt;0,ISNUMBER($B$94)),MAX(0,$B$94-3*SQRT($B$94*(1-$B$94)/H1580)),"")</f>
        <v/>
      </c>
      <c r="L1580" s="11">
        <f>IF(AND(ISNUMBER(H1580),ISNUMBER(I1580),H1580&gt;0,ISNUMBER($B$94)),$B$94+3*SQRT($B$94*(1-$B$94)/H1580),"")</f>
        <v/>
      </c>
      <c r="M1580" s="13">
        <f>IF(AND(ISNUMBER(J1580),ISNUMBER(K1580),ISNUMBER(L1580)),IF(J1580&gt;L1580,"boven UCL",IF(J1580&lt;K1580,"onder LCL","")),"")</f>
        <v/>
      </c>
      <c r="O1580" t="n">
        <v>1474</v>
      </c>
      <c r="P1580" s="7" t="n"/>
      <c r="Q1580" s="7" t="n"/>
      <c r="R1580" s="11">
        <f>IF(AND(ISNUMBER(P1580),ISNUMBER(Q1580),P1580&gt;0,ISNUMBER($B$100)),Q1580/P1580,"")</f>
        <v/>
      </c>
      <c r="S1580" s="11">
        <f>IF(AND(ISNUMBER(P1580),ISNUMBER(Q1580),P1580&gt;0,ISNUMBER($B$100)),MAX(0,$B$100-3*SQRT($B$100/P1580)),"")</f>
        <v/>
      </c>
      <c r="T1580" s="11">
        <f>IF(AND(ISNUMBER(P1580),ISNUMBER(Q1580),P1580&gt;0,ISNUMBER($B$100)),$B$100+3*SQRT($B$100/P1580),"")</f>
        <v/>
      </c>
      <c r="U1580" s="13">
        <f>IF(AND(ISNUMBER(R1580),ISNUMBER(S1580),ISNUMBER(T1580)),IF(R1580&gt;T1580,"boven UCL",IF(R1580&lt;S1580,"onder LCL","")),"")</f>
        <v/>
      </c>
    </row>
    <row r="1581">
      <c r="A1581" t="n">
        <v>1475</v>
      </c>
      <c r="B1581" s="7" t="n"/>
      <c r="C1581" s="11">
        <f>IF(AND(ISNUMBER(B1581),ISNUMBER(B1580)),ABS(B1581-B1580),"")</f>
        <v/>
      </c>
      <c r="D1581" s="13">
        <f>IF(AND(ISNUMBER(B1581),ISNUMBER($B$88),ISNUMBER($D$88)),IF(B1581&gt;$D$88,"boven UCL",IF(B1581&lt;$B$88,"onder LCL","")),"")</f>
        <v/>
      </c>
      <c r="E1581" s="13">
        <f>IF(AND(ISNUMBER(C1581),ISNUMBER($B$89),ISNUMBER($D$89)),IF(C1581&gt;$D$89,"boven UCL",IF(C1581&lt;$B$89,"onder LCL","")),"")</f>
        <v/>
      </c>
      <c r="G1581" t="n">
        <v>1475</v>
      </c>
      <c r="H1581" s="7" t="n"/>
      <c r="I1581" s="7" t="n"/>
      <c r="J1581" s="11">
        <f>IF(AND(ISNUMBER(H1581),ISNUMBER(I1581),H1581&gt;0,ISNUMBER($B$94)),I1581/H1581,"")</f>
        <v/>
      </c>
      <c r="K1581" s="11">
        <f>IF(AND(ISNUMBER(H1581),ISNUMBER(I1581),H1581&gt;0,ISNUMBER($B$94)),MAX(0,$B$94-3*SQRT($B$94*(1-$B$94)/H1581)),"")</f>
        <v/>
      </c>
      <c r="L1581" s="11">
        <f>IF(AND(ISNUMBER(H1581),ISNUMBER(I1581),H1581&gt;0,ISNUMBER($B$94)),$B$94+3*SQRT($B$94*(1-$B$94)/H1581),"")</f>
        <v/>
      </c>
      <c r="M1581" s="13">
        <f>IF(AND(ISNUMBER(J1581),ISNUMBER(K1581),ISNUMBER(L1581)),IF(J1581&gt;L1581,"boven UCL",IF(J1581&lt;K1581,"onder LCL","")),"")</f>
        <v/>
      </c>
      <c r="O1581" t="n">
        <v>1475</v>
      </c>
      <c r="P1581" s="7" t="n"/>
      <c r="Q1581" s="7" t="n"/>
      <c r="R1581" s="11">
        <f>IF(AND(ISNUMBER(P1581),ISNUMBER(Q1581),P1581&gt;0,ISNUMBER($B$100)),Q1581/P1581,"")</f>
        <v/>
      </c>
      <c r="S1581" s="11">
        <f>IF(AND(ISNUMBER(P1581),ISNUMBER(Q1581),P1581&gt;0,ISNUMBER($B$100)),MAX(0,$B$100-3*SQRT($B$100/P1581)),"")</f>
        <v/>
      </c>
      <c r="T1581" s="11">
        <f>IF(AND(ISNUMBER(P1581),ISNUMBER(Q1581),P1581&gt;0,ISNUMBER($B$100)),$B$100+3*SQRT($B$100/P1581),"")</f>
        <v/>
      </c>
      <c r="U1581" s="13">
        <f>IF(AND(ISNUMBER(R1581),ISNUMBER(S1581),ISNUMBER(T1581)),IF(R1581&gt;T1581,"boven UCL",IF(R1581&lt;S1581,"onder LCL","")),"")</f>
        <v/>
      </c>
    </row>
    <row r="1582">
      <c r="A1582" t="n">
        <v>1476</v>
      </c>
      <c r="B1582" s="7" t="n"/>
      <c r="C1582" s="11">
        <f>IF(AND(ISNUMBER(B1582),ISNUMBER(B1581)),ABS(B1582-B1581),"")</f>
        <v/>
      </c>
      <c r="D1582" s="13">
        <f>IF(AND(ISNUMBER(B1582),ISNUMBER($B$88),ISNUMBER($D$88)),IF(B1582&gt;$D$88,"boven UCL",IF(B1582&lt;$B$88,"onder LCL","")),"")</f>
        <v/>
      </c>
      <c r="E1582" s="13">
        <f>IF(AND(ISNUMBER(C1582),ISNUMBER($B$89),ISNUMBER($D$89)),IF(C1582&gt;$D$89,"boven UCL",IF(C1582&lt;$B$89,"onder LCL","")),"")</f>
        <v/>
      </c>
      <c r="G1582" t="n">
        <v>1476</v>
      </c>
      <c r="H1582" s="7" t="n"/>
      <c r="I1582" s="7" t="n"/>
      <c r="J1582" s="11">
        <f>IF(AND(ISNUMBER(H1582),ISNUMBER(I1582),H1582&gt;0,ISNUMBER($B$94)),I1582/H1582,"")</f>
        <v/>
      </c>
      <c r="K1582" s="11">
        <f>IF(AND(ISNUMBER(H1582),ISNUMBER(I1582),H1582&gt;0,ISNUMBER($B$94)),MAX(0,$B$94-3*SQRT($B$94*(1-$B$94)/H1582)),"")</f>
        <v/>
      </c>
      <c r="L1582" s="11">
        <f>IF(AND(ISNUMBER(H1582),ISNUMBER(I1582),H1582&gt;0,ISNUMBER($B$94)),$B$94+3*SQRT($B$94*(1-$B$94)/H1582),"")</f>
        <v/>
      </c>
      <c r="M1582" s="13">
        <f>IF(AND(ISNUMBER(J1582),ISNUMBER(K1582),ISNUMBER(L1582)),IF(J1582&gt;L1582,"boven UCL",IF(J1582&lt;K1582,"onder LCL","")),"")</f>
        <v/>
      </c>
      <c r="O1582" t="n">
        <v>1476</v>
      </c>
      <c r="P1582" s="7" t="n"/>
      <c r="Q1582" s="7" t="n"/>
      <c r="R1582" s="11">
        <f>IF(AND(ISNUMBER(P1582),ISNUMBER(Q1582),P1582&gt;0,ISNUMBER($B$100)),Q1582/P1582,"")</f>
        <v/>
      </c>
      <c r="S1582" s="11">
        <f>IF(AND(ISNUMBER(P1582),ISNUMBER(Q1582),P1582&gt;0,ISNUMBER($B$100)),MAX(0,$B$100-3*SQRT($B$100/P1582)),"")</f>
        <v/>
      </c>
      <c r="T1582" s="11">
        <f>IF(AND(ISNUMBER(P1582),ISNUMBER(Q1582),P1582&gt;0,ISNUMBER($B$100)),$B$100+3*SQRT($B$100/P1582),"")</f>
        <v/>
      </c>
      <c r="U1582" s="13">
        <f>IF(AND(ISNUMBER(R1582),ISNUMBER(S1582),ISNUMBER(T1582)),IF(R1582&gt;T1582,"boven UCL",IF(R1582&lt;S1582,"onder LCL","")),"")</f>
        <v/>
      </c>
    </row>
    <row r="1583">
      <c r="A1583" t="n">
        <v>1477</v>
      </c>
      <c r="B1583" s="7" t="n"/>
      <c r="C1583" s="11">
        <f>IF(AND(ISNUMBER(B1583),ISNUMBER(B1582)),ABS(B1583-B1582),"")</f>
        <v/>
      </c>
      <c r="D1583" s="13">
        <f>IF(AND(ISNUMBER(B1583),ISNUMBER($B$88),ISNUMBER($D$88)),IF(B1583&gt;$D$88,"boven UCL",IF(B1583&lt;$B$88,"onder LCL","")),"")</f>
        <v/>
      </c>
      <c r="E1583" s="13">
        <f>IF(AND(ISNUMBER(C1583),ISNUMBER($B$89),ISNUMBER($D$89)),IF(C1583&gt;$D$89,"boven UCL",IF(C1583&lt;$B$89,"onder LCL","")),"")</f>
        <v/>
      </c>
      <c r="G1583" t="n">
        <v>1477</v>
      </c>
      <c r="H1583" s="7" t="n"/>
      <c r="I1583" s="7" t="n"/>
      <c r="J1583" s="11">
        <f>IF(AND(ISNUMBER(H1583),ISNUMBER(I1583),H1583&gt;0,ISNUMBER($B$94)),I1583/H1583,"")</f>
        <v/>
      </c>
      <c r="K1583" s="11">
        <f>IF(AND(ISNUMBER(H1583),ISNUMBER(I1583),H1583&gt;0,ISNUMBER($B$94)),MAX(0,$B$94-3*SQRT($B$94*(1-$B$94)/H1583)),"")</f>
        <v/>
      </c>
      <c r="L1583" s="11">
        <f>IF(AND(ISNUMBER(H1583),ISNUMBER(I1583),H1583&gt;0,ISNUMBER($B$94)),$B$94+3*SQRT($B$94*(1-$B$94)/H1583),"")</f>
        <v/>
      </c>
      <c r="M1583" s="13">
        <f>IF(AND(ISNUMBER(J1583),ISNUMBER(K1583),ISNUMBER(L1583)),IF(J1583&gt;L1583,"boven UCL",IF(J1583&lt;K1583,"onder LCL","")),"")</f>
        <v/>
      </c>
      <c r="O1583" t="n">
        <v>1477</v>
      </c>
      <c r="P1583" s="7" t="n"/>
      <c r="Q1583" s="7" t="n"/>
      <c r="R1583" s="11">
        <f>IF(AND(ISNUMBER(P1583),ISNUMBER(Q1583),P1583&gt;0,ISNUMBER($B$100)),Q1583/P1583,"")</f>
        <v/>
      </c>
      <c r="S1583" s="11">
        <f>IF(AND(ISNUMBER(P1583),ISNUMBER(Q1583),P1583&gt;0,ISNUMBER($B$100)),MAX(0,$B$100-3*SQRT($B$100/P1583)),"")</f>
        <v/>
      </c>
      <c r="T1583" s="11">
        <f>IF(AND(ISNUMBER(P1583),ISNUMBER(Q1583),P1583&gt;0,ISNUMBER($B$100)),$B$100+3*SQRT($B$100/P1583),"")</f>
        <v/>
      </c>
      <c r="U1583" s="13">
        <f>IF(AND(ISNUMBER(R1583),ISNUMBER(S1583),ISNUMBER(T1583)),IF(R1583&gt;T1583,"boven UCL",IF(R1583&lt;S1583,"onder LCL","")),"")</f>
        <v/>
      </c>
    </row>
    <row r="1584">
      <c r="A1584" t="n">
        <v>1478</v>
      </c>
      <c r="B1584" s="7" t="n"/>
      <c r="C1584" s="11">
        <f>IF(AND(ISNUMBER(B1584),ISNUMBER(B1583)),ABS(B1584-B1583),"")</f>
        <v/>
      </c>
      <c r="D1584" s="13">
        <f>IF(AND(ISNUMBER(B1584),ISNUMBER($B$88),ISNUMBER($D$88)),IF(B1584&gt;$D$88,"boven UCL",IF(B1584&lt;$B$88,"onder LCL","")),"")</f>
        <v/>
      </c>
      <c r="E1584" s="13">
        <f>IF(AND(ISNUMBER(C1584),ISNUMBER($B$89),ISNUMBER($D$89)),IF(C1584&gt;$D$89,"boven UCL",IF(C1584&lt;$B$89,"onder LCL","")),"")</f>
        <v/>
      </c>
      <c r="G1584" t="n">
        <v>1478</v>
      </c>
      <c r="H1584" s="7" t="n"/>
      <c r="I1584" s="7" t="n"/>
      <c r="J1584" s="11">
        <f>IF(AND(ISNUMBER(H1584),ISNUMBER(I1584),H1584&gt;0,ISNUMBER($B$94)),I1584/H1584,"")</f>
        <v/>
      </c>
      <c r="K1584" s="11">
        <f>IF(AND(ISNUMBER(H1584),ISNUMBER(I1584),H1584&gt;0,ISNUMBER($B$94)),MAX(0,$B$94-3*SQRT($B$94*(1-$B$94)/H1584)),"")</f>
        <v/>
      </c>
      <c r="L1584" s="11">
        <f>IF(AND(ISNUMBER(H1584),ISNUMBER(I1584),H1584&gt;0,ISNUMBER($B$94)),$B$94+3*SQRT($B$94*(1-$B$94)/H1584),"")</f>
        <v/>
      </c>
      <c r="M1584" s="13">
        <f>IF(AND(ISNUMBER(J1584),ISNUMBER(K1584),ISNUMBER(L1584)),IF(J1584&gt;L1584,"boven UCL",IF(J1584&lt;K1584,"onder LCL","")),"")</f>
        <v/>
      </c>
      <c r="O1584" t="n">
        <v>1478</v>
      </c>
      <c r="P1584" s="7" t="n"/>
      <c r="Q1584" s="7" t="n"/>
      <c r="R1584" s="11">
        <f>IF(AND(ISNUMBER(P1584),ISNUMBER(Q1584),P1584&gt;0,ISNUMBER($B$100)),Q1584/P1584,"")</f>
        <v/>
      </c>
      <c r="S1584" s="11">
        <f>IF(AND(ISNUMBER(P1584),ISNUMBER(Q1584),P1584&gt;0,ISNUMBER($B$100)),MAX(0,$B$100-3*SQRT($B$100/P1584)),"")</f>
        <v/>
      </c>
      <c r="T1584" s="11">
        <f>IF(AND(ISNUMBER(P1584),ISNUMBER(Q1584),P1584&gt;0,ISNUMBER($B$100)),$B$100+3*SQRT($B$100/P1584),"")</f>
        <v/>
      </c>
      <c r="U1584" s="13">
        <f>IF(AND(ISNUMBER(R1584),ISNUMBER(S1584),ISNUMBER(T1584)),IF(R1584&gt;T1584,"boven UCL",IF(R1584&lt;S1584,"onder LCL","")),"")</f>
        <v/>
      </c>
    </row>
    <row r="1585">
      <c r="A1585" t="n">
        <v>1479</v>
      </c>
      <c r="B1585" s="7" t="n"/>
      <c r="C1585" s="11">
        <f>IF(AND(ISNUMBER(B1585),ISNUMBER(B1584)),ABS(B1585-B1584),"")</f>
        <v/>
      </c>
      <c r="D1585" s="13">
        <f>IF(AND(ISNUMBER(B1585),ISNUMBER($B$88),ISNUMBER($D$88)),IF(B1585&gt;$D$88,"boven UCL",IF(B1585&lt;$B$88,"onder LCL","")),"")</f>
        <v/>
      </c>
      <c r="E1585" s="13">
        <f>IF(AND(ISNUMBER(C1585),ISNUMBER($B$89),ISNUMBER($D$89)),IF(C1585&gt;$D$89,"boven UCL",IF(C1585&lt;$B$89,"onder LCL","")),"")</f>
        <v/>
      </c>
      <c r="G1585" t="n">
        <v>1479</v>
      </c>
      <c r="H1585" s="7" t="n"/>
      <c r="I1585" s="7" t="n"/>
      <c r="J1585" s="11">
        <f>IF(AND(ISNUMBER(H1585),ISNUMBER(I1585),H1585&gt;0,ISNUMBER($B$94)),I1585/H1585,"")</f>
        <v/>
      </c>
      <c r="K1585" s="11">
        <f>IF(AND(ISNUMBER(H1585),ISNUMBER(I1585),H1585&gt;0,ISNUMBER($B$94)),MAX(0,$B$94-3*SQRT($B$94*(1-$B$94)/H1585)),"")</f>
        <v/>
      </c>
      <c r="L1585" s="11">
        <f>IF(AND(ISNUMBER(H1585),ISNUMBER(I1585),H1585&gt;0,ISNUMBER($B$94)),$B$94+3*SQRT($B$94*(1-$B$94)/H1585),"")</f>
        <v/>
      </c>
      <c r="M1585" s="13">
        <f>IF(AND(ISNUMBER(J1585),ISNUMBER(K1585),ISNUMBER(L1585)),IF(J1585&gt;L1585,"boven UCL",IF(J1585&lt;K1585,"onder LCL","")),"")</f>
        <v/>
      </c>
      <c r="O1585" t="n">
        <v>1479</v>
      </c>
      <c r="P1585" s="7" t="n"/>
      <c r="Q1585" s="7" t="n"/>
      <c r="R1585" s="11">
        <f>IF(AND(ISNUMBER(P1585),ISNUMBER(Q1585),P1585&gt;0,ISNUMBER($B$100)),Q1585/P1585,"")</f>
        <v/>
      </c>
      <c r="S1585" s="11">
        <f>IF(AND(ISNUMBER(P1585),ISNUMBER(Q1585),P1585&gt;0,ISNUMBER($B$100)),MAX(0,$B$100-3*SQRT($B$100/P1585)),"")</f>
        <v/>
      </c>
      <c r="T1585" s="11">
        <f>IF(AND(ISNUMBER(P1585),ISNUMBER(Q1585),P1585&gt;0,ISNUMBER($B$100)),$B$100+3*SQRT($B$100/P1585),"")</f>
        <v/>
      </c>
      <c r="U1585" s="13">
        <f>IF(AND(ISNUMBER(R1585),ISNUMBER(S1585),ISNUMBER(T1585)),IF(R1585&gt;T1585,"boven UCL",IF(R1585&lt;S1585,"onder LCL","")),"")</f>
        <v/>
      </c>
    </row>
    <row r="1586">
      <c r="A1586" t="n">
        <v>1480</v>
      </c>
      <c r="B1586" s="7" t="n"/>
      <c r="C1586" s="11">
        <f>IF(AND(ISNUMBER(B1586),ISNUMBER(B1585)),ABS(B1586-B1585),"")</f>
        <v/>
      </c>
      <c r="D1586" s="13">
        <f>IF(AND(ISNUMBER(B1586),ISNUMBER($B$88),ISNUMBER($D$88)),IF(B1586&gt;$D$88,"boven UCL",IF(B1586&lt;$B$88,"onder LCL","")),"")</f>
        <v/>
      </c>
      <c r="E1586" s="13">
        <f>IF(AND(ISNUMBER(C1586),ISNUMBER($B$89),ISNUMBER($D$89)),IF(C1586&gt;$D$89,"boven UCL",IF(C1586&lt;$B$89,"onder LCL","")),"")</f>
        <v/>
      </c>
      <c r="G1586" t="n">
        <v>1480</v>
      </c>
      <c r="H1586" s="7" t="n"/>
      <c r="I1586" s="7" t="n"/>
      <c r="J1586" s="11">
        <f>IF(AND(ISNUMBER(H1586),ISNUMBER(I1586),H1586&gt;0,ISNUMBER($B$94)),I1586/H1586,"")</f>
        <v/>
      </c>
      <c r="K1586" s="11">
        <f>IF(AND(ISNUMBER(H1586),ISNUMBER(I1586),H1586&gt;0,ISNUMBER($B$94)),MAX(0,$B$94-3*SQRT($B$94*(1-$B$94)/H1586)),"")</f>
        <v/>
      </c>
      <c r="L1586" s="11">
        <f>IF(AND(ISNUMBER(H1586),ISNUMBER(I1586),H1586&gt;0,ISNUMBER($B$94)),$B$94+3*SQRT($B$94*(1-$B$94)/H1586),"")</f>
        <v/>
      </c>
      <c r="M1586" s="13">
        <f>IF(AND(ISNUMBER(J1586),ISNUMBER(K1586),ISNUMBER(L1586)),IF(J1586&gt;L1586,"boven UCL",IF(J1586&lt;K1586,"onder LCL","")),"")</f>
        <v/>
      </c>
      <c r="O1586" t="n">
        <v>1480</v>
      </c>
      <c r="P1586" s="7" t="n"/>
      <c r="Q1586" s="7" t="n"/>
      <c r="R1586" s="11">
        <f>IF(AND(ISNUMBER(P1586),ISNUMBER(Q1586),P1586&gt;0,ISNUMBER($B$100)),Q1586/P1586,"")</f>
        <v/>
      </c>
      <c r="S1586" s="11">
        <f>IF(AND(ISNUMBER(P1586),ISNUMBER(Q1586),P1586&gt;0,ISNUMBER($B$100)),MAX(0,$B$100-3*SQRT($B$100/P1586)),"")</f>
        <v/>
      </c>
      <c r="T1586" s="11">
        <f>IF(AND(ISNUMBER(P1586),ISNUMBER(Q1586),P1586&gt;0,ISNUMBER($B$100)),$B$100+3*SQRT($B$100/P1586),"")</f>
        <v/>
      </c>
      <c r="U1586" s="13">
        <f>IF(AND(ISNUMBER(R1586),ISNUMBER(S1586),ISNUMBER(T1586)),IF(R1586&gt;T1586,"boven UCL",IF(R1586&lt;S1586,"onder LCL","")),"")</f>
        <v/>
      </c>
    </row>
    <row r="1587">
      <c r="A1587" t="n">
        <v>1481</v>
      </c>
      <c r="B1587" s="7" t="n"/>
      <c r="C1587" s="11">
        <f>IF(AND(ISNUMBER(B1587),ISNUMBER(B1586)),ABS(B1587-B1586),"")</f>
        <v/>
      </c>
      <c r="D1587" s="13">
        <f>IF(AND(ISNUMBER(B1587),ISNUMBER($B$88),ISNUMBER($D$88)),IF(B1587&gt;$D$88,"boven UCL",IF(B1587&lt;$B$88,"onder LCL","")),"")</f>
        <v/>
      </c>
      <c r="E1587" s="13">
        <f>IF(AND(ISNUMBER(C1587),ISNUMBER($B$89),ISNUMBER($D$89)),IF(C1587&gt;$D$89,"boven UCL",IF(C1587&lt;$B$89,"onder LCL","")),"")</f>
        <v/>
      </c>
      <c r="G1587" t="n">
        <v>1481</v>
      </c>
      <c r="H1587" s="7" t="n"/>
      <c r="I1587" s="7" t="n"/>
      <c r="J1587" s="11">
        <f>IF(AND(ISNUMBER(H1587),ISNUMBER(I1587),H1587&gt;0,ISNUMBER($B$94)),I1587/H1587,"")</f>
        <v/>
      </c>
      <c r="K1587" s="11">
        <f>IF(AND(ISNUMBER(H1587),ISNUMBER(I1587),H1587&gt;0,ISNUMBER($B$94)),MAX(0,$B$94-3*SQRT($B$94*(1-$B$94)/H1587)),"")</f>
        <v/>
      </c>
      <c r="L1587" s="11">
        <f>IF(AND(ISNUMBER(H1587),ISNUMBER(I1587),H1587&gt;0,ISNUMBER($B$94)),$B$94+3*SQRT($B$94*(1-$B$94)/H1587),"")</f>
        <v/>
      </c>
      <c r="M1587" s="13">
        <f>IF(AND(ISNUMBER(J1587),ISNUMBER(K1587),ISNUMBER(L1587)),IF(J1587&gt;L1587,"boven UCL",IF(J1587&lt;K1587,"onder LCL","")),"")</f>
        <v/>
      </c>
      <c r="O1587" t="n">
        <v>1481</v>
      </c>
      <c r="P1587" s="7" t="n"/>
      <c r="Q1587" s="7" t="n"/>
      <c r="R1587" s="11">
        <f>IF(AND(ISNUMBER(P1587),ISNUMBER(Q1587),P1587&gt;0,ISNUMBER($B$100)),Q1587/P1587,"")</f>
        <v/>
      </c>
      <c r="S1587" s="11">
        <f>IF(AND(ISNUMBER(P1587),ISNUMBER(Q1587),P1587&gt;0,ISNUMBER($B$100)),MAX(0,$B$100-3*SQRT($B$100/P1587)),"")</f>
        <v/>
      </c>
      <c r="T1587" s="11">
        <f>IF(AND(ISNUMBER(P1587),ISNUMBER(Q1587),P1587&gt;0,ISNUMBER($B$100)),$B$100+3*SQRT($B$100/P1587),"")</f>
        <v/>
      </c>
      <c r="U1587" s="13">
        <f>IF(AND(ISNUMBER(R1587),ISNUMBER(S1587),ISNUMBER(T1587)),IF(R1587&gt;T1587,"boven UCL",IF(R1587&lt;S1587,"onder LCL","")),"")</f>
        <v/>
      </c>
    </row>
    <row r="1588">
      <c r="A1588" t="n">
        <v>1482</v>
      </c>
      <c r="B1588" s="7" t="n"/>
      <c r="C1588" s="11">
        <f>IF(AND(ISNUMBER(B1588),ISNUMBER(B1587)),ABS(B1588-B1587),"")</f>
        <v/>
      </c>
      <c r="D1588" s="13">
        <f>IF(AND(ISNUMBER(B1588),ISNUMBER($B$88),ISNUMBER($D$88)),IF(B1588&gt;$D$88,"boven UCL",IF(B1588&lt;$B$88,"onder LCL","")),"")</f>
        <v/>
      </c>
      <c r="E1588" s="13">
        <f>IF(AND(ISNUMBER(C1588),ISNUMBER($B$89),ISNUMBER($D$89)),IF(C1588&gt;$D$89,"boven UCL",IF(C1588&lt;$B$89,"onder LCL","")),"")</f>
        <v/>
      </c>
      <c r="G1588" t="n">
        <v>1482</v>
      </c>
      <c r="H1588" s="7" t="n"/>
      <c r="I1588" s="7" t="n"/>
      <c r="J1588" s="11">
        <f>IF(AND(ISNUMBER(H1588),ISNUMBER(I1588),H1588&gt;0,ISNUMBER($B$94)),I1588/H1588,"")</f>
        <v/>
      </c>
      <c r="K1588" s="11">
        <f>IF(AND(ISNUMBER(H1588),ISNUMBER(I1588),H1588&gt;0,ISNUMBER($B$94)),MAX(0,$B$94-3*SQRT($B$94*(1-$B$94)/H1588)),"")</f>
        <v/>
      </c>
      <c r="L1588" s="11">
        <f>IF(AND(ISNUMBER(H1588),ISNUMBER(I1588),H1588&gt;0,ISNUMBER($B$94)),$B$94+3*SQRT($B$94*(1-$B$94)/H1588),"")</f>
        <v/>
      </c>
      <c r="M1588" s="13">
        <f>IF(AND(ISNUMBER(J1588),ISNUMBER(K1588),ISNUMBER(L1588)),IF(J1588&gt;L1588,"boven UCL",IF(J1588&lt;K1588,"onder LCL","")),"")</f>
        <v/>
      </c>
      <c r="O1588" t="n">
        <v>1482</v>
      </c>
      <c r="P1588" s="7" t="n"/>
      <c r="Q1588" s="7" t="n"/>
      <c r="R1588" s="11">
        <f>IF(AND(ISNUMBER(P1588),ISNUMBER(Q1588),P1588&gt;0,ISNUMBER($B$100)),Q1588/P1588,"")</f>
        <v/>
      </c>
      <c r="S1588" s="11">
        <f>IF(AND(ISNUMBER(P1588),ISNUMBER(Q1588),P1588&gt;0,ISNUMBER($B$100)),MAX(0,$B$100-3*SQRT($B$100/P1588)),"")</f>
        <v/>
      </c>
      <c r="T1588" s="11">
        <f>IF(AND(ISNUMBER(P1588),ISNUMBER(Q1588),P1588&gt;0,ISNUMBER($B$100)),$B$100+3*SQRT($B$100/P1588),"")</f>
        <v/>
      </c>
      <c r="U1588" s="13">
        <f>IF(AND(ISNUMBER(R1588),ISNUMBER(S1588),ISNUMBER(T1588)),IF(R1588&gt;T1588,"boven UCL",IF(R1588&lt;S1588,"onder LCL","")),"")</f>
        <v/>
      </c>
    </row>
    <row r="1589">
      <c r="A1589" t="n">
        <v>1483</v>
      </c>
      <c r="B1589" s="7" t="n"/>
      <c r="C1589" s="11">
        <f>IF(AND(ISNUMBER(B1589),ISNUMBER(B1588)),ABS(B1589-B1588),"")</f>
        <v/>
      </c>
      <c r="D1589" s="13">
        <f>IF(AND(ISNUMBER(B1589),ISNUMBER($B$88),ISNUMBER($D$88)),IF(B1589&gt;$D$88,"boven UCL",IF(B1589&lt;$B$88,"onder LCL","")),"")</f>
        <v/>
      </c>
      <c r="E1589" s="13">
        <f>IF(AND(ISNUMBER(C1589),ISNUMBER($B$89),ISNUMBER($D$89)),IF(C1589&gt;$D$89,"boven UCL",IF(C1589&lt;$B$89,"onder LCL","")),"")</f>
        <v/>
      </c>
      <c r="G1589" t="n">
        <v>1483</v>
      </c>
      <c r="H1589" s="7" t="n"/>
      <c r="I1589" s="7" t="n"/>
      <c r="J1589" s="11">
        <f>IF(AND(ISNUMBER(H1589),ISNUMBER(I1589),H1589&gt;0,ISNUMBER($B$94)),I1589/H1589,"")</f>
        <v/>
      </c>
      <c r="K1589" s="11">
        <f>IF(AND(ISNUMBER(H1589),ISNUMBER(I1589),H1589&gt;0,ISNUMBER($B$94)),MAX(0,$B$94-3*SQRT($B$94*(1-$B$94)/H1589)),"")</f>
        <v/>
      </c>
      <c r="L1589" s="11">
        <f>IF(AND(ISNUMBER(H1589),ISNUMBER(I1589),H1589&gt;0,ISNUMBER($B$94)),$B$94+3*SQRT($B$94*(1-$B$94)/H1589),"")</f>
        <v/>
      </c>
      <c r="M1589" s="13">
        <f>IF(AND(ISNUMBER(J1589),ISNUMBER(K1589),ISNUMBER(L1589)),IF(J1589&gt;L1589,"boven UCL",IF(J1589&lt;K1589,"onder LCL","")),"")</f>
        <v/>
      </c>
      <c r="O1589" t="n">
        <v>1483</v>
      </c>
      <c r="P1589" s="7" t="n"/>
      <c r="Q1589" s="7" t="n"/>
      <c r="R1589" s="11">
        <f>IF(AND(ISNUMBER(P1589),ISNUMBER(Q1589),P1589&gt;0,ISNUMBER($B$100)),Q1589/P1589,"")</f>
        <v/>
      </c>
      <c r="S1589" s="11">
        <f>IF(AND(ISNUMBER(P1589),ISNUMBER(Q1589),P1589&gt;0,ISNUMBER($B$100)),MAX(0,$B$100-3*SQRT($B$100/P1589)),"")</f>
        <v/>
      </c>
      <c r="T1589" s="11">
        <f>IF(AND(ISNUMBER(P1589),ISNUMBER(Q1589),P1589&gt;0,ISNUMBER($B$100)),$B$100+3*SQRT($B$100/P1589),"")</f>
        <v/>
      </c>
      <c r="U1589" s="13">
        <f>IF(AND(ISNUMBER(R1589),ISNUMBER(S1589),ISNUMBER(T1589)),IF(R1589&gt;T1589,"boven UCL",IF(R1589&lt;S1589,"onder LCL","")),"")</f>
        <v/>
      </c>
    </row>
    <row r="1590">
      <c r="A1590" t="n">
        <v>1484</v>
      </c>
      <c r="B1590" s="7" t="n"/>
      <c r="C1590" s="11">
        <f>IF(AND(ISNUMBER(B1590),ISNUMBER(B1589)),ABS(B1590-B1589),"")</f>
        <v/>
      </c>
      <c r="D1590" s="13">
        <f>IF(AND(ISNUMBER(B1590),ISNUMBER($B$88),ISNUMBER($D$88)),IF(B1590&gt;$D$88,"boven UCL",IF(B1590&lt;$B$88,"onder LCL","")),"")</f>
        <v/>
      </c>
      <c r="E1590" s="13">
        <f>IF(AND(ISNUMBER(C1590),ISNUMBER($B$89),ISNUMBER($D$89)),IF(C1590&gt;$D$89,"boven UCL",IF(C1590&lt;$B$89,"onder LCL","")),"")</f>
        <v/>
      </c>
      <c r="G1590" t="n">
        <v>1484</v>
      </c>
      <c r="H1590" s="7" t="n"/>
      <c r="I1590" s="7" t="n"/>
      <c r="J1590" s="11">
        <f>IF(AND(ISNUMBER(H1590),ISNUMBER(I1590),H1590&gt;0,ISNUMBER($B$94)),I1590/H1590,"")</f>
        <v/>
      </c>
      <c r="K1590" s="11">
        <f>IF(AND(ISNUMBER(H1590),ISNUMBER(I1590),H1590&gt;0,ISNUMBER($B$94)),MAX(0,$B$94-3*SQRT($B$94*(1-$B$94)/H1590)),"")</f>
        <v/>
      </c>
      <c r="L1590" s="11">
        <f>IF(AND(ISNUMBER(H1590),ISNUMBER(I1590),H1590&gt;0,ISNUMBER($B$94)),$B$94+3*SQRT($B$94*(1-$B$94)/H1590),"")</f>
        <v/>
      </c>
      <c r="M1590" s="13">
        <f>IF(AND(ISNUMBER(J1590),ISNUMBER(K1590),ISNUMBER(L1590)),IF(J1590&gt;L1590,"boven UCL",IF(J1590&lt;K1590,"onder LCL","")),"")</f>
        <v/>
      </c>
      <c r="O1590" t="n">
        <v>1484</v>
      </c>
      <c r="P1590" s="7" t="n"/>
      <c r="Q1590" s="7" t="n"/>
      <c r="R1590" s="11">
        <f>IF(AND(ISNUMBER(P1590),ISNUMBER(Q1590),P1590&gt;0,ISNUMBER($B$100)),Q1590/P1590,"")</f>
        <v/>
      </c>
      <c r="S1590" s="11">
        <f>IF(AND(ISNUMBER(P1590),ISNUMBER(Q1590),P1590&gt;0,ISNUMBER($B$100)),MAX(0,$B$100-3*SQRT($B$100/P1590)),"")</f>
        <v/>
      </c>
      <c r="T1590" s="11">
        <f>IF(AND(ISNUMBER(P1590),ISNUMBER(Q1590),P1590&gt;0,ISNUMBER($B$100)),$B$100+3*SQRT($B$100/P1590),"")</f>
        <v/>
      </c>
      <c r="U1590" s="13">
        <f>IF(AND(ISNUMBER(R1590),ISNUMBER(S1590),ISNUMBER(T1590)),IF(R1590&gt;T1590,"boven UCL",IF(R1590&lt;S1590,"onder LCL","")),"")</f>
        <v/>
      </c>
    </row>
    <row r="1591">
      <c r="A1591" t="n">
        <v>1485</v>
      </c>
      <c r="B1591" s="7" t="n"/>
      <c r="C1591" s="11">
        <f>IF(AND(ISNUMBER(B1591),ISNUMBER(B1590)),ABS(B1591-B1590),"")</f>
        <v/>
      </c>
      <c r="D1591" s="13">
        <f>IF(AND(ISNUMBER(B1591),ISNUMBER($B$88),ISNUMBER($D$88)),IF(B1591&gt;$D$88,"boven UCL",IF(B1591&lt;$B$88,"onder LCL","")),"")</f>
        <v/>
      </c>
      <c r="E1591" s="13">
        <f>IF(AND(ISNUMBER(C1591),ISNUMBER($B$89),ISNUMBER($D$89)),IF(C1591&gt;$D$89,"boven UCL",IF(C1591&lt;$B$89,"onder LCL","")),"")</f>
        <v/>
      </c>
      <c r="G1591" t="n">
        <v>1485</v>
      </c>
      <c r="H1591" s="7" t="n"/>
      <c r="I1591" s="7" t="n"/>
      <c r="J1591" s="11">
        <f>IF(AND(ISNUMBER(H1591),ISNUMBER(I1591),H1591&gt;0,ISNUMBER($B$94)),I1591/H1591,"")</f>
        <v/>
      </c>
      <c r="K1591" s="11">
        <f>IF(AND(ISNUMBER(H1591),ISNUMBER(I1591),H1591&gt;0,ISNUMBER($B$94)),MAX(0,$B$94-3*SQRT($B$94*(1-$B$94)/H1591)),"")</f>
        <v/>
      </c>
      <c r="L1591" s="11">
        <f>IF(AND(ISNUMBER(H1591),ISNUMBER(I1591),H1591&gt;0,ISNUMBER($B$94)),$B$94+3*SQRT($B$94*(1-$B$94)/H1591),"")</f>
        <v/>
      </c>
      <c r="M1591" s="13">
        <f>IF(AND(ISNUMBER(J1591),ISNUMBER(K1591),ISNUMBER(L1591)),IF(J1591&gt;L1591,"boven UCL",IF(J1591&lt;K1591,"onder LCL","")),"")</f>
        <v/>
      </c>
      <c r="O1591" t="n">
        <v>1485</v>
      </c>
      <c r="P1591" s="7" t="n"/>
      <c r="Q1591" s="7" t="n"/>
      <c r="R1591" s="11">
        <f>IF(AND(ISNUMBER(P1591),ISNUMBER(Q1591),P1591&gt;0,ISNUMBER($B$100)),Q1591/P1591,"")</f>
        <v/>
      </c>
      <c r="S1591" s="11">
        <f>IF(AND(ISNUMBER(P1591),ISNUMBER(Q1591),P1591&gt;0,ISNUMBER($B$100)),MAX(0,$B$100-3*SQRT($B$100/P1591)),"")</f>
        <v/>
      </c>
      <c r="T1591" s="11">
        <f>IF(AND(ISNUMBER(P1591),ISNUMBER(Q1591),P1591&gt;0,ISNUMBER($B$100)),$B$100+3*SQRT($B$100/P1591),"")</f>
        <v/>
      </c>
      <c r="U1591" s="13">
        <f>IF(AND(ISNUMBER(R1591),ISNUMBER(S1591),ISNUMBER(T1591)),IF(R1591&gt;T1591,"boven UCL",IF(R1591&lt;S1591,"onder LCL","")),"")</f>
        <v/>
      </c>
    </row>
    <row r="1592">
      <c r="A1592" t="n">
        <v>1486</v>
      </c>
      <c r="B1592" s="7" t="n"/>
      <c r="C1592" s="11">
        <f>IF(AND(ISNUMBER(B1592),ISNUMBER(B1591)),ABS(B1592-B1591),"")</f>
        <v/>
      </c>
      <c r="D1592" s="13">
        <f>IF(AND(ISNUMBER(B1592),ISNUMBER($B$88),ISNUMBER($D$88)),IF(B1592&gt;$D$88,"boven UCL",IF(B1592&lt;$B$88,"onder LCL","")),"")</f>
        <v/>
      </c>
      <c r="E1592" s="13">
        <f>IF(AND(ISNUMBER(C1592),ISNUMBER($B$89),ISNUMBER($D$89)),IF(C1592&gt;$D$89,"boven UCL",IF(C1592&lt;$B$89,"onder LCL","")),"")</f>
        <v/>
      </c>
      <c r="G1592" t="n">
        <v>1486</v>
      </c>
      <c r="H1592" s="7" t="n"/>
      <c r="I1592" s="7" t="n"/>
      <c r="J1592" s="11">
        <f>IF(AND(ISNUMBER(H1592),ISNUMBER(I1592),H1592&gt;0,ISNUMBER($B$94)),I1592/H1592,"")</f>
        <v/>
      </c>
      <c r="K1592" s="11">
        <f>IF(AND(ISNUMBER(H1592),ISNUMBER(I1592),H1592&gt;0,ISNUMBER($B$94)),MAX(0,$B$94-3*SQRT($B$94*(1-$B$94)/H1592)),"")</f>
        <v/>
      </c>
      <c r="L1592" s="11">
        <f>IF(AND(ISNUMBER(H1592),ISNUMBER(I1592),H1592&gt;0,ISNUMBER($B$94)),$B$94+3*SQRT($B$94*(1-$B$94)/H1592),"")</f>
        <v/>
      </c>
      <c r="M1592" s="13">
        <f>IF(AND(ISNUMBER(J1592),ISNUMBER(K1592),ISNUMBER(L1592)),IF(J1592&gt;L1592,"boven UCL",IF(J1592&lt;K1592,"onder LCL","")),"")</f>
        <v/>
      </c>
      <c r="O1592" t="n">
        <v>1486</v>
      </c>
      <c r="P1592" s="7" t="n"/>
      <c r="Q1592" s="7" t="n"/>
      <c r="R1592" s="11">
        <f>IF(AND(ISNUMBER(P1592),ISNUMBER(Q1592),P1592&gt;0,ISNUMBER($B$100)),Q1592/P1592,"")</f>
        <v/>
      </c>
      <c r="S1592" s="11">
        <f>IF(AND(ISNUMBER(P1592),ISNUMBER(Q1592),P1592&gt;0,ISNUMBER($B$100)),MAX(0,$B$100-3*SQRT($B$100/P1592)),"")</f>
        <v/>
      </c>
      <c r="T1592" s="11">
        <f>IF(AND(ISNUMBER(P1592),ISNUMBER(Q1592),P1592&gt;0,ISNUMBER($B$100)),$B$100+3*SQRT($B$100/P1592),"")</f>
        <v/>
      </c>
      <c r="U1592" s="13">
        <f>IF(AND(ISNUMBER(R1592),ISNUMBER(S1592),ISNUMBER(T1592)),IF(R1592&gt;T1592,"boven UCL",IF(R1592&lt;S1592,"onder LCL","")),"")</f>
        <v/>
      </c>
    </row>
    <row r="1593">
      <c r="A1593" t="n">
        <v>1487</v>
      </c>
      <c r="B1593" s="7" t="n"/>
      <c r="C1593" s="11">
        <f>IF(AND(ISNUMBER(B1593),ISNUMBER(B1592)),ABS(B1593-B1592),"")</f>
        <v/>
      </c>
      <c r="D1593" s="13">
        <f>IF(AND(ISNUMBER(B1593),ISNUMBER($B$88),ISNUMBER($D$88)),IF(B1593&gt;$D$88,"boven UCL",IF(B1593&lt;$B$88,"onder LCL","")),"")</f>
        <v/>
      </c>
      <c r="E1593" s="13">
        <f>IF(AND(ISNUMBER(C1593),ISNUMBER($B$89),ISNUMBER($D$89)),IF(C1593&gt;$D$89,"boven UCL",IF(C1593&lt;$B$89,"onder LCL","")),"")</f>
        <v/>
      </c>
      <c r="G1593" t="n">
        <v>1487</v>
      </c>
      <c r="H1593" s="7" t="n"/>
      <c r="I1593" s="7" t="n"/>
      <c r="J1593" s="11">
        <f>IF(AND(ISNUMBER(H1593),ISNUMBER(I1593),H1593&gt;0,ISNUMBER($B$94)),I1593/H1593,"")</f>
        <v/>
      </c>
      <c r="K1593" s="11">
        <f>IF(AND(ISNUMBER(H1593),ISNUMBER(I1593),H1593&gt;0,ISNUMBER($B$94)),MAX(0,$B$94-3*SQRT($B$94*(1-$B$94)/H1593)),"")</f>
        <v/>
      </c>
      <c r="L1593" s="11">
        <f>IF(AND(ISNUMBER(H1593),ISNUMBER(I1593),H1593&gt;0,ISNUMBER($B$94)),$B$94+3*SQRT($B$94*(1-$B$94)/H1593),"")</f>
        <v/>
      </c>
      <c r="M1593" s="13">
        <f>IF(AND(ISNUMBER(J1593),ISNUMBER(K1593),ISNUMBER(L1593)),IF(J1593&gt;L1593,"boven UCL",IF(J1593&lt;K1593,"onder LCL","")),"")</f>
        <v/>
      </c>
      <c r="O1593" t="n">
        <v>1487</v>
      </c>
      <c r="P1593" s="7" t="n"/>
      <c r="Q1593" s="7" t="n"/>
      <c r="R1593" s="11">
        <f>IF(AND(ISNUMBER(P1593),ISNUMBER(Q1593),P1593&gt;0,ISNUMBER($B$100)),Q1593/P1593,"")</f>
        <v/>
      </c>
      <c r="S1593" s="11">
        <f>IF(AND(ISNUMBER(P1593),ISNUMBER(Q1593),P1593&gt;0,ISNUMBER($B$100)),MAX(0,$B$100-3*SQRT($B$100/P1593)),"")</f>
        <v/>
      </c>
      <c r="T1593" s="11">
        <f>IF(AND(ISNUMBER(P1593),ISNUMBER(Q1593),P1593&gt;0,ISNUMBER($B$100)),$B$100+3*SQRT($B$100/P1593),"")</f>
        <v/>
      </c>
      <c r="U1593" s="13">
        <f>IF(AND(ISNUMBER(R1593),ISNUMBER(S1593),ISNUMBER(T1593)),IF(R1593&gt;T1593,"boven UCL",IF(R1593&lt;S1593,"onder LCL","")),"")</f>
        <v/>
      </c>
    </row>
    <row r="1594">
      <c r="A1594" t="n">
        <v>1488</v>
      </c>
      <c r="B1594" s="7" t="n"/>
      <c r="C1594" s="11">
        <f>IF(AND(ISNUMBER(B1594),ISNUMBER(B1593)),ABS(B1594-B1593),"")</f>
        <v/>
      </c>
      <c r="D1594" s="13">
        <f>IF(AND(ISNUMBER(B1594),ISNUMBER($B$88),ISNUMBER($D$88)),IF(B1594&gt;$D$88,"boven UCL",IF(B1594&lt;$B$88,"onder LCL","")),"")</f>
        <v/>
      </c>
      <c r="E1594" s="13">
        <f>IF(AND(ISNUMBER(C1594),ISNUMBER($B$89),ISNUMBER($D$89)),IF(C1594&gt;$D$89,"boven UCL",IF(C1594&lt;$B$89,"onder LCL","")),"")</f>
        <v/>
      </c>
      <c r="G1594" t="n">
        <v>1488</v>
      </c>
      <c r="H1594" s="7" t="n"/>
      <c r="I1594" s="7" t="n"/>
      <c r="J1594" s="11">
        <f>IF(AND(ISNUMBER(H1594),ISNUMBER(I1594),H1594&gt;0,ISNUMBER($B$94)),I1594/H1594,"")</f>
        <v/>
      </c>
      <c r="K1594" s="11">
        <f>IF(AND(ISNUMBER(H1594),ISNUMBER(I1594),H1594&gt;0,ISNUMBER($B$94)),MAX(0,$B$94-3*SQRT($B$94*(1-$B$94)/H1594)),"")</f>
        <v/>
      </c>
      <c r="L1594" s="11">
        <f>IF(AND(ISNUMBER(H1594),ISNUMBER(I1594),H1594&gt;0,ISNUMBER($B$94)),$B$94+3*SQRT($B$94*(1-$B$94)/H1594),"")</f>
        <v/>
      </c>
      <c r="M1594" s="13">
        <f>IF(AND(ISNUMBER(J1594),ISNUMBER(K1594),ISNUMBER(L1594)),IF(J1594&gt;L1594,"boven UCL",IF(J1594&lt;K1594,"onder LCL","")),"")</f>
        <v/>
      </c>
      <c r="O1594" t="n">
        <v>1488</v>
      </c>
      <c r="P1594" s="7" t="n"/>
      <c r="Q1594" s="7" t="n"/>
      <c r="R1594" s="11">
        <f>IF(AND(ISNUMBER(P1594),ISNUMBER(Q1594),P1594&gt;0,ISNUMBER($B$100)),Q1594/P1594,"")</f>
        <v/>
      </c>
      <c r="S1594" s="11">
        <f>IF(AND(ISNUMBER(P1594),ISNUMBER(Q1594),P1594&gt;0,ISNUMBER($B$100)),MAX(0,$B$100-3*SQRT($B$100/P1594)),"")</f>
        <v/>
      </c>
      <c r="T1594" s="11">
        <f>IF(AND(ISNUMBER(P1594),ISNUMBER(Q1594),P1594&gt;0,ISNUMBER($B$100)),$B$100+3*SQRT($B$100/P1594),"")</f>
        <v/>
      </c>
      <c r="U1594" s="13">
        <f>IF(AND(ISNUMBER(R1594),ISNUMBER(S1594),ISNUMBER(T1594)),IF(R1594&gt;T1594,"boven UCL",IF(R1594&lt;S1594,"onder LCL","")),"")</f>
        <v/>
      </c>
    </row>
    <row r="1595">
      <c r="A1595" t="n">
        <v>1489</v>
      </c>
      <c r="B1595" s="7" t="n"/>
      <c r="C1595" s="11">
        <f>IF(AND(ISNUMBER(B1595),ISNUMBER(B1594)),ABS(B1595-B1594),"")</f>
        <v/>
      </c>
      <c r="D1595" s="13">
        <f>IF(AND(ISNUMBER(B1595),ISNUMBER($B$88),ISNUMBER($D$88)),IF(B1595&gt;$D$88,"boven UCL",IF(B1595&lt;$B$88,"onder LCL","")),"")</f>
        <v/>
      </c>
      <c r="E1595" s="13">
        <f>IF(AND(ISNUMBER(C1595),ISNUMBER($B$89),ISNUMBER($D$89)),IF(C1595&gt;$D$89,"boven UCL",IF(C1595&lt;$B$89,"onder LCL","")),"")</f>
        <v/>
      </c>
      <c r="G1595" t="n">
        <v>1489</v>
      </c>
      <c r="H1595" s="7" t="n"/>
      <c r="I1595" s="7" t="n"/>
      <c r="J1595" s="11">
        <f>IF(AND(ISNUMBER(H1595),ISNUMBER(I1595),H1595&gt;0,ISNUMBER($B$94)),I1595/H1595,"")</f>
        <v/>
      </c>
      <c r="K1595" s="11">
        <f>IF(AND(ISNUMBER(H1595),ISNUMBER(I1595),H1595&gt;0,ISNUMBER($B$94)),MAX(0,$B$94-3*SQRT($B$94*(1-$B$94)/H1595)),"")</f>
        <v/>
      </c>
      <c r="L1595" s="11">
        <f>IF(AND(ISNUMBER(H1595),ISNUMBER(I1595),H1595&gt;0,ISNUMBER($B$94)),$B$94+3*SQRT($B$94*(1-$B$94)/H1595),"")</f>
        <v/>
      </c>
      <c r="M1595" s="13">
        <f>IF(AND(ISNUMBER(J1595),ISNUMBER(K1595),ISNUMBER(L1595)),IF(J1595&gt;L1595,"boven UCL",IF(J1595&lt;K1595,"onder LCL","")),"")</f>
        <v/>
      </c>
      <c r="O1595" t="n">
        <v>1489</v>
      </c>
      <c r="P1595" s="7" t="n"/>
      <c r="Q1595" s="7" t="n"/>
      <c r="R1595" s="11">
        <f>IF(AND(ISNUMBER(P1595),ISNUMBER(Q1595),P1595&gt;0,ISNUMBER($B$100)),Q1595/P1595,"")</f>
        <v/>
      </c>
      <c r="S1595" s="11">
        <f>IF(AND(ISNUMBER(P1595),ISNUMBER(Q1595),P1595&gt;0,ISNUMBER($B$100)),MAX(0,$B$100-3*SQRT($B$100/P1595)),"")</f>
        <v/>
      </c>
      <c r="T1595" s="11">
        <f>IF(AND(ISNUMBER(P1595),ISNUMBER(Q1595),P1595&gt;0,ISNUMBER($B$100)),$B$100+3*SQRT($B$100/P1595),"")</f>
        <v/>
      </c>
      <c r="U1595" s="13">
        <f>IF(AND(ISNUMBER(R1595),ISNUMBER(S1595),ISNUMBER(T1595)),IF(R1595&gt;T1595,"boven UCL",IF(R1595&lt;S1595,"onder LCL","")),"")</f>
        <v/>
      </c>
    </row>
    <row r="1596">
      <c r="A1596" t="n">
        <v>1490</v>
      </c>
      <c r="B1596" s="7" t="n"/>
      <c r="C1596" s="11">
        <f>IF(AND(ISNUMBER(B1596),ISNUMBER(B1595)),ABS(B1596-B1595),"")</f>
        <v/>
      </c>
      <c r="D1596" s="13">
        <f>IF(AND(ISNUMBER(B1596),ISNUMBER($B$88),ISNUMBER($D$88)),IF(B1596&gt;$D$88,"boven UCL",IF(B1596&lt;$B$88,"onder LCL","")),"")</f>
        <v/>
      </c>
      <c r="E1596" s="13">
        <f>IF(AND(ISNUMBER(C1596),ISNUMBER($B$89),ISNUMBER($D$89)),IF(C1596&gt;$D$89,"boven UCL",IF(C1596&lt;$B$89,"onder LCL","")),"")</f>
        <v/>
      </c>
      <c r="G1596" t="n">
        <v>1490</v>
      </c>
      <c r="H1596" s="7" t="n"/>
      <c r="I1596" s="7" t="n"/>
      <c r="J1596" s="11">
        <f>IF(AND(ISNUMBER(H1596),ISNUMBER(I1596),H1596&gt;0,ISNUMBER($B$94)),I1596/H1596,"")</f>
        <v/>
      </c>
      <c r="K1596" s="11">
        <f>IF(AND(ISNUMBER(H1596),ISNUMBER(I1596),H1596&gt;0,ISNUMBER($B$94)),MAX(0,$B$94-3*SQRT($B$94*(1-$B$94)/H1596)),"")</f>
        <v/>
      </c>
      <c r="L1596" s="11">
        <f>IF(AND(ISNUMBER(H1596),ISNUMBER(I1596),H1596&gt;0,ISNUMBER($B$94)),$B$94+3*SQRT($B$94*(1-$B$94)/H1596),"")</f>
        <v/>
      </c>
      <c r="M1596" s="13">
        <f>IF(AND(ISNUMBER(J1596),ISNUMBER(K1596),ISNUMBER(L1596)),IF(J1596&gt;L1596,"boven UCL",IF(J1596&lt;K1596,"onder LCL","")),"")</f>
        <v/>
      </c>
      <c r="O1596" t="n">
        <v>1490</v>
      </c>
      <c r="P1596" s="7" t="n"/>
      <c r="Q1596" s="7" t="n"/>
      <c r="R1596" s="11">
        <f>IF(AND(ISNUMBER(P1596),ISNUMBER(Q1596),P1596&gt;0,ISNUMBER($B$100)),Q1596/P1596,"")</f>
        <v/>
      </c>
      <c r="S1596" s="11">
        <f>IF(AND(ISNUMBER(P1596),ISNUMBER(Q1596),P1596&gt;0,ISNUMBER($B$100)),MAX(0,$B$100-3*SQRT($B$100/P1596)),"")</f>
        <v/>
      </c>
      <c r="T1596" s="11">
        <f>IF(AND(ISNUMBER(P1596),ISNUMBER(Q1596),P1596&gt;0,ISNUMBER($B$100)),$B$100+3*SQRT($B$100/P1596),"")</f>
        <v/>
      </c>
      <c r="U1596" s="13">
        <f>IF(AND(ISNUMBER(R1596),ISNUMBER(S1596),ISNUMBER(T1596)),IF(R1596&gt;T1596,"boven UCL",IF(R1596&lt;S1596,"onder LCL","")),"")</f>
        <v/>
      </c>
    </row>
    <row r="1597">
      <c r="A1597" t="n">
        <v>1491</v>
      </c>
      <c r="B1597" s="7" t="n"/>
      <c r="C1597" s="11">
        <f>IF(AND(ISNUMBER(B1597),ISNUMBER(B1596)),ABS(B1597-B1596),"")</f>
        <v/>
      </c>
      <c r="D1597" s="13">
        <f>IF(AND(ISNUMBER(B1597),ISNUMBER($B$88),ISNUMBER($D$88)),IF(B1597&gt;$D$88,"boven UCL",IF(B1597&lt;$B$88,"onder LCL","")),"")</f>
        <v/>
      </c>
      <c r="E1597" s="13">
        <f>IF(AND(ISNUMBER(C1597),ISNUMBER($B$89),ISNUMBER($D$89)),IF(C1597&gt;$D$89,"boven UCL",IF(C1597&lt;$B$89,"onder LCL","")),"")</f>
        <v/>
      </c>
      <c r="G1597" t="n">
        <v>1491</v>
      </c>
      <c r="H1597" s="7" t="n"/>
      <c r="I1597" s="7" t="n"/>
      <c r="J1597" s="11">
        <f>IF(AND(ISNUMBER(H1597),ISNUMBER(I1597),H1597&gt;0,ISNUMBER($B$94)),I1597/H1597,"")</f>
        <v/>
      </c>
      <c r="K1597" s="11">
        <f>IF(AND(ISNUMBER(H1597),ISNUMBER(I1597),H1597&gt;0,ISNUMBER($B$94)),MAX(0,$B$94-3*SQRT($B$94*(1-$B$94)/H1597)),"")</f>
        <v/>
      </c>
      <c r="L1597" s="11">
        <f>IF(AND(ISNUMBER(H1597),ISNUMBER(I1597),H1597&gt;0,ISNUMBER($B$94)),$B$94+3*SQRT($B$94*(1-$B$94)/H1597),"")</f>
        <v/>
      </c>
      <c r="M1597" s="13">
        <f>IF(AND(ISNUMBER(J1597),ISNUMBER(K1597),ISNUMBER(L1597)),IF(J1597&gt;L1597,"boven UCL",IF(J1597&lt;K1597,"onder LCL","")),"")</f>
        <v/>
      </c>
      <c r="O1597" t="n">
        <v>1491</v>
      </c>
      <c r="P1597" s="7" t="n"/>
      <c r="Q1597" s="7" t="n"/>
      <c r="R1597" s="11">
        <f>IF(AND(ISNUMBER(P1597),ISNUMBER(Q1597),P1597&gt;0,ISNUMBER($B$100)),Q1597/P1597,"")</f>
        <v/>
      </c>
      <c r="S1597" s="11">
        <f>IF(AND(ISNUMBER(P1597),ISNUMBER(Q1597),P1597&gt;0,ISNUMBER($B$100)),MAX(0,$B$100-3*SQRT($B$100/P1597)),"")</f>
        <v/>
      </c>
      <c r="T1597" s="11">
        <f>IF(AND(ISNUMBER(P1597),ISNUMBER(Q1597),P1597&gt;0,ISNUMBER($B$100)),$B$100+3*SQRT($B$100/P1597),"")</f>
        <v/>
      </c>
      <c r="U1597" s="13">
        <f>IF(AND(ISNUMBER(R1597),ISNUMBER(S1597),ISNUMBER(T1597)),IF(R1597&gt;T1597,"boven UCL",IF(R1597&lt;S1597,"onder LCL","")),"")</f>
        <v/>
      </c>
    </row>
    <row r="1598">
      <c r="A1598" t="n">
        <v>1492</v>
      </c>
      <c r="B1598" s="7" t="n"/>
      <c r="C1598" s="11">
        <f>IF(AND(ISNUMBER(B1598),ISNUMBER(B1597)),ABS(B1598-B1597),"")</f>
        <v/>
      </c>
      <c r="D1598" s="13">
        <f>IF(AND(ISNUMBER(B1598),ISNUMBER($B$88),ISNUMBER($D$88)),IF(B1598&gt;$D$88,"boven UCL",IF(B1598&lt;$B$88,"onder LCL","")),"")</f>
        <v/>
      </c>
      <c r="E1598" s="13">
        <f>IF(AND(ISNUMBER(C1598),ISNUMBER($B$89),ISNUMBER($D$89)),IF(C1598&gt;$D$89,"boven UCL",IF(C1598&lt;$B$89,"onder LCL","")),"")</f>
        <v/>
      </c>
      <c r="G1598" t="n">
        <v>1492</v>
      </c>
      <c r="H1598" s="7" t="n"/>
      <c r="I1598" s="7" t="n"/>
      <c r="J1598" s="11">
        <f>IF(AND(ISNUMBER(H1598),ISNUMBER(I1598),H1598&gt;0,ISNUMBER($B$94)),I1598/H1598,"")</f>
        <v/>
      </c>
      <c r="K1598" s="11">
        <f>IF(AND(ISNUMBER(H1598),ISNUMBER(I1598),H1598&gt;0,ISNUMBER($B$94)),MAX(0,$B$94-3*SQRT($B$94*(1-$B$94)/H1598)),"")</f>
        <v/>
      </c>
      <c r="L1598" s="11">
        <f>IF(AND(ISNUMBER(H1598),ISNUMBER(I1598),H1598&gt;0,ISNUMBER($B$94)),$B$94+3*SQRT($B$94*(1-$B$94)/H1598),"")</f>
        <v/>
      </c>
      <c r="M1598" s="13">
        <f>IF(AND(ISNUMBER(J1598),ISNUMBER(K1598),ISNUMBER(L1598)),IF(J1598&gt;L1598,"boven UCL",IF(J1598&lt;K1598,"onder LCL","")),"")</f>
        <v/>
      </c>
      <c r="O1598" t="n">
        <v>1492</v>
      </c>
      <c r="P1598" s="7" t="n"/>
      <c r="Q1598" s="7" t="n"/>
      <c r="R1598" s="11">
        <f>IF(AND(ISNUMBER(P1598),ISNUMBER(Q1598),P1598&gt;0,ISNUMBER($B$100)),Q1598/P1598,"")</f>
        <v/>
      </c>
      <c r="S1598" s="11">
        <f>IF(AND(ISNUMBER(P1598),ISNUMBER(Q1598),P1598&gt;0,ISNUMBER($B$100)),MAX(0,$B$100-3*SQRT($B$100/P1598)),"")</f>
        <v/>
      </c>
      <c r="T1598" s="11">
        <f>IF(AND(ISNUMBER(P1598),ISNUMBER(Q1598),P1598&gt;0,ISNUMBER($B$100)),$B$100+3*SQRT($B$100/P1598),"")</f>
        <v/>
      </c>
      <c r="U1598" s="13">
        <f>IF(AND(ISNUMBER(R1598),ISNUMBER(S1598),ISNUMBER(T1598)),IF(R1598&gt;T1598,"boven UCL",IF(R1598&lt;S1598,"onder LCL","")),"")</f>
        <v/>
      </c>
    </row>
    <row r="1599">
      <c r="A1599" t="n">
        <v>1493</v>
      </c>
      <c r="B1599" s="7" t="n"/>
      <c r="C1599" s="11">
        <f>IF(AND(ISNUMBER(B1599),ISNUMBER(B1598)),ABS(B1599-B1598),"")</f>
        <v/>
      </c>
      <c r="D1599" s="13">
        <f>IF(AND(ISNUMBER(B1599),ISNUMBER($B$88),ISNUMBER($D$88)),IF(B1599&gt;$D$88,"boven UCL",IF(B1599&lt;$B$88,"onder LCL","")),"")</f>
        <v/>
      </c>
      <c r="E1599" s="13">
        <f>IF(AND(ISNUMBER(C1599),ISNUMBER($B$89),ISNUMBER($D$89)),IF(C1599&gt;$D$89,"boven UCL",IF(C1599&lt;$B$89,"onder LCL","")),"")</f>
        <v/>
      </c>
      <c r="G1599" t="n">
        <v>1493</v>
      </c>
      <c r="H1599" s="7" t="n"/>
      <c r="I1599" s="7" t="n"/>
      <c r="J1599" s="11">
        <f>IF(AND(ISNUMBER(H1599),ISNUMBER(I1599),H1599&gt;0,ISNUMBER($B$94)),I1599/H1599,"")</f>
        <v/>
      </c>
      <c r="K1599" s="11">
        <f>IF(AND(ISNUMBER(H1599),ISNUMBER(I1599),H1599&gt;0,ISNUMBER($B$94)),MAX(0,$B$94-3*SQRT($B$94*(1-$B$94)/H1599)),"")</f>
        <v/>
      </c>
      <c r="L1599" s="11">
        <f>IF(AND(ISNUMBER(H1599),ISNUMBER(I1599),H1599&gt;0,ISNUMBER($B$94)),$B$94+3*SQRT($B$94*(1-$B$94)/H1599),"")</f>
        <v/>
      </c>
      <c r="M1599" s="13">
        <f>IF(AND(ISNUMBER(J1599),ISNUMBER(K1599),ISNUMBER(L1599)),IF(J1599&gt;L1599,"boven UCL",IF(J1599&lt;K1599,"onder LCL","")),"")</f>
        <v/>
      </c>
      <c r="O1599" t="n">
        <v>1493</v>
      </c>
      <c r="P1599" s="7" t="n"/>
      <c r="Q1599" s="7" t="n"/>
      <c r="R1599" s="11">
        <f>IF(AND(ISNUMBER(P1599),ISNUMBER(Q1599),P1599&gt;0,ISNUMBER($B$100)),Q1599/P1599,"")</f>
        <v/>
      </c>
      <c r="S1599" s="11">
        <f>IF(AND(ISNUMBER(P1599),ISNUMBER(Q1599),P1599&gt;0,ISNUMBER($B$100)),MAX(0,$B$100-3*SQRT($B$100/P1599)),"")</f>
        <v/>
      </c>
      <c r="T1599" s="11">
        <f>IF(AND(ISNUMBER(P1599),ISNUMBER(Q1599),P1599&gt;0,ISNUMBER($B$100)),$B$100+3*SQRT($B$100/P1599),"")</f>
        <v/>
      </c>
      <c r="U1599" s="13">
        <f>IF(AND(ISNUMBER(R1599),ISNUMBER(S1599),ISNUMBER(T1599)),IF(R1599&gt;T1599,"boven UCL",IF(R1599&lt;S1599,"onder LCL","")),"")</f>
        <v/>
      </c>
    </row>
    <row r="1600">
      <c r="A1600" t="n">
        <v>1494</v>
      </c>
      <c r="B1600" s="7" t="n"/>
      <c r="C1600" s="11">
        <f>IF(AND(ISNUMBER(B1600),ISNUMBER(B1599)),ABS(B1600-B1599),"")</f>
        <v/>
      </c>
      <c r="D1600" s="13">
        <f>IF(AND(ISNUMBER(B1600),ISNUMBER($B$88),ISNUMBER($D$88)),IF(B1600&gt;$D$88,"boven UCL",IF(B1600&lt;$B$88,"onder LCL","")),"")</f>
        <v/>
      </c>
      <c r="E1600" s="13">
        <f>IF(AND(ISNUMBER(C1600),ISNUMBER($B$89),ISNUMBER($D$89)),IF(C1600&gt;$D$89,"boven UCL",IF(C1600&lt;$B$89,"onder LCL","")),"")</f>
        <v/>
      </c>
      <c r="G1600" t="n">
        <v>1494</v>
      </c>
      <c r="H1600" s="7" t="n"/>
      <c r="I1600" s="7" t="n"/>
      <c r="J1600" s="11">
        <f>IF(AND(ISNUMBER(H1600),ISNUMBER(I1600),H1600&gt;0,ISNUMBER($B$94)),I1600/H1600,"")</f>
        <v/>
      </c>
      <c r="K1600" s="11">
        <f>IF(AND(ISNUMBER(H1600),ISNUMBER(I1600),H1600&gt;0,ISNUMBER($B$94)),MAX(0,$B$94-3*SQRT($B$94*(1-$B$94)/H1600)),"")</f>
        <v/>
      </c>
      <c r="L1600" s="11">
        <f>IF(AND(ISNUMBER(H1600),ISNUMBER(I1600),H1600&gt;0,ISNUMBER($B$94)),$B$94+3*SQRT($B$94*(1-$B$94)/H1600),"")</f>
        <v/>
      </c>
      <c r="M1600" s="13">
        <f>IF(AND(ISNUMBER(J1600),ISNUMBER(K1600),ISNUMBER(L1600)),IF(J1600&gt;L1600,"boven UCL",IF(J1600&lt;K1600,"onder LCL","")),"")</f>
        <v/>
      </c>
      <c r="O1600" t="n">
        <v>1494</v>
      </c>
      <c r="P1600" s="7" t="n"/>
      <c r="Q1600" s="7" t="n"/>
      <c r="R1600" s="11">
        <f>IF(AND(ISNUMBER(P1600),ISNUMBER(Q1600),P1600&gt;0,ISNUMBER($B$100)),Q1600/P1600,"")</f>
        <v/>
      </c>
      <c r="S1600" s="11">
        <f>IF(AND(ISNUMBER(P1600),ISNUMBER(Q1600),P1600&gt;0,ISNUMBER($B$100)),MAX(0,$B$100-3*SQRT($B$100/P1600)),"")</f>
        <v/>
      </c>
      <c r="T1600" s="11">
        <f>IF(AND(ISNUMBER(P1600),ISNUMBER(Q1600),P1600&gt;0,ISNUMBER($B$100)),$B$100+3*SQRT($B$100/P1600),"")</f>
        <v/>
      </c>
      <c r="U1600" s="13">
        <f>IF(AND(ISNUMBER(R1600),ISNUMBER(S1600),ISNUMBER(T1600)),IF(R1600&gt;T1600,"boven UCL",IF(R1600&lt;S1600,"onder LCL","")),"")</f>
        <v/>
      </c>
    </row>
    <row r="1601">
      <c r="A1601" t="n">
        <v>1495</v>
      </c>
      <c r="B1601" s="7" t="n"/>
      <c r="C1601" s="11">
        <f>IF(AND(ISNUMBER(B1601),ISNUMBER(B1600)),ABS(B1601-B1600),"")</f>
        <v/>
      </c>
      <c r="D1601" s="13">
        <f>IF(AND(ISNUMBER(B1601),ISNUMBER($B$88),ISNUMBER($D$88)),IF(B1601&gt;$D$88,"boven UCL",IF(B1601&lt;$B$88,"onder LCL","")),"")</f>
        <v/>
      </c>
      <c r="E1601" s="13">
        <f>IF(AND(ISNUMBER(C1601),ISNUMBER($B$89),ISNUMBER($D$89)),IF(C1601&gt;$D$89,"boven UCL",IF(C1601&lt;$B$89,"onder LCL","")),"")</f>
        <v/>
      </c>
      <c r="G1601" t="n">
        <v>1495</v>
      </c>
      <c r="H1601" s="7" t="n"/>
      <c r="I1601" s="7" t="n"/>
      <c r="J1601" s="11">
        <f>IF(AND(ISNUMBER(H1601),ISNUMBER(I1601),H1601&gt;0,ISNUMBER($B$94)),I1601/H1601,"")</f>
        <v/>
      </c>
      <c r="K1601" s="11">
        <f>IF(AND(ISNUMBER(H1601),ISNUMBER(I1601),H1601&gt;0,ISNUMBER($B$94)),MAX(0,$B$94-3*SQRT($B$94*(1-$B$94)/H1601)),"")</f>
        <v/>
      </c>
      <c r="L1601" s="11">
        <f>IF(AND(ISNUMBER(H1601),ISNUMBER(I1601),H1601&gt;0,ISNUMBER($B$94)),$B$94+3*SQRT($B$94*(1-$B$94)/H1601),"")</f>
        <v/>
      </c>
      <c r="M1601" s="13">
        <f>IF(AND(ISNUMBER(J1601),ISNUMBER(K1601),ISNUMBER(L1601)),IF(J1601&gt;L1601,"boven UCL",IF(J1601&lt;K1601,"onder LCL","")),"")</f>
        <v/>
      </c>
      <c r="O1601" t="n">
        <v>1495</v>
      </c>
      <c r="P1601" s="7" t="n"/>
      <c r="Q1601" s="7" t="n"/>
      <c r="R1601" s="11">
        <f>IF(AND(ISNUMBER(P1601),ISNUMBER(Q1601),P1601&gt;0,ISNUMBER($B$100)),Q1601/P1601,"")</f>
        <v/>
      </c>
      <c r="S1601" s="11">
        <f>IF(AND(ISNUMBER(P1601),ISNUMBER(Q1601),P1601&gt;0,ISNUMBER($B$100)),MAX(0,$B$100-3*SQRT($B$100/P1601)),"")</f>
        <v/>
      </c>
      <c r="T1601" s="11">
        <f>IF(AND(ISNUMBER(P1601),ISNUMBER(Q1601),P1601&gt;0,ISNUMBER($B$100)),$B$100+3*SQRT($B$100/P1601),"")</f>
        <v/>
      </c>
      <c r="U1601" s="13">
        <f>IF(AND(ISNUMBER(R1601),ISNUMBER(S1601),ISNUMBER(T1601)),IF(R1601&gt;T1601,"boven UCL",IF(R1601&lt;S1601,"onder LCL","")),"")</f>
        <v/>
      </c>
    </row>
    <row r="1602">
      <c r="A1602" t="n">
        <v>1496</v>
      </c>
      <c r="B1602" s="7" t="n"/>
      <c r="C1602" s="11">
        <f>IF(AND(ISNUMBER(B1602),ISNUMBER(B1601)),ABS(B1602-B1601),"")</f>
        <v/>
      </c>
      <c r="D1602" s="13">
        <f>IF(AND(ISNUMBER(B1602),ISNUMBER($B$88),ISNUMBER($D$88)),IF(B1602&gt;$D$88,"boven UCL",IF(B1602&lt;$B$88,"onder LCL","")),"")</f>
        <v/>
      </c>
      <c r="E1602" s="13">
        <f>IF(AND(ISNUMBER(C1602),ISNUMBER($B$89),ISNUMBER($D$89)),IF(C1602&gt;$D$89,"boven UCL",IF(C1602&lt;$B$89,"onder LCL","")),"")</f>
        <v/>
      </c>
      <c r="G1602" t="n">
        <v>1496</v>
      </c>
      <c r="H1602" s="7" t="n"/>
      <c r="I1602" s="7" t="n"/>
      <c r="J1602" s="11">
        <f>IF(AND(ISNUMBER(H1602),ISNUMBER(I1602),H1602&gt;0,ISNUMBER($B$94)),I1602/H1602,"")</f>
        <v/>
      </c>
      <c r="K1602" s="11">
        <f>IF(AND(ISNUMBER(H1602),ISNUMBER(I1602),H1602&gt;0,ISNUMBER($B$94)),MAX(0,$B$94-3*SQRT($B$94*(1-$B$94)/H1602)),"")</f>
        <v/>
      </c>
      <c r="L1602" s="11">
        <f>IF(AND(ISNUMBER(H1602),ISNUMBER(I1602),H1602&gt;0,ISNUMBER($B$94)),$B$94+3*SQRT($B$94*(1-$B$94)/H1602),"")</f>
        <v/>
      </c>
      <c r="M1602" s="13">
        <f>IF(AND(ISNUMBER(J1602),ISNUMBER(K1602),ISNUMBER(L1602)),IF(J1602&gt;L1602,"boven UCL",IF(J1602&lt;K1602,"onder LCL","")),"")</f>
        <v/>
      </c>
      <c r="O1602" t="n">
        <v>1496</v>
      </c>
      <c r="P1602" s="7" t="n"/>
      <c r="Q1602" s="7" t="n"/>
      <c r="R1602" s="11">
        <f>IF(AND(ISNUMBER(P1602),ISNUMBER(Q1602),P1602&gt;0,ISNUMBER($B$100)),Q1602/P1602,"")</f>
        <v/>
      </c>
      <c r="S1602" s="11">
        <f>IF(AND(ISNUMBER(P1602),ISNUMBER(Q1602),P1602&gt;0,ISNUMBER($B$100)),MAX(0,$B$100-3*SQRT($B$100/P1602)),"")</f>
        <v/>
      </c>
      <c r="T1602" s="11">
        <f>IF(AND(ISNUMBER(P1602),ISNUMBER(Q1602),P1602&gt;0,ISNUMBER($B$100)),$B$100+3*SQRT($B$100/P1602),"")</f>
        <v/>
      </c>
      <c r="U1602" s="13">
        <f>IF(AND(ISNUMBER(R1602),ISNUMBER(S1602),ISNUMBER(T1602)),IF(R1602&gt;T1602,"boven UCL",IF(R1602&lt;S1602,"onder LCL","")),"")</f>
        <v/>
      </c>
    </row>
    <row r="1603">
      <c r="A1603" t="n">
        <v>1497</v>
      </c>
      <c r="B1603" s="7" t="n"/>
      <c r="C1603" s="11">
        <f>IF(AND(ISNUMBER(B1603),ISNUMBER(B1602)),ABS(B1603-B1602),"")</f>
        <v/>
      </c>
      <c r="D1603" s="13">
        <f>IF(AND(ISNUMBER(B1603),ISNUMBER($B$88),ISNUMBER($D$88)),IF(B1603&gt;$D$88,"boven UCL",IF(B1603&lt;$B$88,"onder LCL","")),"")</f>
        <v/>
      </c>
      <c r="E1603" s="13">
        <f>IF(AND(ISNUMBER(C1603),ISNUMBER($B$89),ISNUMBER($D$89)),IF(C1603&gt;$D$89,"boven UCL",IF(C1603&lt;$B$89,"onder LCL","")),"")</f>
        <v/>
      </c>
      <c r="G1603" t="n">
        <v>1497</v>
      </c>
      <c r="H1603" s="7" t="n"/>
      <c r="I1603" s="7" t="n"/>
      <c r="J1603" s="11">
        <f>IF(AND(ISNUMBER(H1603),ISNUMBER(I1603),H1603&gt;0,ISNUMBER($B$94)),I1603/H1603,"")</f>
        <v/>
      </c>
      <c r="K1603" s="11">
        <f>IF(AND(ISNUMBER(H1603),ISNUMBER(I1603),H1603&gt;0,ISNUMBER($B$94)),MAX(0,$B$94-3*SQRT($B$94*(1-$B$94)/H1603)),"")</f>
        <v/>
      </c>
      <c r="L1603" s="11">
        <f>IF(AND(ISNUMBER(H1603),ISNUMBER(I1603),H1603&gt;0,ISNUMBER($B$94)),$B$94+3*SQRT($B$94*(1-$B$94)/H1603),"")</f>
        <v/>
      </c>
      <c r="M1603" s="13">
        <f>IF(AND(ISNUMBER(J1603),ISNUMBER(K1603),ISNUMBER(L1603)),IF(J1603&gt;L1603,"boven UCL",IF(J1603&lt;K1603,"onder LCL","")),"")</f>
        <v/>
      </c>
      <c r="O1603" t="n">
        <v>1497</v>
      </c>
      <c r="P1603" s="7" t="n"/>
      <c r="Q1603" s="7" t="n"/>
      <c r="R1603" s="11">
        <f>IF(AND(ISNUMBER(P1603),ISNUMBER(Q1603),P1603&gt;0,ISNUMBER($B$100)),Q1603/P1603,"")</f>
        <v/>
      </c>
      <c r="S1603" s="11">
        <f>IF(AND(ISNUMBER(P1603),ISNUMBER(Q1603),P1603&gt;0,ISNUMBER($B$100)),MAX(0,$B$100-3*SQRT($B$100/P1603)),"")</f>
        <v/>
      </c>
      <c r="T1603" s="11">
        <f>IF(AND(ISNUMBER(P1603),ISNUMBER(Q1603),P1603&gt;0,ISNUMBER($B$100)),$B$100+3*SQRT($B$100/P1603),"")</f>
        <v/>
      </c>
      <c r="U1603" s="13">
        <f>IF(AND(ISNUMBER(R1603),ISNUMBER(S1603),ISNUMBER(T1603)),IF(R1603&gt;T1603,"boven UCL",IF(R1603&lt;S1603,"onder LCL","")),"")</f>
        <v/>
      </c>
    </row>
    <row r="1604">
      <c r="A1604" t="n">
        <v>1498</v>
      </c>
      <c r="B1604" s="7" t="n"/>
      <c r="C1604" s="11">
        <f>IF(AND(ISNUMBER(B1604),ISNUMBER(B1603)),ABS(B1604-B1603),"")</f>
        <v/>
      </c>
      <c r="D1604" s="13">
        <f>IF(AND(ISNUMBER(B1604),ISNUMBER($B$88),ISNUMBER($D$88)),IF(B1604&gt;$D$88,"boven UCL",IF(B1604&lt;$B$88,"onder LCL","")),"")</f>
        <v/>
      </c>
      <c r="E1604" s="13">
        <f>IF(AND(ISNUMBER(C1604),ISNUMBER($B$89),ISNUMBER($D$89)),IF(C1604&gt;$D$89,"boven UCL",IF(C1604&lt;$B$89,"onder LCL","")),"")</f>
        <v/>
      </c>
      <c r="G1604" t="n">
        <v>1498</v>
      </c>
      <c r="H1604" s="7" t="n"/>
      <c r="I1604" s="7" t="n"/>
      <c r="J1604" s="11">
        <f>IF(AND(ISNUMBER(H1604),ISNUMBER(I1604),H1604&gt;0,ISNUMBER($B$94)),I1604/H1604,"")</f>
        <v/>
      </c>
      <c r="K1604" s="11">
        <f>IF(AND(ISNUMBER(H1604),ISNUMBER(I1604),H1604&gt;0,ISNUMBER($B$94)),MAX(0,$B$94-3*SQRT($B$94*(1-$B$94)/H1604)),"")</f>
        <v/>
      </c>
      <c r="L1604" s="11">
        <f>IF(AND(ISNUMBER(H1604),ISNUMBER(I1604),H1604&gt;0,ISNUMBER($B$94)),$B$94+3*SQRT($B$94*(1-$B$94)/H1604),"")</f>
        <v/>
      </c>
      <c r="M1604" s="13">
        <f>IF(AND(ISNUMBER(J1604),ISNUMBER(K1604),ISNUMBER(L1604)),IF(J1604&gt;L1604,"boven UCL",IF(J1604&lt;K1604,"onder LCL","")),"")</f>
        <v/>
      </c>
      <c r="O1604" t="n">
        <v>1498</v>
      </c>
      <c r="P1604" s="7" t="n"/>
      <c r="Q1604" s="7" t="n"/>
      <c r="R1604" s="11">
        <f>IF(AND(ISNUMBER(P1604),ISNUMBER(Q1604),P1604&gt;0,ISNUMBER($B$100)),Q1604/P1604,"")</f>
        <v/>
      </c>
      <c r="S1604" s="11">
        <f>IF(AND(ISNUMBER(P1604),ISNUMBER(Q1604),P1604&gt;0,ISNUMBER($B$100)),MAX(0,$B$100-3*SQRT($B$100/P1604)),"")</f>
        <v/>
      </c>
      <c r="T1604" s="11">
        <f>IF(AND(ISNUMBER(P1604),ISNUMBER(Q1604),P1604&gt;0,ISNUMBER($B$100)),$B$100+3*SQRT($B$100/P1604),"")</f>
        <v/>
      </c>
      <c r="U1604" s="13">
        <f>IF(AND(ISNUMBER(R1604),ISNUMBER(S1604),ISNUMBER(T1604)),IF(R1604&gt;T1604,"boven UCL",IF(R1604&lt;S1604,"onder LCL","")),"")</f>
        <v/>
      </c>
    </row>
    <row r="1605">
      <c r="A1605" t="n">
        <v>1499</v>
      </c>
      <c r="B1605" s="7" t="n"/>
      <c r="C1605" s="11">
        <f>IF(AND(ISNUMBER(B1605),ISNUMBER(B1604)),ABS(B1605-B1604),"")</f>
        <v/>
      </c>
      <c r="D1605" s="13">
        <f>IF(AND(ISNUMBER(B1605),ISNUMBER($B$88),ISNUMBER($D$88)),IF(B1605&gt;$D$88,"boven UCL",IF(B1605&lt;$B$88,"onder LCL","")),"")</f>
        <v/>
      </c>
      <c r="E1605" s="13">
        <f>IF(AND(ISNUMBER(C1605),ISNUMBER($B$89),ISNUMBER($D$89)),IF(C1605&gt;$D$89,"boven UCL",IF(C1605&lt;$B$89,"onder LCL","")),"")</f>
        <v/>
      </c>
      <c r="G1605" t="n">
        <v>1499</v>
      </c>
      <c r="H1605" s="7" t="n"/>
      <c r="I1605" s="7" t="n"/>
      <c r="J1605" s="11">
        <f>IF(AND(ISNUMBER(H1605),ISNUMBER(I1605),H1605&gt;0,ISNUMBER($B$94)),I1605/H1605,"")</f>
        <v/>
      </c>
      <c r="K1605" s="11">
        <f>IF(AND(ISNUMBER(H1605),ISNUMBER(I1605),H1605&gt;0,ISNUMBER($B$94)),MAX(0,$B$94-3*SQRT($B$94*(1-$B$94)/H1605)),"")</f>
        <v/>
      </c>
      <c r="L1605" s="11">
        <f>IF(AND(ISNUMBER(H1605),ISNUMBER(I1605),H1605&gt;0,ISNUMBER($B$94)),$B$94+3*SQRT($B$94*(1-$B$94)/H1605),"")</f>
        <v/>
      </c>
      <c r="M1605" s="13">
        <f>IF(AND(ISNUMBER(J1605),ISNUMBER(K1605),ISNUMBER(L1605)),IF(J1605&gt;L1605,"boven UCL",IF(J1605&lt;K1605,"onder LCL","")),"")</f>
        <v/>
      </c>
      <c r="O1605" t="n">
        <v>1499</v>
      </c>
      <c r="P1605" s="7" t="n"/>
      <c r="Q1605" s="7" t="n"/>
      <c r="R1605" s="11">
        <f>IF(AND(ISNUMBER(P1605),ISNUMBER(Q1605),P1605&gt;0,ISNUMBER($B$100)),Q1605/P1605,"")</f>
        <v/>
      </c>
      <c r="S1605" s="11">
        <f>IF(AND(ISNUMBER(P1605),ISNUMBER(Q1605),P1605&gt;0,ISNUMBER($B$100)),MAX(0,$B$100-3*SQRT($B$100/P1605)),"")</f>
        <v/>
      </c>
      <c r="T1605" s="11">
        <f>IF(AND(ISNUMBER(P1605),ISNUMBER(Q1605),P1605&gt;0,ISNUMBER($B$100)),$B$100+3*SQRT($B$100/P1605),"")</f>
        <v/>
      </c>
      <c r="U1605" s="13">
        <f>IF(AND(ISNUMBER(R1605),ISNUMBER(S1605),ISNUMBER(T1605)),IF(R1605&gt;T1605,"boven UCL",IF(R1605&lt;S1605,"onder LCL","")),"")</f>
        <v/>
      </c>
    </row>
    <row r="1606">
      <c r="A1606" t="n">
        <v>1500</v>
      </c>
      <c r="B1606" s="7" t="n"/>
      <c r="C1606" s="11">
        <f>IF(AND(ISNUMBER(B1606),ISNUMBER(B1605)),ABS(B1606-B1605),"")</f>
        <v/>
      </c>
      <c r="D1606" s="13">
        <f>IF(AND(ISNUMBER(B1606),ISNUMBER($B$88),ISNUMBER($D$88)),IF(B1606&gt;$D$88,"boven UCL",IF(B1606&lt;$B$88,"onder LCL","")),"")</f>
        <v/>
      </c>
      <c r="E1606" s="13">
        <f>IF(AND(ISNUMBER(C1606),ISNUMBER($B$89),ISNUMBER($D$89)),IF(C1606&gt;$D$89,"boven UCL",IF(C1606&lt;$B$89,"onder LCL","")),"")</f>
        <v/>
      </c>
      <c r="G1606" t="n">
        <v>1500</v>
      </c>
      <c r="H1606" s="7" t="n"/>
      <c r="I1606" s="7" t="n"/>
      <c r="J1606" s="11">
        <f>IF(AND(ISNUMBER(H1606),ISNUMBER(I1606),H1606&gt;0,ISNUMBER($B$94)),I1606/H1606,"")</f>
        <v/>
      </c>
      <c r="K1606" s="11">
        <f>IF(AND(ISNUMBER(H1606),ISNUMBER(I1606),H1606&gt;0,ISNUMBER($B$94)),MAX(0,$B$94-3*SQRT($B$94*(1-$B$94)/H1606)),"")</f>
        <v/>
      </c>
      <c r="L1606" s="11">
        <f>IF(AND(ISNUMBER(H1606),ISNUMBER(I1606),H1606&gt;0,ISNUMBER($B$94)),$B$94+3*SQRT($B$94*(1-$B$94)/H1606),"")</f>
        <v/>
      </c>
      <c r="M1606" s="13">
        <f>IF(AND(ISNUMBER(J1606),ISNUMBER(K1606),ISNUMBER(L1606)),IF(J1606&gt;L1606,"boven UCL",IF(J1606&lt;K1606,"onder LCL","")),"")</f>
        <v/>
      </c>
      <c r="O1606" t="n">
        <v>1500</v>
      </c>
      <c r="P1606" s="7" t="n"/>
      <c r="Q1606" s="7" t="n"/>
      <c r="R1606" s="11">
        <f>IF(AND(ISNUMBER(P1606),ISNUMBER(Q1606),P1606&gt;0,ISNUMBER($B$100)),Q1606/P1606,"")</f>
        <v/>
      </c>
      <c r="S1606" s="11">
        <f>IF(AND(ISNUMBER(P1606),ISNUMBER(Q1606),P1606&gt;0,ISNUMBER($B$100)),MAX(0,$B$100-3*SQRT($B$100/P1606)),"")</f>
        <v/>
      </c>
      <c r="T1606" s="11">
        <f>IF(AND(ISNUMBER(P1606),ISNUMBER(Q1606),P1606&gt;0,ISNUMBER($B$100)),$B$100+3*SQRT($B$100/P1606),"")</f>
        <v/>
      </c>
      <c r="U1606" s="13">
        <f>IF(AND(ISNUMBER(R1606),ISNUMBER(S1606),ISNUMBER(T1606)),IF(R1606&gt;T1606,"boven UCL",IF(R1606&lt;S1606,"onder LCL","")),"")</f>
        <v/>
      </c>
    </row>
    <row r="1607">
      <c r="A1607" t="n">
        <v>1501</v>
      </c>
      <c r="B1607" s="7" t="n"/>
      <c r="C1607" s="11">
        <f>IF(AND(ISNUMBER(B1607),ISNUMBER(B1606)),ABS(B1607-B1606),"")</f>
        <v/>
      </c>
      <c r="D1607" s="13">
        <f>IF(AND(ISNUMBER(B1607),ISNUMBER($B$88),ISNUMBER($D$88)),IF(B1607&gt;$D$88,"boven UCL",IF(B1607&lt;$B$88,"onder LCL","")),"")</f>
        <v/>
      </c>
      <c r="E1607" s="13">
        <f>IF(AND(ISNUMBER(C1607),ISNUMBER($B$89),ISNUMBER($D$89)),IF(C1607&gt;$D$89,"boven UCL",IF(C1607&lt;$B$89,"onder LCL","")),"")</f>
        <v/>
      </c>
      <c r="G1607" t="n">
        <v>1501</v>
      </c>
      <c r="H1607" s="7" t="n"/>
      <c r="I1607" s="7" t="n"/>
      <c r="J1607" s="11">
        <f>IF(AND(ISNUMBER(H1607),ISNUMBER(I1607),H1607&gt;0,ISNUMBER($B$94)),I1607/H1607,"")</f>
        <v/>
      </c>
      <c r="K1607" s="11">
        <f>IF(AND(ISNUMBER(H1607),ISNUMBER(I1607),H1607&gt;0,ISNUMBER($B$94)),MAX(0,$B$94-3*SQRT($B$94*(1-$B$94)/H1607)),"")</f>
        <v/>
      </c>
      <c r="L1607" s="11">
        <f>IF(AND(ISNUMBER(H1607),ISNUMBER(I1607),H1607&gt;0,ISNUMBER($B$94)),$B$94+3*SQRT($B$94*(1-$B$94)/H1607),"")</f>
        <v/>
      </c>
      <c r="M1607" s="13">
        <f>IF(AND(ISNUMBER(J1607),ISNUMBER(K1607),ISNUMBER(L1607)),IF(J1607&gt;L1607,"boven UCL",IF(J1607&lt;K1607,"onder LCL","")),"")</f>
        <v/>
      </c>
      <c r="O1607" t="n">
        <v>1501</v>
      </c>
      <c r="P1607" s="7" t="n"/>
      <c r="Q1607" s="7" t="n"/>
      <c r="R1607" s="11">
        <f>IF(AND(ISNUMBER(P1607),ISNUMBER(Q1607),P1607&gt;0,ISNUMBER($B$100)),Q1607/P1607,"")</f>
        <v/>
      </c>
      <c r="S1607" s="11">
        <f>IF(AND(ISNUMBER(P1607),ISNUMBER(Q1607),P1607&gt;0,ISNUMBER($B$100)),MAX(0,$B$100-3*SQRT($B$100/P1607)),"")</f>
        <v/>
      </c>
      <c r="T1607" s="11">
        <f>IF(AND(ISNUMBER(P1607),ISNUMBER(Q1607),P1607&gt;0,ISNUMBER($B$100)),$B$100+3*SQRT($B$100/P1607),"")</f>
        <v/>
      </c>
      <c r="U1607" s="13">
        <f>IF(AND(ISNUMBER(R1607),ISNUMBER(S1607),ISNUMBER(T1607)),IF(R1607&gt;T1607,"boven UCL",IF(R1607&lt;S1607,"onder LCL","")),"")</f>
        <v/>
      </c>
    </row>
    <row r="1608">
      <c r="A1608" t="n">
        <v>1502</v>
      </c>
      <c r="B1608" s="7" t="n"/>
      <c r="C1608" s="11">
        <f>IF(AND(ISNUMBER(B1608),ISNUMBER(B1607)),ABS(B1608-B1607),"")</f>
        <v/>
      </c>
      <c r="D1608" s="13">
        <f>IF(AND(ISNUMBER(B1608),ISNUMBER($B$88),ISNUMBER($D$88)),IF(B1608&gt;$D$88,"boven UCL",IF(B1608&lt;$B$88,"onder LCL","")),"")</f>
        <v/>
      </c>
      <c r="E1608" s="13">
        <f>IF(AND(ISNUMBER(C1608),ISNUMBER($B$89),ISNUMBER($D$89)),IF(C1608&gt;$D$89,"boven UCL",IF(C1608&lt;$B$89,"onder LCL","")),"")</f>
        <v/>
      </c>
      <c r="G1608" t="n">
        <v>1502</v>
      </c>
      <c r="H1608" s="7" t="n"/>
      <c r="I1608" s="7" t="n"/>
      <c r="J1608" s="11">
        <f>IF(AND(ISNUMBER(H1608),ISNUMBER(I1608),H1608&gt;0,ISNUMBER($B$94)),I1608/H1608,"")</f>
        <v/>
      </c>
      <c r="K1608" s="11">
        <f>IF(AND(ISNUMBER(H1608),ISNUMBER(I1608),H1608&gt;0,ISNUMBER($B$94)),MAX(0,$B$94-3*SQRT($B$94*(1-$B$94)/H1608)),"")</f>
        <v/>
      </c>
      <c r="L1608" s="11">
        <f>IF(AND(ISNUMBER(H1608),ISNUMBER(I1608),H1608&gt;0,ISNUMBER($B$94)),$B$94+3*SQRT($B$94*(1-$B$94)/H1608),"")</f>
        <v/>
      </c>
      <c r="M1608" s="13">
        <f>IF(AND(ISNUMBER(J1608),ISNUMBER(K1608),ISNUMBER(L1608)),IF(J1608&gt;L1608,"boven UCL",IF(J1608&lt;K1608,"onder LCL","")),"")</f>
        <v/>
      </c>
      <c r="O1608" t="n">
        <v>1502</v>
      </c>
      <c r="P1608" s="7" t="n"/>
      <c r="Q1608" s="7" t="n"/>
      <c r="R1608" s="11">
        <f>IF(AND(ISNUMBER(P1608),ISNUMBER(Q1608),P1608&gt;0,ISNUMBER($B$100)),Q1608/P1608,"")</f>
        <v/>
      </c>
      <c r="S1608" s="11">
        <f>IF(AND(ISNUMBER(P1608),ISNUMBER(Q1608),P1608&gt;0,ISNUMBER($B$100)),MAX(0,$B$100-3*SQRT($B$100/P1608)),"")</f>
        <v/>
      </c>
      <c r="T1608" s="11">
        <f>IF(AND(ISNUMBER(P1608),ISNUMBER(Q1608),P1608&gt;0,ISNUMBER($B$100)),$B$100+3*SQRT($B$100/P1608),"")</f>
        <v/>
      </c>
      <c r="U1608" s="13">
        <f>IF(AND(ISNUMBER(R1608),ISNUMBER(S1608),ISNUMBER(T1608)),IF(R1608&gt;T1608,"boven UCL",IF(R1608&lt;S1608,"onder LCL","")),"")</f>
        <v/>
      </c>
    </row>
    <row r="1609">
      <c r="A1609" t="n">
        <v>1503</v>
      </c>
      <c r="B1609" s="7" t="n"/>
      <c r="C1609" s="11">
        <f>IF(AND(ISNUMBER(B1609),ISNUMBER(B1608)),ABS(B1609-B1608),"")</f>
        <v/>
      </c>
      <c r="D1609" s="13">
        <f>IF(AND(ISNUMBER(B1609),ISNUMBER($B$88),ISNUMBER($D$88)),IF(B1609&gt;$D$88,"boven UCL",IF(B1609&lt;$B$88,"onder LCL","")),"")</f>
        <v/>
      </c>
      <c r="E1609" s="13">
        <f>IF(AND(ISNUMBER(C1609),ISNUMBER($B$89),ISNUMBER($D$89)),IF(C1609&gt;$D$89,"boven UCL",IF(C1609&lt;$B$89,"onder LCL","")),"")</f>
        <v/>
      </c>
      <c r="G1609" t="n">
        <v>1503</v>
      </c>
      <c r="H1609" s="7" t="n"/>
      <c r="I1609" s="7" t="n"/>
      <c r="J1609" s="11">
        <f>IF(AND(ISNUMBER(H1609),ISNUMBER(I1609),H1609&gt;0,ISNUMBER($B$94)),I1609/H1609,"")</f>
        <v/>
      </c>
      <c r="K1609" s="11">
        <f>IF(AND(ISNUMBER(H1609),ISNUMBER(I1609),H1609&gt;0,ISNUMBER($B$94)),MAX(0,$B$94-3*SQRT($B$94*(1-$B$94)/H1609)),"")</f>
        <v/>
      </c>
      <c r="L1609" s="11">
        <f>IF(AND(ISNUMBER(H1609),ISNUMBER(I1609),H1609&gt;0,ISNUMBER($B$94)),$B$94+3*SQRT($B$94*(1-$B$94)/H1609),"")</f>
        <v/>
      </c>
      <c r="M1609" s="13">
        <f>IF(AND(ISNUMBER(J1609),ISNUMBER(K1609),ISNUMBER(L1609)),IF(J1609&gt;L1609,"boven UCL",IF(J1609&lt;K1609,"onder LCL","")),"")</f>
        <v/>
      </c>
      <c r="O1609" t="n">
        <v>1503</v>
      </c>
      <c r="P1609" s="7" t="n"/>
      <c r="Q1609" s="7" t="n"/>
      <c r="R1609" s="11">
        <f>IF(AND(ISNUMBER(P1609),ISNUMBER(Q1609),P1609&gt;0,ISNUMBER($B$100)),Q1609/P1609,"")</f>
        <v/>
      </c>
      <c r="S1609" s="11">
        <f>IF(AND(ISNUMBER(P1609),ISNUMBER(Q1609),P1609&gt;0,ISNUMBER($B$100)),MAX(0,$B$100-3*SQRT($B$100/P1609)),"")</f>
        <v/>
      </c>
      <c r="T1609" s="11">
        <f>IF(AND(ISNUMBER(P1609),ISNUMBER(Q1609),P1609&gt;0,ISNUMBER($B$100)),$B$100+3*SQRT($B$100/P1609),"")</f>
        <v/>
      </c>
      <c r="U1609" s="13">
        <f>IF(AND(ISNUMBER(R1609),ISNUMBER(S1609),ISNUMBER(T1609)),IF(R1609&gt;T1609,"boven UCL",IF(R1609&lt;S1609,"onder LCL","")),"")</f>
        <v/>
      </c>
    </row>
    <row r="1610">
      <c r="A1610" t="n">
        <v>1504</v>
      </c>
      <c r="B1610" s="7" t="n"/>
      <c r="C1610" s="11">
        <f>IF(AND(ISNUMBER(B1610),ISNUMBER(B1609)),ABS(B1610-B1609),"")</f>
        <v/>
      </c>
      <c r="D1610" s="13">
        <f>IF(AND(ISNUMBER(B1610),ISNUMBER($B$88),ISNUMBER($D$88)),IF(B1610&gt;$D$88,"boven UCL",IF(B1610&lt;$B$88,"onder LCL","")),"")</f>
        <v/>
      </c>
      <c r="E1610" s="13">
        <f>IF(AND(ISNUMBER(C1610),ISNUMBER($B$89),ISNUMBER($D$89)),IF(C1610&gt;$D$89,"boven UCL",IF(C1610&lt;$B$89,"onder LCL","")),"")</f>
        <v/>
      </c>
      <c r="G1610" t="n">
        <v>1504</v>
      </c>
      <c r="H1610" s="7" t="n"/>
      <c r="I1610" s="7" t="n"/>
      <c r="J1610" s="11">
        <f>IF(AND(ISNUMBER(H1610),ISNUMBER(I1610),H1610&gt;0,ISNUMBER($B$94)),I1610/H1610,"")</f>
        <v/>
      </c>
      <c r="K1610" s="11">
        <f>IF(AND(ISNUMBER(H1610),ISNUMBER(I1610),H1610&gt;0,ISNUMBER($B$94)),MAX(0,$B$94-3*SQRT($B$94*(1-$B$94)/H1610)),"")</f>
        <v/>
      </c>
      <c r="L1610" s="11">
        <f>IF(AND(ISNUMBER(H1610),ISNUMBER(I1610),H1610&gt;0,ISNUMBER($B$94)),$B$94+3*SQRT($B$94*(1-$B$94)/H1610),"")</f>
        <v/>
      </c>
      <c r="M1610" s="13">
        <f>IF(AND(ISNUMBER(J1610),ISNUMBER(K1610),ISNUMBER(L1610)),IF(J1610&gt;L1610,"boven UCL",IF(J1610&lt;K1610,"onder LCL","")),"")</f>
        <v/>
      </c>
      <c r="O1610" t="n">
        <v>1504</v>
      </c>
      <c r="P1610" s="7" t="n"/>
      <c r="Q1610" s="7" t="n"/>
      <c r="R1610" s="11">
        <f>IF(AND(ISNUMBER(P1610),ISNUMBER(Q1610),P1610&gt;0,ISNUMBER($B$100)),Q1610/P1610,"")</f>
        <v/>
      </c>
      <c r="S1610" s="11">
        <f>IF(AND(ISNUMBER(P1610),ISNUMBER(Q1610),P1610&gt;0,ISNUMBER($B$100)),MAX(0,$B$100-3*SQRT($B$100/P1610)),"")</f>
        <v/>
      </c>
      <c r="T1610" s="11">
        <f>IF(AND(ISNUMBER(P1610),ISNUMBER(Q1610),P1610&gt;0,ISNUMBER($B$100)),$B$100+3*SQRT($B$100/P1610),"")</f>
        <v/>
      </c>
      <c r="U1610" s="13">
        <f>IF(AND(ISNUMBER(R1610),ISNUMBER(S1610),ISNUMBER(T1610)),IF(R1610&gt;T1610,"boven UCL",IF(R1610&lt;S1610,"onder LCL","")),"")</f>
        <v/>
      </c>
    </row>
    <row r="1611">
      <c r="A1611" t="n">
        <v>1505</v>
      </c>
      <c r="B1611" s="7" t="n"/>
      <c r="C1611" s="11">
        <f>IF(AND(ISNUMBER(B1611),ISNUMBER(B1610)),ABS(B1611-B1610),"")</f>
        <v/>
      </c>
      <c r="D1611" s="13">
        <f>IF(AND(ISNUMBER(B1611),ISNUMBER($B$88),ISNUMBER($D$88)),IF(B1611&gt;$D$88,"boven UCL",IF(B1611&lt;$B$88,"onder LCL","")),"")</f>
        <v/>
      </c>
      <c r="E1611" s="13">
        <f>IF(AND(ISNUMBER(C1611),ISNUMBER($B$89),ISNUMBER($D$89)),IF(C1611&gt;$D$89,"boven UCL",IF(C1611&lt;$B$89,"onder LCL","")),"")</f>
        <v/>
      </c>
      <c r="G1611" t="n">
        <v>1505</v>
      </c>
      <c r="H1611" s="7" t="n"/>
      <c r="I1611" s="7" t="n"/>
      <c r="J1611" s="11">
        <f>IF(AND(ISNUMBER(H1611),ISNUMBER(I1611),H1611&gt;0,ISNUMBER($B$94)),I1611/H1611,"")</f>
        <v/>
      </c>
      <c r="K1611" s="11">
        <f>IF(AND(ISNUMBER(H1611),ISNUMBER(I1611),H1611&gt;0,ISNUMBER($B$94)),MAX(0,$B$94-3*SQRT($B$94*(1-$B$94)/H1611)),"")</f>
        <v/>
      </c>
      <c r="L1611" s="11">
        <f>IF(AND(ISNUMBER(H1611),ISNUMBER(I1611),H1611&gt;0,ISNUMBER($B$94)),$B$94+3*SQRT($B$94*(1-$B$94)/H1611),"")</f>
        <v/>
      </c>
      <c r="M1611" s="13">
        <f>IF(AND(ISNUMBER(J1611),ISNUMBER(K1611),ISNUMBER(L1611)),IF(J1611&gt;L1611,"boven UCL",IF(J1611&lt;K1611,"onder LCL","")),"")</f>
        <v/>
      </c>
      <c r="O1611" t="n">
        <v>1505</v>
      </c>
      <c r="P1611" s="7" t="n"/>
      <c r="Q1611" s="7" t="n"/>
      <c r="R1611" s="11">
        <f>IF(AND(ISNUMBER(P1611),ISNUMBER(Q1611),P1611&gt;0,ISNUMBER($B$100)),Q1611/P1611,"")</f>
        <v/>
      </c>
      <c r="S1611" s="11">
        <f>IF(AND(ISNUMBER(P1611),ISNUMBER(Q1611),P1611&gt;0,ISNUMBER($B$100)),MAX(0,$B$100-3*SQRT($B$100/P1611)),"")</f>
        <v/>
      </c>
      <c r="T1611" s="11">
        <f>IF(AND(ISNUMBER(P1611),ISNUMBER(Q1611),P1611&gt;0,ISNUMBER($B$100)),$B$100+3*SQRT($B$100/P1611),"")</f>
        <v/>
      </c>
      <c r="U1611" s="13">
        <f>IF(AND(ISNUMBER(R1611),ISNUMBER(S1611),ISNUMBER(T1611)),IF(R1611&gt;T1611,"boven UCL",IF(R1611&lt;S1611,"onder LCL","")),"")</f>
        <v/>
      </c>
    </row>
    <row r="1612">
      <c r="A1612" t="n">
        <v>1506</v>
      </c>
      <c r="B1612" s="7" t="n"/>
      <c r="C1612" s="11">
        <f>IF(AND(ISNUMBER(B1612),ISNUMBER(B1611)),ABS(B1612-B1611),"")</f>
        <v/>
      </c>
      <c r="D1612" s="13">
        <f>IF(AND(ISNUMBER(B1612),ISNUMBER($B$88),ISNUMBER($D$88)),IF(B1612&gt;$D$88,"boven UCL",IF(B1612&lt;$B$88,"onder LCL","")),"")</f>
        <v/>
      </c>
      <c r="E1612" s="13">
        <f>IF(AND(ISNUMBER(C1612),ISNUMBER($B$89),ISNUMBER($D$89)),IF(C1612&gt;$D$89,"boven UCL",IF(C1612&lt;$B$89,"onder LCL","")),"")</f>
        <v/>
      </c>
      <c r="G1612" t="n">
        <v>1506</v>
      </c>
      <c r="H1612" s="7" t="n"/>
      <c r="I1612" s="7" t="n"/>
      <c r="J1612" s="11">
        <f>IF(AND(ISNUMBER(H1612),ISNUMBER(I1612),H1612&gt;0,ISNUMBER($B$94)),I1612/H1612,"")</f>
        <v/>
      </c>
      <c r="K1612" s="11">
        <f>IF(AND(ISNUMBER(H1612),ISNUMBER(I1612),H1612&gt;0,ISNUMBER($B$94)),MAX(0,$B$94-3*SQRT($B$94*(1-$B$94)/H1612)),"")</f>
        <v/>
      </c>
      <c r="L1612" s="11">
        <f>IF(AND(ISNUMBER(H1612),ISNUMBER(I1612),H1612&gt;0,ISNUMBER($B$94)),$B$94+3*SQRT($B$94*(1-$B$94)/H1612),"")</f>
        <v/>
      </c>
      <c r="M1612" s="13">
        <f>IF(AND(ISNUMBER(J1612),ISNUMBER(K1612),ISNUMBER(L1612)),IF(J1612&gt;L1612,"boven UCL",IF(J1612&lt;K1612,"onder LCL","")),"")</f>
        <v/>
      </c>
      <c r="O1612" t="n">
        <v>1506</v>
      </c>
      <c r="P1612" s="7" t="n"/>
      <c r="Q1612" s="7" t="n"/>
      <c r="R1612" s="11">
        <f>IF(AND(ISNUMBER(P1612),ISNUMBER(Q1612),P1612&gt;0,ISNUMBER($B$100)),Q1612/P1612,"")</f>
        <v/>
      </c>
      <c r="S1612" s="11">
        <f>IF(AND(ISNUMBER(P1612),ISNUMBER(Q1612),P1612&gt;0,ISNUMBER($B$100)),MAX(0,$B$100-3*SQRT($B$100/P1612)),"")</f>
        <v/>
      </c>
      <c r="T1612" s="11">
        <f>IF(AND(ISNUMBER(P1612),ISNUMBER(Q1612),P1612&gt;0,ISNUMBER($B$100)),$B$100+3*SQRT($B$100/P1612),"")</f>
        <v/>
      </c>
      <c r="U1612" s="13">
        <f>IF(AND(ISNUMBER(R1612),ISNUMBER(S1612),ISNUMBER(T1612)),IF(R1612&gt;T1612,"boven UCL",IF(R1612&lt;S1612,"onder LCL","")),"")</f>
        <v/>
      </c>
    </row>
    <row r="1613">
      <c r="A1613" t="n">
        <v>1507</v>
      </c>
      <c r="B1613" s="7" t="n"/>
      <c r="C1613" s="11">
        <f>IF(AND(ISNUMBER(B1613),ISNUMBER(B1612)),ABS(B1613-B1612),"")</f>
        <v/>
      </c>
      <c r="D1613" s="13">
        <f>IF(AND(ISNUMBER(B1613),ISNUMBER($B$88),ISNUMBER($D$88)),IF(B1613&gt;$D$88,"boven UCL",IF(B1613&lt;$B$88,"onder LCL","")),"")</f>
        <v/>
      </c>
      <c r="E1613" s="13">
        <f>IF(AND(ISNUMBER(C1613),ISNUMBER($B$89),ISNUMBER($D$89)),IF(C1613&gt;$D$89,"boven UCL",IF(C1613&lt;$B$89,"onder LCL","")),"")</f>
        <v/>
      </c>
      <c r="G1613" t="n">
        <v>1507</v>
      </c>
      <c r="H1613" s="7" t="n"/>
      <c r="I1613" s="7" t="n"/>
      <c r="J1613" s="11">
        <f>IF(AND(ISNUMBER(H1613),ISNUMBER(I1613),H1613&gt;0,ISNUMBER($B$94)),I1613/H1613,"")</f>
        <v/>
      </c>
      <c r="K1613" s="11">
        <f>IF(AND(ISNUMBER(H1613),ISNUMBER(I1613),H1613&gt;0,ISNUMBER($B$94)),MAX(0,$B$94-3*SQRT($B$94*(1-$B$94)/H1613)),"")</f>
        <v/>
      </c>
      <c r="L1613" s="11">
        <f>IF(AND(ISNUMBER(H1613),ISNUMBER(I1613),H1613&gt;0,ISNUMBER($B$94)),$B$94+3*SQRT($B$94*(1-$B$94)/H1613),"")</f>
        <v/>
      </c>
      <c r="M1613" s="13">
        <f>IF(AND(ISNUMBER(J1613),ISNUMBER(K1613),ISNUMBER(L1613)),IF(J1613&gt;L1613,"boven UCL",IF(J1613&lt;K1613,"onder LCL","")),"")</f>
        <v/>
      </c>
      <c r="O1613" t="n">
        <v>1507</v>
      </c>
      <c r="P1613" s="7" t="n"/>
      <c r="Q1613" s="7" t="n"/>
      <c r="R1613" s="11">
        <f>IF(AND(ISNUMBER(P1613),ISNUMBER(Q1613),P1613&gt;0,ISNUMBER($B$100)),Q1613/P1613,"")</f>
        <v/>
      </c>
      <c r="S1613" s="11">
        <f>IF(AND(ISNUMBER(P1613),ISNUMBER(Q1613),P1613&gt;0,ISNUMBER($B$100)),MAX(0,$B$100-3*SQRT($B$100/P1613)),"")</f>
        <v/>
      </c>
      <c r="T1613" s="11">
        <f>IF(AND(ISNUMBER(P1613),ISNUMBER(Q1613),P1613&gt;0,ISNUMBER($B$100)),$B$100+3*SQRT($B$100/P1613),"")</f>
        <v/>
      </c>
      <c r="U1613" s="13">
        <f>IF(AND(ISNUMBER(R1613),ISNUMBER(S1613),ISNUMBER(T1613)),IF(R1613&gt;T1613,"boven UCL",IF(R1613&lt;S1613,"onder LCL","")),"")</f>
        <v/>
      </c>
    </row>
    <row r="1614">
      <c r="A1614" t="n">
        <v>1508</v>
      </c>
      <c r="B1614" s="7" t="n"/>
      <c r="C1614" s="11">
        <f>IF(AND(ISNUMBER(B1614),ISNUMBER(B1613)),ABS(B1614-B1613),"")</f>
        <v/>
      </c>
      <c r="D1614" s="13">
        <f>IF(AND(ISNUMBER(B1614),ISNUMBER($B$88),ISNUMBER($D$88)),IF(B1614&gt;$D$88,"boven UCL",IF(B1614&lt;$B$88,"onder LCL","")),"")</f>
        <v/>
      </c>
      <c r="E1614" s="13">
        <f>IF(AND(ISNUMBER(C1614),ISNUMBER($B$89),ISNUMBER($D$89)),IF(C1614&gt;$D$89,"boven UCL",IF(C1614&lt;$B$89,"onder LCL","")),"")</f>
        <v/>
      </c>
      <c r="G1614" t="n">
        <v>1508</v>
      </c>
      <c r="H1614" s="7" t="n"/>
      <c r="I1614" s="7" t="n"/>
      <c r="J1614" s="11">
        <f>IF(AND(ISNUMBER(H1614),ISNUMBER(I1614),H1614&gt;0,ISNUMBER($B$94)),I1614/H1614,"")</f>
        <v/>
      </c>
      <c r="K1614" s="11">
        <f>IF(AND(ISNUMBER(H1614),ISNUMBER(I1614),H1614&gt;0,ISNUMBER($B$94)),MAX(0,$B$94-3*SQRT($B$94*(1-$B$94)/H1614)),"")</f>
        <v/>
      </c>
      <c r="L1614" s="11">
        <f>IF(AND(ISNUMBER(H1614),ISNUMBER(I1614),H1614&gt;0,ISNUMBER($B$94)),$B$94+3*SQRT($B$94*(1-$B$94)/H1614),"")</f>
        <v/>
      </c>
      <c r="M1614" s="13">
        <f>IF(AND(ISNUMBER(J1614),ISNUMBER(K1614),ISNUMBER(L1614)),IF(J1614&gt;L1614,"boven UCL",IF(J1614&lt;K1614,"onder LCL","")),"")</f>
        <v/>
      </c>
      <c r="O1614" t="n">
        <v>1508</v>
      </c>
      <c r="P1614" s="7" t="n"/>
      <c r="Q1614" s="7" t="n"/>
      <c r="R1614" s="11">
        <f>IF(AND(ISNUMBER(P1614),ISNUMBER(Q1614),P1614&gt;0,ISNUMBER($B$100)),Q1614/P1614,"")</f>
        <v/>
      </c>
      <c r="S1614" s="11">
        <f>IF(AND(ISNUMBER(P1614),ISNUMBER(Q1614),P1614&gt;0,ISNUMBER($B$100)),MAX(0,$B$100-3*SQRT($B$100/P1614)),"")</f>
        <v/>
      </c>
      <c r="T1614" s="11">
        <f>IF(AND(ISNUMBER(P1614),ISNUMBER(Q1614),P1614&gt;0,ISNUMBER($B$100)),$B$100+3*SQRT($B$100/P1614),"")</f>
        <v/>
      </c>
      <c r="U1614" s="13">
        <f>IF(AND(ISNUMBER(R1614),ISNUMBER(S1614),ISNUMBER(T1614)),IF(R1614&gt;T1614,"boven UCL",IF(R1614&lt;S1614,"onder LCL","")),"")</f>
        <v/>
      </c>
    </row>
    <row r="1615">
      <c r="A1615" t="n">
        <v>1509</v>
      </c>
      <c r="B1615" s="7" t="n"/>
      <c r="C1615" s="11">
        <f>IF(AND(ISNUMBER(B1615),ISNUMBER(B1614)),ABS(B1615-B1614),"")</f>
        <v/>
      </c>
      <c r="D1615" s="13">
        <f>IF(AND(ISNUMBER(B1615),ISNUMBER($B$88),ISNUMBER($D$88)),IF(B1615&gt;$D$88,"boven UCL",IF(B1615&lt;$B$88,"onder LCL","")),"")</f>
        <v/>
      </c>
      <c r="E1615" s="13">
        <f>IF(AND(ISNUMBER(C1615),ISNUMBER($B$89),ISNUMBER($D$89)),IF(C1615&gt;$D$89,"boven UCL",IF(C1615&lt;$B$89,"onder LCL","")),"")</f>
        <v/>
      </c>
      <c r="G1615" t="n">
        <v>1509</v>
      </c>
      <c r="H1615" s="7" t="n"/>
      <c r="I1615" s="7" t="n"/>
      <c r="J1615" s="11">
        <f>IF(AND(ISNUMBER(H1615),ISNUMBER(I1615),H1615&gt;0,ISNUMBER($B$94)),I1615/H1615,"")</f>
        <v/>
      </c>
      <c r="K1615" s="11">
        <f>IF(AND(ISNUMBER(H1615),ISNUMBER(I1615),H1615&gt;0,ISNUMBER($B$94)),MAX(0,$B$94-3*SQRT($B$94*(1-$B$94)/H1615)),"")</f>
        <v/>
      </c>
      <c r="L1615" s="11">
        <f>IF(AND(ISNUMBER(H1615),ISNUMBER(I1615),H1615&gt;0,ISNUMBER($B$94)),$B$94+3*SQRT($B$94*(1-$B$94)/H1615),"")</f>
        <v/>
      </c>
      <c r="M1615" s="13">
        <f>IF(AND(ISNUMBER(J1615),ISNUMBER(K1615),ISNUMBER(L1615)),IF(J1615&gt;L1615,"boven UCL",IF(J1615&lt;K1615,"onder LCL","")),"")</f>
        <v/>
      </c>
      <c r="O1615" t="n">
        <v>1509</v>
      </c>
      <c r="P1615" s="7" t="n"/>
      <c r="Q1615" s="7" t="n"/>
      <c r="R1615" s="11">
        <f>IF(AND(ISNUMBER(P1615),ISNUMBER(Q1615),P1615&gt;0,ISNUMBER($B$100)),Q1615/P1615,"")</f>
        <v/>
      </c>
      <c r="S1615" s="11">
        <f>IF(AND(ISNUMBER(P1615),ISNUMBER(Q1615),P1615&gt;0,ISNUMBER($B$100)),MAX(0,$B$100-3*SQRT($B$100/P1615)),"")</f>
        <v/>
      </c>
      <c r="T1615" s="11">
        <f>IF(AND(ISNUMBER(P1615),ISNUMBER(Q1615),P1615&gt;0,ISNUMBER($B$100)),$B$100+3*SQRT($B$100/P1615),"")</f>
        <v/>
      </c>
      <c r="U1615" s="13">
        <f>IF(AND(ISNUMBER(R1615),ISNUMBER(S1615),ISNUMBER(T1615)),IF(R1615&gt;T1615,"boven UCL",IF(R1615&lt;S1615,"onder LCL","")),"")</f>
        <v/>
      </c>
    </row>
    <row r="1616">
      <c r="A1616" t="n">
        <v>1510</v>
      </c>
      <c r="B1616" s="7" t="n"/>
      <c r="C1616" s="11">
        <f>IF(AND(ISNUMBER(B1616),ISNUMBER(B1615)),ABS(B1616-B1615),"")</f>
        <v/>
      </c>
      <c r="D1616" s="13">
        <f>IF(AND(ISNUMBER(B1616),ISNUMBER($B$88),ISNUMBER($D$88)),IF(B1616&gt;$D$88,"boven UCL",IF(B1616&lt;$B$88,"onder LCL","")),"")</f>
        <v/>
      </c>
      <c r="E1616" s="13">
        <f>IF(AND(ISNUMBER(C1616),ISNUMBER($B$89),ISNUMBER($D$89)),IF(C1616&gt;$D$89,"boven UCL",IF(C1616&lt;$B$89,"onder LCL","")),"")</f>
        <v/>
      </c>
      <c r="G1616" t="n">
        <v>1510</v>
      </c>
      <c r="H1616" s="7" t="n"/>
      <c r="I1616" s="7" t="n"/>
      <c r="J1616" s="11">
        <f>IF(AND(ISNUMBER(H1616),ISNUMBER(I1616),H1616&gt;0,ISNUMBER($B$94)),I1616/H1616,"")</f>
        <v/>
      </c>
      <c r="K1616" s="11">
        <f>IF(AND(ISNUMBER(H1616),ISNUMBER(I1616),H1616&gt;0,ISNUMBER($B$94)),MAX(0,$B$94-3*SQRT($B$94*(1-$B$94)/H1616)),"")</f>
        <v/>
      </c>
      <c r="L1616" s="11">
        <f>IF(AND(ISNUMBER(H1616),ISNUMBER(I1616),H1616&gt;0,ISNUMBER($B$94)),$B$94+3*SQRT($B$94*(1-$B$94)/H1616),"")</f>
        <v/>
      </c>
      <c r="M1616" s="13">
        <f>IF(AND(ISNUMBER(J1616),ISNUMBER(K1616),ISNUMBER(L1616)),IF(J1616&gt;L1616,"boven UCL",IF(J1616&lt;K1616,"onder LCL","")),"")</f>
        <v/>
      </c>
      <c r="O1616" t="n">
        <v>1510</v>
      </c>
      <c r="P1616" s="7" t="n"/>
      <c r="Q1616" s="7" t="n"/>
      <c r="R1616" s="11">
        <f>IF(AND(ISNUMBER(P1616),ISNUMBER(Q1616),P1616&gt;0,ISNUMBER($B$100)),Q1616/P1616,"")</f>
        <v/>
      </c>
      <c r="S1616" s="11">
        <f>IF(AND(ISNUMBER(P1616),ISNUMBER(Q1616),P1616&gt;0,ISNUMBER($B$100)),MAX(0,$B$100-3*SQRT($B$100/P1616)),"")</f>
        <v/>
      </c>
      <c r="T1616" s="11">
        <f>IF(AND(ISNUMBER(P1616),ISNUMBER(Q1616),P1616&gt;0,ISNUMBER($B$100)),$B$100+3*SQRT($B$100/P1616),"")</f>
        <v/>
      </c>
      <c r="U1616" s="13">
        <f>IF(AND(ISNUMBER(R1616),ISNUMBER(S1616),ISNUMBER(T1616)),IF(R1616&gt;T1616,"boven UCL",IF(R1616&lt;S1616,"onder LCL","")),"")</f>
        <v/>
      </c>
    </row>
    <row r="1617">
      <c r="A1617" t="n">
        <v>1511</v>
      </c>
      <c r="B1617" s="7" t="n"/>
      <c r="C1617" s="11">
        <f>IF(AND(ISNUMBER(B1617),ISNUMBER(B1616)),ABS(B1617-B1616),"")</f>
        <v/>
      </c>
      <c r="D1617" s="13">
        <f>IF(AND(ISNUMBER(B1617),ISNUMBER($B$88),ISNUMBER($D$88)),IF(B1617&gt;$D$88,"boven UCL",IF(B1617&lt;$B$88,"onder LCL","")),"")</f>
        <v/>
      </c>
      <c r="E1617" s="13">
        <f>IF(AND(ISNUMBER(C1617),ISNUMBER($B$89),ISNUMBER($D$89)),IF(C1617&gt;$D$89,"boven UCL",IF(C1617&lt;$B$89,"onder LCL","")),"")</f>
        <v/>
      </c>
      <c r="G1617" t="n">
        <v>1511</v>
      </c>
      <c r="H1617" s="7" t="n"/>
      <c r="I1617" s="7" t="n"/>
      <c r="J1617" s="11">
        <f>IF(AND(ISNUMBER(H1617),ISNUMBER(I1617),H1617&gt;0,ISNUMBER($B$94)),I1617/H1617,"")</f>
        <v/>
      </c>
      <c r="K1617" s="11">
        <f>IF(AND(ISNUMBER(H1617),ISNUMBER(I1617),H1617&gt;0,ISNUMBER($B$94)),MAX(0,$B$94-3*SQRT($B$94*(1-$B$94)/H1617)),"")</f>
        <v/>
      </c>
      <c r="L1617" s="11">
        <f>IF(AND(ISNUMBER(H1617),ISNUMBER(I1617),H1617&gt;0,ISNUMBER($B$94)),$B$94+3*SQRT($B$94*(1-$B$94)/H1617),"")</f>
        <v/>
      </c>
      <c r="M1617" s="13">
        <f>IF(AND(ISNUMBER(J1617),ISNUMBER(K1617),ISNUMBER(L1617)),IF(J1617&gt;L1617,"boven UCL",IF(J1617&lt;K1617,"onder LCL","")),"")</f>
        <v/>
      </c>
      <c r="O1617" t="n">
        <v>1511</v>
      </c>
      <c r="P1617" s="7" t="n"/>
      <c r="Q1617" s="7" t="n"/>
      <c r="R1617" s="11">
        <f>IF(AND(ISNUMBER(P1617),ISNUMBER(Q1617),P1617&gt;0,ISNUMBER($B$100)),Q1617/P1617,"")</f>
        <v/>
      </c>
      <c r="S1617" s="11">
        <f>IF(AND(ISNUMBER(P1617),ISNUMBER(Q1617),P1617&gt;0,ISNUMBER($B$100)),MAX(0,$B$100-3*SQRT($B$100/P1617)),"")</f>
        <v/>
      </c>
      <c r="T1617" s="11">
        <f>IF(AND(ISNUMBER(P1617),ISNUMBER(Q1617),P1617&gt;0,ISNUMBER($B$100)),$B$100+3*SQRT($B$100/P1617),"")</f>
        <v/>
      </c>
      <c r="U1617" s="13">
        <f>IF(AND(ISNUMBER(R1617),ISNUMBER(S1617),ISNUMBER(T1617)),IF(R1617&gt;T1617,"boven UCL",IF(R1617&lt;S1617,"onder LCL","")),"")</f>
        <v/>
      </c>
    </row>
    <row r="1618">
      <c r="A1618" t="n">
        <v>1512</v>
      </c>
      <c r="B1618" s="7" t="n"/>
      <c r="C1618" s="11">
        <f>IF(AND(ISNUMBER(B1618),ISNUMBER(B1617)),ABS(B1618-B1617),"")</f>
        <v/>
      </c>
      <c r="D1618" s="13">
        <f>IF(AND(ISNUMBER(B1618),ISNUMBER($B$88),ISNUMBER($D$88)),IF(B1618&gt;$D$88,"boven UCL",IF(B1618&lt;$B$88,"onder LCL","")),"")</f>
        <v/>
      </c>
      <c r="E1618" s="13">
        <f>IF(AND(ISNUMBER(C1618),ISNUMBER($B$89),ISNUMBER($D$89)),IF(C1618&gt;$D$89,"boven UCL",IF(C1618&lt;$B$89,"onder LCL","")),"")</f>
        <v/>
      </c>
      <c r="G1618" t="n">
        <v>1512</v>
      </c>
      <c r="H1618" s="7" t="n"/>
      <c r="I1618" s="7" t="n"/>
      <c r="J1618" s="11">
        <f>IF(AND(ISNUMBER(H1618),ISNUMBER(I1618),H1618&gt;0,ISNUMBER($B$94)),I1618/H1618,"")</f>
        <v/>
      </c>
      <c r="K1618" s="11">
        <f>IF(AND(ISNUMBER(H1618),ISNUMBER(I1618),H1618&gt;0,ISNUMBER($B$94)),MAX(0,$B$94-3*SQRT($B$94*(1-$B$94)/H1618)),"")</f>
        <v/>
      </c>
      <c r="L1618" s="11">
        <f>IF(AND(ISNUMBER(H1618),ISNUMBER(I1618),H1618&gt;0,ISNUMBER($B$94)),$B$94+3*SQRT($B$94*(1-$B$94)/H1618),"")</f>
        <v/>
      </c>
      <c r="M1618" s="13">
        <f>IF(AND(ISNUMBER(J1618),ISNUMBER(K1618),ISNUMBER(L1618)),IF(J1618&gt;L1618,"boven UCL",IF(J1618&lt;K1618,"onder LCL","")),"")</f>
        <v/>
      </c>
      <c r="O1618" t="n">
        <v>1512</v>
      </c>
      <c r="P1618" s="7" t="n"/>
      <c r="Q1618" s="7" t="n"/>
      <c r="R1618" s="11">
        <f>IF(AND(ISNUMBER(P1618),ISNUMBER(Q1618),P1618&gt;0,ISNUMBER($B$100)),Q1618/P1618,"")</f>
        <v/>
      </c>
      <c r="S1618" s="11">
        <f>IF(AND(ISNUMBER(P1618),ISNUMBER(Q1618),P1618&gt;0,ISNUMBER($B$100)),MAX(0,$B$100-3*SQRT($B$100/P1618)),"")</f>
        <v/>
      </c>
      <c r="T1618" s="11">
        <f>IF(AND(ISNUMBER(P1618),ISNUMBER(Q1618),P1618&gt;0,ISNUMBER($B$100)),$B$100+3*SQRT($B$100/P1618),"")</f>
        <v/>
      </c>
      <c r="U1618" s="13">
        <f>IF(AND(ISNUMBER(R1618),ISNUMBER(S1618),ISNUMBER(T1618)),IF(R1618&gt;T1618,"boven UCL",IF(R1618&lt;S1618,"onder LCL","")),"")</f>
        <v/>
      </c>
    </row>
    <row r="1619">
      <c r="A1619" t="n">
        <v>1513</v>
      </c>
      <c r="B1619" s="7" t="n"/>
      <c r="C1619" s="11">
        <f>IF(AND(ISNUMBER(B1619),ISNUMBER(B1618)),ABS(B1619-B1618),"")</f>
        <v/>
      </c>
      <c r="D1619" s="13">
        <f>IF(AND(ISNUMBER(B1619),ISNUMBER($B$88),ISNUMBER($D$88)),IF(B1619&gt;$D$88,"boven UCL",IF(B1619&lt;$B$88,"onder LCL","")),"")</f>
        <v/>
      </c>
      <c r="E1619" s="13">
        <f>IF(AND(ISNUMBER(C1619),ISNUMBER($B$89),ISNUMBER($D$89)),IF(C1619&gt;$D$89,"boven UCL",IF(C1619&lt;$B$89,"onder LCL","")),"")</f>
        <v/>
      </c>
      <c r="G1619" t="n">
        <v>1513</v>
      </c>
      <c r="H1619" s="7" t="n"/>
      <c r="I1619" s="7" t="n"/>
      <c r="J1619" s="11">
        <f>IF(AND(ISNUMBER(H1619),ISNUMBER(I1619),H1619&gt;0,ISNUMBER($B$94)),I1619/H1619,"")</f>
        <v/>
      </c>
      <c r="K1619" s="11">
        <f>IF(AND(ISNUMBER(H1619),ISNUMBER(I1619),H1619&gt;0,ISNUMBER($B$94)),MAX(0,$B$94-3*SQRT($B$94*(1-$B$94)/H1619)),"")</f>
        <v/>
      </c>
      <c r="L1619" s="11">
        <f>IF(AND(ISNUMBER(H1619),ISNUMBER(I1619),H1619&gt;0,ISNUMBER($B$94)),$B$94+3*SQRT($B$94*(1-$B$94)/H1619),"")</f>
        <v/>
      </c>
      <c r="M1619" s="13">
        <f>IF(AND(ISNUMBER(J1619),ISNUMBER(K1619),ISNUMBER(L1619)),IF(J1619&gt;L1619,"boven UCL",IF(J1619&lt;K1619,"onder LCL","")),"")</f>
        <v/>
      </c>
      <c r="O1619" t="n">
        <v>1513</v>
      </c>
      <c r="P1619" s="7" t="n"/>
      <c r="Q1619" s="7" t="n"/>
      <c r="R1619" s="11">
        <f>IF(AND(ISNUMBER(P1619),ISNUMBER(Q1619),P1619&gt;0,ISNUMBER($B$100)),Q1619/P1619,"")</f>
        <v/>
      </c>
      <c r="S1619" s="11">
        <f>IF(AND(ISNUMBER(P1619),ISNUMBER(Q1619),P1619&gt;0,ISNUMBER($B$100)),MAX(0,$B$100-3*SQRT($B$100/P1619)),"")</f>
        <v/>
      </c>
      <c r="T1619" s="11">
        <f>IF(AND(ISNUMBER(P1619),ISNUMBER(Q1619),P1619&gt;0,ISNUMBER($B$100)),$B$100+3*SQRT($B$100/P1619),"")</f>
        <v/>
      </c>
      <c r="U1619" s="13">
        <f>IF(AND(ISNUMBER(R1619),ISNUMBER(S1619),ISNUMBER(T1619)),IF(R1619&gt;T1619,"boven UCL",IF(R1619&lt;S1619,"onder LCL","")),"")</f>
        <v/>
      </c>
    </row>
    <row r="1620">
      <c r="A1620" t="n">
        <v>1514</v>
      </c>
      <c r="B1620" s="7" t="n"/>
      <c r="C1620" s="11">
        <f>IF(AND(ISNUMBER(B1620),ISNUMBER(B1619)),ABS(B1620-B1619),"")</f>
        <v/>
      </c>
      <c r="D1620" s="13">
        <f>IF(AND(ISNUMBER(B1620),ISNUMBER($B$88),ISNUMBER($D$88)),IF(B1620&gt;$D$88,"boven UCL",IF(B1620&lt;$B$88,"onder LCL","")),"")</f>
        <v/>
      </c>
      <c r="E1620" s="13">
        <f>IF(AND(ISNUMBER(C1620),ISNUMBER($B$89),ISNUMBER($D$89)),IF(C1620&gt;$D$89,"boven UCL",IF(C1620&lt;$B$89,"onder LCL","")),"")</f>
        <v/>
      </c>
      <c r="G1620" t="n">
        <v>1514</v>
      </c>
      <c r="H1620" s="7" t="n"/>
      <c r="I1620" s="7" t="n"/>
      <c r="J1620" s="11">
        <f>IF(AND(ISNUMBER(H1620),ISNUMBER(I1620),H1620&gt;0,ISNUMBER($B$94)),I1620/H1620,"")</f>
        <v/>
      </c>
      <c r="K1620" s="11">
        <f>IF(AND(ISNUMBER(H1620),ISNUMBER(I1620),H1620&gt;0,ISNUMBER($B$94)),MAX(0,$B$94-3*SQRT($B$94*(1-$B$94)/H1620)),"")</f>
        <v/>
      </c>
      <c r="L1620" s="11">
        <f>IF(AND(ISNUMBER(H1620),ISNUMBER(I1620),H1620&gt;0,ISNUMBER($B$94)),$B$94+3*SQRT($B$94*(1-$B$94)/H1620),"")</f>
        <v/>
      </c>
      <c r="M1620" s="13">
        <f>IF(AND(ISNUMBER(J1620),ISNUMBER(K1620),ISNUMBER(L1620)),IF(J1620&gt;L1620,"boven UCL",IF(J1620&lt;K1620,"onder LCL","")),"")</f>
        <v/>
      </c>
      <c r="O1620" t="n">
        <v>1514</v>
      </c>
      <c r="P1620" s="7" t="n"/>
      <c r="Q1620" s="7" t="n"/>
      <c r="R1620" s="11">
        <f>IF(AND(ISNUMBER(P1620),ISNUMBER(Q1620),P1620&gt;0,ISNUMBER($B$100)),Q1620/P1620,"")</f>
        <v/>
      </c>
      <c r="S1620" s="11">
        <f>IF(AND(ISNUMBER(P1620),ISNUMBER(Q1620),P1620&gt;0,ISNUMBER($B$100)),MAX(0,$B$100-3*SQRT($B$100/P1620)),"")</f>
        <v/>
      </c>
      <c r="T1620" s="11">
        <f>IF(AND(ISNUMBER(P1620),ISNUMBER(Q1620),P1620&gt;0,ISNUMBER($B$100)),$B$100+3*SQRT($B$100/P1620),"")</f>
        <v/>
      </c>
      <c r="U1620" s="13">
        <f>IF(AND(ISNUMBER(R1620),ISNUMBER(S1620),ISNUMBER(T1620)),IF(R1620&gt;T1620,"boven UCL",IF(R1620&lt;S1620,"onder LCL","")),"")</f>
        <v/>
      </c>
    </row>
    <row r="1621">
      <c r="A1621" t="n">
        <v>1515</v>
      </c>
      <c r="B1621" s="7" t="n"/>
      <c r="C1621" s="11">
        <f>IF(AND(ISNUMBER(B1621),ISNUMBER(B1620)),ABS(B1621-B1620),"")</f>
        <v/>
      </c>
      <c r="D1621" s="13">
        <f>IF(AND(ISNUMBER(B1621),ISNUMBER($B$88),ISNUMBER($D$88)),IF(B1621&gt;$D$88,"boven UCL",IF(B1621&lt;$B$88,"onder LCL","")),"")</f>
        <v/>
      </c>
      <c r="E1621" s="13">
        <f>IF(AND(ISNUMBER(C1621),ISNUMBER($B$89),ISNUMBER($D$89)),IF(C1621&gt;$D$89,"boven UCL",IF(C1621&lt;$B$89,"onder LCL","")),"")</f>
        <v/>
      </c>
      <c r="G1621" t="n">
        <v>1515</v>
      </c>
      <c r="H1621" s="7" t="n"/>
      <c r="I1621" s="7" t="n"/>
      <c r="J1621" s="11">
        <f>IF(AND(ISNUMBER(H1621),ISNUMBER(I1621),H1621&gt;0,ISNUMBER($B$94)),I1621/H1621,"")</f>
        <v/>
      </c>
      <c r="K1621" s="11">
        <f>IF(AND(ISNUMBER(H1621),ISNUMBER(I1621),H1621&gt;0,ISNUMBER($B$94)),MAX(0,$B$94-3*SQRT($B$94*(1-$B$94)/H1621)),"")</f>
        <v/>
      </c>
      <c r="L1621" s="11">
        <f>IF(AND(ISNUMBER(H1621),ISNUMBER(I1621),H1621&gt;0,ISNUMBER($B$94)),$B$94+3*SQRT($B$94*(1-$B$94)/H1621),"")</f>
        <v/>
      </c>
      <c r="M1621" s="13">
        <f>IF(AND(ISNUMBER(J1621),ISNUMBER(K1621),ISNUMBER(L1621)),IF(J1621&gt;L1621,"boven UCL",IF(J1621&lt;K1621,"onder LCL","")),"")</f>
        <v/>
      </c>
      <c r="O1621" t="n">
        <v>1515</v>
      </c>
      <c r="P1621" s="7" t="n"/>
      <c r="Q1621" s="7" t="n"/>
      <c r="R1621" s="11">
        <f>IF(AND(ISNUMBER(P1621),ISNUMBER(Q1621),P1621&gt;0,ISNUMBER($B$100)),Q1621/P1621,"")</f>
        <v/>
      </c>
      <c r="S1621" s="11">
        <f>IF(AND(ISNUMBER(P1621),ISNUMBER(Q1621),P1621&gt;0,ISNUMBER($B$100)),MAX(0,$B$100-3*SQRT($B$100/P1621)),"")</f>
        <v/>
      </c>
      <c r="T1621" s="11">
        <f>IF(AND(ISNUMBER(P1621),ISNUMBER(Q1621),P1621&gt;0,ISNUMBER($B$100)),$B$100+3*SQRT($B$100/P1621),"")</f>
        <v/>
      </c>
      <c r="U1621" s="13">
        <f>IF(AND(ISNUMBER(R1621),ISNUMBER(S1621),ISNUMBER(T1621)),IF(R1621&gt;T1621,"boven UCL",IF(R1621&lt;S1621,"onder LCL","")),"")</f>
        <v/>
      </c>
    </row>
    <row r="1622">
      <c r="A1622" t="n">
        <v>1516</v>
      </c>
      <c r="B1622" s="7" t="n"/>
      <c r="C1622" s="11">
        <f>IF(AND(ISNUMBER(B1622),ISNUMBER(B1621)),ABS(B1622-B1621),"")</f>
        <v/>
      </c>
      <c r="D1622" s="13">
        <f>IF(AND(ISNUMBER(B1622),ISNUMBER($B$88),ISNUMBER($D$88)),IF(B1622&gt;$D$88,"boven UCL",IF(B1622&lt;$B$88,"onder LCL","")),"")</f>
        <v/>
      </c>
      <c r="E1622" s="13">
        <f>IF(AND(ISNUMBER(C1622),ISNUMBER($B$89),ISNUMBER($D$89)),IF(C1622&gt;$D$89,"boven UCL",IF(C1622&lt;$B$89,"onder LCL","")),"")</f>
        <v/>
      </c>
      <c r="G1622" t="n">
        <v>1516</v>
      </c>
      <c r="H1622" s="7" t="n"/>
      <c r="I1622" s="7" t="n"/>
      <c r="J1622" s="11">
        <f>IF(AND(ISNUMBER(H1622),ISNUMBER(I1622),H1622&gt;0,ISNUMBER($B$94)),I1622/H1622,"")</f>
        <v/>
      </c>
      <c r="K1622" s="11">
        <f>IF(AND(ISNUMBER(H1622),ISNUMBER(I1622),H1622&gt;0,ISNUMBER($B$94)),MAX(0,$B$94-3*SQRT($B$94*(1-$B$94)/H1622)),"")</f>
        <v/>
      </c>
      <c r="L1622" s="11">
        <f>IF(AND(ISNUMBER(H1622),ISNUMBER(I1622),H1622&gt;0,ISNUMBER($B$94)),$B$94+3*SQRT($B$94*(1-$B$94)/H1622),"")</f>
        <v/>
      </c>
      <c r="M1622" s="13">
        <f>IF(AND(ISNUMBER(J1622),ISNUMBER(K1622),ISNUMBER(L1622)),IF(J1622&gt;L1622,"boven UCL",IF(J1622&lt;K1622,"onder LCL","")),"")</f>
        <v/>
      </c>
      <c r="O1622" t="n">
        <v>1516</v>
      </c>
      <c r="P1622" s="7" t="n"/>
      <c r="Q1622" s="7" t="n"/>
      <c r="R1622" s="11">
        <f>IF(AND(ISNUMBER(P1622),ISNUMBER(Q1622),P1622&gt;0,ISNUMBER($B$100)),Q1622/P1622,"")</f>
        <v/>
      </c>
      <c r="S1622" s="11">
        <f>IF(AND(ISNUMBER(P1622),ISNUMBER(Q1622),P1622&gt;0,ISNUMBER($B$100)),MAX(0,$B$100-3*SQRT($B$100/P1622)),"")</f>
        <v/>
      </c>
      <c r="T1622" s="11">
        <f>IF(AND(ISNUMBER(P1622),ISNUMBER(Q1622),P1622&gt;0,ISNUMBER($B$100)),$B$100+3*SQRT($B$100/P1622),"")</f>
        <v/>
      </c>
      <c r="U1622" s="13">
        <f>IF(AND(ISNUMBER(R1622),ISNUMBER(S1622),ISNUMBER(T1622)),IF(R1622&gt;T1622,"boven UCL",IF(R1622&lt;S1622,"onder LCL","")),"")</f>
        <v/>
      </c>
    </row>
    <row r="1623">
      <c r="A1623" t="n">
        <v>1517</v>
      </c>
      <c r="B1623" s="7" t="n"/>
      <c r="C1623" s="11">
        <f>IF(AND(ISNUMBER(B1623),ISNUMBER(B1622)),ABS(B1623-B1622),"")</f>
        <v/>
      </c>
      <c r="D1623" s="13">
        <f>IF(AND(ISNUMBER(B1623),ISNUMBER($B$88),ISNUMBER($D$88)),IF(B1623&gt;$D$88,"boven UCL",IF(B1623&lt;$B$88,"onder LCL","")),"")</f>
        <v/>
      </c>
      <c r="E1623" s="13">
        <f>IF(AND(ISNUMBER(C1623),ISNUMBER($B$89),ISNUMBER($D$89)),IF(C1623&gt;$D$89,"boven UCL",IF(C1623&lt;$B$89,"onder LCL","")),"")</f>
        <v/>
      </c>
      <c r="G1623" t="n">
        <v>1517</v>
      </c>
      <c r="H1623" s="7" t="n"/>
      <c r="I1623" s="7" t="n"/>
      <c r="J1623" s="11">
        <f>IF(AND(ISNUMBER(H1623),ISNUMBER(I1623),H1623&gt;0,ISNUMBER($B$94)),I1623/H1623,"")</f>
        <v/>
      </c>
      <c r="K1623" s="11">
        <f>IF(AND(ISNUMBER(H1623),ISNUMBER(I1623),H1623&gt;0,ISNUMBER($B$94)),MAX(0,$B$94-3*SQRT($B$94*(1-$B$94)/H1623)),"")</f>
        <v/>
      </c>
      <c r="L1623" s="11">
        <f>IF(AND(ISNUMBER(H1623),ISNUMBER(I1623),H1623&gt;0,ISNUMBER($B$94)),$B$94+3*SQRT($B$94*(1-$B$94)/H1623),"")</f>
        <v/>
      </c>
      <c r="M1623" s="13">
        <f>IF(AND(ISNUMBER(J1623),ISNUMBER(K1623),ISNUMBER(L1623)),IF(J1623&gt;L1623,"boven UCL",IF(J1623&lt;K1623,"onder LCL","")),"")</f>
        <v/>
      </c>
      <c r="O1623" t="n">
        <v>1517</v>
      </c>
      <c r="P1623" s="7" t="n"/>
      <c r="Q1623" s="7" t="n"/>
      <c r="R1623" s="11">
        <f>IF(AND(ISNUMBER(P1623),ISNUMBER(Q1623),P1623&gt;0,ISNUMBER($B$100)),Q1623/P1623,"")</f>
        <v/>
      </c>
      <c r="S1623" s="11">
        <f>IF(AND(ISNUMBER(P1623),ISNUMBER(Q1623),P1623&gt;0,ISNUMBER($B$100)),MAX(0,$B$100-3*SQRT($B$100/P1623)),"")</f>
        <v/>
      </c>
      <c r="T1623" s="11">
        <f>IF(AND(ISNUMBER(P1623),ISNUMBER(Q1623),P1623&gt;0,ISNUMBER($B$100)),$B$100+3*SQRT($B$100/P1623),"")</f>
        <v/>
      </c>
      <c r="U1623" s="13">
        <f>IF(AND(ISNUMBER(R1623),ISNUMBER(S1623),ISNUMBER(T1623)),IF(R1623&gt;T1623,"boven UCL",IF(R1623&lt;S1623,"onder LCL","")),"")</f>
        <v/>
      </c>
    </row>
    <row r="1624">
      <c r="A1624" t="n">
        <v>1518</v>
      </c>
      <c r="B1624" s="7" t="n"/>
      <c r="C1624" s="11">
        <f>IF(AND(ISNUMBER(B1624),ISNUMBER(B1623)),ABS(B1624-B1623),"")</f>
        <v/>
      </c>
      <c r="D1624" s="13">
        <f>IF(AND(ISNUMBER(B1624),ISNUMBER($B$88),ISNUMBER($D$88)),IF(B1624&gt;$D$88,"boven UCL",IF(B1624&lt;$B$88,"onder LCL","")),"")</f>
        <v/>
      </c>
      <c r="E1624" s="13">
        <f>IF(AND(ISNUMBER(C1624),ISNUMBER($B$89),ISNUMBER($D$89)),IF(C1624&gt;$D$89,"boven UCL",IF(C1624&lt;$B$89,"onder LCL","")),"")</f>
        <v/>
      </c>
      <c r="G1624" t="n">
        <v>1518</v>
      </c>
      <c r="H1624" s="7" t="n"/>
      <c r="I1624" s="7" t="n"/>
      <c r="J1624" s="11">
        <f>IF(AND(ISNUMBER(H1624),ISNUMBER(I1624),H1624&gt;0,ISNUMBER($B$94)),I1624/H1624,"")</f>
        <v/>
      </c>
      <c r="K1624" s="11">
        <f>IF(AND(ISNUMBER(H1624),ISNUMBER(I1624),H1624&gt;0,ISNUMBER($B$94)),MAX(0,$B$94-3*SQRT($B$94*(1-$B$94)/H1624)),"")</f>
        <v/>
      </c>
      <c r="L1624" s="11">
        <f>IF(AND(ISNUMBER(H1624),ISNUMBER(I1624),H1624&gt;0,ISNUMBER($B$94)),$B$94+3*SQRT($B$94*(1-$B$94)/H1624),"")</f>
        <v/>
      </c>
      <c r="M1624" s="13">
        <f>IF(AND(ISNUMBER(J1624),ISNUMBER(K1624),ISNUMBER(L1624)),IF(J1624&gt;L1624,"boven UCL",IF(J1624&lt;K1624,"onder LCL","")),"")</f>
        <v/>
      </c>
      <c r="O1624" t="n">
        <v>1518</v>
      </c>
      <c r="P1624" s="7" t="n"/>
      <c r="Q1624" s="7" t="n"/>
      <c r="R1624" s="11">
        <f>IF(AND(ISNUMBER(P1624),ISNUMBER(Q1624),P1624&gt;0,ISNUMBER($B$100)),Q1624/P1624,"")</f>
        <v/>
      </c>
      <c r="S1624" s="11">
        <f>IF(AND(ISNUMBER(P1624),ISNUMBER(Q1624),P1624&gt;0,ISNUMBER($B$100)),MAX(0,$B$100-3*SQRT($B$100/P1624)),"")</f>
        <v/>
      </c>
      <c r="T1624" s="11">
        <f>IF(AND(ISNUMBER(P1624),ISNUMBER(Q1624),P1624&gt;0,ISNUMBER($B$100)),$B$100+3*SQRT($B$100/P1624),"")</f>
        <v/>
      </c>
      <c r="U1624" s="13">
        <f>IF(AND(ISNUMBER(R1624),ISNUMBER(S1624),ISNUMBER(T1624)),IF(R1624&gt;T1624,"boven UCL",IF(R1624&lt;S1624,"onder LCL","")),"")</f>
        <v/>
      </c>
    </row>
    <row r="1625">
      <c r="A1625" t="n">
        <v>1519</v>
      </c>
      <c r="B1625" s="7" t="n"/>
      <c r="C1625" s="11">
        <f>IF(AND(ISNUMBER(B1625),ISNUMBER(B1624)),ABS(B1625-B1624),"")</f>
        <v/>
      </c>
      <c r="D1625" s="13">
        <f>IF(AND(ISNUMBER(B1625),ISNUMBER($B$88),ISNUMBER($D$88)),IF(B1625&gt;$D$88,"boven UCL",IF(B1625&lt;$B$88,"onder LCL","")),"")</f>
        <v/>
      </c>
      <c r="E1625" s="13">
        <f>IF(AND(ISNUMBER(C1625),ISNUMBER($B$89),ISNUMBER($D$89)),IF(C1625&gt;$D$89,"boven UCL",IF(C1625&lt;$B$89,"onder LCL","")),"")</f>
        <v/>
      </c>
      <c r="G1625" t="n">
        <v>1519</v>
      </c>
      <c r="H1625" s="7" t="n"/>
      <c r="I1625" s="7" t="n"/>
      <c r="J1625" s="11">
        <f>IF(AND(ISNUMBER(H1625),ISNUMBER(I1625),H1625&gt;0,ISNUMBER($B$94)),I1625/H1625,"")</f>
        <v/>
      </c>
      <c r="K1625" s="11">
        <f>IF(AND(ISNUMBER(H1625),ISNUMBER(I1625),H1625&gt;0,ISNUMBER($B$94)),MAX(0,$B$94-3*SQRT($B$94*(1-$B$94)/H1625)),"")</f>
        <v/>
      </c>
      <c r="L1625" s="11">
        <f>IF(AND(ISNUMBER(H1625),ISNUMBER(I1625),H1625&gt;0,ISNUMBER($B$94)),$B$94+3*SQRT($B$94*(1-$B$94)/H1625),"")</f>
        <v/>
      </c>
      <c r="M1625" s="13">
        <f>IF(AND(ISNUMBER(J1625),ISNUMBER(K1625),ISNUMBER(L1625)),IF(J1625&gt;L1625,"boven UCL",IF(J1625&lt;K1625,"onder LCL","")),"")</f>
        <v/>
      </c>
      <c r="O1625" t="n">
        <v>1519</v>
      </c>
      <c r="P1625" s="7" t="n"/>
      <c r="Q1625" s="7" t="n"/>
      <c r="R1625" s="11">
        <f>IF(AND(ISNUMBER(P1625),ISNUMBER(Q1625),P1625&gt;0,ISNUMBER($B$100)),Q1625/P1625,"")</f>
        <v/>
      </c>
      <c r="S1625" s="11">
        <f>IF(AND(ISNUMBER(P1625),ISNUMBER(Q1625),P1625&gt;0,ISNUMBER($B$100)),MAX(0,$B$100-3*SQRT($B$100/P1625)),"")</f>
        <v/>
      </c>
      <c r="T1625" s="11">
        <f>IF(AND(ISNUMBER(P1625),ISNUMBER(Q1625),P1625&gt;0,ISNUMBER($B$100)),$B$100+3*SQRT($B$100/P1625),"")</f>
        <v/>
      </c>
      <c r="U1625" s="13">
        <f>IF(AND(ISNUMBER(R1625),ISNUMBER(S1625),ISNUMBER(T1625)),IF(R1625&gt;T1625,"boven UCL",IF(R1625&lt;S1625,"onder LCL","")),"")</f>
        <v/>
      </c>
    </row>
    <row r="1626">
      <c r="A1626" t="n">
        <v>1520</v>
      </c>
      <c r="B1626" s="7" t="n"/>
      <c r="C1626" s="11">
        <f>IF(AND(ISNUMBER(B1626),ISNUMBER(B1625)),ABS(B1626-B1625),"")</f>
        <v/>
      </c>
      <c r="D1626" s="13">
        <f>IF(AND(ISNUMBER(B1626),ISNUMBER($B$88),ISNUMBER($D$88)),IF(B1626&gt;$D$88,"boven UCL",IF(B1626&lt;$B$88,"onder LCL","")),"")</f>
        <v/>
      </c>
      <c r="E1626" s="13">
        <f>IF(AND(ISNUMBER(C1626),ISNUMBER($B$89),ISNUMBER($D$89)),IF(C1626&gt;$D$89,"boven UCL",IF(C1626&lt;$B$89,"onder LCL","")),"")</f>
        <v/>
      </c>
      <c r="G1626" t="n">
        <v>1520</v>
      </c>
      <c r="H1626" s="7" t="n"/>
      <c r="I1626" s="7" t="n"/>
      <c r="J1626" s="11">
        <f>IF(AND(ISNUMBER(H1626),ISNUMBER(I1626),H1626&gt;0,ISNUMBER($B$94)),I1626/H1626,"")</f>
        <v/>
      </c>
      <c r="K1626" s="11">
        <f>IF(AND(ISNUMBER(H1626),ISNUMBER(I1626),H1626&gt;0,ISNUMBER($B$94)),MAX(0,$B$94-3*SQRT($B$94*(1-$B$94)/H1626)),"")</f>
        <v/>
      </c>
      <c r="L1626" s="11">
        <f>IF(AND(ISNUMBER(H1626),ISNUMBER(I1626),H1626&gt;0,ISNUMBER($B$94)),$B$94+3*SQRT($B$94*(1-$B$94)/H1626),"")</f>
        <v/>
      </c>
      <c r="M1626" s="13">
        <f>IF(AND(ISNUMBER(J1626),ISNUMBER(K1626),ISNUMBER(L1626)),IF(J1626&gt;L1626,"boven UCL",IF(J1626&lt;K1626,"onder LCL","")),"")</f>
        <v/>
      </c>
      <c r="O1626" t="n">
        <v>1520</v>
      </c>
      <c r="P1626" s="7" t="n"/>
      <c r="Q1626" s="7" t="n"/>
      <c r="R1626" s="11">
        <f>IF(AND(ISNUMBER(P1626),ISNUMBER(Q1626),P1626&gt;0,ISNUMBER($B$100)),Q1626/P1626,"")</f>
        <v/>
      </c>
      <c r="S1626" s="11">
        <f>IF(AND(ISNUMBER(P1626),ISNUMBER(Q1626),P1626&gt;0,ISNUMBER($B$100)),MAX(0,$B$100-3*SQRT($B$100/P1626)),"")</f>
        <v/>
      </c>
      <c r="T1626" s="11">
        <f>IF(AND(ISNUMBER(P1626),ISNUMBER(Q1626),P1626&gt;0,ISNUMBER($B$100)),$B$100+3*SQRT($B$100/P1626),"")</f>
        <v/>
      </c>
      <c r="U1626" s="13">
        <f>IF(AND(ISNUMBER(R1626),ISNUMBER(S1626),ISNUMBER(T1626)),IF(R1626&gt;T1626,"boven UCL",IF(R1626&lt;S1626,"onder LCL","")),"")</f>
        <v/>
      </c>
    </row>
    <row r="1627">
      <c r="A1627" t="n">
        <v>1521</v>
      </c>
      <c r="B1627" s="7" t="n"/>
      <c r="C1627" s="11">
        <f>IF(AND(ISNUMBER(B1627),ISNUMBER(B1626)),ABS(B1627-B1626),"")</f>
        <v/>
      </c>
      <c r="D1627" s="13">
        <f>IF(AND(ISNUMBER(B1627),ISNUMBER($B$88),ISNUMBER($D$88)),IF(B1627&gt;$D$88,"boven UCL",IF(B1627&lt;$B$88,"onder LCL","")),"")</f>
        <v/>
      </c>
      <c r="E1627" s="13">
        <f>IF(AND(ISNUMBER(C1627),ISNUMBER($B$89),ISNUMBER($D$89)),IF(C1627&gt;$D$89,"boven UCL",IF(C1627&lt;$B$89,"onder LCL","")),"")</f>
        <v/>
      </c>
      <c r="G1627" t="n">
        <v>1521</v>
      </c>
      <c r="H1627" s="7" t="n"/>
      <c r="I1627" s="7" t="n"/>
      <c r="J1627" s="11">
        <f>IF(AND(ISNUMBER(H1627),ISNUMBER(I1627),H1627&gt;0,ISNUMBER($B$94)),I1627/H1627,"")</f>
        <v/>
      </c>
      <c r="K1627" s="11">
        <f>IF(AND(ISNUMBER(H1627),ISNUMBER(I1627),H1627&gt;0,ISNUMBER($B$94)),MAX(0,$B$94-3*SQRT($B$94*(1-$B$94)/H1627)),"")</f>
        <v/>
      </c>
      <c r="L1627" s="11">
        <f>IF(AND(ISNUMBER(H1627),ISNUMBER(I1627),H1627&gt;0,ISNUMBER($B$94)),$B$94+3*SQRT($B$94*(1-$B$94)/H1627),"")</f>
        <v/>
      </c>
      <c r="M1627" s="13">
        <f>IF(AND(ISNUMBER(J1627),ISNUMBER(K1627),ISNUMBER(L1627)),IF(J1627&gt;L1627,"boven UCL",IF(J1627&lt;K1627,"onder LCL","")),"")</f>
        <v/>
      </c>
      <c r="O1627" t="n">
        <v>1521</v>
      </c>
      <c r="P1627" s="7" t="n"/>
      <c r="Q1627" s="7" t="n"/>
      <c r="R1627" s="11">
        <f>IF(AND(ISNUMBER(P1627),ISNUMBER(Q1627),P1627&gt;0,ISNUMBER($B$100)),Q1627/P1627,"")</f>
        <v/>
      </c>
      <c r="S1627" s="11">
        <f>IF(AND(ISNUMBER(P1627),ISNUMBER(Q1627),P1627&gt;0,ISNUMBER($B$100)),MAX(0,$B$100-3*SQRT($B$100/P1627)),"")</f>
        <v/>
      </c>
      <c r="T1627" s="11">
        <f>IF(AND(ISNUMBER(P1627),ISNUMBER(Q1627),P1627&gt;0,ISNUMBER($B$100)),$B$100+3*SQRT($B$100/P1627),"")</f>
        <v/>
      </c>
      <c r="U1627" s="13">
        <f>IF(AND(ISNUMBER(R1627),ISNUMBER(S1627),ISNUMBER(T1627)),IF(R1627&gt;T1627,"boven UCL",IF(R1627&lt;S1627,"onder LCL","")),"")</f>
        <v/>
      </c>
    </row>
    <row r="1628">
      <c r="A1628" t="n">
        <v>1522</v>
      </c>
      <c r="B1628" s="7" t="n"/>
      <c r="C1628" s="11">
        <f>IF(AND(ISNUMBER(B1628),ISNUMBER(B1627)),ABS(B1628-B1627),"")</f>
        <v/>
      </c>
      <c r="D1628" s="13">
        <f>IF(AND(ISNUMBER(B1628),ISNUMBER($B$88),ISNUMBER($D$88)),IF(B1628&gt;$D$88,"boven UCL",IF(B1628&lt;$B$88,"onder LCL","")),"")</f>
        <v/>
      </c>
      <c r="E1628" s="13">
        <f>IF(AND(ISNUMBER(C1628),ISNUMBER($B$89),ISNUMBER($D$89)),IF(C1628&gt;$D$89,"boven UCL",IF(C1628&lt;$B$89,"onder LCL","")),"")</f>
        <v/>
      </c>
      <c r="G1628" t="n">
        <v>1522</v>
      </c>
      <c r="H1628" s="7" t="n"/>
      <c r="I1628" s="7" t="n"/>
      <c r="J1628" s="11">
        <f>IF(AND(ISNUMBER(H1628),ISNUMBER(I1628),H1628&gt;0,ISNUMBER($B$94)),I1628/H1628,"")</f>
        <v/>
      </c>
      <c r="K1628" s="11">
        <f>IF(AND(ISNUMBER(H1628),ISNUMBER(I1628),H1628&gt;0,ISNUMBER($B$94)),MAX(0,$B$94-3*SQRT($B$94*(1-$B$94)/H1628)),"")</f>
        <v/>
      </c>
      <c r="L1628" s="11">
        <f>IF(AND(ISNUMBER(H1628),ISNUMBER(I1628),H1628&gt;0,ISNUMBER($B$94)),$B$94+3*SQRT($B$94*(1-$B$94)/H1628),"")</f>
        <v/>
      </c>
      <c r="M1628" s="13">
        <f>IF(AND(ISNUMBER(J1628),ISNUMBER(K1628),ISNUMBER(L1628)),IF(J1628&gt;L1628,"boven UCL",IF(J1628&lt;K1628,"onder LCL","")),"")</f>
        <v/>
      </c>
      <c r="O1628" t="n">
        <v>1522</v>
      </c>
      <c r="P1628" s="7" t="n"/>
      <c r="Q1628" s="7" t="n"/>
      <c r="R1628" s="11">
        <f>IF(AND(ISNUMBER(P1628),ISNUMBER(Q1628),P1628&gt;0,ISNUMBER($B$100)),Q1628/P1628,"")</f>
        <v/>
      </c>
      <c r="S1628" s="11">
        <f>IF(AND(ISNUMBER(P1628),ISNUMBER(Q1628),P1628&gt;0,ISNUMBER($B$100)),MAX(0,$B$100-3*SQRT($B$100/P1628)),"")</f>
        <v/>
      </c>
      <c r="T1628" s="11">
        <f>IF(AND(ISNUMBER(P1628),ISNUMBER(Q1628),P1628&gt;0,ISNUMBER($B$100)),$B$100+3*SQRT($B$100/P1628),"")</f>
        <v/>
      </c>
      <c r="U1628" s="13">
        <f>IF(AND(ISNUMBER(R1628),ISNUMBER(S1628),ISNUMBER(T1628)),IF(R1628&gt;T1628,"boven UCL",IF(R1628&lt;S1628,"onder LCL","")),"")</f>
        <v/>
      </c>
    </row>
    <row r="1629">
      <c r="A1629" t="n">
        <v>1523</v>
      </c>
      <c r="B1629" s="7" t="n"/>
      <c r="C1629" s="11">
        <f>IF(AND(ISNUMBER(B1629),ISNUMBER(B1628)),ABS(B1629-B1628),"")</f>
        <v/>
      </c>
      <c r="D1629" s="13">
        <f>IF(AND(ISNUMBER(B1629),ISNUMBER($B$88),ISNUMBER($D$88)),IF(B1629&gt;$D$88,"boven UCL",IF(B1629&lt;$B$88,"onder LCL","")),"")</f>
        <v/>
      </c>
      <c r="E1629" s="13">
        <f>IF(AND(ISNUMBER(C1629),ISNUMBER($B$89),ISNUMBER($D$89)),IF(C1629&gt;$D$89,"boven UCL",IF(C1629&lt;$B$89,"onder LCL","")),"")</f>
        <v/>
      </c>
      <c r="G1629" t="n">
        <v>1523</v>
      </c>
      <c r="H1629" s="7" t="n"/>
      <c r="I1629" s="7" t="n"/>
      <c r="J1629" s="11">
        <f>IF(AND(ISNUMBER(H1629),ISNUMBER(I1629),H1629&gt;0,ISNUMBER($B$94)),I1629/H1629,"")</f>
        <v/>
      </c>
      <c r="K1629" s="11">
        <f>IF(AND(ISNUMBER(H1629),ISNUMBER(I1629),H1629&gt;0,ISNUMBER($B$94)),MAX(0,$B$94-3*SQRT($B$94*(1-$B$94)/H1629)),"")</f>
        <v/>
      </c>
      <c r="L1629" s="11">
        <f>IF(AND(ISNUMBER(H1629),ISNUMBER(I1629),H1629&gt;0,ISNUMBER($B$94)),$B$94+3*SQRT($B$94*(1-$B$94)/H1629),"")</f>
        <v/>
      </c>
      <c r="M1629" s="13">
        <f>IF(AND(ISNUMBER(J1629),ISNUMBER(K1629),ISNUMBER(L1629)),IF(J1629&gt;L1629,"boven UCL",IF(J1629&lt;K1629,"onder LCL","")),"")</f>
        <v/>
      </c>
      <c r="O1629" t="n">
        <v>1523</v>
      </c>
      <c r="P1629" s="7" t="n"/>
      <c r="Q1629" s="7" t="n"/>
      <c r="R1629" s="11">
        <f>IF(AND(ISNUMBER(P1629),ISNUMBER(Q1629),P1629&gt;0,ISNUMBER($B$100)),Q1629/P1629,"")</f>
        <v/>
      </c>
      <c r="S1629" s="11">
        <f>IF(AND(ISNUMBER(P1629),ISNUMBER(Q1629),P1629&gt;0,ISNUMBER($B$100)),MAX(0,$B$100-3*SQRT($B$100/P1629)),"")</f>
        <v/>
      </c>
      <c r="T1629" s="11">
        <f>IF(AND(ISNUMBER(P1629),ISNUMBER(Q1629),P1629&gt;0,ISNUMBER($B$100)),$B$100+3*SQRT($B$100/P1629),"")</f>
        <v/>
      </c>
      <c r="U1629" s="13">
        <f>IF(AND(ISNUMBER(R1629),ISNUMBER(S1629),ISNUMBER(T1629)),IF(R1629&gt;T1629,"boven UCL",IF(R1629&lt;S1629,"onder LCL","")),"")</f>
        <v/>
      </c>
    </row>
    <row r="1630">
      <c r="A1630" t="n">
        <v>1524</v>
      </c>
      <c r="B1630" s="7" t="n"/>
      <c r="C1630" s="11">
        <f>IF(AND(ISNUMBER(B1630),ISNUMBER(B1629)),ABS(B1630-B1629),"")</f>
        <v/>
      </c>
      <c r="D1630" s="13">
        <f>IF(AND(ISNUMBER(B1630),ISNUMBER($B$88),ISNUMBER($D$88)),IF(B1630&gt;$D$88,"boven UCL",IF(B1630&lt;$B$88,"onder LCL","")),"")</f>
        <v/>
      </c>
      <c r="E1630" s="13">
        <f>IF(AND(ISNUMBER(C1630),ISNUMBER($B$89),ISNUMBER($D$89)),IF(C1630&gt;$D$89,"boven UCL",IF(C1630&lt;$B$89,"onder LCL","")),"")</f>
        <v/>
      </c>
      <c r="G1630" t="n">
        <v>1524</v>
      </c>
      <c r="H1630" s="7" t="n"/>
      <c r="I1630" s="7" t="n"/>
      <c r="J1630" s="11">
        <f>IF(AND(ISNUMBER(H1630),ISNUMBER(I1630),H1630&gt;0,ISNUMBER($B$94)),I1630/H1630,"")</f>
        <v/>
      </c>
      <c r="K1630" s="11">
        <f>IF(AND(ISNUMBER(H1630),ISNUMBER(I1630),H1630&gt;0,ISNUMBER($B$94)),MAX(0,$B$94-3*SQRT($B$94*(1-$B$94)/H1630)),"")</f>
        <v/>
      </c>
      <c r="L1630" s="11">
        <f>IF(AND(ISNUMBER(H1630),ISNUMBER(I1630),H1630&gt;0,ISNUMBER($B$94)),$B$94+3*SQRT($B$94*(1-$B$94)/H1630),"")</f>
        <v/>
      </c>
      <c r="M1630" s="13">
        <f>IF(AND(ISNUMBER(J1630),ISNUMBER(K1630),ISNUMBER(L1630)),IF(J1630&gt;L1630,"boven UCL",IF(J1630&lt;K1630,"onder LCL","")),"")</f>
        <v/>
      </c>
      <c r="O1630" t="n">
        <v>1524</v>
      </c>
      <c r="P1630" s="7" t="n"/>
      <c r="Q1630" s="7" t="n"/>
      <c r="R1630" s="11">
        <f>IF(AND(ISNUMBER(P1630),ISNUMBER(Q1630),P1630&gt;0,ISNUMBER($B$100)),Q1630/P1630,"")</f>
        <v/>
      </c>
      <c r="S1630" s="11">
        <f>IF(AND(ISNUMBER(P1630),ISNUMBER(Q1630),P1630&gt;0,ISNUMBER($B$100)),MAX(0,$B$100-3*SQRT($B$100/P1630)),"")</f>
        <v/>
      </c>
      <c r="T1630" s="11">
        <f>IF(AND(ISNUMBER(P1630),ISNUMBER(Q1630),P1630&gt;0,ISNUMBER($B$100)),$B$100+3*SQRT($B$100/P1630),"")</f>
        <v/>
      </c>
      <c r="U1630" s="13">
        <f>IF(AND(ISNUMBER(R1630),ISNUMBER(S1630),ISNUMBER(T1630)),IF(R1630&gt;T1630,"boven UCL",IF(R1630&lt;S1630,"onder LCL","")),"")</f>
        <v/>
      </c>
    </row>
    <row r="1631">
      <c r="A1631" t="n">
        <v>1525</v>
      </c>
      <c r="B1631" s="7" t="n"/>
      <c r="C1631" s="11">
        <f>IF(AND(ISNUMBER(B1631),ISNUMBER(B1630)),ABS(B1631-B1630),"")</f>
        <v/>
      </c>
      <c r="D1631" s="13">
        <f>IF(AND(ISNUMBER(B1631),ISNUMBER($B$88),ISNUMBER($D$88)),IF(B1631&gt;$D$88,"boven UCL",IF(B1631&lt;$B$88,"onder LCL","")),"")</f>
        <v/>
      </c>
      <c r="E1631" s="13">
        <f>IF(AND(ISNUMBER(C1631),ISNUMBER($B$89),ISNUMBER($D$89)),IF(C1631&gt;$D$89,"boven UCL",IF(C1631&lt;$B$89,"onder LCL","")),"")</f>
        <v/>
      </c>
      <c r="G1631" t="n">
        <v>1525</v>
      </c>
      <c r="H1631" s="7" t="n"/>
      <c r="I1631" s="7" t="n"/>
      <c r="J1631" s="11">
        <f>IF(AND(ISNUMBER(H1631),ISNUMBER(I1631),H1631&gt;0,ISNUMBER($B$94)),I1631/H1631,"")</f>
        <v/>
      </c>
      <c r="K1631" s="11">
        <f>IF(AND(ISNUMBER(H1631),ISNUMBER(I1631),H1631&gt;0,ISNUMBER($B$94)),MAX(0,$B$94-3*SQRT($B$94*(1-$B$94)/H1631)),"")</f>
        <v/>
      </c>
      <c r="L1631" s="11">
        <f>IF(AND(ISNUMBER(H1631),ISNUMBER(I1631),H1631&gt;0,ISNUMBER($B$94)),$B$94+3*SQRT($B$94*(1-$B$94)/H1631),"")</f>
        <v/>
      </c>
      <c r="M1631" s="13">
        <f>IF(AND(ISNUMBER(J1631),ISNUMBER(K1631),ISNUMBER(L1631)),IF(J1631&gt;L1631,"boven UCL",IF(J1631&lt;K1631,"onder LCL","")),"")</f>
        <v/>
      </c>
      <c r="O1631" t="n">
        <v>1525</v>
      </c>
      <c r="P1631" s="7" t="n"/>
      <c r="Q1631" s="7" t="n"/>
      <c r="R1631" s="11">
        <f>IF(AND(ISNUMBER(P1631),ISNUMBER(Q1631),P1631&gt;0,ISNUMBER($B$100)),Q1631/P1631,"")</f>
        <v/>
      </c>
      <c r="S1631" s="11">
        <f>IF(AND(ISNUMBER(P1631),ISNUMBER(Q1631),P1631&gt;0,ISNUMBER($B$100)),MAX(0,$B$100-3*SQRT($B$100/P1631)),"")</f>
        <v/>
      </c>
      <c r="T1631" s="11">
        <f>IF(AND(ISNUMBER(P1631),ISNUMBER(Q1631),P1631&gt;0,ISNUMBER($B$100)),$B$100+3*SQRT($B$100/P1631),"")</f>
        <v/>
      </c>
      <c r="U1631" s="13">
        <f>IF(AND(ISNUMBER(R1631),ISNUMBER(S1631),ISNUMBER(T1631)),IF(R1631&gt;T1631,"boven UCL",IF(R1631&lt;S1631,"onder LCL","")),"")</f>
        <v/>
      </c>
    </row>
    <row r="1632">
      <c r="A1632" t="n">
        <v>1526</v>
      </c>
      <c r="B1632" s="7" t="n"/>
      <c r="C1632" s="11">
        <f>IF(AND(ISNUMBER(B1632),ISNUMBER(B1631)),ABS(B1632-B1631),"")</f>
        <v/>
      </c>
      <c r="D1632" s="13">
        <f>IF(AND(ISNUMBER(B1632),ISNUMBER($B$88),ISNUMBER($D$88)),IF(B1632&gt;$D$88,"boven UCL",IF(B1632&lt;$B$88,"onder LCL","")),"")</f>
        <v/>
      </c>
      <c r="E1632" s="13">
        <f>IF(AND(ISNUMBER(C1632),ISNUMBER($B$89),ISNUMBER($D$89)),IF(C1632&gt;$D$89,"boven UCL",IF(C1632&lt;$B$89,"onder LCL","")),"")</f>
        <v/>
      </c>
      <c r="G1632" t="n">
        <v>1526</v>
      </c>
      <c r="H1632" s="7" t="n"/>
      <c r="I1632" s="7" t="n"/>
      <c r="J1632" s="11">
        <f>IF(AND(ISNUMBER(H1632),ISNUMBER(I1632),H1632&gt;0,ISNUMBER($B$94)),I1632/H1632,"")</f>
        <v/>
      </c>
      <c r="K1632" s="11">
        <f>IF(AND(ISNUMBER(H1632),ISNUMBER(I1632),H1632&gt;0,ISNUMBER($B$94)),MAX(0,$B$94-3*SQRT($B$94*(1-$B$94)/H1632)),"")</f>
        <v/>
      </c>
      <c r="L1632" s="11">
        <f>IF(AND(ISNUMBER(H1632),ISNUMBER(I1632),H1632&gt;0,ISNUMBER($B$94)),$B$94+3*SQRT($B$94*(1-$B$94)/H1632),"")</f>
        <v/>
      </c>
      <c r="M1632" s="13">
        <f>IF(AND(ISNUMBER(J1632),ISNUMBER(K1632),ISNUMBER(L1632)),IF(J1632&gt;L1632,"boven UCL",IF(J1632&lt;K1632,"onder LCL","")),"")</f>
        <v/>
      </c>
      <c r="O1632" t="n">
        <v>1526</v>
      </c>
      <c r="P1632" s="7" t="n"/>
      <c r="Q1632" s="7" t="n"/>
      <c r="R1632" s="11">
        <f>IF(AND(ISNUMBER(P1632),ISNUMBER(Q1632),P1632&gt;0,ISNUMBER($B$100)),Q1632/P1632,"")</f>
        <v/>
      </c>
      <c r="S1632" s="11">
        <f>IF(AND(ISNUMBER(P1632),ISNUMBER(Q1632),P1632&gt;0,ISNUMBER($B$100)),MAX(0,$B$100-3*SQRT($B$100/P1632)),"")</f>
        <v/>
      </c>
      <c r="T1632" s="11">
        <f>IF(AND(ISNUMBER(P1632),ISNUMBER(Q1632),P1632&gt;0,ISNUMBER($B$100)),$B$100+3*SQRT($B$100/P1632),"")</f>
        <v/>
      </c>
      <c r="U1632" s="13">
        <f>IF(AND(ISNUMBER(R1632),ISNUMBER(S1632),ISNUMBER(T1632)),IF(R1632&gt;T1632,"boven UCL",IF(R1632&lt;S1632,"onder LCL","")),"")</f>
        <v/>
      </c>
    </row>
    <row r="1633">
      <c r="A1633" t="n">
        <v>1527</v>
      </c>
      <c r="B1633" s="7" t="n"/>
      <c r="C1633" s="11">
        <f>IF(AND(ISNUMBER(B1633),ISNUMBER(B1632)),ABS(B1633-B1632),"")</f>
        <v/>
      </c>
      <c r="D1633" s="13">
        <f>IF(AND(ISNUMBER(B1633),ISNUMBER($B$88),ISNUMBER($D$88)),IF(B1633&gt;$D$88,"boven UCL",IF(B1633&lt;$B$88,"onder LCL","")),"")</f>
        <v/>
      </c>
      <c r="E1633" s="13">
        <f>IF(AND(ISNUMBER(C1633),ISNUMBER($B$89),ISNUMBER($D$89)),IF(C1633&gt;$D$89,"boven UCL",IF(C1633&lt;$B$89,"onder LCL","")),"")</f>
        <v/>
      </c>
      <c r="G1633" t="n">
        <v>1527</v>
      </c>
      <c r="H1633" s="7" t="n"/>
      <c r="I1633" s="7" t="n"/>
      <c r="J1633" s="11">
        <f>IF(AND(ISNUMBER(H1633),ISNUMBER(I1633),H1633&gt;0,ISNUMBER($B$94)),I1633/H1633,"")</f>
        <v/>
      </c>
      <c r="K1633" s="11">
        <f>IF(AND(ISNUMBER(H1633),ISNUMBER(I1633),H1633&gt;0,ISNUMBER($B$94)),MAX(0,$B$94-3*SQRT($B$94*(1-$B$94)/H1633)),"")</f>
        <v/>
      </c>
      <c r="L1633" s="11">
        <f>IF(AND(ISNUMBER(H1633),ISNUMBER(I1633),H1633&gt;0,ISNUMBER($B$94)),$B$94+3*SQRT($B$94*(1-$B$94)/H1633),"")</f>
        <v/>
      </c>
      <c r="M1633" s="13">
        <f>IF(AND(ISNUMBER(J1633),ISNUMBER(K1633),ISNUMBER(L1633)),IF(J1633&gt;L1633,"boven UCL",IF(J1633&lt;K1633,"onder LCL","")),"")</f>
        <v/>
      </c>
      <c r="O1633" t="n">
        <v>1527</v>
      </c>
      <c r="P1633" s="7" t="n"/>
      <c r="Q1633" s="7" t="n"/>
      <c r="R1633" s="11">
        <f>IF(AND(ISNUMBER(P1633),ISNUMBER(Q1633),P1633&gt;0,ISNUMBER($B$100)),Q1633/P1633,"")</f>
        <v/>
      </c>
      <c r="S1633" s="11">
        <f>IF(AND(ISNUMBER(P1633),ISNUMBER(Q1633),P1633&gt;0,ISNUMBER($B$100)),MAX(0,$B$100-3*SQRT($B$100/P1633)),"")</f>
        <v/>
      </c>
      <c r="T1633" s="11">
        <f>IF(AND(ISNUMBER(P1633),ISNUMBER(Q1633),P1633&gt;0,ISNUMBER($B$100)),$B$100+3*SQRT($B$100/P1633),"")</f>
        <v/>
      </c>
      <c r="U1633" s="13">
        <f>IF(AND(ISNUMBER(R1633),ISNUMBER(S1633),ISNUMBER(T1633)),IF(R1633&gt;T1633,"boven UCL",IF(R1633&lt;S1633,"onder LCL","")),"")</f>
        <v/>
      </c>
    </row>
    <row r="1634">
      <c r="A1634" t="n">
        <v>1528</v>
      </c>
      <c r="B1634" s="7" t="n"/>
      <c r="C1634" s="11">
        <f>IF(AND(ISNUMBER(B1634),ISNUMBER(B1633)),ABS(B1634-B1633),"")</f>
        <v/>
      </c>
      <c r="D1634" s="13">
        <f>IF(AND(ISNUMBER(B1634),ISNUMBER($B$88),ISNUMBER($D$88)),IF(B1634&gt;$D$88,"boven UCL",IF(B1634&lt;$B$88,"onder LCL","")),"")</f>
        <v/>
      </c>
      <c r="E1634" s="13">
        <f>IF(AND(ISNUMBER(C1634),ISNUMBER($B$89),ISNUMBER($D$89)),IF(C1634&gt;$D$89,"boven UCL",IF(C1634&lt;$B$89,"onder LCL","")),"")</f>
        <v/>
      </c>
      <c r="G1634" t="n">
        <v>1528</v>
      </c>
      <c r="H1634" s="7" t="n"/>
      <c r="I1634" s="7" t="n"/>
      <c r="J1634" s="11">
        <f>IF(AND(ISNUMBER(H1634),ISNUMBER(I1634),H1634&gt;0,ISNUMBER($B$94)),I1634/H1634,"")</f>
        <v/>
      </c>
      <c r="K1634" s="11">
        <f>IF(AND(ISNUMBER(H1634),ISNUMBER(I1634),H1634&gt;0,ISNUMBER($B$94)),MAX(0,$B$94-3*SQRT($B$94*(1-$B$94)/H1634)),"")</f>
        <v/>
      </c>
      <c r="L1634" s="11">
        <f>IF(AND(ISNUMBER(H1634),ISNUMBER(I1634),H1634&gt;0,ISNUMBER($B$94)),$B$94+3*SQRT($B$94*(1-$B$94)/H1634),"")</f>
        <v/>
      </c>
      <c r="M1634" s="13">
        <f>IF(AND(ISNUMBER(J1634),ISNUMBER(K1634),ISNUMBER(L1634)),IF(J1634&gt;L1634,"boven UCL",IF(J1634&lt;K1634,"onder LCL","")),"")</f>
        <v/>
      </c>
      <c r="O1634" t="n">
        <v>1528</v>
      </c>
      <c r="P1634" s="7" t="n"/>
      <c r="Q1634" s="7" t="n"/>
      <c r="R1634" s="11">
        <f>IF(AND(ISNUMBER(P1634),ISNUMBER(Q1634),P1634&gt;0,ISNUMBER($B$100)),Q1634/P1634,"")</f>
        <v/>
      </c>
      <c r="S1634" s="11">
        <f>IF(AND(ISNUMBER(P1634),ISNUMBER(Q1634),P1634&gt;0,ISNUMBER($B$100)),MAX(0,$B$100-3*SQRT($B$100/P1634)),"")</f>
        <v/>
      </c>
      <c r="T1634" s="11">
        <f>IF(AND(ISNUMBER(P1634),ISNUMBER(Q1634),P1634&gt;0,ISNUMBER($B$100)),$B$100+3*SQRT($B$100/P1634),"")</f>
        <v/>
      </c>
      <c r="U1634" s="13">
        <f>IF(AND(ISNUMBER(R1634),ISNUMBER(S1634),ISNUMBER(T1634)),IF(R1634&gt;T1634,"boven UCL",IF(R1634&lt;S1634,"onder LCL","")),"")</f>
        <v/>
      </c>
    </row>
    <row r="1635">
      <c r="A1635" t="n">
        <v>1529</v>
      </c>
      <c r="B1635" s="7" t="n"/>
      <c r="C1635" s="11">
        <f>IF(AND(ISNUMBER(B1635),ISNUMBER(B1634)),ABS(B1635-B1634),"")</f>
        <v/>
      </c>
      <c r="D1635" s="13">
        <f>IF(AND(ISNUMBER(B1635),ISNUMBER($B$88),ISNUMBER($D$88)),IF(B1635&gt;$D$88,"boven UCL",IF(B1635&lt;$B$88,"onder LCL","")),"")</f>
        <v/>
      </c>
      <c r="E1635" s="13">
        <f>IF(AND(ISNUMBER(C1635),ISNUMBER($B$89),ISNUMBER($D$89)),IF(C1635&gt;$D$89,"boven UCL",IF(C1635&lt;$B$89,"onder LCL","")),"")</f>
        <v/>
      </c>
      <c r="G1635" t="n">
        <v>1529</v>
      </c>
      <c r="H1635" s="7" t="n"/>
      <c r="I1635" s="7" t="n"/>
      <c r="J1635" s="11">
        <f>IF(AND(ISNUMBER(H1635),ISNUMBER(I1635),H1635&gt;0,ISNUMBER($B$94)),I1635/H1635,"")</f>
        <v/>
      </c>
      <c r="K1635" s="11">
        <f>IF(AND(ISNUMBER(H1635),ISNUMBER(I1635),H1635&gt;0,ISNUMBER($B$94)),MAX(0,$B$94-3*SQRT($B$94*(1-$B$94)/H1635)),"")</f>
        <v/>
      </c>
      <c r="L1635" s="11">
        <f>IF(AND(ISNUMBER(H1635),ISNUMBER(I1635),H1635&gt;0,ISNUMBER($B$94)),$B$94+3*SQRT($B$94*(1-$B$94)/H1635),"")</f>
        <v/>
      </c>
      <c r="M1635" s="13">
        <f>IF(AND(ISNUMBER(J1635),ISNUMBER(K1635),ISNUMBER(L1635)),IF(J1635&gt;L1635,"boven UCL",IF(J1635&lt;K1635,"onder LCL","")),"")</f>
        <v/>
      </c>
      <c r="O1635" t="n">
        <v>1529</v>
      </c>
      <c r="P1635" s="7" t="n"/>
      <c r="Q1635" s="7" t="n"/>
      <c r="R1635" s="11">
        <f>IF(AND(ISNUMBER(P1635),ISNUMBER(Q1635),P1635&gt;0,ISNUMBER($B$100)),Q1635/P1635,"")</f>
        <v/>
      </c>
      <c r="S1635" s="11">
        <f>IF(AND(ISNUMBER(P1635),ISNUMBER(Q1635),P1635&gt;0,ISNUMBER($B$100)),MAX(0,$B$100-3*SQRT($B$100/P1635)),"")</f>
        <v/>
      </c>
      <c r="T1635" s="11">
        <f>IF(AND(ISNUMBER(P1635),ISNUMBER(Q1635),P1635&gt;0,ISNUMBER($B$100)),$B$100+3*SQRT($B$100/P1635),"")</f>
        <v/>
      </c>
      <c r="U1635" s="13">
        <f>IF(AND(ISNUMBER(R1635),ISNUMBER(S1635),ISNUMBER(T1635)),IF(R1635&gt;T1635,"boven UCL",IF(R1635&lt;S1635,"onder LCL","")),"")</f>
        <v/>
      </c>
    </row>
    <row r="1636">
      <c r="A1636" t="n">
        <v>1530</v>
      </c>
      <c r="B1636" s="7" t="n"/>
      <c r="C1636" s="11">
        <f>IF(AND(ISNUMBER(B1636),ISNUMBER(B1635)),ABS(B1636-B1635),"")</f>
        <v/>
      </c>
      <c r="D1636" s="13">
        <f>IF(AND(ISNUMBER(B1636),ISNUMBER($B$88),ISNUMBER($D$88)),IF(B1636&gt;$D$88,"boven UCL",IF(B1636&lt;$B$88,"onder LCL","")),"")</f>
        <v/>
      </c>
      <c r="E1636" s="13">
        <f>IF(AND(ISNUMBER(C1636),ISNUMBER($B$89),ISNUMBER($D$89)),IF(C1636&gt;$D$89,"boven UCL",IF(C1636&lt;$B$89,"onder LCL","")),"")</f>
        <v/>
      </c>
      <c r="G1636" t="n">
        <v>1530</v>
      </c>
      <c r="H1636" s="7" t="n"/>
      <c r="I1636" s="7" t="n"/>
      <c r="J1636" s="11">
        <f>IF(AND(ISNUMBER(H1636),ISNUMBER(I1636),H1636&gt;0,ISNUMBER($B$94)),I1636/H1636,"")</f>
        <v/>
      </c>
      <c r="K1636" s="11">
        <f>IF(AND(ISNUMBER(H1636),ISNUMBER(I1636),H1636&gt;0,ISNUMBER($B$94)),MAX(0,$B$94-3*SQRT($B$94*(1-$B$94)/H1636)),"")</f>
        <v/>
      </c>
      <c r="L1636" s="11">
        <f>IF(AND(ISNUMBER(H1636),ISNUMBER(I1636),H1636&gt;0,ISNUMBER($B$94)),$B$94+3*SQRT($B$94*(1-$B$94)/H1636),"")</f>
        <v/>
      </c>
      <c r="M1636" s="13">
        <f>IF(AND(ISNUMBER(J1636),ISNUMBER(K1636),ISNUMBER(L1636)),IF(J1636&gt;L1636,"boven UCL",IF(J1636&lt;K1636,"onder LCL","")),"")</f>
        <v/>
      </c>
      <c r="O1636" t="n">
        <v>1530</v>
      </c>
      <c r="P1636" s="7" t="n"/>
      <c r="Q1636" s="7" t="n"/>
      <c r="R1636" s="11">
        <f>IF(AND(ISNUMBER(P1636),ISNUMBER(Q1636),P1636&gt;0,ISNUMBER($B$100)),Q1636/P1636,"")</f>
        <v/>
      </c>
      <c r="S1636" s="11">
        <f>IF(AND(ISNUMBER(P1636),ISNUMBER(Q1636),P1636&gt;0,ISNUMBER($B$100)),MAX(0,$B$100-3*SQRT($B$100/P1636)),"")</f>
        <v/>
      </c>
      <c r="T1636" s="11">
        <f>IF(AND(ISNUMBER(P1636),ISNUMBER(Q1636),P1636&gt;0,ISNUMBER($B$100)),$B$100+3*SQRT($B$100/P1636),"")</f>
        <v/>
      </c>
      <c r="U1636" s="13">
        <f>IF(AND(ISNUMBER(R1636),ISNUMBER(S1636),ISNUMBER(T1636)),IF(R1636&gt;T1636,"boven UCL",IF(R1636&lt;S1636,"onder LCL","")),"")</f>
        <v/>
      </c>
    </row>
    <row r="1637">
      <c r="A1637" t="n">
        <v>1531</v>
      </c>
      <c r="B1637" s="7" t="n"/>
      <c r="C1637" s="11">
        <f>IF(AND(ISNUMBER(B1637),ISNUMBER(B1636)),ABS(B1637-B1636),"")</f>
        <v/>
      </c>
      <c r="D1637" s="13">
        <f>IF(AND(ISNUMBER(B1637),ISNUMBER($B$88),ISNUMBER($D$88)),IF(B1637&gt;$D$88,"boven UCL",IF(B1637&lt;$B$88,"onder LCL","")),"")</f>
        <v/>
      </c>
      <c r="E1637" s="13">
        <f>IF(AND(ISNUMBER(C1637),ISNUMBER($B$89),ISNUMBER($D$89)),IF(C1637&gt;$D$89,"boven UCL",IF(C1637&lt;$B$89,"onder LCL","")),"")</f>
        <v/>
      </c>
      <c r="G1637" t="n">
        <v>1531</v>
      </c>
      <c r="H1637" s="7" t="n"/>
      <c r="I1637" s="7" t="n"/>
      <c r="J1637" s="11">
        <f>IF(AND(ISNUMBER(H1637),ISNUMBER(I1637),H1637&gt;0,ISNUMBER($B$94)),I1637/H1637,"")</f>
        <v/>
      </c>
      <c r="K1637" s="11">
        <f>IF(AND(ISNUMBER(H1637),ISNUMBER(I1637),H1637&gt;0,ISNUMBER($B$94)),MAX(0,$B$94-3*SQRT($B$94*(1-$B$94)/H1637)),"")</f>
        <v/>
      </c>
      <c r="L1637" s="11">
        <f>IF(AND(ISNUMBER(H1637),ISNUMBER(I1637),H1637&gt;0,ISNUMBER($B$94)),$B$94+3*SQRT($B$94*(1-$B$94)/H1637),"")</f>
        <v/>
      </c>
      <c r="M1637" s="13">
        <f>IF(AND(ISNUMBER(J1637),ISNUMBER(K1637),ISNUMBER(L1637)),IF(J1637&gt;L1637,"boven UCL",IF(J1637&lt;K1637,"onder LCL","")),"")</f>
        <v/>
      </c>
      <c r="O1637" t="n">
        <v>1531</v>
      </c>
      <c r="P1637" s="7" t="n"/>
      <c r="Q1637" s="7" t="n"/>
      <c r="R1637" s="11">
        <f>IF(AND(ISNUMBER(P1637),ISNUMBER(Q1637),P1637&gt;0,ISNUMBER($B$100)),Q1637/P1637,"")</f>
        <v/>
      </c>
      <c r="S1637" s="11">
        <f>IF(AND(ISNUMBER(P1637),ISNUMBER(Q1637),P1637&gt;0,ISNUMBER($B$100)),MAX(0,$B$100-3*SQRT($B$100/P1637)),"")</f>
        <v/>
      </c>
      <c r="T1637" s="11">
        <f>IF(AND(ISNUMBER(P1637),ISNUMBER(Q1637),P1637&gt;0,ISNUMBER($B$100)),$B$100+3*SQRT($B$100/P1637),"")</f>
        <v/>
      </c>
      <c r="U1637" s="13">
        <f>IF(AND(ISNUMBER(R1637),ISNUMBER(S1637),ISNUMBER(T1637)),IF(R1637&gt;T1637,"boven UCL",IF(R1637&lt;S1637,"onder LCL","")),"")</f>
        <v/>
      </c>
    </row>
    <row r="1638">
      <c r="A1638" t="n">
        <v>1532</v>
      </c>
      <c r="B1638" s="7" t="n"/>
      <c r="C1638" s="11">
        <f>IF(AND(ISNUMBER(B1638),ISNUMBER(B1637)),ABS(B1638-B1637),"")</f>
        <v/>
      </c>
      <c r="D1638" s="13">
        <f>IF(AND(ISNUMBER(B1638),ISNUMBER($B$88),ISNUMBER($D$88)),IF(B1638&gt;$D$88,"boven UCL",IF(B1638&lt;$B$88,"onder LCL","")),"")</f>
        <v/>
      </c>
      <c r="E1638" s="13">
        <f>IF(AND(ISNUMBER(C1638),ISNUMBER($B$89),ISNUMBER($D$89)),IF(C1638&gt;$D$89,"boven UCL",IF(C1638&lt;$B$89,"onder LCL","")),"")</f>
        <v/>
      </c>
      <c r="G1638" t="n">
        <v>1532</v>
      </c>
      <c r="H1638" s="7" t="n"/>
      <c r="I1638" s="7" t="n"/>
      <c r="J1638" s="11">
        <f>IF(AND(ISNUMBER(H1638),ISNUMBER(I1638),H1638&gt;0,ISNUMBER($B$94)),I1638/H1638,"")</f>
        <v/>
      </c>
      <c r="K1638" s="11">
        <f>IF(AND(ISNUMBER(H1638),ISNUMBER(I1638),H1638&gt;0,ISNUMBER($B$94)),MAX(0,$B$94-3*SQRT($B$94*(1-$B$94)/H1638)),"")</f>
        <v/>
      </c>
      <c r="L1638" s="11">
        <f>IF(AND(ISNUMBER(H1638),ISNUMBER(I1638),H1638&gt;0,ISNUMBER($B$94)),$B$94+3*SQRT($B$94*(1-$B$94)/H1638),"")</f>
        <v/>
      </c>
      <c r="M1638" s="13">
        <f>IF(AND(ISNUMBER(J1638),ISNUMBER(K1638),ISNUMBER(L1638)),IF(J1638&gt;L1638,"boven UCL",IF(J1638&lt;K1638,"onder LCL","")),"")</f>
        <v/>
      </c>
      <c r="O1638" t="n">
        <v>1532</v>
      </c>
      <c r="P1638" s="7" t="n"/>
      <c r="Q1638" s="7" t="n"/>
      <c r="R1638" s="11">
        <f>IF(AND(ISNUMBER(P1638),ISNUMBER(Q1638),P1638&gt;0,ISNUMBER($B$100)),Q1638/P1638,"")</f>
        <v/>
      </c>
      <c r="S1638" s="11">
        <f>IF(AND(ISNUMBER(P1638),ISNUMBER(Q1638),P1638&gt;0,ISNUMBER($B$100)),MAX(0,$B$100-3*SQRT($B$100/P1638)),"")</f>
        <v/>
      </c>
      <c r="T1638" s="11">
        <f>IF(AND(ISNUMBER(P1638),ISNUMBER(Q1638),P1638&gt;0,ISNUMBER($B$100)),$B$100+3*SQRT($B$100/P1638),"")</f>
        <v/>
      </c>
      <c r="U1638" s="13">
        <f>IF(AND(ISNUMBER(R1638),ISNUMBER(S1638),ISNUMBER(T1638)),IF(R1638&gt;T1638,"boven UCL",IF(R1638&lt;S1638,"onder LCL","")),"")</f>
        <v/>
      </c>
    </row>
    <row r="1639">
      <c r="A1639" t="n">
        <v>1533</v>
      </c>
      <c r="B1639" s="7" t="n"/>
      <c r="C1639" s="11">
        <f>IF(AND(ISNUMBER(B1639),ISNUMBER(B1638)),ABS(B1639-B1638),"")</f>
        <v/>
      </c>
      <c r="D1639" s="13">
        <f>IF(AND(ISNUMBER(B1639),ISNUMBER($B$88),ISNUMBER($D$88)),IF(B1639&gt;$D$88,"boven UCL",IF(B1639&lt;$B$88,"onder LCL","")),"")</f>
        <v/>
      </c>
      <c r="E1639" s="13">
        <f>IF(AND(ISNUMBER(C1639),ISNUMBER($B$89),ISNUMBER($D$89)),IF(C1639&gt;$D$89,"boven UCL",IF(C1639&lt;$B$89,"onder LCL","")),"")</f>
        <v/>
      </c>
      <c r="G1639" t="n">
        <v>1533</v>
      </c>
      <c r="H1639" s="7" t="n"/>
      <c r="I1639" s="7" t="n"/>
      <c r="J1639" s="11">
        <f>IF(AND(ISNUMBER(H1639),ISNUMBER(I1639),H1639&gt;0,ISNUMBER($B$94)),I1639/H1639,"")</f>
        <v/>
      </c>
      <c r="K1639" s="11">
        <f>IF(AND(ISNUMBER(H1639),ISNUMBER(I1639),H1639&gt;0,ISNUMBER($B$94)),MAX(0,$B$94-3*SQRT($B$94*(1-$B$94)/H1639)),"")</f>
        <v/>
      </c>
      <c r="L1639" s="11">
        <f>IF(AND(ISNUMBER(H1639),ISNUMBER(I1639),H1639&gt;0,ISNUMBER($B$94)),$B$94+3*SQRT($B$94*(1-$B$94)/H1639),"")</f>
        <v/>
      </c>
      <c r="M1639" s="13">
        <f>IF(AND(ISNUMBER(J1639),ISNUMBER(K1639),ISNUMBER(L1639)),IF(J1639&gt;L1639,"boven UCL",IF(J1639&lt;K1639,"onder LCL","")),"")</f>
        <v/>
      </c>
      <c r="O1639" t="n">
        <v>1533</v>
      </c>
      <c r="P1639" s="7" t="n"/>
      <c r="Q1639" s="7" t="n"/>
      <c r="R1639" s="11">
        <f>IF(AND(ISNUMBER(P1639),ISNUMBER(Q1639),P1639&gt;0,ISNUMBER($B$100)),Q1639/P1639,"")</f>
        <v/>
      </c>
      <c r="S1639" s="11">
        <f>IF(AND(ISNUMBER(P1639),ISNUMBER(Q1639),P1639&gt;0,ISNUMBER($B$100)),MAX(0,$B$100-3*SQRT($B$100/P1639)),"")</f>
        <v/>
      </c>
      <c r="T1639" s="11">
        <f>IF(AND(ISNUMBER(P1639),ISNUMBER(Q1639),P1639&gt;0,ISNUMBER($B$100)),$B$100+3*SQRT($B$100/P1639),"")</f>
        <v/>
      </c>
      <c r="U1639" s="13">
        <f>IF(AND(ISNUMBER(R1639),ISNUMBER(S1639),ISNUMBER(T1639)),IF(R1639&gt;T1639,"boven UCL",IF(R1639&lt;S1639,"onder LCL","")),"")</f>
        <v/>
      </c>
    </row>
    <row r="1640">
      <c r="A1640" t="n">
        <v>1534</v>
      </c>
      <c r="B1640" s="7" t="n"/>
      <c r="C1640" s="11">
        <f>IF(AND(ISNUMBER(B1640),ISNUMBER(B1639)),ABS(B1640-B1639),"")</f>
        <v/>
      </c>
      <c r="D1640" s="13">
        <f>IF(AND(ISNUMBER(B1640),ISNUMBER($B$88),ISNUMBER($D$88)),IF(B1640&gt;$D$88,"boven UCL",IF(B1640&lt;$B$88,"onder LCL","")),"")</f>
        <v/>
      </c>
      <c r="E1640" s="13">
        <f>IF(AND(ISNUMBER(C1640),ISNUMBER($B$89),ISNUMBER($D$89)),IF(C1640&gt;$D$89,"boven UCL",IF(C1640&lt;$B$89,"onder LCL","")),"")</f>
        <v/>
      </c>
      <c r="G1640" t="n">
        <v>1534</v>
      </c>
      <c r="H1640" s="7" t="n"/>
      <c r="I1640" s="7" t="n"/>
      <c r="J1640" s="11">
        <f>IF(AND(ISNUMBER(H1640),ISNUMBER(I1640),H1640&gt;0,ISNUMBER($B$94)),I1640/H1640,"")</f>
        <v/>
      </c>
      <c r="K1640" s="11">
        <f>IF(AND(ISNUMBER(H1640),ISNUMBER(I1640),H1640&gt;0,ISNUMBER($B$94)),MAX(0,$B$94-3*SQRT($B$94*(1-$B$94)/H1640)),"")</f>
        <v/>
      </c>
      <c r="L1640" s="11">
        <f>IF(AND(ISNUMBER(H1640),ISNUMBER(I1640),H1640&gt;0,ISNUMBER($B$94)),$B$94+3*SQRT($B$94*(1-$B$94)/H1640),"")</f>
        <v/>
      </c>
      <c r="M1640" s="13">
        <f>IF(AND(ISNUMBER(J1640),ISNUMBER(K1640),ISNUMBER(L1640)),IF(J1640&gt;L1640,"boven UCL",IF(J1640&lt;K1640,"onder LCL","")),"")</f>
        <v/>
      </c>
      <c r="O1640" t="n">
        <v>1534</v>
      </c>
      <c r="P1640" s="7" t="n"/>
      <c r="Q1640" s="7" t="n"/>
      <c r="R1640" s="11">
        <f>IF(AND(ISNUMBER(P1640),ISNUMBER(Q1640),P1640&gt;0,ISNUMBER($B$100)),Q1640/P1640,"")</f>
        <v/>
      </c>
      <c r="S1640" s="11">
        <f>IF(AND(ISNUMBER(P1640),ISNUMBER(Q1640),P1640&gt;0,ISNUMBER($B$100)),MAX(0,$B$100-3*SQRT($B$100/P1640)),"")</f>
        <v/>
      </c>
      <c r="T1640" s="11">
        <f>IF(AND(ISNUMBER(P1640),ISNUMBER(Q1640),P1640&gt;0,ISNUMBER($B$100)),$B$100+3*SQRT($B$100/P1640),"")</f>
        <v/>
      </c>
      <c r="U1640" s="13">
        <f>IF(AND(ISNUMBER(R1640),ISNUMBER(S1640),ISNUMBER(T1640)),IF(R1640&gt;T1640,"boven UCL",IF(R1640&lt;S1640,"onder LCL","")),"")</f>
        <v/>
      </c>
    </row>
    <row r="1641">
      <c r="A1641" t="n">
        <v>1535</v>
      </c>
      <c r="B1641" s="7" t="n"/>
      <c r="C1641" s="11">
        <f>IF(AND(ISNUMBER(B1641),ISNUMBER(B1640)),ABS(B1641-B1640),"")</f>
        <v/>
      </c>
      <c r="D1641" s="13">
        <f>IF(AND(ISNUMBER(B1641),ISNUMBER($B$88),ISNUMBER($D$88)),IF(B1641&gt;$D$88,"boven UCL",IF(B1641&lt;$B$88,"onder LCL","")),"")</f>
        <v/>
      </c>
      <c r="E1641" s="13">
        <f>IF(AND(ISNUMBER(C1641),ISNUMBER($B$89),ISNUMBER($D$89)),IF(C1641&gt;$D$89,"boven UCL",IF(C1641&lt;$B$89,"onder LCL","")),"")</f>
        <v/>
      </c>
      <c r="G1641" t="n">
        <v>1535</v>
      </c>
      <c r="H1641" s="7" t="n"/>
      <c r="I1641" s="7" t="n"/>
      <c r="J1641" s="11">
        <f>IF(AND(ISNUMBER(H1641),ISNUMBER(I1641),H1641&gt;0,ISNUMBER($B$94)),I1641/H1641,"")</f>
        <v/>
      </c>
      <c r="K1641" s="11">
        <f>IF(AND(ISNUMBER(H1641),ISNUMBER(I1641),H1641&gt;0,ISNUMBER($B$94)),MAX(0,$B$94-3*SQRT($B$94*(1-$B$94)/H1641)),"")</f>
        <v/>
      </c>
      <c r="L1641" s="11">
        <f>IF(AND(ISNUMBER(H1641),ISNUMBER(I1641),H1641&gt;0,ISNUMBER($B$94)),$B$94+3*SQRT($B$94*(1-$B$94)/H1641),"")</f>
        <v/>
      </c>
      <c r="M1641" s="13">
        <f>IF(AND(ISNUMBER(J1641),ISNUMBER(K1641),ISNUMBER(L1641)),IF(J1641&gt;L1641,"boven UCL",IF(J1641&lt;K1641,"onder LCL","")),"")</f>
        <v/>
      </c>
      <c r="O1641" t="n">
        <v>1535</v>
      </c>
      <c r="P1641" s="7" t="n"/>
      <c r="Q1641" s="7" t="n"/>
      <c r="R1641" s="11">
        <f>IF(AND(ISNUMBER(P1641),ISNUMBER(Q1641),P1641&gt;0,ISNUMBER($B$100)),Q1641/P1641,"")</f>
        <v/>
      </c>
      <c r="S1641" s="11">
        <f>IF(AND(ISNUMBER(P1641),ISNUMBER(Q1641),P1641&gt;0,ISNUMBER($B$100)),MAX(0,$B$100-3*SQRT($B$100/P1641)),"")</f>
        <v/>
      </c>
      <c r="T1641" s="11">
        <f>IF(AND(ISNUMBER(P1641),ISNUMBER(Q1641),P1641&gt;0,ISNUMBER($B$100)),$B$100+3*SQRT($B$100/P1641),"")</f>
        <v/>
      </c>
      <c r="U1641" s="13">
        <f>IF(AND(ISNUMBER(R1641),ISNUMBER(S1641),ISNUMBER(T1641)),IF(R1641&gt;T1641,"boven UCL",IF(R1641&lt;S1641,"onder LCL","")),"")</f>
        <v/>
      </c>
    </row>
    <row r="1642">
      <c r="A1642" t="n">
        <v>1536</v>
      </c>
      <c r="B1642" s="7" t="n"/>
      <c r="C1642" s="11">
        <f>IF(AND(ISNUMBER(B1642),ISNUMBER(B1641)),ABS(B1642-B1641),"")</f>
        <v/>
      </c>
      <c r="D1642" s="13">
        <f>IF(AND(ISNUMBER(B1642),ISNUMBER($B$88),ISNUMBER($D$88)),IF(B1642&gt;$D$88,"boven UCL",IF(B1642&lt;$B$88,"onder LCL","")),"")</f>
        <v/>
      </c>
      <c r="E1642" s="13">
        <f>IF(AND(ISNUMBER(C1642),ISNUMBER($B$89),ISNUMBER($D$89)),IF(C1642&gt;$D$89,"boven UCL",IF(C1642&lt;$B$89,"onder LCL","")),"")</f>
        <v/>
      </c>
      <c r="G1642" t="n">
        <v>1536</v>
      </c>
      <c r="H1642" s="7" t="n"/>
      <c r="I1642" s="7" t="n"/>
      <c r="J1642" s="11">
        <f>IF(AND(ISNUMBER(H1642),ISNUMBER(I1642),H1642&gt;0,ISNUMBER($B$94)),I1642/H1642,"")</f>
        <v/>
      </c>
      <c r="K1642" s="11">
        <f>IF(AND(ISNUMBER(H1642),ISNUMBER(I1642),H1642&gt;0,ISNUMBER($B$94)),MAX(0,$B$94-3*SQRT($B$94*(1-$B$94)/H1642)),"")</f>
        <v/>
      </c>
      <c r="L1642" s="11">
        <f>IF(AND(ISNUMBER(H1642),ISNUMBER(I1642),H1642&gt;0,ISNUMBER($B$94)),$B$94+3*SQRT($B$94*(1-$B$94)/H1642),"")</f>
        <v/>
      </c>
      <c r="M1642" s="13">
        <f>IF(AND(ISNUMBER(J1642),ISNUMBER(K1642),ISNUMBER(L1642)),IF(J1642&gt;L1642,"boven UCL",IF(J1642&lt;K1642,"onder LCL","")),"")</f>
        <v/>
      </c>
      <c r="O1642" t="n">
        <v>1536</v>
      </c>
      <c r="P1642" s="7" t="n"/>
      <c r="Q1642" s="7" t="n"/>
      <c r="R1642" s="11">
        <f>IF(AND(ISNUMBER(P1642),ISNUMBER(Q1642),P1642&gt;0,ISNUMBER($B$100)),Q1642/P1642,"")</f>
        <v/>
      </c>
      <c r="S1642" s="11">
        <f>IF(AND(ISNUMBER(P1642),ISNUMBER(Q1642),P1642&gt;0,ISNUMBER($B$100)),MAX(0,$B$100-3*SQRT($B$100/P1642)),"")</f>
        <v/>
      </c>
      <c r="T1642" s="11">
        <f>IF(AND(ISNUMBER(P1642),ISNUMBER(Q1642),P1642&gt;0,ISNUMBER($B$100)),$B$100+3*SQRT($B$100/P1642),"")</f>
        <v/>
      </c>
      <c r="U1642" s="13">
        <f>IF(AND(ISNUMBER(R1642),ISNUMBER(S1642),ISNUMBER(T1642)),IF(R1642&gt;T1642,"boven UCL",IF(R1642&lt;S1642,"onder LCL","")),"")</f>
        <v/>
      </c>
    </row>
    <row r="1643">
      <c r="A1643" t="n">
        <v>1537</v>
      </c>
      <c r="B1643" s="7" t="n"/>
      <c r="C1643" s="11">
        <f>IF(AND(ISNUMBER(B1643),ISNUMBER(B1642)),ABS(B1643-B1642),"")</f>
        <v/>
      </c>
      <c r="D1643" s="13">
        <f>IF(AND(ISNUMBER(B1643),ISNUMBER($B$88),ISNUMBER($D$88)),IF(B1643&gt;$D$88,"boven UCL",IF(B1643&lt;$B$88,"onder LCL","")),"")</f>
        <v/>
      </c>
      <c r="E1643" s="13">
        <f>IF(AND(ISNUMBER(C1643),ISNUMBER($B$89),ISNUMBER($D$89)),IF(C1643&gt;$D$89,"boven UCL",IF(C1643&lt;$B$89,"onder LCL","")),"")</f>
        <v/>
      </c>
      <c r="G1643" t="n">
        <v>1537</v>
      </c>
      <c r="H1643" s="7" t="n"/>
      <c r="I1643" s="7" t="n"/>
      <c r="J1643" s="11">
        <f>IF(AND(ISNUMBER(H1643),ISNUMBER(I1643),H1643&gt;0,ISNUMBER($B$94)),I1643/H1643,"")</f>
        <v/>
      </c>
      <c r="K1643" s="11">
        <f>IF(AND(ISNUMBER(H1643),ISNUMBER(I1643),H1643&gt;0,ISNUMBER($B$94)),MAX(0,$B$94-3*SQRT($B$94*(1-$B$94)/H1643)),"")</f>
        <v/>
      </c>
      <c r="L1643" s="11">
        <f>IF(AND(ISNUMBER(H1643),ISNUMBER(I1643),H1643&gt;0,ISNUMBER($B$94)),$B$94+3*SQRT($B$94*(1-$B$94)/H1643),"")</f>
        <v/>
      </c>
      <c r="M1643" s="13">
        <f>IF(AND(ISNUMBER(J1643),ISNUMBER(K1643),ISNUMBER(L1643)),IF(J1643&gt;L1643,"boven UCL",IF(J1643&lt;K1643,"onder LCL","")),"")</f>
        <v/>
      </c>
      <c r="O1643" t="n">
        <v>1537</v>
      </c>
      <c r="P1643" s="7" t="n"/>
      <c r="Q1643" s="7" t="n"/>
      <c r="R1643" s="11">
        <f>IF(AND(ISNUMBER(P1643),ISNUMBER(Q1643),P1643&gt;0,ISNUMBER($B$100)),Q1643/P1643,"")</f>
        <v/>
      </c>
      <c r="S1643" s="11">
        <f>IF(AND(ISNUMBER(P1643),ISNUMBER(Q1643),P1643&gt;0,ISNUMBER($B$100)),MAX(0,$B$100-3*SQRT($B$100/P1643)),"")</f>
        <v/>
      </c>
      <c r="T1643" s="11">
        <f>IF(AND(ISNUMBER(P1643),ISNUMBER(Q1643),P1643&gt;0,ISNUMBER($B$100)),$B$100+3*SQRT($B$100/P1643),"")</f>
        <v/>
      </c>
      <c r="U1643" s="13">
        <f>IF(AND(ISNUMBER(R1643),ISNUMBER(S1643),ISNUMBER(T1643)),IF(R1643&gt;T1643,"boven UCL",IF(R1643&lt;S1643,"onder LCL","")),"")</f>
        <v/>
      </c>
    </row>
    <row r="1644">
      <c r="A1644" t="n">
        <v>1538</v>
      </c>
      <c r="B1644" s="7" t="n"/>
      <c r="C1644" s="11">
        <f>IF(AND(ISNUMBER(B1644),ISNUMBER(B1643)),ABS(B1644-B1643),"")</f>
        <v/>
      </c>
      <c r="D1644" s="13">
        <f>IF(AND(ISNUMBER(B1644),ISNUMBER($B$88),ISNUMBER($D$88)),IF(B1644&gt;$D$88,"boven UCL",IF(B1644&lt;$B$88,"onder LCL","")),"")</f>
        <v/>
      </c>
      <c r="E1644" s="13">
        <f>IF(AND(ISNUMBER(C1644),ISNUMBER($B$89),ISNUMBER($D$89)),IF(C1644&gt;$D$89,"boven UCL",IF(C1644&lt;$B$89,"onder LCL","")),"")</f>
        <v/>
      </c>
      <c r="G1644" t="n">
        <v>1538</v>
      </c>
      <c r="H1644" s="7" t="n"/>
      <c r="I1644" s="7" t="n"/>
      <c r="J1644" s="11">
        <f>IF(AND(ISNUMBER(H1644),ISNUMBER(I1644),H1644&gt;0,ISNUMBER($B$94)),I1644/H1644,"")</f>
        <v/>
      </c>
      <c r="K1644" s="11">
        <f>IF(AND(ISNUMBER(H1644),ISNUMBER(I1644),H1644&gt;0,ISNUMBER($B$94)),MAX(0,$B$94-3*SQRT($B$94*(1-$B$94)/H1644)),"")</f>
        <v/>
      </c>
      <c r="L1644" s="11">
        <f>IF(AND(ISNUMBER(H1644),ISNUMBER(I1644),H1644&gt;0,ISNUMBER($B$94)),$B$94+3*SQRT($B$94*(1-$B$94)/H1644),"")</f>
        <v/>
      </c>
      <c r="M1644" s="13">
        <f>IF(AND(ISNUMBER(J1644),ISNUMBER(K1644),ISNUMBER(L1644)),IF(J1644&gt;L1644,"boven UCL",IF(J1644&lt;K1644,"onder LCL","")),"")</f>
        <v/>
      </c>
      <c r="O1644" t="n">
        <v>1538</v>
      </c>
      <c r="P1644" s="7" t="n"/>
      <c r="Q1644" s="7" t="n"/>
      <c r="R1644" s="11">
        <f>IF(AND(ISNUMBER(P1644),ISNUMBER(Q1644),P1644&gt;0,ISNUMBER($B$100)),Q1644/P1644,"")</f>
        <v/>
      </c>
      <c r="S1644" s="11">
        <f>IF(AND(ISNUMBER(P1644),ISNUMBER(Q1644),P1644&gt;0,ISNUMBER($B$100)),MAX(0,$B$100-3*SQRT($B$100/P1644)),"")</f>
        <v/>
      </c>
      <c r="T1644" s="11">
        <f>IF(AND(ISNUMBER(P1644),ISNUMBER(Q1644),P1644&gt;0,ISNUMBER($B$100)),$B$100+3*SQRT($B$100/P1644),"")</f>
        <v/>
      </c>
      <c r="U1644" s="13">
        <f>IF(AND(ISNUMBER(R1644),ISNUMBER(S1644),ISNUMBER(T1644)),IF(R1644&gt;T1644,"boven UCL",IF(R1644&lt;S1644,"onder LCL","")),"")</f>
        <v/>
      </c>
    </row>
    <row r="1645">
      <c r="A1645" t="n">
        <v>1539</v>
      </c>
      <c r="B1645" s="7" t="n"/>
      <c r="C1645" s="11">
        <f>IF(AND(ISNUMBER(B1645),ISNUMBER(B1644)),ABS(B1645-B1644),"")</f>
        <v/>
      </c>
      <c r="D1645" s="13">
        <f>IF(AND(ISNUMBER(B1645),ISNUMBER($B$88),ISNUMBER($D$88)),IF(B1645&gt;$D$88,"boven UCL",IF(B1645&lt;$B$88,"onder LCL","")),"")</f>
        <v/>
      </c>
      <c r="E1645" s="13">
        <f>IF(AND(ISNUMBER(C1645),ISNUMBER($B$89),ISNUMBER($D$89)),IF(C1645&gt;$D$89,"boven UCL",IF(C1645&lt;$B$89,"onder LCL","")),"")</f>
        <v/>
      </c>
      <c r="G1645" t="n">
        <v>1539</v>
      </c>
      <c r="H1645" s="7" t="n"/>
      <c r="I1645" s="7" t="n"/>
      <c r="J1645" s="11">
        <f>IF(AND(ISNUMBER(H1645),ISNUMBER(I1645),H1645&gt;0,ISNUMBER($B$94)),I1645/H1645,"")</f>
        <v/>
      </c>
      <c r="K1645" s="11">
        <f>IF(AND(ISNUMBER(H1645),ISNUMBER(I1645),H1645&gt;0,ISNUMBER($B$94)),MAX(0,$B$94-3*SQRT($B$94*(1-$B$94)/H1645)),"")</f>
        <v/>
      </c>
      <c r="L1645" s="11">
        <f>IF(AND(ISNUMBER(H1645),ISNUMBER(I1645),H1645&gt;0,ISNUMBER($B$94)),$B$94+3*SQRT($B$94*(1-$B$94)/H1645),"")</f>
        <v/>
      </c>
      <c r="M1645" s="13">
        <f>IF(AND(ISNUMBER(J1645),ISNUMBER(K1645),ISNUMBER(L1645)),IF(J1645&gt;L1645,"boven UCL",IF(J1645&lt;K1645,"onder LCL","")),"")</f>
        <v/>
      </c>
      <c r="O1645" t="n">
        <v>1539</v>
      </c>
      <c r="P1645" s="7" t="n"/>
      <c r="Q1645" s="7" t="n"/>
      <c r="R1645" s="11">
        <f>IF(AND(ISNUMBER(P1645),ISNUMBER(Q1645),P1645&gt;0,ISNUMBER($B$100)),Q1645/P1645,"")</f>
        <v/>
      </c>
      <c r="S1645" s="11">
        <f>IF(AND(ISNUMBER(P1645),ISNUMBER(Q1645),P1645&gt;0,ISNUMBER($B$100)),MAX(0,$B$100-3*SQRT($B$100/P1645)),"")</f>
        <v/>
      </c>
      <c r="T1645" s="11">
        <f>IF(AND(ISNUMBER(P1645),ISNUMBER(Q1645),P1645&gt;0,ISNUMBER($B$100)),$B$100+3*SQRT($B$100/P1645),"")</f>
        <v/>
      </c>
      <c r="U1645" s="13">
        <f>IF(AND(ISNUMBER(R1645),ISNUMBER(S1645),ISNUMBER(T1645)),IF(R1645&gt;T1645,"boven UCL",IF(R1645&lt;S1645,"onder LCL","")),"")</f>
        <v/>
      </c>
    </row>
    <row r="1646">
      <c r="A1646" t="n">
        <v>1540</v>
      </c>
      <c r="B1646" s="7" t="n"/>
      <c r="C1646" s="11">
        <f>IF(AND(ISNUMBER(B1646),ISNUMBER(B1645)),ABS(B1646-B1645),"")</f>
        <v/>
      </c>
      <c r="D1646" s="13">
        <f>IF(AND(ISNUMBER(B1646),ISNUMBER($B$88),ISNUMBER($D$88)),IF(B1646&gt;$D$88,"boven UCL",IF(B1646&lt;$B$88,"onder LCL","")),"")</f>
        <v/>
      </c>
      <c r="E1646" s="13">
        <f>IF(AND(ISNUMBER(C1646),ISNUMBER($B$89),ISNUMBER($D$89)),IF(C1646&gt;$D$89,"boven UCL",IF(C1646&lt;$B$89,"onder LCL","")),"")</f>
        <v/>
      </c>
      <c r="G1646" t="n">
        <v>1540</v>
      </c>
      <c r="H1646" s="7" t="n"/>
      <c r="I1646" s="7" t="n"/>
      <c r="J1646" s="11">
        <f>IF(AND(ISNUMBER(H1646),ISNUMBER(I1646),H1646&gt;0,ISNUMBER($B$94)),I1646/H1646,"")</f>
        <v/>
      </c>
      <c r="K1646" s="11">
        <f>IF(AND(ISNUMBER(H1646),ISNUMBER(I1646),H1646&gt;0,ISNUMBER($B$94)),MAX(0,$B$94-3*SQRT($B$94*(1-$B$94)/H1646)),"")</f>
        <v/>
      </c>
      <c r="L1646" s="11">
        <f>IF(AND(ISNUMBER(H1646),ISNUMBER(I1646),H1646&gt;0,ISNUMBER($B$94)),$B$94+3*SQRT($B$94*(1-$B$94)/H1646),"")</f>
        <v/>
      </c>
      <c r="M1646" s="13">
        <f>IF(AND(ISNUMBER(J1646),ISNUMBER(K1646),ISNUMBER(L1646)),IF(J1646&gt;L1646,"boven UCL",IF(J1646&lt;K1646,"onder LCL","")),"")</f>
        <v/>
      </c>
      <c r="O1646" t="n">
        <v>1540</v>
      </c>
      <c r="P1646" s="7" t="n"/>
      <c r="Q1646" s="7" t="n"/>
      <c r="R1646" s="11">
        <f>IF(AND(ISNUMBER(P1646),ISNUMBER(Q1646),P1646&gt;0,ISNUMBER($B$100)),Q1646/P1646,"")</f>
        <v/>
      </c>
      <c r="S1646" s="11">
        <f>IF(AND(ISNUMBER(P1646),ISNUMBER(Q1646),P1646&gt;0,ISNUMBER($B$100)),MAX(0,$B$100-3*SQRT($B$100/P1646)),"")</f>
        <v/>
      </c>
      <c r="T1646" s="11">
        <f>IF(AND(ISNUMBER(P1646),ISNUMBER(Q1646),P1646&gt;0,ISNUMBER($B$100)),$B$100+3*SQRT($B$100/P1646),"")</f>
        <v/>
      </c>
      <c r="U1646" s="13">
        <f>IF(AND(ISNUMBER(R1646),ISNUMBER(S1646),ISNUMBER(T1646)),IF(R1646&gt;T1646,"boven UCL",IF(R1646&lt;S1646,"onder LCL","")),"")</f>
        <v/>
      </c>
    </row>
    <row r="1647">
      <c r="A1647" t="n">
        <v>1541</v>
      </c>
      <c r="B1647" s="7" t="n"/>
      <c r="C1647" s="11">
        <f>IF(AND(ISNUMBER(B1647),ISNUMBER(B1646)),ABS(B1647-B1646),"")</f>
        <v/>
      </c>
      <c r="D1647" s="13">
        <f>IF(AND(ISNUMBER(B1647),ISNUMBER($B$88),ISNUMBER($D$88)),IF(B1647&gt;$D$88,"boven UCL",IF(B1647&lt;$B$88,"onder LCL","")),"")</f>
        <v/>
      </c>
      <c r="E1647" s="13">
        <f>IF(AND(ISNUMBER(C1647),ISNUMBER($B$89),ISNUMBER($D$89)),IF(C1647&gt;$D$89,"boven UCL",IF(C1647&lt;$B$89,"onder LCL","")),"")</f>
        <v/>
      </c>
      <c r="G1647" t="n">
        <v>1541</v>
      </c>
      <c r="H1647" s="7" t="n"/>
      <c r="I1647" s="7" t="n"/>
      <c r="J1647" s="11">
        <f>IF(AND(ISNUMBER(H1647),ISNUMBER(I1647),H1647&gt;0,ISNUMBER($B$94)),I1647/H1647,"")</f>
        <v/>
      </c>
      <c r="K1647" s="11">
        <f>IF(AND(ISNUMBER(H1647),ISNUMBER(I1647),H1647&gt;0,ISNUMBER($B$94)),MAX(0,$B$94-3*SQRT($B$94*(1-$B$94)/H1647)),"")</f>
        <v/>
      </c>
      <c r="L1647" s="11">
        <f>IF(AND(ISNUMBER(H1647),ISNUMBER(I1647),H1647&gt;0,ISNUMBER($B$94)),$B$94+3*SQRT($B$94*(1-$B$94)/H1647),"")</f>
        <v/>
      </c>
      <c r="M1647" s="13">
        <f>IF(AND(ISNUMBER(J1647),ISNUMBER(K1647),ISNUMBER(L1647)),IF(J1647&gt;L1647,"boven UCL",IF(J1647&lt;K1647,"onder LCL","")),"")</f>
        <v/>
      </c>
      <c r="O1647" t="n">
        <v>1541</v>
      </c>
      <c r="P1647" s="7" t="n"/>
      <c r="Q1647" s="7" t="n"/>
      <c r="R1647" s="11">
        <f>IF(AND(ISNUMBER(P1647),ISNUMBER(Q1647),P1647&gt;0,ISNUMBER($B$100)),Q1647/P1647,"")</f>
        <v/>
      </c>
      <c r="S1647" s="11">
        <f>IF(AND(ISNUMBER(P1647),ISNUMBER(Q1647),P1647&gt;0,ISNUMBER($B$100)),MAX(0,$B$100-3*SQRT($B$100/P1647)),"")</f>
        <v/>
      </c>
      <c r="T1647" s="11">
        <f>IF(AND(ISNUMBER(P1647),ISNUMBER(Q1647),P1647&gt;0,ISNUMBER($B$100)),$B$100+3*SQRT($B$100/P1647),"")</f>
        <v/>
      </c>
      <c r="U1647" s="13">
        <f>IF(AND(ISNUMBER(R1647),ISNUMBER(S1647),ISNUMBER(T1647)),IF(R1647&gt;T1647,"boven UCL",IF(R1647&lt;S1647,"onder LCL","")),"")</f>
        <v/>
      </c>
    </row>
    <row r="1648">
      <c r="A1648" t="n">
        <v>1542</v>
      </c>
      <c r="B1648" s="7" t="n"/>
      <c r="C1648" s="11">
        <f>IF(AND(ISNUMBER(B1648),ISNUMBER(B1647)),ABS(B1648-B1647),"")</f>
        <v/>
      </c>
      <c r="D1648" s="13">
        <f>IF(AND(ISNUMBER(B1648),ISNUMBER($B$88),ISNUMBER($D$88)),IF(B1648&gt;$D$88,"boven UCL",IF(B1648&lt;$B$88,"onder LCL","")),"")</f>
        <v/>
      </c>
      <c r="E1648" s="13">
        <f>IF(AND(ISNUMBER(C1648),ISNUMBER($B$89),ISNUMBER($D$89)),IF(C1648&gt;$D$89,"boven UCL",IF(C1648&lt;$B$89,"onder LCL","")),"")</f>
        <v/>
      </c>
      <c r="G1648" t="n">
        <v>1542</v>
      </c>
      <c r="H1648" s="7" t="n"/>
      <c r="I1648" s="7" t="n"/>
      <c r="J1648" s="11">
        <f>IF(AND(ISNUMBER(H1648),ISNUMBER(I1648),H1648&gt;0,ISNUMBER($B$94)),I1648/H1648,"")</f>
        <v/>
      </c>
      <c r="K1648" s="11">
        <f>IF(AND(ISNUMBER(H1648),ISNUMBER(I1648),H1648&gt;0,ISNUMBER($B$94)),MAX(0,$B$94-3*SQRT($B$94*(1-$B$94)/H1648)),"")</f>
        <v/>
      </c>
      <c r="L1648" s="11">
        <f>IF(AND(ISNUMBER(H1648),ISNUMBER(I1648),H1648&gt;0,ISNUMBER($B$94)),$B$94+3*SQRT($B$94*(1-$B$94)/H1648),"")</f>
        <v/>
      </c>
      <c r="M1648" s="13">
        <f>IF(AND(ISNUMBER(J1648),ISNUMBER(K1648),ISNUMBER(L1648)),IF(J1648&gt;L1648,"boven UCL",IF(J1648&lt;K1648,"onder LCL","")),"")</f>
        <v/>
      </c>
      <c r="O1648" t="n">
        <v>1542</v>
      </c>
      <c r="P1648" s="7" t="n"/>
      <c r="Q1648" s="7" t="n"/>
      <c r="R1648" s="11">
        <f>IF(AND(ISNUMBER(P1648),ISNUMBER(Q1648),P1648&gt;0,ISNUMBER($B$100)),Q1648/P1648,"")</f>
        <v/>
      </c>
      <c r="S1648" s="11">
        <f>IF(AND(ISNUMBER(P1648),ISNUMBER(Q1648),P1648&gt;0,ISNUMBER($B$100)),MAX(0,$B$100-3*SQRT($B$100/P1648)),"")</f>
        <v/>
      </c>
      <c r="T1648" s="11">
        <f>IF(AND(ISNUMBER(P1648),ISNUMBER(Q1648),P1648&gt;0,ISNUMBER($B$100)),$B$100+3*SQRT($B$100/P1648),"")</f>
        <v/>
      </c>
      <c r="U1648" s="13">
        <f>IF(AND(ISNUMBER(R1648),ISNUMBER(S1648),ISNUMBER(T1648)),IF(R1648&gt;T1648,"boven UCL",IF(R1648&lt;S1648,"onder LCL","")),"")</f>
        <v/>
      </c>
    </row>
    <row r="1649">
      <c r="A1649" t="n">
        <v>1543</v>
      </c>
      <c r="B1649" s="7" t="n"/>
      <c r="C1649" s="11">
        <f>IF(AND(ISNUMBER(B1649),ISNUMBER(B1648)),ABS(B1649-B1648),"")</f>
        <v/>
      </c>
      <c r="D1649" s="13">
        <f>IF(AND(ISNUMBER(B1649),ISNUMBER($B$88),ISNUMBER($D$88)),IF(B1649&gt;$D$88,"boven UCL",IF(B1649&lt;$B$88,"onder LCL","")),"")</f>
        <v/>
      </c>
      <c r="E1649" s="13">
        <f>IF(AND(ISNUMBER(C1649),ISNUMBER($B$89),ISNUMBER($D$89)),IF(C1649&gt;$D$89,"boven UCL",IF(C1649&lt;$B$89,"onder LCL","")),"")</f>
        <v/>
      </c>
      <c r="G1649" t="n">
        <v>1543</v>
      </c>
      <c r="H1649" s="7" t="n"/>
      <c r="I1649" s="7" t="n"/>
      <c r="J1649" s="11">
        <f>IF(AND(ISNUMBER(H1649),ISNUMBER(I1649),H1649&gt;0,ISNUMBER($B$94)),I1649/H1649,"")</f>
        <v/>
      </c>
      <c r="K1649" s="11">
        <f>IF(AND(ISNUMBER(H1649),ISNUMBER(I1649),H1649&gt;0,ISNUMBER($B$94)),MAX(0,$B$94-3*SQRT($B$94*(1-$B$94)/H1649)),"")</f>
        <v/>
      </c>
      <c r="L1649" s="11">
        <f>IF(AND(ISNUMBER(H1649),ISNUMBER(I1649),H1649&gt;0,ISNUMBER($B$94)),$B$94+3*SQRT($B$94*(1-$B$94)/H1649),"")</f>
        <v/>
      </c>
      <c r="M1649" s="13">
        <f>IF(AND(ISNUMBER(J1649),ISNUMBER(K1649),ISNUMBER(L1649)),IF(J1649&gt;L1649,"boven UCL",IF(J1649&lt;K1649,"onder LCL","")),"")</f>
        <v/>
      </c>
      <c r="O1649" t="n">
        <v>1543</v>
      </c>
      <c r="P1649" s="7" t="n"/>
      <c r="Q1649" s="7" t="n"/>
      <c r="R1649" s="11">
        <f>IF(AND(ISNUMBER(P1649),ISNUMBER(Q1649),P1649&gt;0,ISNUMBER($B$100)),Q1649/P1649,"")</f>
        <v/>
      </c>
      <c r="S1649" s="11">
        <f>IF(AND(ISNUMBER(P1649),ISNUMBER(Q1649),P1649&gt;0,ISNUMBER($B$100)),MAX(0,$B$100-3*SQRT($B$100/P1649)),"")</f>
        <v/>
      </c>
      <c r="T1649" s="11">
        <f>IF(AND(ISNUMBER(P1649),ISNUMBER(Q1649),P1649&gt;0,ISNUMBER($B$100)),$B$100+3*SQRT($B$100/P1649),"")</f>
        <v/>
      </c>
      <c r="U1649" s="13">
        <f>IF(AND(ISNUMBER(R1649),ISNUMBER(S1649),ISNUMBER(T1649)),IF(R1649&gt;T1649,"boven UCL",IF(R1649&lt;S1649,"onder LCL","")),"")</f>
        <v/>
      </c>
    </row>
    <row r="1650">
      <c r="A1650" t="n">
        <v>1544</v>
      </c>
      <c r="B1650" s="7" t="n"/>
      <c r="C1650" s="11">
        <f>IF(AND(ISNUMBER(B1650),ISNUMBER(B1649)),ABS(B1650-B1649),"")</f>
        <v/>
      </c>
      <c r="D1650" s="13">
        <f>IF(AND(ISNUMBER(B1650),ISNUMBER($B$88),ISNUMBER($D$88)),IF(B1650&gt;$D$88,"boven UCL",IF(B1650&lt;$B$88,"onder LCL","")),"")</f>
        <v/>
      </c>
      <c r="E1650" s="13">
        <f>IF(AND(ISNUMBER(C1650),ISNUMBER($B$89),ISNUMBER($D$89)),IF(C1650&gt;$D$89,"boven UCL",IF(C1650&lt;$B$89,"onder LCL","")),"")</f>
        <v/>
      </c>
      <c r="G1650" t="n">
        <v>1544</v>
      </c>
      <c r="H1650" s="7" t="n"/>
      <c r="I1650" s="7" t="n"/>
      <c r="J1650" s="11">
        <f>IF(AND(ISNUMBER(H1650),ISNUMBER(I1650),H1650&gt;0,ISNUMBER($B$94)),I1650/H1650,"")</f>
        <v/>
      </c>
      <c r="K1650" s="11">
        <f>IF(AND(ISNUMBER(H1650),ISNUMBER(I1650),H1650&gt;0,ISNUMBER($B$94)),MAX(0,$B$94-3*SQRT($B$94*(1-$B$94)/H1650)),"")</f>
        <v/>
      </c>
      <c r="L1650" s="11">
        <f>IF(AND(ISNUMBER(H1650),ISNUMBER(I1650),H1650&gt;0,ISNUMBER($B$94)),$B$94+3*SQRT($B$94*(1-$B$94)/H1650),"")</f>
        <v/>
      </c>
      <c r="M1650" s="13">
        <f>IF(AND(ISNUMBER(J1650),ISNUMBER(K1650),ISNUMBER(L1650)),IF(J1650&gt;L1650,"boven UCL",IF(J1650&lt;K1650,"onder LCL","")),"")</f>
        <v/>
      </c>
      <c r="O1650" t="n">
        <v>1544</v>
      </c>
      <c r="P1650" s="7" t="n"/>
      <c r="Q1650" s="7" t="n"/>
      <c r="R1650" s="11">
        <f>IF(AND(ISNUMBER(P1650),ISNUMBER(Q1650),P1650&gt;0,ISNUMBER($B$100)),Q1650/P1650,"")</f>
        <v/>
      </c>
      <c r="S1650" s="11">
        <f>IF(AND(ISNUMBER(P1650),ISNUMBER(Q1650),P1650&gt;0,ISNUMBER($B$100)),MAX(0,$B$100-3*SQRT($B$100/P1650)),"")</f>
        <v/>
      </c>
      <c r="T1650" s="11">
        <f>IF(AND(ISNUMBER(P1650),ISNUMBER(Q1650),P1650&gt;0,ISNUMBER($B$100)),$B$100+3*SQRT($B$100/P1650),"")</f>
        <v/>
      </c>
      <c r="U1650" s="13">
        <f>IF(AND(ISNUMBER(R1650),ISNUMBER(S1650),ISNUMBER(T1650)),IF(R1650&gt;T1650,"boven UCL",IF(R1650&lt;S1650,"onder LCL","")),"")</f>
        <v/>
      </c>
    </row>
    <row r="1651">
      <c r="A1651" t="n">
        <v>1545</v>
      </c>
      <c r="B1651" s="7" t="n"/>
      <c r="C1651" s="11">
        <f>IF(AND(ISNUMBER(B1651),ISNUMBER(B1650)),ABS(B1651-B1650),"")</f>
        <v/>
      </c>
      <c r="D1651" s="13">
        <f>IF(AND(ISNUMBER(B1651),ISNUMBER($B$88),ISNUMBER($D$88)),IF(B1651&gt;$D$88,"boven UCL",IF(B1651&lt;$B$88,"onder LCL","")),"")</f>
        <v/>
      </c>
      <c r="E1651" s="13">
        <f>IF(AND(ISNUMBER(C1651),ISNUMBER($B$89),ISNUMBER($D$89)),IF(C1651&gt;$D$89,"boven UCL",IF(C1651&lt;$B$89,"onder LCL","")),"")</f>
        <v/>
      </c>
      <c r="G1651" t="n">
        <v>1545</v>
      </c>
      <c r="H1651" s="7" t="n"/>
      <c r="I1651" s="7" t="n"/>
      <c r="J1651" s="11">
        <f>IF(AND(ISNUMBER(H1651),ISNUMBER(I1651),H1651&gt;0,ISNUMBER($B$94)),I1651/H1651,"")</f>
        <v/>
      </c>
      <c r="K1651" s="11">
        <f>IF(AND(ISNUMBER(H1651),ISNUMBER(I1651),H1651&gt;0,ISNUMBER($B$94)),MAX(0,$B$94-3*SQRT($B$94*(1-$B$94)/H1651)),"")</f>
        <v/>
      </c>
      <c r="L1651" s="11">
        <f>IF(AND(ISNUMBER(H1651),ISNUMBER(I1651),H1651&gt;0,ISNUMBER($B$94)),$B$94+3*SQRT($B$94*(1-$B$94)/H1651),"")</f>
        <v/>
      </c>
      <c r="M1651" s="13">
        <f>IF(AND(ISNUMBER(J1651),ISNUMBER(K1651),ISNUMBER(L1651)),IF(J1651&gt;L1651,"boven UCL",IF(J1651&lt;K1651,"onder LCL","")),"")</f>
        <v/>
      </c>
      <c r="O1651" t="n">
        <v>1545</v>
      </c>
      <c r="P1651" s="7" t="n"/>
      <c r="Q1651" s="7" t="n"/>
      <c r="R1651" s="11">
        <f>IF(AND(ISNUMBER(P1651),ISNUMBER(Q1651),P1651&gt;0,ISNUMBER($B$100)),Q1651/P1651,"")</f>
        <v/>
      </c>
      <c r="S1651" s="11">
        <f>IF(AND(ISNUMBER(P1651),ISNUMBER(Q1651),P1651&gt;0,ISNUMBER($B$100)),MAX(0,$B$100-3*SQRT($B$100/P1651)),"")</f>
        <v/>
      </c>
      <c r="T1651" s="11">
        <f>IF(AND(ISNUMBER(P1651),ISNUMBER(Q1651),P1651&gt;0,ISNUMBER($B$100)),$B$100+3*SQRT($B$100/P1651),"")</f>
        <v/>
      </c>
      <c r="U1651" s="13">
        <f>IF(AND(ISNUMBER(R1651),ISNUMBER(S1651),ISNUMBER(T1651)),IF(R1651&gt;T1651,"boven UCL",IF(R1651&lt;S1651,"onder LCL","")),"")</f>
        <v/>
      </c>
    </row>
    <row r="1652">
      <c r="A1652" t="n">
        <v>1546</v>
      </c>
      <c r="B1652" s="7" t="n"/>
      <c r="C1652" s="11">
        <f>IF(AND(ISNUMBER(B1652),ISNUMBER(B1651)),ABS(B1652-B1651),"")</f>
        <v/>
      </c>
      <c r="D1652" s="13">
        <f>IF(AND(ISNUMBER(B1652),ISNUMBER($B$88),ISNUMBER($D$88)),IF(B1652&gt;$D$88,"boven UCL",IF(B1652&lt;$B$88,"onder LCL","")),"")</f>
        <v/>
      </c>
      <c r="E1652" s="13">
        <f>IF(AND(ISNUMBER(C1652),ISNUMBER($B$89),ISNUMBER($D$89)),IF(C1652&gt;$D$89,"boven UCL",IF(C1652&lt;$B$89,"onder LCL","")),"")</f>
        <v/>
      </c>
      <c r="G1652" t="n">
        <v>1546</v>
      </c>
      <c r="H1652" s="7" t="n"/>
      <c r="I1652" s="7" t="n"/>
      <c r="J1652" s="11">
        <f>IF(AND(ISNUMBER(H1652),ISNUMBER(I1652),H1652&gt;0,ISNUMBER($B$94)),I1652/H1652,"")</f>
        <v/>
      </c>
      <c r="K1652" s="11">
        <f>IF(AND(ISNUMBER(H1652),ISNUMBER(I1652),H1652&gt;0,ISNUMBER($B$94)),MAX(0,$B$94-3*SQRT($B$94*(1-$B$94)/H1652)),"")</f>
        <v/>
      </c>
      <c r="L1652" s="11">
        <f>IF(AND(ISNUMBER(H1652),ISNUMBER(I1652),H1652&gt;0,ISNUMBER($B$94)),$B$94+3*SQRT($B$94*(1-$B$94)/H1652),"")</f>
        <v/>
      </c>
      <c r="M1652" s="13">
        <f>IF(AND(ISNUMBER(J1652),ISNUMBER(K1652),ISNUMBER(L1652)),IF(J1652&gt;L1652,"boven UCL",IF(J1652&lt;K1652,"onder LCL","")),"")</f>
        <v/>
      </c>
      <c r="O1652" t="n">
        <v>1546</v>
      </c>
      <c r="P1652" s="7" t="n"/>
      <c r="Q1652" s="7" t="n"/>
      <c r="R1652" s="11">
        <f>IF(AND(ISNUMBER(P1652),ISNUMBER(Q1652),P1652&gt;0,ISNUMBER($B$100)),Q1652/P1652,"")</f>
        <v/>
      </c>
      <c r="S1652" s="11">
        <f>IF(AND(ISNUMBER(P1652),ISNUMBER(Q1652),P1652&gt;0,ISNUMBER($B$100)),MAX(0,$B$100-3*SQRT($B$100/P1652)),"")</f>
        <v/>
      </c>
      <c r="T1652" s="11">
        <f>IF(AND(ISNUMBER(P1652),ISNUMBER(Q1652),P1652&gt;0,ISNUMBER($B$100)),$B$100+3*SQRT($B$100/P1652),"")</f>
        <v/>
      </c>
      <c r="U1652" s="13">
        <f>IF(AND(ISNUMBER(R1652),ISNUMBER(S1652),ISNUMBER(T1652)),IF(R1652&gt;T1652,"boven UCL",IF(R1652&lt;S1652,"onder LCL","")),"")</f>
        <v/>
      </c>
    </row>
    <row r="1653">
      <c r="A1653" t="n">
        <v>1547</v>
      </c>
      <c r="B1653" s="7" t="n"/>
      <c r="C1653" s="11">
        <f>IF(AND(ISNUMBER(B1653),ISNUMBER(B1652)),ABS(B1653-B1652),"")</f>
        <v/>
      </c>
      <c r="D1653" s="13">
        <f>IF(AND(ISNUMBER(B1653),ISNUMBER($B$88),ISNUMBER($D$88)),IF(B1653&gt;$D$88,"boven UCL",IF(B1653&lt;$B$88,"onder LCL","")),"")</f>
        <v/>
      </c>
      <c r="E1653" s="13">
        <f>IF(AND(ISNUMBER(C1653),ISNUMBER($B$89),ISNUMBER($D$89)),IF(C1653&gt;$D$89,"boven UCL",IF(C1653&lt;$B$89,"onder LCL","")),"")</f>
        <v/>
      </c>
      <c r="G1653" t="n">
        <v>1547</v>
      </c>
      <c r="H1653" s="7" t="n"/>
      <c r="I1653" s="7" t="n"/>
      <c r="J1653" s="11">
        <f>IF(AND(ISNUMBER(H1653),ISNUMBER(I1653),H1653&gt;0,ISNUMBER($B$94)),I1653/H1653,"")</f>
        <v/>
      </c>
      <c r="K1653" s="11">
        <f>IF(AND(ISNUMBER(H1653),ISNUMBER(I1653),H1653&gt;0,ISNUMBER($B$94)),MAX(0,$B$94-3*SQRT($B$94*(1-$B$94)/H1653)),"")</f>
        <v/>
      </c>
      <c r="L1653" s="11">
        <f>IF(AND(ISNUMBER(H1653),ISNUMBER(I1653),H1653&gt;0,ISNUMBER($B$94)),$B$94+3*SQRT($B$94*(1-$B$94)/H1653),"")</f>
        <v/>
      </c>
      <c r="M1653" s="13">
        <f>IF(AND(ISNUMBER(J1653),ISNUMBER(K1653),ISNUMBER(L1653)),IF(J1653&gt;L1653,"boven UCL",IF(J1653&lt;K1653,"onder LCL","")),"")</f>
        <v/>
      </c>
      <c r="O1653" t="n">
        <v>1547</v>
      </c>
      <c r="P1653" s="7" t="n"/>
      <c r="Q1653" s="7" t="n"/>
      <c r="R1653" s="11">
        <f>IF(AND(ISNUMBER(P1653),ISNUMBER(Q1653),P1653&gt;0,ISNUMBER($B$100)),Q1653/P1653,"")</f>
        <v/>
      </c>
      <c r="S1653" s="11">
        <f>IF(AND(ISNUMBER(P1653),ISNUMBER(Q1653),P1653&gt;0,ISNUMBER($B$100)),MAX(0,$B$100-3*SQRT($B$100/P1653)),"")</f>
        <v/>
      </c>
      <c r="T1653" s="11">
        <f>IF(AND(ISNUMBER(P1653),ISNUMBER(Q1653),P1653&gt;0,ISNUMBER($B$100)),$B$100+3*SQRT($B$100/P1653),"")</f>
        <v/>
      </c>
      <c r="U1653" s="13">
        <f>IF(AND(ISNUMBER(R1653),ISNUMBER(S1653),ISNUMBER(T1653)),IF(R1653&gt;T1653,"boven UCL",IF(R1653&lt;S1653,"onder LCL","")),"")</f>
        <v/>
      </c>
    </row>
    <row r="1654">
      <c r="A1654" t="n">
        <v>1548</v>
      </c>
      <c r="B1654" s="7" t="n"/>
      <c r="C1654" s="11">
        <f>IF(AND(ISNUMBER(B1654),ISNUMBER(B1653)),ABS(B1654-B1653),"")</f>
        <v/>
      </c>
      <c r="D1654" s="13">
        <f>IF(AND(ISNUMBER(B1654),ISNUMBER($B$88),ISNUMBER($D$88)),IF(B1654&gt;$D$88,"boven UCL",IF(B1654&lt;$B$88,"onder LCL","")),"")</f>
        <v/>
      </c>
      <c r="E1654" s="13">
        <f>IF(AND(ISNUMBER(C1654),ISNUMBER($B$89),ISNUMBER($D$89)),IF(C1654&gt;$D$89,"boven UCL",IF(C1654&lt;$B$89,"onder LCL","")),"")</f>
        <v/>
      </c>
      <c r="G1654" t="n">
        <v>1548</v>
      </c>
      <c r="H1654" s="7" t="n"/>
      <c r="I1654" s="7" t="n"/>
      <c r="J1654" s="11">
        <f>IF(AND(ISNUMBER(H1654),ISNUMBER(I1654),H1654&gt;0,ISNUMBER($B$94)),I1654/H1654,"")</f>
        <v/>
      </c>
      <c r="K1654" s="11">
        <f>IF(AND(ISNUMBER(H1654),ISNUMBER(I1654),H1654&gt;0,ISNUMBER($B$94)),MAX(0,$B$94-3*SQRT($B$94*(1-$B$94)/H1654)),"")</f>
        <v/>
      </c>
      <c r="L1654" s="11">
        <f>IF(AND(ISNUMBER(H1654),ISNUMBER(I1654),H1654&gt;0,ISNUMBER($B$94)),$B$94+3*SQRT($B$94*(1-$B$94)/H1654),"")</f>
        <v/>
      </c>
      <c r="M1654" s="13">
        <f>IF(AND(ISNUMBER(J1654),ISNUMBER(K1654),ISNUMBER(L1654)),IF(J1654&gt;L1654,"boven UCL",IF(J1654&lt;K1654,"onder LCL","")),"")</f>
        <v/>
      </c>
      <c r="O1654" t="n">
        <v>1548</v>
      </c>
      <c r="P1654" s="7" t="n"/>
      <c r="Q1654" s="7" t="n"/>
      <c r="R1654" s="11">
        <f>IF(AND(ISNUMBER(P1654),ISNUMBER(Q1654),P1654&gt;0,ISNUMBER($B$100)),Q1654/P1654,"")</f>
        <v/>
      </c>
      <c r="S1654" s="11">
        <f>IF(AND(ISNUMBER(P1654),ISNUMBER(Q1654),P1654&gt;0,ISNUMBER($B$100)),MAX(0,$B$100-3*SQRT($B$100/P1654)),"")</f>
        <v/>
      </c>
      <c r="T1654" s="11">
        <f>IF(AND(ISNUMBER(P1654),ISNUMBER(Q1654),P1654&gt;0,ISNUMBER($B$100)),$B$100+3*SQRT($B$100/P1654),"")</f>
        <v/>
      </c>
      <c r="U1654" s="13">
        <f>IF(AND(ISNUMBER(R1654),ISNUMBER(S1654),ISNUMBER(T1654)),IF(R1654&gt;T1654,"boven UCL",IF(R1654&lt;S1654,"onder LCL","")),"")</f>
        <v/>
      </c>
    </row>
    <row r="1655">
      <c r="A1655" t="n">
        <v>1549</v>
      </c>
      <c r="B1655" s="7" t="n"/>
      <c r="C1655" s="11">
        <f>IF(AND(ISNUMBER(B1655),ISNUMBER(B1654)),ABS(B1655-B1654),"")</f>
        <v/>
      </c>
      <c r="D1655" s="13">
        <f>IF(AND(ISNUMBER(B1655),ISNUMBER($B$88),ISNUMBER($D$88)),IF(B1655&gt;$D$88,"boven UCL",IF(B1655&lt;$B$88,"onder LCL","")),"")</f>
        <v/>
      </c>
      <c r="E1655" s="13">
        <f>IF(AND(ISNUMBER(C1655),ISNUMBER($B$89),ISNUMBER($D$89)),IF(C1655&gt;$D$89,"boven UCL",IF(C1655&lt;$B$89,"onder LCL","")),"")</f>
        <v/>
      </c>
      <c r="G1655" t="n">
        <v>1549</v>
      </c>
      <c r="H1655" s="7" t="n"/>
      <c r="I1655" s="7" t="n"/>
      <c r="J1655" s="11">
        <f>IF(AND(ISNUMBER(H1655),ISNUMBER(I1655),H1655&gt;0,ISNUMBER($B$94)),I1655/H1655,"")</f>
        <v/>
      </c>
      <c r="K1655" s="11">
        <f>IF(AND(ISNUMBER(H1655),ISNUMBER(I1655),H1655&gt;0,ISNUMBER($B$94)),MAX(0,$B$94-3*SQRT($B$94*(1-$B$94)/H1655)),"")</f>
        <v/>
      </c>
      <c r="L1655" s="11">
        <f>IF(AND(ISNUMBER(H1655),ISNUMBER(I1655),H1655&gt;0,ISNUMBER($B$94)),$B$94+3*SQRT($B$94*(1-$B$94)/H1655),"")</f>
        <v/>
      </c>
      <c r="M1655" s="13">
        <f>IF(AND(ISNUMBER(J1655),ISNUMBER(K1655),ISNUMBER(L1655)),IF(J1655&gt;L1655,"boven UCL",IF(J1655&lt;K1655,"onder LCL","")),"")</f>
        <v/>
      </c>
      <c r="O1655" t="n">
        <v>1549</v>
      </c>
      <c r="P1655" s="7" t="n"/>
      <c r="Q1655" s="7" t="n"/>
      <c r="R1655" s="11">
        <f>IF(AND(ISNUMBER(P1655),ISNUMBER(Q1655),P1655&gt;0,ISNUMBER($B$100)),Q1655/P1655,"")</f>
        <v/>
      </c>
      <c r="S1655" s="11">
        <f>IF(AND(ISNUMBER(P1655),ISNUMBER(Q1655),P1655&gt;0,ISNUMBER($B$100)),MAX(0,$B$100-3*SQRT($B$100/P1655)),"")</f>
        <v/>
      </c>
      <c r="T1655" s="11">
        <f>IF(AND(ISNUMBER(P1655),ISNUMBER(Q1655),P1655&gt;0,ISNUMBER($B$100)),$B$100+3*SQRT($B$100/P1655),"")</f>
        <v/>
      </c>
      <c r="U1655" s="13">
        <f>IF(AND(ISNUMBER(R1655),ISNUMBER(S1655),ISNUMBER(T1655)),IF(R1655&gt;T1655,"boven UCL",IF(R1655&lt;S1655,"onder LCL","")),"")</f>
        <v/>
      </c>
    </row>
    <row r="1656">
      <c r="A1656" t="n">
        <v>1550</v>
      </c>
      <c r="B1656" s="7" t="n"/>
      <c r="C1656" s="11">
        <f>IF(AND(ISNUMBER(B1656),ISNUMBER(B1655)),ABS(B1656-B1655),"")</f>
        <v/>
      </c>
      <c r="D1656" s="13">
        <f>IF(AND(ISNUMBER(B1656),ISNUMBER($B$88),ISNUMBER($D$88)),IF(B1656&gt;$D$88,"boven UCL",IF(B1656&lt;$B$88,"onder LCL","")),"")</f>
        <v/>
      </c>
      <c r="E1656" s="13">
        <f>IF(AND(ISNUMBER(C1656),ISNUMBER($B$89),ISNUMBER($D$89)),IF(C1656&gt;$D$89,"boven UCL",IF(C1656&lt;$B$89,"onder LCL","")),"")</f>
        <v/>
      </c>
      <c r="G1656" t="n">
        <v>1550</v>
      </c>
      <c r="H1656" s="7" t="n"/>
      <c r="I1656" s="7" t="n"/>
      <c r="J1656" s="11">
        <f>IF(AND(ISNUMBER(H1656),ISNUMBER(I1656),H1656&gt;0,ISNUMBER($B$94)),I1656/H1656,"")</f>
        <v/>
      </c>
      <c r="K1656" s="11">
        <f>IF(AND(ISNUMBER(H1656),ISNUMBER(I1656),H1656&gt;0,ISNUMBER($B$94)),MAX(0,$B$94-3*SQRT($B$94*(1-$B$94)/H1656)),"")</f>
        <v/>
      </c>
      <c r="L1656" s="11">
        <f>IF(AND(ISNUMBER(H1656),ISNUMBER(I1656),H1656&gt;0,ISNUMBER($B$94)),$B$94+3*SQRT($B$94*(1-$B$94)/H1656),"")</f>
        <v/>
      </c>
      <c r="M1656" s="13">
        <f>IF(AND(ISNUMBER(J1656),ISNUMBER(K1656),ISNUMBER(L1656)),IF(J1656&gt;L1656,"boven UCL",IF(J1656&lt;K1656,"onder LCL","")),"")</f>
        <v/>
      </c>
      <c r="O1656" t="n">
        <v>1550</v>
      </c>
      <c r="P1656" s="7" t="n"/>
      <c r="Q1656" s="7" t="n"/>
      <c r="R1656" s="11">
        <f>IF(AND(ISNUMBER(P1656),ISNUMBER(Q1656),P1656&gt;0,ISNUMBER($B$100)),Q1656/P1656,"")</f>
        <v/>
      </c>
      <c r="S1656" s="11">
        <f>IF(AND(ISNUMBER(P1656),ISNUMBER(Q1656),P1656&gt;0,ISNUMBER($B$100)),MAX(0,$B$100-3*SQRT($B$100/P1656)),"")</f>
        <v/>
      </c>
      <c r="T1656" s="11">
        <f>IF(AND(ISNUMBER(P1656),ISNUMBER(Q1656),P1656&gt;0,ISNUMBER($B$100)),$B$100+3*SQRT($B$100/P1656),"")</f>
        <v/>
      </c>
      <c r="U1656" s="13">
        <f>IF(AND(ISNUMBER(R1656),ISNUMBER(S1656),ISNUMBER(T1656)),IF(R1656&gt;T1656,"boven UCL",IF(R1656&lt;S1656,"onder LCL","")),"")</f>
        <v/>
      </c>
    </row>
    <row r="1657">
      <c r="A1657" t="n">
        <v>1551</v>
      </c>
      <c r="B1657" s="7" t="n"/>
      <c r="C1657" s="11">
        <f>IF(AND(ISNUMBER(B1657),ISNUMBER(B1656)),ABS(B1657-B1656),"")</f>
        <v/>
      </c>
      <c r="D1657" s="13">
        <f>IF(AND(ISNUMBER(B1657),ISNUMBER($B$88),ISNUMBER($D$88)),IF(B1657&gt;$D$88,"boven UCL",IF(B1657&lt;$B$88,"onder LCL","")),"")</f>
        <v/>
      </c>
      <c r="E1657" s="13">
        <f>IF(AND(ISNUMBER(C1657),ISNUMBER($B$89),ISNUMBER($D$89)),IF(C1657&gt;$D$89,"boven UCL",IF(C1657&lt;$B$89,"onder LCL","")),"")</f>
        <v/>
      </c>
      <c r="G1657" t="n">
        <v>1551</v>
      </c>
      <c r="H1657" s="7" t="n"/>
      <c r="I1657" s="7" t="n"/>
      <c r="J1657" s="11">
        <f>IF(AND(ISNUMBER(H1657),ISNUMBER(I1657),H1657&gt;0,ISNUMBER($B$94)),I1657/H1657,"")</f>
        <v/>
      </c>
      <c r="K1657" s="11">
        <f>IF(AND(ISNUMBER(H1657),ISNUMBER(I1657),H1657&gt;0,ISNUMBER($B$94)),MAX(0,$B$94-3*SQRT($B$94*(1-$B$94)/H1657)),"")</f>
        <v/>
      </c>
      <c r="L1657" s="11">
        <f>IF(AND(ISNUMBER(H1657),ISNUMBER(I1657),H1657&gt;0,ISNUMBER($B$94)),$B$94+3*SQRT($B$94*(1-$B$94)/H1657),"")</f>
        <v/>
      </c>
      <c r="M1657" s="13">
        <f>IF(AND(ISNUMBER(J1657),ISNUMBER(K1657),ISNUMBER(L1657)),IF(J1657&gt;L1657,"boven UCL",IF(J1657&lt;K1657,"onder LCL","")),"")</f>
        <v/>
      </c>
      <c r="O1657" t="n">
        <v>1551</v>
      </c>
      <c r="P1657" s="7" t="n"/>
      <c r="Q1657" s="7" t="n"/>
      <c r="R1657" s="11">
        <f>IF(AND(ISNUMBER(P1657),ISNUMBER(Q1657),P1657&gt;0,ISNUMBER($B$100)),Q1657/P1657,"")</f>
        <v/>
      </c>
      <c r="S1657" s="11">
        <f>IF(AND(ISNUMBER(P1657),ISNUMBER(Q1657),P1657&gt;0,ISNUMBER($B$100)),MAX(0,$B$100-3*SQRT($B$100/P1657)),"")</f>
        <v/>
      </c>
      <c r="T1657" s="11">
        <f>IF(AND(ISNUMBER(P1657),ISNUMBER(Q1657),P1657&gt;0,ISNUMBER($B$100)),$B$100+3*SQRT($B$100/P1657),"")</f>
        <v/>
      </c>
      <c r="U1657" s="13">
        <f>IF(AND(ISNUMBER(R1657),ISNUMBER(S1657),ISNUMBER(T1657)),IF(R1657&gt;T1657,"boven UCL",IF(R1657&lt;S1657,"onder LCL","")),"")</f>
        <v/>
      </c>
    </row>
    <row r="1658">
      <c r="A1658" t="n">
        <v>1552</v>
      </c>
      <c r="B1658" s="7" t="n"/>
      <c r="C1658" s="11">
        <f>IF(AND(ISNUMBER(B1658),ISNUMBER(B1657)),ABS(B1658-B1657),"")</f>
        <v/>
      </c>
      <c r="D1658" s="13">
        <f>IF(AND(ISNUMBER(B1658),ISNUMBER($B$88),ISNUMBER($D$88)),IF(B1658&gt;$D$88,"boven UCL",IF(B1658&lt;$B$88,"onder LCL","")),"")</f>
        <v/>
      </c>
      <c r="E1658" s="13">
        <f>IF(AND(ISNUMBER(C1658),ISNUMBER($B$89),ISNUMBER($D$89)),IF(C1658&gt;$D$89,"boven UCL",IF(C1658&lt;$B$89,"onder LCL","")),"")</f>
        <v/>
      </c>
      <c r="G1658" t="n">
        <v>1552</v>
      </c>
      <c r="H1658" s="7" t="n"/>
      <c r="I1658" s="7" t="n"/>
      <c r="J1658" s="11">
        <f>IF(AND(ISNUMBER(H1658),ISNUMBER(I1658),H1658&gt;0,ISNUMBER($B$94)),I1658/H1658,"")</f>
        <v/>
      </c>
      <c r="K1658" s="11">
        <f>IF(AND(ISNUMBER(H1658),ISNUMBER(I1658),H1658&gt;0,ISNUMBER($B$94)),MAX(0,$B$94-3*SQRT($B$94*(1-$B$94)/H1658)),"")</f>
        <v/>
      </c>
      <c r="L1658" s="11">
        <f>IF(AND(ISNUMBER(H1658),ISNUMBER(I1658),H1658&gt;0,ISNUMBER($B$94)),$B$94+3*SQRT($B$94*(1-$B$94)/H1658),"")</f>
        <v/>
      </c>
      <c r="M1658" s="13">
        <f>IF(AND(ISNUMBER(J1658),ISNUMBER(K1658),ISNUMBER(L1658)),IF(J1658&gt;L1658,"boven UCL",IF(J1658&lt;K1658,"onder LCL","")),"")</f>
        <v/>
      </c>
      <c r="O1658" t="n">
        <v>1552</v>
      </c>
      <c r="P1658" s="7" t="n"/>
      <c r="Q1658" s="7" t="n"/>
      <c r="R1658" s="11">
        <f>IF(AND(ISNUMBER(P1658),ISNUMBER(Q1658),P1658&gt;0,ISNUMBER($B$100)),Q1658/P1658,"")</f>
        <v/>
      </c>
      <c r="S1658" s="11">
        <f>IF(AND(ISNUMBER(P1658),ISNUMBER(Q1658),P1658&gt;0,ISNUMBER($B$100)),MAX(0,$B$100-3*SQRT($B$100/P1658)),"")</f>
        <v/>
      </c>
      <c r="T1658" s="11">
        <f>IF(AND(ISNUMBER(P1658),ISNUMBER(Q1658),P1658&gt;0,ISNUMBER($B$100)),$B$100+3*SQRT($B$100/P1658),"")</f>
        <v/>
      </c>
      <c r="U1658" s="13">
        <f>IF(AND(ISNUMBER(R1658),ISNUMBER(S1658),ISNUMBER(T1658)),IF(R1658&gt;T1658,"boven UCL",IF(R1658&lt;S1658,"onder LCL","")),"")</f>
        <v/>
      </c>
    </row>
    <row r="1659">
      <c r="A1659" t="n">
        <v>1553</v>
      </c>
      <c r="B1659" s="7" t="n"/>
      <c r="C1659" s="11">
        <f>IF(AND(ISNUMBER(B1659),ISNUMBER(B1658)),ABS(B1659-B1658),"")</f>
        <v/>
      </c>
      <c r="D1659" s="13">
        <f>IF(AND(ISNUMBER(B1659),ISNUMBER($B$88),ISNUMBER($D$88)),IF(B1659&gt;$D$88,"boven UCL",IF(B1659&lt;$B$88,"onder LCL","")),"")</f>
        <v/>
      </c>
      <c r="E1659" s="13">
        <f>IF(AND(ISNUMBER(C1659),ISNUMBER($B$89),ISNUMBER($D$89)),IF(C1659&gt;$D$89,"boven UCL",IF(C1659&lt;$B$89,"onder LCL","")),"")</f>
        <v/>
      </c>
      <c r="G1659" t="n">
        <v>1553</v>
      </c>
      <c r="H1659" s="7" t="n"/>
      <c r="I1659" s="7" t="n"/>
      <c r="J1659" s="11">
        <f>IF(AND(ISNUMBER(H1659),ISNUMBER(I1659),H1659&gt;0,ISNUMBER($B$94)),I1659/H1659,"")</f>
        <v/>
      </c>
      <c r="K1659" s="11">
        <f>IF(AND(ISNUMBER(H1659),ISNUMBER(I1659),H1659&gt;0,ISNUMBER($B$94)),MAX(0,$B$94-3*SQRT($B$94*(1-$B$94)/H1659)),"")</f>
        <v/>
      </c>
      <c r="L1659" s="11">
        <f>IF(AND(ISNUMBER(H1659),ISNUMBER(I1659),H1659&gt;0,ISNUMBER($B$94)),$B$94+3*SQRT($B$94*(1-$B$94)/H1659),"")</f>
        <v/>
      </c>
      <c r="M1659" s="13">
        <f>IF(AND(ISNUMBER(J1659),ISNUMBER(K1659),ISNUMBER(L1659)),IF(J1659&gt;L1659,"boven UCL",IF(J1659&lt;K1659,"onder LCL","")),"")</f>
        <v/>
      </c>
      <c r="O1659" t="n">
        <v>1553</v>
      </c>
      <c r="P1659" s="7" t="n"/>
      <c r="Q1659" s="7" t="n"/>
      <c r="R1659" s="11">
        <f>IF(AND(ISNUMBER(P1659),ISNUMBER(Q1659),P1659&gt;0,ISNUMBER($B$100)),Q1659/P1659,"")</f>
        <v/>
      </c>
      <c r="S1659" s="11">
        <f>IF(AND(ISNUMBER(P1659),ISNUMBER(Q1659),P1659&gt;0,ISNUMBER($B$100)),MAX(0,$B$100-3*SQRT($B$100/P1659)),"")</f>
        <v/>
      </c>
      <c r="T1659" s="11">
        <f>IF(AND(ISNUMBER(P1659),ISNUMBER(Q1659),P1659&gt;0,ISNUMBER($B$100)),$B$100+3*SQRT($B$100/P1659),"")</f>
        <v/>
      </c>
      <c r="U1659" s="13">
        <f>IF(AND(ISNUMBER(R1659),ISNUMBER(S1659),ISNUMBER(T1659)),IF(R1659&gt;T1659,"boven UCL",IF(R1659&lt;S1659,"onder LCL","")),"")</f>
        <v/>
      </c>
    </row>
    <row r="1660">
      <c r="A1660" t="n">
        <v>1554</v>
      </c>
      <c r="B1660" s="7" t="n"/>
      <c r="C1660" s="11">
        <f>IF(AND(ISNUMBER(B1660),ISNUMBER(B1659)),ABS(B1660-B1659),"")</f>
        <v/>
      </c>
      <c r="D1660" s="13">
        <f>IF(AND(ISNUMBER(B1660),ISNUMBER($B$88),ISNUMBER($D$88)),IF(B1660&gt;$D$88,"boven UCL",IF(B1660&lt;$B$88,"onder LCL","")),"")</f>
        <v/>
      </c>
      <c r="E1660" s="13">
        <f>IF(AND(ISNUMBER(C1660),ISNUMBER($B$89),ISNUMBER($D$89)),IF(C1660&gt;$D$89,"boven UCL",IF(C1660&lt;$B$89,"onder LCL","")),"")</f>
        <v/>
      </c>
      <c r="G1660" t="n">
        <v>1554</v>
      </c>
      <c r="H1660" s="7" t="n"/>
      <c r="I1660" s="7" t="n"/>
      <c r="J1660" s="11">
        <f>IF(AND(ISNUMBER(H1660),ISNUMBER(I1660),H1660&gt;0,ISNUMBER($B$94)),I1660/H1660,"")</f>
        <v/>
      </c>
      <c r="K1660" s="11">
        <f>IF(AND(ISNUMBER(H1660),ISNUMBER(I1660),H1660&gt;0,ISNUMBER($B$94)),MAX(0,$B$94-3*SQRT($B$94*(1-$B$94)/H1660)),"")</f>
        <v/>
      </c>
      <c r="L1660" s="11">
        <f>IF(AND(ISNUMBER(H1660),ISNUMBER(I1660),H1660&gt;0,ISNUMBER($B$94)),$B$94+3*SQRT($B$94*(1-$B$94)/H1660),"")</f>
        <v/>
      </c>
      <c r="M1660" s="13">
        <f>IF(AND(ISNUMBER(J1660),ISNUMBER(K1660),ISNUMBER(L1660)),IF(J1660&gt;L1660,"boven UCL",IF(J1660&lt;K1660,"onder LCL","")),"")</f>
        <v/>
      </c>
      <c r="O1660" t="n">
        <v>1554</v>
      </c>
      <c r="P1660" s="7" t="n"/>
      <c r="Q1660" s="7" t="n"/>
      <c r="R1660" s="11">
        <f>IF(AND(ISNUMBER(P1660),ISNUMBER(Q1660),P1660&gt;0,ISNUMBER($B$100)),Q1660/P1660,"")</f>
        <v/>
      </c>
      <c r="S1660" s="11">
        <f>IF(AND(ISNUMBER(P1660),ISNUMBER(Q1660),P1660&gt;0,ISNUMBER($B$100)),MAX(0,$B$100-3*SQRT($B$100/P1660)),"")</f>
        <v/>
      </c>
      <c r="T1660" s="11">
        <f>IF(AND(ISNUMBER(P1660),ISNUMBER(Q1660),P1660&gt;0,ISNUMBER($B$100)),$B$100+3*SQRT($B$100/P1660),"")</f>
        <v/>
      </c>
      <c r="U1660" s="13">
        <f>IF(AND(ISNUMBER(R1660),ISNUMBER(S1660),ISNUMBER(T1660)),IF(R1660&gt;T1660,"boven UCL",IF(R1660&lt;S1660,"onder LCL","")),"")</f>
        <v/>
      </c>
    </row>
    <row r="1661">
      <c r="A1661" t="n">
        <v>1555</v>
      </c>
      <c r="B1661" s="7" t="n"/>
      <c r="C1661" s="11">
        <f>IF(AND(ISNUMBER(B1661),ISNUMBER(B1660)),ABS(B1661-B1660),"")</f>
        <v/>
      </c>
      <c r="D1661" s="13">
        <f>IF(AND(ISNUMBER(B1661),ISNUMBER($B$88),ISNUMBER($D$88)),IF(B1661&gt;$D$88,"boven UCL",IF(B1661&lt;$B$88,"onder LCL","")),"")</f>
        <v/>
      </c>
      <c r="E1661" s="13">
        <f>IF(AND(ISNUMBER(C1661),ISNUMBER($B$89),ISNUMBER($D$89)),IF(C1661&gt;$D$89,"boven UCL",IF(C1661&lt;$B$89,"onder LCL","")),"")</f>
        <v/>
      </c>
      <c r="G1661" t="n">
        <v>1555</v>
      </c>
      <c r="H1661" s="7" t="n"/>
      <c r="I1661" s="7" t="n"/>
      <c r="J1661" s="11">
        <f>IF(AND(ISNUMBER(H1661),ISNUMBER(I1661),H1661&gt;0,ISNUMBER($B$94)),I1661/H1661,"")</f>
        <v/>
      </c>
      <c r="K1661" s="11">
        <f>IF(AND(ISNUMBER(H1661),ISNUMBER(I1661),H1661&gt;0,ISNUMBER($B$94)),MAX(0,$B$94-3*SQRT($B$94*(1-$B$94)/H1661)),"")</f>
        <v/>
      </c>
      <c r="L1661" s="11">
        <f>IF(AND(ISNUMBER(H1661),ISNUMBER(I1661),H1661&gt;0,ISNUMBER($B$94)),$B$94+3*SQRT($B$94*(1-$B$94)/H1661),"")</f>
        <v/>
      </c>
      <c r="M1661" s="13">
        <f>IF(AND(ISNUMBER(J1661),ISNUMBER(K1661),ISNUMBER(L1661)),IF(J1661&gt;L1661,"boven UCL",IF(J1661&lt;K1661,"onder LCL","")),"")</f>
        <v/>
      </c>
      <c r="O1661" t="n">
        <v>1555</v>
      </c>
      <c r="P1661" s="7" t="n"/>
      <c r="Q1661" s="7" t="n"/>
      <c r="R1661" s="11">
        <f>IF(AND(ISNUMBER(P1661),ISNUMBER(Q1661),P1661&gt;0,ISNUMBER($B$100)),Q1661/P1661,"")</f>
        <v/>
      </c>
      <c r="S1661" s="11">
        <f>IF(AND(ISNUMBER(P1661),ISNUMBER(Q1661),P1661&gt;0,ISNUMBER($B$100)),MAX(0,$B$100-3*SQRT($B$100/P1661)),"")</f>
        <v/>
      </c>
      <c r="T1661" s="11">
        <f>IF(AND(ISNUMBER(P1661),ISNUMBER(Q1661),P1661&gt;0,ISNUMBER($B$100)),$B$100+3*SQRT($B$100/P1661),"")</f>
        <v/>
      </c>
      <c r="U1661" s="13">
        <f>IF(AND(ISNUMBER(R1661),ISNUMBER(S1661),ISNUMBER(T1661)),IF(R1661&gt;T1661,"boven UCL",IF(R1661&lt;S1661,"onder LCL","")),"")</f>
        <v/>
      </c>
    </row>
    <row r="1662">
      <c r="A1662" t="n">
        <v>1556</v>
      </c>
      <c r="B1662" s="7" t="n"/>
      <c r="C1662" s="11">
        <f>IF(AND(ISNUMBER(B1662),ISNUMBER(B1661)),ABS(B1662-B1661),"")</f>
        <v/>
      </c>
      <c r="D1662" s="13">
        <f>IF(AND(ISNUMBER(B1662),ISNUMBER($B$88),ISNUMBER($D$88)),IF(B1662&gt;$D$88,"boven UCL",IF(B1662&lt;$B$88,"onder LCL","")),"")</f>
        <v/>
      </c>
      <c r="E1662" s="13">
        <f>IF(AND(ISNUMBER(C1662),ISNUMBER($B$89),ISNUMBER($D$89)),IF(C1662&gt;$D$89,"boven UCL",IF(C1662&lt;$B$89,"onder LCL","")),"")</f>
        <v/>
      </c>
      <c r="G1662" t="n">
        <v>1556</v>
      </c>
      <c r="H1662" s="7" t="n"/>
      <c r="I1662" s="7" t="n"/>
      <c r="J1662" s="11">
        <f>IF(AND(ISNUMBER(H1662),ISNUMBER(I1662),H1662&gt;0,ISNUMBER($B$94)),I1662/H1662,"")</f>
        <v/>
      </c>
      <c r="K1662" s="11">
        <f>IF(AND(ISNUMBER(H1662),ISNUMBER(I1662),H1662&gt;0,ISNUMBER($B$94)),MAX(0,$B$94-3*SQRT($B$94*(1-$B$94)/H1662)),"")</f>
        <v/>
      </c>
      <c r="L1662" s="11">
        <f>IF(AND(ISNUMBER(H1662),ISNUMBER(I1662),H1662&gt;0,ISNUMBER($B$94)),$B$94+3*SQRT($B$94*(1-$B$94)/H1662),"")</f>
        <v/>
      </c>
      <c r="M1662" s="13">
        <f>IF(AND(ISNUMBER(J1662),ISNUMBER(K1662),ISNUMBER(L1662)),IF(J1662&gt;L1662,"boven UCL",IF(J1662&lt;K1662,"onder LCL","")),"")</f>
        <v/>
      </c>
      <c r="O1662" t="n">
        <v>1556</v>
      </c>
      <c r="P1662" s="7" t="n"/>
      <c r="Q1662" s="7" t="n"/>
      <c r="R1662" s="11">
        <f>IF(AND(ISNUMBER(P1662),ISNUMBER(Q1662),P1662&gt;0,ISNUMBER($B$100)),Q1662/P1662,"")</f>
        <v/>
      </c>
      <c r="S1662" s="11">
        <f>IF(AND(ISNUMBER(P1662),ISNUMBER(Q1662),P1662&gt;0,ISNUMBER($B$100)),MAX(0,$B$100-3*SQRT($B$100/P1662)),"")</f>
        <v/>
      </c>
      <c r="T1662" s="11">
        <f>IF(AND(ISNUMBER(P1662),ISNUMBER(Q1662),P1662&gt;0,ISNUMBER($B$100)),$B$100+3*SQRT($B$100/P1662),"")</f>
        <v/>
      </c>
      <c r="U1662" s="13">
        <f>IF(AND(ISNUMBER(R1662),ISNUMBER(S1662),ISNUMBER(T1662)),IF(R1662&gt;T1662,"boven UCL",IF(R1662&lt;S1662,"onder LCL","")),"")</f>
        <v/>
      </c>
    </row>
    <row r="1663">
      <c r="A1663" t="n">
        <v>1557</v>
      </c>
      <c r="B1663" s="7" t="n"/>
      <c r="C1663" s="11">
        <f>IF(AND(ISNUMBER(B1663),ISNUMBER(B1662)),ABS(B1663-B1662),"")</f>
        <v/>
      </c>
      <c r="D1663" s="13">
        <f>IF(AND(ISNUMBER(B1663),ISNUMBER($B$88),ISNUMBER($D$88)),IF(B1663&gt;$D$88,"boven UCL",IF(B1663&lt;$B$88,"onder LCL","")),"")</f>
        <v/>
      </c>
      <c r="E1663" s="13">
        <f>IF(AND(ISNUMBER(C1663),ISNUMBER($B$89),ISNUMBER($D$89)),IF(C1663&gt;$D$89,"boven UCL",IF(C1663&lt;$B$89,"onder LCL","")),"")</f>
        <v/>
      </c>
      <c r="G1663" t="n">
        <v>1557</v>
      </c>
      <c r="H1663" s="7" t="n"/>
      <c r="I1663" s="7" t="n"/>
      <c r="J1663" s="11">
        <f>IF(AND(ISNUMBER(H1663),ISNUMBER(I1663),H1663&gt;0,ISNUMBER($B$94)),I1663/H1663,"")</f>
        <v/>
      </c>
      <c r="K1663" s="11">
        <f>IF(AND(ISNUMBER(H1663),ISNUMBER(I1663),H1663&gt;0,ISNUMBER($B$94)),MAX(0,$B$94-3*SQRT($B$94*(1-$B$94)/H1663)),"")</f>
        <v/>
      </c>
      <c r="L1663" s="11">
        <f>IF(AND(ISNUMBER(H1663),ISNUMBER(I1663),H1663&gt;0,ISNUMBER($B$94)),$B$94+3*SQRT($B$94*(1-$B$94)/H1663),"")</f>
        <v/>
      </c>
      <c r="M1663" s="13">
        <f>IF(AND(ISNUMBER(J1663),ISNUMBER(K1663),ISNUMBER(L1663)),IF(J1663&gt;L1663,"boven UCL",IF(J1663&lt;K1663,"onder LCL","")),"")</f>
        <v/>
      </c>
      <c r="O1663" t="n">
        <v>1557</v>
      </c>
      <c r="P1663" s="7" t="n"/>
      <c r="Q1663" s="7" t="n"/>
      <c r="R1663" s="11">
        <f>IF(AND(ISNUMBER(P1663),ISNUMBER(Q1663),P1663&gt;0,ISNUMBER($B$100)),Q1663/P1663,"")</f>
        <v/>
      </c>
      <c r="S1663" s="11">
        <f>IF(AND(ISNUMBER(P1663),ISNUMBER(Q1663),P1663&gt;0,ISNUMBER($B$100)),MAX(0,$B$100-3*SQRT($B$100/P1663)),"")</f>
        <v/>
      </c>
      <c r="T1663" s="11">
        <f>IF(AND(ISNUMBER(P1663),ISNUMBER(Q1663),P1663&gt;0,ISNUMBER($B$100)),$B$100+3*SQRT($B$100/P1663),"")</f>
        <v/>
      </c>
      <c r="U1663" s="13">
        <f>IF(AND(ISNUMBER(R1663),ISNUMBER(S1663),ISNUMBER(T1663)),IF(R1663&gt;T1663,"boven UCL",IF(R1663&lt;S1663,"onder LCL","")),"")</f>
        <v/>
      </c>
    </row>
    <row r="1664">
      <c r="A1664" t="n">
        <v>1558</v>
      </c>
      <c r="B1664" s="7" t="n"/>
      <c r="C1664" s="11">
        <f>IF(AND(ISNUMBER(B1664),ISNUMBER(B1663)),ABS(B1664-B1663),"")</f>
        <v/>
      </c>
      <c r="D1664" s="13">
        <f>IF(AND(ISNUMBER(B1664),ISNUMBER($B$88),ISNUMBER($D$88)),IF(B1664&gt;$D$88,"boven UCL",IF(B1664&lt;$B$88,"onder LCL","")),"")</f>
        <v/>
      </c>
      <c r="E1664" s="13">
        <f>IF(AND(ISNUMBER(C1664),ISNUMBER($B$89),ISNUMBER($D$89)),IF(C1664&gt;$D$89,"boven UCL",IF(C1664&lt;$B$89,"onder LCL","")),"")</f>
        <v/>
      </c>
      <c r="G1664" t="n">
        <v>1558</v>
      </c>
      <c r="H1664" s="7" t="n"/>
      <c r="I1664" s="7" t="n"/>
      <c r="J1664" s="11">
        <f>IF(AND(ISNUMBER(H1664),ISNUMBER(I1664),H1664&gt;0,ISNUMBER($B$94)),I1664/H1664,"")</f>
        <v/>
      </c>
      <c r="K1664" s="11">
        <f>IF(AND(ISNUMBER(H1664),ISNUMBER(I1664),H1664&gt;0,ISNUMBER($B$94)),MAX(0,$B$94-3*SQRT($B$94*(1-$B$94)/H1664)),"")</f>
        <v/>
      </c>
      <c r="L1664" s="11">
        <f>IF(AND(ISNUMBER(H1664),ISNUMBER(I1664),H1664&gt;0,ISNUMBER($B$94)),$B$94+3*SQRT($B$94*(1-$B$94)/H1664),"")</f>
        <v/>
      </c>
      <c r="M1664" s="13">
        <f>IF(AND(ISNUMBER(J1664),ISNUMBER(K1664),ISNUMBER(L1664)),IF(J1664&gt;L1664,"boven UCL",IF(J1664&lt;K1664,"onder LCL","")),"")</f>
        <v/>
      </c>
      <c r="O1664" t="n">
        <v>1558</v>
      </c>
      <c r="P1664" s="7" t="n"/>
      <c r="Q1664" s="7" t="n"/>
      <c r="R1664" s="11">
        <f>IF(AND(ISNUMBER(P1664),ISNUMBER(Q1664),P1664&gt;0,ISNUMBER($B$100)),Q1664/P1664,"")</f>
        <v/>
      </c>
      <c r="S1664" s="11">
        <f>IF(AND(ISNUMBER(P1664),ISNUMBER(Q1664),P1664&gt;0,ISNUMBER($B$100)),MAX(0,$B$100-3*SQRT($B$100/P1664)),"")</f>
        <v/>
      </c>
      <c r="T1664" s="11">
        <f>IF(AND(ISNUMBER(P1664),ISNUMBER(Q1664),P1664&gt;0,ISNUMBER($B$100)),$B$100+3*SQRT($B$100/P1664),"")</f>
        <v/>
      </c>
      <c r="U1664" s="13">
        <f>IF(AND(ISNUMBER(R1664),ISNUMBER(S1664),ISNUMBER(T1664)),IF(R1664&gt;T1664,"boven UCL",IF(R1664&lt;S1664,"onder LCL","")),"")</f>
        <v/>
      </c>
    </row>
    <row r="1665">
      <c r="A1665" t="n">
        <v>1559</v>
      </c>
      <c r="B1665" s="7" t="n"/>
      <c r="C1665" s="11">
        <f>IF(AND(ISNUMBER(B1665),ISNUMBER(B1664)),ABS(B1665-B1664),"")</f>
        <v/>
      </c>
      <c r="D1665" s="13">
        <f>IF(AND(ISNUMBER(B1665),ISNUMBER($B$88),ISNUMBER($D$88)),IF(B1665&gt;$D$88,"boven UCL",IF(B1665&lt;$B$88,"onder LCL","")),"")</f>
        <v/>
      </c>
      <c r="E1665" s="13">
        <f>IF(AND(ISNUMBER(C1665),ISNUMBER($B$89),ISNUMBER($D$89)),IF(C1665&gt;$D$89,"boven UCL",IF(C1665&lt;$B$89,"onder LCL","")),"")</f>
        <v/>
      </c>
      <c r="G1665" t="n">
        <v>1559</v>
      </c>
      <c r="H1665" s="7" t="n"/>
      <c r="I1665" s="7" t="n"/>
      <c r="J1665" s="11">
        <f>IF(AND(ISNUMBER(H1665),ISNUMBER(I1665),H1665&gt;0,ISNUMBER($B$94)),I1665/H1665,"")</f>
        <v/>
      </c>
      <c r="K1665" s="11">
        <f>IF(AND(ISNUMBER(H1665),ISNUMBER(I1665),H1665&gt;0,ISNUMBER($B$94)),MAX(0,$B$94-3*SQRT($B$94*(1-$B$94)/H1665)),"")</f>
        <v/>
      </c>
      <c r="L1665" s="11">
        <f>IF(AND(ISNUMBER(H1665),ISNUMBER(I1665),H1665&gt;0,ISNUMBER($B$94)),$B$94+3*SQRT($B$94*(1-$B$94)/H1665),"")</f>
        <v/>
      </c>
      <c r="M1665" s="13">
        <f>IF(AND(ISNUMBER(J1665),ISNUMBER(K1665),ISNUMBER(L1665)),IF(J1665&gt;L1665,"boven UCL",IF(J1665&lt;K1665,"onder LCL","")),"")</f>
        <v/>
      </c>
      <c r="O1665" t="n">
        <v>1559</v>
      </c>
      <c r="P1665" s="7" t="n"/>
      <c r="Q1665" s="7" t="n"/>
      <c r="R1665" s="11">
        <f>IF(AND(ISNUMBER(P1665),ISNUMBER(Q1665),P1665&gt;0,ISNUMBER($B$100)),Q1665/P1665,"")</f>
        <v/>
      </c>
      <c r="S1665" s="11">
        <f>IF(AND(ISNUMBER(P1665),ISNUMBER(Q1665),P1665&gt;0,ISNUMBER($B$100)),MAX(0,$B$100-3*SQRT($B$100/P1665)),"")</f>
        <v/>
      </c>
      <c r="T1665" s="11">
        <f>IF(AND(ISNUMBER(P1665),ISNUMBER(Q1665),P1665&gt;0,ISNUMBER($B$100)),$B$100+3*SQRT($B$100/P1665),"")</f>
        <v/>
      </c>
      <c r="U1665" s="13">
        <f>IF(AND(ISNUMBER(R1665),ISNUMBER(S1665),ISNUMBER(T1665)),IF(R1665&gt;T1665,"boven UCL",IF(R1665&lt;S1665,"onder LCL","")),"")</f>
        <v/>
      </c>
    </row>
    <row r="1666">
      <c r="A1666" t="n">
        <v>1560</v>
      </c>
      <c r="B1666" s="7" t="n"/>
      <c r="C1666" s="11">
        <f>IF(AND(ISNUMBER(B1666),ISNUMBER(B1665)),ABS(B1666-B1665),"")</f>
        <v/>
      </c>
      <c r="D1666" s="13">
        <f>IF(AND(ISNUMBER(B1666),ISNUMBER($B$88),ISNUMBER($D$88)),IF(B1666&gt;$D$88,"boven UCL",IF(B1666&lt;$B$88,"onder LCL","")),"")</f>
        <v/>
      </c>
      <c r="E1666" s="13">
        <f>IF(AND(ISNUMBER(C1666),ISNUMBER($B$89),ISNUMBER($D$89)),IF(C1666&gt;$D$89,"boven UCL",IF(C1666&lt;$B$89,"onder LCL","")),"")</f>
        <v/>
      </c>
      <c r="G1666" t="n">
        <v>1560</v>
      </c>
      <c r="H1666" s="7" t="n"/>
      <c r="I1666" s="7" t="n"/>
      <c r="J1666" s="11">
        <f>IF(AND(ISNUMBER(H1666),ISNUMBER(I1666),H1666&gt;0,ISNUMBER($B$94)),I1666/H1666,"")</f>
        <v/>
      </c>
      <c r="K1666" s="11">
        <f>IF(AND(ISNUMBER(H1666),ISNUMBER(I1666),H1666&gt;0,ISNUMBER($B$94)),MAX(0,$B$94-3*SQRT($B$94*(1-$B$94)/H1666)),"")</f>
        <v/>
      </c>
      <c r="L1666" s="11">
        <f>IF(AND(ISNUMBER(H1666),ISNUMBER(I1666),H1666&gt;0,ISNUMBER($B$94)),$B$94+3*SQRT($B$94*(1-$B$94)/H1666),"")</f>
        <v/>
      </c>
      <c r="M1666" s="13">
        <f>IF(AND(ISNUMBER(J1666),ISNUMBER(K1666),ISNUMBER(L1666)),IF(J1666&gt;L1666,"boven UCL",IF(J1666&lt;K1666,"onder LCL","")),"")</f>
        <v/>
      </c>
      <c r="O1666" t="n">
        <v>1560</v>
      </c>
      <c r="P1666" s="7" t="n"/>
      <c r="Q1666" s="7" t="n"/>
      <c r="R1666" s="11">
        <f>IF(AND(ISNUMBER(P1666),ISNUMBER(Q1666),P1666&gt;0,ISNUMBER($B$100)),Q1666/P1666,"")</f>
        <v/>
      </c>
      <c r="S1666" s="11">
        <f>IF(AND(ISNUMBER(P1666),ISNUMBER(Q1666),P1666&gt;0,ISNUMBER($B$100)),MAX(0,$B$100-3*SQRT($B$100/P1666)),"")</f>
        <v/>
      </c>
      <c r="T1666" s="11">
        <f>IF(AND(ISNUMBER(P1666),ISNUMBER(Q1666),P1666&gt;0,ISNUMBER($B$100)),$B$100+3*SQRT($B$100/P1666),"")</f>
        <v/>
      </c>
      <c r="U1666" s="13">
        <f>IF(AND(ISNUMBER(R1666),ISNUMBER(S1666),ISNUMBER(T1666)),IF(R1666&gt;T1666,"boven UCL",IF(R1666&lt;S1666,"onder LCL","")),"")</f>
        <v/>
      </c>
    </row>
    <row r="1667">
      <c r="A1667" t="n">
        <v>1561</v>
      </c>
      <c r="B1667" s="7" t="n"/>
      <c r="C1667" s="11">
        <f>IF(AND(ISNUMBER(B1667),ISNUMBER(B1666)),ABS(B1667-B1666),"")</f>
        <v/>
      </c>
      <c r="D1667" s="13">
        <f>IF(AND(ISNUMBER(B1667),ISNUMBER($B$88),ISNUMBER($D$88)),IF(B1667&gt;$D$88,"boven UCL",IF(B1667&lt;$B$88,"onder LCL","")),"")</f>
        <v/>
      </c>
      <c r="E1667" s="13">
        <f>IF(AND(ISNUMBER(C1667),ISNUMBER($B$89),ISNUMBER($D$89)),IF(C1667&gt;$D$89,"boven UCL",IF(C1667&lt;$B$89,"onder LCL","")),"")</f>
        <v/>
      </c>
      <c r="G1667" t="n">
        <v>1561</v>
      </c>
      <c r="H1667" s="7" t="n"/>
      <c r="I1667" s="7" t="n"/>
      <c r="J1667" s="11">
        <f>IF(AND(ISNUMBER(H1667),ISNUMBER(I1667),H1667&gt;0,ISNUMBER($B$94)),I1667/H1667,"")</f>
        <v/>
      </c>
      <c r="K1667" s="11">
        <f>IF(AND(ISNUMBER(H1667),ISNUMBER(I1667),H1667&gt;0,ISNUMBER($B$94)),MAX(0,$B$94-3*SQRT($B$94*(1-$B$94)/H1667)),"")</f>
        <v/>
      </c>
      <c r="L1667" s="11">
        <f>IF(AND(ISNUMBER(H1667),ISNUMBER(I1667),H1667&gt;0,ISNUMBER($B$94)),$B$94+3*SQRT($B$94*(1-$B$94)/H1667),"")</f>
        <v/>
      </c>
      <c r="M1667" s="13">
        <f>IF(AND(ISNUMBER(J1667),ISNUMBER(K1667),ISNUMBER(L1667)),IF(J1667&gt;L1667,"boven UCL",IF(J1667&lt;K1667,"onder LCL","")),"")</f>
        <v/>
      </c>
      <c r="O1667" t="n">
        <v>1561</v>
      </c>
      <c r="P1667" s="7" t="n"/>
      <c r="Q1667" s="7" t="n"/>
      <c r="R1667" s="11">
        <f>IF(AND(ISNUMBER(P1667),ISNUMBER(Q1667),P1667&gt;0,ISNUMBER($B$100)),Q1667/P1667,"")</f>
        <v/>
      </c>
      <c r="S1667" s="11">
        <f>IF(AND(ISNUMBER(P1667),ISNUMBER(Q1667),P1667&gt;0,ISNUMBER($B$100)),MAX(0,$B$100-3*SQRT($B$100/P1667)),"")</f>
        <v/>
      </c>
      <c r="T1667" s="11">
        <f>IF(AND(ISNUMBER(P1667),ISNUMBER(Q1667),P1667&gt;0,ISNUMBER($B$100)),$B$100+3*SQRT($B$100/P1667),"")</f>
        <v/>
      </c>
      <c r="U1667" s="13">
        <f>IF(AND(ISNUMBER(R1667),ISNUMBER(S1667),ISNUMBER(T1667)),IF(R1667&gt;T1667,"boven UCL",IF(R1667&lt;S1667,"onder LCL","")),"")</f>
        <v/>
      </c>
    </row>
    <row r="1668">
      <c r="A1668" t="n">
        <v>1562</v>
      </c>
      <c r="B1668" s="7" t="n"/>
      <c r="C1668" s="11">
        <f>IF(AND(ISNUMBER(B1668),ISNUMBER(B1667)),ABS(B1668-B1667),"")</f>
        <v/>
      </c>
      <c r="D1668" s="13">
        <f>IF(AND(ISNUMBER(B1668),ISNUMBER($B$88),ISNUMBER($D$88)),IF(B1668&gt;$D$88,"boven UCL",IF(B1668&lt;$B$88,"onder LCL","")),"")</f>
        <v/>
      </c>
      <c r="E1668" s="13">
        <f>IF(AND(ISNUMBER(C1668),ISNUMBER($B$89),ISNUMBER($D$89)),IF(C1668&gt;$D$89,"boven UCL",IF(C1668&lt;$B$89,"onder LCL","")),"")</f>
        <v/>
      </c>
      <c r="G1668" t="n">
        <v>1562</v>
      </c>
      <c r="H1668" s="7" t="n"/>
      <c r="I1668" s="7" t="n"/>
      <c r="J1668" s="11">
        <f>IF(AND(ISNUMBER(H1668),ISNUMBER(I1668),H1668&gt;0,ISNUMBER($B$94)),I1668/H1668,"")</f>
        <v/>
      </c>
      <c r="K1668" s="11">
        <f>IF(AND(ISNUMBER(H1668),ISNUMBER(I1668),H1668&gt;0,ISNUMBER($B$94)),MAX(0,$B$94-3*SQRT($B$94*(1-$B$94)/H1668)),"")</f>
        <v/>
      </c>
      <c r="L1668" s="11">
        <f>IF(AND(ISNUMBER(H1668),ISNUMBER(I1668),H1668&gt;0,ISNUMBER($B$94)),$B$94+3*SQRT($B$94*(1-$B$94)/H1668),"")</f>
        <v/>
      </c>
      <c r="M1668" s="13">
        <f>IF(AND(ISNUMBER(J1668),ISNUMBER(K1668),ISNUMBER(L1668)),IF(J1668&gt;L1668,"boven UCL",IF(J1668&lt;K1668,"onder LCL","")),"")</f>
        <v/>
      </c>
      <c r="O1668" t="n">
        <v>1562</v>
      </c>
      <c r="P1668" s="7" t="n"/>
      <c r="Q1668" s="7" t="n"/>
      <c r="R1668" s="11">
        <f>IF(AND(ISNUMBER(P1668),ISNUMBER(Q1668),P1668&gt;0,ISNUMBER($B$100)),Q1668/P1668,"")</f>
        <v/>
      </c>
      <c r="S1668" s="11">
        <f>IF(AND(ISNUMBER(P1668),ISNUMBER(Q1668),P1668&gt;0,ISNUMBER($B$100)),MAX(0,$B$100-3*SQRT($B$100/P1668)),"")</f>
        <v/>
      </c>
      <c r="T1668" s="11">
        <f>IF(AND(ISNUMBER(P1668),ISNUMBER(Q1668),P1668&gt;0,ISNUMBER($B$100)),$B$100+3*SQRT($B$100/P1668),"")</f>
        <v/>
      </c>
      <c r="U1668" s="13">
        <f>IF(AND(ISNUMBER(R1668),ISNUMBER(S1668),ISNUMBER(T1668)),IF(R1668&gt;T1668,"boven UCL",IF(R1668&lt;S1668,"onder LCL","")),"")</f>
        <v/>
      </c>
    </row>
    <row r="1669">
      <c r="A1669" t="n">
        <v>1563</v>
      </c>
      <c r="B1669" s="7" t="n"/>
      <c r="C1669" s="11">
        <f>IF(AND(ISNUMBER(B1669),ISNUMBER(B1668)),ABS(B1669-B1668),"")</f>
        <v/>
      </c>
      <c r="D1669" s="13">
        <f>IF(AND(ISNUMBER(B1669),ISNUMBER($B$88),ISNUMBER($D$88)),IF(B1669&gt;$D$88,"boven UCL",IF(B1669&lt;$B$88,"onder LCL","")),"")</f>
        <v/>
      </c>
      <c r="E1669" s="13">
        <f>IF(AND(ISNUMBER(C1669),ISNUMBER($B$89),ISNUMBER($D$89)),IF(C1669&gt;$D$89,"boven UCL",IF(C1669&lt;$B$89,"onder LCL","")),"")</f>
        <v/>
      </c>
      <c r="G1669" t="n">
        <v>1563</v>
      </c>
      <c r="H1669" s="7" t="n"/>
      <c r="I1669" s="7" t="n"/>
      <c r="J1669" s="11">
        <f>IF(AND(ISNUMBER(H1669),ISNUMBER(I1669),H1669&gt;0,ISNUMBER($B$94)),I1669/H1669,"")</f>
        <v/>
      </c>
      <c r="K1669" s="11">
        <f>IF(AND(ISNUMBER(H1669),ISNUMBER(I1669),H1669&gt;0,ISNUMBER($B$94)),MAX(0,$B$94-3*SQRT($B$94*(1-$B$94)/H1669)),"")</f>
        <v/>
      </c>
      <c r="L1669" s="11">
        <f>IF(AND(ISNUMBER(H1669),ISNUMBER(I1669),H1669&gt;0,ISNUMBER($B$94)),$B$94+3*SQRT($B$94*(1-$B$94)/H1669),"")</f>
        <v/>
      </c>
      <c r="M1669" s="13">
        <f>IF(AND(ISNUMBER(J1669),ISNUMBER(K1669),ISNUMBER(L1669)),IF(J1669&gt;L1669,"boven UCL",IF(J1669&lt;K1669,"onder LCL","")),"")</f>
        <v/>
      </c>
      <c r="O1669" t="n">
        <v>1563</v>
      </c>
      <c r="P1669" s="7" t="n"/>
      <c r="Q1669" s="7" t="n"/>
      <c r="R1669" s="11">
        <f>IF(AND(ISNUMBER(P1669),ISNUMBER(Q1669),P1669&gt;0,ISNUMBER($B$100)),Q1669/P1669,"")</f>
        <v/>
      </c>
      <c r="S1669" s="11">
        <f>IF(AND(ISNUMBER(P1669),ISNUMBER(Q1669),P1669&gt;0,ISNUMBER($B$100)),MAX(0,$B$100-3*SQRT($B$100/P1669)),"")</f>
        <v/>
      </c>
      <c r="T1669" s="11">
        <f>IF(AND(ISNUMBER(P1669),ISNUMBER(Q1669),P1669&gt;0,ISNUMBER($B$100)),$B$100+3*SQRT($B$100/P1669),"")</f>
        <v/>
      </c>
      <c r="U1669" s="13">
        <f>IF(AND(ISNUMBER(R1669),ISNUMBER(S1669),ISNUMBER(T1669)),IF(R1669&gt;T1669,"boven UCL",IF(R1669&lt;S1669,"onder LCL","")),"")</f>
        <v/>
      </c>
    </row>
    <row r="1670">
      <c r="A1670" t="n">
        <v>1564</v>
      </c>
      <c r="B1670" s="7" t="n"/>
      <c r="C1670" s="11">
        <f>IF(AND(ISNUMBER(B1670),ISNUMBER(B1669)),ABS(B1670-B1669),"")</f>
        <v/>
      </c>
      <c r="D1670" s="13">
        <f>IF(AND(ISNUMBER(B1670),ISNUMBER($B$88),ISNUMBER($D$88)),IF(B1670&gt;$D$88,"boven UCL",IF(B1670&lt;$B$88,"onder LCL","")),"")</f>
        <v/>
      </c>
      <c r="E1670" s="13">
        <f>IF(AND(ISNUMBER(C1670),ISNUMBER($B$89),ISNUMBER($D$89)),IF(C1670&gt;$D$89,"boven UCL",IF(C1670&lt;$B$89,"onder LCL","")),"")</f>
        <v/>
      </c>
      <c r="G1670" t="n">
        <v>1564</v>
      </c>
      <c r="H1670" s="7" t="n"/>
      <c r="I1670" s="7" t="n"/>
      <c r="J1670" s="11">
        <f>IF(AND(ISNUMBER(H1670),ISNUMBER(I1670),H1670&gt;0,ISNUMBER($B$94)),I1670/H1670,"")</f>
        <v/>
      </c>
      <c r="K1670" s="11">
        <f>IF(AND(ISNUMBER(H1670),ISNUMBER(I1670),H1670&gt;0,ISNUMBER($B$94)),MAX(0,$B$94-3*SQRT($B$94*(1-$B$94)/H1670)),"")</f>
        <v/>
      </c>
      <c r="L1670" s="11">
        <f>IF(AND(ISNUMBER(H1670),ISNUMBER(I1670),H1670&gt;0,ISNUMBER($B$94)),$B$94+3*SQRT($B$94*(1-$B$94)/H1670),"")</f>
        <v/>
      </c>
      <c r="M1670" s="13">
        <f>IF(AND(ISNUMBER(J1670),ISNUMBER(K1670),ISNUMBER(L1670)),IF(J1670&gt;L1670,"boven UCL",IF(J1670&lt;K1670,"onder LCL","")),"")</f>
        <v/>
      </c>
      <c r="O1670" t="n">
        <v>1564</v>
      </c>
      <c r="P1670" s="7" t="n"/>
      <c r="Q1670" s="7" t="n"/>
      <c r="R1670" s="11">
        <f>IF(AND(ISNUMBER(P1670),ISNUMBER(Q1670),P1670&gt;0,ISNUMBER($B$100)),Q1670/P1670,"")</f>
        <v/>
      </c>
      <c r="S1670" s="11">
        <f>IF(AND(ISNUMBER(P1670),ISNUMBER(Q1670),P1670&gt;0,ISNUMBER($B$100)),MAX(0,$B$100-3*SQRT($B$100/P1670)),"")</f>
        <v/>
      </c>
      <c r="T1670" s="11">
        <f>IF(AND(ISNUMBER(P1670),ISNUMBER(Q1670),P1670&gt;0,ISNUMBER($B$100)),$B$100+3*SQRT($B$100/P1670),"")</f>
        <v/>
      </c>
      <c r="U1670" s="13">
        <f>IF(AND(ISNUMBER(R1670),ISNUMBER(S1670),ISNUMBER(T1670)),IF(R1670&gt;T1670,"boven UCL",IF(R1670&lt;S1670,"onder LCL","")),"")</f>
        <v/>
      </c>
    </row>
    <row r="1671">
      <c r="A1671" t="n">
        <v>1565</v>
      </c>
      <c r="B1671" s="7" t="n"/>
      <c r="C1671" s="11">
        <f>IF(AND(ISNUMBER(B1671),ISNUMBER(B1670)),ABS(B1671-B1670),"")</f>
        <v/>
      </c>
      <c r="D1671" s="13">
        <f>IF(AND(ISNUMBER(B1671),ISNUMBER($B$88),ISNUMBER($D$88)),IF(B1671&gt;$D$88,"boven UCL",IF(B1671&lt;$B$88,"onder LCL","")),"")</f>
        <v/>
      </c>
      <c r="E1671" s="13">
        <f>IF(AND(ISNUMBER(C1671),ISNUMBER($B$89),ISNUMBER($D$89)),IF(C1671&gt;$D$89,"boven UCL",IF(C1671&lt;$B$89,"onder LCL","")),"")</f>
        <v/>
      </c>
      <c r="G1671" t="n">
        <v>1565</v>
      </c>
      <c r="H1671" s="7" t="n"/>
      <c r="I1671" s="7" t="n"/>
      <c r="J1671" s="11">
        <f>IF(AND(ISNUMBER(H1671),ISNUMBER(I1671),H1671&gt;0,ISNUMBER($B$94)),I1671/H1671,"")</f>
        <v/>
      </c>
      <c r="K1671" s="11">
        <f>IF(AND(ISNUMBER(H1671),ISNUMBER(I1671),H1671&gt;0,ISNUMBER($B$94)),MAX(0,$B$94-3*SQRT($B$94*(1-$B$94)/H1671)),"")</f>
        <v/>
      </c>
      <c r="L1671" s="11">
        <f>IF(AND(ISNUMBER(H1671),ISNUMBER(I1671),H1671&gt;0,ISNUMBER($B$94)),$B$94+3*SQRT($B$94*(1-$B$94)/H1671),"")</f>
        <v/>
      </c>
      <c r="M1671" s="13">
        <f>IF(AND(ISNUMBER(J1671),ISNUMBER(K1671),ISNUMBER(L1671)),IF(J1671&gt;L1671,"boven UCL",IF(J1671&lt;K1671,"onder LCL","")),"")</f>
        <v/>
      </c>
      <c r="O1671" t="n">
        <v>1565</v>
      </c>
      <c r="P1671" s="7" t="n"/>
      <c r="Q1671" s="7" t="n"/>
      <c r="R1671" s="11">
        <f>IF(AND(ISNUMBER(P1671),ISNUMBER(Q1671),P1671&gt;0,ISNUMBER($B$100)),Q1671/P1671,"")</f>
        <v/>
      </c>
      <c r="S1671" s="11">
        <f>IF(AND(ISNUMBER(P1671),ISNUMBER(Q1671),P1671&gt;0,ISNUMBER($B$100)),MAX(0,$B$100-3*SQRT($B$100/P1671)),"")</f>
        <v/>
      </c>
      <c r="T1671" s="11">
        <f>IF(AND(ISNUMBER(P1671),ISNUMBER(Q1671),P1671&gt;0,ISNUMBER($B$100)),$B$100+3*SQRT($B$100/P1671),"")</f>
        <v/>
      </c>
      <c r="U1671" s="13">
        <f>IF(AND(ISNUMBER(R1671),ISNUMBER(S1671),ISNUMBER(T1671)),IF(R1671&gt;T1671,"boven UCL",IF(R1671&lt;S1671,"onder LCL","")),"")</f>
        <v/>
      </c>
    </row>
    <row r="1672">
      <c r="A1672" t="n">
        <v>1566</v>
      </c>
      <c r="B1672" s="7" t="n"/>
      <c r="C1672" s="11">
        <f>IF(AND(ISNUMBER(B1672),ISNUMBER(B1671)),ABS(B1672-B1671),"")</f>
        <v/>
      </c>
      <c r="D1672" s="13">
        <f>IF(AND(ISNUMBER(B1672),ISNUMBER($B$88),ISNUMBER($D$88)),IF(B1672&gt;$D$88,"boven UCL",IF(B1672&lt;$B$88,"onder LCL","")),"")</f>
        <v/>
      </c>
      <c r="E1672" s="13">
        <f>IF(AND(ISNUMBER(C1672),ISNUMBER($B$89),ISNUMBER($D$89)),IF(C1672&gt;$D$89,"boven UCL",IF(C1672&lt;$B$89,"onder LCL","")),"")</f>
        <v/>
      </c>
      <c r="G1672" t="n">
        <v>1566</v>
      </c>
      <c r="H1672" s="7" t="n"/>
      <c r="I1672" s="7" t="n"/>
      <c r="J1672" s="11">
        <f>IF(AND(ISNUMBER(H1672),ISNUMBER(I1672),H1672&gt;0,ISNUMBER($B$94)),I1672/H1672,"")</f>
        <v/>
      </c>
      <c r="K1672" s="11">
        <f>IF(AND(ISNUMBER(H1672),ISNUMBER(I1672),H1672&gt;0,ISNUMBER($B$94)),MAX(0,$B$94-3*SQRT($B$94*(1-$B$94)/H1672)),"")</f>
        <v/>
      </c>
      <c r="L1672" s="11">
        <f>IF(AND(ISNUMBER(H1672),ISNUMBER(I1672),H1672&gt;0,ISNUMBER($B$94)),$B$94+3*SQRT($B$94*(1-$B$94)/H1672),"")</f>
        <v/>
      </c>
      <c r="M1672" s="13">
        <f>IF(AND(ISNUMBER(J1672),ISNUMBER(K1672),ISNUMBER(L1672)),IF(J1672&gt;L1672,"boven UCL",IF(J1672&lt;K1672,"onder LCL","")),"")</f>
        <v/>
      </c>
      <c r="O1672" t="n">
        <v>1566</v>
      </c>
      <c r="P1672" s="7" t="n"/>
      <c r="Q1672" s="7" t="n"/>
      <c r="R1672" s="11">
        <f>IF(AND(ISNUMBER(P1672),ISNUMBER(Q1672),P1672&gt;0,ISNUMBER($B$100)),Q1672/P1672,"")</f>
        <v/>
      </c>
      <c r="S1672" s="11">
        <f>IF(AND(ISNUMBER(P1672),ISNUMBER(Q1672),P1672&gt;0,ISNUMBER($B$100)),MAX(0,$B$100-3*SQRT($B$100/P1672)),"")</f>
        <v/>
      </c>
      <c r="T1672" s="11">
        <f>IF(AND(ISNUMBER(P1672),ISNUMBER(Q1672),P1672&gt;0,ISNUMBER($B$100)),$B$100+3*SQRT($B$100/P1672),"")</f>
        <v/>
      </c>
      <c r="U1672" s="13">
        <f>IF(AND(ISNUMBER(R1672),ISNUMBER(S1672),ISNUMBER(T1672)),IF(R1672&gt;T1672,"boven UCL",IF(R1672&lt;S1672,"onder LCL","")),"")</f>
        <v/>
      </c>
    </row>
    <row r="1673">
      <c r="A1673" t="n">
        <v>1567</v>
      </c>
      <c r="B1673" s="7" t="n"/>
      <c r="C1673" s="11">
        <f>IF(AND(ISNUMBER(B1673),ISNUMBER(B1672)),ABS(B1673-B1672),"")</f>
        <v/>
      </c>
      <c r="D1673" s="13">
        <f>IF(AND(ISNUMBER(B1673),ISNUMBER($B$88),ISNUMBER($D$88)),IF(B1673&gt;$D$88,"boven UCL",IF(B1673&lt;$B$88,"onder LCL","")),"")</f>
        <v/>
      </c>
      <c r="E1673" s="13">
        <f>IF(AND(ISNUMBER(C1673),ISNUMBER($B$89),ISNUMBER($D$89)),IF(C1673&gt;$D$89,"boven UCL",IF(C1673&lt;$B$89,"onder LCL","")),"")</f>
        <v/>
      </c>
      <c r="G1673" t="n">
        <v>1567</v>
      </c>
      <c r="H1673" s="7" t="n"/>
      <c r="I1673" s="7" t="n"/>
      <c r="J1673" s="11">
        <f>IF(AND(ISNUMBER(H1673),ISNUMBER(I1673),H1673&gt;0,ISNUMBER($B$94)),I1673/H1673,"")</f>
        <v/>
      </c>
      <c r="K1673" s="11">
        <f>IF(AND(ISNUMBER(H1673),ISNUMBER(I1673),H1673&gt;0,ISNUMBER($B$94)),MAX(0,$B$94-3*SQRT($B$94*(1-$B$94)/H1673)),"")</f>
        <v/>
      </c>
      <c r="L1673" s="11">
        <f>IF(AND(ISNUMBER(H1673),ISNUMBER(I1673),H1673&gt;0,ISNUMBER($B$94)),$B$94+3*SQRT($B$94*(1-$B$94)/H1673),"")</f>
        <v/>
      </c>
      <c r="M1673" s="13">
        <f>IF(AND(ISNUMBER(J1673),ISNUMBER(K1673),ISNUMBER(L1673)),IF(J1673&gt;L1673,"boven UCL",IF(J1673&lt;K1673,"onder LCL","")),"")</f>
        <v/>
      </c>
      <c r="O1673" t="n">
        <v>1567</v>
      </c>
      <c r="P1673" s="7" t="n"/>
      <c r="Q1673" s="7" t="n"/>
      <c r="R1673" s="11">
        <f>IF(AND(ISNUMBER(P1673),ISNUMBER(Q1673),P1673&gt;0,ISNUMBER($B$100)),Q1673/P1673,"")</f>
        <v/>
      </c>
      <c r="S1673" s="11">
        <f>IF(AND(ISNUMBER(P1673),ISNUMBER(Q1673),P1673&gt;0,ISNUMBER($B$100)),MAX(0,$B$100-3*SQRT($B$100/P1673)),"")</f>
        <v/>
      </c>
      <c r="T1673" s="11">
        <f>IF(AND(ISNUMBER(P1673),ISNUMBER(Q1673),P1673&gt;0,ISNUMBER($B$100)),$B$100+3*SQRT($B$100/P1673),"")</f>
        <v/>
      </c>
      <c r="U1673" s="13">
        <f>IF(AND(ISNUMBER(R1673),ISNUMBER(S1673),ISNUMBER(T1673)),IF(R1673&gt;T1673,"boven UCL",IF(R1673&lt;S1673,"onder LCL","")),"")</f>
        <v/>
      </c>
    </row>
    <row r="1674">
      <c r="A1674" t="n">
        <v>1568</v>
      </c>
      <c r="B1674" s="7" t="n"/>
      <c r="C1674" s="11">
        <f>IF(AND(ISNUMBER(B1674),ISNUMBER(B1673)),ABS(B1674-B1673),"")</f>
        <v/>
      </c>
      <c r="D1674" s="13">
        <f>IF(AND(ISNUMBER(B1674),ISNUMBER($B$88),ISNUMBER($D$88)),IF(B1674&gt;$D$88,"boven UCL",IF(B1674&lt;$B$88,"onder LCL","")),"")</f>
        <v/>
      </c>
      <c r="E1674" s="13">
        <f>IF(AND(ISNUMBER(C1674),ISNUMBER($B$89),ISNUMBER($D$89)),IF(C1674&gt;$D$89,"boven UCL",IF(C1674&lt;$B$89,"onder LCL","")),"")</f>
        <v/>
      </c>
      <c r="G1674" t="n">
        <v>1568</v>
      </c>
      <c r="H1674" s="7" t="n"/>
      <c r="I1674" s="7" t="n"/>
      <c r="J1674" s="11">
        <f>IF(AND(ISNUMBER(H1674),ISNUMBER(I1674),H1674&gt;0,ISNUMBER($B$94)),I1674/H1674,"")</f>
        <v/>
      </c>
      <c r="K1674" s="11">
        <f>IF(AND(ISNUMBER(H1674),ISNUMBER(I1674),H1674&gt;0,ISNUMBER($B$94)),MAX(0,$B$94-3*SQRT($B$94*(1-$B$94)/H1674)),"")</f>
        <v/>
      </c>
      <c r="L1674" s="11">
        <f>IF(AND(ISNUMBER(H1674),ISNUMBER(I1674),H1674&gt;0,ISNUMBER($B$94)),$B$94+3*SQRT($B$94*(1-$B$94)/H1674),"")</f>
        <v/>
      </c>
      <c r="M1674" s="13">
        <f>IF(AND(ISNUMBER(J1674),ISNUMBER(K1674),ISNUMBER(L1674)),IF(J1674&gt;L1674,"boven UCL",IF(J1674&lt;K1674,"onder LCL","")),"")</f>
        <v/>
      </c>
      <c r="O1674" t="n">
        <v>1568</v>
      </c>
      <c r="P1674" s="7" t="n"/>
      <c r="Q1674" s="7" t="n"/>
      <c r="R1674" s="11">
        <f>IF(AND(ISNUMBER(P1674),ISNUMBER(Q1674),P1674&gt;0,ISNUMBER($B$100)),Q1674/P1674,"")</f>
        <v/>
      </c>
      <c r="S1674" s="11">
        <f>IF(AND(ISNUMBER(P1674),ISNUMBER(Q1674),P1674&gt;0,ISNUMBER($B$100)),MAX(0,$B$100-3*SQRT($B$100/P1674)),"")</f>
        <v/>
      </c>
      <c r="T1674" s="11">
        <f>IF(AND(ISNUMBER(P1674),ISNUMBER(Q1674),P1674&gt;0,ISNUMBER($B$100)),$B$100+3*SQRT($B$100/P1674),"")</f>
        <v/>
      </c>
      <c r="U1674" s="13">
        <f>IF(AND(ISNUMBER(R1674),ISNUMBER(S1674),ISNUMBER(T1674)),IF(R1674&gt;T1674,"boven UCL",IF(R1674&lt;S1674,"onder LCL","")),"")</f>
        <v/>
      </c>
    </row>
    <row r="1675">
      <c r="A1675" t="n">
        <v>1569</v>
      </c>
      <c r="B1675" s="7" t="n"/>
      <c r="C1675" s="11">
        <f>IF(AND(ISNUMBER(B1675),ISNUMBER(B1674)),ABS(B1675-B1674),"")</f>
        <v/>
      </c>
      <c r="D1675" s="13">
        <f>IF(AND(ISNUMBER(B1675),ISNUMBER($B$88),ISNUMBER($D$88)),IF(B1675&gt;$D$88,"boven UCL",IF(B1675&lt;$B$88,"onder LCL","")),"")</f>
        <v/>
      </c>
      <c r="E1675" s="13">
        <f>IF(AND(ISNUMBER(C1675),ISNUMBER($B$89),ISNUMBER($D$89)),IF(C1675&gt;$D$89,"boven UCL",IF(C1675&lt;$B$89,"onder LCL","")),"")</f>
        <v/>
      </c>
      <c r="G1675" t="n">
        <v>1569</v>
      </c>
      <c r="H1675" s="7" t="n"/>
      <c r="I1675" s="7" t="n"/>
      <c r="J1675" s="11">
        <f>IF(AND(ISNUMBER(H1675),ISNUMBER(I1675),H1675&gt;0,ISNUMBER($B$94)),I1675/H1675,"")</f>
        <v/>
      </c>
      <c r="K1675" s="11">
        <f>IF(AND(ISNUMBER(H1675),ISNUMBER(I1675),H1675&gt;0,ISNUMBER($B$94)),MAX(0,$B$94-3*SQRT($B$94*(1-$B$94)/H1675)),"")</f>
        <v/>
      </c>
      <c r="L1675" s="11">
        <f>IF(AND(ISNUMBER(H1675),ISNUMBER(I1675),H1675&gt;0,ISNUMBER($B$94)),$B$94+3*SQRT($B$94*(1-$B$94)/H1675),"")</f>
        <v/>
      </c>
      <c r="M1675" s="13">
        <f>IF(AND(ISNUMBER(J1675),ISNUMBER(K1675),ISNUMBER(L1675)),IF(J1675&gt;L1675,"boven UCL",IF(J1675&lt;K1675,"onder LCL","")),"")</f>
        <v/>
      </c>
      <c r="O1675" t="n">
        <v>1569</v>
      </c>
      <c r="P1675" s="7" t="n"/>
      <c r="Q1675" s="7" t="n"/>
      <c r="R1675" s="11">
        <f>IF(AND(ISNUMBER(P1675),ISNUMBER(Q1675),P1675&gt;0,ISNUMBER($B$100)),Q1675/P1675,"")</f>
        <v/>
      </c>
      <c r="S1675" s="11">
        <f>IF(AND(ISNUMBER(P1675),ISNUMBER(Q1675),P1675&gt;0,ISNUMBER($B$100)),MAX(0,$B$100-3*SQRT($B$100/P1675)),"")</f>
        <v/>
      </c>
      <c r="T1675" s="11">
        <f>IF(AND(ISNUMBER(P1675),ISNUMBER(Q1675),P1675&gt;0,ISNUMBER($B$100)),$B$100+3*SQRT($B$100/P1675),"")</f>
        <v/>
      </c>
      <c r="U1675" s="13">
        <f>IF(AND(ISNUMBER(R1675),ISNUMBER(S1675),ISNUMBER(T1675)),IF(R1675&gt;T1675,"boven UCL",IF(R1675&lt;S1675,"onder LCL","")),"")</f>
        <v/>
      </c>
    </row>
    <row r="1676">
      <c r="A1676" t="n">
        <v>1570</v>
      </c>
      <c r="B1676" s="7" t="n"/>
      <c r="C1676" s="11">
        <f>IF(AND(ISNUMBER(B1676),ISNUMBER(B1675)),ABS(B1676-B1675),"")</f>
        <v/>
      </c>
      <c r="D1676" s="13">
        <f>IF(AND(ISNUMBER(B1676),ISNUMBER($B$88),ISNUMBER($D$88)),IF(B1676&gt;$D$88,"boven UCL",IF(B1676&lt;$B$88,"onder LCL","")),"")</f>
        <v/>
      </c>
      <c r="E1676" s="13">
        <f>IF(AND(ISNUMBER(C1676),ISNUMBER($B$89),ISNUMBER($D$89)),IF(C1676&gt;$D$89,"boven UCL",IF(C1676&lt;$B$89,"onder LCL","")),"")</f>
        <v/>
      </c>
      <c r="G1676" t="n">
        <v>1570</v>
      </c>
      <c r="H1676" s="7" t="n"/>
      <c r="I1676" s="7" t="n"/>
      <c r="J1676" s="11">
        <f>IF(AND(ISNUMBER(H1676),ISNUMBER(I1676),H1676&gt;0,ISNUMBER($B$94)),I1676/H1676,"")</f>
        <v/>
      </c>
      <c r="K1676" s="11">
        <f>IF(AND(ISNUMBER(H1676),ISNUMBER(I1676),H1676&gt;0,ISNUMBER($B$94)),MAX(0,$B$94-3*SQRT($B$94*(1-$B$94)/H1676)),"")</f>
        <v/>
      </c>
      <c r="L1676" s="11">
        <f>IF(AND(ISNUMBER(H1676),ISNUMBER(I1676),H1676&gt;0,ISNUMBER($B$94)),$B$94+3*SQRT($B$94*(1-$B$94)/H1676),"")</f>
        <v/>
      </c>
      <c r="M1676" s="13">
        <f>IF(AND(ISNUMBER(J1676),ISNUMBER(K1676),ISNUMBER(L1676)),IF(J1676&gt;L1676,"boven UCL",IF(J1676&lt;K1676,"onder LCL","")),"")</f>
        <v/>
      </c>
      <c r="O1676" t="n">
        <v>1570</v>
      </c>
      <c r="P1676" s="7" t="n"/>
      <c r="Q1676" s="7" t="n"/>
      <c r="R1676" s="11">
        <f>IF(AND(ISNUMBER(P1676),ISNUMBER(Q1676),P1676&gt;0,ISNUMBER($B$100)),Q1676/P1676,"")</f>
        <v/>
      </c>
      <c r="S1676" s="11">
        <f>IF(AND(ISNUMBER(P1676),ISNUMBER(Q1676),P1676&gt;0,ISNUMBER($B$100)),MAX(0,$B$100-3*SQRT($B$100/P1676)),"")</f>
        <v/>
      </c>
      <c r="T1676" s="11">
        <f>IF(AND(ISNUMBER(P1676),ISNUMBER(Q1676),P1676&gt;0,ISNUMBER($B$100)),$B$100+3*SQRT($B$100/P1676),"")</f>
        <v/>
      </c>
      <c r="U1676" s="13">
        <f>IF(AND(ISNUMBER(R1676),ISNUMBER(S1676),ISNUMBER(T1676)),IF(R1676&gt;T1676,"boven UCL",IF(R1676&lt;S1676,"onder LCL","")),"")</f>
        <v/>
      </c>
    </row>
    <row r="1677">
      <c r="A1677" t="n">
        <v>1571</v>
      </c>
      <c r="B1677" s="7" t="n"/>
      <c r="C1677" s="11">
        <f>IF(AND(ISNUMBER(B1677),ISNUMBER(B1676)),ABS(B1677-B1676),"")</f>
        <v/>
      </c>
      <c r="D1677" s="13">
        <f>IF(AND(ISNUMBER(B1677),ISNUMBER($B$88),ISNUMBER($D$88)),IF(B1677&gt;$D$88,"boven UCL",IF(B1677&lt;$B$88,"onder LCL","")),"")</f>
        <v/>
      </c>
      <c r="E1677" s="13">
        <f>IF(AND(ISNUMBER(C1677),ISNUMBER($B$89),ISNUMBER($D$89)),IF(C1677&gt;$D$89,"boven UCL",IF(C1677&lt;$B$89,"onder LCL","")),"")</f>
        <v/>
      </c>
      <c r="G1677" t="n">
        <v>1571</v>
      </c>
      <c r="H1677" s="7" t="n"/>
      <c r="I1677" s="7" t="n"/>
      <c r="J1677" s="11">
        <f>IF(AND(ISNUMBER(H1677),ISNUMBER(I1677),H1677&gt;0,ISNUMBER($B$94)),I1677/H1677,"")</f>
        <v/>
      </c>
      <c r="K1677" s="11">
        <f>IF(AND(ISNUMBER(H1677),ISNUMBER(I1677),H1677&gt;0,ISNUMBER($B$94)),MAX(0,$B$94-3*SQRT($B$94*(1-$B$94)/H1677)),"")</f>
        <v/>
      </c>
      <c r="L1677" s="11">
        <f>IF(AND(ISNUMBER(H1677),ISNUMBER(I1677),H1677&gt;0,ISNUMBER($B$94)),$B$94+3*SQRT($B$94*(1-$B$94)/H1677),"")</f>
        <v/>
      </c>
      <c r="M1677" s="13">
        <f>IF(AND(ISNUMBER(J1677),ISNUMBER(K1677),ISNUMBER(L1677)),IF(J1677&gt;L1677,"boven UCL",IF(J1677&lt;K1677,"onder LCL","")),"")</f>
        <v/>
      </c>
      <c r="O1677" t="n">
        <v>1571</v>
      </c>
      <c r="P1677" s="7" t="n"/>
      <c r="Q1677" s="7" t="n"/>
      <c r="R1677" s="11">
        <f>IF(AND(ISNUMBER(P1677),ISNUMBER(Q1677),P1677&gt;0,ISNUMBER($B$100)),Q1677/P1677,"")</f>
        <v/>
      </c>
      <c r="S1677" s="11">
        <f>IF(AND(ISNUMBER(P1677),ISNUMBER(Q1677),P1677&gt;0,ISNUMBER($B$100)),MAX(0,$B$100-3*SQRT($B$100/P1677)),"")</f>
        <v/>
      </c>
      <c r="T1677" s="11">
        <f>IF(AND(ISNUMBER(P1677),ISNUMBER(Q1677),P1677&gt;0,ISNUMBER($B$100)),$B$100+3*SQRT($B$100/P1677),"")</f>
        <v/>
      </c>
      <c r="U1677" s="13">
        <f>IF(AND(ISNUMBER(R1677),ISNUMBER(S1677),ISNUMBER(T1677)),IF(R1677&gt;T1677,"boven UCL",IF(R1677&lt;S1677,"onder LCL","")),"")</f>
        <v/>
      </c>
    </row>
    <row r="1678">
      <c r="A1678" t="n">
        <v>1572</v>
      </c>
      <c r="B1678" s="7" t="n"/>
      <c r="C1678" s="11">
        <f>IF(AND(ISNUMBER(B1678),ISNUMBER(B1677)),ABS(B1678-B1677),"")</f>
        <v/>
      </c>
      <c r="D1678" s="13">
        <f>IF(AND(ISNUMBER(B1678),ISNUMBER($B$88),ISNUMBER($D$88)),IF(B1678&gt;$D$88,"boven UCL",IF(B1678&lt;$B$88,"onder LCL","")),"")</f>
        <v/>
      </c>
      <c r="E1678" s="13">
        <f>IF(AND(ISNUMBER(C1678),ISNUMBER($B$89),ISNUMBER($D$89)),IF(C1678&gt;$D$89,"boven UCL",IF(C1678&lt;$B$89,"onder LCL","")),"")</f>
        <v/>
      </c>
      <c r="G1678" t="n">
        <v>1572</v>
      </c>
      <c r="H1678" s="7" t="n"/>
      <c r="I1678" s="7" t="n"/>
      <c r="J1678" s="11">
        <f>IF(AND(ISNUMBER(H1678),ISNUMBER(I1678),H1678&gt;0,ISNUMBER($B$94)),I1678/H1678,"")</f>
        <v/>
      </c>
      <c r="K1678" s="11">
        <f>IF(AND(ISNUMBER(H1678),ISNUMBER(I1678),H1678&gt;0,ISNUMBER($B$94)),MAX(0,$B$94-3*SQRT($B$94*(1-$B$94)/H1678)),"")</f>
        <v/>
      </c>
      <c r="L1678" s="11">
        <f>IF(AND(ISNUMBER(H1678),ISNUMBER(I1678),H1678&gt;0,ISNUMBER($B$94)),$B$94+3*SQRT($B$94*(1-$B$94)/H1678),"")</f>
        <v/>
      </c>
      <c r="M1678" s="13">
        <f>IF(AND(ISNUMBER(J1678),ISNUMBER(K1678),ISNUMBER(L1678)),IF(J1678&gt;L1678,"boven UCL",IF(J1678&lt;K1678,"onder LCL","")),"")</f>
        <v/>
      </c>
      <c r="O1678" t="n">
        <v>1572</v>
      </c>
      <c r="P1678" s="7" t="n"/>
      <c r="Q1678" s="7" t="n"/>
      <c r="R1678" s="11">
        <f>IF(AND(ISNUMBER(P1678),ISNUMBER(Q1678),P1678&gt;0,ISNUMBER($B$100)),Q1678/P1678,"")</f>
        <v/>
      </c>
      <c r="S1678" s="11">
        <f>IF(AND(ISNUMBER(P1678),ISNUMBER(Q1678),P1678&gt;0,ISNUMBER($B$100)),MAX(0,$B$100-3*SQRT($B$100/P1678)),"")</f>
        <v/>
      </c>
      <c r="T1678" s="11">
        <f>IF(AND(ISNUMBER(P1678),ISNUMBER(Q1678),P1678&gt;0,ISNUMBER($B$100)),$B$100+3*SQRT($B$100/P1678),"")</f>
        <v/>
      </c>
      <c r="U1678" s="13">
        <f>IF(AND(ISNUMBER(R1678),ISNUMBER(S1678),ISNUMBER(T1678)),IF(R1678&gt;T1678,"boven UCL",IF(R1678&lt;S1678,"onder LCL","")),"")</f>
        <v/>
      </c>
    </row>
    <row r="1679">
      <c r="A1679" t="n">
        <v>1573</v>
      </c>
      <c r="B1679" s="7" t="n"/>
      <c r="C1679" s="11">
        <f>IF(AND(ISNUMBER(B1679),ISNUMBER(B1678)),ABS(B1679-B1678),"")</f>
        <v/>
      </c>
      <c r="D1679" s="13">
        <f>IF(AND(ISNUMBER(B1679),ISNUMBER($B$88),ISNUMBER($D$88)),IF(B1679&gt;$D$88,"boven UCL",IF(B1679&lt;$B$88,"onder LCL","")),"")</f>
        <v/>
      </c>
      <c r="E1679" s="13">
        <f>IF(AND(ISNUMBER(C1679),ISNUMBER($B$89),ISNUMBER($D$89)),IF(C1679&gt;$D$89,"boven UCL",IF(C1679&lt;$B$89,"onder LCL","")),"")</f>
        <v/>
      </c>
      <c r="G1679" t="n">
        <v>1573</v>
      </c>
      <c r="H1679" s="7" t="n"/>
      <c r="I1679" s="7" t="n"/>
      <c r="J1679" s="11">
        <f>IF(AND(ISNUMBER(H1679),ISNUMBER(I1679),H1679&gt;0,ISNUMBER($B$94)),I1679/H1679,"")</f>
        <v/>
      </c>
      <c r="K1679" s="11">
        <f>IF(AND(ISNUMBER(H1679),ISNUMBER(I1679),H1679&gt;0,ISNUMBER($B$94)),MAX(0,$B$94-3*SQRT($B$94*(1-$B$94)/H1679)),"")</f>
        <v/>
      </c>
      <c r="L1679" s="11">
        <f>IF(AND(ISNUMBER(H1679),ISNUMBER(I1679),H1679&gt;0,ISNUMBER($B$94)),$B$94+3*SQRT($B$94*(1-$B$94)/H1679),"")</f>
        <v/>
      </c>
      <c r="M1679" s="13">
        <f>IF(AND(ISNUMBER(J1679),ISNUMBER(K1679),ISNUMBER(L1679)),IF(J1679&gt;L1679,"boven UCL",IF(J1679&lt;K1679,"onder LCL","")),"")</f>
        <v/>
      </c>
      <c r="O1679" t="n">
        <v>1573</v>
      </c>
      <c r="P1679" s="7" t="n"/>
      <c r="Q1679" s="7" t="n"/>
      <c r="R1679" s="11">
        <f>IF(AND(ISNUMBER(P1679),ISNUMBER(Q1679),P1679&gt;0,ISNUMBER($B$100)),Q1679/P1679,"")</f>
        <v/>
      </c>
      <c r="S1679" s="11">
        <f>IF(AND(ISNUMBER(P1679),ISNUMBER(Q1679),P1679&gt;0,ISNUMBER($B$100)),MAX(0,$B$100-3*SQRT($B$100/P1679)),"")</f>
        <v/>
      </c>
      <c r="T1679" s="11">
        <f>IF(AND(ISNUMBER(P1679),ISNUMBER(Q1679),P1679&gt;0,ISNUMBER($B$100)),$B$100+3*SQRT($B$100/P1679),"")</f>
        <v/>
      </c>
      <c r="U1679" s="13">
        <f>IF(AND(ISNUMBER(R1679),ISNUMBER(S1679),ISNUMBER(T1679)),IF(R1679&gt;T1679,"boven UCL",IF(R1679&lt;S1679,"onder LCL","")),"")</f>
        <v/>
      </c>
    </row>
    <row r="1680">
      <c r="A1680" t="n">
        <v>1574</v>
      </c>
      <c r="B1680" s="7" t="n"/>
      <c r="C1680" s="11">
        <f>IF(AND(ISNUMBER(B1680),ISNUMBER(B1679)),ABS(B1680-B1679),"")</f>
        <v/>
      </c>
      <c r="D1680" s="13">
        <f>IF(AND(ISNUMBER(B1680),ISNUMBER($B$88),ISNUMBER($D$88)),IF(B1680&gt;$D$88,"boven UCL",IF(B1680&lt;$B$88,"onder LCL","")),"")</f>
        <v/>
      </c>
      <c r="E1680" s="13">
        <f>IF(AND(ISNUMBER(C1680),ISNUMBER($B$89),ISNUMBER($D$89)),IF(C1680&gt;$D$89,"boven UCL",IF(C1680&lt;$B$89,"onder LCL","")),"")</f>
        <v/>
      </c>
      <c r="G1680" t="n">
        <v>1574</v>
      </c>
      <c r="H1680" s="7" t="n"/>
      <c r="I1680" s="7" t="n"/>
      <c r="J1680" s="11">
        <f>IF(AND(ISNUMBER(H1680),ISNUMBER(I1680),H1680&gt;0,ISNUMBER($B$94)),I1680/H1680,"")</f>
        <v/>
      </c>
      <c r="K1680" s="11">
        <f>IF(AND(ISNUMBER(H1680),ISNUMBER(I1680),H1680&gt;0,ISNUMBER($B$94)),MAX(0,$B$94-3*SQRT($B$94*(1-$B$94)/H1680)),"")</f>
        <v/>
      </c>
      <c r="L1680" s="11">
        <f>IF(AND(ISNUMBER(H1680),ISNUMBER(I1680),H1680&gt;0,ISNUMBER($B$94)),$B$94+3*SQRT($B$94*(1-$B$94)/H1680),"")</f>
        <v/>
      </c>
      <c r="M1680" s="13">
        <f>IF(AND(ISNUMBER(J1680),ISNUMBER(K1680),ISNUMBER(L1680)),IF(J1680&gt;L1680,"boven UCL",IF(J1680&lt;K1680,"onder LCL","")),"")</f>
        <v/>
      </c>
      <c r="O1680" t="n">
        <v>1574</v>
      </c>
      <c r="P1680" s="7" t="n"/>
      <c r="Q1680" s="7" t="n"/>
      <c r="R1680" s="11">
        <f>IF(AND(ISNUMBER(P1680),ISNUMBER(Q1680),P1680&gt;0,ISNUMBER($B$100)),Q1680/P1680,"")</f>
        <v/>
      </c>
      <c r="S1680" s="11">
        <f>IF(AND(ISNUMBER(P1680),ISNUMBER(Q1680),P1680&gt;0,ISNUMBER($B$100)),MAX(0,$B$100-3*SQRT($B$100/P1680)),"")</f>
        <v/>
      </c>
      <c r="T1680" s="11">
        <f>IF(AND(ISNUMBER(P1680),ISNUMBER(Q1680),P1680&gt;0,ISNUMBER($B$100)),$B$100+3*SQRT($B$100/P1680),"")</f>
        <v/>
      </c>
      <c r="U1680" s="13">
        <f>IF(AND(ISNUMBER(R1680),ISNUMBER(S1680),ISNUMBER(T1680)),IF(R1680&gt;T1680,"boven UCL",IF(R1680&lt;S1680,"onder LCL","")),"")</f>
        <v/>
      </c>
    </row>
    <row r="1681">
      <c r="A1681" t="n">
        <v>1575</v>
      </c>
      <c r="B1681" s="7" t="n"/>
      <c r="C1681" s="11">
        <f>IF(AND(ISNUMBER(B1681),ISNUMBER(B1680)),ABS(B1681-B1680),"")</f>
        <v/>
      </c>
      <c r="D1681" s="13">
        <f>IF(AND(ISNUMBER(B1681),ISNUMBER($B$88),ISNUMBER($D$88)),IF(B1681&gt;$D$88,"boven UCL",IF(B1681&lt;$B$88,"onder LCL","")),"")</f>
        <v/>
      </c>
      <c r="E1681" s="13">
        <f>IF(AND(ISNUMBER(C1681),ISNUMBER($B$89),ISNUMBER($D$89)),IF(C1681&gt;$D$89,"boven UCL",IF(C1681&lt;$B$89,"onder LCL","")),"")</f>
        <v/>
      </c>
      <c r="G1681" t="n">
        <v>1575</v>
      </c>
      <c r="H1681" s="7" t="n"/>
      <c r="I1681" s="7" t="n"/>
      <c r="J1681" s="11">
        <f>IF(AND(ISNUMBER(H1681),ISNUMBER(I1681),H1681&gt;0,ISNUMBER($B$94)),I1681/H1681,"")</f>
        <v/>
      </c>
      <c r="K1681" s="11">
        <f>IF(AND(ISNUMBER(H1681),ISNUMBER(I1681),H1681&gt;0,ISNUMBER($B$94)),MAX(0,$B$94-3*SQRT($B$94*(1-$B$94)/H1681)),"")</f>
        <v/>
      </c>
      <c r="L1681" s="11">
        <f>IF(AND(ISNUMBER(H1681),ISNUMBER(I1681),H1681&gt;0,ISNUMBER($B$94)),$B$94+3*SQRT($B$94*(1-$B$94)/H1681),"")</f>
        <v/>
      </c>
      <c r="M1681" s="13">
        <f>IF(AND(ISNUMBER(J1681),ISNUMBER(K1681),ISNUMBER(L1681)),IF(J1681&gt;L1681,"boven UCL",IF(J1681&lt;K1681,"onder LCL","")),"")</f>
        <v/>
      </c>
      <c r="O1681" t="n">
        <v>1575</v>
      </c>
      <c r="P1681" s="7" t="n"/>
      <c r="Q1681" s="7" t="n"/>
      <c r="R1681" s="11">
        <f>IF(AND(ISNUMBER(P1681),ISNUMBER(Q1681),P1681&gt;0,ISNUMBER($B$100)),Q1681/P1681,"")</f>
        <v/>
      </c>
      <c r="S1681" s="11">
        <f>IF(AND(ISNUMBER(P1681),ISNUMBER(Q1681),P1681&gt;0,ISNUMBER($B$100)),MAX(0,$B$100-3*SQRT($B$100/P1681)),"")</f>
        <v/>
      </c>
      <c r="T1681" s="11">
        <f>IF(AND(ISNUMBER(P1681),ISNUMBER(Q1681),P1681&gt;0,ISNUMBER($B$100)),$B$100+3*SQRT($B$100/P1681),"")</f>
        <v/>
      </c>
      <c r="U1681" s="13">
        <f>IF(AND(ISNUMBER(R1681),ISNUMBER(S1681),ISNUMBER(T1681)),IF(R1681&gt;T1681,"boven UCL",IF(R1681&lt;S1681,"onder LCL","")),"")</f>
        <v/>
      </c>
    </row>
    <row r="1682">
      <c r="A1682" t="n">
        <v>1576</v>
      </c>
      <c r="B1682" s="7" t="n"/>
      <c r="C1682" s="11">
        <f>IF(AND(ISNUMBER(B1682),ISNUMBER(B1681)),ABS(B1682-B1681),"")</f>
        <v/>
      </c>
      <c r="D1682" s="13">
        <f>IF(AND(ISNUMBER(B1682),ISNUMBER($B$88),ISNUMBER($D$88)),IF(B1682&gt;$D$88,"boven UCL",IF(B1682&lt;$B$88,"onder LCL","")),"")</f>
        <v/>
      </c>
      <c r="E1682" s="13">
        <f>IF(AND(ISNUMBER(C1682),ISNUMBER($B$89),ISNUMBER($D$89)),IF(C1682&gt;$D$89,"boven UCL",IF(C1682&lt;$B$89,"onder LCL","")),"")</f>
        <v/>
      </c>
      <c r="G1682" t="n">
        <v>1576</v>
      </c>
      <c r="H1682" s="7" t="n"/>
      <c r="I1682" s="7" t="n"/>
      <c r="J1682" s="11">
        <f>IF(AND(ISNUMBER(H1682),ISNUMBER(I1682),H1682&gt;0,ISNUMBER($B$94)),I1682/H1682,"")</f>
        <v/>
      </c>
      <c r="K1682" s="11">
        <f>IF(AND(ISNUMBER(H1682),ISNUMBER(I1682),H1682&gt;0,ISNUMBER($B$94)),MAX(0,$B$94-3*SQRT($B$94*(1-$B$94)/H1682)),"")</f>
        <v/>
      </c>
      <c r="L1682" s="11">
        <f>IF(AND(ISNUMBER(H1682),ISNUMBER(I1682),H1682&gt;0,ISNUMBER($B$94)),$B$94+3*SQRT($B$94*(1-$B$94)/H1682),"")</f>
        <v/>
      </c>
      <c r="M1682" s="13">
        <f>IF(AND(ISNUMBER(J1682),ISNUMBER(K1682),ISNUMBER(L1682)),IF(J1682&gt;L1682,"boven UCL",IF(J1682&lt;K1682,"onder LCL","")),"")</f>
        <v/>
      </c>
      <c r="O1682" t="n">
        <v>1576</v>
      </c>
      <c r="P1682" s="7" t="n"/>
      <c r="Q1682" s="7" t="n"/>
      <c r="R1682" s="11">
        <f>IF(AND(ISNUMBER(P1682),ISNUMBER(Q1682),P1682&gt;0,ISNUMBER($B$100)),Q1682/P1682,"")</f>
        <v/>
      </c>
      <c r="S1682" s="11">
        <f>IF(AND(ISNUMBER(P1682),ISNUMBER(Q1682),P1682&gt;0,ISNUMBER($B$100)),MAX(0,$B$100-3*SQRT($B$100/P1682)),"")</f>
        <v/>
      </c>
      <c r="T1682" s="11">
        <f>IF(AND(ISNUMBER(P1682),ISNUMBER(Q1682),P1682&gt;0,ISNUMBER($B$100)),$B$100+3*SQRT($B$100/P1682),"")</f>
        <v/>
      </c>
      <c r="U1682" s="13">
        <f>IF(AND(ISNUMBER(R1682),ISNUMBER(S1682),ISNUMBER(T1682)),IF(R1682&gt;T1682,"boven UCL",IF(R1682&lt;S1682,"onder LCL","")),"")</f>
        <v/>
      </c>
    </row>
    <row r="1683">
      <c r="A1683" t="n">
        <v>1577</v>
      </c>
      <c r="B1683" s="7" t="n"/>
      <c r="C1683" s="11">
        <f>IF(AND(ISNUMBER(B1683),ISNUMBER(B1682)),ABS(B1683-B1682),"")</f>
        <v/>
      </c>
      <c r="D1683" s="13">
        <f>IF(AND(ISNUMBER(B1683),ISNUMBER($B$88),ISNUMBER($D$88)),IF(B1683&gt;$D$88,"boven UCL",IF(B1683&lt;$B$88,"onder LCL","")),"")</f>
        <v/>
      </c>
      <c r="E1683" s="13">
        <f>IF(AND(ISNUMBER(C1683),ISNUMBER($B$89),ISNUMBER($D$89)),IF(C1683&gt;$D$89,"boven UCL",IF(C1683&lt;$B$89,"onder LCL","")),"")</f>
        <v/>
      </c>
      <c r="G1683" t="n">
        <v>1577</v>
      </c>
      <c r="H1683" s="7" t="n"/>
      <c r="I1683" s="7" t="n"/>
      <c r="J1683" s="11">
        <f>IF(AND(ISNUMBER(H1683),ISNUMBER(I1683),H1683&gt;0,ISNUMBER($B$94)),I1683/H1683,"")</f>
        <v/>
      </c>
      <c r="K1683" s="11">
        <f>IF(AND(ISNUMBER(H1683),ISNUMBER(I1683),H1683&gt;0,ISNUMBER($B$94)),MAX(0,$B$94-3*SQRT($B$94*(1-$B$94)/H1683)),"")</f>
        <v/>
      </c>
      <c r="L1683" s="11">
        <f>IF(AND(ISNUMBER(H1683),ISNUMBER(I1683),H1683&gt;0,ISNUMBER($B$94)),$B$94+3*SQRT($B$94*(1-$B$94)/H1683),"")</f>
        <v/>
      </c>
      <c r="M1683" s="13">
        <f>IF(AND(ISNUMBER(J1683),ISNUMBER(K1683),ISNUMBER(L1683)),IF(J1683&gt;L1683,"boven UCL",IF(J1683&lt;K1683,"onder LCL","")),"")</f>
        <v/>
      </c>
      <c r="O1683" t="n">
        <v>1577</v>
      </c>
      <c r="P1683" s="7" t="n"/>
      <c r="Q1683" s="7" t="n"/>
      <c r="R1683" s="11">
        <f>IF(AND(ISNUMBER(P1683),ISNUMBER(Q1683),P1683&gt;0,ISNUMBER($B$100)),Q1683/P1683,"")</f>
        <v/>
      </c>
      <c r="S1683" s="11">
        <f>IF(AND(ISNUMBER(P1683),ISNUMBER(Q1683),P1683&gt;0,ISNUMBER($B$100)),MAX(0,$B$100-3*SQRT($B$100/P1683)),"")</f>
        <v/>
      </c>
      <c r="T1683" s="11">
        <f>IF(AND(ISNUMBER(P1683),ISNUMBER(Q1683),P1683&gt;0,ISNUMBER($B$100)),$B$100+3*SQRT($B$100/P1683),"")</f>
        <v/>
      </c>
      <c r="U1683" s="13">
        <f>IF(AND(ISNUMBER(R1683),ISNUMBER(S1683),ISNUMBER(T1683)),IF(R1683&gt;T1683,"boven UCL",IF(R1683&lt;S1683,"onder LCL","")),"")</f>
        <v/>
      </c>
    </row>
    <row r="1684">
      <c r="A1684" t="n">
        <v>1578</v>
      </c>
      <c r="B1684" s="7" t="n"/>
      <c r="C1684" s="11">
        <f>IF(AND(ISNUMBER(B1684),ISNUMBER(B1683)),ABS(B1684-B1683),"")</f>
        <v/>
      </c>
      <c r="D1684" s="13">
        <f>IF(AND(ISNUMBER(B1684),ISNUMBER($B$88),ISNUMBER($D$88)),IF(B1684&gt;$D$88,"boven UCL",IF(B1684&lt;$B$88,"onder LCL","")),"")</f>
        <v/>
      </c>
      <c r="E1684" s="13">
        <f>IF(AND(ISNUMBER(C1684),ISNUMBER($B$89),ISNUMBER($D$89)),IF(C1684&gt;$D$89,"boven UCL",IF(C1684&lt;$B$89,"onder LCL","")),"")</f>
        <v/>
      </c>
      <c r="G1684" t="n">
        <v>1578</v>
      </c>
      <c r="H1684" s="7" t="n"/>
      <c r="I1684" s="7" t="n"/>
      <c r="J1684" s="11">
        <f>IF(AND(ISNUMBER(H1684),ISNUMBER(I1684),H1684&gt;0,ISNUMBER($B$94)),I1684/H1684,"")</f>
        <v/>
      </c>
      <c r="K1684" s="11">
        <f>IF(AND(ISNUMBER(H1684),ISNUMBER(I1684),H1684&gt;0,ISNUMBER($B$94)),MAX(0,$B$94-3*SQRT($B$94*(1-$B$94)/H1684)),"")</f>
        <v/>
      </c>
      <c r="L1684" s="11">
        <f>IF(AND(ISNUMBER(H1684),ISNUMBER(I1684),H1684&gt;0,ISNUMBER($B$94)),$B$94+3*SQRT($B$94*(1-$B$94)/H1684),"")</f>
        <v/>
      </c>
      <c r="M1684" s="13">
        <f>IF(AND(ISNUMBER(J1684),ISNUMBER(K1684),ISNUMBER(L1684)),IF(J1684&gt;L1684,"boven UCL",IF(J1684&lt;K1684,"onder LCL","")),"")</f>
        <v/>
      </c>
      <c r="O1684" t="n">
        <v>1578</v>
      </c>
      <c r="P1684" s="7" t="n"/>
      <c r="Q1684" s="7" t="n"/>
      <c r="R1684" s="11">
        <f>IF(AND(ISNUMBER(P1684),ISNUMBER(Q1684),P1684&gt;0,ISNUMBER($B$100)),Q1684/P1684,"")</f>
        <v/>
      </c>
      <c r="S1684" s="11">
        <f>IF(AND(ISNUMBER(P1684),ISNUMBER(Q1684),P1684&gt;0,ISNUMBER($B$100)),MAX(0,$B$100-3*SQRT($B$100/P1684)),"")</f>
        <v/>
      </c>
      <c r="T1684" s="11">
        <f>IF(AND(ISNUMBER(P1684),ISNUMBER(Q1684),P1684&gt;0,ISNUMBER($B$100)),$B$100+3*SQRT($B$100/P1684),"")</f>
        <v/>
      </c>
      <c r="U1684" s="13">
        <f>IF(AND(ISNUMBER(R1684),ISNUMBER(S1684),ISNUMBER(T1684)),IF(R1684&gt;T1684,"boven UCL",IF(R1684&lt;S1684,"onder LCL","")),"")</f>
        <v/>
      </c>
    </row>
    <row r="1685">
      <c r="A1685" t="n">
        <v>1579</v>
      </c>
      <c r="B1685" s="7" t="n"/>
      <c r="C1685" s="11">
        <f>IF(AND(ISNUMBER(B1685),ISNUMBER(B1684)),ABS(B1685-B1684),"")</f>
        <v/>
      </c>
      <c r="D1685" s="13">
        <f>IF(AND(ISNUMBER(B1685),ISNUMBER($B$88),ISNUMBER($D$88)),IF(B1685&gt;$D$88,"boven UCL",IF(B1685&lt;$B$88,"onder LCL","")),"")</f>
        <v/>
      </c>
      <c r="E1685" s="13">
        <f>IF(AND(ISNUMBER(C1685),ISNUMBER($B$89),ISNUMBER($D$89)),IF(C1685&gt;$D$89,"boven UCL",IF(C1685&lt;$B$89,"onder LCL","")),"")</f>
        <v/>
      </c>
      <c r="G1685" t="n">
        <v>1579</v>
      </c>
      <c r="H1685" s="7" t="n"/>
      <c r="I1685" s="7" t="n"/>
      <c r="J1685" s="11">
        <f>IF(AND(ISNUMBER(H1685),ISNUMBER(I1685),H1685&gt;0,ISNUMBER($B$94)),I1685/H1685,"")</f>
        <v/>
      </c>
      <c r="K1685" s="11">
        <f>IF(AND(ISNUMBER(H1685),ISNUMBER(I1685),H1685&gt;0,ISNUMBER($B$94)),MAX(0,$B$94-3*SQRT($B$94*(1-$B$94)/H1685)),"")</f>
        <v/>
      </c>
      <c r="L1685" s="11">
        <f>IF(AND(ISNUMBER(H1685),ISNUMBER(I1685),H1685&gt;0,ISNUMBER($B$94)),$B$94+3*SQRT($B$94*(1-$B$94)/H1685),"")</f>
        <v/>
      </c>
      <c r="M1685" s="13">
        <f>IF(AND(ISNUMBER(J1685),ISNUMBER(K1685),ISNUMBER(L1685)),IF(J1685&gt;L1685,"boven UCL",IF(J1685&lt;K1685,"onder LCL","")),"")</f>
        <v/>
      </c>
      <c r="O1685" t="n">
        <v>1579</v>
      </c>
      <c r="P1685" s="7" t="n"/>
      <c r="Q1685" s="7" t="n"/>
      <c r="R1685" s="11">
        <f>IF(AND(ISNUMBER(P1685),ISNUMBER(Q1685),P1685&gt;0,ISNUMBER($B$100)),Q1685/P1685,"")</f>
        <v/>
      </c>
      <c r="S1685" s="11">
        <f>IF(AND(ISNUMBER(P1685),ISNUMBER(Q1685),P1685&gt;0,ISNUMBER($B$100)),MAX(0,$B$100-3*SQRT($B$100/P1685)),"")</f>
        <v/>
      </c>
      <c r="T1685" s="11">
        <f>IF(AND(ISNUMBER(P1685),ISNUMBER(Q1685),P1685&gt;0,ISNUMBER($B$100)),$B$100+3*SQRT($B$100/P1685),"")</f>
        <v/>
      </c>
      <c r="U1685" s="13">
        <f>IF(AND(ISNUMBER(R1685),ISNUMBER(S1685),ISNUMBER(T1685)),IF(R1685&gt;T1685,"boven UCL",IF(R1685&lt;S1685,"onder LCL","")),"")</f>
        <v/>
      </c>
    </row>
    <row r="1686">
      <c r="A1686" t="n">
        <v>1580</v>
      </c>
      <c r="B1686" s="7" t="n"/>
      <c r="C1686" s="11">
        <f>IF(AND(ISNUMBER(B1686),ISNUMBER(B1685)),ABS(B1686-B1685),"")</f>
        <v/>
      </c>
      <c r="D1686" s="13">
        <f>IF(AND(ISNUMBER(B1686),ISNUMBER($B$88),ISNUMBER($D$88)),IF(B1686&gt;$D$88,"boven UCL",IF(B1686&lt;$B$88,"onder LCL","")),"")</f>
        <v/>
      </c>
      <c r="E1686" s="13">
        <f>IF(AND(ISNUMBER(C1686),ISNUMBER($B$89),ISNUMBER($D$89)),IF(C1686&gt;$D$89,"boven UCL",IF(C1686&lt;$B$89,"onder LCL","")),"")</f>
        <v/>
      </c>
      <c r="G1686" t="n">
        <v>1580</v>
      </c>
      <c r="H1686" s="7" t="n"/>
      <c r="I1686" s="7" t="n"/>
      <c r="J1686" s="11">
        <f>IF(AND(ISNUMBER(H1686),ISNUMBER(I1686),H1686&gt;0,ISNUMBER($B$94)),I1686/H1686,"")</f>
        <v/>
      </c>
      <c r="K1686" s="11">
        <f>IF(AND(ISNUMBER(H1686),ISNUMBER(I1686),H1686&gt;0,ISNUMBER($B$94)),MAX(0,$B$94-3*SQRT($B$94*(1-$B$94)/H1686)),"")</f>
        <v/>
      </c>
      <c r="L1686" s="11">
        <f>IF(AND(ISNUMBER(H1686),ISNUMBER(I1686),H1686&gt;0,ISNUMBER($B$94)),$B$94+3*SQRT($B$94*(1-$B$94)/H1686),"")</f>
        <v/>
      </c>
      <c r="M1686" s="13">
        <f>IF(AND(ISNUMBER(J1686),ISNUMBER(K1686),ISNUMBER(L1686)),IF(J1686&gt;L1686,"boven UCL",IF(J1686&lt;K1686,"onder LCL","")),"")</f>
        <v/>
      </c>
      <c r="O1686" t="n">
        <v>1580</v>
      </c>
      <c r="P1686" s="7" t="n"/>
      <c r="Q1686" s="7" t="n"/>
      <c r="R1686" s="11">
        <f>IF(AND(ISNUMBER(P1686),ISNUMBER(Q1686),P1686&gt;0,ISNUMBER($B$100)),Q1686/P1686,"")</f>
        <v/>
      </c>
      <c r="S1686" s="11">
        <f>IF(AND(ISNUMBER(P1686),ISNUMBER(Q1686),P1686&gt;0,ISNUMBER($B$100)),MAX(0,$B$100-3*SQRT($B$100/P1686)),"")</f>
        <v/>
      </c>
      <c r="T1686" s="11">
        <f>IF(AND(ISNUMBER(P1686),ISNUMBER(Q1686),P1686&gt;0,ISNUMBER($B$100)),$B$100+3*SQRT($B$100/P1686),"")</f>
        <v/>
      </c>
      <c r="U1686" s="13">
        <f>IF(AND(ISNUMBER(R1686),ISNUMBER(S1686),ISNUMBER(T1686)),IF(R1686&gt;T1686,"boven UCL",IF(R1686&lt;S1686,"onder LCL","")),"")</f>
        <v/>
      </c>
    </row>
    <row r="1687">
      <c r="A1687" t="n">
        <v>1581</v>
      </c>
      <c r="B1687" s="7" t="n"/>
      <c r="C1687" s="11">
        <f>IF(AND(ISNUMBER(B1687),ISNUMBER(B1686)),ABS(B1687-B1686),"")</f>
        <v/>
      </c>
      <c r="D1687" s="13">
        <f>IF(AND(ISNUMBER(B1687),ISNUMBER($B$88),ISNUMBER($D$88)),IF(B1687&gt;$D$88,"boven UCL",IF(B1687&lt;$B$88,"onder LCL","")),"")</f>
        <v/>
      </c>
      <c r="E1687" s="13">
        <f>IF(AND(ISNUMBER(C1687),ISNUMBER($B$89),ISNUMBER($D$89)),IF(C1687&gt;$D$89,"boven UCL",IF(C1687&lt;$B$89,"onder LCL","")),"")</f>
        <v/>
      </c>
      <c r="G1687" t="n">
        <v>1581</v>
      </c>
      <c r="H1687" s="7" t="n"/>
      <c r="I1687" s="7" t="n"/>
      <c r="J1687" s="11">
        <f>IF(AND(ISNUMBER(H1687),ISNUMBER(I1687),H1687&gt;0,ISNUMBER($B$94)),I1687/H1687,"")</f>
        <v/>
      </c>
      <c r="K1687" s="11">
        <f>IF(AND(ISNUMBER(H1687),ISNUMBER(I1687),H1687&gt;0,ISNUMBER($B$94)),MAX(0,$B$94-3*SQRT($B$94*(1-$B$94)/H1687)),"")</f>
        <v/>
      </c>
      <c r="L1687" s="11">
        <f>IF(AND(ISNUMBER(H1687),ISNUMBER(I1687),H1687&gt;0,ISNUMBER($B$94)),$B$94+3*SQRT($B$94*(1-$B$94)/H1687),"")</f>
        <v/>
      </c>
      <c r="M1687" s="13">
        <f>IF(AND(ISNUMBER(J1687),ISNUMBER(K1687),ISNUMBER(L1687)),IF(J1687&gt;L1687,"boven UCL",IF(J1687&lt;K1687,"onder LCL","")),"")</f>
        <v/>
      </c>
      <c r="O1687" t="n">
        <v>1581</v>
      </c>
      <c r="P1687" s="7" t="n"/>
      <c r="Q1687" s="7" t="n"/>
      <c r="R1687" s="11">
        <f>IF(AND(ISNUMBER(P1687),ISNUMBER(Q1687),P1687&gt;0,ISNUMBER($B$100)),Q1687/P1687,"")</f>
        <v/>
      </c>
      <c r="S1687" s="11">
        <f>IF(AND(ISNUMBER(P1687),ISNUMBER(Q1687),P1687&gt;0,ISNUMBER($B$100)),MAX(0,$B$100-3*SQRT($B$100/P1687)),"")</f>
        <v/>
      </c>
      <c r="T1687" s="11">
        <f>IF(AND(ISNUMBER(P1687),ISNUMBER(Q1687),P1687&gt;0,ISNUMBER($B$100)),$B$100+3*SQRT($B$100/P1687),"")</f>
        <v/>
      </c>
      <c r="U1687" s="13">
        <f>IF(AND(ISNUMBER(R1687),ISNUMBER(S1687),ISNUMBER(T1687)),IF(R1687&gt;T1687,"boven UCL",IF(R1687&lt;S1687,"onder LCL","")),"")</f>
        <v/>
      </c>
    </row>
    <row r="1688">
      <c r="A1688" t="n">
        <v>1582</v>
      </c>
      <c r="B1688" s="7" t="n"/>
      <c r="C1688" s="11">
        <f>IF(AND(ISNUMBER(B1688),ISNUMBER(B1687)),ABS(B1688-B1687),"")</f>
        <v/>
      </c>
      <c r="D1688" s="13">
        <f>IF(AND(ISNUMBER(B1688),ISNUMBER($B$88),ISNUMBER($D$88)),IF(B1688&gt;$D$88,"boven UCL",IF(B1688&lt;$B$88,"onder LCL","")),"")</f>
        <v/>
      </c>
      <c r="E1688" s="13">
        <f>IF(AND(ISNUMBER(C1688),ISNUMBER($B$89),ISNUMBER($D$89)),IF(C1688&gt;$D$89,"boven UCL",IF(C1688&lt;$B$89,"onder LCL","")),"")</f>
        <v/>
      </c>
      <c r="G1688" t="n">
        <v>1582</v>
      </c>
      <c r="H1688" s="7" t="n"/>
      <c r="I1688" s="7" t="n"/>
      <c r="J1688" s="11">
        <f>IF(AND(ISNUMBER(H1688),ISNUMBER(I1688),H1688&gt;0,ISNUMBER($B$94)),I1688/H1688,"")</f>
        <v/>
      </c>
      <c r="K1688" s="11">
        <f>IF(AND(ISNUMBER(H1688),ISNUMBER(I1688),H1688&gt;0,ISNUMBER($B$94)),MAX(0,$B$94-3*SQRT($B$94*(1-$B$94)/H1688)),"")</f>
        <v/>
      </c>
      <c r="L1688" s="11">
        <f>IF(AND(ISNUMBER(H1688),ISNUMBER(I1688),H1688&gt;0,ISNUMBER($B$94)),$B$94+3*SQRT($B$94*(1-$B$94)/H1688),"")</f>
        <v/>
      </c>
      <c r="M1688" s="13">
        <f>IF(AND(ISNUMBER(J1688),ISNUMBER(K1688),ISNUMBER(L1688)),IF(J1688&gt;L1688,"boven UCL",IF(J1688&lt;K1688,"onder LCL","")),"")</f>
        <v/>
      </c>
      <c r="O1688" t="n">
        <v>1582</v>
      </c>
      <c r="P1688" s="7" t="n"/>
      <c r="Q1688" s="7" t="n"/>
      <c r="R1688" s="11">
        <f>IF(AND(ISNUMBER(P1688),ISNUMBER(Q1688),P1688&gt;0,ISNUMBER($B$100)),Q1688/P1688,"")</f>
        <v/>
      </c>
      <c r="S1688" s="11">
        <f>IF(AND(ISNUMBER(P1688),ISNUMBER(Q1688),P1688&gt;0,ISNUMBER($B$100)),MAX(0,$B$100-3*SQRT($B$100/P1688)),"")</f>
        <v/>
      </c>
      <c r="T1688" s="11">
        <f>IF(AND(ISNUMBER(P1688),ISNUMBER(Q1688),P1688&gt;0,ISNUMBER($B$100)),$B$100+3*SQRT($B$100/P1688),"")</f>
        <v/>
      </c>
      <c r="U1688" s="13">
        <f>IF(AND(ISNUMBER(R1688),ISNUMBER(S1688),ISNUMBER(T1688)),IF(R1688&gt;T1688,"boven UCL",IF(R1688&lt;S1688,"onder LCL","")),"")</f>
        <v/>
      </c>
    </row>
    <row r="1689">
      <c r="A1689" t="n">
        <v>1583</v>
      </c>
      <c r="B1689" s="7" t="n"/>
      <c r="C1689" s="11">
        <f>IF(AND(ISNUMBER(B1689),ISNUMBER(B1688)),ABS(B1689-B1688),"")</f>
        <v/>
      </c>
      <c r="D1689" s="13">
        <f>IF(AND(ISNUMBER(B1689),ISNUMBER($B$88),ISNUMBER($D$88)),IF(B1689&gt;$D$88,"boven UCL",IF(B1689&lt;$B$88,"onder LCL","")),"")</f>
        <v/>
      </c>
      <c r="E1689" s="13">
        <f>IF(AND(ISNUMBER(C1689),ISNUMBER($B$89),ISNUMBER($D$89)),IF(C1689&gt;$D$89,"boven UCL",IF(C1689&lt;$B$89,"onder LCL","")),"")</f>
        <v/>
      </c>
      <c r="G1689" t="n">
        <v>1583</v>
      </c>
      <c r="H1689" s="7" t="n"/>
      <c r="I1689" s="7" t="n"/>
      <c r="J1689" s="11">
        <f>IF(AND(ISNUMBER(H1689),ISNUMBER(I1689),H1689&gt;0,ISNUMBER($B$94)),I1689/H1689,"")</f>
        <v/>
      </c>
      <c r="K1689" s="11">
        <f>IF(AND(ISNUMBER(H1689),ISNUMBER(I1689),H1689&gt;0,ISNUMBER($B$94)),MAX(0,$B$94-3*SQRT($B$94*(1-$B$94)/H1689)),"")</f>
        <v/>
      </c>
      <c r="L1689" s="11">
        <f>IF(AND(ISNUMBER(H1689),ISNUMBER(I1689),H1689&gt;0,ISNUMBER($B$94)),$B$94+3*SQRT($B$94*(1-$B$94)/H1689),"")</f>
        <v/>
      </c>
      <c r="M1689" s="13">
        <f>IF(AND(ISNUMBER(J1689),ISNUMBER(K1689),ISNUMBER(L1689)),IF(J1689&gt;L1689,"boven UCL",IF(J1689&lt;K1689,"onder LCL","")),"")</f>
        <v/>
      </c>
      <c r="O1689" t="n">
        <v>1583</v>
      </c>
      <c r="P1689" s="7" t="n"/>
      <c r="Q1689" s="7" t="n"/>
      <c r="R1689" s="11">
        <f>IF(AND(ISNUMBER(P1689),ISNUMBER(Q1689),P1689&gt;0,ISNUMBER($B$100)),Q1689/P1689,"")</f>
        <v/>
      </c>
      <c r="S1689" s="11">
        <f>IF(AND(ISNUMBER(P1689),ISNUMBER(Q1689),P1689&gt;0,ISNUMBER($B$100)),MAX(0,$B$100-3*SQRT($B$100/P1689)),"")</f>
        <v/>
      </c>
      <c r="T1689" s="11">
        <f>IF(AND(ISNUMBER(P1689),ISNUMBER(Q1689),P1689&gt;0,ISNUMBER($B$100)),$B$100+3*SQRT($B$100/P1689),"")</f>
        <v/>
      </c>
      <c r="U1689" s="13">
        <f>IF(AND(ISNUMBER(R1689),ISNUMBER(S1689),ISNUMBER(T1689)),IF(R1689&gt;T1689,"boven UCL",IF(R1689&lt;S1689,"onder LCL","")),"")</f>
        <v/>
      </c>
    </row>
    <row r="1690">
      <c r="A1690" t="n">
        <v>1584</v>
      </c>
      <c r="B1690" s="7" t="n"/>
      <c r="C1690" s="11">
        <f>IF(AND(ISNUMBER(B1690),ISNUMBER(B1689)),ABS(B1690-B1689),"")</f>
        <v/>
      </c>
      <c r="D1690" s="13">
        <f>IF(AND(ISNUMBER(B1690),ISNUMBER($B$88),ISNUMBER($D$88)),IF(B1690&gt;$D$88,"boven UCL",IF(B1690&lt;$B$88,"onder LCL","")),"")</f>
        <v/>
      </c>
      <c r="E1690" s="13">
        <f>IF(AND(ISNUMBER(C1690),ISNUMBER($B$89),ISNUMBER($D$89)),IF(C1690&gt;$D$89,"boven UCL",IF(C1690&lt;$B$89,"onder LCL","")),"")</f>
        <v/>
      </c>
      <c r="G1690" t="n">
        <v>1584</v>
      </c>
      <c r="H1690" s="7" t="n"/>
      <c r="I1690" s="7" t="n"/>
      <c r="J1690" s="11">
        <f>IF(AND(ISNUMBER(H1690),ISNUMBER(I1690),H1690&gt;0,ISNUMBER($B$94)),I1690/H1690,"")</f>
        <v/>
      </c>
      <c r="K1690" s="11">
        <f>IF(AND(ISNUMBER(H1690),ISNUMBER(I1690),H1690&gt;0,ISNUMBER($B$94)),MAX(0,$B$94-3*SQRT($B$94*(1-$B$94)/H1690)),"")</f>
        <v/>
      </c>
      <c r="L1690" s="11">
        <f>IF(AND(ISNUMBER(H1690),ISNUMBER(I1690),H1690&gt;0,ISNUMBER($B$94)),$B$94+3*SQRT($B$94*(1-$B$94)/H1690),"")</f>
        <v/>
      </c>
      <c r="M1690" s="13">
        <f>IF(AND(ISNUMBER(J1690),ISNUMBER(K1690),ISNUMBER(L1690)),IF(J1690&gt;L1690,"boven UCL",IF(J1690&lt;K1690,"onder LCL","")),"")</f>
        <v/>
      </c>
      <c r="O1690" t="n">
        <v>1584</v>
      </c>
      <c r="P1690" s="7" t="n"/>
      <c r="Q1690" s="7" t="n"/>
      <c r="R1690" s="11">
        <f>IF(AND(ISNUMBER(P1690),ISNUMBER(Q1690),P1690&gt;0,ISNUMBER($B$100)),Q1690/P1690,"")</f>
        <v/>
      </c>
      <c r="S1690" s="11">
        <f>IF(AND(ISNUMBER(P1690),ISNUMBER(Q1690),P1690&gt;0,ISNUMBER($B$100)),MAX(0,$B$100-3*SQRT($B$100/P1690)),"")</f>
        <v/>
      </c>
      <c r="T1690" s="11">
        <f>IF(AND(ISNUMBER(P1690),ISNUMBER(Q1690),P1690&gt;0,ISNUMBER($B$100)),$B$100+3*SQRT($B$100/P1690),"")</f>
        <v/>
      </c>
      <c r="U1690" s="13">
        <f>IF(AND(ISNUMBER(R1690),ISNUMBER(S1690),ISNUMBER(T1690)),IF(R1690&gt;T1690,"boven UCL",IF(R1690&lt;S1690,"onder LCL","")),"")</f>
        <v/>
      </c>
    </row>
    <row r="1691">
      <c r="A1691" t="n">
        <v>1585</v>
      </c>
      <c r="B1691" s="7" t="n"/>
      <c r="C1691" s="11">
        <f>IF(AND(ISNUMBER(B1691),ISNUMBER(B1690)),ABS(B1691-B1690),"")</f>
        <v/>
      </c>
      <c r="D1691" s="13">
        <f>IF(AND(ISNUMBER(B1691),ISNUMBER($B$88),ISNUMBER($D$88)),IF(B1691&gt;$D$88,"boven UCL",IF(B1691&lt;$B$88,"onder LCL","")),"")</f>
        <v/>
      </c>
      <c r="E1691" s="13">
        <f>IF(AND(ISNUMBER(C1691),ISNUMBER($B$89),ISNUMBER($D$89)),IF(C1691&gt;$D$89,"boven UCL",IF(C1691&lt;$B$89,"onder LCL","")),"")</f>
        <v/>
      </c>
      <c r="G1691" t="n">
        <v>1585</v>
      </c>
      <c r="H1691" s="7" t="n"/>
      <c r="I1691" s="7" t="n"/>
      <c r="J1691" s="11">
        <f>IF(AND(ISNUMBER(H1691),ISNUMBER(I1691),H1691&gt;0,ISNUMBER($B$94)),I1691/H1691,"")</f>
        <v/>
      </c>
      <c r="K1691" s="11">
        <f>IF(AND(ISNUMBER(H1691),ISNUMBER(I1691),H1691&gt;0,ISNUMBER($B$94)),MAX(0,$B$94-3*SQRT($B$94*(1-$B$94)/H1691)),"")</f>
        <v/>
      </c>
      <c r="L1691" s="11">
        <f>IF(AND(ISNUMBER(H1691),ISNUMBER(I1691),H1691&gt;0,ISNUMBER($B$94)),$B$94+3*SQRT($B$94*(1-$B$94)/H1691),"")</f>
        <v/>
      </c>
      <c r="M1691" s="13">
        <f>IF(AND(ISNUMBER(J1691),ISNUMBER(K1691),ISNUMBER(L1691)),IF(J1691&gt;L1691,"boven UCL",IF(J1691&lt;K1691,"onder LCL","")),"")</f>
        <v/>
      </c>
      <c r="O1691" t="n">
        <v>1585</v>
      </c>
      <c r="P1691" s="7" t="n"/>
      <c r="Q1691" s="7" t="n"/>
      <c r="R1691" s="11">
        <f>IF(AND(ISNUMBER(P1691),ISNUMBER(Q1691),P1691&gt;0,ISNUMBER($B$100)),Q1691/P1691,"")</f>
        <v/>
      </c>
      <c r="S1691" s="11">
        <f>IF(AND(ISNUMBER(P1691),ISNUMBER(Q1691),P1691&gt;0,ISNUMBER($B$100)),MAX(0,$B$100-3*SQRT($B$100/P1691)),"")</f>
        <v/>
      </c>
      <c r="T1691" s="11">
        <f>IF(AND(ISNUMBER(P1691),ISNUMBER(Q1691),P1691&gt;0,ISNUMBER($B$100)),$B$100+3*SQRT($B$100/P1691),"")</f>
        <v/>
      </c>
      <c r="U1691" s="13">
        <f>IF(AND(ISNUMBER(R1691),ISNUMBER(S1691),ISNUMBER(T1691)),IF(R1691&gt;T1691,"boven UCL",IF(R1691&lt;S1691,"onder LCL","")),"")</f>
        <v/>
      </c>
    </row>
    <row r="1692">
      <c r="A1692" t="n">
        <v>1586</v>
      </c>
      <c r="B1692" s="7" t="n"/>
      <c r="C1692" s="11">
        <f>IF(AND(ISNUMBER(B1692),ISNUMBER(B1691)),ABS(B1692-B1691),"")</f>
        <v/>
      </c>
      <c r="D1692" s="13">
        <f>IF(AND(ISNUMBER(B1692),ISNUMBER($B$88),ISNUMBER($D$88)),IF(B1692&gt;$D$88,"boven UCL",IF(B1692&lt;$B$88,"onder LCL","")),"")</f>
        <v/>
      </c>
      <c r="E1692" s="13">
        <f>IF(AND(ISNUMBER(C1692),ISNUMBER($B$89),ISNUMBER($D$89)),IF(C1692&gt;$D$89,"boven UCL",IF(C1692&lt;$B$89,"onder LCL","")),"")</f>
        <v/>
      </c>
      <c r="G1692" t="n">
        <v>1586</v>
      </c>
      <c r="H1692" s="7" t="n"/>
      <c r="I1692" s="7" t="n"/>
      <c r="J1692" s="11">
        <f>IF(AND(ISNUMBER(H1692),ISNUMBER(I1692),H1692&gt;0,ISNUMBER($B$94)),I1692/H1692,"")</f>
        <v/>
      </c>
      <c r="K1692" s="11">
        <f>IF(AND(ISNUMBER(H1692),ISNUMBER(I1692),H1692&gt;0,ISNUMBER($B$94)),MAX(0,$B$94-3*SQRT($B$94*(1-$B$94)/H1692)),"")</f>
        <v/>
      </c>
      <c r="L1692" s="11">
        <f>IF(AND(ISNUMBER(H1692),ISNUMBER(I1692),H1692&gt;0,ISNUMBER($B$94)),$B$94+3*SQRT($B$94*(1-$B$94)/H1692),"")</f>
        <v/>
      </c>
      <c r="M1692" s="13">
        <f>IF(AND(ISNUMBER(J1692),ISNUMBER(K1692),ISNUMBER(L1692)),IF(J1692&gt;L1692,"boven UCL",IF(J1692&lt;K1692,"onder LCL","")),"")</f>
        <v/>
      </c>
      <c r="O1692" t="n">
        <v>1586</v>
      </c>
      <c r="P1692" s="7" t="n"/>
      <c r="Q1692" s="7" t="n"/>
      <c r="R1692" s="11">
        <f>IF(AND(ISNUMBER(P1692),ISNUMBER(Q1692),P1692&gt;0,ISNUMBER($B$100)),Q1692/P1692,"")</f>
        <v/>
      </c>
      <c r="S1692" s="11">
        <f>IF(AND(ISNUMBER(P1692),ISNUMBER(Q1692),P1692&gt;0,ISNUMBER($B$100)),MAX(0,$B$100-3*SQRT($B$100/P1692)),"")</f>
        <v/>
      </c>
      <c r="T1692" s="11">
        <f>IF(AND(ISNUMBER(P1692),ISNUMBER(Q1692),P1692&gt;0,ISNUMBER($B$100)),$B$100+3*SQRT($B$100/P1692),"")</f>
        <v/>
      </c>
      <c r="U1692" s="13">
        <f>IF(AND(ISNUMBER(R1692),ISNUMBER(S1692),ISNUMBER(T1692)),IF(R1692&gt;T1692,"boven UCL",IF(R1692&lt;S1692,"onder LCL","")),"")</f>
        <v/>
      </c>
    </row>
    <row r="1693">
      <c r="A1693" t="n">
        <v>1587</v>
      </c>
      <c r="B1693" s="7" t="n"/>
      <c r="C1693" s="11">
        <f>IF(AND(ISNUMBER(B1693),ISNUMBER(B1692)),ABS(B1693-B1692),"")</f>
        <v/>
      </c>
      <c r="D1693" s="13">
        <f>IF(AND(ISNUMBER(B1693),ISNUMBER($B$88),ISNUMBER($D$88)),IF(B1693&gt;$D$88,"boven UCL",IF(B1693&lt;$B$88,"onder LCL","")),"")</f>
        <v/>
      </c>
      <c r="E1693" s="13">
        <f>IF(AND(ISNUMBER(C1693),ISNUMBER($B$89),ISNUMBER($D$89)),IF(C1693&gt;$D$89,"boven UCL",IF(C1693&lt;$B$89,"onder LCL","")),"")</f>
        <v/>
      </c>
      <c r="G1693" t="n">
        <v>1587</v>
      </c>
      <c r="H1693" s="7" t="n"/>
      <c r="I1693" s="7" t="n"/>
      <c r="J1693" s="11">
        <f>IF(AND(ISNUMBER(H1693),ISNUMBER(I1693),H1693&gt;0,ISNUMBER($B$94)),I1693/H1693,"")</f>
        <v/>
      </c>
      <c r="K1693" s="11">
        <f>IF(AND(ISNUMBER(H1693),ISNUMBER(I1693),H1693&gt;0,ISNUMBER($B$94)),MAX(0,$B$94-3*SQRT($B$94*(1-$B$94)/H1693)),"")</f>
        <v/>
      </c>
      <c r="L1693" s="11">
        <f>IF(AND(ISNUMBER(H1693),ISNUMBER(I1693),H1693&gt;0,ISNUMBER($B$94)),$B$94+3*SQRT($B$94*(1-$B$94)/H1693),"")</f>
        <v/>
      </c>
      <c r="M1693" s="13">
        <f>IF(AND(ISNUMBER(J1693),ISNUMBER(K1693),ISNUMBER(L1693)),IF(J1693&gt;L1693,"boven UCL",IF(J1693&lt;K1693,"onder LCL","")),"")</f>
        <v/>
      </c>
      <c r="O1693" t="n">
        <v>1587</v>
      </c>
      <c r="P1693" s="7" t="n"/>
      <c r="Q1693" s="7" t="n"/>
      <c r="R1693" s="11">
        <f>IF(AND(ISNUMBER(P1693),ISNUMBER(Q1693),P1693&gt;0,ISNUMBER($B$100)),Q1693/P1693,"")</f>
        <v/>
      </c>
      <c r="S1693" s="11">
        <f>IF(AND(ISNUMBER(P1693),ISNUMBER(Q1693),P1693&gt;0,ISNUMBER($B$100)),MAX(0,$B$100-3*SQRT($B$100/P1693)),"")</f>
        <v/>
      </c>
      <c r="T1693" s="11">
        <f>IF(AND(ISNUMBER(P1693),ISNUMBER(Q1693),P1693&gt;0,ISNUMBER($B$100)),$B$100+3*SQRT($B$100/P1693),"")</f>
        <v/>
      </c>
      <c r="U1693" s="13">
        <f>IF(AND(ISNUMBER(R1693),ISNUMBER(S1693),ISNUMBER(T1693)),IF(R1693&gt;T1693,"boven UCL",IF(R1693&lt;S1693,"onder LCL","")),"")</f>
        <v/>
      </c>
    </row>
    <row r="1694">
      <c r="A1694" t="n">
        <v>1588</v>
      </c>
      <c r="B1694" s="7" t="n"/>
      <c r="C1694" s="11">
        <f>IF(AND(ISNUMBER(B1694),ISNUMBER(B1693)),ABS(B1694-B1693),"")</f>
        <v/>
      </c>
      <c r="D1694" s="13">
        <f>IF(AND(ISNUMBER(B1694),ISNUMBER($B$88),ISNUMBER($D$88)),IF(B1694&gt;$D$88,"boven UCL",IF(B1694&lt;$B$88,"onder LCL","")),"")</f>
        <v/>
      </c>
      <c r="E1694" s="13">
        <f>IF(AND(ISNUMBER(C1694),ISNUMBER($B$89),ISNUMBER($D$89)),IF(C1694&gt;$D$89,"boven UCL",IF(C1694&lt;$B$89,"onder LCL","")),"")</f>
        <v/>
      </c>
      <c r="G1694" t="n">
        <v>1588</v>
      </c>
      <c r="H1694" s="7" t="n"/>
      <c r="I1694" s="7" t="n"/>
      <c r="J1694" s="11">
        <f>IF(AND(ISNUMBER(H1694),ISNUMBER(I1694),H1694&gt;0,ISNUMBER($B$94)),I1694/H1694,"")</f>
        <v/>
      </c>
      <c r="K1694" s="11">
        <f>IF(AND(ISNUMBER(H1694),ISNUMBER(I1694),H1694&gt;0,ISNUMBER($B$94)),MAX(0,$B$94-3*SQRT($B$94*(1-$B$94)/H1694)),"")</f>
        <v/>
      </c>
      <c r="L1694" s="11">
        <f>IF(AND(ISNUMBER(H1694),ISNUMBER(I1694),H1694&gt;0,ISNUMBER($B$94)),$B$94+3*SQRT($B$94*(1-$B$94)/H1694),"")</f>
        <v/>
      </c>
      <c r="M1694" s="13">
        <f>IF(AND(ISNUMBER(J1694),ISNUMBER(K1694),ISNUMBER(L1694)),IF(J1694&gt;L1694,"boven UCL",IF(J1694&lt;K1694,"onder LCL","")),"")</f>
        <v/>
      </c>
      <c r="O1694" t="n">
        <v>1588</v>
      </c>
      <c r="P1694" s="7" t="n"/>
      <c r="Q1694" s="7" t="n"/>
      <c r="R1694" s="11">
        <f>IF(AND(ISNUMBER(P1694),ISNUMBER(Q1694),P1694&gt;0,ISNUMBER($B$100)),Q1694/P1694,"")</f>
        <v/>
      </c>
      <c r="S1694" s="11">
        <f>IF(AND(ISNUMBER(P1694),ISNUMBER(Q1694),P1694&gt;0,ISNUMBER($B$100)),MAX(0,$B$100-3*SQRT($B$100/P1694)),"")</f>
        <v/>
      </c>
      <c r="T1694" s="11">
        <f>IF(AND(ISNUMBER(P1694),ISNUMBER(Q1694),P1694&gt;0,ISNUMBER($B$100)),$B$100+3*SQRT($B$100/P1694),"")</f>
        <v/>
      </c>
      <c r="U1694" s="13">
        <f>IF(AND(ISNUMBER(R1694),ISNUMBER(S1694),ISNUMBER(T1694)),IF(R1694&gt;T1694,"boven UCL",IF(R1694&lt;S1694,"onder LCL","")),"")</f>
        <v/>
      </c>
    </row>
    <row r="1695">
      <c r="A1695" t="n">
        <v>1589</v>
      </c>
      <c r="B1695" s="7" t="n"/>
      <c r="C1695" s="11">
        <f>IF(AND(ISNUMBER(B1695),ISNUMBER(B1694)),ABS(B1695-B1694),"")</f>
        <v/>
      </c>
      <c r="D1695" s="13">
        <f>IF(AND(ISNUMBER(B1695),ISNUMBER($B$88),ISNUMBER($D$88)),IF(B1695&gt;$D$88,"boven UCL",IF(B1695&lt;$B$88,"onder LCL","")),"")</f>
        <v/>
      </c>
      <c r="E1695" s="13">
        <f>IF(AND(ISNUMBER(C1695),ISNUMBER($B$89),ISNUMBER($D$89)),IF(C1695&gt;$D$89,"boven UCL",IF(C1695&lt;$B$89,"onder LCL","")),"")</f>
        <v/>
      </c>
      <c r="G1695" t="n">
        <v>1589</v>
      </c>
      <c r="H1695" s="7" t="n"/>
      <c r="I1695" s="7" t="n"/>
      <c r="J1695" s="11">
        <f>IF(AND(ISNUMBER(H1695),ISNUMBER(I1695),H1695&gt;0,ISNUMBER($B$94)),I1695/H1695,"")</f>
        <v/>
      </c>
      <c r="K1695" s="11">
        <f>IF(AND(ISNUMBER(H1695),ISNUMBER(I1695),H1695&gt;0,ISNUMBER($B$94)),MAX(0,$B$94-3*SQRT($B$94*(1-$B$94)/H1695)),"")</f>
        <v/>
      </c>
      <c r="L1695" s="11">
        <f>IF(AND(ISNUMBER(H1695),ISNUMBER(I1695),H1695&gt;0,ISNUMBER($B$94)),$B$94+3*SQRT($B$94*(1-$B$94)/H1695),"")</f>
        <v/>
      </c>
      <c r="M1695" s="13">
        <f>IF(AND(ISNUMBER(J1695),ISNUMBER(K1695),ISNUMBER(L1695)),IF(J1695&gt;L1695,"boven UCL",IF(J1695&lt;K1695,"onder LCL","")),"")</f>
        <v/>
      </c>
      <c r="O1695" t="n">
        <v>1589</v>
      </c>
      <c r="P1695" s="7" t="n"/>
      <c r="Q1695" s="7" t="n"/>
      <c r="R1695" s="11">
        <f>IF(AND(ISNUMBER(P1695),ISNUMBER(Q1695),P1695&gt;0,ISNUMBER($B$100)),Q1695/P1695,"")</f>
        <v/>
      </c>
      <c r="S1695" s="11">
        <f>IF(AND(ISNUMBER(P1695),ISNUMBER(Q1695),P1695&gt;0,ISNUMBER($B$100)),MAX(0,$B$100-3*SQRT($B$100/P1695)),"")</f>
        <v/>
      </c>
      <c r="T1695" s="11">
        <f>IF(AND(ISNUMBER(P1695),ISNUMBER(Q1695),P1695&gt;0,ISNUMBER($B$100)),$B$100+3*SQRT($B$100/P1695),"")</f>
        <v/>
      </c>
      <c r="U1695" s="13">
        <f>IF(AND(ISNUMBER(R1695),ISNUMBER(S1695),ISNUMBER(T1695)),IF(R1695&gt;T1695,"boven UCL",IF(R1695&lt;S1695,"onder LCL","")),"")</f>
        <v/>
      </c>
    </row>
    <row r="1696">
      <c r="A1696" t="n">
        <v>1590</v>
      </c>
      <c r="B1696" s="7" t="n"/>
      <c r="C1696" s="11">
        <f>IF(AND(ISNUMBER(B1696),ISNUMBER(B1695)),ABS(B1696-B1695),"")</f>
        <v/>
      </c>
      <c r="D1696" s="13">
        <f>IF(AND(ISNUMBER(B1696),ISNUMBER($B$88),ISNUMBER($D$88)),IF(B1696&gt;$D$88,"boven UCL",IF(B1696&lt;$B$88,"onder LCL","")),"")</f>
        <v/>
      </c>
      <c r="E1696" s="13">
        <f>IF(AND(ISNUMBER(C1696),ISNUMBER($B$89),ISNUMBER($D$89)),IF(C1696&gt;$D$89,"boven UCL",IF(C1696&lt;$B$89,"onder LCL","")),"")</f>
        <v/>
      </c>
      <c r="G1696" t="n">
        <v>1590</v>
      </c>
      <c r="H1696" s="7" t="n"/>
      <c r="I1696" s="7" t="n"/>
      <c r="J1696" s="11">
        <f>IF(AND(ISNUMBER(H1696),ISNUMBER(I1696),H1696&gt;0,ISNUMBER($B$94)),I1696/H1696,"")</f>
        <v/>
      </c>
      <c r="K1696" s="11">
        <f>IF(AND(ISNUMBER(H1696),ISNUMBER(I1696),H1696&gt;0,ISNUMBER($B$94)),MAX(0,$B$94-3*SQRT($B$94*(1-$B$94)/H1696)),"")</f>
        <v/>
      </c>
      <c r="L1696" s="11">
        <f>IF(AND(ISNUMBER(H1696),ISNUMBER(I1696),H1696&gt;0,ISNUMBER($B$94)),$B$94+3*SQRT($B$94*(1-$B$94)/H1696),"")</f>
        <v/>
      </c>
      <c r="M1696" s="13">
        <f>IF(AND(ISNUMBER(J1696),ISNUMBER(K1696),ISNUMBER(L1696)),IF(J1696&gt;L1696,"boven UCL",IF(J1696&lt;K1696,"onder LCL","")),"")</f>
        <v/>
      </c>
      <c r="O1696" t="n">
        <v>1590</v>
      </c>
      <c r="P1696" s="7" t="n"/>
      <c r="Q1696" s="7" t="n"/>
      <c r="R1696" s="11">
        <f>IF(AND(ISNUMBER(P1696),ISNUMBER(Q1696),P1696&gt;0,ISNUMBER($B$100)),Q1696/P1696,"")</f>
        <v/>
      </c>
      <c r="S1696" s="11">
        <f>IF(AND(ISNUMBER(P1696),ISNUMBER(Q1696),P1696&gt;0,ISNUMBER($B$100)),MAX(0,$B$100-3*SQRT($B$100/P1696)),"")</f>
        <v/>
      </c>
      <c r="T1696" s="11">
        <f>IF(AND(ISNUMBER(P1696),ISNUMBER(Q1696),P1696&gt;0,ISNUMBER($B$100)),$B$100+3*SQRT($B$100/P1696),"")</f>
        <v/>
      </c>
      <c r="U1696" s="13">
        <f>IF(AND(ISNUMBER(R1696),ISNUMBER(S1696),ISNUMBER(T1696)),IF(R1696&gt;T1696,"boven UCL",IF(R1696&lt;S1696,"onder LCL","")),"")</f>
        <v/>
      </c>
    </row>
    <row r="1697">
      <c r="A1697" t="n">
        <v>1591</v>
      </c>
      <c r="B1697" s="7" t="n"/>
      <c r="C1697" s="11">
        <f>IF(AND(ISNUMBER(B1697),ISNUMBER(B1696)),ABS(B1697-B1696),"")</f>
        <v/>
      </c>
      <c r="D1697" s="13">
        <f>IF(AND(ISNUMBER(B1697),ISNUMBER($B$88),ISNUMBER($D$88)),IF(B1697&gt;$D$88,"boven UCL",IF(B1697&lt;$B$88,"onder LCL","")),"")</f>
        <v/>
      </c>
      <c r="E1697" s="13">
        <f>IF(AND(ISNUMBER(C1697),ISNUMBER($B$89),ISNUMBER($D$89)),IF(C1697&gt;$D$89,"boven UCL",IF(C1697&lt;$B$89,"onder LCL","")),"")</f>
        <v/>
      </c>
      <c r="G1697" t="n">
        <v>1591</v>
      </c>
      <c r="H1697" s="7" t="n"/>
      <c r="I1697" s="7" t="n"/>
      <c r="J1697" s="11">
        <f>IF(AND(ISNUMBER(H1697),ISNUMBER(I1697),H1697&gt;0,ISNUMBER($B$94)),I1697/H1697,"")</f>
        <v/>
      </c>
      <c r="K1697" s="11">
        <f>IF(AND(ISNUMBER(H1697),ISNUMBER(I1697),H1697&gt;0,ISNUMBER($B$94)),MAX(0,$B$94-3*SQRT($B$94*(1-$B$94)/H1697)),"")</f>
        <v/>
      </c>
      <c r="L1697" s="11">
        <f>IF(AND(ISNUMBER(H1697),ISNUMBER(I1697),H1697&gt;0,ISNUMBER($B$94)),$B$94+3*SQRT($B$94*(1-$B$94)/H1697),"")</f>
        <v/>
      </c>
      <c r="M1697" s="13">
        <f>IF(AND(ISNUMBER(J1697),ISNUMBER(K1697),ISNUMBER(L1697)),IF(J1697&gt;L1697,"boven UCL",IF(J1697&lt;K1697,"onder LCL","")),"")</f>
        <v/>
      </c>
      <c r="O1697" t="n">
        <v>1591</v>
      </c>
      <c r="P1697" s="7" t="n"/>
      <c r="Q1697" s="7" t="n"/>
      <c r="R1697" s="11">
        <f>IF(AND(ISNUMBER(P1697),ISNUMBER(Q1697),P1697&gt;0,ISNUMBER($B$100)),Q1697/P1697,"")</f>
        <v/>
      </c>
      <c r="S1697" s="11">
        <f>IF(AND(ISNUMBER(P1697),ISNUMBER(Q1697),P1697&gt;0,ISNUMBER($B$100)),MAX(0,$B$100-3*SQRT($B$100/P1697)),"")</f>
        <v/>
      </c>
      <c r="T1697" s="11">
        <f>IF(AND(ISNUMBER(P1697),ISNUMBER(Q1697),P1697&gt;0,ISNUMBER($B$100)),$B$100+3*SQRT($B$100/P1697),"")</f>
        <v/>
      </c>
      <c r="U1697" s="13">
        <f>IF(AND(ISNUMBER(R1697),ISNUMBER(S1697),ISNUMBER(T1697)),IF(R1697&gt;T1697,"boven UCL",IF(R1697&lt;S1697,"onder LCL","")),"")</f>
        <v/>
      </c>
    </row>
    <row r="1698">
      <c r="A1698" t="n">
        <v>1592</v>
      </c>
      <c r="B1698" s="7" t="n"/>
      <c r="C1698" s="11">
        <f>IF(AND(ISNUMBER(B1698),ISNUMBER(B1697)),ABS(B1698-B1697),"")</f>
        <v/>
      </c>
      <c r="D1698" s="13">
        <f>IF(AND(ISNUMBER(B1698),ISNUMBER($B$88),ISNUMBER($D$88)),IF(B1698&gt;$D$88,"boven UCL",IF(B1698&lt;$B$88,"onder LCL","")),"")</f>
        <v/>
      </c>
      <c r="E1698" s="13">
        <f>IF(AND(ISNUMBER(C1698),ISNUMBER($B$89),ISNUMBER($D$89)),IF(C1698&gt;$D$89,"boven UCL",IF(C1698&lt;$B$89,"onder LCL","")),"")</f>
        <v/>
      </c>
      <c r="G1698" t="n">
        <v>1592</v>
      </c>
      <c r="H1698" s="7" t="n"/>
      <c r="I1698" s="7" t="n"/>
      <c r="J1698" s="11">
        <f>IF(AND(ISNUMBER(H1698),ISNUMBER(I1698),H1698&gt;0,ISNUMBER($B$94)),I1698/H1698,"")</f>
        <v/>
      </c>
      <c r="K1698" s="11">
        <f>IF(AND(ISNUMBER(H1698),ISNUMBER(I1698),H1698&gt;0,ISNUMBER($B$94)),MAX(0,$B$94-3*SQRT($B$94*(1-$B$94)/H1698)),"")</f>
        <v/>
      </c>
      <c r="L1698" s="11">
        <f>IF(AND(ISNUMBER(H1698),ISNUMBER(I1698),H1698&gt;0,ISNUMBER($B$94)),$B$94+3*SQRT($B$94*(1-$B$94)/H1698),"")</f>
        <v/>
      </c>
      <c r="M1698" s="13">
        <f>IF(AND(ISNUMBER(J1698),ISNUMBER(K1698),ISNUMBER(L1698)),IF(J1698&gt;L1698,"boven UCL",IF(J1698&lt;K1698,"onder LCL","")),"")</f>
        <v/>
      </c>
      <c r="O1698" t="n">
        <v>1592</v>
      </c>
      <c r="P1698" s="7" t="n"/>
      <c r="Q1698" s="7" t="n"/>
      <c r="R1698" s="11">
        <f>IF(AND(ISNUMBER(P1698),ISNUMBER(Q1698),P1698&gt;0,ISNUMBER($B$100)),Q1698/P1698,"")</f>
        <v/>
      </c>
      <c r="S1698" s="11">
        <f>IF(AND(ISNUMBER(P1698),ISNUMBER(Q1698),P1698&gt;0,ISNUMBER($B$100)),MAX(0,$B$100-3*SQRT($B$100/P1698)),"")</f>
        <v/>
      </c>
      <c r="T1698" s="11">
        <f>IF(AND(ISNUMBER(P1698),ISNUMBER(Q1698),P1698&gt;0,ISNUMBER($B$100)),$B$100+3*SQRT($B$100/P1698),"")</f>
        <v/>
      </c>
      <c r="U1698" s="13">
        <f>IF(AND(ISNUMBER(R1698),ISNUMBER(S1698),ISNUMBER(T1698)),IF(R1698&gt;T1698,"boven UCL",IF(R1698&lt;S1698,"onder LCL","")),"")</f>
        <v/>
      </c>
    </row>
    <row r="1699">
      <c r="A1699" t="n">
        <v>1593</v>
      </c>
      <c r="B1699" s="7" t="n"/>
      <c r="C1699" s="11">
        <f>IF(AND(ISNUMBER(B1699),ISNUMBER(B1698)),ABS(B1699-B1698),"")</f>
        <v/>
      </c>
      <c r="D1699" s="13">
        <f>IF(AND(ISNUMBER(B1699),ISNUMBER($B$88),ISNUMBER($D$88)),IF(B1699&gt;$D$88,"boven UCL",IF(B1699&lt;$B$88,"onder LCL","")),"")</f>
        <v/>
      </c>
      <c r="E1699" s="13">
        <f>IF(AND(ISNUMBER(C1699),ISNUMBER($B$89),ISNUMBER($D$89)),IF(C1699&gt;$D$89,"boven UCL",IF(C1699&lt;$B$89,"onder LCL","")),"")</f>
        <v/>
      </c>
      <c r="G1699" t="n">
        <v>1593</v>
      </c>
      <c r="H1699" s="7" t="n"/>
      <c r="I1699" s="7" t="n"/>
      <c r="J1699" s="11">
        <f>IF(AND(ISNUMBER(H1699),ISNUMBER(I1699),H1699&gt;0,ISNUMBER($B$94)),I1699/H1699,"")</f>
        <v/>
      </c>
      <c r="K1699" s="11">
        <f>IF(AND(ISNUMBER(H1699),ISNUMBER(I1699),H1699&gt;0,ISNUMBER($B$94)),MAX(0,$B$94-3*SQRT($B$94*(1-$B$94)/H1699)),"")</f>
        <v/>
      </c>
      <c r="L1699" s="11">
        <f>IF(AND(ISNUMBER(H1699),ISNUMBER(I1699),H1699&gt;0,ISNUMBER($B$94)),$B$94+3*SQRT($B$94*(1-$B$94)/H1699),"")</f>
        <v/>
      </c>
      <c r="M1699" s="13">
        <f>IF(AND(ISNUMBER(J1699),ISNUMBER(K1699),ISNUMBER(L1699)),IF(J1699&gt;L1699,"boven UCL",IF(J1699&lt;K1699,"onder LCL","")),"")</f>
        <v/>
      </c>
      <c r="O1699" t="n">
        <v>1593</v>
      </c>
      <c r="P1699" s="7" t="n"/>
      <c r="Q1699" s="7" t="n"/>
      <c r="R1699" s="11">
        <f>IF(AND(ISNUMBER(P1699),ISNUMBER(Q1699),P1699&gt;0,ISNUMBER($B$100)),Q1699/P1699,"")</f>
        <v/>
      </c>
      <c r="S1699" s="11">
        <f>IF(AND(ISNUMBER(P1699),ISNUMBER(Q1699),P1699&gt;0,ISNUMBER($B$100)),MAX(0,$B$100-3*SQRT($B$100/P1699)),"")</f>
        <v/>
      </c>
      <c r="T1699" s="11">
        <f>IF(AND(ISNUMBER(P1699),ISNUMBER(Q1699),P1699&gt;0,ISNUMBER($B$100)),$B$100+3*SQRT($B$100/P1699),"")</f>
        <v/>
      </c>
      <c r="U1699" s="13">
        <f>IF(AND(ISNUMBER(R1699),ISNUMBER(S1699),ISNUMBER(T1699)),IF(R1699&gt;T1699,"boven UCL",IF(R1699&lt;S1699,"onder LCL","")),"")</f>
        <v/>
      </c>
    </row>
    <row r="1700">
      <c r="A1700" t="n">
        <v>1594</v>
      </c>
      <c r="B1700" s="7" t="n"/>
      <c r="C1700" s="11">
        <f>IF(AND(ISNUMBER(B1700),ISNUMBER(B1699)),ABS(B1700-B1699),"")</f>
        <v/>
      </c>
      <c r="D1700" s="13">
        <f>IF(AND(ISNUMBER(B1700),ISNUMBER($B$88),ISNUMBER($D$88)),IF(B1700&gt;$D$88,"boven UCL",IF(B1700&lt;$B$88,"onder LCL","")),"")</f>
        <v/>
      </c>
      <c r="E1700" s="13">
        <f>IF(AND(ISNUMBER(C1700),ISNUMBER($B$89),ISNUMBER($D$89)),IF(C1700&gt;$D$89,"boven UCL",IF(C1700&lt;$B$89,"onder LCL","")),"")</f>
        <v/>
      </c>
      <c r="G1700" t="n">
        <v>1594</v>
      </c>
      <c r="H1700" s="7" t="n"/>
      <c r="I1700" s="7" t="n"/>
      <c r="J1700" s="11">
        <f>IF(AND(ISNUMBER(H1700),ISNUMBER(I1700),H1700&gt;0,ISNUMBER($B$94)),I1700/H1700,"")</f>
        <v/>
      </c>
      <c r="K1700" s="11">
        <f>IF(AND(ISNUMBER(H1700),ISNUMBER(I1700),H1700&gt;0,ISNUMBER($B$94)),MAX(0,$B$94-3*SQRT($B$94*(1-$B$94)/H1700)),"")</f>
        <v/>
      </c>
      <c r="L1700" s="11">
        <f>IF(AND(ISNUMBER(H1700),ISNUMBER(I1700),H1700&gt;0,ISNUMBER($B$94)),$B$94+3*SQRT($B$94*(1-$B$94)/H1700),"")</f>
        <v/>
      </c>
      <c r="M1700" s="13">
        <f>IF(AND(ISNUMBER(J1700),ISNUMBER(K1700),ISNUMBER(L1700)),IF(J1700&gt;L1700,"boven UCL",IF(J1700&lt;K1700,"onder LCL","")),"")</f>
        <v/>
      </c>
      <c r="O1700" t="n">
        <v>1594</v>
      </c>
      <c r="P1700" s="7" t="n"/>
      <c r="Q1700" s="7" t="n"/>
      <c r="R1700" s="11">
        <f>IF(AND(ISNUMBER(P1700),ISNUMBER(Q1700),P1700&gt;0,ISNUMBER($B$100)),Q1700/P1700,"")</f>
        <v/>
      </c>
      <c r="S1700" s="11">
        <f>IF(AND(ISNUMBER(P1700),ISNUMBER(Q1700),P1700&gt;0,ISNUMBER($B$100)),MAX(0,$B$100-3*SQRT($B$100/P1700)),"")</f>
        <v/>
      </c>
      <c r="T1700" s="11">
        <f>IF(AND(ISNUMBER(P1700),ISNUMBER(Q1700),P1700&gt;0,ISNUMBER($B$100)),$B$100+3*SQRT($B$100/P1700),"")</f>
        <v/>
      </c>
      <c r="U1700" s="13">
        <f>IF(AND(ISNUMBER(R1700),ISNUMBER(S1700),ISNUMBER(T1700)),IF(R1700&gt;T1700,"boven UCL",IF(R1700&lt;S1700,"onder LCL","")),"")</f>
        <v/>
      </c>
    </row>
    <row r="1701">
      <c r="A1701" t="n">
        <v>1595</v>
      </c>
      <c r="B1701" s="7" t="n"/>
      <c r="C1701" s="11">
        <f>IF(AND(ISNUMBER(B1701),ISNUMBER(B1700)),ABS(B1701-B1700),"")</f>
        <v/>
      </c>
      <c r="D1701" s="13">
        <f>IF(AND(ISNUMBER(B1701),ISNUMBER($B$88),ISNUMBER($D$88)),IF(B1701&gt;$D$88,"boven UCL",IF(B1701&lt;$B$88,"onder LCL","")),"")</f>
        <v/>
      </c>
      <c r="E1701" s="13">
        <f>IF(AND(ISNUMBER(C1701),ISNUMBER($B$89),ISNUMBER($D$89)),IF(C1701&gt;$D$89,"boven UCL",IF(C1701&lt;$B$89,"onder LCL","")),"")</f>
        <v/>
      </c>
      <c r="G1701" t="n">
        <v>1595</v>
      </c>
      <c r="H1701" s="7" t="n"/>
      <c r="I1701" s="7" t="n"/>
      <c r="J1701" s="11">
        <f>IF(AND(ISNUMBER(H1701),ISNUMBER(I1701),H1701&gt;0,ISNUMBER($B$94)),I1701/H1701,"")</f>
        <v/>
      </c>
      <c r="K1701" s="11">
        <f>IF(AND(ISNUMBER(H1701),ISNUMBER(I1701),H1701&gt;0,ISNUMBER($B$94)),MAX(0,$B$94-3*SQRT($B$94*(1-$B$94)/H1701)),"")</f>
        <v/>
      </c>
      <c r="L1701" s="11">
        <f>IF(AND(ISNUMBER(H1701),ISNUMBER(I1701),H1701&gt;0,ISNUMBER($B$94)),$B$94+3*SQRT($B$94*(1-$B$94)/H1701),"")</f>
        <v/>
      </c>
      <c r="M1701" s="13">
        <f>IF(AND(ISNUMBER(J1701),ISNUMBER(K1701),ISNUMBER(L1701)),IF(J1701&gt;L1701,"boven UCL",IF(J1701&lt;K1701,"onder LCL","")),"")</f>
        <v/>
      </c>
      <c r="O1701" t="n">
        <v>1595</v>
      </c>
      <c r="P1701" s="7" t="n"/>
      <c r="Q1701" s="7" t="n"/>
      <c r="R1701" s="11">
        <f>IF(AND(ISNUMBER(P1701),ISNUMBER(Q1701),P1701&gt;0,ISNUMBER($B$100)),Q1701/P1701,"")</f>
        <v/>
      </c>
      <c r="S1701" s="11">
        <f>IF(AND(ISNUMBER(P1701),ISNUMBER(Q1701),P1701&gt;0,ISNUMBER($B$100)),MAX(0,$B$100-3*SQRT($B$100/P1701)),"")</f>
        <v/>
      </c>
      <c r="T1701" s="11">
        <f>IF(AND(ISNUMBER(P1701),ISNUMBER(Q1701),P1701&gt;0,ISNUMBER($B$100)),$B$100+3*SQRT($B$100/P1701),"")</f>
        <v/>
      </c>
      <c r="U1701" s="13">
        <f>IF(AND(ISNUMBER(R1701),ISNUMBER(S1701),ISNUMBER(T1701)),IF(R1701&gt;T1701,"boven UCL",IF(R1701&lt;S1701,"onder LCL","")),"")</f>
        <v/>
      </c>
    </row>
    <row r="1702">
      <c r="A1702" t="n">
        <v>1596</v>
      </c>
      <c r="B1702" s="7" t="n"/>
      <c r="C1702" s="11">
        <f>IF(AND(ISNUMBER(B1702),ISNUMBER(B1701)),ABS(B1702-B1701),"")</f>
        <v/>
      </c>
      <c r="D1702" s="13">
        <f>IF(AND(ISNUMBER(B1702),ISNUMBER($B$88),ISNUMBER($D$88)),IF(B1702&gt;$D$88,"boven UCL",IF(B1702&lt;$B$88,"onder LCL","")),"")</f>
        <v/>
      </c>
      <c r="E1702" s="13">
        <f>IF(AND(ISNUMBER(C1702),ISNUMBER($B$89),ISNUMBER($D$89)),IF(C1702&gt;$D$89,"boven UCL",IF(C1702&lt;$B$89,"onder LCL","")),"")</f>
        <v/>
      </c>
      <c r="G1702" t="n">
        <v>1596</v>
      </c>
      <c r="H1702" s="7" t="n"/>
      <c r="I1702" s="7" t="n"/>
      <c r="J1702" s="11">
        <f>IF(AND(ISNUMBER(H1702),ISNUMBER(I1702),H1702&gt;0,ISNUMBER($B$94)),I1702/H1702,"")</f>
        <v/>
      </c>
      <c r="K1702" s="11">
        <f>IF(AND(ISNUMBER(H1702),ISNUMBER(I1702),H1702&gt;0,ISNUMBER($B$94)),MAX(0,$B$94-3*SQRT($B$94*(1-$B$94)/H1702)),"")</f>
        <v/>
      </c>
      <c r="L1702" s="11">
        <f>IF(AND(ISNUMBER(H1702),ISNUMBER(I1702),H1702&gt;0,ISNUMBER($B$94)),$B$94+3*SQRT($B$94*(1-$B$94)/H1702),"")</f>
        <v/>
      </c>
      <c r="M1702" s="13">
        <f>IF(AND(ISNUMBER(J1702),ISNUMBER(K1702),ISNUMBER(L1702)),IF(J1702&gt;L1702,"boven UCL",IF(J1702&lt;K1702,"onder LCL","")),"")</f>
        <v/>
      </c>
      <c r="O1702" t="n">
        <v>1596</v>
      </c>
      <c r="P1702" s="7" t="n"/>
      <c r="Q1702" s="7" t="n"/>
      <c r="R1702" s="11">
        <f>IF(AND(ISNUMBER(P1702),ISNUMBER(Q1702),P1702&gt;0,ISNUMBER($B$100)),Q1702/P1702,"")</f>
        <v/>
      </c>
      <c r="S1702" s="11">
        <f>IF(AND(ISNUMBER(P1702),ISNUMBER(Q1702),P1702&gt;0,ISNUMBER($B$100)),MAX(0,$B$100-3*SQRT($B$100/P1702)),"")</f>
        <v/>
      </c>
      <c r="T1702" s="11">
        <f>IF(AND(ISNUMBER(P1702),ISNUMBER(Q1702),P1702&gt;0,ISNUMBER($B$100)),$B$100+3*SQRT($B$100/P1702),"")</f>
        <v/>
      </c>
      <c r="U1702" s="13">
        <f>IF(AND(ISNUMBER(R1702),ISNUMBER(S1702),ISNUMBER(T1702)),IF(R1702&gt;T1702,"boven UCL",IF(R1702&lt;S1702,"onder LCL","")),"")</f>
        <v/>
      </c>
    </row>
    <row r="1703">
      <c r="A1703" t="n">
        <v>1597</v>
      </c>
      <c r="B1703" s="7" t="n"/>
      <c r="C1703" s="11">
        <f>IF(AND(ISNUMBER(B1703),ISNUMBER(B1702)),ABS(B1703-B1702),"")</f>
        <v/>
      </c>
      <c r="D1703" s="13">
        <f>IF(AND(ISNUMBER(B1703),ISNUMBER($B$88),ISNUMBER($D$88)),IF(B1703&gt;$D$88,"boven UCL",IF(B1703&lt;$B$88,"onder LCL","")),"")</f>
        <v/>
      </c>
      <c r="E1703" s="13">
        <f>IF(AND(ISNUMBER(C1703),ISNUMBER($B$89),ISNUMBER($D$89)),IF(C1703&gt;$D$89,"boven UCL",IF(C1703&lt;$B$89,"onder LCL","")),"")</f>
        <v/>
      </c>
      <c r="G1703" t="n">
        <v>1597</v>
      </c>
      <c r="H1703" s="7" t="n"/>
      <c r="I1703" s="7" t="n"/>
      <c r="J1703" s="11">
        <f>IF(AND(ISNUMBER(H1703),ISNUMBER(I1703),H1703&gt;0,ISNUMBER($B$94)),I1703/H1703,"")</f>
        <v/>
      </c>
      <c r="K1703" s="11">
        <f>IF(AND(ISNUMBER(H1703),ISNUMBER(I1703),H1703&gt;0,ISNUMBER($B$94)),MAX(0,$B$94-3*SQRT($B$94*(1-$B$94)/H1703)),"")</f>
        <v/>
      </c>
      <c r="L1703" s="11">
        <f>IF(AND(ISNUMBER(H1703),ISNUMBER(I1703),H1703&gt;0,ISNUMBER($B$94)),$B$94+3*SQRT($B$94*(1-$B$94)/H1703),"")</f>
        <v/>
      </c>
      <c r="M1703" s="13">
        <f>IF(AND(ISNUMBER(J1703),ISNUMBER(K1703),ISNUMBER(L1703)),IF(J1703&gt;L1703,"boven UCL",IF(J1703&lt;K1703,"onder LCL","")),"")</f>
        <v/>
      </c>
      <c r="O1703" t="n">
        <v>1597</v>
      </c>
      <c r="P1703" s="7" t="n"/>
      <c r="Q1703" s="7" t="n"/>
      <c r="R1703" s="11">
        <f>IF(AND(ISNUMBER(P1703),ISNUMBER(Q1703),P1703&gt;0,ISNUMBER($B$100)),Q1703/P1703,"")</f>
        <v/>
      </c>
      <c r="S1703" s="11">
        <f>IF(AND(ISNUMBER(P1703),ISNUMBER(Q1703),P1703&gt;0,ISNUMBER($B$100)),MAX(0,$B$100-3*SQRT($B$100/P1703)),"")</f>
        <v/>
      </c>
      <c r="T1703" s="11">
        <f>IF(AND(ISNUMBER(P1703),ISNUMBER(Q1703),P1703&gt;0,ISNUMBER($B$100)),$B$100+3*SQRT($B$100/P1703),"")</f>
        <v/>
      </c>
      <c r="U1703" s="13">
        <f>IF(AND(ISNUMBER(R1703),ISNUMBER(S1703),ISNUMBER(T1703)),IF(R1703&gt;T1703,"boven UCL",IF(R1703&lt;S1703,"onder LCL","")),"")</f>
        <v/>
      </c>
    </row>
    <row r="1704">
      <c r="A1704" t="n">
        <v>1598</v>
      </c>
      <c r="B1704" s="7" t="n"/>
      <c r="C1704" s="11">
        <f>IF(AND(ISNUMBER(B1704),ISNUMBER(B1703)),ABS(B1704-B1703),"")</f>
        <v/>
      </c>
      <c r="D1704" s="13">
        <f>IF(AND(ISNUMBER(B1704),ISNUMBER($B$88),ISNUMBER($D$88)),IF(B1704&gt;$D$88,"boven UCL",IF(B1704&lt;$B$88,"onder LCL","")),"")</f>
        <v/>
      </c>
      <c r="E1704" s="13">
        <f>IF(AND(ISNUMBER(C1704),ISNUMBER($B$89),ISNUMBER($D$89)),IF(C1704&gt;$D$89,"boven UCL",IF(C1704&lt;$B$89,"onder LCL","")),"")</f>
        <v/>
      </c>
      <c r="G1704" t="n">
        <v>1598</v>
      </c>
      <c r="H1704" s="7" t="n"/>
      <c r="I1704" s="7" t="n"/>
      <c r="J1704" s="11">
        <f>IF(AND(ISNUMBER(H1704),ISNUMBER(I1704),H1704&gt;0,ISNUMBER($B$94)),I1704/H1704,"")</f>
        <v/>
      </c>
      <c r="K1704" s="11">
        <f>IF(AND(ISNUMBER(H1704),ISNUMBER(I1704),H1704&gt;0,ISNUMBER($B$94)),MAX(0,$B$94-3*SQRT($B$94*(1-$B$94)/H1704)),"")</f>
        <v/>
      </c>
      <c r="L1704" s="11">
        <f>IF(AND(ISNUMBER(H1704),ISNUMBER(I1704),H1704&gt;0,ISNUMBER($B$94)),$B$94+3*SQRT($B$94*(1-$B$94)/H1704),"")</f>
        <v/>
      </c>
      <c r="M1704" s="13">
        <f>IF(AND(ISNUMBER(J1704),ISNUMBER(K1704),ISNUMBER(L1704)),IF(J1704&gt;L1704,"boven UCL",IF(J1704&lt;K1704,"onder LCL","")),"")</f>
        <v/>
      </c>
      <c r="O1704" t="n">
        <v>1598</v>
      </c>
      <c r="P1704" s="7" t="n"/>
      <c r="Q1704" s="7" t="n"/>
      <c r="R1704" s="11">
        <f>IF(AND(ISNUMBER(P1704),ISNUMBER(Q1704),P1704&gt;0,ISNUMBER($B$100)),Q1704/P1704,"")</f>
        <v/>
      </c>
      <c r="S1704" s="11">
        <f>IF(AND(ISNUMBER(P1704),ISNUMBER(Q1704),P1704&gt;0,ISNUMBER($B$100)),MAX(0,$B$100-3*SQRT($B$100/P1704)),"")</f>
        <v/>
      </c>
      <c r="T1704" s="11">
        <f>IF(AND(ISNUMBER(P1704),ISNUMBER(Q1704),P1704&gt;0,ISNUMBER($B$100)),$B$100+3*SQRT($B$100/P1704),"")</f>
        <v/>
      </c>
      <c r="U1704" s="13">
        <f>IF(AND(ISNUMBER(R1704),ISNUMBER(S1704),ISNUMBER(T1704)),IF(R1704&gt;T1704,"boven UCL",IF(R1704&lt;S1704,"onder LCL","")),"")</f>
        <v/>
      </c>
    </row>
    <row r="1705">
      <c r="A1705" t="n">
        <v>1599</v>
      </c>
      <c r="B1705" s="7" t="n"/>
      <c r="C1705" s="11">
        <f>IF(AND(ISNUMBER(B1705),ISNUMBER(B1704)),ABS(B1705-B1704),"")</f>
        <v/>
      </c>
      <c r="D1705" s="13">
        <f>IF(AND(ISNUMBER(B1705),ISNUMBER($B$88),ISNUMBER($D$88)),IF(B1705&gt;$D$88,"boven UCL",IF(B1705&lt;$B$88,"onder LCL","")),"")</f>
        <v/>
      </c>
      <c r="E1705" s="13">
        <f>IF(AND(ISNUMBER(C1705),ISNUMBER($B$89),ISNUMBER($D$89)),IF(C1705&gt;$D$89,"boven UCL",IF(C1705&lt;$B$89,"onder LCL","")),"")</f>
        <v/>
      </c>
      <c r="G1705" t="n">
        <v>1599</v>
      </c>
      <c r="H1705" s="7" t="n"/>
      <c r="I1705" s="7" t="n"/>
      <c r="J1705" s="11">
        <f>IF(AND(ISNUMBER(H1705),ISNUMBER(I1705),H1705&gt;0,ISNUMBER($B$94)),I1705/H1705,"")</f>
        <v/>
      </c>
      <c r="K1705" s="11">
        <f>IF(AND(ISNUMBER(H1705),ISNUMBER(I1705),H1705&gt;0,ISNUMBER($B$94)),MAX(0,$B$94-3*SQRT($B$94*(1-$B$94)/H1705)),"")</f>
        <v/>
      </c>
      <c r="L1705" s="11">
        <f>IF(AND(ISNUMBER(H1705),ISNUMBER(I1705),H1705&gt;0,ISNUMBER($B$94)),$B$94+3*SQRT($B$94*(1-$B$94)/H1705),"")</f>
        <v/>
      </c>
      <c r="M1705" s="13">
        <f>IF(AND(ISNUMBER(J1705),ISNUMBER(K1705),ISNUMBER(L1705)),IF(J1705&gt;L1705,"boven UCL",IF(J1705&lt;K1705,"onder LCL","")),"")</f>
        <v/>
      </c>
      <c r="O1705" t="n">
        <v>1599</v>
      </c>
      <c r="P1705" s="7" t="n"/>
      <c r="Q1705" s="7" t="n"/>
      <c r="R1705" s="11">
        <f>IF(AND(ISNUMBER(P1705),ISNUMBER(Q1705),P1705&gt;0,ISNUMBER($B$100)),Q1705/P1705,"")</f>
        <v/>
      </c>
      <c r="S1705" s="11">
        <f>IF(AND(ISNUMBER(P1705),ISNUMBER(Q1705),P1705&gt;0,ISNUMBER($B$100)),MAX(0,$B$100-3*SQRT($B$100/P1705)),"")</f>
        <v/>
      </c>
      <c r="T1705" s="11">
        <f>IF(AND(ISNUMBER(P1705),ISNUMBER(Q1705),P1705&gt;0,ISNUMBER($B$100)),$B$100+3*SQRT($B$100/P1705),"")</f>
        <v/>
      </c>
      <c r="U1705" s="13">
        <f>IF(AND(ISNUMBER(R1705),ISNUMBER(S1705),ISNUMBER(T1705)),IF(R1705&gt;T1705,"boven UCL",IF(R1705&lt;S1705,"onder LCL","")),"")</f>
        <v/>
      </c>
    </row>
    <row r="1706">
      <c r="A1706" t="n">
        <v>1600</v>
      </c>
      <c r="B1706" s="7" t="n"/>
      <c r="C1706" s="11">
        <f>IF(AND(ISNUMBER(B1706),ISNUMBER(B1705)),ABS(B1706-B1705),"")</f>
        <v/>
      </c>
      <c r="D1706" s="13">
        <f>IF(AND(ISNUMBER(B1706),ISNUMBER($B$88),ISNUMBER($D$88)),IF(B1706&gt;$D$88,"boven UCL",IF(B1706&lt;$B$88,"onder LCL","")),"")</f>
        <v/>
      </c>
      <c r="E1706" s="13">
        <f>IF(AND(ISNUMBER(C1706),ISNUMBER($B$89),ISNUMBER($D$89)),IF(C1706&gt;$D$89,"boven UCL",IF(C1706&lt;$B$89,"onder LCL","")),"")</f>
        <v/>
      </c>
      <c r="G1706" t="n">
        <v>1600</v>
      </c>
      <c r="H1706" s="7" t="n"/>
      <c r="I1706" s="7" t="n"/>
      <c r="J1706" s="11">
        <f>IF(AND(ISNUMBER(H1706),ISNUMBER(I1706),H1706&gt;0,ISNUMBER($B$94)),I1706/H1706,"")</f>
        <v/>
      </c>
      <c r="K1706" s="11">
        <f>IF(AND(ISNUMBER(H1706),ISNUMBER(I1706),H1706&gt;0,ISNUMBER($B$94)),MAX(0,$B$94-3*SQRT($B$94*(1-$B$94)/H1706)),"")</f>
        <v/>
      </c>
      <c r="L1706" s="11">
        <f>IF(AND(ISNUMBER(H1706),ISNUMBER(I1706),H1706&gt;0,ISNUMBER($B$94)),$B$94+3*SQRT($B$94*(1-$B$94)/H1706),"")</f>
        <v/>
      </c>
      <c r="M1706" s="13">
        <f>IF(AND(ISNUMBER(J1706),ISNUMBER(K1706),ISNUMBER(L1706)),IF(J1706&gt;L1706,"boven UCL",IF(J1706&lt;K1706,"onder LCL","")),"")</f>
        <v/>
      </c>
      <c r="O1706" t="n">
        <v>1600</v>
      </c>
      <c r="P1706" s="7" t="n"/>
      <c r="Q1706" s="7" t="n"/>
      <c r="R1706" s="11">
        <f>IF(AND(ISNUMBER(P1706),ISNUMBER(Q1706),P1706&gt;0,ISNUMBER($B$100)),Q1706/P1706,"")</f>
        <v/>
      </c>
      <c r="S1706" s="11">
        <f>IF(AND(ISNUMBER(P1706),ISNUMBER(Q1706),P1706&gt;0,ISNUMBER($B$100)),MAX(0,$B$100-3*SQRT($B$100/P1706)),"")</f>
        <v/>
      </c>
      <c r="T1706" s="11">
        <f>IF(AND(ISNUMBER(P1706),ISNUMBER(Q1706),P1706&gt;0,ISNUMBER($B$100)),$B$100+3*SQRT($B$100/P1706),"")</f>
        <v/>
      </c>
      <c r="U1706" s="13">
        <f>IF(AND(ISNUMBER(R1706),ISNUMBER(S1706),ISNUMBER(T1706)),IF(R1706&gt;T1706,"boven UCL",IF(R1706&lt;S1706,"onder LCL","")),"")</f>
        <v/>
      </c>
    </row>
    <row r="1707">
      <c r="A1707" t="n">
        <v>1601</v>
      </c>
      <c r="B1707" s="7" t="n"/>
      <c r="C1707" s="11">
        <f>IF(AND(ISNUMBER(B1707),ISNUMBER(B1706)),ABS(B1707-B1706),"")</f>
        <v/>
      </c>
      <c r="D1707" s="13">
        <f>IF(AND(ISNUMBER(B1707),ISNUMBER($B$88),ISNUMBER($D$88)),IF(B1707&gt;$D$88,"boven UCL",IF(B1707&lt;$B$88,"onder LCL","")),"")</f>
        <v/>
      </c>
      <c r="E1707" s="13">
        <f>IF(AND(ISNUMBER(C1707),ISNUMBER($B$89),ISNUMBER($D$89)),IF(C1707&gt;$D$89,"boven UCL",IF(C1707&lt;$B$89,"onder LCL","")),"")</f>
        <v/>
      </c>
      <c r="G1707" t="n">
        <v>1601</v>
      </c>
      <c r="H1707" s="7" t="n"/>
      <c r="I1707" s="7" t="n"/>
      <c r="J1707" s="11">
        <f>IF(AND(ISNUMBER(H1707),ISNUMBER(I1707),H1707&gt;0,ISNUMBER($B$94)),I1707/H1707,"")</f>
        <v/>
      </c>
      <c r="K1707" s="11">
        <f>IF(AND(ISNUMBER(H1707),ISNUMBER(I1707),H1707&gt;0,ISNUMBER($B$94)),MAX(0,$B$94-3*SQRT($B$94*(1-$B$94)/H1707)),"")</f>
        <v/>
      </c>
      <c r="L1707" s="11">
        <f>IF(AND(ISNUMBER(H1707),ISNUMBER(I1707),H1707&gt;0,ISNUMBER($B$94)),$B$94+3*SQRT($B$94*(1-$B$94)/H1707),"")</f>
        <v/>
      </c>
      <c r="M1707" s="13">
        <f>IF(AND(ISNUMBER(J1707),ISNUMBER(K1707),ISNUMBER(L1707)),IF(J1707&gt;L1707,"boven UCL",IF(J1707&lt;K1707,"onder LCL","")),"")</f>
        <v/>
      </c>
      <c r="O1707" t="n">
        <v>1601</v>
      </c>
      <c r="P1707" s="7" t="n"/>
      <c r="Q1707" s="7" t="n"/>
      <c r="R1707" s="11">
        <f>IF(AND(ISNUMBER(P1707),ISNUMBER(Q1707),P1707&gt;0,ISNUMBER($B$100)),Q1707/P1707,"")</f>
        <v/>
      </c>
      <c r="S1707" s="11">
        <f>IF(AND(ISNUMBER(P1707),ISNUMBER(Q1707),P1707&gt;0,ISNUMBER($B$100)),MAX(0,$B$100-3*SQRT($B$100/P1707)),"")</f>
        <v/>
      </c>
      <c r="T1707" s="11">
        <f>IF(AND(ISNUMBER(P1707),ISNUMBER(Q1707),P1707&gt;0,ISNUMBER($B$100)),$B$100+3*SQRT($B$100/P1707),"")</f>
        <v/>
      </c>
      <c r="U1707" s="13">
        <f>IF(AND(ISNUMBER(R1707),ISNUMBER(S1707),ISNUMBER(T1707)),IF(R1707&gt;T1707,"boven UCL",IF(R1707&lt;S1707,"onder LCL","")),"")</f>
        <v/>
      </c>
    </row>
    <row r="1708">
      <c r="A1708" t="n">
        <v>1602</v>
      </c>
      <c r="B1708" s="7" t="n"/>
      <c r="C1708" s="11">
        <f>IF(AND(ISNUMBER(B1708),ISNUMBER(B1707)),ABS(B1708-B1707),"")</f>
        <v/>
      </c>
      <c r="D1708" s="13">
        <f>IF(AND(ISNUMBER(B1708),ISNUMBER($B$88),ISNUMBER($D$88)),IF(B1708&gt;$D$88,"boven UCL",IF(B1708&lt;$B$88,"onder LCL","")),"")</f>
        <v/>
      </c>
      <c r="E1708" s="13">
        <f>IF(AND(ISNUMBER(C1708),ISNUMBER($B$89),ISNUMBER($D$89)),IF(C1708&gt;$D$89,"boven UCL",IF(C1708&lt;$B$89,"onder LCL","")),"")</f>
        <v/>
      </c>
      <c r="G1708" t="n">
        <v>1602</v>
      </c>
      <c r="H1708" s="7" t="n"/>
      <c r="I1708" s="7" t="n"/>
      <c r="J1708" s="11">
        <f>IF(AND(ISNUMBER(H1708),ISNUMBER(I1708),H1708&gt;0,ISNUMBER($B$94)),I1708/H1708,"")</f>
        <v/>
      </c>
      <c r="K1708" s="11">
        <f>IF(AND(ISNUMBER(H1708),ISNUMBER(I1708),H1708&gt;0,ISNUMBER($B$94)),MAX(0,$B$94-3*SQRT($B$94*(1-$B$94)/H1708)),"")</f>
        <v/>
      </c>
      <c r="L1708" s="11">
        <f>IF(AND(ISNUMBER(H1708),ISNUMBER(I1708),H1708&gt;0,ISNUMBER($B$94)),$B$94+3*SQRT($B$94*(1-$B$94)/H1708),"")</f>
        <v/>
      </c>
      <c r="M1708" s="13">
        <f>IF(AND(ISNUMBER(J1708),ISNUMBER(K1708),ISNUMBER(L1708)),IF(J1708&gt;L1708,"boven UCL",IF(J1708&lt;K1708,"onder LCL","")),"")</f>
        <v/>
      </c>
      <c r="O1708" t="n">
        <v>1602</v>
      </c>
      <c r="P1708" s="7" t="n"/>
      <c r="Q1708" s="7" t="n"/>
      <c r="R1708" s="11">
        <f>IF(AND(ISNUMBER(P1708),ISNUMBER(Q1708),P1708&gt;0,ISNUMBER($B$100)),Q1708/P1708,"")</f>
        <v/>
      </c>
      <c r="S1708" s="11">
        <f>IF(AND(ISNUMBER(P1708),ISNUMBER(Q1708),P1708&gt;0,ISNUMBER($B$100)),MAX(0,$B$100-3*SQRT($B$100/P1708)),"")</f>
        <v/>
      </c>
      <c r="T1708" s="11">
        <f>IF(AND(ISNUMBER(P1708),ISNUMBER(Q1708),P1708&gt;0,ISNUMBER($B$100)),$B$100+3*SQRT($B$100/P1708),"")</f>
        <v/>
      </c>
      <c r="U1708" s="13">
        <f>IF(AND(ISNUMBER(R1708),ISNUMBER(S1708),ISNUMBER(T1708)),IF(R1708&gt;T1708,"boven UCL",IF(R1708&lt;S1708,"onder LCL","")),"")</f>
        <v/>
      </c>
    </row>
    <row r="1709">
      <c r="A1709" t="n">
        <v>1603</v>
      </c>
      <c r="B1709" s="7" t="n"/>
      <c r="C1709" s="11">
        <f>IF(AND(ISNUMBER(B1709),ISNUMBER(B1708)),ABS(B1709-B1708),"")</f>
        <v/>
      </c>
      <c r="D1709" s="13">
        <f>IF(AND(ISNUMBER(B1709),ISNUMBER($B$88),ISNUMBER($D$88)),IF(B1709&gt;$D$88,"boven UCL",IF(B1709&lt;$B$88,"onder LCL","")),"")</f>
        <v/>
      </c>
      <c r="E1709" s="13">
        <f>IF(AND(ISNUMBER(C1709),ISNUMBER($B$89),ISNUMBER($D$89)),IF(C1709&gt;$D$89,"boven UCL",IF(C1709&lt;$B$89,"onder LCL","")),"")</f>
        <v/>
      </c>
      <c r="G1709" t="n">
        <v>1603</v>
      </c>
      <c r="H1709" s="7" t="n"/>
      <c r="I1709" s="7" t="n"/>
      <c r="J1709" s="11">
        <f>IF(AND(ISNUMBER(H1709),ISNUMBER(I1709),H1709&gt;0,ISNUMBER($B$94)),I1709/H1709,"")</f>
        <v/>
      </c>
      <c r="K1709" s="11">
        <f>IF(AND(ISNUMBER(H1709),ISNUMBER(I1709),H1709&gt;0,ISNUMBER($B$94)),MAX(0,$B$94-3*SQRT($B$94*(1-$B$94)/H1709)),"")</f>
        <v/>
      </c>
      <c r="L1709" s="11">
        <f>IF(AND(ISNUMBER(H1709),ISNUMBER(I1709),H1709&gt;0,ISNUMBER($B$94)),$B$94+3*SQRT($B$94*(1-$B$94)/H1709),"")</f>
        <v/>
      </c>
      <c r="M1709" s="13">
        <f>IF(AND(ISNUMBER(J1709),ISNUMBER(K1709),ISNUMBER(L1709)),IF(J1709&gt;L1709,"boven UCL",IF(J1709&lt;K1709,"onder LCL","")),"")</f>
        <v/>
      </c>
      <c r="O1709" t="n">
        <v>1603</v>
      </c>
      <c r="P1709" s="7" t="n"/>
      <c r="Q1709" s="7" t="n"/>
      <c r="R1709" s="11">
        <f>IF(AND(ISNUMBER(P1709),ISNUMBER(Q1709),P1709&gt;0,ISNUMBER($B$100)),Q1709/P1709,"")</f>
        <v/>
      </c>
      <c r="S1709" s="11">
        <f>IF(AND(ISNUMBER(P1709),ISNUMBER(Q1709),P1709&gt;0,ISNUMBER($B$100)),MAX(0,$B$100-3*SQRT($B$100/P1709)),"")</f>
        <v/>
      </c>
      <c r="T1709" s="11">
        <f>IF(AND(ISNUMBER(P1709),ISNUMBER(Q1709),P1709&gt;0,ISNUMBER($B$100)),$B$100+3*SQRT($B$100/P1709),"")</f>
        <v/>
      </c>
      <c r="U1709" s="13">
        <f>IF(AND(ISNUMBER(R1709),ISNUMBER(S1709),ISNUMBER(T1709)),IF(R1709&gt;T1709,"boven UCL",IF(R1709&lt;S1709,"onder LCL","")),"")</f>
        <v/>
      </c>
    </row>
    <row r="1710">
      <c r="A1710" t="n">
        <v>1604</v>
      </c>
      <c r="B1710" s="7" t="n"/>
      <c r="C1710" s="11">
        <f>IF(AND(ISNUMBER(B1710),ISNUMBER(B1709)),ABS(B1710-B1709),"")</f>
        <v/>
      </c>
      <c r="D1710" s="13">
        <f>IF(AND(ISNUMBER(B1710),ISNUMBER($B$88),ISNUMBER($D$88)),IF(B1710&gt;$D$88,"boven UCL",IF(B1710&lt;$B$88,"onder LCL","")),"")</f>
        <v/>
      </c>
      <c r="E1710" s="13">
        <f>IF(AND(ISNUMBER(C1710),ISNUMBER($B$89),ISNUMBER($D$89)),IF(C1710&gt;$D$89,"boven UCL",IF(C1710&lt;$B$89,"onder LCL","")),"")</f>
        <v/>
      </c>
      <c r="G1710" t="n">
        <v>1604</v>
      </c>
      <c r="H1710" s="7" t="n"/>
      <c r="I1710" s="7" t="n"/>
      <c r="J1710" s="11">
        <f>IF(AND(ISNUMBER(H1710),ISNUMBER(I1710),H1710&gt;0,ISNUMBER($B$94)),I1710/H1710,"")</f>
        <v/>
      </c>
      <c r="K1710" s="11">
        <f>IF(AND(ISNUMBER(H1710),ISNUMBER(I1710),H1710&gt;0,ISNUMBER($B$94)),MAX(0,$B$94-3*SQRT($B$94*(1-$B$94)/H1710)),"")</f>
        <v/>
      </c>
      <c r="L1710" s="11">
        <f>IF(AND(ISNUMBER(H1710),ISNUMBER(I1710),H1710&gt;0,ISNUMBER($B$94)),$B$94+3*SQRT($B$94*(1-$B$94)/H1710),"")</f>
        <v/>
      </c>
      <c r="M1710" s="13">
        <f>IF(AND(ISNUMBER(J1710),ISNUMBER(K1710),ISNUMBER(L1710)),IF(J1710&gt;L1710,"boven UCL",IF(J1710&lt;K1710,"onder LCL","")),"")</f>
        <v/>
      </c>
      <c r="O1710" t="n">
        <v>1604</v>
      </c>
      <c r="P1710" s="7" t="n"/>
      <c r="Q1710" s="7" t="n"/>
      <c r="R1710" s="11">
        <f>IF(AND(ISNUMBER(P1710),ISNUMBER(Q1710),P1710&gt;0,ISNUMBER($B$100)),Q1710/P1710,"")</f>
        <v/>
      </c>
      <c r="S1710" s="11">
        <f>IF(AND(ISNUMBER(P1710),ISNUMBER(Q1710),P1710&gt;0,ISNUMBER($B$100)),MAX(0,$B$100-3*SQRT($B$100/P1710)),"")</f>
        <v/>
      </c>
      <c r="T1710" s="11">
        <f>IF(AND(ISNUMBER(P1710),ISNUMBER(Q1710),P1710&gt;0,ISNUMBER($B$100)),$B$100+3*SQRT($B$100/P1710),"")</f>
        <v/>
      </c>
      <c r="U1710" s="13">
        <f>IF(AND(ISNUMBER(R1710),ISNUMBER(S1710),ISNUMBER(T1710)),IF(R1710&gt;T1710,"boven UCL",IF(R1710&lt;S1710,"onder LCL","")),"")</f>
        <v/>
      </c>
    </row>
    <row r="1711">
      <c r="A1711" t="n">
        <v>1605</v>
      </c>
      <c r="B1711" s="7" t="n"/>
      <c r="C1711" s="11">
        <f>IF(AND(ISNUMBER(B1711),ISNUMBER(B1710)),ABS(B1711-B1710),"")</f>
        <v/>
      </c>
      <c r="D1711" s="13">
        <f>IF(AND(ISNUMBER(B1711),ISNUMBER($B$88),ISNUMBER($D$88)),IF(B1711&gt;$D$88,"boven UCL",IF(B1711&lt;$B$88,"onder LCL","")),"")</f>
        <v/>
      </c>
      <c r="E1711" s="13">
        <f>IF(AND(ISNUMBER(C1711),ISNUMBER($B$89),ISNUMBER($D$89)),IF(C1711&gt;$D$89,"boven UCL",IF(C1711&lt;$B$89,"onder LCL","")),"")</f>
        <v/>
      </c>
      <c r="G1711" t="n">
        <v>1605</v>
      </c>
      <c r="H1711" s="7" t="n"/>
      <c r="I1711" s="7" t="n"/>
      <c r="J1711" s="11">
        <f>IF(AND(ISNUMBER(H1711),ISNUMBER(I1711),H1711&gt;0,ISNUMBER($B$94)),I1711/H1711,"")</f>
        <v/>
      </c>
      <c r="K1711" s="11">
        <f>IF(AND(ISNUMBER(H1711),ISNUMBER(I1711),H1711&gt;0,ISNUMBER($B$94)),MAX(0,$B$94-3*SQRT($B$94*(1-$B$94)/H1711)),"")</f>
        <v/>
      </c>
      <c r="L1711" s="11">
        <f>IF(AND(ISNUMBER(H1711),ISNUMBER(I1711),H1711&gt;0,ISNUMBER($B$94)),$B$94+3*SQRT($B$94*(1-$B$94)/H1711),"")</f>
        <v/>
      </c>
      <c r="M1711" s="13">
        <f>IF(AND(ISNUMBER(J1711),ISNUMBER(K1711),ISNUMBER(L1711)),IF(J1711&gt;L1711,"boven UCL",IF(J1711&lt;K1711,"onder LCL","")),"")</f>
        <v/>
      </c>
      <c r="O1711" t="n">
        <v>1605</v>
      </c>
      <c r="P1711" s="7" t="n"/>
      <c r="Q1711" s="7" t="n"/>
      <c r="R1711" s="11">
        <f>IF(AND(ISNUMBER(P1711),ISNUMBER(Q1711),P1711&gt;0,ISNUMBER($B$100)),Q1711/P1711,"")</f>
        <v/>
      </c>
      <c r="S1711" s="11">
        <f>IF(AND(ISNUMBER(P1711),ISNUMBER(Q1711),P1711&gt;0,ISNUMBER($B$100)),MAX(0,$B$100-3*SQRT($B$100/P1711)),"")</f>
        <v/>
      </c>
      <c r="T1711" s="11">
        <f>IF(AND(ISNUMBER(P1711),ISNUMBER(Q1711),P1711&gt;0,ISNUMBER($B$100)),$B$100+3*SQRT($B$100/P1711),"")</f>
        <v/>
      </c>
      <c r="U1711" s="13">
        <f>IF(AND(ISNUMBER(R1711),ISNUMBER(S1711),ISNUMBER(T1711)),IF(R1711&gt;T1711,"boven UCL",IF(R1711&lt;S1711,"onder LCL","")),"")</f>
        <v/>
      </c>
    </row>
    <row r="1712">
      <c r="A1712" t="n">
        <v>1606</v>
      </c>
      <c r="B1712" s="7" t="n"/>
      <c r="C1712" s="11">
        <f>IF(AND(ISNUMBER(B1712),ISNUMBER(B1711)),ABS(B1712-B1711),"")</f>
        <v/>
      </c>
      <c r="D1712" s="13">
        <f>IF(AND(ISNUMBER(B1712),ISNUMBER($B$88),ISNUMBER($D$88)),IF(B1712&gt;$D$88,"boven UCL",IF(B1712&lt;$B$88,"onder LCL","")),"")</f>
        <v/>
      </c>
      <c r="E1712" s="13">
        <f>IF(AND(ISNUMBER(C1712),ISNUMBER($B$89),ISNUMBER($D$89)),IF(C1712&gt;$D$89,"boven UCL",IF(C1712&lt;$B$89,"onder LCL","")),"")</f>
        <v/>
      </c>
      <c r="G1712" t="n">
        <v>1606</v>
      </c>
      <c r="H1712" s="7" t="n"/>
      <c r="I1712" s="7" t="n"/>
      <c r="J1712" s="11">
        <f>IF(AND(ISNUMBER(H1712),ISNUMBER(I1712),H1712&gt;0,ISNUMBER($B$94)),I1712/H1712,"")</f>
        <v/>
      </c>
      <c r="K1712" s="11">
        <f>IF(AND(ISNUMBER(H1712),ISNUMBER(I1712),H1712&gt;0,ISNUMBER($B$94)),MAX(0,$B$94-3*SQRT($B$94*(1-$B$94)/H1712)),"")</f>
        <v/>
      </c>
      <c r="L1712" s="11">
        <f>IF(AND(ISNUMBER(H1712),ISNUMBER(I1712),H1712&gt;0,ISNUMBER($B$94)),$B$94+3*SQRT($B$94*(1-$B$94)/H1712),"")</f>
        <v/>
      </c>
      <c r="M1712" s="13">
        <f>IF(AND(ISNUMBER(J1712),ISNUMBER(K1712),ISNUMBER(L1712)),IF(J1712&gt;L1712,"boven UCL",IF(J1712&lt;K1712,"onder LCL","")),"")</f>
        <v/>
      </c>
      <c r="O1712" t="n">
        <v>1606</v>
      </c>
      <c r="P1712" s="7" t="n"/>
      <c r="Q1712" s="7" t="n"/>
      <c r="R1712" s="11">
        <f>IF(AND(ISNUMBER(P1712),ISNUMBER(Q1712),P1712&gt;0,ISNUMBER($B$100)),Q1712/P1712,"")</f>
        <v/>
      </c>
      <c r="S1712" s="11">
        <f>IF(AND(ISNUMBER(P1712),ISNUMBER(Q1712),P1712&gt;0,ISNUMBER($B$100)),MAX(0,$B$100-3*SQRT($B$100/P1712)),"")</f>
        <v/>
      </c>
      <c r="T1712" s="11">
        <f>IF(AND(ISNUMBER(P1712),ISNUMBER(Q1712),P1712&gt;0,ISNUMBER($B$100)),$B$100+3*SQRT($B$100/P1712),"")</f>
        <v/>
      </c>
      <c r="U1712" s="13">
        <f>IF(AND(ISNUMBER(R1712),ISNUMBER(S1712),ISNUMBER(T1712)),IF(R1712&gt;T1712,"boven UCL",IF(R1712&lt;S1712,"onder LCL","")),"")</f>
        <v/>
      </c>
    </row>
    <row r="1713">
      <c r="A1713" t="n">
        <v>1607</v>
      </c>
      <c r="B1713" s="7" t="n"/>
      <c r="C1713" s="11">
        <f>IF(AND(ISNUMBER(B1713),ISNUMBER(B1712)),ABS(B1713-B1712),"")</f>
        <v/>
      </c>
      <c r="D1713" s="13">
        <f>IF(AND(ISNUMBER(B1713),ISNUMBER($B$88),ISNUMBER($D$88)),IF(B1713&gt;$D$88,"boven UCL",IF(B1713&lt;$B$88,"onder LCL","")),"")</f>
        <v/>
      </c>
      <c r="E1713" s="13">
        <f>IF(AND(ISNUMBER(C1713),ISNUMBER($B$89),ISNUMBER($D$89)),IF(C1713&gt;$D$89,"boven UCL",IF(C1713&lt;$B$89,"onder LCL","")),"")</f>
        <v/>
      </c>
      <c r="G1713" t="n">
        <v>1607</v>
      </c>
      <c r="H1713" s="7" t="n"/>
      <c r="I1713" s="7" t="n"/>
      <c r="J1713" s="11">
        <f>IF(AND(ISNUMBER(H1713),ISNUMBER(I1713),H1713&gt;0,ISNUMBER($B$94)),I1713/H1713,"")</f>
        <v/>
      </c>
      <c r="K1713" s="11">
        <f>IF(AND(ISNUMBER(H1713),ISNUMBER(I1713),H1713&gt;0,ISNUMBER($B$94)),MAX(0,$B$94-3*SQRT($B$94*(1-$B$94)/H1713)),"")</f>
        <v/>
      </c>
      <c r="L1713" s="11">
        <f>IF(AND(ISNUMBER(H1713),ISNUMBER(I1713),H1713&gt;0,ISNUMBER($B$94)),$B$94+3*SQRT($B$94*(1-$B$94)/H1713),"")</f>
        <v/>
      </c>
      <c r="M1713" s="13">
        <f>IF(AND(ISNUMBER(J1713),ISNUMBER(K1713),ISNUMBER(L1713)),IF(J1713&gt;L1713,"boven UCL",IF(J1713&lt;K1713,"onder LCL","")),"")</f>
        <v/>
      </c>
      <c r="O1713" t="n">
        <v>1607</v>
      </c>
      <c r="P1713" s="7" t="n"/>
      <c r="Q1713" s="7" t="n"/>
      <c r="R1713" s="11">
        <f>IF(AND(ISNUMBER(P1713),ISNUMBER(Q1713),P1713&gt;0,ISNUMBER($B$100)),Q1713/P1713,"")</f>
        <v/>
      </c>
      <c r="S1713" s="11">
        <f>IF(AND(ISNUMBER(P1713),ISNUMBER(Q1713),P1713&gt;0,ISNUMBER($B$100)),MAX(0,$B$100-3*SQRT($B$100/P1713)),"")</f>
        <v/>
      </c>
      <c r="T1713" s="11">
        <f>IF(AND(ISNUMBER(P1713),ISNUMBER(Q1713),P1713&gt;0,ISNUMBER($B$100)),$B$100+3*SQRT($B$100/P1713),"")</f>
        <v/>
      </c>
      <c r="U1713" s="13">
        <f>IF(AND(ISNUMBER(R1713),ISNUMBER(S1713),ISNUMBER(T1713)),IF(R1713&gt;T1713,"boven UCL",IF(R1713&lt;S1713,"onder LCL","")),"")</f>
        <v/>
      </c>
    </row>
    <row r="1714">
      <c r="A1714" t="n">
        <v>1608</v>
      </c>
      <c r="B1714" s="7" t="n"/>
      <c r="C1714" s="11">
        <f>IF(AND(ISNUMBER(B1714),ISNUMBER(B1713)),ABS(B1714-B1713),"")</f>
        <v/>
      </c>
      <c r="D1714" s="13">
        <f>IF(AND(ISNUMBER(B1714),ISNUMBER($B$88),ISNUMBER($D$88)),IF(B1714&gt;$D$88,"boven UCL",IF(B1714&lt;$B$88,"onder LCL","")),"")</f>
        <v/>
      </c>
      <c r="E1714" s="13">
        <f>IF(AND(ISNUMBER(C1714),ISNUMBER($B$89),ISNUMBER($D$89)),IF(C1714&gt;$D$89,"boven UCL",IF(C1714&lt;$B$89,"onder LCL","")),"")</f>
        <v/>
      </c>
      <c r="G1714" t="n">
        <v>1608</v>
      </c>
      <c r="H1714" s="7" t="n"/>
      <c r="I1714" s="7" t="n"/>
      <c r="J1714" s="11">
        <f>IF(AND(ISNUMBER(H1714),ISNUMBER(I1714),H1714&gt;0,ISNUMBER($B$94)),I1714/H1714,"")</f>
        <v/>
      </c>
      <c r="K1714" s="11">
        <f>IF(AND(ISNUMBER(H1714),ISNUMBER(I1714),H1714&gt;0,ISNUMBER($B$94)),MAX(0,$B$94-3*SQRT($B$94*(1-$B$94)/H1714)),"")</f>
        <v/>
      </c>
      <c r="L1714" s="11">
        <f>IF(AND(ISNUMBER(H1714),ISNUMBER(I1714),H1714&gt;0,ISNUMBER($B$94)),$B$94+3*SQRT($B$94*(1-$B$94)/H1714),"")</f>
        <v/>
      </c>
      <c r="M1714" s="13">
        <f>IF(AND(ISNUMBER(J1714),ISNUMBER(K1714),ISNUMBER(L1714)),IF(J1714&gt;L1714,"boven UCL",IF(J1714&lt;K1714,"onder LCL","")),"")</f>
        <v/>
      </c>
      <c r="O1714" t="n">
        <v>1608</v>
      </c>
      <c r="P1714" s="7" t="n"/>
      <c r="Q1714" s="7" t="n"/>
      <c r="R1714" s="11">
        <f>IF(AND(ISNUMBER(P1714),ISNUMBER(Q1714),P1714&gt;0,ISNUMBER($B$100)),Q1714/P1714,"")</f>
        <v/>
      </c>
      <c r="S1714" s="11">
        <f>IF(AND(ISNUMBER(P1714),ISNUMBER(Q1714),P1714&gt;0,ISNUMBER($B$100)),MAX(0,$B$100-3*SQRT($B$100/P1714)),"")</f>
        <v/>
      </c>
      <c r="T1714" s="11">
        <f>IF(AND(ISNUMBER(P1714),ISNUMBER(Q1714),P1714&gt;0,ISNUMBER($B$100)),$B$100+3*SQRT($B$100/P1714),"")</f>
        <v/>
      </c>
      <c r="U1714" s="13">
        <f>IF(AND(ISNUMBER(R1714),ISNUMBER(S1714),ISNUMBER(T1714)),IF(R1714&gt;T1714,"boven UCL",IF(R1714&lt;S1714,"onder LCL","")),"")</f>
        <v/>
      </c>
    </row>
    <row r="1715">
      <c r="A1715" t="n">
        <v>1609</v>
      </c>
      <c r="B1715" s="7" t="n"/>
      <c r="C1715" s="11">
        <f>IF(AND(ISNUMBER(B1715),ISNUMBER(B1714)),ABS(B1715-B1714),"")</f>
        <v/>
      </c>
      <c r="D1715" s="13">
        <f>IF(AND(ISNUMBER(B1715),ISNUMBER($B$88),ISNUMBER($D$88)),IF(B1715&gt;$D$88,"boven UCL",IF(B1715&lt;$B$88,"onder LCL","")),"")</f>
        <v/>
      </c>
      <c r="E1715" s="13">
        <f>IF(AND(ISNUMBER(C1715),ISNUMBER($B$89),ISNUMBER($D$89)),IF(C1715&gt;$D$89,"boven UCL",IF(C1715&lt;$B$89,"onder LCL","")),"")</f>
        <v/>
      </c>
      <c r="G1715" t="n">
        <v>1609</v>
      </c>
      <c r="H1715" s="7" t="n"/>
      <c r="I1715" s="7" t="n"/>
      <c r="J1715" s="11">
        <f>IF(AND(ISNUMBER(H1715),ISNUMBER(I1715),H1715&gt;0,ISNUMBER($B$94)),I1715/H1715,"")</f>
        <v/>
      </c>
      <c r="K1715" s="11">
        <f>IF(AND(ISNUMBER(H1715),ISNUMBER(I1715),H1715&gt;0,ISNUMBER($B$94)),MAX(0,$B$94-3*SQRT($B$94*(1-$B$94)/H1715)),"")</f>
        <v/>
      </c>
      <c r="L1715" s="11">
        <f>IF(AND(ISNUMBER(H1715),ISNUMBER(I1715),H1715&gt;0,ISNUMBER($B$94)),$B$94+3*SQRT($B$94*(1-$B$94)/H1715),"")</f>
        <v/>
      </c>
      <c r="M1715" s="13">
        <f>IF(AND(ISNUMBER(J1715),ISNUMBER(K1715),ISNUMBER(L1715)),IF(J1715&gt;L1715,"boven UCL",IF(J1715&lt;K1715,"onder LCL","")),"")</f>
        <v/>
      </c>
      <c r="O1715" t="n">
        <v>1609</v>
      </c>
      <c r="P1715" s="7" t="n"/>
      <c r="Q1715" s="7" t="n"/>
      <c r="R1715" s="11">
        <f>IF(AND(ISNUMBER(P1715),ISNUMBER(Q1715),P1715&gt;0,ISNUMBER($B$100)),Q1715/P1715,"")</f>
        <v/>
      </c>
      <c r="S1715" s="11">
        <f>IF(AND(ISNUMBER(P1715),ISNUMBER(Q1715),P1715&gt;0,ISNUMBER($B$100)),MAX(0,$B$100-3*SQRT($B$100/P1715)),"")</f>
        <v/>
      </c>
      <c r="T1715" s="11">
        <f>IF(AND(ISNUMBER(P1715),ISNUMBER(Q1715),P1715&gt;0,ISNUMBER($B$100)),$B$100+3*SQRT($B$100/P1715),"")</f>
        <v/>
      </c>
      <c r="U1715" s="13">
        <f>IF(AND(ISNUMBER(R1715),ISNUMBER(S1715),ISNUMBER(T1715)),IF(R1715&gt;T1715,"boven UCL",IF(R1715&lt;S1715,"onder LCL","")),"")</f>
        <v/>
      </c>
    </row>
    <row r="1716">
      <c r="A1716" t="n">
        <v>1610</v>
      </c>
      <c r="B1716" s="7" t="n"/>
      <c r="C1716" s="11">
        <f>IF(AND(ISNUMBER(B1716),ISNUMBER(B1715)),ABS(B1716-B1715),"")</f>
        <v/>
      </c>
      <c r="D1716" s="13">
        <f>IF(AND(ISNUMBER(B1716),ISNUMBER($B$88),ISNUMBER($D$88)),IF(B1716&gt;$D$88,"boven UCL",IF(B1716&lt;$B$88,"onder LCL","")),"")</f>
        <v/>
      </c>
      <c r="E1716" s="13">
        <f>IF(AND(ISNUMBER(C1716),ISNUMBER($B$89),ISNUMBER($D$89)),IF(C1716&gt;$D$89,"boven UCL",IF(C1716&lt;$B$89,"onder LCL","")),"")</f>
        <v/>
      </c>
      <c r="G1716" t="n">
        <v>1610</v>
      </c>
      <c r="H1716" s="7" t="n"/>
      <c r="I1716" s="7" t="n"/>
      <c r="J1716" s="11">
        <f>IF(AND(ISNUMBER(H1716),ISNUMBER(I1716),H1716&gt;0,ISNUMBER($B$94)),I1716/H1716,"")</f>
        <v/>
      </c>
      <c r="K1716" s="11">
        <f>IF(AND(ISNUMBER(H1716),ISNUMBER(I1716),H1716&gt;0,ISNUMBER($B$94)),MAX(0,$B$94-3*SQRT($B$94*(1-$B$94)/H1716)),"")</f>
        <v/>
      </c>
      <c r="L1716" s="11">
        <f>IF(AND(ISNUMBER(H1716),ISNUMBER(I1716),H1716&gt;0,ISNUMBER($B$94)),$B$94+3*SQRT($B$94*(1-$B$94)/H1716),"")</f>
        <v/>
      </c>
      <c r="M1716" s="13">
        <f>IF(AND(ISNUMBER(J1716),ISNUMBER(K1716),ISNUMBER(L1716)),IF(J1716&gt;L1716,"boven UCL",IF(J1716&lt;K1716,"onder LCL","")),"")</f>
        <v/>
      </c>
      <c r="O1716" t="n">
        <v>1610</v>
      </c>
      <c r="P1716" s="7" t="n"/>
      <c r="Q1716" s="7" t="n"/>
      <c r="R1716" s="11">
        <f>IF(AND(ISNUMBER(P1716),ISNUMBER(Q1716),P1716&gt;0,ISNUMBER($B$100)),Q1716/P1716,"")</f>
        <v/>
      </c>
      <c r="S1716" s="11">
        <f>IF(AND(ISNUMBER(P1716),ISNUMBER(Q1716),P1716&gt;0,ISNUMBER($B$100)),MAX(0,$B$100-3*SQRT($B$100/P1716)),"")</f>
        <v/>
      </c>
      <c r="T1716" s="11">
        <f>IF(AND(ISNUMBER(P1716),ISNUMBER(Q1716),P1716&gt;0,ISNUMBER($B$100)),$B$100+3*SQRT($B$100/P1716),"")</f>
        <v/>
      </c>
      <c r="U1716" s="13">
        <f>IF(AND(ISNUMBER(R1716),ISNUMBER(S1716),ISNUMBER(T1716)),IF(R1716&gt;T1716,"boven UCL",IF(R1716&lt;S1716,"onder LCL","")),"")</f>
        <v/>
      </c>
    </row>
    <row r="1717">
      <c r="A1717" t="n">
        <v>1611</v>
      </c>
      <c r="B1717" s="7" t="n"/>
      <c r="C1717" s="11">
        <f>IF(AND(ISNUMBER(B1717),ISNUMBER(B1716)),ABS(B1717-B1716),"")</f>
        <v/>
      </c>
      <c r="D1717" s="13">
        <f>IF(AND(ISNUMBER(B1717),ISNUMBER($B$88),ISNUMBER($D$88)),IF(B1717&gt;$D$88,"boven UCL",IF(B1717&lt;$B$88,"onder LCL","")),"")</f>
        <v/>
      </c>
      <c r="E1717" s="13">
        <f>IF(AND(ISNUMBER(C1717),ISNUMBER($B$89),ISNUMBER($D$89)),IF(C1717&gt;$D$89,"boven UCL",IF(C1717&lt;$B$89,"onder LCL","")),"")</f>
        <v/>
      </c>
      <c r="G1717" t="n">
        <v>1611</v>
      </c>
      <c r="H1717" s="7" t="n"/>
      <c r="I1717" s="7" t="n"/>
      <c r="J1717" s="11">
        <f>IF(AND(ISNUMBER(H1717),ISNUMBER(I1717),H1717&gt;0,ISNUMBER($B$94)),I1717/H1717,"")</f>
        <v/>
      </c>
      <c r="K1717" s="11">
        <f>IF(AND(ISNUMBER(H1717),ISNUMBER(I1717),H1717&gt;0,ISNUMBER($B$94)),MAX(0,$B$94-3*SQRT($B$94*(1-$B$94)/H1717)),"")</f>
        <v/>
      </c>
      <c r="L1717" s="11">
        <f>IF(AND(ISNUMBER(H1717),ISNUMBER(I1717),H1717&gt;0,ISNUMBER($B$94)),$B$94+3*SQRT($B$94*(1-$B$94)/H1717),"")</f>
        <v/>
      </c>
      <c r="M1717" s="13">
        <f>IF(AND(ISNUMBER(J1717),ISNUMBER(K1717),ISNUMBER(L1717)),IF(J1717&gt;L1717,"boven UCL",IF(J1717&lt;K1717,"onder LCL","")),"")</f>
        <v/>
      </c>
      <c r="O1717" t="n">
        <v>1611</v>
      </c>
      <c r="P1717" s="7" t="n"/>
      <c r="Q1717" s="7" t="n"/>
      <c r="R1717" s="11">
        <f>IF(AND(ISNUMBER(P1717),ISNUMBER(Q1717),P1717&gt;0,ISNUMBER($B$100)),Q1717/P1717,"")</f>
        <v/>
      </c>
      <c r="S1717" s="11">
        <f>IF(AND(ISNUMBER(P1717),ISNUMBER(Q1717),P1717&gt;0,ISNUMBER($B$100)),MAX(0,$B$100-3*SQRT($B$100/P1717)),"")</f>
        <v/>
      </c>
      <c r="T1717" s="11">
        <f>IF(AND(ISNUMBER(P1717),ISNUMBER(Q1717),P1717&gt;0,ISNUMBER($B$100)),$B$100+3*SQRT($B$100/P1717),"")</f>
        <v/>
      </c>
      <c r="U1717" s="13">
        <f>IF(AND(ISNUMBER(R1717),ISNUMBER(S1717),ISNUMBER(T1717)),IF(R1717&gt;T1717,"boven UCL",IF(R1717&lt;S1717,"onder LCL","")),"")</f>
        <v/>
      </c>
    </row>
    <row r="1718">
      <c r="A1718" t="n">
        <v>1612</v>
      </c>
      <c r="B1718" s="7" t="n"/>
      <c r="C1718" s="11">
        <f>IF(AND(ISNUMBER(B1718),ISNUMBER(B1717)),ABS(B1718-B1717),"")</f>
        <v/>
      </c>
      <c r="D1718" s="13">
        <f>IF(AND(ISNUMBER(B1718),ISNUMBER($B$88),ISNUMBER($D$88)),IF(B1718&gt;$D$88,"boven UCL",IF(B1718&lt;$B$88,"onder LCL","")),"")</f>
        <v/>
      </c>
      <c r="E1718" s="13">
        <f>IF(AND(ISNUMBER(C1718),ISNUMBER($B$89),ISNUMBER($D$89)),IF(C1718&gt;$D$89,"boven UCL",IF(C1718&lt;$B$89,"onder LCL","")),"")</f>
        <v/>
      </c>
      <c r="G1718" t="n">
        <v>1612</v>
      </c>
      <c r="H1718" s="7" t="n"/>
      <c r="I1718" s="7" t="n"/>
      <c r="J1718" s="11">
        <f>IF(AND(ISNUMBER(H1718),ISNUMBER(I1718),H1718&gt;0,ISNUMBER($B$94)),I1718/H1718,"")</f>
        <v/>
      </c>
      <c r="K1718" s="11">
        <f>IF(AND(ISNUMBER(H1718),ISNUMBER(I1718),H1718&gt;0,ISNUMBER($B$94)),MAX(0,$B$94-3*SQRT($B$94*(1-$B$94)/H1718)),"")</f>
        <v/>
      </c>
      <c r="L1718" s="11">
        <f>IF(AND(ISNUMBER(H1718),ISNUMBER(I1718),H1718&gt;0,ISNUMBER($B$94)),$B$94+3*SQRT($B$94*(1-$B$94)/H1718),"")</f>
        <v/>
      </c>
      <c r="M1718" s="13">
        <f>IF(AND(ISNUMBER(J1718),ISNUMBER(K1718),ISNUMBER(L1718)),IF(J1718&gt;L1718,"boven UCL",IF(J1718&lt;K1718,"onder LCL","")),"")</f>
        <v/>
      </c>
      <c r="O1718" t="n">
        <v>1612</v>
      </c>
      <c r="P1718" s="7" t="n"/>
      <c r="Q1718" s="7" t="n"/>
      <c r="R1718" s="11">
        <f>IF(AND(ISNUMBER(P1718),ISNUMBER(Q1718),P1718&gt;0,ISNUMBER($B$100)),Q1718/P1718,"")</f>
        <v/>
      </c>
      <c r="S1718" s="11">
        <f>IF(AND(ISNUMBER(P1718),ISNUMBER(Q1718),P1718&gt;0,ISNUMBER($B$100)),MAX(0,$B$100-3*SQRT($B$100/P1718)),"")</f>
        <v/>
      </c>
      <c r="T1718" s="11">
        <f>IF(AND(ISNUMBER(P1718),ISNUMBER(Q1718),P1718&gt;0,ISNUMBER($B$100)),$B$100+3*SQRT($B$100/P1718),"")</f>
        <v/>
      </c>
      <c r="U1718" s="13">
        <f>IF(AND(ISNUMBER(R1718),ISNUMBER(S1718),ISNUMBER(T1718)),IF(R1718&gt;T1718,"boven UCL",IF(R1718&lt;S1718,"onder LCL","")),"")</f>
        <v/>
      </c>
    </row>
    <row r="1719">
      <c r="A1719" t="n">
        <v>1613</v>
      </c>
      <c r="B1719" s="7" t="n"/>
      <c r="C1719" s="11">
        <f>IF(AND(ISNUMBER(B1719),ISNUMBER(B1718)),ABS(B1719-B1718),"")</f>
        <v/>
      </c>
      <c r="D1719" s="13">
        <f>IF(AND(ISNUMBER(B1719),ISNUMBER($B$88),ISNUMBER($D$88)),IF(B1719&gt;$D$88,"boven UCL",IF(B1719&lt;$B$88,"onder LCL","")),"")</f>
        <v/>
      </c>
      <c r="E1719" s="13">
        <f>IF(AND(ISNUMBER(C1719),ISNUMBER($B$89),ISNUMBER($D$89)),IF(C1719&gt;$D$89,"boven UCL",IF(C1719&lt;$B$89,"onder LCL","")),"")</f>
        <v/>
      </c>
      <c r="G1719" t="n">
        <v>1613</v>
      </c>
      <c r="H1719" s="7" t="n"/>
      <c r="I1719" s="7" t="n"/>
      <c r="J1719" s="11">
        <f>IF(AND(ISNUMBER(H1719),ISNUMBER(I1719),H1719&gt;0,ISNUMBER($B$94)),I1719/H1719,"")</f>
        <v/>
      </c>
      <c r="K1719" s="11">
        <f>IF(AND(ISNUMBER(H1719),ISNUMBER(I1719),H1719&gt;0,ISNUMBER($B$94)),MAX(0,$B$94-3*SQRT($B$94*(1-$B$94)/H1719)),"")</f>
        <v/>
      </c>
      <c r="L1719" s="11">
        <f>IF(AND(ISNUMBER(H1719),ISNUMBER(I1719),H1719&gt;0,ISNUMBER($B$94)),$B$94+3*SQRT($B$94*(1-$B$94)/H1719),"")</f>
        <v/>
      </c>
      <c r="M1719" s="13">
        <f>IF(AND(ISNUMBER(J1719),ISNUMBER(K1719),ISNUMBER(L1719)),IF(J1719&gt;L1719,"boven UCL",IF(J1719&lt;K1719,"onder LCL","")),"")</f>
        <v/>
      </c>
      <c r="O1719" t="n">
        <v>1613</v>
      </c>
      <c r="P1719" s="7" t="n"/>
      <c r="Q1719" s="7" t="n"/>
      <c r="R1719" s="11">
        <f>IF(AND(ISNUMBER(P1719),ISNUMBER(Q1719),P1719&gt;0,ISNUMBER($B$100)),Q1719/P1719,"")</f>
        <v/>
      </c>
      <c r="S1719" s="11">
        <f>IF(AND(ISNUMBER(P1719),ISNUMBER(Q1719),P1719&gt;0,ISNUMBER($B$100)),MAX(0,$B$100-3*SQRT($B$100/P1719)),"")</f>
        <v/>
      </c>
      <c r="T1719" s="11">
        <f>IF(AND(ISNUMBER(P1719),ISNUMBER(Q1719),P1719&gt;0,ISNUMBER($B$100)),$B$100+3*SQRT($B$100/P1719),"")</f>
        <v/>
      </c>
      <c r="U1719" s="13">
        <f>IF(AND(ISNUMBER(R1719),ISNUMBER(S1719),ISNUMBER(T1719)),IF(R1719&gt;T1719,"boven UCL",IF(R1719&lt;S1719,"onder LCL","")),"")</f>
        <v/>
      </c>
    </row>
    <row r="1720">
      <c r="A1720" t="n">
        <v>1614</v>
      </c>
      <c r="B1720" s="7" t="n"/>
      <c r="C1720" s="11">
        <f>IF(AND(ISNUMBER(B1720),ISNUMBER(B1719)),ABS(B1720-B1719),"")</f>
        <v/>
      </c>
      <c r="D1720" s="13">
        <f>IF(AND(ISNUMBER(B1720),ISNUMBER($B$88),ISNUMBER($D$88)),IF(B1720&gt;$D$88,"boven UCL",IF(B1720&lt;$B$88,"onder LCL","")),"")</f>
        <v/>
      </c>
      <c r="E1720" s="13">
        <f>IF(AND(ISNUMBER(C1720),ISNUMBER($B$89),ISNUMBER($D$89)),IF(C1720&gt;$D$89,"boven UCL",IF(C1720&lt;$B$89,"onder LCL","")),"")</f>
        <v/>
      </c>
      <c r="G1720" t="n">
        <v>1614</v>
      </c>
      <c r="H1720" s="7" t="n"/>
      <c r="I1720" s="7" t="n"/>
      <c r="J1720" s="11">
        <f>IF(AND(ISNUMBER(H1720),ISNUMBER(I1720),H1720&gt;0,ISNUMBER($B$94)),I1720/H1720,"")</f>
        <v/>
      </c>
      <c r="K1720" s="11">
        <f>IF(AND(ISNUMBER(H1720),ISNUMBER(I1720),H1720&gt;0,ISNUMBER($B$94)),MAX(0,$B$94-3*SQRT($B$94*(1-$B$94)/H1720)),"")</f>
        <v/>
      </c>
      <c r="L1720" s="11">
        <f>IF(AND(ISNUMBER(H1720),ISNUMBER(I1720),H1720&gt;0,ISNUMBER($B$94)),$B$94+3*SQRT($B$94*(1-$B$94)/H1720),"")</f>
        <v/>
      </c>
      <c r="M1720" s="13">
        <f>IF(AND(ISNUMBER(J1720),ISNUMBER(K1720),ISNUMBER(L1720)),IF(J1720&gt;L1720,"boven UCL",IF(J1720&lt;K1720,"onder LCL","")),"")</f>
        <v/>
      </c>
      <c r="O1720" t="n">
        <v>1614</v>
      </c>
      <c r="P1720" s="7" t="n"/>
      <c r="Q1720" s="7" t="n"/>
      <c r="R1720" s="11">
        <f>IF(AND(ISNUMBER(P1720),ISNUMBER(Q1720),P1720&gt;0,ISNUMBER($B$100)),Q1720/P1720,"")</f>
        <v/>
      </c>
      <c r="S1720" s="11">
        <f>IF(AND(ISNUMBER(P1720),ISNUMBER(Q1720),P1720&gt;0,ISNUMBER($B$100)),MAX(0,$B$100-3*SQRT($B$100/P1720)),"")</f>
        <v/>
      </c>
      <c r="T1720" s="11">
        <f>IF(AND(ISNUMBER(P1720),ISNUMBER(Q1720),P1720&gt;0,ISNUMBER($B$100)),$B$100+3*SQRT($B$100/P1720),"")</f>
        <v/>
      </c>
      <c r="U1720" s="13">
        <f>IF(AND(ISNUMBER(R1720),ISNUMBER(S1720),ISNUMBER(T1720)),IF(R1720&gt;T1720,"boven UCL",IF(R1720&lt;S1720,"onder LCL","")),"")</f>
        <v/>
      </c>
    </row>
    <row r="1721">
      <c r="A1721" t="n">
        <v>1615</v>
      </c>
      <c r="B1721" s="7" t="n"/>
      <c r="C1721" s="11">
        <f>IF(AND(ISNUMBER(B1721),ISNUMBER(B1720)),ABS(B1721-B1720),"")</f>
        <v/>
      </c>
      <c r="D1721" s="13">
        <f>IF(AND(ISNUMBER(B1721),ISNUMBER($B$88),ISNUMBER($D$88)),IF(B1721&gt;$D$88,"boven UCL",IF(B1721&lt;$B$88,"onder LCL","")),"")</f>
        <v/>
      </c>
      <c r="E1721" s="13">
        <f>IF(AND(ISNUMBER(C1721),ISNUMBER($B$89),ISNUMBER($D$89)),IF(C1721&gt;$D$89,"boven UCL",IF(C1721&lt;$B$89,"onder LCL","")),"")</f>
        <v/>
      </c>
      <c r="G1721" t="n">
        <v>1615</v>
      </c>
      <c r="H1721" s="7" t="n"/>
      <c r="I1721" s="7" t="n"/>
      <c r="J1721" s="11">
        <f>IF(AND(ISNUMBER(H1721),ISNUMBER(I1721),H1721&gt;0,ISNUMBER($B$94)),I1721/H1721,"")</f>
        <v/>
      </c>
      <c r="K1721" s="11">
        <f>IF(AND(ISNUMBER(H1721),ISNUMBER(I1721),H1721&gt;0,ISNUMBER($B$94)),MAX(0,$B$94-3*SQRT($B$94*(1-$B$94)/H1721)),"")</f>
        <v/>
      </c>
      <c r="L1721" s="11">
        <f>IF(AND(ISNUMBER(H1721),ISNUMBER(I1721),H1721&gt;0,ISNUMBER($B$94)),$B$94+3*SQRT($B$94*(1-$B$94)/H1721),"")</f>
        <v/>
      </c>
      <c r="M1721" s="13">
        <f>IF(AND(ISNUMBER(J1721),ISNUMBER(K1721),ISNUMBER(L1721)),IF(J1721&gt;L1721,"boven UCL",IF(J1721&lt;K1721,"onder LCL","")),"")</f>
        <v/>
      </c>
      <c r="O1721" t="n">
        <v>1615</v>
      </c>
      <c r="P1721" s="7" t="n"/>
      <c r="Q1721" s="7" t="n"/>
      <c r="R1721" s="11">
        <f>IF(AND(ISNUMBER(P1721),ISNUMBER(Q1721),P1721&gt;0,ISNUMBER($B$100)),Q1721/P1721,"")</f>
        <v/>
      </c>
      <c r="S1721" s="11">
        <f>IF(AND(ISNUMBER(P1721),ISNUMBER(Q1721),P1721&gt;0,ISNUMBER($B$100)),MAX(0,$B$100-3*SQRT($B$100/P1721)),"")</f>
        <v/>
      </c>
      <c r="T1721" s="11">
        <f>IF(AND(ISNUMBER(P1721),ISNUMBER(Q1721),P1721&gt;0,ISNUMBER($B$100)),$B$100+3*SQRT($B$100/P1721),"")</f>
        <v/>
      </c>
      <c r="U1721" s="13">
        <f>IF(AND(ISNUMBER(R1721),ISNUMBER(S1721),ISNUMBER(T1721)),IF(R1721&gt;T1721,"boven UCL",IF(R1721&lt;S1721,"onder LCL","")),"")</f>
        <v/>
      </c>
    </row>
    <row r="1722">
      <c r="A1722" t="n">
        <v>1616</v>
      </c>
      <c r="B1722" s="7" t="n"/>
      <c r="C1722" s="11">
        <f>IF(AND(ISNUMBER(B1722),ISNUMBER(B1721)),ABS(B1722-B1721),"")</f>
        <v/>
      </c>
      <c r="D1722" s="13">
        <f>IF(AND(ISNUMBER(B1722),ISNUMBER($B$88),ISNUMBER($D$88)),IF(B1722&gt;$D$88,"boven UCL",IF(B1722&lt;$B$88,"onder LCL","")),"")</f>
        <v/>
      </c>
      <c r="E1722" s="13">
        <f>IF(AND(ISNUMBER(C1722),ISNUMBER($B$89),ISNUMBER($D$89)),IF(C1722&gt;$D$89,"boven UCL",IF(C1722&lt;$B$89,"onder LCL","")),"")</f>
        <v/>
      </c>
      <c r="G1722" t="n">
        <v>1616</v>
      </c>
      <c r="H1722" s="7" t="n"/>
      <c r="I1722" s="7" t="n"/>
      <c r="J1722" s="11">
        <f>IF(AND(ISNUMBER(H1722),ISNUMBER(I1722),H1722&gt;0,ISNUMBER($B$94)),I1722/H1722,"")</f>
        <v/>
      </c>
      <c r="K1722" s="11">
        <f>IF(AND(ISNUMBER(H1722),ISNUMBER(I1722),H1722&gt;0,ISNUMBER($B$94)),MAX(0,$B$94-3*SQRT($B$94*(1-$B$94)/H1722)),"")</f>
        <v/>
      </c>
      <c r="L1722" s="11">
        <f>IF(AND(ISNUMBER(H1722),ISNUMBER(I1722),H1722&gt;0,ISNUMBER($B$94)),$B$94+3*SQRT($B$94*(1-$B$94)/H1722),"")</f>
        <v/>
      </c>
      <c r="M1722" s="13">
        <f>IF(AND(ISNUMBER(J1722),ISNUMBER(K1722),ISNUMBER(L1722)),IF(J1722&gt;L1722,"boven UCL",IF(J1722&lt;K1722,"onder LCL","")),"")</f>
        <v/>
      </c>
      <c r="O1722" t="n">
        <v>1616</v>
      </c>
      <c r="P1722" s="7" t="n"/>
      <c r="Q1722" s="7" t="n"/>
      <c r="R1722" s="11">
        <f>IF(AND(ISNUMBER(P1722),ISNUMBER(Q1722),P1722&gt;0,ISNUMBER($B$100)),Q1722/P1722,"")</f>
        <v/>
      </c>
      <c r="S1722" s="11">
        <f>IF(AND(ISNUMBER(P1722),ISNUMBER(Q1722),P1722&gt;0,ISNUMBER($B$100)),MAX(0,$B$100-3*SQRT($B$100/P1722)),"")</f>
        <v/>
      </c>
      <c r="T1722" s="11">
        <f>IF(AND(ISNUMBER(P1722),ISNUMBER(Q1722),P1722&gt;0,ISNUMBER($B$100)),$B$100+3*SQRT($B$100/P1722),"")</f>
        <v/>
      </c>
      <c r="U1722" s="13">
        <f>IF(AND(ISNUMBER(R1722),ISNUMBER(S1722),ISNUMBER(T1722)),IF(R1722&gt;T1722,"boven UCL",IF(R1722&lt;S1722,"onder LCL","")),"")</f>
        <v/>
      </c>
    </row>
    <row r="1723">
      <c r="A1723" t="n">
        <v>1617</v>
      </c>
      <c r="B1723" s="7" t="n"/>
      <c r="C1723" s="11">
        <f>IF(AND(ISNUMBER(B1723),ISNUMBER(B1722)),ABS(B1723-B1722),"")</f>
        <v/>
      </c>
      <c r="D1723" s="13">
        <f>IF(AND(ISNUMBER(B1723),ISNUMBER($B$88),ISNUMBER($D$88)),IF(B1723&gt;$D$88,"boven UCL",IF(B1723&lt;$B$88,"onder LCL","")),"")</f>
        <v/>
      </c>
      <c r="E1723" s="13">
        <f>IF(AND(ISNUMBER(C1723),ISNUMBER($B$89),ISNUMBER($D$89)),IF(C1723&gt;$D$89,"boven UCL",IF(C1723&lt;$B$89,"onder LCL","")),"")</f>
        <v/>
      </c>
      <c r="G1723" t="n">
        <v>1617</v>
      </c>
      <c r="H1723" s="7" t="n"/>
      <c r="I1723" s="7" t="n"/>
      <c r="J1723" s="11">
        <f>IF(AND(ISNUMBER(H1723),ISNUMBER(I1723),H1723&gt;0,ISNUMBER($B$94)),I1723/H1723,"")</f>
        <v/>
      </c>
      <c r="K1723" s="11">
        <f>IF(AND(ISNUMBER(H1723),ISNUMBER(I1723),H1723&gt;0,ISNUMBER($B$94)),MAX(0,$B$94-3*SQRT($B$94*(1-$B$94)/H1723)),"")</f>
        <v/>
      </c>
      <c r="L1723" s="11">
        <f>IF(AND(ISNUMBER(H1723),ISNUMBER(I1723),H1723&gt;0,ISNUMBER($B$94)),$B$94+3*SQRT($B$94*(1-$B$94)/H1723),"")</f>
        <v/>
      </c>
      <c r="M1723" s="13">
        <f>IF(AND(ISNUMBER(J1723),ISNUMBER(K1723),ISNUMBER(L1723)),IF(J1723&gt;L1723,"boven UCL",IF(J1723&lt;K1723,"onder LCL","")),"")</f>
        <v/>
      </c>
      <c r="O1723" t="n">
        <v>1617</v>
      </c>
      <c r="P1723" s="7" t="n"/>
      <c r="Q1723" s="7" t="n"/>
      <c r="R1723" s="11">
        <f>IF(AND(ISNUMBER(P1723),ISNUMBER(Q1723),P1723&gt;0,ISNUMBER($B$100)),Q1723/P1723,"")</f>
        <v/>
      </c>
      <c r="S1723" s="11">
        <f>IF(AND(ISNUMBER(P1723),ISNUMBER(Q1723),P1723&gt;0,ISNUMBER($B$100)),MAX(0,$B$100-3*SQRT($B$100/P1723)),"")</f>
        <v/>
      </c>
      <c r="T1723" s="11">
        <f>IF(AND(ISNUMBER(P1723),ISNUMBER(Q1723),P1723&gt;0,ISNUMBER($B$100)),$B$100+3*SQRT($B$100/P1723),"")</f>
        <v/>
      </c>
      <c r="U1723" s="13">
        <f>IF(AND(ISNUMBER(R1723),ISNUMBER(S1723),ISNUMBER(T1723)),IF(R1723&gt;T1723,"boven UCL",IF(R1723&lt;S1723,"onder LCL","")),"")</f>
        <v/>
      </c>
    </row>
    <row r="1724">
      <c r="A1724" t="n">
        <v>1618</v>
      </c>
      <c r="B1724" s="7" t="n"/>
      <c r="C1724" s="11">
        <f>IF(AND(ISNUMBER(B1724),ISNUMBER(B1723)),ABS(B1724-B1723),"")</f>
        <v/>
      </c>
      <c r="D1724" s="13">
        <f>IF(AND(ISNUMBER(B1724),ISNUMBER($B$88),ISNUMBER($D$88)),IF(B1724&gt;$D$88,"boven UCL",IF(B1724&lt;$B$88,"onder LCL","")),"")</f>
        <v/>
      </c>
      <c r="E1724" s="13">
        <f>IF(AND(ISNUMBER(C1724),ISNUMBER($B$89),ISNUMBER($D$89)),IF(C1724&gt;$D$89,"boven UCL",IF(C1724&lt;$B$89,"onder LCL","")),"")</f>
        <v/>
      </c>
      <c r="G1724" t="n">
        <v>1618</v>
      </c>
      <c r="H1724" s="7" t="n"/>
      <c r="I1724" s="7" t="n"/>
      <c r="J1724" s="11">
        <f>IF(AND(ISNUMBER(H1724),ISNUMBER(I1724),H1724&gt;0,ISNUMBER($B$94)),I1724/H1724,"")</f>
        <v/>
      </c>
      <c r="K1724" s="11">
        <f>IF(AND(ISNUMBER(H1724),ISNUMBER(I1724),H1724&gt;0,ISNUMBER($B$94)),MAX(0,$B$94-3*SQRT($B$94*(1-$B$94)/H1724)),"")</f>
        <v/>
      </c>
      <c r="L1724" s="11">
        <f>IF(AND(ISNUMBER(H1724),ISNUMBER(I1724),H1724&gt;0,ISNUMBER($B$94)),$B$94+3*SQRT($B$94*(1-$B$94)/H1724),"")</f>
        <v/>
      </c>
      <c r="M1724" s="13">
        <f>IF(AND(ISNUMBER(J1724),ISNUMBER(K1724),ISNUMBER(L1724)),IF(J1724&gt;L1724,"boven UCL",IF(J1724&lt;K1724,"onder LCL","")),"")</f>
        <v/>
      </c>
      <c r="O1724" t="n">
        <v>1618</v>
      </c>
      <c r="P1724" s="7" t="n"/>
      <c r="Q1724" s="7" t="n"/>
      <c r="R1724" s="11">
        <f>IF(AND(ISNUMBER(P1724),ISNUMBER(Q1724),P1724&gt;0,ISNUMBER($B$100)),Q1724/P1724,"")</f>
        <v/>
      </c>
      <c r="S1724" s="11">
        <f>IF(AND(ISNUMBER(P1724),ISNUMBER(Q1724),P1724&gt;0,ISNUMBER($B$100)),MAX(0,$B$100-3*SQRT($B$100/P1724)),"")</f>
        <v/>
      </c>
      <c r="T1724" s="11">
        <f>IF(AND(ISNUMBER(P1724),ISNUMBER(Q1724),P1724&gt;0,ISNUMBER($B$100)),$B$100+3*SQRT($B$100/P1724),"")</f>
        <v/>
      </c>
      <c r="U1724" s="13">
        <f>IF(AND(ISNUMBER(R1724),ISNUMBER(S1724),ISNUMBER(T1724)),IF(R1724&gt;T1724,"boven UCL",IF(R1724&lt;S1724,"onder LCL","")),"")</f>
        <v/>
      </c>
    </row>
    <row r="1725">
      <c r="A1725" t="n">
        <v>1619</v>
      </c>
      <c r="B1725" s="7" t="n"/>
      <c r="C1725" s="11">
        <f>IF(AND(ISNUMBER(B1725),ISNUMBER(B1724)),ABS(B1725-B1724),"")</f>
        <v/>
      </c>
      <c r="D1725" s="13">
        <f>IF(AND(ISNUMBER(B1725),ISNUMBER($B$88),ISNUMBER($D$88)),IF(B1725&gt;$D$88,"boven UCL",IF(B1725&lt;$B$88,"onder LCL","")),"")</f>
        <v/>
      </c>
      <c r="E1725" s="13">
        <f>IF(AND(ISNUMBER(C1725),ISNUMBER($B$89),ISNUMBER($D$89)),IF(C1725&gt;$D$89,"boven UCL",IF(C1725&lt;$B$89,"onder LCL","")),"")</f>
        <v/>
      </c>
      <c r="G1725" t="n">
        <v>1619</v>
      </c>
      <c r="H1725" s="7" t="n"/>
      <c r="I1725" s="7" t="n"/>
      <c r="J1725" s="11">
        <f>IF(AND(ISNUMBER(H1725),ISNUMBER(I1725),H1725&gt;0,ISNUMBER($B$94)),I1725/H1725,"")</f>
        <v/>
      </c>
      <c r="K1725" s="11">
        <f>IF(AND(ISNUMBER(H1725),ISNUMBER(I1725),H1725&gt;0,ISNUMBER($B$94)),MAX(0,$B$94-3*SQRT($B$94*(1-$B$94)/H1725)),"")</f>
        <v/>
      </c>
      <c r="L1725" s="11">
        <f>IF(AND(ISNUMBER(H1725),ISNUMBER(I1725),H1725&gt;0,ISNUMBER($B$94)),$B$94+3*SQRT($B$94*(1-$B$94)/H1725),"")</f>
        <v/>
      </c>
      <c r="M1725" s="13">
        <f>IF(AND(ISNUMBER(J1725),ISNUMBER(K1725),ISNUMBER(L1725)),IF(J1725&gt;L1725,"boven UCL",IF(J1725&lt;K1725,"onder LCL","")),"")</f>
        <v/>
      </c>
      <c r="O1725" t="n">
        <v>1619</v>
      </c>
      <c r="P1725" s="7" t="n"/>
      <c r="Q1725" s="7" t="n"/>
      <c r="R1725" s="11">
        <f>IF(AND(ISNUMBER(P1725),ISNUMBER(Q1725),P1725&gt;0,ISNUMBER($B$100)),Q1725/P1725,"")</f>
        <v/>
      </c>
      <c r="S1725" s="11">
        <f>IF(AND(ISNUMBER(P1725),ISNUMBER(Q1725),P1725&gt;0,ISNUMBER($B$100)),MAX(0,$B$100-3*SQRT($B$100/P1725)),"")</f>
        <v/>
      </c>
      <c r="T1725" s="11">
        <f>IF(AND(ISNUMBER(P1725),ISNUMBER(Q1725),P1725&gt;0,ISNUMBER($B$100)),$B$100+3*SQRT($B$100/P1725),"")</f>
        <v/>
      </c>
      <c r="U1725" s="13">
        <f>IF(AND(ISNUMBER(R1725),ISNUMBER(S1725),ISNUMBER(T1725)),IF(R1725&gt;T1725,"boven UCL",IF(R1725&lt;S1725,"onder LCL","")),"")</f>
        <v/>
      </c>
    </row>
    <row r="1726">
      <c r="A1726" t="n">
        <v>1620</v>
      </c>
      <c r="B1726" s="7" t="n"/>
      <c r="C1726" s="11">
        <f>IF(AND(ISNUMBER(B1726),ISNUMBER(B1725)),ABS(B1726-B1725),"")</f>
        <v/>
      </c>
      <c r="D1726" s="13">
        <f>IF(AND(ISNUMBER(B1726),ISNUMBER($B$88),ISNUMBER($D$88)),IF(B1726&gt;$D$88,"boven UCL",IF(B1726&lt;$B$88,"onder LCL","")),"")</f>
        <v/>
      </c>
      <c r="E1726" s="13">
        <f>IF(AND(ISNUMBER(C1726),ISNUMBER($B$89),ISNUMBER($D$89)),IF(C1726&gt;$D$89,"boven UCL",IF(C1726&lt;$B$89,"onder LCL","")),"")</f>
        <v/>
      </c>
      <c r="G1726" t="n">
        <v>1620</v>
      </c>
      <c r="H1726" s="7" t="n"/>
      <c r="I1726" s="7" t="n"/>
      <c r="J1726" s="11">
        <f>IF(AND(ISNUMBER(H1726),ISNUMBER(I1726),H1726&gt;0,ISNUMBER($B$94)),I1726/H1726,"")</f>
        <v/>
      </c>
      <c r="K1726" s="11">
        <f>IF(AND(ISNUMBER(H1726),ISNUMBER(I1726),H1726&gt;0,ISNUMBER($B$94)),MAX(0,$B$94-3*SQRT($B$94*(1-$B$94)/H1726)),"")</f>
        <v/>
      </c>
      <c r="L1726" s="11">
        <f>IF(AND(ISNUMBER(H1726),ISNUMBER(I1726),H1726&gt;0,ISNUMBER($B$94)),$B$94+3*SQRT($B$94*(1-$B$94)/H1726),"")</f>
        <v/>
      </c>
      <c r="M1726" s="13">
        <f>IF(AND(ISNUMBER(J1726),ISNUMBER(K1726),ISNUMBER(L1726)),IF(J1726&gt;L1726,"boven UCL",IF(J1726&lt;K1726,"onder LCL","")),"")</f>
        <v/>
      </c>
      <c r="O1726" t="n">
        <v>1620</v>
      </c>
      <c r="P1726" s="7" t="n"/>
      <c r="Q1726" s="7" t="n"/>
      <c r="R1726" s="11">
        <f>IF(AND(ISNUMBER(P1726),ISNUMBER(Q1726),P1726&gt;0,ISNUMBER($B$100)),Q1726/P1726,"")</f>
        <v/>
      </c>
      <c r="S1726" s="11">
        <f>IF(AND(ISNUMBER(P1726),ISNUMBER(Q1726),P1726&gt;0,ISNUMBER($B$100)),MAX(0,$B$100-3*SQRT($B$100/P1726)),"")</f>
        <v/>
      </c>
      <c r="T1726" s="11">
        <f>IF(AND(ISNUMBER(P1726),ISNUMBER(Q1726),P1726&gt;0,ISNUMBER($B$100)),$B$100+3*SQRT($B$100/P1726),"")</f>
        <v/>
      </c>
      <c r="U1726" s="13">
        <f>IF(AND(ISNUMBER(R1726),ISNUMBER(S1726),ISNUMBER(T1726)),IF(R1726&gt;T1726,"boven UCL",IF(R1726&lt;S1726,"onder LCL","")),"")</f>
        <v/>
      </c>
    </row>
    <row r="1727">
      <c r="A1727" t="n">
        <v>1621</v>
      </c>
      <c r="B1727" s="7" t="n"/>
      <c r="C1727" s="11">
        <f>IF(AND(ISNUMBER(B1727),ISNUMBER(B1726)),ABS(B1727-B1726),"")</f>
        <v/>
      </c>
      <c r="D1727" s="13">
        <f>IF(AND(ISNUMBER(B1727),ISNUMBER($B$88),ISNUMBER($D$88)),IF(B1727&gt;$D$88,"boven UCL",IF(B1727&lt;$B$88,"onder LCL","")),"")</f>
        <v/>
      </c>
      <c r="E1727" s="13">
        <f>IF(AND(ISNUMBER(C1727),ISNUMBER($B$89),ISNUMBER($D$89)),IF(C1727&gt;$D$89,"boven UCL",IF(C1727&lt;$B$89,"onder LCL","")),"")</f>
        <v/>
      </c>
      <c r="G1727" t="n">
        <v>1621</v>
      </c>
      <c r="H1727" s="7" t="n"/>
      <c r="I1727" s="7" t="n"/>
      <c r="J1727" s="11">
        <f>IF(AND(ISNUMBER(H1727),ISNUMBER(I1727),H1727&gt;0,ISNUMBER($B$94)),I1727/H1727,"")</f>
        <v/>
      </c>
      <c r="K1727" s="11">
        <f>IF(AND(ISNUMBER(H1727),ISNUMBER(I1727),H1727&gt;0,ISNUMBER($B$94)),MAX(0,$B$94-3*SQRT($B$94*(1-$B$94)/H1727)),"")</f>
        <v/>
      </c>
      <c r="L1727" s="11">
        <f>IF(AND(ISNUMBER(H1727),ISNUMBER(I1727),H1727&gt;0,ISNUMBER($B$94)),$B$94+3*SQRT($B$94*(1-$B$94)/H1727),"")</f>
        <v/>
      </c>
      <c r="M1727" s="13">
        <f>IF(AND(ISNUMBER(J1727),ISNUMBER(K1727),ISNUMBER(L1727)),IF(J1727&gt;L1727,"boven UCL",IF(J1727&lt;K1727,"onder LCL","")),"")</f>
        <v/>
      </c>
      <c r="O1727" t="n">
        <v>1621</v>
      </c>
      <c r="P1727" s="7" t="n"/>
      <c r="Q1727" s="7" t="n"/>
      <c r="R1727" s="11">
        <f>IF(AND(ISNUMBER(P1727),ISNUMBER(Q1727),P1727&gt;0,ISNUMBER($B$100)),Q1727/P1727,"")</f>
        <v/>
      </c>
      <c r="S1727" s="11">
        <f>IF(AND(ISNUMBER(P1727),ISNUMBER(Q1727),P1727&gt;0,ISNUMBER($B$100)),MAX(0,$B$100-3*SQRT($B$100/P1727)),"")</f>
        <v/>
      </c>
      <c r="T1727" s="11">
        <f>IF(AND(ISNUMBER(P1727),ISNUMBER(Q1727),P1727&gt;0,ISNUMBER($B$100)),$B$100+3*SQRT($B$100/P1727),"")</f>
        <v/>
      </c>
      <c r="U1727" s="13">
        <f>IF(AND(ISNUMBER(R1727),ISNUMBER(S1727),ISNUMBER(T1727)),IF(R1727&gt;T1727,"boven UCL",IF(R1727&lt;S1727,"onder LCL","")),"")</f>
        <v/>
      </c>
    </row>
    <row r="1728">
      <c r="A1728" t="n">
        <v>1622</v>
      </c>
      <c r="B1728" s="7" t="n"/>
      <c r="C1728" s="11">
        <f>IF(AND(ISNUMBER(B1728),ISNUMBER(B1727)),ABS(B1728-B1727),"")</f>
        <v/>
      </c>
      <c r="D1728" s="13">
        <f>IF(AND(ISNUMBER(B1728),ISNUMBER($B$88),ISNUMBER($D$88)),IF(B1728&gt;$D$88,"boven UCL",IF(B1728&lt;$B$88,"onder LCL","")),"")</f>
        <v/>
      </c>
      <c r="E1728" s="13">
        <f>IF(AND(ISNUMBER(C1728),ISNUMBER($B$89),ISNUMBER($D$89)),IF(C1728&gt;$D$89,"boven UCL",IF(C1728&lt;$B$89,"onder LCL","")),"")</f>
        <v/>
      </c>
      <c r="G1728" t="n">
        <v>1622</v>
      </c>
      <c r="H1728" s="7" t="n"/>
      <c r="I1728" s="7" t="n"/>
      <c r="J1728" s="11">
        <f>IF(AND(ISNUMBER(H1728),ISNUMBER(I1728),H1728&gt;0,ISNUMBER($B$94)),I1728/H1728,"")</f>
        <v/>
      </c>
      <c r="K1728" s="11">
        <f>IF(AND(ISNUMBER(H1728),ISNUMBER(I1728),H1728&gt;0,ISNUMBER($B$94)),MAX(0,$B$94-3*SQRT($B$94*(1-$B$94)/H1728)),"")</f>
        <v/>
      </c>
      <c r="L1728" s="11">
        <f>IF(AND(ISNUMBER(H1728),ISNUMBER(I1728),H1728&gt;0,ISNUMBER($B$94)),$B$94+3*SQRT($B$94*(1-$B$94)/H1728),"")</f>
        <v/>
      </c>
      <c r="M1728" s="13">
        <f>IF(AND(ISNUMBER(J1728),ISNUMBER(K1728),ISNUMBER(L1728)),IF(J1728&gt;L1728,"boven UCL",IF(J1728&lt;K1728,"onder LCL","")),"")</f>
        <v/>
      </c>
      <c r="O1728" t="n">
        <v>1622</v>
      </c>
      <c r="P1728" s="7" t="n"/>
      <c r="Q1728" s="7" t="n"/>
      <c r="R1728" s="11">
        <f>IF(AND(ISNUMBER(P1728),ISNUMBER(Q1728),P1728&gt;0,ISNUMBER($B$100)),Q1728/P1728,"")</f>
        <v/>
      </c>
      <c r="S1728" s="11">
        <f>IF(AND(ISNUMBER(P1728),ISNUMBER(Q1728),P1728&gt;0,ISNUMBER($B$100)),MAX(0,$B$100-3*SQRT($B$100/P1728)),"")</f>
        <v/>
      </c>
      <c r="T1728" s="11">
        <f>IF(AND(ISNUMBER(P1728),ISNUMBER(Q1728),P1728&gt;0,ISNUMBER($B$100)),$B$100+3*SQRT($B$100/P1728),"")</f>
        <v/>
      </c>
      <c r="U1728" s="13">
        <f>IF(AND(ISNUMBER(R1728),ISNUMBER(S1728),ISNUMBER(T1728)),IF(R1728&gt;T1728,"boven UCL",IF(R1728&lt;S1728,"onder LCL","")),"")</f>
        <v/>
      </c>
    </row>
    <row r="1729">
      <c r="A1729" t="n">
        <v>1623</v>
      </c>
      <c r="B1729" s="7" t="n"/>
      <c r="C1729" s="11">
        <f>IF(AND(ISNUMBER(B1729),ISNUMBER(B1728)),ABS(B1729-B1728),"")</f>
        <v/>
      </c>
      <c r="D1729" s="13">
        <f>IF(AND(ISNUMBER(B1729),ISNUMBER($B$88),ISNUMBER($D$88)),IF(B1729&gt;$D$88,"boven UCL",IF(B1729&lt;$B$88,"onder LCL","")),"")</f>
        <v/>
      </c>
      <c r="E1729" s="13">
        <f>IF(AND(ISNUMBER(C1729),ISNUMBER($B$89),ISNUMBER($D$89)),IF(C1729&gt;$D$89,"boven UCL",IF(C1729&lt;$B$89,"onder LCL","")),"")</f>
        <v/>
      </c>
      <c r="G1729" t="n">
        <v>1623</v>
      </c>
      <c r="H1729" s="7" t="n"/>
      <c r="I1729" s="7" t="n"/>
      <c r="J1729" s="11">
        <f>IF(AND(ISNUMBER(H1729),ISNUMBER(I1729),H1729&gt;0,ISNUMBER($B$94)),I1729/H1729,"")</f>
        <v/>
      </c>
      <c r="K1729" s="11">
        <f>IF(AND(ISNUMBER(H1729),ISNUMBER(I1729),H1729&gt;0,ISNUMBER($B$94)),MAX(0,$B$94-3*SQRT($B$94*(1-$B$94)/H1729)),"")</f>
        <v/>
      </c>
      <c r="L1729" s="11">
        <f>IF(AND(ISNUMBER(H1729),ISNUMBER(I1729),H1729&gt;0,ISNUMBER($B$94)),$B$94+3*SQRT($B$94*(1-$B$94)/H1729),"")</f>
        <v/>
      </c>
      <c r="M1729" s="13">
        <f>IF(AND(ISNUMBER(J1729),ISNUMBER(K1729),ISNUMBER(L1729)),IF(J1729&gt;L1729,"boven UCL",IF(J1729&lt;K1729,"onder LCL","")),"")</f>
        <v/>
      </c>
      <c r="O1729" t="n">
        <v>1623</v>
      </c>
      <c r="P1729" s="7" t="n"/>
      <c r="Q1729" s="7" t="n"/>
      <c r="R1729" s="11">
        <f>IF(AND(ISNUMBER(P1729),ISNUMBER(Q1729),P1729&gt;0,ISNUMBER($B$100)),Q1729/P1729,"")</f>
        <v/>
      </c>
      <c r="S1729" s="11">
        <f>IF(AND(ISNUMBER(P1729),ISNUMBER(Q1729),P1729&gt;0,ISNUMBER($B$100)),MAX(0,$B$100-3*SQRT($B$100/P1729)),"")</f>
        <v/>
      </c>
      <c r="T1729" s="11">
        <f>IF(AND(ISNUMBER(P1729),ISNUMBER(Q1729),P1729&gt;0,ISNUMBER($B$100)),$B$100+3*SQRT($B$100/P1729),"")</f>
        <v/>
      </c>
      <c r="U1729" s="13">
        <f>IF(AND(ISNUMBER(R1729),ISNUMBER(S1729),ISNUMBER(T1729)),IF(R1729&gt;T1729,"boven UCL",IF(R1729&lt;S1729,"onder LCL","")),"")</f>
        <v/>
      </c>
    </row>
    <row r="1730">
      <c r="A1730" t="n">
        <v>1624</v>
      </c>
      <c r="B1730" s="7" t="n"/>
      <c r="C1730" s="11">
        <f>IF(AND(ISNUMBER(B1730),ISNUMBER(B1729)),ABS(B1730-B1729),"")</f>
        <v/>
      </c>
      <c r="D1730" s="13">
        <f>IF(AND(ISNUMBER(B1730),ISNUMBER($B$88),ISNUMBER($D$88)),IF(B1730&gt;$D$88,"boven UCL",IF(B1730&lt;$B$88,"onder LCL","")),"")</f>
        <v/>
      </c>
      <c r="E1730" s="13">
        <f>IF(AND(ISNUMBER(C1730),ISNUMBER($B$89),ISNUMBER($D$89)),IF(C1730&gt;$D$89,"boven UCL",IF(C1730&lt;$B$89,"onder LCL","")),"")</f>
        <v/>
      </c>
      <c r="G1730" t="n">
        <v>1624</v>
      </c>
      <c r="H1730" s="7" t="n"/>
      <c r="I1730" s="7" t="n"/>
      <c r="J1730" s="11">
        <f>IF(AND(ISNUMBER(H1730),ISNUMBER(I1730),H1730&gt;0,ISNUMBER($B$94)),I1730/H1730,"")</f>
        <v/>
      </c>
      <c r="K1730" s="11">
        <f>IF(AND(ISNUMBER(H1730),ISNUMBER(I1730),H1730&gt;0,ISNUMBER($B$94)),MAX(0,$B$94-3*SQRT($B$94*(1-$B$94)/H1730)),"")</f>
        <v/>
      </c>
      <c r="L1730" s="11">
        <f>IF(AND(ISNUMBER(H1730),ISNUMBER(I1730),H1730&gt;0,ISNUMBER($B$94)),$B$94+3*SQRT($B$94*(1-$B$94)/H1730),"")</f>
        <v/>
      </c>
      <c r="M1730" s="13">
        <f>IF(AND(ISNUMBER(J1730),ISNUMBER(K1730),ISNUMBER(L1730)),IF(J1730&gt;L1730,"boven UCL",IF(J1730&lt;K1730,"onder LCL","")),"")</f>
        <v/>
      </c>
      <c r="O1730" t="n">
        <v>1624</v>
      </c>
      <c r="P1730" s="7" t="n"/>
      <c r="Q1730" s="7" t="n"/>
      <c r="R1730" s="11">
        <f>IF(AND(ISNUMBER(P1730),ISNUMBER(Q1730),P1730&gt;0,ISNUMBER($B$100)),Q1730/P1730,"")</f>
        <v/>
      </c>
      <c r="S1730" s="11">
        <f>IF(AND(ISNUMBER(P1730),ISNUMBER(Q1730),P1730&gt;0,ISNUMBER($B$100)),MAX(0,$B$100-3*SQRT($B$100/P1730)),"")</f>
        <v/>
      </c>
      <c r="T1730" s="11">
        <f>IF(AND(ISNUMBER(P1730),ISNUMBER(Q1730),P1730&gt;0,ISNUMBER($B$100)),$B$100+3*SQRT($B$100/P1730),"")</f>
        <v/>
      </c>
      <c r="U1730" s="13">
        <f>IF(AND(ISNUMBER(R1730),ISNUMBER(S1730),ISNUMBER(T1730)),IF(R1730&gt;T1730,"boven UCL",IF(R1730&lt;S1730,"onder LCL","")),"")</f>
        <v/>
      </c>
    </row>
    <row r="1731">
      <c r="A1731" t="n">
        <v>1625</v>
      </c>
      <c r="B1731" s="7" t="n"/>
      <c r="C1731" s="11">
        <f>IF(AND(ISNUMBER(B1731),ISNUMBER(B1730)),ABS(B1731-B1730),"")</f>
        <v/>
      </c>
      <c r="D1731" s="13">
        <f>IF(AND(ISNUMBER(B1731),ISNUMBER($B$88),ISNUMBER($D$88)),IF(B1731&gt;$D$88,"boven UCL",IF(B1731&lt;$B$88,"onder LCL","")),"")</f>
        <v/>
      </c>
      <c r="E1731" s="13">
        <f>IF(AND(ISNUMBER(C1731),ISNUMBER($B$89),ISNUMBER($D$89)),IF(C1731&gt;$D$89,"boven UCL",IF(C1731&lt;$B$89,"onder LCL","")),"")</f>
        <v/>
      </c>
      <c r="G1731" t="n">
        <v>1625</v>
      </c>
      <c r="H1731" s="7" t="n"/>
      <c r="I1731" s="7" t="n"/>
      <c r="J1731" s="11">
        <f>IF(AND(ISNUMBER(H1731),ISNUMBER(I1731),H1731&gt;0,ISNUMBER($B$94)),I1731/H1731,"")</f>
        <v/>
      </c>
      <c r="K1731" s="11">
        <f>IF(AND(ISNUMBER(H1731),ISNUMBER(I1731),H1731&gt;0,ISNUMBER($B$94)),MAX(0,$B$94-3*SQRT($B$94*(1-$B$94)/H1731)),"")</f>
        <v/>
      </c>
      <c r="L1731" s="11">
        <f>IF(AND(ISNUMBER(H1731),ISNUMBER(I1731),H1731&gt;0,ISNUMBER($B$94)),$B$94+3*SQRT($B$94*(1-$B$94)/H1731),"")</f>
        <v/>
      </c>
      <c r="M1731" s="13">
        <f>IF(AND(ISNUMBER(J1731),ISNUMBER(K1731),ISNUMBER(L1731)),IF(J1731&gt;L1731,"boven UCL",IF(J1731&lt;K1731,"onder LCL","")),"")</f>
        <v/>
      </c>
      <c r="O1731" t="n">
        <v>1625</v>
      </c>
      <c r="P1731" s="7" t="n"/>
      <c r="Q1731" s="7" t="n"/>
      <c r="R1731" s="11">
        <f>IF(AND(ISNUMBER(P1731),ISNUMBER(Q1731),P1731&gt;0,ISNUMBER($B$100)),Q1731/P1731,"")</f>
        <v/>
      </c>
      <c r="S1731" s="11">
        <f>IF(AND(ISNUMBER(P1731),ISNUMBER(Q1731),P1731&gt;0,ISNUMBER($B$100)),MAX(0,$B$100-3*SQRT($B$100/P1731)),"")</f>
        <v/>
      </c>
      <c r="T1731" s="11">
        <f>IF(AND(ISNUMBER(P1731),ISNUMBER(Q1731),P1731&gt;0,ISNUMBER($B$100)),$B$100+3*SQRT($B$100/P1731),"")</f>
        <v/>
      </c>
      <c r="U1731" s="13">
        <f>IF(AND(ISNUMBER(R1731),ISNUMBER(S1731),ISNUMBER(T1731)),IF(R1731&gt;T1731,"boven UCL",IF(R1731&lt;S1731,"onder LCL","")),"")</f>
        <v/>
      </c>
    </row>
    <row r="1732">
      <c r="A1732" t="n">
        <v>1626</v>
      </c>
      <c r="B1732" s="7" t="n"/>
      <c r="C1732" s="11">
        <f>IF(AND(ISNUMBER(B1732),ISNUMBER(B1731)),ABS(B1732-B1731),"")</f>
        <v/>
      </c>
      <c r="D1732" s="13">
        <f>IF(AND(ISNUMBER(B1732),ISNUMBER($B$88),ISNUMBER($D$88)),IF(B1732&gt;$D$88,"boven UCL",IF(B1732&lt;$B$88,"onder LCL","")),"")</f>
        <v/>
      </c>
      <c r="E1732" s="13">
        <f>IF(AND(ISNUMBER(C1732),ISNUMBER($B$89),ISNUMBER($D$89)),IF(C1732&gt;$D$89,"boven UCL",IF(C1732&lt;$B$89,"onder LCL","")),"")</f>
        <v/>
      </c>
      <c r="G1732" t="n">
        <v>1626</v>
      </c>
      <c r="H1732" s="7" t="n"/>
      <c r="I1732" s="7" t="n"/>
      <c r="J1732" s="11">
        <f>IF(AND(ISNUMBER(H1732),ISNUMBER(I1732),H1732&gt;0,ISNUMBER($B$94)),I1732/H1732,"")</f>
        <v/>
      </c>
      <c r="K1732" s="11">
        <f>IF(AND(ISNUMBER(H1732),ISNUMBER(I1732),H1732&gt;0,ISNUMBER($B$94)),MAX(0,$B$94-3*SQRT($B$94*(1-$B$94)/H1732)),"")</f>
        <v/>
      </c>
      <c r="L1732" s="11">
        <f>IF(AND(ISNUMBER(H1732),ISNUMBER(I1732),H1732&gt;0,ISNUMBER($B$94)),$B$94+3*SQRT($B$94*(1-$B$94)/H1732),"")</f>
        <v/>
      </c>
      <c r="M1732" s="13">
        <f>IF(AND(ISNUMBER(J1732),ISNUMBER(K1732),ISNUMBER(L1732)),IF(J1732&gt;L1732,"boven UCL",IF(J1732&lt;K1732,"onder LCL","")),"")</f>
        <v/>
      </c>
      <c r="O1732" t="n">
        <v>1626</v>
      </c>
      <c r="P1732" s="7" t="n"/>
      <c r="Q1732" s="7" t="n"/>
      <c r="R1732" s="11">
        <f>IF(AND(ISNUMBER(P1732),ISNUMBER(Q1732),P1732&gt;0,ISNUMBER($B$100)),Q1732/P1732,"")</f>
        <v/>
      </c>
      <c r="S1732" s="11">
        <f>IF(AND(ISNUMBER(P1732),ISNUMBER(Q1732),P1732&gt;0,ISNUMBER($B$100)),MAX(0,$B$100-3*SQRT($B$100/P1732)),"")</f>
        <v/>
      </c>
      <c r="T1732" s="11">
        <f>IF(AND(ISNUMBER(P1732),ISNUMBER(Q1732),P1732&gt;0,ISNUMBER($B$100)),$B$100+3*SQRT($B$100/P1732),"")</f>
        <v/>
      </c>
      <c r="U1732" s="13">
        <f>IF(AND(ISNUMBER(R1732),ISNUMBER(S1732),ISNUMBER(T1732)),IF(R1732&gt;T1732,"boven UCL",IF(R1732&lt;S1732,"onder LCL","")),"")</f>
        <v/>
      </c>
    </row>
    <row r="1733">
      <c r="A1733" t="n">
        <v>1627</v>
      </c>
      <c r="B1733" s="7" t="n"/>
      <c r="C1733" s="11">
        <f>IF(AND(ISNUMBER(B1733),ISNUMBER(B1732)),ABS(B1733-B1732),"")</f>
        <v/>
      </c>
      <c r="D1733" s="13">
        <f>IF(AND(ISNUMBER(B1733),ISNUMBER($B$88),ISNUMBER($D$88)),IF(B1733&gt;$D$88,"boven UCL",IF(B1733&lt;$B$88,"onder LCL","")),"")</f>
        <v/>
      </c>
      <c r="E1733" s="13">
        <f>IF(AND(ISNUMBER(C1733),ISNUMBER($B$89),ISNUMBER($D$89)),IF(C1733&gt;$D$89,"boven UCL",IF(C1733&lt;$B$89,"onder LCL","")),"")</f>
        <v/>
      </c>
      <c r="G1733" t="n">
        <v>1627</v>
      </c>
      <c r="H1733" s="7" t="n"/>
      <c r="I1733" s="7" t="n"/>
      <c r="J1733" s="11">
        <f>IF(AND(ISNUMBER(H1733),ISNUMBER(I1733),H1733&gt;0,ISNUMBER($B$94)),I1733/H1733,"")</f>
        <v/>
      </c>
      <c r="K1733" s="11">
        <f>IF(AND(ISNUMBER(H1733),ISNUMBER(I1733),H1733&gt;0,ISNUMBER($B$94)),MAX(0,$B$94-3*SQRT($B$94*(1-$B$94)/H1733)),"")</f>
        <v/>
      </c>
      <c r="L1733" s="11">
        <f>IF(AND(ISNUMBER(H1733),ISNUMBER(I1733),H1733&gt;0,ISNUMBER($B$94)),$B$94+3*SQRT($B$94*(1-$B$94)/H1733),"")</f>
        <v/>
      </c>
      <c r="M1733" s="13">
        <f>IF(AND(ISNUMBER(J1733),ISNUMBER(K1733),ISNUMBER(L1733)),IF(J1733&gt;L1733,"boven UCL",IF(J1733&lt;K1733,"onder LCL","")),"")</f>
        <v/>
      </c>
      <c r="O1733" t="n">
        <v>1627</v>
      </c>
      <c r="P1733" s="7" t="n"/>
      <c r="Q1733" s="7" t="n"/>
      <c r="R1733" s="11">
        <f>IF(AND(ISNUMBER(P1733),ISNUMBER(Q1733),P1733&gt;0,ISNUMBER($B$100)),Q1733/P1733,"")</f>
        <v/>
      </c>
      <c r="S1733" s="11">
        <f>IF(AND(ISNUMBER(P1733),ISNUMBER(Q1733),P1733&gt;0,ISNUMBER($B$100)),MAX(0,$B$100-3*SQRT($B$100/P1733)),"")</f>
        <v/>
      </c>
      <c r="T1733" s="11">
        <f>IF(AND(ISNUMBER(P1733),ISNUMBER(Q1733),P1733&gt;0,ISNUMBER($B$100)),$B$100+3*SQRT($B$100/P1733),"")</f>
        <v/>
      </c>
      <c r="U1733" s="13">
        <f>IF(AND(ISNUMBER(R1733),ISNUMBER(S1733),ISNUMBER(T1733)),IF(R1733&gt;T1733,"boven UCL",IF(R1733&lt;S1733,"onder LCL","")),"")</f>
        <v/>
      </c>
    </row>
    <row r="1734">
      <c r="A1734" t="n">
        <v>1628</v>
      </c>
      <c r="B1734" s="7" t="n"/>
      <c r="C1734" s="11">
        <f>IF(AND(ISNUMBER(B1734),ISNUMBER(B1733)),ABS(B1734-B1733),"")</f>
        <v/>
      </c>
      <c r="D1734" s="13">
        <f>IF(AND(ISNUMBER(B1734),ISNUMBER($B$88),ISNUMBER($D$88)),IF(B1734&gt;$D$88,"boven UCL",IF(B1734&lt;$B$88,"onder LCL","")),"")</f>
        <v/>
      </c>
      <c r="E1734" s="13">
        <f>IF(AND(ISNUMBER(C1734),ISNUMBER($B$89),ISNUMBER($D$89)),IF(C1734&gt;$D$89,"boven UCL",IF(C1734&lt;$B$89,"onder LCL","")),"")</f>
        <v/>
      </c>
      <c r="G1734" t="n">
        <v>1628</v>
      </c>
      <c r="H1734" s="7" t="n"/>
      <c r="I1734" s="7" t="n"/>
      <c r="J1734" s="11">
        <f>IF(AND(ISNUMBER(H1734),ISNUMBER(I1734),H1734&gt;0,ISNUMBER($B$94)),I1734/H1734,"")</f>
        <v/>
      </c>
      <c r="K1734" s="11">
        <f>IF(AND(ISNUMBER(H1734),ISNUMBER(I1734),H1734&gt;0,ISNUMBER($B$94)),MAX(0,$B$94-3*SQRT($B$94*(1-$B$94)/H1734)),"")</f>
        <v/>
      </c>
      <c r="L1734" s="11">
        <f>IF(AND(ISNUMBER(H1734),ISNUMBER(I1734),H1734&gt;0,ISNUMBER($B$94)),$B$94+3*SQRT($B$94*(1-$B$94)/H1734),"")</f>
        <v/>
      </c>
      <c r="M1734" s="13">
        <f>IF(AND(ISNUMBER(J1734),ISNUMBER(K1734),ISNUMBER(L1734)),IF(J1734&gt;L1734,"boven UCL",IF(J1734&lt;K1734,"onder LCL","")),"")</f>
        <v/>
      </c>
      <c r="O1734" t="n">
        <v>1628</v>
      </c>
      <c r="P1734" s="7" t="n"/>
      <c r="Q1734" s="7" t="n"/>
      <c r="R1734" s="11">
        <f>IF(AND(ISNUMBER(P1734),ISNUMBER(Q1734),P1734&gt;0,ISNUMBER($B$100)),Q1734/P1734,"")</f>
        <v/>
      </c>
      <c r="S1734" s="11">
        <f>IF(AND(ISNUMBER(P1734),ISNUMBER(Q1734),P1734&gt;0,ISNUMBER($B$100)),MAX(0,$B$100-3*SQRT($B$100/P1734)),"")</f>
        <v/>
      </c>
      <c r="T1734" s="11">
        <f>IF(AND(ISNUMBER(P1734),ISNUMBER(Q1734),P1734&gt;0,ISNUMBER($B$100)),$B$100+3*SQRT($B$100/P1734),"")</f>
        <v/>
      </c>
      <c r="U1734" s="13">
        <f>IF(AND(ISNUMBER(R1734),ISNUMBER(S1734),ISNUMBER(T1734)),IF(R1734&gt;T1734,"boven UCL",IF(R1734&lt;S1734,"onder LCL","")),"")</f>
        <v/>
      </c>
    </row>
    <row r="1735">
      <c r="A1735" t="n">
        <v>1629</v>
      </c>
      <c r="B1735" s="7" t="n"/>
      <c r="C1735" s="11">
        <f>IF(AND(ISNUMBER(B1735),ISNUMBER(B1734)),ABS(B1735-B1734),"")</f>
        <v/>
      </c>
      <c r="D1735" s="13">
        <f>IF(AND(ISNUMBER(B1735),ISNUMBER($B$88),ISNUMBER($D$88)),IF(B1735&gt;$D$88,"boven UCL",IF(B1735&lt;$B$88,"onder LCL","")),"")</f>
        <v/>
      </c>
      <c r="E1735" s="13">
        <f>IF(AND(ISNUMBER(C1735),ISNUMBER($B$89),ISNUMBER($D$89)),IF(C1735&gt;$D$89,"boven UCL",IF(C1735&lt;$B$89,"onder LCL","")),"")</f>
        <v/>
      </c>
      <c r="G1735" t="n">
        <v>1629</v>
      </c>
      <c r="H1735" s="7" t="n"/>
      <c r="I1735" s="7" t="n"/>
      <c r="J1735" s="11">
        <f>IF(AND(ISNUMBER(H1735),ISNUMBER(I1735),H1735&gt;0,ISNUMBER($B$94)),I1735/H1735,"")</f>
        <v/>
      </c>
      <c r="K1735" s="11">
        <f>IF(AND(ISNUMBER(H1735),ISNUMBER(I1735),H1735&gt;0,ISNUMBER($B$94)),MAX(0,$B$94-3*SQRT($B$94*(1-$B$94)/H1735)),"")</f>
        <v/>
      </c>
      <c r="L1735" s="11">
        <f>IF(AND(ISNUMBER(H1735),ISNUMBER(I1735),H1735&gt;0,ISNUMBER($B$94)),$B$94+3*SQRT($B$94*(1-$B$94)/H1735),"")</f>
        <v/>
      </c>
      <c r="M1735" s="13">
        <f>IF(AND(ISNUMBER(J1735),ISNUMBER(K1735),ISNUMBER(L1735)),IF(J1735&gt;L1735,"boven UCL",IF(J1735&lt;K1735,"onder LCL","")),"")</f>
        <v/>
      </c>
      <c r="O1735" t="n">
        <v>1629</v>
      </c>
      <c r="P1735" s="7" t="n"/>
      <c r="Q1735" s="7" t="n"/>
      <c r="R1735" s="11">
        <f>IF(AND(ISNUMBER(P1735),ISNUMBER(Q1735),P1735&gt;0,ISNUMBER($B$100)),Q1735/P1735,"")</f>
        <v/>
      </c>
      <c r="S1735" s="11">
        <f>IF(AND(ISNUMBER(P1735),ISNUMBER(Q1735),P1735&gt;0,ISNUMBER($B$100)),MAX(0,$B$100-3*SQRT($B$100/P1735)),"")</f>
        <v/>
      </c>
      <c r="T1735" s="11">
        <f>IF(AND(ISNUMBER(P1735),ISNUMBER(Q1735),P1735&gt;0,ISNUMBER($B$100)),$B$100+3*SQRT($B$100/P1735),"")</f>
        <v/>
      </c>
      <c r="U1735" s="13">
        <f>IF(AND(ISNUMBER(R1735),ISNUMBER(S1735),ISNUMBER(T1735)),IF(R1735&gt;T1735,"boven UCL",IF(R1735&lt;S1735,"onder LCL","")),"")</f>
        <v/>
      </c>
    </row>
    <row r="1736">
      <c r="A1736" t="n">
        <v>1630</v>
      </c>
      <c r="B1736" s="7" t="n"/>
      <c r="C1736" s="11">
        <f>IF(AND(ISNUMBER(B1736),ISNUMBER(B1735)),ABS(B1736-B1735),"")</f>
        <v/>
      </c>
      <c r="D1736" s="13">
        <f>IF(AND(ISNUMBER(B1736),ISNUMBER($B$88),ISNUMBER($D$88)),IF(B1736&gt;$D$88,"boven UCL",IF(B1736&lt;$B$88,"onder LCL","")),"")</f>
        <v/>
      </c>
      <c r="E1736" s="13">
        <f>IF(AND(ISNUMBER(C1736),ISNUMBER($B$89),ISNUMBER($D$89)),IF(C1736&gt;$D$89,"boven UCL",IF(C1736&lt;$B$89,"onder LCL","")),"")</f>
        <v/>
      </c>
      <c r="G1736" t="n">
        <v>1630</v>
      </c>
      <c r="H1736" s="7" t="n"/>
      <c r="I1736" s="7" t="n"/>
      <c r="J1736" s="11">
        <f>IF(AND(ISNUMBER(H1736),ISNUMBER(I1736),H1736&gt;0,ISNUMBER($B$94)),I1736/H1736,"")</f>
        <v/>
      </c>
      <c r="K1736" s="11">
        <f>IF(AND(ISNUMBER(H1736),ISNUMBER(I1736),H1736&gt;0,ISNUMBER($B$94)),MAX(0,$B$94-3*SQRT($B$94*(1-$B$94)/H1736)),"")</f>
        <v/>
      </c>
      <c r="L1736" s="11">
        <f>IF(AND(ISNUMBER(H1736),ISNUMBER(I1736),H1736&gt;0,ISNUMBER($B$94)),$B$94+3*SQRT($B$94*(1-$B$94)/H1736),"")</f>
        <v/>
      </c>
      <c r="M1736" s="13">
        <f>IF(AND(ISNUMBER(J1736),ISNUMBER(K1736),ISNUMBER(L1736)),IF(J1736&gt;L1736,"boven UCL",IF(J1736&lt;K1736,"onder LCL","")),"")</f>
        <v/>
      </c>
      <c r="O1736" t="n">
        <v>1630</v>
      </c>
      <c r="P1736" s="7" t="n"/>
      <c r="Q1736" s="7" t="n"/>
      <c r="R1736" s="11">
        <f>IF(AND(ISNUMBER(P1736),ISNUMBER(Q1736),P1736&gt;0,ISNUMBER($B$100)),Q1736/P1736,"")</f>
        <v/>
      </c>
      <c r="S1736" s="11">
        <f>IF(AND(ISNUMBER(P1736),ISNUMBER(Q1736),P1736&gt;0,ISNUMBER($B$100)),MAX(0,$B$100-3*SQRT($B$100/P1736)),"")</f>
        <v/>
      </c>
      <c r="T1736" s="11">
        <f>IF(AND(ISNUMBER(P1736),ISNUMBER(Q1736),P1736&gt;0,ISNUMBER($B$100)),$B$100+3*SQRT($B$100/P1736),"")</f>
        <v/>
      </c>
      <c r="U1736" s="13">
        <f>IF(AND(ISNUMBER(R1736),ISNUMBER(S1736),ISNUMBER(T1736)),IF(R1736&gt;T1736,"boven UCL",IF(R1736&lt;S1736,"onder LCL","")),"")</f>
        <v/>
      </c>
    </row>
    <row r="1737">
      <c r="A1737" t="n">
        <v>1631</v>
      </c>
      <c r="B1737" s="7" t="n"/>
      <c r="C1737" s="11">
        <f>IF(AND(ISNUMBER(B1737),ISNUMBER(B1736)),ABS(B1737-B1736),"")</f>
        <v/>
      </c>
      <c r="D1737" s="13">
        <f>IF(AND(ISNUMBER(B1737),ISNUMBER($B$88),ISNUMBER($D$88)),IF(B1737&gt;$D$88,"boven UCL",IF(B1737&lt;$B$88,"onder LCL","")),"")</f>
        <v/>
      </c>
      <c r="E1737" s="13">
        <f>IF(AND(ISNUMBER(C1737),ISNUMBER($B$89),ISNUMBER($D$89)),IF(C1737&gt;$D$89,"boven UCL",IF(C1737&lt;$B$89,"onder LCL","")),"")</f>
        <v/>
      </c>
      <c r="G1737" t="n">
        <v>1631</v>
      </c>
      <c r="H1737" s="7" t="n"/>
      <c r="I1737" s="7" t="n"/>
      <c r="J1737" s="11">
        <f>IF(AND(ISNUMBER(H1737),ISNUMBER(I1737),H1737&gt;0,ISNUMBER($B$94)),I1737/H1737,"")</f>
        <v/>
      </c>
      <c r="K1737" s="11">
        <f>IF(AND(ISNUMBER(H1737),ISNUMBER(I1737),H1737&gt;0,ISNUMBER($B$94)),MAX(0,$B$94-3*SQRT($B$94*(1-$B$94)/H1737)),"")</f>
        <v/>
      </c>
      <c r="L1737" s="11">
        <f>IF(AND(ISNUMBER(H1737),ISNUMBER(I1737),H1737&gt;0,ISNUMBER($B$94)),$B$94+3*SQRT($B$94*(1-$B$94)/H1737),"")</f>
        <v/>
      </c>
      <c r="M1737" s="13">
        <f>IF(AND(ISNUMBER(J1737),ISNUMBER(K1737),ISNUMBER(L1737)),IF(J1737&gt;L1737,"boven UCL",IF(J1737&lt;K1737,"onder LCL","")),"")</f>
        <v/>
      </c>
      <c r="O1737" t="n">
        <v>1631</v>
      </c>
      <c r="P1737" s="7" t="n"/>
      <c r="Q1737" s="7" t="n"/>
      <c r="R1737" s="11">
        <f>IF(AND(ISNUMBER(P1737),ISNUMBER(Q1737),P1737&gt;0,ISNUMBER($B$100)),Q1737/P1737,"")</f>
        <v/>
      </c>
      <c r="S1737" s="11">
        <f>IF(AND(ISNUMBER(P1737),ISNUMBER(Q1737),P1737&gt;0,ISNUMBER($B$100)),MAX(0,$B$100-3*SQRT($B$100/P1737)),"")</f>
        <v/>
      </c>
      <c r="T1737" s="11">
        <f>IF(AND(ISNUMBER(P1737),ISNUMBER(Q1737),P1737&gt;0,ISNUMBER($B$100)),$B$100+3*SQRT($B$100/P1737),"")</f>
        <v/>
      </c>
      <c r="U1737" s="13">
        <f>IF(AND(ISNUMBER(R1737),ISNUMBER(S1737),ISNUMBER(T1737)),IF(R1737&gt;T1737,"boven UCL",IF(R1737&lt;S1737,"onder LCL","")),"")</f>
        <v/>
      </c>
    </row>
    <row r="1738">
      <c r="A1738" t="n">
        <v>1632</v>
      </c>
      <c r="B1738" s="7" t="n"/>
      <c r="C1738" s="11">
        <f>IF(AND(ISNUMBER(B1738),ISNUMBER(B1737)),ABS(B1738-B1737),"")</f>
        <v/>
      </c>
      <c r="D1738" s="13">
        <f>IF(AND(ISNUMBER(B1738),ISNUMBER($B$88),ISNUMBER($D$88)),IF(B1738&gt;$D$88,"boven UCL",IF(B1738&lt;$B$88,"onder LCL","")),"")</f>
        <v/>
      </c>
      <c r="E1738" s="13">
        <f>IF(AND(ISNUMBER(C1738),ISNUMBER($B$89),ISNUMBER($D$89)),IF(C1738&gt;$D$89,"boven UCL",IF(C1738&lt;$B$89,"onder LCL","")),"")</f>
        <v/>
      </c>
      <c r="G1738" t="n">
        <v>1632</v>
      </c>
      <c r="H1738" s="7" t="n"/>
      <c r="I1738" s="7" t="n"/>
      <c r="J1738" s="11">
        <f>IF(AND(ISNUMBER(H1738),ISNUMBER(I1738),H1738&gt;0,ISNUMBER($B$94)),I1738/H1738,"")</f>
        <v/>
      </c>
      <c r="K1738" s="11">
        <f>IF(AND(ISNUMBER(H1738),ISNUMBER(I1738),H1738&gt;0,ISNUMBER($B$94)),MAX(0,$B$94-3*SQRT($B$94*(1-$B$94)/H1738)),"")</f>
        <v/>
      </c>
      <c r="L1738" s="11">
        <f>IF(AND(ISNUMBER(H1738),ISNUMBER(I1738),H1738&gt;0,ISNUMBER($B$94)),$B$94+3*SQRT($B$94*(1-$B$94)/H1738),"")</f>
        <v/>
      </c>
      <c r="M1738" s="13">
        <f>IF(AND(ISNUMBER(J1738),ISNUMBER(K1738),ISNUMBER(L1738)),IF(J1738&gt;L1738,"boven UCL",IF(J1738&lt;K1738,"onder LCL","")),"")</f>
        <v/>
      </c>
      <c r="O1738" t="n">
        <v>1632</v>
      </c>
      <c r="P1738" s="7" t="n"/>
      <c r="Q1738" s="7" t="n"/>
      <c r="R1738" s="11">
        <f>IF(AND(ISNUMBER(P1738),ISNUMBER(Q1738),P1738&gt;0,ISNUMBER($B$100)),Q1738/P1738,"")</f>
        <v/>
      </c>
      <c r="S1738" s="11">
        <f>IF(AND(ISNUMBER(P1738),ISNUMBER(Q1738),P1738&gt;0,ISNUMBER($B$100)),MAX(0,$B$100-3*SQRT($B$100/P1738)),"")</f>
        <v/>
      </c>
      <c r="T1738" s="11">
        <f>IF(AND(ISNUMBER(P1738),ISNUMBER(Q1738),P1738&gt;0,ISNUMBER($B$100)),$B$100+3*SQRT($B$100/P1738),"")</f>
        <v/>
      </c>
      <c r="U1738" s="13">
        <f>IF(AND(ISNUMBER(R1738),ISNUMBER(S1738),ISNUMBER(T1738)),IF(R1738&gt;T1738,"boven UCL",IF(R1738&lt;S1738,"onder LCL","")),"")</f>
        <v/>
      </c>
    </row>
    <row r="1739">
      <c r="A1739" t="n">
        <v>1633</v>
      </c>
      <c r="B1739" s="7" t="n"/>
      <c r="C1739" s="11">
        <f>IF(AND(ISNUMBER(B1739),ISNUMBER(B1738)),ABS(B1739-B1738),"")</f>
        <v/>
      </c>
      <c r="D1739" s="13">
        <f>IF(AND(ISNUMBER(B1739),ISNUMBER($B$88),ISNUMBER($D$88)),IF(B1739&gt;$D$88,"boven UCL",IF(B1739&lt;$B$88,"onder LCL","")),"")</f>
        <v/>
      </c>
      <c r="E1739" s="13">
        <f>IF(AND(ISNUMBER(C1739),ISNUMBER($B$89),ISNUMBER($D$89)),IF(C1739&gt;$D$89,"boven UCL",IF(C1739&lt;$B$89,"onder LCL","")),"")</f>
        <v/>
      </c>
      <c r="G1739" t="n">
        <v>1633</v>
      </c>
      <c r="H1739" s="7" t="n"/>
      <c r="I1739" s="7" t="n"/>
      <c r="J1739" s="11">
        <f>IF(AND(ISNUMBER(H1739),ISNUMBER(I1739),H1739&gt;0,ISNUMBER($B$94)),I1739/H1739,"")</f>
        <v/>
      </c>
      <c r="K1739" s="11">
        <f>IF(AND(ISNUMBER(H1739),ISNUMBER(I1739),H1739&gt;0,ISNUMBER($B$94)),MAX(0,$B$94-3*SQRT($B$94*(1-$B$94)/H1739)),"")</f>
        <v/>
      </c>
      <c r="L1739" s="11">
        <f>IF(AND(ISNUMBER(H1739),ISNUMBER(I1739),H1739&gt;0,ISNUMBER($B$94)),$B$94+3*SQRT($B$94*(1-$B$94)/H1739),"")</f>
        <v/>
      </c>
      <c r="M1739" s="13">
        <f>IF(AND(ISNUMBER(J1739),ISNUMBER(K1739),ISNUMBER(L1739)),IF(J1739&gt;L1739,"boven UCL",IF(J1739&lt;K1739,"onder LCL","")),"")</f>
        <v/>
      </c>
      <c r="O1739" t="n">
        <v>1633</v>
      </c>
      <c r="P1739" s="7" t="n"/>
      <c r="Q1739" s="7" t="n"/>
      <c r="R1739" s="11">
        <f>IF(AND(ISNUMBER(P1739),ISNUMBER(Q1739),P1739&gt;0,ISNUMBER($B$100)),Q1739/P1739,"")</f>
        <v/>
      </c>
      <c r="S1739" s="11">
        <f>IF(AND(ISNUMBER(P1739),ISNUMBER(Q1739),P1739&gt;0,ISNUMBER($B$100)),MAX(0,$B$100-3*SQRT($B$100/P1739)),"")</f>
        <v/>
      </c>
      <c r="T1739" s="11">
        <f>IF(AND(ISNUMBER(P1739),ISNUMBER(Q1739),P1739&gt;0,ISNUMBER($B$100)),$B$100+3*SQRT($B$100/P1739),"")</f>
        <v/>
      </c>
      <c r="U1739" s="13">
        <f>IF(AND(ISNUMBER(R1739),ISNUMBER(S1739),ISNUMBER(T1739)),IF(R1739&gt;T1739,"boven UCL",IF(R1739&lt;S1739,"onder LCL","")),"")</f>
        <v/>
      </c>
    </row>
    <row r="1740">
      <c r="A1740" t="n">
        <v>1634</v>
      </c>
      <c r="B1740" s="7" t="n"/>
      <c r="C1740" s="11">
        <f>IF(AND(ISNUMBER(B1740),ISNUMBER(B1739)),ABS(B1740-B1739),"")</f>
        <v/>
      </c>
      <c r="D1740" s="13">
        <f>IF(AND(ISNUMBER(B1740),ISNUMBER($B$88),ISNUMBER($D$88)),IF(B1740&gt;$D$88,"boven UCL",IF(B1740&lt;$B$88,"onder LCL","")),"")</f>
        <v/>
      </c>
      <c r="E1740" s="13">
        <f>IF(AND(ISNUMBER(C1740),ISNUMBER($B$89),ISNUMBER($D$89)),IF(C1740&gt;$D$89,"boven UCL",IF(C1740&lt;$B$89,"onder LCL","")),"")</f>
        <v/>
      </c>
      <c r="G1740" t="n">
        <v>1634</v>
      </c>
      <c r="H1740" s="7" t="n"/>
      <c r="I1740" s="7" t="n"/>
      <c r="J1740" s="11">
        <f>IF(AND(ISNUMBER(H1740),ISNUMBER(I1740),H1740&gt;0,ISNUMBER($B$94)),I1740/H1740,"")</f>
        <v/>
      </c>
      <c r="K1740" s="11">
        <f>IF(AND(ISNUMBER(H1740),ISNUMBER(I1740),H1740&gt;0,ISNUMBER($B$94)),MAX(0,$B$94-3*SQRT($B$94*(1-$B$94)/H1740)),"")</f>
        <v/>
      </c>
      <c r="L1740" s="11">
        <f>IF(AND(ISNUMBER(H1740),ISNUMBER(I1740),H1740&gt;0,ISNUMBER($B$94)),$B$94+3*SQRT($B$94*(1-$B$94)/H1740),"")</f>
        <v/>
      </c>
      <c r="M1740" s="13">
        <f>IF(AND(ISNUMBER(J1740),ISNUMBER(K1740),ISNUMBER(L1740)),IF(J1740&gt;L1740,"boven UCL",IF(J1740&lt;K1740,"onder LCL","")),"")</f>
        <v/>
      </c>
      <c r="O1740" t="n">
        <v>1634</v>
      </c>
      <c r="P1740" s="7" t="n"/>
      <c r="Q1740" s="7" t="n"/>
      <c r="R1740" s="11">
        <f>IF(AND(ISNUMBER(P1740),ISNUMBER(Q1740),P1740&gt;0,ISNUMBER($B$100)),Q1740/P1740,"")</f>
        <v/>
      </c>
      <c r="S1740" s="11">
        <f>IF(AND(ISNUMBER(P1740),ISNUMBER(Q1740),P1740&gt;0,ISNUMBER($B$100)),MAX(0,$B$100-3*SQRT($B$100/P1740)),"")</f>
        <v/>
      </c>
      <c r="T1740" s="11">
        <f>IF(AND(ISNUMBER(P1740),ISNUMBER(Q1740),P1740&gt;0,ISNUMBER($B$100)),$B$100+3*SQRT($B$100/P1740),"")</f>
        <v/>
      </c>
      <c r="U1740" s="13">
        <f>IF(AND(ISNUMBER(R1740),ISNUMBER(S1740),ISNUMBER(T1740)),IF(R1740&gt;T1740,"boven UCL",IF(R1740&lt;S1740,"onder LCL","")),"")</f>
        <v/>
      </c>
    </row>
    <row r="1741">
      <c r="A1741" t="n">
        <v>1635</v>
      </c>
      <c r="B1741" s="7" t="n"/>
      <c r="C1741" s="11">
        <f>IF(AND(ISNUMBER(B1741),ISNUMBER(B1740)),ABS(B1741-B1740),"")</f>
        <v/>
      </c>
      <c r="D1741" s="13">
        <f>IF(AND(ISNUMBER(B1741),ISNUMBER($B$88),ISNUMBER($D$88)),IF(B1741&gt;$D$88,"boven UCL",IF(B1741&lt;$B$88,"onder LCL","")),"")</f>
        <v/>
      </c>
      <c r="E1741" s="13">
        <f>IF(AND(ISNUMBER(C1741),ISNUMBER($B$89),ISNUMBER($D$89)),IF(C1741&gt;$D$89,"boven UCL",IF(C1741&lt;$B$89,"onder LCL","")),"")</f>
        <v/>
      </c>
      <c r="G1741" t="n">
        <v>1635</v>
      </c>
      <c r="H1741" s="7" t="n"/>
      <c r="I1741" s="7" t="n"/>
      <c r="J1741" s="11">
        <f>IF(AND(ISNUMBER(H1741),ISNUMBER(I1741),H1741&gt;0,ISNUMBER($B$94)),I1741/H1741,"")</f>
        <v/>
      </c>
      <c r="K1741" s="11">
        <f>IF(AND(ISNUMBER(H1741),ISNUMBER(I1741),H1741&gt;0,ISNUMBER($B$94)),MAX(0,$B$94-3*SQRT($B$94*(1-$B$94)/H1741)),"")</f>
        <v/>
      </c>
      <c r="L1741" s="11">
        <f>IF(AND(ISNUMBER(H1741),ISNUMBER(I1741),H1741&gt;0,ISNUMBER($B$94)),$B$94+3*SQRT($B$94*(1-$B$94)/H1741),"")</f>
        <v/>
      </c>
      <c r="M1741" s="13">
        <f>IF(AND(ISNUMBER(J1741),ISNUMBER(K1741),ISNUMBER(L1741)),IF(J1741&gt;L1741,"boven UCL",IF(J1741&lt;K1741,"onder LCL","")),"")</f>
        <v/>
      </c>
      <c r="O1741" t="n">
        <v>1635</v>
      </c>
      <c r="P1741" s="7" t="n"/>
      <c r="Q1741" s="7" t="n"/>
      <c r="R1741" s="11">
        <f>IF(AND(ISNUMBER(P1741),ISNUMBER(Q1741),P1741&gt;0,ISNUMBER($B$100)),Q1741/P1741,"")</f>
        <v/>
      </c>
      <c r="S1741" s="11">
        <f>IF(AND(ISNUMBER(P1741),ISNUMBER(Q1741),P1741&gt;0,ISNUMBER($B$100)),MAX(0,$B$100-3*SQRT($B$100/P1741)),"")</f>
        <v/>
      </c>
      <c r="T1741" s="11">
        <f>IF(AND(ISNUMBER(P1741),ISNUMBER(Q1741),P1741&gt;0,ISNUMBER($B$100)),$B$100+3*SQRT($B$100/P1741),"")</f>
        <v/>
      </c>
      <c r="U1741" s="13">
        <f>IF(AND(ISNUMBER(R1741),ISNUMBER(S1741),ISNUMBER(T1741)),IF(R1741&gt;T1741,"boven UCL",IF(R1741&lt;S1741,"onder LCL","")),"")</f>
        <v/>
      </c>
    </row>
    <row r="1742">
      <c r="A1742" t="n">
        <v>1636</v>
      </c>
      <c r="B1742" s="7" t="n"/>
      <c r="C1742" s="11">
        <f>IF(AND(ISNUMBER(B1742),ISNUMBER(B1741)),ABS(B1742-B1741),"")</f>
        <v/>
      </c>
      <c r="D1742" s="13">
        <f>IF(AND(ISNUMBER(B1742),ISNUMBER($B$88),ISNUMBER($D$88)),IF(B1742&gt;$D$88,"boven UCL",IF(B1742&lt;$B$88,"onder LCL","")),"")</f>
        <v/>
      </c>
      <c r="E1742" s="13">
        <f>IF(AND(ISNUMBER(C1742),ISNUMBER($B$89),ISNUMBER($D$89)),IF(C1742&gt;$D$89,"boven UCL",IF(C1742&lt;$B$89,"onder LCL","")),"")</f>
        <v/>
      </c>
      <c r="G1742" t="n">
        <v>1636</v>
      </c>
      <c r="H1742" s="7" t="n"/>
      <c r="I1742" s="7" t="n"/>
      <c r="J1742" s="11">
        <f>IF(AND(ISNUMBER(H1742),ISNUMBER(I1742),H1742&gt;0,ISNUMBER($B$94)),I1742/H1742,"")</f>
        <v/>
      </c>
      <c r="K1742" s="11">
        <f>IF(AND(ISNUMBER(H1742),ISNUMBER(I1742),H1742&gt;0,ISNUMBER($B$94)),MAX(0,$B$94-3*SQRT($B$94*(1-$B$94)/H1742)),"")</f>
        <v/>
      </c>
      <c r="L1742" s="11">
        <f>IF(AND(ISNUMBER(H1742),ISNUMBER(I1742),H1742&gt;0,ISNUMBER($B$94)),$B$94+3*SQRT($B$94*(1-$B$94)/H1742),"")</f>
        <v/>
      </c>
      <c r="M1742" s="13">
        <f>IF(AND(ISNUMBER(J1742),ISNUMBER(K1742),ISNUMBER(L1742)),IF(J1742&gt;L1742,"boven UCL",IF(J1742&lt;K1742,"onder LCL","")),"")</f>
        <v/>
      </c>
      <c r="O1742" t="n">
        <v>1636</v>
      </c>
      <c r="P1742" s="7" t="n"/>
      <c r="Q1742" s="7" t="n"/>
      <c r="R1742" s="11">
        <f>IF(AND(ISNUMBER(P1742),ISNUMBER(Q1742),P1742&gt;0,ISNUMBER($B$100)),Q1742/P1742,"")</f>
        <v/>
      </c>
      <c r="S1742" s="11">
        <f>IF(AND(ISNUMBER(P1742),ISNUMBER(Q1742),P1742&gt;0,ISNUMBER($B$100)),MAX(0,$B$100-3*SQRT($B$100/P1742)),"")</f>
        <v/>
      </c>
      <c r="T1742" s="11">
        <f>IF(AND(ISNUMBER(P1742),ISNUMBER(Q1742),P1742&gt;0,ISNUMBER($B$100)),$B$100+3*SQRT($B$100/P1742),"")</f>
        <v/>
      </c>
      <c r="U1742" s="13">
        <f>IF(AND(ISNUMBER(R1742),ISNUMBER(S1742),ISNUMBER(T1742)),IF(R1742&gt;T1742,"boven UCL",IF(R1742&lt;S1742,"onder LCL","")),"")</f>
        <v/>
      </c>
    </row>
    <row r="1743">
      <c r="A1743" t="n">
        <v>1637</v>
      </c>
      <c r="B1743" s="7" t="n"/>
      <c r="C1743" s="11">
        <f>IF(AND(ISNUMBER(B1743),ISNUMBER(B1742)),ABS(B1743-B1742),"")</f>
        <v/>
      </c>
      <c r="D1743" s="13">
        <f>IF(AND(ISNUMBER(B1743),ISNUMBER($B$88),ISNUMBER($D$88)),IF(B1743&gt;$D$88,"boven UCL",IF(B1743&lt;$B$88,"onder LCL","")),"")</f>
        <v/>
      </c>
      <c r="E1743" s="13">
        <f>IF(AND(ISNUMBER(C1743),ISNUMBER($B$89),ISNUMBER($D$89)),IF(C1743&gt;$D$89,"boven UCL",IF(C1743&lt;$B$89,"onder LCL","")),"")</f>
        <v/>
      </c>
      <c r="G1743" t="n">
        <v>1637</v>
      </c>
      <c r="H1743" s="7" t="n"/>
      <c r="I1743" s="7" t="n"/>
      <c r="J1743" s="11">
        <f>IF(AND(ISNUMBER(H1743),ISNUMBER(I1743),H1743&gt;0,ISNUMBER($B$94)),I1743/H1743,"")</f>
        <v/>
      </c>
      <c r="K1743" s="11">
        <f>IF(AND(ISNUMBER(H1743),ISNUMBER(I1743),H1743&gt;0,ISNUMBER($B$94)),MAX(0,$B$94-3*SQRT($B$94*(1-$B$94)/H1743)),"")</f>
        <v/>
      </c>
      <c r="L1743" s="11">
        <f>IF(AND(ISNUMBER(H1743),ISNUMBER(I1743),H1743&gt;0,ISNUMBER($B$94)),$B$94+3*SQRT($B$94*(1-$B$94)/H1743),"")</f>
        <v/>
      </c>
      <c r="M1743" s="13">
        <f>IF(AND(ISNUMBER(J1743),ISNUMBER(K1743),ISNUMBER(L1743)),IF(J1743&gt;L1743,"boven UCL",IF(J1743&lt;K1743,"onder LCL","")),"")</f>
        <v/>
      </c>
      <c r="O1743" t="n">
        <v>1637</v>
      </c>
      <c r="P1743" s="7" t="n"/>
      <c r="Q1743" s="7" t="n"/>
      <c r="R1743" s="11">
        <f>IF(AND(ISNUMBER(P1743),ISNUMBER(Q1743),P1743&gt;0,ISNUMBER($B$100)),Q1743/P1743,"")</f>
        <v/>
      </c>
      <c r="S1743" s="11">
        <f>IF(AND(ISNUMBER(P1743),ISNUMBER(Q1743),P1743&gt;0,ISNUMBER($B$100)),MAX(0,$B$100-3*SQRT($B$100/P1743)),"")</f>
        <v/>
      </c>
      <c r="T1743" s="11">
        <f>IF(AND(ISNUMBER(P1743),ISNUMBER(Q1743),P1743&gt;0,ISNUMBER($B$100)),$B$100+3*SQRT($B$100/P1743),"")</f>
        <v/>
      </c>
      <c r="U1743" s="13">
        <f>IF(AND(ISNUMBER(R1743),ISNUMBER(S1743),ISNUMBER(T1743)),IF(R1743&gt;T1743,"boven UCL",IF(R1743&lt;S1743,"onder LCL","")),"")</f>
        <v/>
      </c>
    </row>
    <row r="1744">
      <c r="A1744" t="n">
        <v>1638</v>
      </c>
      <c r="B1744" s="7" t="n"/>
      <c r="C1744" s="11">
        <f>IF(AND(ISNUMBER(B1744),ISNUMBER(B1743)),ABS(B1744-B1743),"")</f>
        <v/>
      </c>
      <c r="D1744" s="13">
        <f>IF(AND(ISNUMBER(B1744),ISNUMBER($B$88),ISNUMBER($D$88)),IF(B1744&gt;$D$88,"boven UCL",IF(B1744&lt;$B$88,"onder LCL","")),"")</f>
        <v/>
      </c>
      <c r="E1744" s="13">
        <f>IF(AND(ISNUMBER(C1744),ISNUMBER($B$89),ISNUMBER($D$89)),IF(C1744&gt;$D$89,"boven UCL",IF(C1744&lt;$B$89,"onder LCL","")),"")</f>
        <v/>
      </c>
      <c r="G1744" t="n">
        <v>1638</v>
      </c>
      <c r="H1744" s="7" t="n"/>
      <c r="I1744" s="7" t="n"/>
      <c r="J1744" s="11">
        <f>IF(AND(ISNUMBER(H1744),ISNUMBER(I1744),H1744&gt;0,ISNUMBER($B$94)),I1744/H1744,"")</f>
        <v/>
      </c>
      <c r="K1744" s="11">
        <f>IF(AND(ISNUMBER(H1744),ISNUMBER(I1744),H1744&gt;0,ISNUMBER($B$94)),MAX(0,$B$94-3*SQRT($B$94*(1-$B$94)/H1744)),"")</f>
        <v/>
      </c>
      <c r="L1744" s="11">
        <f>IF(AND(ISNUMBER(H1744),ISNUMBER(I1744),H1744&gt;0,ISNUMBER($B$94)),$B$94+3*SQRT($B$94*(1-$B$94)/H1744),"")</f>
        <v/>
      </c>
      <c r="M1744" s="13">
        <f>IF(AND(ISNUMBER(J1744),ISNUMBER(K1744),ISNUMBER(L1744)),IF(J1744&gt;L1744,"boven UCL",IF(J1744&lt;K1744,"onder LCL","")),"")</f>
        <v/>
      </c>
      <c r="O1744" t="n">
        <v>1638</v>
      </c>
      <c r="P1744" s="7" t="n"/>
      <c r="Q1744" s="7" t="n"/>
      <c r="R1744" s="11">
        <f>IF(AND(ISNUMBER(P1744),ISNUMBER(Q1744),P1744&gt;0,ISNUMBER($B$100)),Q1744/P1744,"")</f>
        <v/>
      </c>
      <c r="S1744" s="11">
        <f>IF(AND(ISNUMBER(P1744),ISNUMBER(Q1744),P1744&gt;0,ISNUMBER($B$100)),MAX(0,$B$100-3*SQRT($B$100/P1744)),"")</f>
        <v/>
      </c>
      <c r="T1744" s="11">
        <f>IF(AND(ISNUMBER(P1744),ISNUMBER(Q1744),P1744&gt;0,ISNUMBER($B$100)),$B$100+3*SQRT($B$100/P1744),"")</f>
        <v/>
      </c>
      <c r="U1744" s="13">
        <f>IF(AND(ISNUMBER(R1744),ISNUMBER(S1744),ISNUMBER(T1744)),IF(R1744&gt;T1744,"boven UCL",IF(R1744&lt;S1744,"onder LCL","")),"")</f>
        <v/>
      </c>
    </row>
    <row r="1745">
      <c r="A1745" t="n">
        <v>1639</v>
      </c>
      <c r="B1745" s="7" t="n"/>
      <c r="C1745" s="11">
        <f>IF(AND(ISNUMBER(B1745),ISNUMBER(B1744)),ABS(B1745-B1744),"")</f>
        <v/>
      </c>
      <c r="D1745" s="13">
        <f>IF(AND(ISNUMBER(B1745),ISNUMBER($B$88),ISNUMBER($D$88)),IF(B1745&gt;$D$88,"boven UCL",IF(B1745&lt;$B$88,"onder LCL","")),"")</f>
        <v/>
      </c>
      <c r="E1745" s="13">
        <f>IF(AND(ISNUMBER(C1745),ISNUMBER($B$89),ISNUMBER($D$89)),IF(C1745&gt;$D$89,"boven UCL",IF(C1745&lt;$B$89,"onder LCL","")),"")</f>
        <v/>
      </c>
      <c r="G1745" t="n">
        <v>1639</v>
      </c>
      <c r="H1745" s="7" t="n"/>
      <c r="I1745" s="7" t="n"/>
      <c r="J1745" s="11">
        <f>IF(AND(ISNUMBER(H1745),ISNUMBER(I1745),H1745&gt;0,ISNUMBER($B$94)),I1745/H1745,"")</f>
        <v/>
      </c>
      <c r="K1745" s="11">
        <f>IF(AND(ISNUMBER(H1745),ISNUMBER(I1745),H1745&gt;0,ISNUMBER($B$94)),MAX(0,$B$94-3*SQRT($B$94*(1-$B$94)/H1745)),"")</f>
        <v/>
      </c>
      <c r="L1745" s="11">
        <f>IF(AND(ISNUMBER(H1745),ISNUMBER(I1745),H1745&gt;0,ISNUMBER($B$94)),$B$94+3*SQRT($B$94*(1-$B$94)/H1745),"")</f>
        <v/>
      </c>
      <c r="M1745" s="13">
        <f>IF(AND(ISNUMBER(J1745),ISNUMBER(K1745),ISNUMBER(L1745)),IF(J1745&gt;L1745,"boven UCL",IF(J1745&lt;K1745,"onder LCL","")),"")</f>
        <v/>
      </c>
      <c r="O1745" t="n">
        <v>1639</v>
      </c>
      <c r="P1745" s="7" t="n"/>
      <c r="Q1745" s="7" t="n"/>
      <c r="R1745" s="11">
        <f>IF(AND(ISNUMBER(P1745),ISNUMBER(Q1745),P1745&gt;0,ISNUMBER($B$100)),Q1745/P1745,"")</f>
        <v/>
      </c>
      <c r="S1745" s="11">
        <f>IF(AND(ISNUMBER(P1745),ISNUMBER(Q1745),P1745&gt;0,ISNUMBER($B$100)),MAX(0,$B$100-3*SQRT($B$100/P1745)),"")</f>
        <v/>
      </c>
      <c r="T1745" s="11">
        <f>IF(AND(ISNUMBER(P1745),ISNUMBER(Q1745),P1745&gt;0,ISNUMBER($B$100)),$B$100+3*SQRT($B$100/P1745),"")</f>
        <v/>
      </c>
      <c r="U1745" s="13">
        <f>IF(AND(ISNUMBER(R1745),ISNUMBER(S1745),ISNUMBER(T1745)),IF(R1745&gt;T1745,"boven UCL",IF(R1745&lt;S1745,"onder LCL","")),"")</f>
        <v/>
      </c>
    </row>
    <row r="1746">
      <c r="A1746" t="n">
        <v>1640</v>
      </c>
      <c r="B1746" s="7" t="n"/>
      <c r="C1746" s="11">
        <f>IF(AND(ISNUMBER(B1746),ISNUMBER(B1745)),ABS(B1746-B1745),"")</f>
        <v/>
      </c>
      <c r="D1746" s="13">
        <f>IF(AND(ISNUMBER(B1746),ISNUMBER($B$88),ISNUMBER($D$88)),IF(B1746&gt;$D$88,"boven UCL",IF(B1746&lt;$B$88,"onder LCL","")),"")</f>
        <v/>
      </c>
      <c r="E1746" s="13">
        <f>IF(AND(ISNUMBER(C1746),ISNUMBER($B$89),ISNUMBER($D$89)),IF(C1746&gt;$D$89,"boven UCL",IF(C1746&lt;$B$89,"onder LCL","")),"")</f>
        <v/>
      </c>
      <c r="G1746" t="n">
        <v>1640</v>
      </c>
      <c r="H1746" s="7" t="n"/>
      <c r="I1746" s="7" t="n"/>
      <c r="J1746" s="11">
        <f>IF(AND(ISNUMBER(H1746),ISNUMBER(I1746),H1746&gt;0,ISNUMBER($B$94)),I1746/H1746,"")</f>
        <v/>
      </c>
      <c r="K1746" s="11">
        <f>IF(AND(ISNUMBER(H1746),ISNUMBER(I1746),H1746&gt;0,ISNUMBER($B$94)),MAX(0,$B$94-3*SQRT($B$94*(1-$B$94)/H1746)),"")</f>
        <v/>
      </c>
      <c r="L1746" s="11">
        <f>IF(AND(ISNUMBER(H1746),ISNUMBER(I1746),H1746&gt;0,ISNUMBER($B$94)),$B$94+3*SQRT($B$94*(1-$B$94)/H1746),"")</f>
        <v/>
      </c>
      <c r="M1746" s="13">
        <f>IF(AND(ISNUMBER(J1746),ISNUMBER(K1746),ISNUMBER(L1746)),IF(J1746&gt;L1746,"boven UCL",IF(J1746&lt;K1746,"onder LCL","")),"")</f>
        <v/>
      </c>
      <c r="O1746" t="n">
        <v>1640</v>
      </c>
      <c r="P1746" s="7" t="n"/>
      <c r="Q1746" s="7" t="n"/>
      <c r="R1746" s="11">
        <f>IF(AND(ISNUMBER(P1746),ISNUMBER(Q1746),P1746&gt;0,ISNUMBER($B$100)),Q1746/P1746,"")</f>
        <v/>
      </c>
      <c r="S1746" s="11">
        <f>IF(AND(ISNUMBER(P1746),ISNUMBER(Q1746),P1746&gt;0,ISNUMBER($B$100)),MAX(0,$B$100-3*SQRT($B$100/P1746)),"")</f>
        <v/>
      </c>
      <c r="T1746" s="11">
        <f>IF(AND(ISNUMBER(P1746),ISNUMBER(Q1746),P1746&gt;0,ISNUMBER($B$100)),$B$100+3*SQRT($B$100/P1746),"")</f>
        <v/>
      </c>
      <c r="U1746" s="13">
        <f>IF(AND(ISNUMBER(R1746),ISNUMBER(S1746),ISNUMBER(T1746)),IF(R1746&gt;T1746,"boven UCL",IF(R1746&lt;S1746,"onder LCL","")),"")</f>
        <v/>
      </c>
    </row>
    <row r="1747">
      <c r="A1747" t="n">
        <v>1641</v>
      </c>
      <c r="B1747" s="7" t="n"/>
      <c r="C1747" s="11">
        <f>IF(AND(ISNUMBER(B1747),ISNUMBER(B1746)),ABS(B1747-B1746),"")</f>
        <v/>
      </c>
      <c r="D1747" s="13">
        <f>IF(AND(ISNUMBER(B1747),ISNUMBER($B$88),ISNUMBER($D$88)),IF(B1747&gt;$D$88,"boven UCL",IF(B1747&lt;$B$88,"onder LCL","")),"")</f>
        <v/>
      </c>
      <c r="E1747" s="13">
        <f>IF(AND(ISNUMBER(C1747),ISNUMBER($B$89),ISNUMBER($D$89)),IF(C1747&gt;$D$89,"boven UCL",IF(C1747&lt;$B$89,"onder LCL","")),"")</f>
        <v/>
      </c>
      <c r="G1747" t="n">
        <v>1641</v>
      </c>
      <c r="H1747" s="7" t="n"/>
      <c r="I1747" s="7" t="n"/>
      <c r="J1747" s="11">
        <f>IF(AND(ISNUMBER(H1747),ISNUMBER(I1747),H1747&gt;0,ISNUMBER($B$94)),I1747/H1747,"")</f>
        <v/>
      </c>
      <c r="K1747" s="11">
        <f>IF(AND(ISNUMBER(H1747),ISNUMBER(I1747),H1747&gt;0,ISNUMBER($B$94)),MAX(0,$B$94-3*SQRT($B$94*(1-$B$94)/H1747)),"")</f>
        <v/>
      </c>
      <c r="L1747" s="11">
        <f>IF(AND(ISNUMBER(H1747),ISNUMBER(I1747),H1747&gt;0,ISNUMBER($B$94)),$B$94+3*SQRT($B$94*(1-$B$94)/H1747),"")</f>
        <v/>
      </c>
      <c r="M1747" s="13">
        <f>IF(AND(ISNUMBER(J1747),ISNUMBER(K1747),ISNUMBER(L1747)),IF(J1747&gt;L1747,"boven UCL",IF(J1747&lt;K1747,"onder LCL","")),"")</f>
        <v/>
      </c>
      <c r="O1747" t="n">
        <v>1641</v>
      </c>
      <c r="P1747" s="7" t="n"/>
      <c r="Q1747" s="7" t="n"/>
      <c r="R1747" s="11">
        <f>IF(AND(ISNUMBER(P1747),ISNUMBER(Q1747),P1747&gt;0,ISNUMBER($B$100)),Q1747/P1747,"")</f>
        <v/>
      </c>
      <c r="S1747" s="11">
        <f>IF(AND(ISNUMBER(P1747),ISNUMBER(Q1747),P1747&gt;0,ISNUMBER($B$100)),MAX(0,$B$100-3*SQRT($B$100/P1747)),"")</f>
        <v/>
      </c>
      <c r="T1747" s="11">
        <f>IF(AND(ISNUMBER(P1747),ISNUMBER(Q1747),P1747&gt;0,ISNUMBER($B$100)),$B$100+3*SQRT($B$100/P1747),"")</f>
        <v/>
      </c>
      <c r="U1747" s="13">
        <f>IF(AND(ISNUMBER(R1747),ISNUMBER(S1747),ISNUMBER(T1747)),IF(R1747&gt;T1747,"boven UCL",IF(R1747&lt;S1747,"onder LCL","")),"")</f>
        <v/>
      </c>
    </row>
    <row r="1748">
      <c r="A1748" t="n">
        <v>1642</v>
      </c>
      <c r="B1748" s="7" t="n"/>
      <c r="C1748" s="11">
        <f>IF(AND(ISNUMBER(B1748),ISNUMBER(B1747)),ABS(B1748-B1747),"")</f>
        <v/>
      </c>
      <c r="D1748" s="13">
        <f>IF(AND(ISNUMBER(B1748),ISNUMBER($B$88),ISNUMBER($D$88)),IF(B1748&gt;$D$88,"boven UCL",IF(B1748&lt;$B$88,"onder LCL","")),"")</f>
        <v/>
      </c>
      <c r="E1748" s="13">
        <f>IF(AND(ISNUMBER(C1748),ISNUMBER($B$89),ISNUMBER($D$89)),IF(C1748&gt;$D$89,"boven UCL",IF(C1748&lt;$B$89,"onder LCL","")),"")</f>
        <v/>
      </c>
      <c r="G1748" t="n">
        <v>1642</v>
      </c>
      <c r="H1748" s="7" t="n"/>
      <c r="I1748" s="7" t="n"/>
      <c r="J1748" s="11">
        <f>IF(AND(ISNUMBER(H1748),ISNUMBER(I1748),H1748&gt;0,ISNUMBER($B$94)),I1748/H1748,"")</f>
        <v/>
      </c>
      <c r="K1748" s="11">
        <f>IF(AND(ISNUMBER(H1748),ISNUMBER(I1748),H1748&gt;0,ISNUMBER($B$94)),MAX(0,$B$94-3*SQRT($B$94*(1-$B$94)/H1748)),"")</f>
        <v/>
      </c>
      <c r="L1748" s="11">
        <f>IF(AND(ISNUMBER(H1748),ISNUMBER(I1748),H1748&gt;0,ISNUMBER($B$94)),$B$94+3*SQRT($B$94*(1-$B$94)/H1748),"")</f>
        <v/>
      </c>
      <c r="M1748" s="13">
        <f>IF(AND(ISNUMBER(J1748),ISNUMBER(K1748),ISNUMBER(L1748)),IF(J1748&gt;L1748,"boven UCL",IF(J1748&lt;K1748,"onder LCL","")),"")</f>
        <v/>
      </c>
      <c r="O1748" t="n">
        <v>1642</v>
      </c>
      <c r="P1748" s="7" t="n"/>
      <c r="Q1748" s="7" t="n"/>
      <c r="R1748" s="11">
        <f>IF(AND(ISNUMBER(P1748),ISNUMBER(Q1748),P1748&gt;0,ISNUMBER($B$100)),Q1748/P1748,"")</f>
        <v/>
      </c>
      <c r="S1748" s="11">
        <f>IF(AND(ISNUMBER(P1748),ISNUMBER(Q1748),P1748&gt;0,ISNUMBER($B$100)),MAX(0,$B$100-3*SQRT($B$100/P1748)),"")</f>
        <v/>
      </c>
      <c r="T1748" s="11">
        <f>IF(AND(ISNUMBER(P1748),ISNUMBER(Q1748),P1748&gt;0,ISNUMBER($B$100)),$B$100+3*SQRT($B$100/P1748),"")</f>
        <v/>
      </c>
      <c r="U1748" s="13">
        <f>IF(AND(ISNUMBER(R1748),ISNUMBER(S1748),ISNUMBER(T1748)),IF(R1748&gt;T1748,"boven UCL",IF(R1748&lt;S1748,"onder LCL","")),"")</f>
        <v/>
      </c>
    </row>
    <row r="1749">
      <c r="A1749" t="n">
        <v>1643</v>
      </c>
      <c r="B1749" s="7" t="n"/>
      <c r="C1749" s="11">
        <f>IF(AND(ISNUMBER(B1749),ISNUMBER(B1748)),ABS(B1749-B1748),"")</f>
        <v/>
      </c>
      <c r="D1749" s="13">
        <f>IF(AND(ISNUMBER(B1749),ISNUMBER($B$88),ISNUMBER($D$88)),IF(B1749&gt;$D$88,"boven UCL",IF(B1749&lt;$B$88,"onder LCL","")),"")</f>
        <v/>
      </c>
      <c r="E1749" s="13">
        <f>IF(AND(ISNUMBER(C1749),ISNUMBER($B$89),ISNUMBER($D$89)),IF(C1749&gt;$D$89,"boven UCL",IF(C1749&lt;$B$89,"onder LCL","")),"")</f>
        <v/>
      </c>
      <c r="G1749" t="n">
        <v>1643</v>
      </c>
      <c r="H1749" s="7" t="n"/>
      <c r="I1749" s="7" t="n"/>
      <c r="J1749" s="11">
        <f>IF(AND(ISNUMBER(H1749),ISNUMBER(I1749),H1749&gt;0,ISNUMBER($B$94)),I1749/H1749,"")</f>
        <v/>
      </c>
      <c r="K1749" s="11">
        <f>IF(AND(ISNUMBER(H1749),ISNUMBER(I1749),H1749&gt;0,ISNUMBER($B$94)),MAX(0,$B$94-3*SQRT($B$94*(1-$B$94)/H1749)),"")</f>
        <v/>
      </c>
      <c r="L1749" s="11">
        <f>IF(AND(ISNUMBER(H1749),ISNUMBER(I1749),H1749&gt;0,ISNUMBER($B$94)),$B$94+3*SQRT($B$94*(1-$B$94)/H1749),"")</f>
        <v/>
      </c>
      <c r="M1749" s="13">
        <f>IF(AND(ISNUMBER(J1749),ISNUMBER(K1749),ISNUMBER(L1749)),IF(J1749&gt;L1749,"boven UCL",IF(J1749&lt;K1749,"onder LCL","")),"")</f>
        <v/>
      </c>
      <c r="O1749" t="n">
        <v>1643</v>
      </c>
      <c r="P1749" s="7" t="n"/>
      <c r="Q1749" s="7" t="n"/>
      <c r="R1749" s="11">
        <f>IF(AND(ISNUMBER(P1749),ISNUMBER(Q1749),P1749&gt;0,ISNUMBER($B$100)),Q1749/P1749,"")</f>
        <v/>
      </c>
      <c r="S1749" s="11">
        <f>IF(AND(ISNUMBER(P1749),ISNUMBER(Q1749),P1749&gt;0,ISNUMBER($B$100)),MAX(0,$B$100-3*SQRT($B$100/P1749)),"")</f>
        <v/>
      </c>
      <c r="T1749" s="11">
        <f>IF(AND(ISNUMBER(P1749),ISNUMBER(Q1749),P1749&gt;0,ISNUMBER($B$100)),$B$100+3*SQRT($B$100/P1749),"")</f>
        <v/>
      </c>
      <c r="U1749" s="13">
        <f>IF(AND(ISNUMBER(R1749),ISNUMBER(S1749),ISNUMBER(T1749)),IF(R1749&gt;T1749,"boven UCL",IF(R1749&lt;S1749,"onder LCL","")),"")</f>
        <v/>
      </c>
    </row>
    <row r="1750">
      <c r="A1750" t="n">
        <v>1644</v>
      </c>
      <c r="B1750" s="7" t="n"/>
      <c r="C1750" s="11">
        <f>IF(AND(ISNUMBER(B1750),ISNUMBER(B1749)),ABS(B1750-B1749),"")</f>
        <v/>
      </c>
      <c r="D1750" s="13">
        <f>IF(AND(ISNUMBER(B1750),ISNUMBER($B$88),ISNUMBER($D$88)),IF(B1750&gt;$D$88,"boven UCL",IF(B1750&lt;$B$88,"onder LCL","")),"")</f>
        <v/>
      </c>
      <c r="E1750" s="13">
        <f>IF(AND(ISNUMBER(C1750),ISNUMBER($B$89),ISNUMBER($D$89)),IF(C1750&gt;$D$89,"boven UCL",IF(C1750&lt;$B$89,"onder LCL","")),"")</f>
        <v/>
      </c>
      <c r="G1750" t="n">
        <v>1644</v>
      </c>
      <c r="H1750" s="7" t="n"/>
      <c r="I1750" s="7" t="n"/>
      <c r="J1750" s="11">
        <f>IF(AND(ISNUMBER(H1750),ISNUMBER(I1750),H1750&gt;0,ISNUMBER($B$94)),I1750/H1750,"")</f>
        <v/>
      </c>
      <c r="K1750" s="11">
        <f>IF(AND(ISNUMBER(H1750),ISNUMBER(I1750),H1750&gt;0,ISNUMBER($B$94)),MAX(0,$B$94-3*SQRT($B$94*(1-$B$94)/H1750)),"")</f>
        <v/>
      </c>
      <c r="L1750" s="11">
        <f>IF(AND(ISNUMBER(H1750),ISNUMBER(I1750),H1750&gt;0,ISNUMBER($B$94)),$B$94+3*SQRT($B$94*(1-$B$94)/H1750),"")</f>
        <v/>
      </c>
      <c r="M1750" s="13">
        <f>IF(AND(ISNUMBER(J1750),ISNUMBER(K1750),ISNUMBER(L1750)),IF(J1750&gt;L1750,"boven UCL",IF(J1750&lt;K1750,"onder LCL","")),"")</f>
        <v/>
      </c>
      <c r="O1750" t="n">
        <v>1644</v>
      </c>
      <c r="P1750" s="7" t="n"/>
      <c r="Q1750" s="7" t="n"/>
      <c r="R1750" s="11">
        <f>IF(AND(ISNUMBER(P1750),ISNUMBER(Q1750),P1750&gt;0,ISNUMBER($B$100)),Q1750/P1750,"")</f>
        <v/>
      </c>
      <c r="S1750" s="11">
        <f>IF(AND(ISNUMBER(P1750),ISNUMBER(Q1750),P1750&gt;0,ISNUMBER($B$100)),MAX(0,$B$100-3*SQRT($B$100/P1750)),"")</f>
        <v/>
      </c>
      <c r="T1750" s="11">
        <f>IF(AND(ISNUMBER(P1750),ISNUMBER(Q1750),P1750&gt;0,ISNUMBER($B$100)),$B$100+3*SQRT($B$100/P1750),"")</f>
        <v/>
      </c>
      <c r="U1750" s="13">
        <f>IF(AND(ISNUMBER(R1750),ISNUMBER(S1750),ISNUMBER(T1750)),IF(R1750&gt;T1750,"boven UCL",IF(R1750&lt;S1750,"onder LCL","")),"")</f>
        <v/>
      </c>
    </row>
    <row r="1751">
      <c r="A1751" t="n">
        <v>1645</v>
      </c>
      <c r="B1751" s="7" t="n"/>
      <c r="C1751" s="11">
        <f>IF(AND(ISNUMBER(B1751),ISNUMBER(B1750)),ABS(B1751-B1750),"")</f>
        <v/>
      </c>
      <c r="D1751" s="13">
        <f>IF(AND(ISNUMBER(B1751),ISNUMBER($B$88),ISNUMBER($D$88)),IF(B1751&gt;$D$88,"boven UCL",IF(B1751&lt;$B$88,"onder LCL","")),"")</f>
        <v/>
      </c>
      <c r="E1751" s="13">
        <f>IF(AND(ISNUMBER(C1751),ISNUMBER($B$89),ISNUMBER($D$89)),IF(C1751&gt;$D$89,"boven UCL",IF(C1751&lt;$B$89,"onder LCL","")),"")</f>
        <v/>
      </c>
      <c r="G1751" t="n">
        <v>1645</v>
      </c>
      <c r="H1751" s="7" t="n"/>
      <c r="I1751" s="7" t="n"/>
      <c r="J1751" s="11">
        <f>IF(AND(ISNUMBER(H1751),ISNUMBER(I1751),H1751&gt;0,ISNUMBER($B$94)),I1751/H1751,"")</f>
        <v/>
      </c>
      <c r="K1751" s="11">
        <f>IF(AND(ISNUMBER(H1751),ISNUMBER(I1751),H1751&gt;0,ISNUMBER($B$94)),MAX(0,$B$94-3*SQRT($B$94*(1-$B$94)/H1751)),"")</f>
        <v/>
      </c>
      <c r="L1751" s="11">
        <f>IF(AND(ISNUMBER(H1751),ISNUMBER(I1751),H1751&gt;0,ISNUMBER($B$94)),$B$94+3*SQRT($B$94*(1-$B$94)/H1751),"")</f>
        <v/>
      </c>
      <c r="M1751" s="13">
        <f>IF(AND(ISNUMBER(J1751),ISNUMBER(K1751),ISNUMBER(L1751)),IF(J1751&gt;L1751,"boven UCL",IF(J1751&lt;K1751,"onder LCL","")),"")</f>
        <v/>
      </c>
      <c r="O1751" t="n">
        <v>1645</v>
      </c>
      <c r="P1751" s="7" t="n"/>
      <c r="Q1751" s="7" t="n"/>
      <c r="R1751" s="11">
        <f>IF(AND(ISNUMBER(P1751),ISNUMBER(Q1751),P1751&gt;0,ISNUMBER($B$100)),Q1751/P1751,"")</f>
        <v/>
      </c>
      <c r="S1751" s="11">
        <f>IF(AND(ISNUMBER(P1751),ISNUMBER(Q1751),P1751&gt;0,ISNUMBER($B$100)),MAX(0,$B$100-3*SQRT($B$100/P1751)),"")</f>
        <v/>
      </c>
      <c r="T1751" s="11">
        <f>IF(AND(ISNUMBER(P1751),ISNUMBER(Q1751),P1751&gt;0,ISNUMBER($B$100)),$B$100+3*SQRT($B$100/P1751),"")</f>
        <v/>
      </c>
      <c r="U1751" s="13">
        <f>IF(AND(ISNUMBER(R1751),ISNUMBER(S1751),ISNUMBER(T1751)),IF(R1751&gt;T1751,"boven UCL",IF(R1751&lt;S1751,"onder LCL","")),"")</f>
        <v/>
      </c>
    </row>
    <row r="1752">
      <c r="A1752" t="n">
        <v>1646</v>
      </c>
      <c r="B1752" s="7" t="n"/>
      <c r="C1752" s="11">
        <f>IF(AND(ISNUMBER(B1752),ISNUMBER(B1751)),ABS(B1752-B1751),"")</f>
        <v/>
      </c>
      <c r="D1752" s="13">
        <f>IF(AND(ISNUMBER(B1752),ISNUMBER($B$88),ISNUMBER($D$88)),IF(B1752&gt;$D$88,"boven UCL",IF(B1752&lt;$B$88,"onder LCL","")),"")</f>
        <v/>
      </c>
      <c r="E1752" s="13">
        <f>IF(AND(ISNUMBER(C1752),ISNUMBER($B$89),ISNUMBER($D$89)),IF(C1752&gt;$D$89,"boven UCL",IF(C1752&lt;$B$89,"onder LCL","")),"")</f>
        <v/>
      </c>
      <c r="G1752" t="n">
        <v>1646</v>
      </c>
      <c r="H1752" s="7" t="n"/>
      <c r="I1752" s="7" t="n"/>
      <c r="J1752" s="11">
        <f>IF(AND(ISNUMBER(H1752),ISNUMBER(I1752),H1752&gt;0,ISNUMBER($B$94)),I1752/H1752,"")</f>
        <v/>
      </c>
      <c r="K1752" s="11">
        <f>IF(AND(ISNUMBER(H1752),ISNUMBER(I1752),H1752&gt;0,ISNUMBER($B$94)),MAX(0,$B$94-3*SQRT($B$94*(1-$B$94)/H1752)),"")</f>
        <v/>
      </c>
      <c r="L1752" s="11">
        <f>IF(AND(ISNUMBER(H1752),ISNUMBER(I1752),H1752&gt;0,ISNUMBER($B$94)),$B$94+3*SQRT($B$94*(1-$B$94)/H1752),"")</f>
        <v/>
      </c>
      <c r="M1752" s="13">
        <f>IF(AND(ISNUMBER(J1752),ISNUMBER(K1752),ISNUMBER(L1752)),IF(J1752&gt;L1752,"boven UCL",IF(J1752&lt;K1752,"onder LCL","")),"")</f>
        <v/>
      </c>
      <c r="O1752" t="n">
        <v>1646</v>
      </c>
      <c r="P1752" s="7" t="n"/>
      <c r="Q1752" s="7" t="n"/>
      <c r="R1752" s="11">
        <f>IF(AND(ISNUMBER(P1752),ISNUMBER(Q1752),P1752&gt;0,ISNUMBER($B$100)),Q1752/P1752,"")</f>
        <v/>
      </c>
      <c r="S1752" s="11">
        <f>IF(AND(ISNUMBER(P1752),ISNUMBER(Q1752),P1752&gt;0,ISNUMBER($B$100)),MAX(0,$B$100-3*SQRT($B$100/P1752)),"")</f>
        <v/>
      </c>
      <c r="T1752" s="11">
        <f>IF(AND(ISNUMBER(P1752),ISNUMBER(Q1752),P1752&gt;0,ISNUMBER($B$100)),$B$100+3*SQRT($B$100/P1752),"")</f>
        <v/>
      </c>
      <c r="U1752" s="13">
        <f>IF(AND(ISNUMBER(R1752),ISNUMBER(S1752),ISNUMBER(T1752)),IF(R1752&gt;T1752,"boven UCL",IF(R1752&lt;S1752,"onder LCL","")),"")</f>
        <v/>
      </c>
    </row>
    <row r="1753">
      <c r="A1753" t="n">
        <v>1647</v>
      </c>
      <c r="B1753" s="7" t="n"/>
      <c r="C1753" s="11">
        <f>IF(AND(ISNUMBER(B1753),ISNUMBER(B1752)),ABS(B1753-B1752),"")</f>
        <v/>
      </c>
      <c r="D1753" s="13">
        <f>IF(AND(ISNUMBER(B1753),ISNUMBER($B$88),ISNUMBER($D$88)),IF(B1753&gt;$D$88,"boven UCL",IF(B1753&lt;$B$88,"onder LCL","")),"")</f>
        <v/>
      </c>
      <c r="E1753" s="13">
        <f>IF(AND(ISNUMBER(C1753),ISNUMBER($B$89),ISNUMBER($D$89)),IF(C1753&gt;$D$89,"boven UCL",IF(C1753&lt;$B$89,"onder LCL","")),"")</f>
        <v/>
      </c>
      <c r="G1753" t="n">
        <v>1647</v>
      </c>
      <c r="H1753" s="7" t="n"/>
      <c r="I1753" s="7" t="n"/>
      <c r="J1753" s="11">
        <f>IF(AND(ISNUMBER(H1753),ISNUMBER(I1753),H1753&gt;0,ISNUMBER($B$94)),I1753/H1753,"")</f>
        <v/>
      </c>
      <c r="K1753" s="11">
        <f>IF(AND(ISNUMBER(H1753),ISNUMBER(I1753),H1753&gt;0,ISNUMBER($B$94)),MAX(0,$B$94-3*SQRT($B$94*(1-$B$94)/H1753)),"")</f>
        <v/>
      </c>
      <c r="L1753" s="11">
        <f>IF(AND(ISNUMBER(H1753),ISNUMBER(I1753),H1753&gt;0,ISNUMBER($B$94)),$B$94+3*SQRT($B$94*(1-$B$94)/H1753),"")</f>
        <v/>
      </c>
      <c r="M1753" s="13">
        <f>IF(AND(ISNUMBER(J1753),ISNUMBER(K1753),ISNUMBER(L1753)),IF(J1753&gt;L1753,"boven UCL",IF(J1753&lt;K1753,"onder LCL","")),"")</f>
        <v/>
      </c>
      <c r="O1753" t="n">
        <v>1647</v>
      </c>
      <c r="P1753" s="7" t="n"/>
      <c r="Q1753" s="7" t="n"/>
      <c r="R1753" s="11">
        <f>IF(AND(ISNUMBER(P1753),ISNUMBER(Q1753),P1753&gt;0,ISNUMBER($B$100)),Q1753/P1753,"")</f>
        <v/>
      </c>
      <c r="S1753" s="11">
        <f>IF(AND(ISNUMBER(P1753),ISNUMBER(Q1753),P1753&gt;0,ISNUMBER($B$100)),MAX(0,$B$100-3*SQRT($B$100/P1753)),"")</f>
        <v/>
      </c>
      <c r="T1753" s="11">
        <f>IF(AND(ISNUMBER(P1753),ISNUMBER(Q1753),P1753&gt;0,ISNUMBER($B$100)),$B$100+3*SQRT($B$100/P1753),"")</f>
        <v/>
      </c>
      <c r="U1753" s="13">
        <f>IF(AND(ISNUMBER(R1753),ISNUMBER(S1753),ISNUMBER(T1753)),IF(R1753&gt;T1753,"boven UCL",IF(R1753&lt;S1753,"onder LCL","")),"")</f>
        <v/>
      </c>
    </row>
    <row r="1754">
      <c r="A1754" t="n">
        <v>1648</v>
      </c>
      <c r="B1754" s="7" t="n"/>
      <c r="C1754" s="11">
        <f>IF(AND(ISNUMBER(B1754),ISNUMBER(B1753)),ABS(B1754-B1753),"")</f>
        <v/>
      </c>
      <c r="D1754" s="13">
        <f>IF(AND(ISNUMBER(B1754),ISNUMBER($B$88),ISNUMBER($D$88)),IF(B1754&gt;$D$88,"boven UCL",IF(B1754&lt;$B$88,"onder LCL","")),"")</f>
        <v/>
      </c>
      <c r="E1754" s="13">
        <f>IF(AND(ISNUMBER(C1754),ISNUMBER($B$89),ISNUMBER($D$89)),IF(C1754&gt;$D$89,"boven UCL",IF(C1754&lt;$B$89,"onder LCL","")),"")</f>
        <v/>
      </c>
      <c r="G1754" t="n">
        <v>1648</v>
      </c>
      <c r="H1754" s="7" t="n"/>
      <c r="I1754" s="7" t="n"/>
      <c r="J1754" s="11">
        <f>IF(AND(ISNUMBER(H1754),ISNUMBER(I1754),H1754&gt;0,ISNUMBER($B$94)),I1754/H1754,"")</f>
        <v/>
      </c>
      <c r="K1754" s="11">
        <f>IF(AND(ISNUMBER(H1754),ISNUMBER(I1754),H1754&gt;0,ISNUMBER($B$94)),MAX(0,$B$94-3*SQRT($B$94*(1-$B$94)/H1754)),"")</f>
        <v/>
      </c>
      <c r="L1754" s="11">
        <f>IF(AND(ISNUMBER(H1754),ISNUMBER(I1754),H1754&gt;0,ISNUMBER($B$94)),$B$94+3*SQRT($B$94*(1-$B$94)/H1754),"")</f>
        <v/>
      </c>
      <c r="M1754" s="13">
        <f>IF(AND(ISNUMBER(J1754),ISNUMBER(K1754),ISNUMBER(L1754)),IF(J1754&gt;L1754,"boven UCL",IF(J1754&lt;K1754,"onder LCL","")),"")</f>
        <v/>
      </c>
      <c r="O1754" t="n">
        <v>1648</v>
      </c>
      <c r="P1754" s="7" t="n"/>
      <c r="Q1754" s="7" t="n"/>
      <c r="R1754" s="11">
        <f>IF(AND(ISNUMBER(P1754),ISNUMBER(Q1754),P1754&gt;0,ISNUMBER($B$100)),Q1754/P1754,"")</f>
        <v/>
      </c>
      <c r="S1754" s="11">
        <f>IF(AND(ISNUMBER(P1754),ISNUMBER(Q1754),P1754&gt;0,ISNUMBER($B$100)),MAX(0,$B$100-3*SQRT($B$100/P1754)),"")</f>
        <v/>
      </c>
      <c r="T1754" s="11">
        <f>IF(AND(ISNUMBER(P1754),ISNUMBER(Q1754),P1754&gt;0,ISNUMBER($B$100)),$B$100+3*SQRT($B$100/P1754),"")</f>
        <v/>
      </c>
      <c r="U1754" s="13">
        <f>IF(AND(ISNUMBER(R1754),ISNUMBER(S1754),ISNUMBER(T1754)),IF(R1754&gt;T1754,"boven UCL",IF(R1754&lt;S1754,"onder LCL","")),"")</f>
        <v/>
      </c>
    </row>
    <row r="1755">
      <c r="A1755" t="n">
        <v>1649</v>
      </c>
      <c r="B1755" s="7" t="n"/>
      <c r="C1755" s="11">
        <f>IF(AND(ISNUMBER(B1755),ISNUMBER(B1754)),ABS(B1755-B1754),"")</f>
        <v/>
      </c>
      <c r="D1755" s="13">
        <f>IF(AND(ISNUMBER(B1755),ISNUMBER($B$88),ISNUMBER($D$88)),IF(B1755&gt;$D$88,"boven UCL",IF(B1755&lt;$B$88,"onder LCL","")),"")</f>
        <v/>
      </c>
      <c r="E1755" s="13">
        <f>IF(AND(ISNUMBER(C1755),ISNUMBER($B$89),ISNUMBER($D$89)),IF(C1755&gt;$D$89,"boven UCL",IF(C1755&lt;$B$89,"onder LCL","")),"")</f>
        <v/>
      </c>
      <c r="G1755" t="n">
        <v>1649</v>
      </c>
      <c r="H1755" s="7" t="n"/>
      <c r="I1755" s="7" t="n"/>
      <c r="J1755" s="11">
        <f>IF(AND(ISNUMBER(H1755),ISNUMBER(I1755),H1755&gt;0,ISNUMBER($B$94)),I1755/H1755,"")</f>
        <v/>
      </c>
      <c r="K1755" s="11">
        <f>IF(AND(ISNUMBER(H1755),ISNUMBER(I1755),H1755&gt;0,ISNUMBER($B$94)),MAX(0,$B$94-3*SQRT($B$94*(1-$B$94)/H1755)),"")</f>
        <v/>
      </c>
      <c r="L1755" s="11">
        <f>IF(AND(ISNUMBER(H1755),ISNUMBER(I1755),H1755&gt;0,ISNUMBER($B$94)),$B$94+3*SQRT($B$94*(1-$B$94)/H1755),"")</f>
        <v/>
      </c>
      <c r="M1755" s="13">
        <f>IF(AND(ISNUMBER(J1755),ISNUMBER(K1755),ISNUMBER(L1755)),IF(J1755&gt;L1755,"boven UCL",IF(J1755&lt;K1755,"onder LCL","")),"")</f>
        <v/>
      </c>
      <c r="O1755" t="n">
        <v>1649</v>
      </c>
      <c r="P1755" s="7" t="n"/>
      <c r="Q1755" s="7" t="n"/>
      <c r="R1755" s="11">
        <f>IF(AND(ISNUMBER(P1755),ISNUMBER(Q1755),P1755&gt;0,ISNUMBER($B$100)),Q1755/P1755,"")</f>
        <v/>
      </c>
      <c r="S1755" s="11">
        <f>IF(AND(ISNUMBER(P1755),ISNUMBER(Q1755),P1755&gt;0,ISNUMBER($B$100)),MAX(0,$B$100-3*SQRT($B$100/P1755)),"")</f>
        <v/>
      </c>
      <c r="T1755" s="11">
        <f>IF(AND(ISNUMBER(P1755),ISNUMBER(Q1755),P1755&gt;0,ISNUMBER($B$100)),$B$100+3*SQRT($B$100/P1755),"")</f>
        <v/>
      </c>
      <c r="U1755" s="13">
        <f>IF(AND(ISNUMBER(R1755),ISNUMBER(S1755),ISNUMBER(T1755)),IF(R1755&gt;T1755,"boven UCL",IF(R1755&lt;S1755,"onder LCL","")),"")</f>
        <v/>
      </c>
    </row>
    <row r="1756">
      <c r="A1756" t="n">
        <v>1650</v>
      </c>
      <c r="B1756" s="7" t="n"/>
      <c r="C1756" s="11">
        <f>IF(AND(ISNUMBER(B1756),ISNUMBER(B1755)),ABS(B1756-B1755),"")</f>
        <v/>
      </c>
      <c r="D1756" s="13">
        <f>IF(AND(ISNUMBER(B1756),ISNUMBER($B$88),ISNUMBER($D$88)),IF(B1756&gt;$D$88,"boven UCL",IF(B1756&lt;$B$88,"onder LCL","")),"")</f>
        <v/>
      </c>
      <c r="E1756" s="13">
        <f>IF(AND(ISNUMBER(C1756),ISNUMBER($B$89),ISNUMBER($D$89)),IF(C1756&gt;$D$89,"boven UCL",IF(C1756&lt;$B$89,"onder LCL","")),"")</f>
        <v/>
      </c>
      <c r="G1756" t="n">
        <v>1650</v>
      </c>
      <c r="H1756" s="7" t="n"/>
      <c r="I1756" s="7" t="n"/>
      <c r="J1756" s="11">
        <f>IF(AND(ISNUMBER(H1756),ISNUMBER(I1756),H1756&gt;0,ISNUMBER($B$94)),I1756/H1756,"")</f>
        <v/>
      </c>
      <c r="K1756" s="11">
        <f>IF(AND(ISNUMBER(H1756),ISNUMBER(I1756),H1756&gt;0,ISNUMBER($B$94)),MAX(0,$B$94-3*SQRT($B$94*(1-$B$94)/H1756)),"")</f>
        <v/>
      </c>
      <c r="L1756" s="11">
        <f>IF(AND(ISNUMBER(H1756),ISNUMBER(I1756),H1756&gt;0,ISNUMBER($B$94)),$B$94+3*SQRT($B$94*(1-$B$94)/H1756),"")</f>
        <v/>
      </c>
      <c r="M1756" s="13">
        <f>IF(AND(ISNUMBER(J1756),ISNUMBER(K1756),ISNUMBER(L1756)),IF(J1756&gt;L1756,"boven UCL",IF(J1756&lt;K1756,"onder LCL","")),"")</f>
        <v/>
      </c>
      <c r="O1756" t="n">
        <v>1650</v>
      </c>
      <c r="P1756" s="7" t="n"/>
      <c r="Q1756" s="7" t="n"/>
      <c r="R1756" s="11">
        <f>IF(AND(ISNUMBER(P1756),ISNUMBER(Q1756),P1756&gt;0,ISNUMBER($B$100)),Q1756/P1756,"")</f>
        <v/>
      </c>
      <c r="S1756" s="11">
        <f>IF(AND(ISNUMBER(P1756),ISNUMBER(Q1756),P1756&gt;0,ISNUMBER($B$100)),MAX(0,$B$100-3*SQRT($B$100/P1756)),"")</f>
        <v/>
      </c>
      <c r="T1756" s="11">
        <f>IF(AND(ISNUMBER(P1756),ISNUMBER(Q1756),P1756&gt;0,ISNUMBER($B$100)),$B$100+3*SQRT($B$100/P1756),"")</f>
        <v/>
      </c>
      <c r="U1756" s="13">
        <f>IF(AND(ISNUMBER(R1756),ISNUMBER(S1756),ISNUMBER(T1756)),IF(R1756&gt;T1756,"boven UCL",IF(R1756&lt;S1756,"onder LCL","")),"")</f>
        <v/>
      </c>
    </row>
    <row r="1757">
      <c r="A1757" t="n">
        <v>1651</v>
      </c>
      <c r="B1757" s="7" t="n"/>
      <c r="C1757" s="11">
        <f>IF(AND(ISNUMBER(B1757),ISNUMBER(B1756)),ABS(B1757-B1756),"")</f>
        <v/>
      </c>
      <c r="D1757" s="13">
        <f>IF(AND(ISNUMBER(B1757),ISNUMBER($B$88),ISNUMBER($D$88)),IF(B1757&gt;$D$88,"boven UCL",IF(B1757&lt;$B$88,"onder LCL","")),"")</f>
        <v/>
      </c>
      <c r="E1757" s="13">
        <f>IF(AND(ISNUMBER(C1757),ISNUMBER($B$89),ISNUMBER($D$89)),IF(C1757&gt;$D$89,"boven UCL",IF(C1757&lt;$B$89,"onder LCL","")),"")</f>
        <v/>
      </c>
      <c r="G1757" t="n">
        <v>1651</v>
      </c>
      <c r="H1757" s="7" t="n"/>
      <c r="I1757" s="7" t="n"/>
      <c r="J1757" s="11">
        <f>IF(AND(ISNUMBER(H1757),ISNUMBER(I1757),H1757&gt;0,ISNUMBER($B$94)),I1757/H1757,"")</f>
        <v/>
      </c>
      <c r="K1757" s="11">
        <f>IF(AND(ISNUMBER(H1757),ISNUMBER(I1757),H1757&gt;0,ISNUMBER($B$94)),MAX(0,$B$94-3*SQRT($B$94*(1-$B$94)/H1757)),"")</f>
        <v/>
      </c>
      <c r="L1757" s="11">
        <f>IF(AND(ISNUMBER(H1757),ISNUMBER(I1757),H1757&gt;0,ISNUMBER($B$94)),$B$94+3*SQRT($B$94*(1-$B$94)/H1757),"")</f>
        <v/>
      </c>
      <c r="M1757" s="13">
        <f>IF(AND(ISNUMBER(J1757),ISNUMBER(K1757),ISNUMBER(L1757)),IF(J1757&gt;L1757,"boven UCL",IF(J1757&lt;K1757,"onder LCL","")),"")</f>
        <v/>
      </c>
      <c r="O1757" t="n">
        <v>1651</v>
      </c>
      <c r="P1757" s="7" t="n"/>
      <c r="Q1757" s="7" t="n"/>
      <c r="R1757" s="11">
        <f>IF(AND(ISNUMBER(P1757),ISNUMBER(Q1757),P1757&gt;0,ISNUMBER($B$100)),Q1757/P1757,"")</f>
        <v/>
      </c>
      <c r="S1757" s="11">
        <f>IF(AND(ISNUMBER(P1757),ISNUMBER(Q1757),P1757&gt;0,ISNUMBER($B$100)),MAX(0,$B$100-3*SQRT($B$100/P1757)),"")</f>
        <v/>
      </c>
      <c r="T1757" s="11">
        <f>IF(AND(ISNUMBER(P1757),ISNUMBER(Q1757),P1757&gt;0,ISNUMBER($B$100)),$B$100+3*SQRT($B$100/P1757),"")</f>
        <v/>
      </c>
      <c r="U1757" s="13">
        <f>IF(AND(ISNUMBER(R1757),ISNUMBER(S1757),ISNUMBER(T1757)),IF(R1757&gt;T1757,"boven UCL",IF(R1757&lt;S1757,"onder LCL","")),"")</f>
        <v/>
      </c>
    </row>
    <row r="1758">
      <c r="A1758" t="n">
        <v>1652</v>
      </c>
      <c r="B1758" s="7" t="n"/>
      <c r="C1758" s="11">
        <f>IF(AND(ISNUMBER(B1758),ISNUMBER(B1757)),ABS(B1758-B1757),"")</f>
        <v/>
      </c>
      <c r="D1758" s="13">
        <f>IF(AND(ISNUMBER(B1758),ISNUMBER($B$88),ISNUMBER($D$88)),IF(B1758&gt;$D$88,"boven UCL",IF(B1758&lt;$B$88,"onder LCL","")),"")</f>
        <v/>
      </c>
      <c r="E1758" s="13">
        <f>IF(AND(ISNUMBER(C1758),ISNUMBER($B$89),ISNUMBER($D$89)),IF(C1758&gt;$D$89,"boven UCL",IF(C1758&lt;$B$89,"onder LCL","")),"")</f>
        <v/>
      </c>
      <c r="G1758" t="n">
        <v>1652</v>
      </c>
      <c r="H1758" s="7" t="n"/>
      <c r="I1758" s="7" t="n"/>
      <c r="J1758" s="11">
        <f>IF(AND(ISNUMBER(H1758),ISNUMBER(I1758),H1758&gt;0,ISNUMBER($B$94)),I1758/H1758,"")</f>
        <v/>
      </c>
      <c r="K1758" s="11">
        <f>IF(AND(ISNUMBER(H1758),ISNUMBER(I1758),H1758&gt;0,ISNUMBER($B$94)),MAX(0,$B$94-3*SQRT($B$94*(1-$B$94)/H1758)),"")</f>
        <v/>
      </c>
      <c r="L1758" s="11">
        <f>IF(AND(ISNUMBER(H1758),ISNUMBER(I1758),H1758&gt;0,ISNUMBER($B$94)),$B$94+3*SQRT($B$94*(1-$B$94)/H1758),"")</f>
        <v/>
      </c>
      <c r="M1758" s="13">
        <f>IF(AND(ISNUMBER(J1758),ISNUMBER(K1758),ISNUMBER(L1758)),IF(J1758&gt;L1758,"boven UCL",IF(J1758&lt;K1758,"onder LCL","")),"")</f>
        <v/>
      </c>
      <c r="O1758" t="n">
        <v>1652</v>
      </c>
      <c r="P1758" s="7" t="n"/>
      <c r="Q1758" s="7" t="n"/>
      <c r="R1758" s="11">
        <f>IF(AND(ISNUMBER(P1758),ISNUMBER(Q1758),P1758&gt;0,ISNUMBER($B$100)),Q1758/P1758,"")</f>
        <v/>
      </c>
      <c r="S1758" s="11">
        <f>IF(AND(ISNUMBER(P1758),ISNUMBER(Q1758),P1758&gt;0,ISNUMBER($B$100)),MAX(0,$B$100-3*SQRT($B$100/P1758)),"")</f>
        <v/>
      </c>
      <c r="T1758" s="11">
        <f>IF(AND(ISNUMBER(P1758),ISNUMBER(Q1758),P1758&gt;0,ISNUMBER($B$100)),$B$100+3*SQRT($B$100/P1758),"")</f>
        <v/>
      </c>
      <c r="U1758" s="13">
        <f>IF(AND(ISNUMBER(R1758),ISNUMBER(S1758),ISNUMBER(T1758)),IF(R1758&gt;T1758,"boven UCL",IF(R1758&lt;S1758,"onder LCL","")),"")</f>
        <v/>
      </c>
    </row>
    <row r="1759">
      <c r="A1759" t="n">
        <v>1653</v>
      </c>
      <c r="B1759" s="7" t="n"/>
      <c r="C1759" s="11">
        <f>IF(AND(ISNUMBER(B1759),ISNUMBER(B1758)),ABS(B1759-B1758),"")</f>
        <v/>
      </c>
      <c r="D1759" s="13">
        <f>IF(AND(ISNUMBER(B1759),ISNUMBER($B$88),ISNUMBER($D$88)),IF(B1759&gt;$D$88,"boven UCL",IF(B1759&lt;$B$88,"onder LCL","")),"")</f>
        <v/>
      </c>
      <c r="E1759" s="13">
        <f>IF(AND(ISNUMBER(C1759),ISNUMBER($B$89),ISNUMBER($D$89)),IF(C1759&gt;$D$89,"boven UCL",IF(C1759&lt;$B$89,"onder LCL","")),"")</f>
        <v/>
      </c>
      <c r="G1759" t="n">
        <v>1653</v>
      </c>
      <c r="H1759" s="7" t="n"/>
      <c r="I1759" s="7" t="n"/>
      <c r="J1759" s="11">
        <f>IF(AND(ISNUMBER(H1759),ISNUMBER(I1759),H1759&gt;0,ISNUMBER($B$94)),I1759/H1759,"")</f>
        <v/>
      </c>
      <c r="K1759" s="11">
        <f>IF(AND(ISNUMBER(H1759),ISNUMBER(I1759),H1759&gt;0,ISNUMBER($B$94)),MAX(0,$B$94-3*SQRT($B$94*(1-$B$94)/H1759)),"")</f>
        <v/>
      </c>
      <c r="L1759" s="11">
        <f>IF(AND(ISNUMBER(H1759),ISNUMBER(I1759),H1759&gt;0,ISNUMBER($B$94)),$B$94+3*SQRT($B$94*(1-$B$94)/H1759),"")</f>
        <v/>
      </c>
      <c r="M1759" s="13">
        <f>IF(AND(ISNUMBER(J1759),ISNUMBER(K1759),ISNUMBER(L1759)),IF(J1759&gt;L1759,"boven UCL",IF(J1759&lt;K1759,"onder LCL","")),"")</f>
        <v/>
      </c>
      <c r="O1759" t="n">
        <v>1653</v>
      </c>
      <c r="P1759" s="7" t="n"/>
      <c r="Q1759" s="7" t="n"/>
      <c r="R1759" s="11">
        <f>IF(AND(ISNUMBER(P1759),ISNUMBER(Q1759),P1759&gt;0,ISNUMBER($B$100)),Q1759/P1759,"")</f>
        <v/>
      </c>
      <c r="S1759" s="11">
        <f>IF(AND(ISNUMBER(P1759),ISNUMBER(Q1759),P1759&gt;0,ISNUMBER($B$100)),MAX(0,$B$100-3*SQRT($B$100/P1759)),"")</f>
        <v/>
      </c>
      <c r="T1759" s="11">
        <f>IF(AND(ISNUMBER(P1759),ISNUMBER(Q1759),P1759&gt;0,ISNUMBER($B$100)),$B$100+3*SQRT($B$100/P1759),"")</f>
        <v/>
      </c>
      <c r="U1759" s="13">
        <f>IF(AND(ISNUMBER(R1759),ISNUMBER(S1759),ISNUMBER(T1759)),IF(R1759&gt;T1759,"boven UCL",IF(R1759&lt;S1759,"onder LCL","")),"")</f>
        <v/>
      </c>
    </row>
    <row r="1760">
      <c r="A1760" t="n">
        <v>1654</v>
      </c>
      <c r="B1760" s="7" t="n"/>
      <c r="C1760" s="11">
        <f>IF(AND(ISNUMBER(B1760),ISNUMBER(B1759)),ABS(B1760-B1759),"")</f>
        <v/>
      </c>
      <c r="D1760" s="13">
        <f>IF(AND(ISNUMBER(B1760),ISNUMBER($B$88),ISNUMBER($D$88)),IF(B1760&gt;$D$88,"boven UCL",IF(B1760&lt;$B$88,"onder LCL","")),"")</f>
        <v/>
      </c>
      <c r="E1760" s="13">
        <f>IF(AND(ISNUMBER(C1760),ISNUMBER($B$89),ISNUMBER($D$89)),IF(C1760&gt;$D$89,"boven UCL",IF(C1760&lt;$B$89,"onder LCL","")),"")</f>
        <v/>
      </c>
      <c r="G1760" t="n">
        <v>1654</v>
      </c>
      <c r="H1760" s="7" t="n"/>
      <c r="I1760" s="7" t="n"/>
      <c r="J1760" s="11">
        <f>IF(AND(ISNUMBER(H1760),ISNUMBER(I1760),H1760&gt;0,ISNUMBER($B$94)),I1760/H1760,"")</f>
        <v/>
      </c>
      <c r="K1760" s="11">
        <f>IF(AND(ISNUMBER(H1760),ISNUMBER(I1760),H1760&gt;0,ISNUMBER($B$94)),MAX(0,$B$94-3*SQRT($B$94*(1-$B$94)/H1760)),"")</f>
        <v/>
      </c>
      <c r="L1760" s="11">
        <f>IF(AND(ISNUMBER(H1760),ISNUMBER(I1760),H1760&gt;0,ISNUMBER($B$94)),$B$94+3*SQRT($B$94*(1-$B$94)/H1760),"")</f>
        <v/>
      </c>
      <c r="M1760" s="13">
        <f>IF(AND(ISNUMBER(J1760),ISNUMBER(K1760),ISNUMBER(L1760)),IF(J1760&gt;L1760,"boven UCL",IF(J1760&lt;K1760,"onder LCL","")),"")</f>
        <v/>
      </c>
      <c r="O1760" t="n">
        <v>1654</v>
      </c>
      <c r="P1760" s="7" t="n"/>
      <c r="Q1760" s="7" t="n"/>
      <c r="R1760" s="11">
        <f>IF(AND(ISNUMBER(P1760),ISNUMBER(Q1760),P1760&gt;0,ISNUMBER($B$100)),Q1760/P1760,"")</f>
        <v/>
      </c>
      <c r="S1760" s="11">
        <f>IF(AND(ISNUMBER(P1760),ISNUMBER(Q1760),P1760&gt;0,ISNUMBER($B$100)),MAX(0,$B$100-3*SQRT($B$100/P1760)),"")</f>
        <v/>
      </c>
      <c r="T1760" s="11">
        <f>IF(AND(ISNUMBER(P1760),ISNUMBER(Q1760),P1760&gt;0,ISNUMBER($B$100)),$B$100+3*SQRT($B$100/P1760),"")</f>
        <v/>
      </c>
      <c r="U1760" s="13">
        <f>IF(AND(ISNUMBER(R1760),ISNUMBER(S1760),ISNUMBER(T1760)),IF(R1760&gt;T1760,"boven UCL",IF(R1760&lt;S1760,"onder LCL","")),"")</f>
        <v/>
      </c>
    </row>
    <row r="1761">
      <c r="A1761" t="n">
        <v>1655</v>
      </c>
      <c r="B1761" s="7" t="n"/>
      <c r="C1761" s="11">
        <f>IF(AND(ISNUMBER(B1761),ISNUMBER(B1760)),ABS(B1761-B1760),"")</f>
        <v/>
      </c>
      <c r="D1761" s="13">
        <f>IF(AND(ISNUMBER(B1761),ISNUMBER($B$88),ISNUMBER($D$88)),IF(B1761&gt;$D$88,"boven UCL",IF(B1761&lt;$B$88,"onder LCL","")),"")</f>
        <v/>
      </c>
      <c r="E1761" s="13">
        <f>IF(AND(ISNUMBER(C1761),ISNUMBER($B$89),ISNUMBER($D$89)),IF(C1761&gt;$D$89,"boven UCL",IF(C1761&lt;$B$89,"onder LCL","")),"")</f>
        <v/>
      </c>
      <c r="G1761" t="n">
        <v>1655</v>
      </c>
      <c r="H1761" s="7" t="n"/>
      <c r="I1761" s="7" t="n"/>
      <c r="J1761" s="11">
        <f>IF(AND(ISNUMBER(H1761),ISNUMBER(I1761),H1761&gt;0,ISNUMBER($B$94)),I1761/H1761,"")</f>
        <v/>
      </c>
      <c r="K1761" s="11">
        <f>IF(AND(ISNUMBER(H1761),ISNUMBER(I1761),H1761&gt;0,ISNUMBER($B$94)),MAX(0,$B$94-3*SQRT($B$94*(1-$B$94)/H1761)),"")</f>
        <v/>
      </c>
      <c r="L1761" s="11">
        <f>IF(AND(ISNUMBER(H1761),ISNUMBER(I1761),H1761&gt;0,ISNUMBER($B$94)),$B$94+3*SQRT($B$94*(1-$B$94)/H1761),"")</f>
        <v/>
      </c>
      <c r="M1761" s="13">
        <f>IF(AND(ISNUMBER(J1761),ISNUMBER(K1761),ISNUMBER(L1761)),IF(J1761&gt;L1761,"boven UCL",IF(J1761&lt;K1761,"onder LCL","")),"")</f>
        <v/>
      </c>
      <c r="O1761" t="n">
        <v>1655</v>
      </c>
      <c r="P1761" s="7" t="n"/>
      <c r="Q1761" s="7" t="n"/>
      <c r="R1761" s="11">
        <f>IF(AND(ISNUMBER(P1761),ISNUMBER(Q1761),P1761&gt;0,ISNUMBER($B$100)),Q1761/P1761,"")</f>
        <v/>
      </c>
      <c r="S1761" s="11">
        <f>IF(AND(ISNUMBER(P1761),ISNUMBER(Q1761),P1761&gt;0,ISNUMBER($B$100)),MAX(0,$B$100-3*SQRT($B$100/P1761)),"")</f>
        <v/>
      </c>
      <c r="T1761" s="11">
        <f>IF(AND(ISNUMBER(P1761),ISNUMBER(Q1761),P1761&gt;0,ISNUMBER($B$100)),$B$100+3*SQRT($B$100/P1761),"")</f>
        <v/>
      </c>
      <c r="U1761" s="13">
        <f>IF(AND(ISNUMBER(R1761),ISNUMBER(S1761),ISNUMBER(T1761)),IF(R1761&gt;T1761,"boven UCL",IF(R1761&lt;S1761,"onder LCL","")),"")</f>
        <v/>
      </c>
    </row>
    <row r="1762">
      <c r="A1762" t="n">
        <v>1656</v>
      </c>
      <c r="B1762" s="7" t="n"/>
      <c r="C1762" s="11">
        <f>IF(AND(ISNUMBER(B1762),ISNUMBER(B1761)),ABS(B1762-B1761),"")</f>
        <v/>
      </c>
      <c r="D1762" s="13">
        <f>IF(AND(ISNUMBER(B1762),ISNUMBER($B$88),ISNUMBER($D$88)),IF(B1762&gt;$D$88,"boven UCL",IF(B1762&lt;$B$88,"onder LCL","")),"")</f>
        <v/>
      </c>
      <c r="E1762" s="13">
        <f>IF(AND(ISNUMBER(C1762),ISNUMBER($B$89),ISNUMBER($D$89)),IF(C1762&gt;$D$89,"boven UCL",IF(C1762&lt;$B$89,"onder LCL","")),"")</f>
        <v/>
      </c>
      <c r="G1762" t="n">
        <v>1656</v>
      </c>
      <c r="H1762" s="7" t="n"/>
      <c r="I1762" s="7" t="n"/>
      <c r="J1762" s="11">
        <f>IF(AND(ISNUMBER(H1762),ISNUMBER(I1762),H1762&gt;0,ISNUMBER($B$94)),I1762/H1762,"")</f>
        <v/>
      </c>
      <c r="K1762" s="11">
        <f>IF(AND(ISNUMBER(H1762),ISNUMBER(I1762),H1762&gt;0,ISNUMBER($B$94)),MAX(0,$B$94-3*SQRT($B$94*(1-$B$94)/H1762)),"")</f>
        <v/>
      </c>
      <c r="L1762" s="11">
        <f>IF(AND(ISNUMBER(H1762),ISNUMBER(I1762),H1762&gt;0,ISNUMBER($B$94)),$B$94+3*SQRT($B$94*(1-$B$94)/H1762),"")</f>
        <v/>
      </c>
      <c r="M1762" s="13">
        <f>IF(AND(ISNUMBER(J1762),ISNUMBER(K1762),ISNUMBER(L1762)),IF(J1762&gt;L1762,"boven UCL",IF(J1762&lt;K1762,"onder LCL","")),"")</f>
        <v/>
      </c>
      <c r="O1762" t="n">
        <v>1656</v>
      </c>
      <c r="P1762" s="7" t="n"/>
      <c r="Q1762" s="7" t="n"/>
      <c r="R1762" s="11">
        <f>IF(AND(ISNUMBER(P1762),ISNUMBER(Q1762),P1762&gt;0,ISNUMBER($B$100)),Q1762/P1762,"")</f>
        <v/>
      </c>
      <c r="S1762" s="11">
        <f>IF(AND(ISNUMBER(P1762),ISNUMBER(Q1762),P1762&gt;0,ISNUMBER($B$100)),MAX(0,$B$100-3*SQRT($B$100/P1762)),"")</f>
        <v/>
      </c>
      <c r="T1762" s="11">
        <f>IF(AND(ISNUMBER(P1762),ISNUMBER(Q1762),P1762&gt;0,ISNUMBER($B$100)),$B$100+3*SQRT($B$100/P1762),"")</f>
        <v/>
      </c>
      <c r="U1762" s="13">
        <f>IF(AND(ISNUMBER(R1762),ISNUMBER(S1762),ISNUMBER(T1762)),IF(R1762&gt;T1762,"boven UCL",IF(R1762&lt;S1762,"onder LCL","")),"")</f>
        <v/>
      </c>
    </row>
    <row r="1763">
      <c r="A1763" t="n">
        <v>1657</v>
      </c>
      <c r="B1763" s="7" t="n"/>
      <c r="C1763" s="11">
        <f>IF(AND(ISNUMBER(B1763),ISNUMBER(B1762)),ABS(B1763-B1762),"")</f>
        <v/>
      </c>
      <c r="D1763" s="13">
        <f>IF(AND(ISNUMBER(B1763),ISNUMBER($B$88),ISNUMBER($D$88)),IF(B1763&gt;$D$88,"boven UCL",IF(B1763&lt;$B$88,"onder LCL","")),"")</f>
        <v/>
      </c>
      <c r="E1763" s="13">
        <f>IF(AND(ISNUMBER(C1763),ISNUMBER($B$89),ISNUMBER($D$89)),IF(C1763&gt;$D$89,"boven UCL",IF(C1763&lt;$B$89,"onder LCL","")),"")</f>
        <v/>
      </c>
      <c r="G1763" t="n">
        <v>1657</v>
      </c>
      <c r="H1763" s="7" t="n"/>
      <c r="I1763" s="7" t="n"/>
      <c r="J1763" s="11">
        <f>IF(AND(ISNUMBER(H1763),ISNUMBER(I1763),H1763&gt;0,ISNUMBER($B$94)),I1763/H1763,"")</f>
        <v/>
      </c>
      <c r="K1763" s="11">
        <f>IF(AND(ISNUMBER(H1763),ISNUMBER(I1763),H1763&gt;0,ISNUMBER($B$94)),MAX(0,$B$94-3*SQRT($B$94*(1-$B$94)/H1763)),"")</f>
        <v/>
      </c>
      <c r="L1763" s="11">
        <f>IF(AND(ISNUMBER(H1763),ISNUMBER(I1763),H1763&gt;0,ISNUMBER($B$94)),$B$94+3*SQRT($B$94*(1-$B$94)/H1763),"")</f>
        <v/>
      </c>
      <c r="M1763" s="13">
        <f>IF(AND(ISNUMBER(J1763),ISNUMBER(K1763),ISNUMBER(L1763)),IF(J1763&gt;L1763,"boven UCL",IF(J1763&lt;K1763,"onder LCL","")),"")</f>
        <v/>
      </c>
      <c r="O1763" t="n">
        <v>1657</v>
      </c>
      <c r="P1763" s="7" t="n"/>
      <c r="Q1763" s="7" t="n"/>
      <c r="R1763" s="11">
        <f>IF(AND(ISNUMBER(P1763),ISNUMBER(Q1763),P1763&gt;0,ISNUMBER($B$100)),Q1763/P1763,"")</f>
        <v/>
      </c>
      <c r="S1763" s="11">
        <f>IF(AND(ISNUMBER(P1763),ISNUMBER(Q1763),P1763&gt;0,ISNUMBER($B$100)),MAX(0,$B$100-3*SQRT($B$100/P1763)),"")</f>
        <v/>
      </c>
      <c r="T1763" s="11">
        <f>IF(AND(ISNUMBER(P1763),ISNUMBER(Q1763),P1763&gt;0,ISNUMBER($B$100)),$B$100+3*SQRT($B$100/P1763),"")</f>
        <v/>
      </c>
      <c r="U1763" s="13">
        <f>IF(AND(ISNUMBER(R1763),ISNUMBER(S1763),ISNUMBER(T1763)),IF(R1763&gt;T1763,"boven UCL",IF(R1763&lt;S1763,"onder LCL","")),"")</f>
        <v/>
      </c>
    </row>
    <row r="1764">
      <c r="A1764" t="n">
        <v>1658</v>
      </c>
      <c r="B1764" s="7" t="n"/>
      <c r="C1764" s="11">
        <f>IF(AND(ISNUMBER(B1764),ISNUMBER(B1763)),ABS(B1764-B1763),"")</f>
        <v/>
      </c>
      <c r="D1764" s="13">
        <f>IF(AND(ISNUMBER(B1764),ISNUMBER($B$88),ISNUMBER($D$88)),IF(B1764&gt;$D$88,"boven UCL",IF(B1764&lt;$B$88,"onder LCL","")),"")</f>
        <v/>
      </c>
      <c r="E1764" s="13">
        <f>IF(AND(ISNUMBER(C1764),ISNUMBER($B$89),ISNUMBER($D$89)),IF(C1764&gt;$D$89,"boven UCL",IF(C1764&lt;$B$89,"onder LCL","")),"")</f>
        <v/>
      </c>
      <c r="G1764" t="n">
        <v>1658</v>
      </c>
      <c r="H1764" s="7" t="n"/>
      <c r="I1764" s="7" t="n"/>
      <c r="J1764" s="11">
        <f>IF(AND(ISNUMBER(H1764),ISNUMBER(I1764),H1764&gt;0,ISNUMBER($B$94)),I1764/H1764,"")</f>
        <v/>
      </c>
      <c r="K1764" s="11">
        <f>IF(AND(ISNUMBER(H1764),ISNUMBER(I1764),H1764&gt;0,ISNUMBER($B$94)),MAX(0,$B$94-3*SQRT($B$94*(1-$B$94)/H1764)),"")</f>
        <v/>
      </c>
      <c r="L1764" s="11">
        <f>IF(AND(ISNUMBER(H1764),ISNUMBER(I1764),H1764&gt;0,ISNUMBER($B$94)),$B$94+3*SQRT($B$94*(1-$B$94)/H1764),"")</f>
        <v/>
      </c>
      <c r="M1764" s="13">
        <f>IF(AND(ISNUMBER(J1764),ISNUMBER(K1764),ISNUMBER(L1764)),IF(J1764&gt;L1764,"boven UCL",IF(J1764&lt;K1764,"onder LCL","")),"")</f>
        <v/>
      </c>
      <c r="O1764" t="n">
        <v>1658</v>
      </c>
      <c r="P1764" s="7" t="n"/>
      <c r="Q1764" s="7" t="n"/>
      <c r="R1764" s="11">
        <f>IF(AND(ISNUMBER(P1764),ISNUMBER(Q1764),P1764&gt;0,ISNUMBER($B$100)),Q1764/P1764,"")</f>
        <v/>
      </c>
      <c r="S1764" s="11">
        <f>IF(AND(ISNUMBER(P1764),ISNUMBER(Q1764),P1764&gt;0,ISNUMBER($B$100)),MAX(0,$B$100-3*SQRT($B$100/P1764)),"")</f>
        <v/>
      </c>
      <c r="T1764" s="11">
        <f>IF(AND(ISNUMBER(P1764),ISNUMBER(Q1764),P1764&gt;0,ISNUMBER($B$100)),$B$100+3*SQRT($B$100/P1764),"")</f>
        <v/>
      </c>
      <c r="U1764" s="13">
        <f>IF(AND(ISNUMBER(R1764),ISNUMBER(S1764),ISNUMBER(T1764)),IF(R1764&gt;T1764,"boven UCL",IF(R1764&lt;S1764,"onder LCL","")),"")</f>
        <v/>
      </c>
    </row>
    <row r="1765">
      <c r="A1765" t="n">
        <v>1659</v>
      </c>
      <c r="B1765" s="7" t="n"/>
      <c r="C1765" s="11">
        <f>IF(AND(ISNUMBER(B1765),ISNUMBER(B1764)),ABS(B1765-B1764),"")</f>
        <v/>
      </c>
      <c r="D1765" s="13">
        <f>IF(AND(ISNUMBER(B1765),ISNUMBER($B$88),ISNUMBER($D$88)),IF(B1765&gt;$D$88,"boven UCL",IF(B1765&lt;$B$88,"onder LCL","")),"")</f>
        <v/>
      </c>
      <c r="E1765" s="13">
        <f>IF(AND(ISNUMBER(C1765),ISNUMBER($B$89),ISNUMBER($D$89)),IF(C1765&gt;$D$89,"boven UCL",IF(C1765&lt;$B$89,"onder LCL","")),"")</f>
        <v/>
      </c>
      <c r="G1765" t="n">
        <v>1659</v>
      </c>
      <c r="H1765" s="7" t="n"/>
      <c r="I1765" s="7" t="n"/>
      <c r="J1765" s="11">
        <f>IF(AND(ISNUMBER(H1765),ISNUMBER(I1765),H1765&gt;0,ISNUMBER($B$94)),I1765/H1765,"")</f>
        <v/>
      </c>
      <c r="K1765" s="11">
        <f>IF(AND(ISNUMBER(H1765),ISNUMBER(I1765),H1765&gt;0,ISNUMBER($B$94)),MAX(0,$B$94-3*SQRT($B$94*(1-$B$94)/H1765)),"")</f>
        <v/>
      </c>
      <c r="L1765" s="11">
        <f>IF(AND(ISNUMBER(H1765),ISNUMBER(I1765),H1765&gt;0,ISNUMBER($B$94)),$B$94+3*SQRT($B$94*(1-$B$94)/H1765),"")</f>
        <v/>
      </c>
      <c r="M1765" s="13">
        <f>IF(AND(ISNUMBER(J1765),ISNUMBER(K1765),ISNUMBER(L1765)),IF(J1765&gt;L1765,"boven UCL",IF(J1765&lt;K1765,"onder LCL","")),"")</f>
        <v/>
      </c>
      <c r="O1765" t="n">
        <v>1659</v>
      </c>
      <c r="P1765" s="7" t="n"/>
      <c r="Q1765" s="7" t="n"/>
      <c r="R1765" s="11">
        <f>IF(AND(ISNUMBER(P1765),ISNUMBER(Q1765),P1765&gt;0,ISNUMBER($B$100)),Q1765/P1765,"")</f>
        <v/>
      </c>
      <c r="S1765" s="11">
        <f>IF(AND(ISNUMBER(P1765),ISNUMBER(Q1765),P1765&gt;0,ISNUMBER($B$100)),MAX(0,$B$100-3*SQRT($B$100/P1765)),"")</f>
        <v/>
      </c>
      <c r="T1765" s="11">
        <f>IF(AND(ISNUMBER(P1765),ISNUMBER(Q1765),P1765&gt;0,ISNUMBER($B$100)),$B$100+3*SQRT($B$100/P1765),"")</f>
        <v/>
      </c>
      <c r="U1765" s="13">
        <f>IF(AND(ISNUMBER(R1765),ISNUMBER(S1765),ISNUMBER(T1765)),IF(R1765&gt;T1765,"boven UCL",IF(R1765&lt;S1765,"onder LCL","")),"")</f>
        <v/>
      </c>
    </row>
    <row r="1766">
      <c r="A1766" t="n">
        <v>1660</v>
      </c>
      <c r="B1766" s="7" t="n"/>
      <c r="C1766" s="11">
        <f>IF(AND(ISNUMBER(B1766),ISNUMBER(B1765)),ABS(B1766-B1765),"")</f>
        <v/>
      </c>
      <c r="D1766" s="13">
        <f>IF(AND(ISNUMBER(B1766),ISNUMBER($B$88),ISNUMBER($D$88)),IF(B1766&gt;$D$88,"boven UCL",IF(B1766&lt;$B$88,"onder LCL","")),"")</f>
        <v/>
      </c>
      <c r="E1766" s="13">
        <f>IF(AND(ISNUMBER(C1766),ISNUMBER($B$89),ISNUMBER($D$89)),IF(C1766&gt;$D$89,"boven UCL",IF(C1766&lt;$B$89,"onder LCL","")),"")</f>
        <v/>
      </c>
      <c r="G1766" t="n">
        <v>1660</v>
      </c>
      <c r="H1766" s="7" t="n"/>
      <c r="I1766" s="7" t="n"/>
      <c r="J1766" s="11">
        <f>IF(AND(ISNUMBER(H1766),ISNUMBER(I1766),H1766&gt;0,ISNUMBER($B$94)),I1766/H1766,"")</f>
        <v/>
      </c>
      <c r="K1766" s="11">
        <f>IF(AND(ISNUMBER(H1766),ISNUMBER(I1766),H1766&gt;0,ISNUMBER($B$94)),MAX(0,$B$94-3*SQRT($B$94*(1-$B$94)/H1766)),"")</f>
        <v/>
      </c>
      <c r="L1766" s="11">
        <f>IF(AND(ISNUMBER(H1766),ISNUMBER(I1766),H1766&gt;0,ISNUMBER($B$94)),$B$94+3*SQRT($B$94*(1-$B$94)/H1766),"")</f>
        <v/>
      </c>
      <c r="M1766" s="13">
        <f>IF(AND(ISNUMBER(J1766),ISNUMBER(K1766),ISNUMBER(L1766)),IF(J1766&gt;L1766,"boven UCL",IF(J1766&lt;K1766,"onder LCL","")),"")</f>
        <v/>
      </c>
      <c r="O1766" t="n">
        <v>1660</v>
      </c>
      <c r="P1766" s="7" t="n"/>
      <c r="Q1766" s="7" t="n"/>
      <c r="R1766" s="11">
        <f>IF(AND(ISNUMBER(P1766),ISNUMBER(Q1766),P1766&gt;0,ISNUMBER($B$100)),Q1766/P1766,"")</f>
        <v/>
      </c>
      <c r="S1766" s="11">
        <f>IF(AND(ISNUMBER(P1766),ISNUMBER(Q1766),P1766&gt;0,ISNUMBER($B$100)),MAX(0,$B$100-3*SQRT($B$100/P1766)),"")</f>
        <v/>
      </c>
      <c r="T1766" s="11">
        <f>IF(AND(ISNUMBER(P1766),ISNUMBER(Q1766),P1766&gt;0,ISNUMBER($B$100)),$B$100+3*SQRT($B$100/P1766),"")</f>
        <v/>
      </c>
      <c r="U1766" s="13">
        <f>IF(AND(ISNUMBER(R1766),ISNUMBER(S1766),ISNUMBER(T1766)),IF(R1766&gt;T1766,"boven UCL",IF(R1766&lt;S1766,"onder LCL","")),"")</f>
        <v/>
      </c>
    </row>
    <row r="1767">
      <c r="A1767" t="n">
        <v>1661</v>
      </c>
      <c r="B1767" s="7" t="n"/>
      <c r="C1767" s="11">
        <f>IF(AND(ISNUMBER(B1767),ISNUMBER(B1766)),ABS(B1767-B1766),"")</f>
        <v/>
      </c>
      <c r="D1767" s="13">
        <f>IF(AND(ISNUMBER(B1767),ISNUMBER($B$88),ISNUMBER($D$88)),IF(B1767&gt;$D$88,"boven UCL",IF(B1767&lt;$B$88,"onder LCL","")),"")</f>
        <v/>
      </c>
      <c r="E1767" s="13">
        <f>IF(AND(ISNUMBER(C1767),ISNUMBER($B$89),ISNUMBER($D$89)),IF(C1767&gt;$D$89,"boven UCL",IF(C1767&lt;$B$89,"onder LCL","")),"")</f>
        <v/>
      </c>
      <c r="G1767" t="n">
        <v>1661</v>
      </c>
      <c r="H1767" s="7" t="n"/>
      <c r="I1767" s="7" t="n"/>
      <c r="J1767" s="11">
        <f>IF(AND(ISNUMBER(H1767),ISNUMBER(I1767),H1767&gt;0,ISNUMBER($B$94)),I1767/H1767,"")</f>
        <v/>
      </c>
      <c r="K1767" s="11">
        <f>IF(AND(ISNUMBER(H1767),ISNUMBER(I1767),H1767&gt;0,ISNUMBER($B$94)),MAX(0,$B$94-3*SQRT($B$94*(1-$B$94)/H1767)),"")</f>
        <v/>
      </c>
      <c r="L1767" s="11">
        <f>IF(AND(ISNUMBER(H1767),ISNUMBER(I1767),H1767&gt;0,ISNUMBER($B$94)),$B$94+3*SQRT($B$94*(1-$B$94)/H1767),"")</f>
        <v/>
      </c>
      <c r="M1767" s="13">
        <f>IF(AND(ISNUMBER(J1767),ISNUMBER(K1767),ISNUMBER(L1767)),IF(J1767&gt;L1767,"boven UCL",IF(J1767&lt;K1767,"onder LCL","")),"")</f>
        <v/>
      </c>
      <c r="O1767" t="n">
        <v>1661</v>
      </c>
      <c r="P1767" s="7" t="n"/>
      <c r="Q1767" s="7" t="n"/>
      <c r="R1767" s="11">
        <f>IF(AND(ISNUMBER(P1767),ISNUMBER(Q1767),P1767&gt;0,ISNUMBER($B$100)),Q1767/P1767,"")</f>
        <v/>
      </c>
      <c r="S1767" s="11">
        <f>IF(AND(ISNUMBER(P1767),ISNUMBER(Q1767),P1767&gt;0,ISNUMBER($B$100)),MAX(0,$B$100-3*SQRT($B$100/P1767)),"")</f>
        <v/>
      </c>
      <c r="T1767" s="11">
        <f>IF(AND(ISNUMBER(P1767),ISNUMBER(Q1767),P1767&gt;0,ISNUMBER($B$100)),$B$100+3*SQRT($B$100/P1767),"")</f>
        <v/>
      </c>
      <c r="U1767" s="13">
        <f>IF(AND(ISNUMBER(R1767),ISNUMBER(S1767),ISNUMBER(T1767)),IF(R1767&gt;T1767,"boven UCL",IF(R1767&lt;S1767,"onder LCL","")),"")</f>
        <v/>
      </c>
    </row>
    <row r="1768">
      <c r="A1768" t="n">
        <v>1662</v>
      </c>
      <c r="B1768" s="7" t="n"/>
      <c r="C1768" s="11">
        <f>IF(AND(ISNUMBER(B1768),ISNUMBER(B1767)),ABS(B1768-B1767),"")</f>
        <v/>
      </c>
      <c r="D1768" s="13">
        <f>IF(AND(ISNUMBER(B1768),ISNUMBER($B$88),ISNUMBER($D$88)),IF(B1768&gt;$D$88,"boven UCL",IF(B1768&lt;$B$88,"onder LCL","")),"")</f>
        <v/>
      </c>
      <c r="E1768" s="13">
        <f>IF(AND(ISNUMBER(C1768),ISNUMBER($B$89),ISNUMBER($D$89)),IF(C1768&gt;$D$89,"boven UCL",IF(C1768&lt;$B$89,"onder LCL","")),"")</f>
        <v/>
      </c>
      <c r="G1768" t="n">
        <v>1662</v>
      </c>
      <c r="H1768" s="7" t="n"/>
      <c r="I1768" s="7" t="n"/>
      <c r="J1768" s="11">
        <f>IF(AND(ISNUMBER(H1768),ISNUMBER(I1768),H1768&gt;0,ISNUMBER($B$94)),I1768/H1768,"")</f>
        <v/>
      </c>
      <c r="K1768" s="11">
        <f>IF(AND(ISNUMBER(H1768),ISNUMBER(I1768),H1768&gt;0,ISNUMBER($B$94)),MAX(0,$B$94-3*SQRT($B$94*(1-$B$94)/H1768)),"")</f>
        <v/>
      </c>
      <c r="L1768" s="11">
        <f>IF(AND(ISNUMBER(H1768),ISNUMBER(I1768),H1768&gt;0,ISNUMBER($B$94)),$B$94+3*SQRT($B$94*(1-$B$94)/H1768),"")</f>
        <v/>
      </c>
      <c r="M1768" s="13">
        <f>IF(AND(ISNUMBER(J1768),ISNUMBER(K1768),ISNUMBER(L1768)),IF(J1768&gt;L1768,"boven UCL",IF(J1768&lt;K1768,"onder LCL","")),"")</f>
        <v/>
      </c>
      <c r="O1768" t="n">
        <v>1662</v>
      </c>
      <c r="P1768" s="7" t="n"/>
      <c r="Q1768" s="7" t="n"/>
      <c r="R1768" s="11">
        <f>IF(AND(ISNUMBER(P1768),ISNUMBER(Q1768),P1768&gt;0,ISNUMBER($B$100)),Q1768/P1768,"")</f>
        <v/>
      </c>
      <c r="S1768" s="11">
        <f>IF(AND(ISNUMBER(P1768),ISNUMBER(Q1768),P1768&gt;0,ISNUMBER($B$100)),MAX(0,$B$100-3*SQRT($B$100/P1768)),"")</f>
        <v/>
      </c>
      <c r="T1768" s="11">
        <f>IF(AND(ISNUMBER(P1768),ISNUMBER(Q1768),P1768&gt;0,ISNUMBER($B$100)),$B$100+3*SQRT($B$100/P1768),"")</f>
        <v/>
      </c>
      <c r="U1768" s="13">
        <f>IF(AND(ISNUMBER(R1768),ISNUMBER(S1768),ISNUMBER(T1768)),IF(R1768&gt;T1768,"boven UCL",IF(R1768&lt;S1768,"onder LCL","")),"")</f>
        <v/>
      </c>
    </row>
    <row r="1769">
      <c r="A1769" t="n">
        <v>1663</v>
      </c>
      <c r="B1769" s="7" t="n"/>
      <c r="C1769" s="11">
        <f>IF(AND(ISNUMBER(B1769),ISNUMBER(B1768)),ABS(B1769-B1768),"")</f>
        <v/>
      </c>
      <c r="D1769" s="13">
        <f>IF(AND(ISNUMBER(B1769),ISNUMBER($B$88),ISNUMBER($D$88)),IF(B1769&gt;$D$88,"boven UCL",IF(B1769&lt;$B$88,"onder LCL","")),"")</f>
        <v/>
      </c>
      <c r="E1769" s="13">
        <f>IF(AND(ISNUMBER(C1769),ISNUMBER($B$89),ISNUMBER($D$89)),IF(C1769&gt;$D$89,"boven UCL",IF(C1769&lt;$B$89,"onder LCL","")),"")</f>
        <v/>
      </c>
      <c r="G1769" t="n">
        <v>1663</v>
      </c>
      <c r="H1769" s="7" t="n"/>
      <c r="I1769" s="7" t="n"/>
      <c r="J1769" s="11">
        <f>IF(AND(ISNUMBER(H1769),ISNUMBER(I1769),H1769&gt;0,ISNUMBER($B$94)),I1769/H1769,"")</f>
        <v/>
      </c>
      <c r="K1769" s="11">
        <f>IF(AND(ISNUMBER(H1769),ISNUMBER(I1769),H1769&gt;0,ISNUMBER($B$94)),MAX(0,$B$94-3*SQRT($B$94*(1-$B$94)/H1769)),"")</f>
        <v/>
      </c>
      <c r="L1769" s="11">
        <f>IF(AND(ISNUMBER(H1769),ISNUMBER(I1769),H1769&gt;0,ISNUMBER($B$94)),$B$94+3*SQRT($B$94*(1-$B$94)/H1769),"")</f>
        <v/>
      </c>
      <c r="M1769" s="13">
        <f>IF(AND(ISNUMBER(J1769),ISNUMBER(K1769),ISNUMBER(L1769)),IF(J1769&gt;L1769,"boven UCL",IF(J1769&lt;K1769,"onder LCL","")),"")</f>
        <v/>
      </c>
      <c r="O1769" t="n">
        <v>1663</v>
      </c>
      <c r="P1769" s="7" t="n"/>
      <c r="Q1769" s="7" t="n"/>
      <c r="R1769" s="11">
        <f>IF(AND(ISNUMBER(P1769),ISNUMBER(Q1769),P1769&gt;0,ISNUMBER($B$100)),Q1769/P1769,"")</f>
        <v/>
      </c>
      <c r="S1769" s="11">
        <f>IF(AND(ISNUMBER(P1769),ISNUMBER(Q1769),P1769&gt;0,ISNUMBER($B$100)),MAX(0,$B$100-3*SQRT($B$100/P1769)),"")</f>
        <v/>
      </c>
      <c r="T1769" s="11">
        <f>IF(AND(ISNUMBER(P1769),ISNUMBER(Q1769),P1769&gt;0,ISNUMBER($B$100)),$B$100+3*SQRT($B$100/P1769),"")</f>
        <v/>
      </c>
      <c r="U1769" s="13">
        <f>IF(AND(ISNUMBER(R1769),ISNUMBER(S1769),ISNUMBER(T1769)),IF(R1769&gt;T1769,"boven UCL",IF(R1769&lt;S1769,"onder LCL","")),"")</f>
        <v/>
      </c>
    </row>
    <row r="1770">
      <c r="A1770" t="n">
        <v>1664</v>
      </c>
      <c r="B1770" s="7" t="n"/>
      <c r="C1770" s="11">
        <f>IF(AND(ISNUMBER(B1770),ISNUMBER(B1769)),ABS(B1770-B1769),"")</f>
        <v/>
      </c>
      <c r="D1770" s="13">
        <f>IF(AND(ISNUMBER(B1770),ISNUMBER($B$88),ISNUMBER($D$88)),IF(B1770&gt;$D$88,"boven UCL",IF(B1770&lt;$B$88,"onder LCL","")),"")</f>
        <v/>
      </c>
      <c r="E1770" s="13">
        <f>IF(AND(ISNUMBER(C1770),ISNUMBER($B$89),ISNUMBER($D$89)),IF(C1770&gt;$D$89,"boven UCL",IF(C1770&lt;$B$89,"onder LCL","")),"")</f>
        <v/>
      </c>
      <c r="G1770" t="n">
        <v>1664</v>
      </c>
      <c r="H1770" s="7" t="n"/>
      <c r="I1770" s="7" t="n"/>
      <c r="J1770" s="11">
        <f>IF(AND(ISNUMBER(H1770),ISNUMBER(I1770),H1770&gt;0,ISNUMBER($B$94)),I1770/H1770,"")</f>
        <v/>
      </c>
      <c r="K1770" s="11">
        <f>IF(AND(ISNUMBER(H1770),ISNUMBER(I1770),H1770&gt;0,ISNUMBER($B$94)),MAX(0,$B$94-3*SQRT($B$94*(1-$B$94)/H1770)),"")</f>
        <v/>
      </c>
      <c r="L1770" s="11">
        <f>IF(AND(ISNUMBER(H1770),ISNUMBER(I1770),H1770&gt;0,ISNUMBER($B$94)),$B$94+3*SQRT($B$94*(1-$B$94)/H1770),"")</f>
        <v/>
      </c>
      <c r="M1770" s="13">
        <f>IF(AND(ISNUMBER(J1770),ISNUMBER(K1770),ISNUMBER(L1770)),IF(J1770&gt;L1770,"boven UCL",IF(J1770&lt;K1770,"onder LCL","")),"")</f>
        <v/>
      </c>
      <c r="O1770" t="n">
        <v>1664</v>
      </c>
      <c r="P1770" s="7" t="n"/>
      <c r="Q1770" s="7" t="n"/>
      <c r="R1770" s="11">
        <f>IF(AND(ISNUMBER(P1770),ISNUMBER(Q1770),P1770&gt;0,ISNUMBER($B$100)),Q1770/P1770,"")</f>
        <v/>
      </c>
      <c r="S1770" s="11">
        <f>IF(AND(ISNUMBER(P1770),ISNUMBER(Q1770),P1770&gt;0,ISNUMBER($B$100)),MAX(0,$B$100-3*SQRT($B$100/P1770)),"")</f>
        <v/>
      </c>
      <c r="T1770" s="11">
        <f>IF(AND(ISNUMBER(P1770),ISNUMBER(Q1770),P1770&gt;0,ISNUMBER($B$100)),$B$100+3*SQRT($B$100/P1770),"")</f>
        <v/>
      </c>
      <c r="U1770" s="13">
        <f>IF(AND(ISNUMBER(R1770),ISNUMBER(S1770),ISNUMBER(T1770)),IF(R1770&gt;T1770,"boven UCL",IF(R1770&lt;S1770,"onder LCL","")),"")</f>
        <v/>
      </c>
    </row>
    <row r="1771">
      <c r="A1771" t="n">
        <v>1665</v>
      </c>
      <c r="B1771" s="7" t="n"/>
      <c r="C1771" s="11">
        <f>IF(AND(ISNUMBER(B1771),ISNUMBER(B1770)),ABS(B1771-B1770),"")</f>
        <v/>
      </c>
      <c r="D1771" s="13">
        <f>IF(AND(ISNUMBER(B1771),ISNUMBER($B$88),ISNUMBER($D$88)),IF(B1771&gt;$D$88,"boven UCL",IF(B1771&lt;$B$88,"onder LCL","")),"")</f>
        <v/>
      </c>
      <c r="E1771" s="13">
        <f>IF(AND(ISNUMBER(C1771),ISNUMBER($B$89),ISNUMBER($D$89)),IF(C1771&gt;$D$89,"boven UCL",IF(C1771&lt;$B$89,"onder LCL","")),"")</f>
        <v/>
      </c>
      <c r="G1771" t="n">
        <v>1665</v>
      </c>
      <c r="H1771" s="7" t="n"/>
      <c r="I1771" s="7" t="n"/>
      <c r="J1771" s="11">
        <f>IF(AND(ISNUMBER(H1771),ISNUMBER(I1771),H1771&gt;0,ISNUMBER($B$94)),I1771/H1771,"")</f>
        <v/>
      </c>
      <c r="K1771" s="11">
        <f>IF(AND(ISNUMBER(H1771),ISNUMBER(I1771),H1771&gt;0,ISNUMBER($B$94)),MAX(0,$B$94-3*SQRT($B$94*(1-$B$94)/H1771)),"")</f>
        <v/>
      </c>
      <c r="L1771" s="11">
        <f>IF(AND(ISNUMBER(H1771),ISNUMBER(I1771),H1771&gt;0,ISNUMBER($B$94)),$B$94+3*SQRT($B$94*(1-$B$94)/H1771),"")</f>
        <v/>
      </c>
      <c r="M1771" s="13">
        <f>IF(AND(ISNUMBER(J1771),ISNUMBER(K1771),ISNUMBER(L1771)),IF(J1771&gt;L1771,"boven UCL",IF(J1771&lt;K1771,"onder LCL","")),"")</f>
        <v/>
      </c>
      <c r="O1771" t="n">
        <v>1665</v>
      </c>
      <c r="P1771" s="7" t="n"/>
      <c r="Q1771" s="7" t="n"/>
      <c r="R1771" s="11">
        <f>IF(AND(ISNUMBER(P1771),ISNUMBER(Q1771),P1771&gt;0,ISNUMBER($B$100)),Q1771/P1771,"")</f>
        <v/>
      </c>
      <c r="S1771" s="11">
        <f>IF(AND(ISNUMBER(P1771),ISNUMBER(Q1771),P1771&gt;0,ISNUMBER($B$100)),MAX(0,$B$100-3*SQRT($B$100/P1771)),"")</f>
        <v/>
      </c>
      <c r="T1771" s="11">
        <f>IF(AND(ISNUMBER(P1771),ISNUMBER(Q1771),P1771&gt;0,ISNUMBER($B$100)),$B$100+3*SQRT($B$100/P1771),"")</f>
        <v/>
      </c>
      <c r="U1771" s="13">
        <f>IF(AND(ISNUMBER(R1771),ISNUMBER(S1771),ISNUMBER(T1771)),IF(R1771&gt;T1771,"boven UCL",IF(R1771&lt;S1771,"onder LCL","")),"")</f>
        <v/>
      </c>
    </row>
    <row r="1772">
      <c r="A1772" t="n">
        <v>1666</v>
      </c>
      <c r="B1772" s="7" t="n"/>
      <c r="C1772" s="11">
        <f>IF(AND(ISNUMBER(B1772),ISNUMBER(B1771)),ABS(B1772-B1771),"")</f>
        <v/>
      </c>
      <c r="D1772" s="13">
        <f>IF(AND(ISNUMBER(B1772),ISNUMBER($B$88),ISNUMBER($D$88)),IF(B1772&gt;$D$88,"boven UCL",IF(B1772&lt;$B$88,"onder LCL","")),"")</f>
        <v/>
      </c>
      <c r="E1772" s="13">
        <f>IF(AND(ISNUMBER(C1772),ISNUMBER($B$89),ISNUMBER($D$89)),IF(C1772&gt;$D$89,"boven UCL",IF(C1772&lt;$B$89,"onder LCL","")),"")</f>
        <v/>
      </c>
      <c r="G1772" t="n">
        <v>1666</v>
      </c>
      <c r="H1772" s="7" t="n"/>
      <c r="I1772" s="7" t="n"/>
      <c r="J1772" s="11">
        <f>IF(AND(ISNUMBER(H1772),ISNUMBER(I1772),H1772&gt;0,ISNUMBER($B$94)),I1772/H1772,"")</f>
        <v/>
      </c>
      <c r="K1772" s="11">
        <f>IF(AND(ISNUMBER(H1772),ISNUMBER(I1772),H1772&gt;0,ISNUMBER($B$94)),MAX(0,$B$94-3*SQRT($B$94*(1-$B$94)/H1772)),"")</f>
        <v/>
      </c>
      <c r="L1772" s="11">
        <f>IF(AND(ISNUMBER(H1772),ISNUMBER(I1772),H1772&gt;0,ISNUMBER($B$94)),$B$94+3*SQRT($B$94*(1-$B$94)/H1772),"")</f>
        <v/>
      </c>
      <c r="M1772" s="13">
        <f>IF(AND(ISNUMBER(J1772),ISNUMBER(K1772),ISNUMBER(L1772)),IF(J1772&gt;L1772,"boven UCL",IF(J1772&lt;K1772,"onder LCL","")),"")</f>
        <v/>
      </c>
      <c r="O1772" t="n">
        <v>1666</v>
      </c>
      <c r="P1772" s="7" t="n"/>
      <c r="Q1772" s="7" t="n"/>
      <c r="R1772" s="11">
        <f>IF(AND(ISNUMBER(P1772),ISNUMBER(Q1772),P1772&gt;0,ISNUMBER($B$100)),Q1772/P1772,"")</f>
        <v/>
      </c>
      <c r="S1772" s="11">
        <f>IF(AND(ISNUMBER(P1772),ISNUMBER(Q1772),P1772&gt;0,ISNUMBER($B$100)),MAX(0,$B$100-3*SQRT($B$100/P1772)),"")</f>
        <v/>
      </c>
      <c r="T1772" s="11">
        <f>IF(AND(ISNUMBER(P1772),ISNUMBER(Q1772),P1772&gt;0,ISNUMBER($B$100)),$B$100+3*SQRT($B$100/P1772),"")</f>
        <v/>
      </c>
      <c r="U1772" s="13">
        <f>IF(AND(ISNUMBER(R1772),ISNUMBER(S1772),ISNUMBER(T1772)),IF(R1772&gt;T1772,"boven UCL",IF(R1772&lt;S1772,"onder LCL","")),"")</f>
        <v/>
      </c>
    </row>
    <row r="1773">
      <c r="A1773" t="n">
        <v>1667</v>
      </c>
      <c r="B1773" s="7" t="n"/>
      <c r="C1773" s="11">
        <f>IF(AND(ISNUMBER(B1773),ISNUMBER(B1772)),ABS(B1773-B1772),"")</f>
        <v/>
      </c>
      <c r="D1773" s="13">
        <f>IF(AND(ISNUMBER(B1773),ISNUMBER($B$88),ISNUMBER($D$88)),IF(B1773&gt;$D$88,"boven UCL",IF(B1773&lt;$B$88,"onder LCL","")),"")</f>
        <v/>
      </c>
      <c r="E1773" s="13">
        <f>IF(AND(ISNUMBER(C1773),ISNUMBER($B$89),ISNUMBER($D$89)),IF(C1773&gt;$D$89,"boven UCL",IF(C1773&lt;$B$89,"onder LCL","")),"")</f>
        <v/>
      </c>
      <c r="G1773" t="n">
        <v>1667</v>
      </c>
      <c r="H1773" s="7" t="n"/>
      <c r="I1773" s="7" t="n"/>
      <c r="J1773" s="11">
        <f>IF(AND(ISNUMBER(H1773),ISNUMBER(I1773),H1773&gt;0,ISNUMBER($B$94)),I1773/H1773,"")</f>
        <v/>
      </c>
      <c r="K1773" s="11">
        <f>IF(AND(ISNUMBER(H1773),ISNUMBER(I1773),H1773&gt;0,ISNUMBER($B$94)),MAX(0,$B$94-3*SQRT($B$94*(1-$B$94)/H1773)),"")</f>
        <v/>
      </c>
      <c r="L1773" s="11">
        <f>IF(AND(ISNUMBER(H1773),ISNUMBER(I1773),H1773&gt;0,ISNUMBER($B$94)),$B$94+3*SQRT($B$94*(1-$B$94)/H1773),"")</f>
        <v/>
      </c>
      <c r="M1773" s="13">
        <f>IF(AND(ISNUMBER(J1773),ISNUMBER(K1773),ISNUMBER(L1773)),IF(J1773&gt;L1773,"boven UCL",IF(J1773&lt;K1773,"onder LCL","")),"")</f>
        <v/>
      </c>
      <c r="O1773" t="n">
        <v>1667</v>
      </c>
      <c r="P1773" s="7" t="n"/>
      <c r="Q1773" s="7" t="n"/>
      <c r="R1773" s="11">
        <f>IF(AND(ISNUMBER(P1773),ISNUMBER(Q1773),P1773&gt;0,ISNUMBER($B$100)),Q1773/P1773,"")</f>
        <v/>
      </c>
      <c r="S1773" s="11">
        <f>IF(AND(ISNUMBER(P1773),ISNUMBER(Q1773),P1773&gt;0,ISNUMBER($B$100)),MAX(0,$B$100-3*SQRT($B$100/P1773)),"")</f>
        <v/>
      </c>
      <c r="T1773" s="11">
        <f>IF(AND(ISNUMBER(P1773),ISNUMBER(Q1773),P1773&gt;0,ISNUMBER($B$100)),$B$100+3*SQRT($B$100/P1773),"")</f>
        <v/>
      </c>
      <c r="U1773" s="13">
        <f>IF(AND(ISNUMBER(R1773),ISNUMBER(S1773),ISNUMBER(T1773)),IF(R1773&gt;T1773,"boven UCL",IF(R1773&lt;S1773,"onder LCL","")),"")</f>
        <v/>
      </c>
    </row>
    <row r="1774">
      <c r="A1774" t="n">
        <v>1668</v>
      </c>
      <c r="B1774" s="7" t="n"/>
      <c r="C1774" s="11">
        <f>IF(AND(ISNUMBER(B1774),ISNUMBER(B1773)),ABS(B1774-B1773),"")</f>
        <v/>
      </c>
      <c r="D1774" s="13">
        <f>IF(AND(ISNUMBER(B1774),ISNUMBER($B$88),ISNUMBER($D$88)),IF(B1774&gt;$D$88,"boven UCL",IF(B1774&lt;$B$88,"onder LCL","")),"")</f>
        <v/>
      </c>
      <c r="E1774" s="13">
        <f>IF(AND(ISNUMBER(C1774),ISNUMBER($B$89),ISNUMBER($D$89)),IF(C1774&gt;$D$89,"boven UCL",IF(C1774&lt;$B$89,"onder LCL","")),"")</f>
        <v/>
      </c>
      <c r="G1774" t="n">
        <v>1668</v>
      </c>
      <c r="H1774" s="7" t="n"/>
      <c r="I1774" s="7" t="n"/>
      <c r="J1774" s="11">
        <f>IF(AND(ISNUMBER(H1774),ISNUMBER(I1774),H1774&gt;0,ISNUMBER($B$94)),I1774/H1774,"")</f>
        <v/>
      </c>
      <c r="K1774" s="11">
        <f>IF(AND(ISNUMBER(H1774),ISNUMBER(I1774),H1774&gt;0,ISNUMBER($B$94)),MAX(0,$B$94-3*SQRT($B$94*(1-$B$94)/H1774)),"")</f>
        <v/>
      </c>
      <c r="L1774" s="11">
        <f>IF(AND(ISNUMBER(H1774),ISNUMBER(I1774),H1774&gt;0,ISNUMBER($B$94)),$B$94+3*SQRT($B$94*(1-$B$94)/H1774),"")</f>
        <v/>
      </c>
      <c r="M1774" s="13">
        <f>IF(AND(ISNUMBER(J1774),ISNUMBER(K1774),ISNUMBER(L1774)),IF(J1774&gt;L1774,"boven UCL",IF(J1774&lt;K1774,"onder LCL","")),"")</f>
        <v/>
      </c>
      <c r="O1774" t="n">
        <v>1668</v>
      </c>
      <c r="P1774" s="7" t="n"/>
      <c r="Q1774" s="7" t="n"/>
      <c r="R1774" s="11">
        <f>IF(AND(ISNUMBER(P1774),ISNUMBER(Q1774),P1774&gt;0,ISNUMBER($B$100)),Q1774/P1774,"")</f>
        <v/>
      </c>
      <c r="S1774" s="11">
        <f>IF(AND(ISNUMBER(P1774),ISNUMBER(Q1774),P1774&gt;0,ISNUMBER($B$100)),MAX(0,$B$100-3*SQRT($B$100/P1774)),"")</f>
        <v/>
      </c>
      <c r="T1774" s="11">
        <f>IF(AND(ISNUMBER(P1774),ISNUMBER(Q1774),P1774&gt;0,ISNUMBER($B$100)),$B$100+3*SQRT($B$100/P1774),"")</f>
        <v/>
      </c>
      <c r="U1774" s="13">
        <f>IF(AND(ISNUMBER(R1774),ISNUMBER(S1774),ISNUMBER(T1774)),IF(R1774&gt;T1774,"boven UCL",IF(R1774&lt;S1774,"onder LCL","")),"")</f>
        <v/>
      </c>
    </row>
    <row r="1775">
      <c r="A1775" t="n">
        <v>1669</v>
      </c>
      <c r="B1775" s="7" t="n"/>
      <c r="C1775" s="11">
        <f>IF(AND(ISNUMBER(B1775),ISNUMBER(B1774)),ABS(B1775-B1774),"")</f>
        <v/>
      </c>
      <c r="D1775" s="13">
        <f>IF(AND(ISNUMBER(B1775),ISNUMBER($B$88),ISNUMBER($D$88)),IF(B1775&gt;$D$88,"boven UCL",IF(B1775&lt;$B$88,"onder LCL","")),"")</f>
        <v/>
      </c>
      <c r="E1775" s="13">
        <f>IF(AND(ISNUMBER(C1775),ISNUMBER($B$89),ISNUMBER($D$89)),IF(C1775&gt;$D$89,"boven UCL",IF(C1775&lt;$B$89,"onder LCL","")),"")</f>
        <v/>
      </c>
      <c r="G1775" t="n">
        <v>1669</v>
      </c>
      <c r="H1775" s="7" t="n"/>
      <c r="I1775" s="7" t="n"/>
      <c r="J1775" s="11">
        <f>IF(AND(ISNUMBER(H1775),ISNUMBER(I1775),H1775&gt;0,ISNUMBER($B$94)),I1775/H1775,"")</f>
        <v/>
      </c>
      <c r="K1775" s="11">
        <f>IF(AND(ISNUMBER(H1775),ISNUMBER(I1775),H1775&gt;0,ISNUMBER($B$94)),MAX(0,$B$94-3*SQRT($B$94*(1-$B$94)/H1775)),"")</f>
        <v/>
      </c>
      <c r="L1775" s="11">
        <f>IF(AND(ISNUMBER(H1775),ISNUMBER(I1775),H1775&gt;0,ISNUMBER($B$94)),$B$94+3*SQRT($B$94*(1-$B$94)/H1775),"")</f>
        <v/>
      </c>
      <c r="M1775" s="13">
        <f>IF(AND(ISNUMBER(J1775),ISNUMBER(K1775),ISNUMBER(L1775)),IF(J1775&gt;L1775,"boven UCL",IF(J1775&lt;K1775,"onder LCL","")),"")</f>
        <v/>
      </c>
      <c r="O1775" t="n">
        <v>1669</v>
      </c>
      <c r="P1775" s="7" t="n"/>
      <c r="Q1775" s="7" t="n"/>
      <c r="R1775" s="11">
        <f>IF(AND(ISNUMBER(P1775),ISNUMBER(Q1775),P1775&gt;0,ISNUMBER($B$100)),Q1775/P1775,"")</f>
        <v/>
      </c>
      <c r="S1775" s="11">
        <f>IF(AND(ISNUMBER(P1775),ISNUMBER(Q1775),P1775&gt;0,ISNUMBER($B$100)),MAX(0,$B$100-3*SQRT($B$100/P1775)),"")</f>
        <v/>
      </c>
      <c r="T1775" s="11">
        <f>IF(AND(ISNUMBER(P1775),ISNUMBER(Q1775),P1775&gt;0,ISNUMBER($B$100)),$B$100+3*SQRT($B$100/P1775),"")</f>
        <v/>
      </c>
      <c r="U1775" s="13">
        <f>IF(AND(ISNUMBER(R1775),ISNUMBER(S1775),ISNUMBER(T1775)),IF(R1775&gt;T1775,"boven UCL",IF(R1775&lt;S1775,"onder LCL","")),"")</f>
        <v/>
      </c>
    </row>
    <row r="1776">
      <c r="A1776" t="n">
        <v>1670</v>
      </c>
      <c r="B1776" s="7" t="n"/>
      <c r="C1776" s="11">
        <f>IF(AND(ISNUMBER(B1776),ISNUMBER(B1775)),ABS(B1776-B1775),"")</f>
        <v/>
      </c>
      <c r="D1776" s="13">
        <f>IF(AND(ISNUMBER(B1776),ISNUMBER($B$88),ISNUMBER($D$88)),IF(B1776&gt;$D$88,"boven UCL",IF(B1776&lt;$B$88,"onder LCL","")),"")</f>
        <v/>
      </c>
      <c r="E1776" s="13">
        <f>IF(AND(ISNUMBER(C1776),ISNUMBER($B$89),ISNUMBER($D$89)),IF(C1776&gt;$D$89,"boven UCL",IF(C1776&lt;$B$89,"onder LCL","")),"")</f>
        <v/>
      </c>
      <c r="G1776" t="n">
        <v>1670</v>
      </c>
      <c r="H1776" s="7" t="n"/>
      <c r="I1776" s="7" t="n"/>
      <c r="J1776" s="11">
        <f>IF(AND(ISNUMBER(H1776),ISNUMBER(I1776),H1776&gt;0,ISNUMBER($B$94)),I1776/H1776,"")</f>
        <v/>
      </c>
      <c r="K1776" s="11">
        <f>IF(AND(ISNUMBER(H1776),ISNUMBER(I1776),H1776&gt;0,ISNUMBER($B$94)),MAX(0,$B$94-3*SQRT($B$94*(1-$B$94)/H1776)),"")</f>
        <v/>
      </c>
      <c r="L1776" s="11">
        <f>IF(AND(ISNUMBER(H1776),ISNUMBER(I1776),H1776&gt;0,ISNUMBER($B$94)),$B$94+3*SQRT($B$94*(1-$B$94)/H1776),"")</f>
        <v/>
      </c>
      <c r="M1776" s="13">
        <f>IF(AND(ISNUMBER(J1776),ISNUMBER(K1776),ISNUMBER(L1776)),IF(J1776&gt;L1776,"boven UCL",IF(J1776&lt;K1776,"onder LCL","")),"")</f>
        <v/>
      </c>
      <c r="O1776" t="n">
        <v>1670</v>
      </c>
      <c r="P1776" s="7" t="n"/>
      <c r="Q1776" s="7" t="n"/>
      <c r="R1776" s="11">
        <f>IF(AND(ISNUMBER(P1776),ISNUMBER(Q1776),P1776&gt;0,ISNUMBER($B$100)),Q1776/P1776,"")</f>
        <v/>
      </c>
      <c r="S1776" s="11">
        <f>IF(AND(ISNUMBER(P1776),ISNUMBER(Q1776),P1776&gt;0,ISNUMBER($B$100)),MAX(0,$B$100-3*SQRT($B$100/P1776)),"")</f>
        <v/>
      </c>
      <c r="T1776" s="11">
        <f>IF(AND(ISNUMBER(P1776),ISNUMBER(Q1776),P1776&gt;0,ISNUMBER($B$100)),$B$100+3*SQRT($B$100/P1776),"")</f>
        <v/>
      </c>
      <c r="U1776" s="13">
        <f>IF(AND(ISNUMBER(R1776),ISNUMBER(S1776),ISNUMBER(T1776)),IF(R1776&gt;T1776,"boven UCL",IF(R1776&lt;S1776,"onder LCL","")),"")</f>
        <v/>
      </c>
    </row>
    <row r="1777">
      <c r="A1777" t="n">
        <v>1671</v>
      </c>
      <c r="B1777" s="7" t="n"/>
      <c r="C1777" s="11">
        <f>IF(AND(ISNUMBER(B1777),ISNUMBER(B1776)),ABS(B1777-B1776),"")</f>
        <v/>
      </c>
      <c r="D1777" s="13">
        <f>IF(AND(ISNUMBER(B1777),ISNUMBER($B$88),ISNUMBER($D$88)),IF(B1777&gt;$D$88,"boven UCL",IF(B1777&lt;$B$88,"onder LCL","")),"")</f>
        <v/>
      </c>
      <c r="E1777" s="13">
        <f>IF(AND(ISNUMBER(C1777),ISNUMBER($B$89),ISNUMBER($D$89)),IF(C1777&gt;$D$89,"boven UCL",IF(C1777&lt;$B$89,"onder LCL","")),"")</f>
        <v/>
      </c>
      <c r="G1777" t="n">
        <v>1671</v>
      </c>
      <c r="H1777" s="7" t="n"/>
      <c r="I1777" s="7" t="n"/>
      <c r="J1777" s="11">
        <f>IF(AND(ISNUMBER(H1777),ISNUMBER(I1777),H1777&gt;0,ISNUMBER($B$94)),I1777/H1777,"")</f>
        <v/>
      </c>
      <c r="K1777" s="11">
        <f>IF(AND(ISNUMBER(H1777),ISNUMBER(I1777),H1777&gt;0,ISNUMBER($B$94)),MAX(0,$B$94-3*SQRT($B$94*(1-$B$94)/H1777)),"")</f>
        <v/>
      </c>
      <c r="L1777" s="11">
        <f>IF(AND(ISNUMBER(H1777),ISNUMBER(I1777),H1777&gt;0,ISNUMBER($B$94)),$B$94+3*SQRT($B$94*(1-$B$94)/H1777),"")</f>
        <v/>
      </c>
      <c r="M1777" s="13">
        <f>IF(AND(ISNUMBER(J1777),ISNUMBER(K1777),ISNUMBER(L1777)),IF(J1777&gt;L1777,"boven UCL",IF(J1777&lt;K1777,"onder LCL","")),"")</f>
        <v/>
      </c>
      <c r="O1777" t="n">
        <v>1671</v>
      </c>
      <c r="P1777" s="7" t="n"/>
      <c r="Q1777" s="7" t="n"/>
      <c r="R1777" s="11">
        <f>IF(AND(ISNUMBER(P1777),ISNUMBER(Q1777),P1777&gt;0,ISNUMBER($B$100)),Q1777/P1777,"")</f>
        <v/>
      </c>
      <c r="S1777" s="11">
        <f>IF(AND(ISNUMBER(P1777),ISNUMBER(Q1777),P1777&gt;0,ISNUMBER($B$100)),MAX(0,$B$100-3*SQRT($B$100/P1777)),"")</f>
        <v/>
      </c>
      <c r="T1777" s="11">
        <f>IF(AND(ISNUMBER(P1777),ISNUMBER(Q1777),P1777&gt;0,ISNUMBER($B$100)),$B$100+3*SQRT($B$100/P1777),"")</f>
        <v/>
      </c>
      <c r="U1777" s="13">
        <f>IF(AND(ISNUMBER(R1777),ISNUMBER(S1777),ISNUMBER(T1777)),IF(R1777&gt;T1777,"boven UCL",IF(R1777&lt;S1777,"onder LCL","")),"")</f>
        <v/>
      </c>
    </row>
    <row r="1778">
      <c r="A1778" t="n">
        <v>1672</v>
      </c>
      <c r="B1778" s="7" t="n"/>
      <c r="C1778" s="11">
        <f>IF(AND(ISNUMBER(B1778),ISNUMBER(B1777)),ABS(B1778-B1777),"")</f>
        <v/>
      </c>
      <c r="D1778" s="13">
        <f>IF(AND(ISNUMBER(B1778),ISNUMBER($B$88),ISNUMBER($D$88)),IF(B1778&gt;$D$88,"boven UCL",IF(B1778&lt;$B$88,"onder LCL","")),"")</f>
        <v/>
      </c>
      <c r="E1778" s="13">
        <f>IF(AND(ISNUMBER(C1778),ISNUMBER($B$89),ISNUMBER($D$89)),IF(C1778&gt;$D$89,"boven UCL",IF(C1778&lt;$B$89,"onder LCL","")),"")</f>
        <v/>
      </c>
      <c r="G1778" t="n">
        <v>1672</v>
      </c>
      <c r="H1778" s="7" t="n"/>
      <c r="I1778" s="7" t="n"/>
      <c r="J1778" s="11">
        <f>IF(AND(ISNUMBER(H1778),ISNUMBER(I1778),H1778&gt;0,ISNUMBER($B$94)),I1778/H1778,"")</f>
        <v/>
      </c>
      <c r="K1778" s="11">
        <f>IF(AND(ISNUMBER(H1778),ISNUMBER(I1778),H1778&gt;0,ISNUMBER($B$94)),MAX(0,$B$94-3*SQRT($B$94*(1-$B$94)/H1778)),"")</f>
        <v/>
      </c>
      <c r="L1778" s="11">
        <f>IF(AND(ISNUMBER(H1778),ISNUMBER(I1778),H1778&gt;0,ISNUMBER($B$94)),$B$94+3*SQRT($B$94*(1-$B$94)/H1778),"")</f>
        <v/>
      </c>
      <c r="M1778" s="13">
        <f>IF(AND(ISNUMBER(J1778),ISNUMBER(K1778),ISNUMBER(L1778)),IF(J1778&gt;L1778,"boven UCL",IF(J1778&lt;K1778,"onder LCL","")),"")</f>
        <v/>
      </c>
      <c r="O1778" t="n">
        <v>1672</v>
      </c>
      <c r="P1778" s="7" t="n"/>
      <c r="Q1778" s="7" t="n"/>
      <c r="R1778" s="11">
        <f>IF(AND(ISNUMBER(P1778),ISNUMBER(Q1778),P1778&gt;0,ISNUMBER($B$100)),Q1778/P1778,"")</f>
        <v/>
      </c>
      <c r="S1778" s="11">
        <f>IF(AND(ISNUMBER(P1778),ISNUMBER(Q1778),P1778&gt;0,ISNUMBER($B$100)),MAX(0,$B$100-3*SQRT($B$100/P1778)),"")</f>
        <v/>
      </c>
      <c r="T1778" s="11">
        <f>IF(AND(ISNUMBER(P1778),ISNUMBER(Q1778),P1778&gt;0,ISNUMBER($B$100)),$B$100+3*SQRT($B$100/P1778),"")</f>
        <v/>
      </c>
      <c r="U1778" s="13">
        <f>IF(AND(ISNUMBER(R1778),ISNUMBER(S1778),ISNUMBER(T1778)),IF(R1778&gt;T1778,"boven UCL",IF(R1778&lt;S1778,"onder LCL","")),"")</f>
        <v/>
      </c>
    </row>
    <row r="1779">
      <c r="A1779" t="n">
        <v>1673</v>
      </c>
      <c r="B1779" s="7" t="n"/>
      <c r="C1779" s="11">
        <f>IF(AND(ISNUMBER(B1779),ISNUMBER(B1778)),ABS(B1779-B1778),"")</f>
        <v/>
      </c>
      <c r="D1779" s="13">
        <f>IF(AND(ISNUMBER(B1779),ISNUMBER($B$88),ISNUMBER($D$88)),IF(B1779&gt;$D$88,"boven UCL",IF(B1779&lt;$B$88,"onder LCL","")),"")</f>
        <v/>
      </c>
      <c r="E1779" s="13">
        <f>IF(AND(ISNUMBER(C1779),ISNUMBER($B$89),ISNUMBER($D$89)),IF(C1779&gt;$D$89,"boven UCL",IF(C1779&lt;$B$89,"onder LCL","")),"")</f>
        <v/>
      </c>
      <c r="G1779" t="n">
        <v>1673</v>
      </c>
      <c r="H1779" s="7" t="n"/>
      <c r="I1779" s="7" t="n"/>
      <c r="J1779" s="11">
        <f>IF(AND(ISNUMBER(H1779),ISNUMBER(I1779),H1779&gt;0,ISNUMBER($B$94)),I1779/H1779,"")</f>
        <v/>
      </c>
      <c r="K1779" s="11">
        <f>IF(AND(ISNUMBER(H1779),ISNUMBER(I1779),H1779&gt;0,ISNUMBER($B$94)),MAX(0,$B$94-3*SQRT($B$94*(1-$B$94)/H1779)),"")</f>
        <v/>
      </c>
      <c r="L1779" s="11">
        <f>IF(AND(ISNUMBER(H1779),ISNUMBER(I1779),H1779&gt;0,ISNUMBER($B$94)),$B$94+3*SQRT($B$94*(1-$B$94)/H1779),"")</f>
        <v/>
      </c>
      <c r="M1779" s="13">
        <f>IF(AND(ISNUMBER(J1779),ISNUMBER(K1779),ISNUMBER(L1779)),IF(J1779&gt;L1779,"boven UCL",IF(J1779&lt;K1779,"onder LCL","")),"")</f>
        <v/>
      </c>
      <c r="O1779" t="n">
        <v>1673</v>
      </c>
      <c r="P1779" s="7" t="n"/>
      <c r="Q1779" s="7" t="n"/>
      <c r="R1779" s="11">
        <f>IF(AND(ISNUMBER(P1779),ISNUMBER(Q1779),P1779&gt;0,ISNUMBER($B$100)),Q1779/P1779,"")</f>
        <v/>
      </c>
      <c r="S1779" s="11">
        <f>IF(AND(ISNUMBER(P1779),ISNUMBER(Q1779),P1779&gt;0,ISNUMBER($B$100)),MAX(0,$B$100-3*SQRT($B$100/P1779)),"")</f>
        <v/>
      </c>
      <c r="T1779" s="11">
        <f>IF(AND(ISNUMBER(P1779),ISNUMBER(Q1779),P1779&gt;0,ISNUMBER($B$100)),$B$100+3*SQRT($B$100/P1779),"")</f>
        <v/>
      </c>
      <c r="U1779" s="13">
        <f>IF(AND(ISNUMBER(R1779),ISNUMBER(S1779),ISNUMBER(T1779)),IF(R1779&gt;T1779,"boven UCL",IF(R1779&lt;S1779,"onder LCL","")),"")</f>
        <v/>
      </c>
    </row>
    <row r="1780">
      <c r="A1780" t="n">
        <v>1674</v>
      </c>
      <c r="B1780" s="7" t="n"/>
      <c r="C1780" s="11">
        <f>IF(AND(ISNUMBER(B1780),ISNUMBER(B1779)),ABS(B1780-B1779),"")</f>
        <v/>
      </c>
      <c r="D1780" s="13">
        <f>IF(AND(ISNUMBER(B1780),ISNUMBER($B$88),ISNUMBER($D$88)),IF(B1780&gt;$D$88,"boven UCL",IF(B1780&lt;$B$88,"onder LCL","")),"")</f>
        <v/>
      </c>
      <c r="E1780" s="13">
        <f>IF(AND(ISNUMBER(C1780),ISNUMBER($B$89),ISNUMBER($D$89)),IF(C1780&gt;$D$89,"boven UCL",IF(C1780&lt;$B$89,"onder LCL","")),"")</f>
        <v/>
      </c>
      <c r="G1780" t="n">
        <v>1674</v>
      </c>
      <c r="H1780" s="7" t="n"/>
      <c r="I1780" s="7" t="n"/>
      <c r="J1780" s="11">
        <f>IF(AND(ISNUMBER(H1780),ISNUMBER(I1780),H1780&gt;0,ISNUMBER($B$94)),I1780/H1780,"")</f>
        <v/>
      </c>
      <c r="K1780" s="11">
        <f>IF(AND(ISNUMBER(H1780),ISNUMBER(I1780),H1780&gt;0,ISNUMBER($B$94)),MAX(0,$B$94-3*SQRT($B$94*(1-$B$94)/H1780)),"")</f>
        <v/>
      </c>
      <c r="L1780" s="11">
        <f>IF(AND(ISNUMBER(H1780),ISNUMBER(I1780),H1780&gt;0,ISNUMBER($B$94)),$B$94+3*SQRT($B$94*(1-$B$94)/H1780),"")</f>
        <v/>
      </c>
      <c r="M1780" s="13">
        <f>IF(AND(ISNUMBER(J1780),ISNUMBER(K1780),ISNUMBER(L1780)),IF(J1780&gt;L1780,"boven UCL",IF(J1780&lt;K1780,"onder LCL","")),"")</f>
        <v/>
      </c>
      <c r="O1780" t="n">
        <v>1674</v>
      </c>
      <c r="P1780" s="7" t="n"/>
      <c r="Q1780" s="7" t="n"/>
      <c r="R1780" s="11">
        <f>IF(AND(ISNUMBER(P1780),ISNUMBER(Q1780),P1780&gt;0,ISNUMBER($B$100)),Q1780/P1780,"")</f>
        <v/>
      </c>
      <c r="S1780" s="11">
        <f>IF(AND(ISNUMBER(P1780),ISNUMBER(Q1780),P1780&gt;0,ISNUMBER($B$100)),MAX(0,$B$100-3*SQRT($B$100/P1780)),"")</f>
        <v/>
      </c>
      <c r="T1780" s="11">
        <f>IF(AND(ISNUMBER(P1780),ISNUMBER(Q1780),P1780&gt;0,ISNUMBER($B$100)),$B$100+3*SQRT($B$100/P1780),"")</f>
        <v/>
      </c>
      <c r="U1780" s="13">
        <f>IF(AND(ISNUMBER(R1780),ISNUMBER(S1780),ISNUMBER(T1780)),IF(R1780&gt;T1780,"boven UCL",IF(R1780&lt;S1780,"onder LCL","")),"")</f>
        <v/>
      </c>
    </row>
    <row r="1781">
      <c r="A1781" t="n">
        <v>1675</v>
      </c>
      <c r="B1781" s="7" t="n"/>
      <c r="C1781" s="11">
        <f>IF(AND(ISNUMBER(B1781),ISNUMBER(B1780)),ABS(B1781-B1780),"")</f>
        <v/>
      </c>
      <c r="D1781" s="13">
        <f>IF(AND(ISNUMBER(B1781),ISNUMBER($B$88),ISNUMBER($D$88)),IF(B1781&gt;$D$88,"boven UCL",IF(B1781&lt;$B$88,"onder LCL","")),"")</f>
        <v/>
      </c>
      <c r="E1781" s="13">
        <f>IF(AND(ISNUMBER(C1781),ISNUMBER($B$89),ISNUMBER($D$89)),IF(C1781&gt;$D$89,"boven UCL",IF(C1781&lt;$B$89,"onder LCL","")),"")</f>
        <v/>
      </c>
      <c r="G1781" t="n">
        <v>1675</v>
      </c>
      <c r="H1781" s="7" t="n"/>
      <c r="I1781" s="7" t="n"/>
      <c r="J1781" s="11">
        <f>IF(AND(ISNUMBER(H1781),ISNUMBER(I1781),H1781&gt;0,ISNUMBER($B$94)),I1781/H1781,"")</f>
        <v/>
      </c>
      <c r="K1781" s="11">
        <f>IF(AND(ISNUMBER(H1781),ISNUMBER(I1781),H1781&gt;0,ISNUMBER($B$94)),MAX(0,$B$94-3*SQRT($B$94*(1-$B$94)/H1781)),"")</f>
        <v/>
      </c>
      <c r="L1781" s="11">
        <f>IF(AND(ISNUMBER(H1781),ISNUMBER(I1781),H1781&gt;0,ISNUMBER($B$94)),$B$94+3*SQRT($B$94*(1-$B$94)/H1781),"")</f>
        <v/>
      </c>
      <c r="M1781" s="13">
        <f>IF(AND(ISNUMBER(J1781),ISNUMBER(K1781),ISNUMBER(L1781)),IF(J1781&gt;L1781,"boven UCL",IF(J1781&lt;K1781,"onder LCL","")),"")</f>
        <v/>
      </c>
      <c r="O1781" t="n">
        <v>1675</v>
      </c>
      <c r="P1781" s="7" t="n"/>
      <c r="Q1781" s="7" t="n"/>
      <c r="R1781" s="11">
        <f>IF(AND(ISNUMBER(P1781),ISNUMBER(Q1781),P1781&gt;0,ISNUMBER($B$100)),Q1781/P1781,"")</f>
        <v/>
      </c>
      <c r="S1781" s="11">
        <f>IF(AND(ISNUMBER(P1781),ISNUMBER(Q1781),P1781&gt;0,ISNUMBER($B$100)),MAX(0,$B$100-3*SQRT($B$100/P1781)),"")</f>
        <v/>
      </c>
      <c r="T1781" s="11">
        <f>IF(AND(ISNUMBER(P1781),ISNUMBER(Q1781),P1781&gt;0,ISNUMBER($B$100)),$B$100+3*SQRT($B$100/P1781),"")</f>
        <v/>
      </c>
      <c r="U1781" s="13">
        <f>IF(AND(ISNUMBER(R1781),ISNUMBER(S1781),ISNUMBER(T1781)),IF(R1781&gt;T1781,"boven UCL",IF(R1781&lt;S1781,"onder LCL","")),"")</f>
        <v/>
      </c>
    </row>
    <row r="1782">
      <c r="A1782" t="n">
        <v>1676</v>
      </c>
      <c r="B1782" s="7" t="n"/>
      <c r="C1782" s="11">
        <f>IF(AND(ISNUMBER(B1782),ISNUMBER(B1781)),ABS(B1782-B1781),"")</f>
        <v/>
      </c>
      <c r="D1782" s="13">
        <f>IF(AND(ISNUMBER(B1782),ISNUMBER($B$88),ISNUMBER($D$88)),IF(B1782&gt;$D$88,"boven UCL",IF(B1782&lt;$B$88,"onder LCL","")),"")</f>
        <v/>
      </c>
      <c r="E1782" s="13">
        <f>IF(AND(ISNUMBER(C1782),ISNUMBER($B$89),ISNUMBER($D$89)),IF(C1782&gt;$D$89,"boven UCL",IF(C1782&lt;$B$89,"onder LCL","")),"")</f>
        <v/>
      </c>
      <c r="G1782" t="n">
        <v>1676</v>
      </c>
      <c r="H1782" s="7" t="n"/>
      <c r="I1782" s="7" t="n"/>
      <c r="J1782" s="11">
        <f>IF(AND(ISNUMBER(H1782),ISNUMBER(I1782),H1782&gt;0,ISNUMBER($B$94)),I1782/H1782,"")</f>
        <v/>
      </c>
      <c r="K1782" s="11">
        <f>IF(AND(ISNUMBER(H1782),ISNUMBER(I1782),H1782&gt;0,ISNUMBER($B$94)),MAX(0,$B$94-3*SQRT($B$94*(1-$B$94)/H1782)),"")</f>
        <v/>
      </c>
      <c r="L1782" s="11">
        <f>IF(AND(ISNUMBER(H1782),ISNUMBER(I1782),H1782&gt;0,ISNUMBER($B$94)),$B$94+3*SQRT($B$94*(1-$B$94)/H1782),"")</f>
        <v/>
      </c>
      <c r="M1782" s="13">
        <f>IF(AND(ISNUMBER(J1782),ISNUMBER(K1782),ISNUMBER(L1782)),IF(J1782&gt;L1782,"boven UCL",IF(J1782&lt;K1782,"onder LCL","")),"")</f>
        <v/>
      </c>
      <c r="O1782" t="n">
        <v>1676</v>
      </c>
      <c r="P1782" s="7" t="n"/>
      <c r="Q1782" s="7" t="n"/>
      <c r="R1782" s="11">
        <f>IF(AND(ISNUMBER(P1782),ISNUMBER(Q1782),P1782&gt;0,ISNUMBER($B$100)),Q1782/P1782,"")</f>
        <v/>
      </c>
      <c r="S1782" s="11">
        <f>IF(AND(ISNUMBER(P1782),ISNUMBER(Q1782),P1782&gt;0,ISNUMBER($B$100)),MAX(0,$B$100-3*SQRT($B$100/P1782)),"")</f>
        <v/>
      </c>
      <c r="T1782" s="11">
        <f>IF(AND(ISNUMBER(P1782),ISNUMBER(Q1782),P1782&gt;0,ISNUMBER($B$100)),$B$100+3*SQRT($B$100/P1782),"")</f>
        <v/>
      </c>
      <c r="U1782" s="13">
        <f>IF(AND(ISNUMBER(R1782),ISNUMBER(S1782),ISNUMBER(T1782)),IF(R1782&gt;T1782,"boven UCL",IF(R1782&lt;S1782,"onder LCL","")),"")</f>
        <v/>
      </c>
    </row>
    <row r="1783">
      <c r="A1783" t="n">
        <v>1677</v>
      </c>
      <c r="B1783" s="7" t="n"/>
      <c r="C1783" s="11">
        <f>IF(AND(ISNUMBER(B1783),ISNUMBER(B1782)),ABS(B1783-B1782),"")</f>
        <v/>
      </c>
      <c r="D1783" s="13">
        <f>IF(AND(ISNUMBER(B1783),ISNUMBER($B$88),ISNUMBER($D$88)),IF(B1783&gt;$D$88,"boven UCL",IF(B1783&lt;$B$88,"onder LCL","")),"")</f>
        <v/>
      </c>
      <c r="E1783" s="13">
        <f>IF(AND(ISNUMBER(C1783),ISNUMBER($B$89),ISNUMBER($D$89)),IF(C1783&gt;$D$89,"boven UCL",IF(C1783&lt;$B$89,"onder LCL","")),"")</f>
        <v/>
      </c>
      <c r="G1783" t="n">
        <v>1677</v>
      </c>
      <c r="H1783" s="7" t="n"/>
      <c r="I1783" s="7" t="n"/>
      <c r="J1783" s="11">
        <f>IF(AND(ISNUMBER(H1783),ISNUMBER(I1783),H1783&gt;0,ISNUMBER($B$94)),I1783/H1783,"")</f>
        <v/>
      </c>
      <c r="K1783" s="11">
        <f>IF(AND(ISNUMBER(H1783),ISNUMBER(I1783),H1783&gt;0,ISNUMBER($B$94)),MAX(0,$B$94-3*SQRT($B$94*(1-$B$94)/H1783)),"")</f>
        <v/>
      </c>
      <c r="L1783" s="11">
        <f>IF(AND(ISNUMBER(H1783),ISNUMBER(I1783),H1783&gt;0,ISNUMBER($B$94)),$B$94+3*SQRT($B$94*(1-$B$94)/H1783),"")</f>
        <v/>
      </c>
      <c r="M1783" s="13">
        <f>IF(AND(ISNUMBER(J1783),ISNUMBER(K1783),ISNUMBER(L1783)),IF(J1783&gt;L1783,"boven UCL",IF(J1783&lt;K1783,"onder LCL","")),"")</f>
        <v/>
      </c>
      <c r="O1783" t="n">
        <v>1677</v>
      </c>
      <c r="P1783" s="7" t="n"/>
      <c r="Q1783" s="7" t="n"/>
      <c r="R1783" s="11">
        <f>IF(AND(ISNUMBER(P1783),ISNUMBER(Q1783),P1783&gt;0,ISNUMBER($B$100)),Q1783/P1783,"")</f>
        <v/>
      </c>
      <c r="S1783" s="11">
        <f>IF(AND(ISNUMBER(P1783),ISNUMBER(Q1783),P1783&gt;0,ISNUMBER($B$100)),MAX(0,$B$100-3*SQRT($B$100/P1783)),"")</f>
        <v/>
      </c>
      <c r="T1783" s="11">
        <f>IF(AND(ISNUMBER(P1783),ISNUMBER(Q1783),P1783&gt;0,ISNUMBER($B$100)),$B$100+3*SQRT($B$100/P1783),"")</f>
        <v/>
      </c>
      <c r="U1783" s="13">
        <f>IF(AND(ISNUMBER(R1783),ISNUMBER(S1783),ISNUMBER(T1783)),IF(R1783&gt;T1783,"boven UCL",IF(R1783&lt;S1783,"onder LCL","")),"")</f>
        <v/>
      </c>
    </row>
    <row r="1784">
      <c r="A1784" t="n">
        <v>1678</v>
      </c>
      <c r="B1784" s="7" t="n"/>
      <c r="C1784" s="11">
        <f>IF(AND(ISNUMBER(B1784),ISNUMBER(B1783)),ABS(B1784-B1783),"")</f>
        <v/>
      </c>
      <c r="D1784" s="13">
        <f>IF(AND(ISNUMBER(B1784),ISNUMBER($B$88),ISNUMBER($D$88)),IF(B1784&gt;$D$88,"boven UCL",IF(B1784&lt;$B$88,"onder LCL","")),"")</f>
        <v/>
      </c>
      <c r="E1784" s="13">
        <f>IF(AND(ISNUMBER(C1784),ISNUMBER($B$89),ISNUMBER($D$89)),IF(C1784&gt;$D$89,"boven UCL",IF(C1784&lt;$B$89,"onder LCL","")),"")</f>
        <v/>
      </c>
      <c r="G1784" t="n">
        <v>1678</v>
      </c>
      <c r="H1784" s="7" t="n"/>
      <c r="I1784" s="7" t="n"/>
      <c r="J1784" s="11">
        <f>IF(AND(ISNUMBER(H1784),ISNUMBER(I1784),H1784&gt;0,ISNUMBER($B$94)),I1784/H1784,"")</f>
        <v/>
      </c>
      <c r="K1784" s="11">
        <f>IF(AND(ISNUMBER(H1784),ISNUMBER(I1784),H1784&gt;0,ISNUMBER($B$94)),MAX(0,$B$94-3*SQRT($B$94*(1-$B$94)/H1784)),"")</f>
        <v/>
      </c>
      <c r="L1784" s="11">
        <f>IF(AND(ISNUMBER(H1784),ISNUMBER(I1784),H1784&gt;0,ISNUMBER($B$94)),$B$94+3*SQRT($B$94*(1-$B$94)/H1784),"")</f>
        <v/>
      </c>
      <c r="M1784" s="13">
        <f>IF(AND(ISNUMBER(J1784),ISNUMBER(K1784),ISNUMBER(L1784)),IF(J1784&gt;L1784,"boven UCL",IF(J1784&lt;K1784,"onder LCL","")),"")</f>
        <v/>
      </c>
      <c r="O1784" t="n">
        <v>1678</v>
      </c>
      <c r="P1784" s="7" t="n"/>
      <c r="Q1784" s="7" t="n"/>
      <c r="R1784" s="11">
        <f>IF(AND(ISNUMBER(P1784),ISNUMBER(Q1784),P1784&gt;0,ISNUMBER($B$100)),Q1784/P1784,"")</f>
        <v/>
      </c>
      <c r="S1784" s="11">
        <f>IF(AND(ISNUMBER(P1784),ISNUMBER(Q1784),P1784&gt;0,ISNUMBER($B$100)),MAX(0,$B$100-3*SQRT($B$100/P1784)),"")</f>
        <v/>
      </c>
      <c r="T1784" s="11">
        <f>IF(AND(ISNUMBER(P1784),ISNUMBER(Q1784),P1784&gt;0,ISNUMBER($B$100)),$B$100+3*SQRT($B$100/P1784),"")</f>
        <v/>
      </c>
      <c r="U1784" s="13">
        <f>IF(AND(ISNUMBER(R1784),ISNUMBER(S1784),ISNUMBER(T1784)),IF(R1784&gt;T1784,"boven UCL",IF(R1784&lt;S1784,"onder LCL","")),"")</f>
        <v/>
      </c>
    </row>
    <row r="1785">
      <c r="A1785" t="n">
        <v>1679</v>
      </c>
      <c r="B1785" s="7" t="n"/>
      <c r="C1785" s="11">
        <f>IF(AND(ISNUMBER(B1785),ISNUMBER(B1784)),ABS(B1785-B1784),"")</f>
        <v/>
      </c>
      <c r="D1785" s="13">
        <f>IF(AND(ISNUMBER(B1785),ISNUMBER($B$88),ISNUMBER($D$88)),IF(B1785&gt;$D$88,"boven UCL",IF(B1785&lt;$B$88,"onder LCL","")),"")</f>
        <v/>
      </c>
      <c r="E1785" s="13">
        <f>IF(AND(ISNUMBER(C1785),ISNUMBER($B$89),ISNUMBER($D$89)),IF(C1785&gt;$D$89,"boven UCL",IF(C1785&lt;$B$89,"onder LCL","")),"")</f>
        <v/>
      </c>
      <c r="G1785" t="n">
        <v>1679</v>
      </c>
      <c r="H1785" s="7" t="n"/>
      <c r="I1785" s="7" t="n"/>
      <c r="J1785" s="11">
        <f>IF(AND(ISNUMBER(H1785),ISNUMBER(I1785),H1785&gt;0,ISNUMBER($B$94)),I1785/H1785,"")</f>
        <v/>
      </c>
      <c r="K1785" s="11">
        <f>IF(AND(ISNUMBER(H1785),ISNUMBER(I1785),H1785&gt;0,ISNUMBER($B$94)),MAX(0,$B$94-3*SQRT($B$94*(1-$B$94)/H1785)),"")</f>
        <v/>
      </c>
      <c r="L1785" s="11">
        <f>IF(AND(ISNUMBER(H1785),ISNUMBER(I1785),H1785&gt;0,ISNUMBER($B$94)),$B$94+3*SQRT($B$94*(1-$B$94)/H1785),"")</f>
        <v/>
      </c>
      <c r="M1785" s="13">
        <f>IF(AND(ISNUMBER(J1785),ISNUMBER(K1785),ISNUMBER(L1785)),IF(J1785&gt;L1785,"boven UCL",IF(J1785&lt;K1785,"onder LCL","")),"")</f>
        <v/>
      </c>
      <c r="O1785" t="n">
        <v>1679</v>
      </c>
      <c r="P1785" s="7" t="n"/>
      <c r="Q1785" s="7" t="n"/>
      <c r="R1785" s="11">
        <f>IF(AND(ISNUMBER(P1785),ISNUMBER(Q1785),P1785&gt;0,ISNUMBER($B$100)),Q1785/P1785,"")</f>
        <v/>
      </c>
      <c r="S1785" s="11">
        <f>IF(AND(ISNUMBER(P1785),ISNUMBER(Q1785),P1785&gt;0,ISNUMBER($B$100)),MAX(0,$B$100-3*SQRT($B$100/P1785)),"")</f>
        <v/>
      </c>
      <c r="T1785" s="11">
        <f>IF(AND(ISNUMBER(P1785),ISNUMBER(Q1785),P1785&gt;0,ISNUMBER($B$100)),$B$100+3*SQRT($B$100/P1785),"")</f>
        <v/>
      </c>
      <c r="U1785" s="13">
        <f>IF(AND(ISNUMBER(R1785),ISNUMBER(S1785),ISNUMBER(T1785)),IF(R1785&gt;T1785,"boven UCL",IF(R1785&lt;S1785,"onder LCL","")),"")</f>
        <v/>
      </c>
    </row>
    <row r="1786">
      <c r="A1786" t="n">
        <v>1680</v>
      </c>
      <c r="B1786" s="7" t="n"/>
      <c r="C1786" s="11">
        <f>IF(AND(ISNUMBER(B1786),ISNUMBER(B1785)),ABS(B1786-B1785),"")</f>
        <v/>
      </c>
      <c r="D1786" s="13">
        <f>IF(AND(ISNUMBER(B1786),ISNUMBER($B$88),ISNUMBER($D$88)),IF(B1786&gt;$D$88,"boven UCL",IF(B1786&lt;$B$88,"onder LCL","")),"")</f>
        <v/>
      </c>
      <c r="E1786" s="13">
        <f>IF(AND(ISNUMBER(C1786),ISNUMBER($B$89),ISNUMBER($D$89)),IF(C1786&gt;$D$89,"boven UCL",IF(C1786&lt;$B$89,"onder LCL","")),"")</f>
        <v/>
      </c>
      <c r="G1786" t="n">
        <v>1680</v>
      </c>
      <c r="H1786" s="7" t="n"/>
      <c r="I1786" s="7" t="n"/>
      <c r="J1786" s="11">
        <f>IF(AND(ISNUMBER(H1786),ISNUMBER(I1786),H1786&gt;0,ISNUMBER($B$94)),I1786/H1786,"")</f>
        <v/>
      </c>
      <c r="K1786" s="11">
        <f>IF(AND(ISNUMBER(H1786),ISNUMBER(I1786),H1786&gt;0,ISNUMBER($B$94)),MAX(0,$B$94-3*SQRT($B$94*(1-$B$94)/H1786)),"")</f>
        <v/>
      </c>
      <c r="L1786" s="11">
        <f>IF(AND(ISNUMBER(H1786),ISNUMBER(I1786),H1786&gt;0,ISNUMBER($B$94)),$B$94+3*SQRT($B$94*(1-$B$94)/H1786),"")</f>
        <v/>
      </c>
      <c r="M1786" s="13">
        <f>IF(AND(ISNUMBER(J1786),ISNUMBER(K1786),ISNUMBER(L1786)),IF(J1786&gt;L1786,"boven UCL",IF(J1786&lt;K1786,"onder LCL","")),"")</f>
        <v/>
      </c>
      <c r="O1786" t="n">
        <v>1680</v>
      </c>
      <c r="P1786" s="7" t="n"/>
      <c r="Q1786" s="7" t="n"/>
      <c r="R1786" s="11">
        <f>IF(AND(ISNUMBER(P1786),ISNUMBER(Q1786),P1786&gt;0,ISNUMBER($B$100)),Q1786/P1786,"")</f>
        <v/>
      </c>
      <c r="S1786" s="11">
        <f>IF(AND(ISNUMBER(P1786),ISNUMBER(Q1786),P1786&gt;0,ISNUMBER($B$100)),MAX(0,$B$100-3*SQRT($B$100/P1786)),"")</f>
        <v/>
      </c>
      <c r="T1786" s="11">
        <f>IF(AND(ISNUMBER(P1786),ISNUMBER(Q1786),P1786&gt;0,ISNUMBER($B$100)),$B$100+3*SQRT($B$100/P1786),"")</f>
        <v/>
      </c>
      <c r="U1786" s="13">
        <f>IF(AND(ISNUMBER(R1786),ISNUMBER(S1786),ISNUMBER(T1786)),IF(R1786&gt;T1786,"boven UCL",IF(R1786&lt;S1786,"onder LCL","")),"")</f>
        <v/>
      </c>
    </row>
    <row r="1787">
      <c r="A1787" t="n">
        <v>1681</v>
      </c>
      <c r="B1787" s="7" t="n"/>
      <c r="C1787" s="11">
        <f>IF(AND(ISNUMBER(B1787),ISNUMBER(B1786)),ABS(B1787-B1786),"")</f>
        <v/>
      </c>
      <c r="D1787" s="13">
        <f>IF(AND(ISNUMBER(B1787),ISNUMBER($B$88),ISNUMBER($D$88)),IF(B1787&gt;$D$88,"boven UCL",IF(B1787&lt;$B$88,"onder LCL","")),"")</f>
        <v/>
      </c>
      <c r="E1787" s="13">
        <f>IF(AND(ISNUMBER(C1787),ISNUMBER($B$89),ISNUMBER($D$89)),IF(C1787&gt;$D$89,"boven UCL",IF(C1787&lt;$B$89,"onder LCL","")),"")</f>
        <v/>
      </c>
      <c r="G1787" t="n">
        <v>1681</v>
      </c>
      <c r="H1787" s="7" t="n"/>
      <c r="I1787" s="7" t="n"/>
      <c r="J1787" s="11">
        <f>IF(AND(ISNUMBER(H1787),ISNUMBER(I1787),H1787&gt;0,ISNUMBER($B$94)),I1787/H1787,"")</f>
        <v/>
      </c>
      <c r="K1787" s="11">
        <f>IF(AND(ISNUMBER(H1787),ISNUMBER(I1787),H1787&gt;0,ISNUMBER($B$94)),MAX(0,$B$94-3*SQRT($B$94*(1-$B$94)/H1787)),"")</f>
        <v/>
      </c>
      <c r="L1787" s="11">
        <f>IF(AND(ISNUMBER(H1787),ISNUMBER(I1787),H1787&gt;0,ISNUMBER($B$94)),$B$94+3*SQRT($B$94*(1-$B$94)/H1787),"")</f>
        <v/>
      </c>
      <c r="M1787" s="13">
        <f>IF(AND(ISNUMBER(J1787),ISNUMBER(K1787),ISNUMBER(L1787)),IF(J1787&gt;L1787,"boven UCL",IF(J1787&lt;K1787,"onder LCL","")),"")</f>
        <v/>
      </c>
      <c r="O1787" t="n">
        <v>1681</v>
      </c>
      <c r="P1787" s="7" t="n"/>
      <c r="Q1787" s="7" t="n"/>
      <c r="R1787" s="11">
        <f>IF(AND(ISNUMBER(P1787),ISNUMBER(Q1787),P1787&gt;0,ISNUMBER($B$100)),Q1787/P1787,"")</f>
        <v/>
      </c>
      <c r="S1787" s="11">
        <f>IF(AND(ISNUMBER(P1787),ISNUMBER(Q1787),P1787&gt;0,ISNUMBER($B$100)),MAX(0,$B$100-3*SQRT($B$100/P1787)),"")</f>
        <v/>
      </c>
      <c r="T1787" s="11">
        <f>IF(AND(ISNUMBER(P1787),ISNUMBER(Q1787),P1787&gt;0,ISNUMBER($B$100)),$B$100+3*SQRT($B$100/P1787),"")</f>
        <v/>
      </c>
      <c r="U1787" s="13">
        <f>IF(AND(ISNUMBER(R1787),ISNUMBER(S1787),ISNUMBER(T1787)),IF(R1787&gt;T1787,"boven UCL",IF(R1787&lt;S1787,"onder LCL","")),"")</f>
        <v/>
      </c>
    </row>
    <row r="1788">
      <c r="A1788" t="n">
        <v>1682</v>
      </c>
      <c r="B1788" s="7" t="n"/>
      <c r="C1788" s="11">
        <f>IF(AND(ISNUMBER(B1788),ISNUMBER(B1787)),ABS(B1788-B1787),"")</f>
        <v/>
      </c>
      <c r="D1788" s="13">
        <f>IF(AND(ISNUMBER(B1788),ISNUMBER($B$88),ISNUMBER($D$88)),IF(B1788&gt;$D$88,"boven UCL",IF(B1788&lt;$B$88,"onder LCL","")),"")</f>
        <v/>
      </c>
      <c r="E1788" s="13">
        <f>IF(AND(ISNUMBER(C1788),ISNUMBER($B$89),ISNUMBER($D$89)),IF(C1788&gt;$D$89,"boven UCL",IF(C1788&lt;$B$89,"onder LCL","")),"")</f>
        <v/>
      </c>
      <c r="G1788" t="n">
        <v>1682</v>
      </c>
      <c r="H1788" s="7" t="n"/>
      <c r="I1788" s="7" t="n"/>
      <c r="J1788" s="11">
        <f>IF(AND(ISNUMBER(H1788),ISNUMBER(I1788),H1788&gt;0,ISNUMBER($B$94)),I1788/H1788,"")</f>
        <v/>
      </c>
      <c r="K1788" s="11">
        <f>IF(AND(ISNUMBER(H1788),ISNUMBER(I1788),H1788&gt;0,ISNUMBER($B$94)),MAX(0,$B$94-3*SQRT($B$94*(1-$B$94)/H1788)),"")</f>
        <v/>
      </c>
      <c r="L1788" s="11">
        <f>IF(AND(ISNUMBER(H1788),ISNUMBER(I1788),H1788&gt;0,ISNUMBER($B$94)),$B$94+3*SQRT($B$94*(1-$B$94)/H1788),"")</f>
        <v/>
      </c>
      <c r="M1788" s="13">
        <f>IF(AND(ISNUMBER(J1788),ISNUMBER(K1788),ISNUMBER(L1788)),IF(J1788&gt;L1788,"boven UCL",IF(J1788&lt;K1788,"onder LCL","")),"")</f>
        <v/>
      </c>
      <c r="O1788" t="n">
        <v>1682</v>
      </c>
      <c r="P1788" s="7" t="n"/>
      <c r="Q1788" s="7" t="n"/>
      <c r="R1788" s="11">
        <f>IF(AND(ISNUMBER(P1788),ISNUMBER(Q1788),P1788&gt;0,ISNUMBER($B$100)),Q1788/P1788,"")</f>
        <v/>
      </c>
      <c r="S1788" s="11">
        <f>IF(AND(ISNUMBER(P1788),ISNUMBER(Q1788),P1788&gt;0,ISNUMBER($B$100)),MAX(0,$B$100-3*SQRT($B$100/P1788)),"")</f>
        <v/>
      </c>
      <c r="T1788" s="11">
        <f>IF(AND(ISNUMBER(P1788),ISNUMBER(Q1788),P1788&gt;0,ISNUMBER($B$100)),$B$100+3*SQRT($B$100/P1788),"")</f>
        <v/>
      </c>
      <c r="U1788" s="13">
        <f>IF(AND(ISNUMBER(R1788),ISNUMBER(S1788),ISNUMBER(T1788)),IF(R1788&gt;T1788,"boven UCL",IF(R1788&lt;S1788,"onder LCL","")),"")</f>
        <v/>
      </c>
    </row>
    <row r="1789">
      <c r="A1789" t="n">
        <v>1683</v>
      </c>
      <c r="B1789" s="7" t="n"/>
      <c r="C1789" s="11">
        <f>IF(AND(ISNUMBER(B1789),ISNUMBER(B1788)),ABS(B1789-B1788),"")</f>
        <v/>
      </c>
      <c r="D1789" s="13">
        <f>IF(AND(ISNUMBER(B1789),ISNUMBER($B$88),ISNUMBER($D$88)),IF(B1789&gt;$D$88,"boven UCL",IF(B1789&lt;$B$88,"onder LCL","")),"")</f>
        <v/>
      </c>
      <c r="E1789" s="13">
        <f>IF(AND(ISNUMBER(C1789),ISNUMBER($B$89),ISNUMBER($D$89)),IF(C1789&gt;$D$89,"boven UCL",IF(C1789&lt;$B$89,"onder LCL","")),"")</f>
        <v/>
      </c>
      <c r="G1789" t="n">
        <v>1683</v>
      </c>
      <c r="H1789" s="7" t="n"/>
      <c r="I1789" s="7" t="n"/>
      <c r="J1789" s="11">
        <f>IF(AND(ISNUMBER(H1789),ISNUMBER(I1789),H1789&gt;0,ISNUMBER($B$94)),I1789/H1789,"")</f>
        <v/>
      </c>
      <c r="K1789" s="11">
        <f>IF(AND(ISNUMBER(H1789),ISNUMBER(I1789),H1789&gt;0,ISNUMBER($B$94)),MAX(0,$B$94-3*SQRT($B$94*(1-$B$94)/H1789)),"")</f>
        <v/>
      </c>
      <c r="L1789" s="11">
        <f>IF(AND(ISNUMBER(H1789),ISNUMBER(I1789),H1789&gt;0,ISNUMBER($B$94)),$B$94+3*SQRT($B$94*(1-$B$94)/H1789),"")</f>
        <v/>
      </c>
      <c r="M1789" s="13">
        <f>IF(AND(ISNUMBER(J1789),ISNUMBER(K1789),ISNUMBER(L1789)),IF(J1789&gt;L1789,"boven UCL",IF(J1789&lt;K1789,"onder LCL","")),"")</f>
        <v/>
      </c>
      <c r="O1789" t="n">
        <v>1683</v>
      </c>
      <c r="P1789" s="7" t="n"/>
      <c r="Q1789" s="7" t="n"/>
      <c r="R1789" s="11">
        <f>IF(AND(ISNUMBER(P1789),ISNUMBER(Q1789),P1789&gt;0,ISNUMBER($B$100)),Q1789/P1789,"")</f>
        <v/>
      </c>
      <c r="S1789" s="11">
        <f>IF(AND(ISNUMBER(P1789),ISNUMBER(Q1789),P1789&gt;0,ISNUMBER($B$100)),MAX(0,$B$100-3*SQRT($B$100/P1789)),"")</f>
        <v/>
      </c>
      <c r="T1789" s="11">
        <f>IF(AND(ISNUMBER(P1789),ISNUMBER(Q1789),P1789&gt;0,ISNUMBER($B$100)),$B$100+3*SQRT($B$100/P1789),"")</f>
        <v/>
      </c>
      <c r="U1789" s="13">
        <f>IF(AND(ISNUMBER(R1789),ISNUMBER(S1789),ISNUMBER(T1789)),IF(R1789&gt;T1789,"boven UCL",IF(R1789&lt;S1789,"onder LCL","")),"")</f>
        <v/>
      </c>
    </row>
    <row r="1790">
      <c r="A1790" t="n">
        <v>1684</v>
      </c>
      <c r="B1790" s="7" t="n"/>
      <c r="C1790" s="11">
        <f>IF(AND(ISNUMBER(B1790),ISNUMBER(B1789)),ABS(B1790-B1789),"")</f>
        <v/>
      </c>
      <c r="D1790" s="13">
        <f>IF(AND(ISNUMBER(B1790),ISNUMBER($B$88),ISNUMBER($D$88)),IF(B1790&gt;$D$88,"boven UCL",IF(B1790&lt;$B$88,"onder LCL","")),"")</f>
        <v/>
      </c>
      <c r="E1790" s="13">
        <f>IF(AND(ISNUMBER(C1790),ISNUMBER($B$89),ISNUMBER($D$89)),IF(C1790&gt;$D$89,"boven UCL",IF(C1790&lt;$B$89,"onder LCL","")),"")</f>
        <v/>
      </c>
      <c r="G1790" t="n">
        <v>1684</v>
      </c>
      <c r="H1790" s="7" t="n"/>
      <c r="I1790" s="7" t="n"/>
      <c r="J1790" s="11">
        <f>IF(AND(ISNUMBER(H1790),ISNUMBER(I1790),H1790&gt;0,ISNUMBER($B$94)),I1790/H1790,"")</f>
        <v/>
      </c>
      <c r="K1790" s="11">
        <f>IF(AND(ISNUMBER(H1790),ISNUMBER(I1790),H1790&gt;0,ISNUMBER($B$94)),MAX(0,$B$94-3*SQRT($B$94*(1-$B$94)/H1790)),"")</f>
        <v/>
      </c>
      <c r="L1790" s="11">
        <f>IF(AND(ISNUMBER(H1790),ISNUMBER(I1790),H1790&gt;0,ISNUMBER($B$94)),$B$94+3*SQRT($B$94*(1-$B$94)/H1790),"")</f>
        <v/>
      </c>
      <c r="M1790" s="13">
        <f>IF(AND(ISNUMBER(J1790),ISNUMBER(K1790),ISNUMBER(L1790)),IF(J1790&gt;L1790,"boven UCL",IF(J1790&lt;K1790,"onder LCL","")),"")</f>
        <v/>
      </c>
      <c r="O1790" t="n">
        <v>1684</v>
      </c>
      <c r="P1790" s="7" t="n"/>
      <c r="Q1790" s="7" t="n"/>
      <c r="R1790" s="11">
        <f>IF(AND(ISNUMBER(P1790),ISNUMBER(Q1790),P1790&gt;0,ISNUMBER($B$100)),Q1790/P1790,"")</f>
        <v/>
      </c>
      <c r="S1790" s="11">
        <f>IF(AND(ISNUMBER(P1790),ISNUMBER(Q1790),P1790&gt;0,ISNUMBER($B$100)),MAX(0,$B$100-3*SQRT($B$100/P1790)),"")</f>
        <v/>
      </c>
      <c r="T1790" s="11">
        <f>IF(AND(ISNUMBER(P1790),ISNUMBER(Q1790),P1790&gt;0,ISNUMBER($B$100)),$B$100+3*SQRT($B$100/P1790),"")</f>
        <v/>
      </c>
      <c r="U1790" s="13">
        <f>IF(AND(ISNUMBER(R1790),ISNUMBER(S1790),ISNUMBER(T1790)),IF(R1790&gt;T1790,"boven UCL",IF(R1790&lt;S1790,"onder LCL","")),"")</f>
        <v/>
      </c>
    </row>
    <row r="1791">
      <c r="A1791" t="n">
        <v>1685</v>
      </c>
      <c r="B1791" s="7" t="n"/>
      <c r="C1791" s="11">
        <f>IF(AND(ISNUMBER(B1791),ISNUMBER(B1790)),ABS(B1791-B1790),"")</f>
        <v/>
      </c>
      <c r="D1791" s="13">
        <f>IF(AND(ISNUMBER(B1791),ISNUMBER($B$88),ISNUMBER($D$88)),IF(B1791&gt;$D$88,"boven UCL",IF(B1791&lt;$B$88,"onder LCL","")),"")</f>
        <v/>
      </c>
      <c r="E1791" s="13">
        <f>IF(AND(ISNUMBER(C1791),ISNUMBER($B$89),ISNUMBER($D$89)),IF(C1791&gt;$D$89,"boven UCL",IF(C1791&lt;$B$89,"onder LCL","")),"")</f>
        <v/>
      </c>
      <c r="G1791" t="n">
        <v>1685</v>
      </c>
      <c r="H1791" s="7" t="n"/>
      <c r="I1791" s="7" t="n"/>
      <c r="J1791" s="11">
        <f>IF(AND(ISNUMBER(H1791),ISNUMBER(I1791),H1791&gt;0,ISNUMBER($B$94)),I1791/H1791,"")</f>
        <v/>
      </c>
      <c r="K1791" s="11">
        <f>IF(AND(ISNUMBER(H1791),ISNUMBER(I1791),H1791&gt;0,ISNUMBER($B$94)),MAX(0,$B$94-3*SQRT($B$94*(1-$B$94)/H1791)),"")</f>
        <v/>
      </c>
      <c r="L1791" s="11">
        <f>IF(AND(ISNUMBER(H1791),ISNUMBER(I1791),H1791&gt;0,ISNUMBER($B$94)),$B$94+3*SQRT($B$94*(1-$B$94)/H1791),"")</f>
        <v/>
      </c>
      <c r="M1791" s="13">
        <f>IF(AND(ISNUMBER(J1791),ISNUMBER(K1791),ISNUMBER(L1791)),IF(J1791&gt;L1791,"boven UCL",IF(J1791&lt;K1791,"onder LCL","")),"")</f>
        <v/>
      </c>
      <c r="O1791" t="n">
        <v>1685</v>
      </c>
      <c r="P1791" s="7" t="n"/>
      <c r="Q1791" s="7" t="n"/>
      <c r="R1791" s="11">
        <f>IF(AND(ISNUMBER(P1791),ISNUMBER(Q1791),P1791&gt;0,ISNUMBER($B$100)),Q1791/P1791,"")</f>
        <v/>
      </c>
      <c r="S1791" s="11">
        <f>IF(AND(ISNUMBER(P1791),ISNUMBER(Q1791),P1791&gt;0,ISNUMBER($B$100)),MAX(0,$B$100-3*SQRT($B$100/P1791)),"")</f>
        <v/>
      </c>
      <c r="T1791" s="11">
        <f>IF(AND(ISNUMBER(P1791),ISNUMBER(Q1791),P1791&gt;0,ISNUMBER($B$100)),$B$100+3*SQRT($B$100/P1791),"")</f>
        <v/>
      </c>
      <c r="U1791" s="13">
        <f>IF(AND(ISNUMBER(R1791),ISNUMBER(S1791),ISNUMBER(T1791)),IF(R1791&gt;T1791,"boven UCL",IF(R1791&lt;S1791,"onder LCL","")),"")</f>
        <v/>
      </c>
    </row>
    <row r="1792">
      <c r="A1792" t="n">
        <v>1686</v>
      </c>
      <c r="B1792" s="7" t="n"/>
      <c r="C1792" s="11">
        <f>IF(AND(ISNUMBER(B1792),ISNUMBER(B1791)),ABS(B1792-B1791),"")</f>
        <v/>
      </c>
      <c r="D1792" s="13">
        <f>IF(AND(ISNUMBER(B1792),ISNUMBER($B$88),ISNUMBER($D$88)),IF(B1792&gt;$D$88,"boven UCL",IF(B1792&lt;$B$88,"onder LCL","")),"")</f>
        <v/>
      </c>
      <c r="E1792" s="13">
        <f>IF(AND(ISNUMBER(C1792),ISNUMBER($B$89),ISNUMBER($D$89)),IF(C1792&gt;$D$89,"boven UCL",IF(C1792&lt;$B$89,"onder LCL","")),"")</f>
        <v/>
      </c>
      <c r="G1792" t="n">
        <v>1686</v>
      </c>
      <c r="H1792" s="7" t="n"/>
      <c r="I1792" s="7" t="n"/>
      <c r="J1792" s="11">
        <f>IF(AND(ISNUMBER(H1792),ISNUMBER(I1792),H1792&gt;0,ISNUMBER($B$94)),I1792/H1792,"")</f>
        <v/>
      </c>
      <c r="K1792" s="11">
        <f>IF(AND(ISNUMBER(H1792),ISNUMBER(I1792),H1792&gt;0,ISNUMBER($B$94)),MAX(0,$B$94-3*SQRT($B$94*(1-$B$94)/H1792)),"")</f>
        <v/>
      </c>
      <c r="L1792" s="11">
        <f>IF(AND(ISNUMBER(H1792),ISNUMBER(I1792),H1792&gt;0,ISNUMBER($B$94)),$B$94+3*SQRT($B$94*(1-$B$94)/H1792),"")</f>
        <v/>
      </c>
      <c r="M1792" s="13">
        <f>IF(AND(ISNUMBER(J1792),ISNUMBER(K1792),ISNUMBER(L1792)),IF(J1792&gt;L1792,"boven UCL",IF(J1792&lt;K1792,"onder LCL","")),"")</f>
        <v/>
      </c>
      <c r="O1792" t="n">
        <v>1686</v>
      </c>
      <c r="P1792" s="7" t="n"/>
      <c r="Q1792" s="7" t="n"/>
      <c r="R1792" s="11">
        <f>IF(AND(ISNUMBER(P1792),ISNUMBER(Q1792),P1792&gt;0,ISNUMBER($B$100)),Q1792/P1792,"")</f>
        <v/>
      </c>
      <c r="S1792" s="11">
        <f>IF(AND(ISNUMBER(P1792),ISNUMBER(Q1792),P1792&gt;0,ISNUMBER($B$100)),MAX(0,$B$100-3*SQRT($B$100/P1792)),"")</f>
        <v/>
      </c>
      <c r="T1792" s="11">
        <f>IF(AND(ISNUMBER(P1792),ISNUMBER(Q1792),P1792&gt;0,ISNUMBER($B$100)),$B$100+3*SQRT($B$100/P1792),"")</f>
        <v/>
      </c>
      <c r="U1792" s="13">
        <f>IF(AND(ISNUMBER(R1792),ISNUMBER(S1792),ISNUMBER(T1792)),IF(R1792&gt;T1792,"boven UCL",IF(R1792&lt;S1792,"onder LCL","")),"")</f>
        <v/>
      </c>
    </row>
    <row r="1793">
      <c r="A1793" t="n">
        <v>1687</v>
      </c>
      <c r="B1793" s="7" t="n"/>
      <c r="C1793" s="11">
        <f>IF(AND(ISNUMBER(B1793),ISNUMBER(B1792)),ABS(B1793-B1792),"")</f>
        <v/>
      </c>
      <c r="D1793" s="13">
        <f>IF(AND(ISNUMBER(B1793),ISNUMBER($B$88),ISNUMBER($D$88)),IF(B1793&gt;$D$88,"boven UCL",IF(B1793&lt;$B$88,"onder LCL","")),"")</f>
        <v/>
      </c>
      <c r="E1793" s="13">
        <f>IF(AND(ISNUMBER(C1793),ISNUMBER($B$89),ISNUMBER($D$89)),IF(C1793&gt;$D$89,"boven UCL",IF(C1793&lt;$B$89,"onder LCL","")),"")</f>
        <v/>
      </c>
      <c r="G1793" t="n">
        <v>1687</v>
      </c>
      <c r="H1793" s="7" t="n"/>
      <c r="I1793" s="7" t="n"/>
      <c r="J1793" s="11">
        <f>IF(AND(ISNUMBER(H1793),ISNUMBER(I1793),H1793&gt;0,ISNUMBER($B$94)),I1793/H1793,"")</f>
        <v/>
      </c>
      <c r="K1793" s="11">
        <f>IF(AND(ISNUMBER(H1793),ISNUMBER(I1793),H1793&gt;0,ISNUMBER($B$94)),MAX(0,$B$94-3*SQRT($B$94*(1-$B$94)/H1793)),"")</f>
        <v/>
      </c>
      <c r="L1793" s="11">
        <f>IF(AND(ISNUMBER(H1793),ISNUMBER(I1793),H1793&gt;0,ISNUMBER($B$94)),$B$94+3*SQRT($B$94*(1-$B$94)/H1793),"")</f>
        <v/>
      </c>
      <c r="M1793" s="13">
        <f>IF(AND(ISNUMBER(J1793),ISNUMBER(K1793),ISNUMBER(L1793)),IF(J1793&gt;L1793,"boven UCL",IF(J1793&lt;K1793,"onder LCL","")),"")</f>
        <v/>
      </c>
      <c r="O1793" t="n">
        <v>1687</v>
      </c>
      <c r="P1793" s="7" t="n"/>
      <c r="Q1793" s="7" t="n"/>
      <c r="R1793" s="11">
        <f>IF(AND(ISNUMBER(P1793),ISNUMBER(Q1793),P1793&gt;0,ISNUMBER($B$100)),Q1793/P1793,"")</f>
        <v/>
      </c>
      <c r="S1793" s="11">
        <f>IF(AND(ISNUMBER(P1793),ISNUMBER(Q1793),P1793&gt;0,ISNUMBER($B$100)),MAX(0,$B$100-3*SQRT($B$100/P1793)),"")</f>
        <v/>
      </c>
      <c r="T1793" s="11">
        <f>IF(AND(ISNUMBER(P1793),ISNUMBER(Q1793),P1793&gt;0,ISNUMBER($B$100)),$B$100+3*SQRT($B$100/P1793),"")</f>
        <v/>
      </c>
      <c r="U1793" s="13">
        <f>IF(AND(ISNUMBER(R1793),ISNUMBER(S1793),ISNUMBER(T1793)),IF(R1793&gt;T1793,"boven UCL",IF(R1793&lt;S1793,"onder LCL","")),"")</f>
        <v/>
      </c>
    </row>
    <row r="1794">
      <c r="A1794" t="n">
        <v>1688</v>
      </c>
      <c r="B1794" s="7" t="n"/>
      <c r="C1794" s="11">
        <f>IF(AND(ISNUMBER(B1794),ISNUMBER(B1793)),ABS(B1794-B1793),"")</f>
        <v/>
      </c>
      <c r="D1794" s="13">
        <f>IF(AND(ISNUMBER(B1794),ISNUMBER($B$88),ISNUMBER($D$88)),IF(B1794&gt;$D$88,"boven UCL",IF(B1794&lt;$B$88,"onder LCL","")),"")</f>
        <v/>
      </c>
      <c r="E1794" s="13">
        <f>IF(AND(ISNUMBER(C1794),ISNUMBER($B$89),ISNUMBER($D$89)),IF(C1794&gt;$D$89,"boven UCL",IF(C1794&lt;$B$89,"onder LCL","")),"")</f>
        <v/>
      </c>
      <c r="G1794" t="n">
        <v>1688</v>
      </c>
      <c r="H1794" s="7" t="n"/>
      <c r="I1794" s="7" t="n"/>
      <c r="J1794" s="11">
        <f>IF(AND(ISNUMBER(H1794),ISNUMBER(I1794),H1794&gt;0,ISNUMBER($B$94)),I1794/H1794,"")</f>
        <v/>
      </c>
      <c r="K1794" s="11">
        <f>IF(AND(ISNUMBER(H1794),ISNUMBER(I1794),H1794&gt;0,ISNUMBER($B$94)),MAX(0,$B$94-3*SQRT($B$94*(1-$B$94)/H1794)),"")</f>
        <v/>
      </c>
      <c r="L1794" s="11">
        <f>IF(AND(ISNUMBER(H1794),ISNUMBER(I1794),H1794&gt;0,ISNUMBER($B$94)),$B$94+3*SQRT($B$94*(1-$B$94)/H1794),"")</f>
        <v/>
      </c>
      <c r="M1794" s="13">
        <f>IF(AND(ISNUMBER(J1794),ISNUMBER(K1794),ISNUMBER(L1794)),IF(J1794&gt;L1794,"boven UCL",IF(J1794&lt;K1794,"onder LCL","")),"")</f>
        <v/>
      </c>
      <c r="O1794" t="n">
        <v>1688</v>
      </c>
      <c r="P1794" s="7" t="n"/>
      <c r="Q1794" s="7" t="n"/>
      <c r="R1794" s="11">
        <f>IF(AND(ISNUMBER(P1794),ISNUMBER(Q1794),P1794&gt;0,ISNUMBER($B$100)),Q1794/P1794,"")</f>
        <v/>
      </c>
      <c r="S1794" s="11">
        <f>IF(AND(ISNUMBER(P1794),ISNUMBER(Q1794),P1794&gt;0,ISNUMBER($B$100)),MAX(0,$B$100-3*SQRT($B$100/P1794)),"")</f>
        <v/>
      </c>
      <c r="T1794" s="11">
        <f>IF(AND(ISNUMBER(P1794),ISNUMBER(Q1794),P1794&gt;0,ISNUMBER($B$100)),$B$100+3*SQRT($B$100/P1794),"")</f>
        <v/>
      </c>
      <c r="U1794" s="13">
        <f>IF(AND(ISNUMBER(R1794),ISNUMBER(S1794),ISNUMBER(T1794)),IF(R1794&gt;T1794,"boven UCL",IF(R1794&lt;S1794,"onder LCL","")),"")</f>
        <v/>
      </c>
    </row>
    <row r="1795">
      <c r="A1795" t="n">
        <v>1689</v>
      </c>
      <c r="B1795" s="7" t="n"/>
      <c r="C1795" s="11">
        <f>IF(AND(ISNUMBER(B1795),ISNUMBER(B1794)),ABS(B1795-B1794),"")</f>
        <v/>
      </c>
      <c r="D1795" s="13">
        <f>IF(AND(ISNUMBER(B1795),ISNUMBER($B$88),ISNUMBER($D$88)),IF(B1795&gt;$D$88,"boven UCL",IF(B1795&lt;$B$88,"onder LCL","")),"")</f>
        <v/>
      </c>
      <c r="E1795" s="13">
        <f>IF(AND(ISNUMBER(C1795),ISNUMBER($B$89),ISNUMBER($D$89)),IF(C1795&gt;$D$89,"boven UCL",IF(C1795&lt;$B$89,"onder LCL","")),"")</f>
        <v/>
      </c>
      <c r="G1795" t="n">
        <v>1689</v>
      </c>
      <c r="H1795" s="7" t="n"/>
      <c r="I1795" s="7" t="n"/>
      <c r="J1795" s="11">
        <f>IF(AND(ISNUMBER(H1795),ISNUMBER(I1795),H1795&gt;0,ISNUMBER($B$94)),I1795/H1795,"")</f>
        <v/>
      </c>
      <c r="K1795" s="11">
        <f>IF(AND(ISNUMBER(H1795),ISNUMBER(I1795),H1795&gt;0,ISNUMBER($B$94)),MAX(0,$B$94-3*SQRT($B$94*(1-$B$94)/H1795)),"")</f>
        <v/>
      </c>
      <c r="L1795" s="11">
        <f>IF(AND(ISNUMBER(H1795),ISNUMBER(I1795),H1795&gt;0,ISNUMBER($B$94)),$B$94+3*SQRT($B$94*(1-$B$94)/H1795),"")</f>
        <v/>
      </c>
      <c r="M1795" s="13">
        <f>IF(AND(ISNUMBER(J1795),ISNUMBER(K1795),ISNUMBER(L1795)),IF(J1795&gt;L1795,"boven UCL",IF(J1795&lt;K1795,"onder LCL","")),"")</f>
        <v/>
      </c>
      <c r="O1795" t="n">
        <v>1689</v>
      </c>
      <c r="P1795" s="7" t="n"/>
      <c r="Q1795" s="7" t="n"/>
      <c r="R1795" s="11">
        <f>IF(AND(ISNUMBER(P1795),ISNUMBER(Q1795),P1795&gt;0,ISNUMBER($B$100)),Q1795/P1795,"")</f>
        <v/>
      </c>
      <c r="S1795" s="11">
        <f>IF(AND(ISNUMBER(P1795),ISNUMBER(Q1795),P1795&gt;0,ISNUMBER($B$100)),MAX(0,$B$100-3*SQRT($B$100/P1795)),"")</f>
        <v/>
      </c>
      <c r="T1795" s="11">
        <f>IF(AND(ISNUMBER(P1795),ISNUMBER(Q1795),P1795&gt;0,ISNUMBER($B$100)),$B$100+3*SQRT($B$100/P1795),"")</f>
        <v/>
      </c>
      <c r="U1795" s="13">
        <f>IF(AND(ISNUMBER(R1795),ISNUMBER(S1795),ISNUMBER(T1795)),IF(R1795&gt;T1795,"boven UCL",IF(R1795&lt;S1795,"onder LCL","")),"")</f>
        <v/>
      </c>
    </row>
    <row r="1796">
      <c r="A1796" t="n">
        <v>1690</v>
      </c>
      <c r="B1796" s="7" t="n"/>
      <c r="C1796" s="11">
        <f>IF(AND(ISNUMBER(B1796),ISNUMBER(B1795)),ABS(B1796-B1795),"")</f>
        <v/>
      </c>
      <c r="D1796" s="13">
        <f>IF(AND(ISNUMBER(B1796),ISNUMBER($B$88),ISNUMBER($D$88)),IF(B1796&gt;$D$88,"boven UCL",IF(B1796&lt;$B$88,"onder LCL","")),"")</f>
        <v/>
      </c>
      <c r="E1796" s="13">
        <f>IF(AND(ISNUMBER(C1796),ISNUMBER($B$89),ISNUMBER($D$89)),IF(C1796&gt;$D$89,"boven UCL",IF(C1796&lt;$B$89,"onder LCL","")),"")</f>
        <v/>
      </c>
      <c r="G1796" t="n">
        <v>1690</v>
      </c>
      <c r="H1796" s="7" t="n"/>
      <c r="I1796" s="7" t="n"/>
      <c r="J1796" s="11">
        <f>IF(AND(ISNUMBER(H1796),ISNUMBER(I1796),H1796&gt;0,ISNUMBER($B$94)),I1796/H1796,"")</f>
        <v/>
      </c>
      <c r="K1796" s="11">
        <f>IF(AND(ISNUMBER(H1796),ISNUMBER(I1796),H1796&gt;0,ISNUMBER($B$94)),MAX(0,$B$94-3*SQRT($B$94*(1-$B$94)/H1796)),"")</f>
        <v/>
      </c>
      <c r="L1796" s="11">
        <f>IF(AND(ISNUMBER(H1796),ISNUMBER(I1796),H1796&gt;0,ISNUMBER($B$94)),$B$94+3*SQRT($B$94*(1-$B$94)/H1796),"")</f>
        <v/>
      </c>
      <c r="M1796" s="13">
        <f>IF(AND(ISNUMBER(J1796),ISNUMBER(K1796),ISNUMBER(L1796)),IF(J1796&gt;L1796,"boven UCL",IF(J1796&lt;K1796,"onder LCL","")),"")</f>
        <v/>
      </c>
      <c r="O1796" t="n">
        <v>1690</v>
      </c>
      <c r="P1796" s="7" t="n"/>
      <c r="Q1796" s="7" t="n"/>
      <c r="R1796" s="11">
        <f>IF(AND(ISNUMBER(P1796),ISNUMBER(Q1796),P1796&gt;0,ISNUMBER($B$100)),Q1796/P1796,"")</f>
        <v/>
      </c>
      <c r="S1796" s="11">
        <f>IF(AND(ISNUMBER(P1796),ISNUMBER(Q1796),P1796&gt;0,ISNUMBER($B$100)),MAX(0,$B$100-3*SQRT($B$100/P1796)),"")</f>
        <v/>
      </c>
      <c r="T1796" s="11">
        <f>IF(AND(ISNUMBER(P1796),ISNUMBER(Q1796),P1796&gt;0,ISNUMBER($B$100)),$B$100+3*SQRT($B$100/P1796),"")</f>
        <v/>
      </c>
      <c r="U1796" s="13">
        <f>IF(AND(ISNUMBER(R1796),ISNUMBER(S1796),ISNUMBER(T1796)),IF(R1796&gt;T1796,"boven UCL",IF(R1796&lt;S1796,"onder LCL","")),"")</f>
        <v/>
      </c>
    </row>
    <row r="1797">
      <c r="A1797" t="n">
        <v>1691</v>
      </c>
      <c r="B1797" s="7" t="n"/>
      <c r="C1797" s="11">
        <f>IF(AND(ISNUMBER(B1797),ISNUMBER(B1796)),ABS(B1797-B1796),"")</f>
        <v/>
      </c>
      <c r="D1797" s="13">
        <f>IF(AND(ISNUMBER(B1797),ISNUMBER($B$88),ISNUMBER($D$88)),IF(B1797&gt;$D$88,"boven UCL",IF(B1797&lt;$B$88,"onder LCL","")),"")</f>
        <v/>
      </c>
      <c r="E1797" s="13">
        <f>IF(AND(ISNUMBER(C1797),ISNUMBER($B$89),ISNUMBER($D$89)),IF(C1797&gt;$D$89,"boven UCL",IF(C1797&lt;$B$89,"onder LCL","")),"")</f>
        <v/>
      </c>
      <c r="G1797" t="n">
        <v>1691</v>
      </c>
      <c r="H1797" s="7" t="n"/>
      <c r="I1797" s="7" t="n"/>
      <c r="J1797" s="11">
        <f>IF(AND(ISNUMBER(H1797),ISNUMBER(I1797),H1797&gt;0,ISNUMBER($B$94)),I1797/H1797,"")</f>
        <v/>
      </c>
      <c r="K1797" s="11">
        <f>IF(AND(ISNUMBER(H1797),ISNUMBER(I1797),H1797&gt;0,ISNUMBER($B$94)),MAX(0,$B$94-3*SQRT($B$94*(1-$B$94)/H1797)),"")</f>
        <v/>
      </c>
      <c r="L1797" s="11">
        <f>IF(AND(ISNUMBER(H1797),ISNUMBER(I1797),H1797&gt;0,ISNUMBER($B$94)),$B$94+3*SQRT($B$94*(1-$B$94)/H1797),"")</f>
        <v/>
      </c>
      <c r="M1797" s="13">
        <f>IF(AND(ISNUMBER(J1797),ISNUMBER(K1797),ISNUMBER(L1797)),IF(J1797&gt;L1797,"boven UCL",IF(J1797&lt;K1797,"onder LCL","")),"")</f>
        <v/>
      </c>
      <c r="O1797" t="n">
        <v>1691</v>
      </c>
      <c r="P1797" s="7" t="n"/>
      <c r="Q1797" s="7" t="n"/>
      <c r="R1797" s="11">
        <f>IF(AND(ISNUMBER(P1797),ISNUMBER(Q1797),P1797&gt;0,ISNUMBER($B$100)),Q1797/P1797,"")</f>
        <v/>
      </c>
      <c r="S1797" s="11">
        <f>IF(AND(ISNUMBER(P1797),ISNUMBER(Q1797),P1797&gt;0,ISNUMBER($B$100)),MAX(0,$B$100-3*SQRT($B$100/P1797)),"")</f>
        <v/>
      </c>
      <c r="T1797" s="11">
        <f>IF(AND(ISNUMBER(P1797),ISNUMBER(Q1797),P1797&gt;0,ISNUMBER($B$100)),$B$100+3*SQRT($B$100/P1797),"")</f>
        <v/>
      </c>
      <c r="U1797" s="13">
        <f>IF(AND(ISNUMBER(R1797),ISNUMBER(S1797),ISNUMBER(T1797)),IF(R1797&gt;T1797,"boven UCL",IF(R1797&lt;S1797,"onder LCL","")),"")</f>
        <v/>
      </c>
    </row>
    <row r="1798">
      <c r="A1798" t="n">
        <v>1692</v>
      </c>
      <c r="B1798" s="7" t="n"/>
      <c r="C1798" s="11">
        <f>IF(AND(ISNUMBER(B1798),ISNUMBER(B1797)),ABS(B1798-B1797),"")</f>
        <v/>
      </c>
      <c r="D1798" s="13">
        <f>IF(AND(ISNUMBER(B1798),ISNUMBER($B$88),ISNUMBER($D$88)),IF(B1798&gt;$D$88,"boven UCL",IF(B1798&lt;$B$88,"onder LCL","")),"")</f>
        <v/>
      </c>
      <c r="E1798" s="13">
        <f>IF(AND(ISNUMBER(C1798),ISNUMBER($B$89),ISNUMBER($D$89)),IF(C1798&gt;$D$89,"boven UCL",IF(C1798&lt;$B$89,"onder LCL","")),"")</f>
        <v/>
      </c>
      <c r="G1798" t="n">
        <v>1692</v>
      </c>
      <c r="H1798" s="7" t="n"/>
      <c r="I1798" s="7" t="n"/>
      <c r="J1798" s="11">
        <f>IF(AND(ISNUMBER(H1798),ISNUMBER(I1798),H1798&gt;0,ISNUMBER($B$94)),I1798/H1798,"")</f>
        <v/>
      </c>
      <c r="K1798" s="11">
        <f>IF(AND(ISNUMBER(H1798),ISNUMBER(I1798),H1798&gt;0,ISNUMBER($B$94)),MAX(0,$B$94-3*SQRT($B$94*(1-$B$94)/H1798)),"")</f>
        <v/>
      </c>
      <c r="L1798" s="11">
        <f>IF(AND(ISNUMBER(H1798),ISNUMBER(I1798),H1798&gt;0,ISNUMBER($B$94)),$B$94+3*SQRT($B$94*(1-$B$94)/H1798),"")</f>
        <v/>
      </c>
      <c r="M1798" s="13">
        <f>IF(AND(ISNUMBER(J1798),ISNUMBER(K1798),ISNUMBER(L1798)),IF(J1798&gt;L1798,"boven UCL",IF(J1798&lt;K1798,"onder LCL","")),"")</f>
        <v/>
      </c>
      <c r="O1798" t="n">
        <v>1692</v>
      </c>
      <c r="P1798" s="7" t="n"/>
      <c r="Q1798" s="7" t="n"/>
      <c r="R1798" s="11">
        <f>IF(AND(ISNUMBER(P1798),ISNUMBER(Q1798),P1798&gt;0,ISNUMBER($B$100)),Q1798/P1798,"")</f>
        <v/>
      </c>
      <c r="S1798" s="11">
        <f>IF(AND(ISNUMBER(P1798),ISNUMBER(Q1798),P1798&gt;0,ISNUMBER($B$100)),MAX(0,$B$100-3*SQRT($B$100/P1798)),"")</f>
        <v/>
      </c>
      <c r="T1798" s="11">
        <f>IF(AND(ISNUMBER(P1798),ISNUMBER(Q1798),P1798&gt;0,ISNUMBER($B$100)),$B$100+3*SQRT($B$100/P1798),"")</f>
        <v/>
      </c>
      <c r="U1798" s="13">
        <f>IF(AND(ISNUMBER(R1798),ISNUMBER(S1798),ISNUMBER(T1798)),IF(R1798&gt;T1798,"boven UCL",IF(R1798&lt;S1798,"onder LCL","")),"")</f>
        <v/>
      </c>
    </row>
    <row r="1799">
      <c r="A1799" t="n">
        <v>1693</v>
      </c>
      <c r="B1799" s="7" t="n"/>
      <c r="C1799" s="11">
        <f>IF(AND(ISNUMBER(B1799),ISNUMBER(B1798)),ABS(B1799-B1798),"")</f>
        <v/>
      </c>
      <c r="D1799" s="13">
        <f>IF(AND(ISNUMBER(B1799),ISNUMBER($B$88),ISNUMBER($D$88)),IF(B1799&gt;$D$88,"boven UCL",IF(B1799&lt;$B$88,"onder LCL","")),"")</f>
        <v/>
      </c>
      <c r="E1799" s="13">
        <f>IF(AND(ISNUMBER(C1799),ISNUMBER($B$89),ISNUMBER($D$89)),IF(C1799&gt;$D$89,"boven UCL",IF(C1799&lt;$B$89,"onder LCL","")),"")</f>
        <v/>
      </c>
      <c r="G1799" t="n">
        <v>1693</v>
      </c>
      <c r="H1799" s="7" t="n"/>
      <c r="I1799" s="7" t="n"/>
      <c r="J1799" s="11">
        <f>IF(AND(ISNUMBER(H1799),ISNUMBER(I1799),H1799&gt;0,ISNUMBER($B$94)),I1799/H1799,"")</f>
        <v/>
      </c>
      <c r="K1799" s="11">
        <f>IF(AND(ISNUMBER(H1799),ISNUMBER(I1799),H1799&gt;0,ISNUMBER($B$94)),MAX(0,$B$94-3*SQRT($B$94*(1-$B$94)/H1799)),"")</f>
        <v/>
      </c>
      <c r="L1799" s="11">
        <f>IF(AND(ISNUMBER(H1799),ISNUMBER(I1799),H1799&gt;0,ISNUMBER($B$94)),$B$94+3*SQRT($B$94*(1-$B$94)/H1799),"")</f>
        <v/>
      </c>
      <c r="M1799" s="13">
        <f>IF(AND(ISNUMBER(J1799),ISNUMBER(K1799),ISNUMBER(L1799)),IF(J1799&gt;L1799,"boven UCL",IF(J1799&lt;K1799,"onder LCL","")),"")</f>
        <v/>
      </c>
      <c r="O1799" t="n">
        <v>1693</v>
      </c>
      <c r="P1799" s="7" t="n"/>
      <c r="Q1799" s="7" t="n"/>
      <c r="R1799" s="11">
        <f>IF(AND(ISNUMBER(P1799),ISNUMBER(Q1799),P1799&gt;0,ISNUMBER($B$100)),Q1799/P1799,"")</f>
        <v/>
      </c>
      <c r="S1799" s="11">
        <f>IF(AND(ISNUMBER(P1799),ISNUMBER(Q1799),P1799&gt;0,ISNUMBER($B$100)),MAX(0,$B$100-3*SQRT($B$100/P1799)),"")</f>
        <v/>
      </c>
      <c r="T1799" s="11">
        <f>IF(AND(ISNUMBER(P1799),ISNUMBER(Q1799),P1799&gt;0,ISNUMBER($B$100)),$B$100+3*SQRT($B$100/P1799),"")</f>
        <v/>
      </c>
      <c r="U1799" s="13">
        <f>IF(AND(ISNUMBER(R1799),ISNUMBER(S1799),ISNUMBER(T1799)),IF(R1799&gt;T1799,"boven UCL",IF(R1799&lt;S1799,"onder LCL","")),"")</f>
        <v/>
      </c>
    </row>
    <row r="1800">
      <c r="A1800" t="n">
        <v>1694</v>
      </c>
      <c r="B1800" s="7" t="n"/>
      <c r="C1800" s="11">
        <f>IF(AND(ISNUMBER(B1800),ISNUMBER(B1799)),ABS(B1800-B1799),"")</f>
        <v/>
      </c>
      <c r="D1800" s="13">
        <f>IF(AND(ISNUMBER(B1800),ISNUMBER($B$88),ISNUMBER($D$88)),IF(B1800&gt;$D$88,"boven UCL",IF(B1800&lt;$B$88,"onder LCL","")),"")</f>
        <v/>
      </c>
      <c r="E1800" s="13">
        <f>IF(AND(ISNUMBER(C1800),ISNUMBER($B$89),ISNUMBER($D$89)),IF(C1800&gt;$D$89,"boven UCL",IF(C1800&lt;$B$89,"onder LCL","")),"")</f>
        <v/>
      </c>
      <c r="G1800" t="n">
        <v>1694</v>
      </c>
      <c r="H1800" s="7" t="n"/>
      <c r="I1800" s="7" t="n"/>
      <c r="J1800" s="11">
        <f>IF(AND(ISNUMBER(H1800),ISNUMBER(I1800),H1800&gt;0,ISNUMBER($B$94)),I1800/H1800,"")</f>
        <v/>
      </c>
      <c r="K1800" s="11">
        <f>IF(AND(ISNUMBER(H1800),ISNUMBER(I1800),H1800&gt;0,ISNUMBER($B$94)),MAX(0,$B$94-3*SQRT($B$94*(1-$B$94)/H1800)),"")</f>
        <v/>
      </c>
      <c r="L1800" s="11">
        <f>IF(AND(ISNUMBER(H1800),ISNUMBER(I1800),H1800&gt;0,ISNUMBER($B$94)),$B$94+3*SQRT($B$94*(1-$B$94)/H1800),"")</f>
        <v/>
      </c>
      <c r="M1800" s="13">
        <f>IF(AND(ISNUMBER(J1800),ISNUMBER(K1800),ISNUMBER(L1800)),IF(J1800&gt;L1800,"boven UCL",IF(J1800&lt;K1800,"onder LCL","")),"")</f>
        <v/>
      </c>
      <c r="O1800" t="n">
        <v>1694</v>
      </c>
      <c r="P1800" s="7" t="n"/>
      <c r="Q1800" s="7" t="n"/>
      <c r="R1800" s="11">
        <f>IF(AND(ISNUMBER(P1800),ISNUMBER(Q1800),P1800&gt;0,ISNUMBER($B$100)),Q1800/P1800,"")</f>
        <v/>
      </c>
      <c r="S1800" s="11">
        <f>IF(AND(ISNUMBER(P1800),ISNUMBER(Q1800),P1800&gt;0,ISNUMBER($B$100)),MAX(0,$B$100-3*SQRT($B$100/P1800)),"")</f>
        <v/>
      </c>
      <c r="T1800" s="11">
        <f>IF(AND(ISNUMBER(P1800),ISNUMBER(Q1800),P1800&gt;0,ISNUMBER($B$100)),$B$100+3*SQRT($B$100/P1800),"")</f>
        <v/>
      </c>
      <c r="U1800" s="13">
        <f>IF(AND(ISNUMBER(R1800),ISNUMBER(S1800),ISNUMBER(T1800)),IF(R1800&gt;T1800,"boven UCL",IF(R1800&lt;S1800,"onder LCL","")),"")</f>
        <v/>
      </c>
    </row>
    <row r="1801">
      <c r="A1801" t="n">
        <v>1695</v>
      </c>
      <c r="B1801" s="7" t="n"/>
      <c r="C1801" s="11">
        <f>IF(AND(ISNUMBER(B1801),ISNUMBER(B1800)),ABS(B1801-B1800),"")</f>
        <v/>
      </c>
      <c r="D1801" s="13">
        <f>IF(AND(ISNUMBER(B1801),ISNUMBER($B$88),ISNUMBER($D$88)),IF(B1801&gt;$D$88,"boven UCL",IF(B1801&lt;$B$88,"onder LCL","")),"")</f>
        <v/>
      </c>
      <c r="E1801" s="13">
        <f>IF(AND(ISNUMBER(C1801),ISNUMBER($B$89),ISNUMBER($D$89)),IF(C1801&gt;$D$89,"boven UCL",IF(C1801&lt;$B$89,"onder LCL","")),"")</f>
        <v/>
      </c>
      <c r="G1801" t="n">
        <v>1695</v>
      </c>
      <c r="H1801" s="7" t="n"/>
      <c r="I1801" s="7" t="n"/>
      <c r="J1801" s="11">
        <f>IF(AND(ISNUMBER(H1801),ISNUMBER(I1801),H1801&gt;0,ISNUMBER($B$94)),I1801/H1801,"")</f>
        <v/>
      </c>
      <c r="K1801" s="11">
        <f>IF(AND(ISNUMBER(H1801),ISNUMBER(I1801),H1801&gt;0,ISNUMBER($B$94)),MAX(0,$B$94-3*SQRT($B$94*(1-$B$94)/H1801)),"")</f>
        <v/>
      </c>
      <c r="L1801" s="11">
        <f>IF(AND(ISNUMBER(H1801),ISNUMBER(I1801),H1801&gt;0,ISNUMBER($B$94)),$B$94+3*SQRT($B$94*(1-$B$94)/H1801),"")</f>
        <v/>
      </c>
      <c r="M1801" s="13">
        <f>IF(AND(ISNUMBER(J1801),ISNUMBER(K1801),ISNUMBER(L1801)),IF(J1801&gt;L1801,"boven UCL",IF(J1801&lt;K1801,"onder LCL","")),"")</f>
        <v/>
      </c>
      <c r="O1801" t="n">
        <v>1695</v>
      </c>
      <c r="P1801" s="7" t="n"/>
      <c r="Q1801" s="7" t="n"/>
      <c r="R1801" s="11">
        <f>IF(AND(ISNUMBER(P1801),ISNUMBER(Q1801),P1801&gt;0,ISNUMBER($B$100)),Q1801/P1801,"")</f>
        <v/>
      </c>
      <c r="S1801" s="11">
        <f>IF(AND(ISNUMBER(P1801),ISNUMBER(Q1801),P1801&gt;0,ISNUMBER($B$100)),MAX(0,$B$100-3*SQRT($B$100/P1801)),"")</f>
        <v/>
      </c>
      <c r="T1801" s="11">
        <f>IF(AND(ISNUMBER(P1801),ISNUMBER(Q1801),P1801&gt;0,ISNUMBER($B$100)),$B$100+3*SQRT($B$100/P1801),"")</f>
        <v/>
      </c>
      <c r="U1801" s="13">
        <f>IF(AND(ISNUMBER(R1801),ISNUMBER(S1801),ISNUMBER(T1801)),IF(R1801&gt;T1801,"boven UCL",IF(R1801&lt;S1801,"onder LCL","")),"")</f>
        <v/>
      </c>
    </row>
    <row r="1802">
      <c r="A1802" t="n">
        <v>1696</v>
      </c>
      <c r="B1802" s="7" t="n"/>
      <c r="C1802" s="11">
        <f>IF(AND(ISNUMBER(B1802),ISNUMBER(B1801)),ABS(B1802-B1801),"")</f>
        <v/>
      </c>
      <c r="D1802" s="13">
        <f>IF(AND(ISNUMBER(B1802),ISNUMBER($B$88),ISNUMBER($D$88)),IF(B1802&gt;$D$88,"boven UCL",IF(B1802&lt;$B$88,"onder LCL","")),"")</f>
        <v/>
      </c>
      <c r="E1802" s="13">
        <f>IF(AND(ISNUMBER(C1802),ISNUMBER($B$89),ISNUMBER($D$89)),IF(C1802&gt;$D$89,"boven UCL",IF(C1802&lt;$B$89,"onder LCL","")),"")</f>
        <v/>
      </c>
      <c r="G1802" t="n">
        <v>1696</v>
      </c>
      <c r="H1802" s="7" t="n"/>
      <c r="I1802" s="7" t="n"/>
      <c r="J1802" s="11">
        <f>IF(AND(ISNUMBER(H1802),ISNUMBER(I1802),H1802&gt;0,ISNUMBER($B$94)),I1802/H1802,"")</f>
        <v/>
      </c>
      <c r="K1802" s="11">
        <f>IF(AND(ISNUMBER(H1802),ISNUMBER(I1802),H1802&gt;0,ISNUMBER($B$94)),MAX(0,$B$94-3*SQRT($B$94*(1-$B$94)/H1802)),"")</f>
        <v/>
      </c>
      <c r="L1802" s="11">
        <f>IF(AND(ISNUMBER(H1802),ISNUMBER(I1802),H1802&gt;0,ISNUMBER($B$94)),$B$94+3*SQRT($B$94*(1-$B$94)/H1802),"")</f>
        <v/>
      </c>
      <c r="M1802" s="13">
        <f>IF(AND(ISNUMBER(J1802),ISNUMBER(K1802),ISNUMBER(L1802)),IF(J1802&gt;L1802,"boven UCL",IF(J1802&lt;K1802,"onder LCL","")),"")</f>
        <v/>
      </c>
      <c r="O1802" t="n">
        <v>1696</v>
      </c>
      <c r="P1802" s="7" t="n"/>
      <c r="Q1802" s="7" t="n"/>
      <c r="R1802" s="11">
        <f>IF(AND(ISNUMBER(P1802),ISNUMBER(Q1802),P1802&gt;0,ISNUMBER($B$100)),Q1802/P1802,"")</f>
        <v/>
      </c>
      <c r="S1802" s="11">
        <f>IF(AND(ISNUMBER(P1802),ISNUMBER(Q1802),P1802&gt;0,ISNUMBER($B$100)),MAX(0,$B$100-3*SQRT($B$100/P1802)),"")</f>
        <v/>
      </c>
      <c r="T1802" s="11">
        <f>IF(AND(ISNUMBER(P1802),ISNUMBER(Q1802),P1802&gt;0,ISNUMBER($B$100)),$B$100+3*SQRT($B$100/P1802),"")</f>
        <v/>
      </c>
      <c r="U1802" s="13">
        <f>IF(AND(ISNUMBER(R1802),ISNUMBER(S1802),ISNUMBER(T1802)),IF(R1802&gt;T1802,"boven UCL",IF(R1802&lt;S1802,"onder LCL","")),"")</f>
        <v/>
      </c>
    </row>
    <row r="1803">
      <c r="A1803" t="n">
        <v>1697</v>
      </c>
      <c r="B1803" s="7" t="n"/>
      <c r="C1803" s="11">
        <f>IF(AND(ISNUMBER(B1803),ISNUMBER(B1802)),ABS(B1803-B1802),"")</f>
        <v/>
      </c>
      <c r="D1803" s="13">
        <f>IF(AND(ISNUMBER(B1803),ISNUMBER($B$88),ISNUMBER($D$88)),IF(B1803&gt;$D$88,"boven UCL",IF(B1803&lt;$B$88,"onder LCL","")),"")</f>
        <v/>
      </c>
      <c r="E1803" s="13">
        <f>IF(AND(ISNUMBER(C1803),ISNUMBER($B$89),ISNUMBER($D$89)),IF(C1803&gt;$D$89,"boven UCL",IF(C1803&lt;$B$89,"onder LCL","")),"")</f>
        <v/>
      </c>
      <c r="G1803" t="n">
        <v>1697</v>
      </c>
      <c r="H1803" s="7" t="n"/>
      <c r="I1803" s="7" t="n"/>
      <c r="J1803" s="11">
        <f>IF(AND(ISNUMBER(H1803),ISNUMBER(I1803),H1803&gt;0,ISNUMBER($B$94)),I1803/H1803,"")</f>
        <v/>
      </c>
      <c r="K1803" s="11">
        <f>IF(AND(ISNUMBER(H1803),ISNUMBER(I1803),H1803&gt;0,ISNUMBER($B$94)),MAX(0,$B$94-3*SQRT($B$94*(1-$B$94)/H1803)),"")</f>
        <v/>
      </c>
      <c r="L1803" s="11">
        <f>IF(AND(ISNUMBER(H1803),ISNUMBER(I1803),H1803&gt;0,ISNUMBER($B$94)),$B$94+3*SQRT($B$94*(1-$B$94)/H1803),"")</f>
        <v/>
      </c>
      <c r="M1803" s="13">
        <f>IF(AND(ISNUMBER(J1803),ISNUMBER(K1803),ISNUMBER(L1803)),IF(J1803&gt;L1803,"boven UCL",IF(J1803&lt;K1803,"onder LCL","")),"")</f>
        <v/>
      </c>
      <c r="O1803" t="n">
        <v>1697</v>
      </c>
      <c r="P1803" s="7" t="n"/>
      <c r="Q1803" s="7" t="n"/>
      <c r="R1803" s="11">
        <f>IF(AND(ISNUMBER(P1803),ISNUMBER(Q1803),P1803&gt;0,ISNUMBER($B$100)),Q1803/P1803,"")</f>
        <v/>
      </c>
      <c r="S1803" s="11">
        <f>IF(AND(ISNUMBER(P1803),ISNUMBER(Q1803),P1803&gt;0,ISNUMBER($B$100)),MAX(0,$B$100-3*SQRT($B$100/P1803)),"")</f>
        <v/>
      </c>
      <c r="T1803" s="11">
        <f>IF(AND(ISNUMBER(P1803),ISNUMBER(Q1803),P1803&gt;0,ISNUMBER($B$100)),$B$100+3*SQRT($B$100/P1803),"")</f>
        <v/>
      </c>
      <c r="U1803" s="13">
        <f>IF(AND(ISNUMBER(R1803),ISNUMBER(S1803),ISNUMBER(T1803)),IF(R1803&gt;T1803,"boven UCL",IF(R1803&lt;S1803,"onder LCL","")),"")</f>
        <v/>
      </c>
    </row>
    <row r="1804">
      <c r="A1804" t="n">
        <v>1698</v>
      </c>
      <c r="B1804" s="7" t="n"/>
      <c r="C1804" s="11">
        <f>IF(AND(ISNUMBER(B1804),ISNUMBER(B1803)),ABS(B1804-B1803),"")</f>
        <v/>
      </c>
      <c r="D1804" s="13">
        <f>IF(AND(ISNUMBER(B1804),ISNUMBER($B$88),ISNUMBER($D$88)),IF(B1804&gt;$D$88,"boven UCL",IF(B1804&lt;$B$88,"onder LCL","")),"")</f>
        <v/>
      </c>
      <c r="E1804" s="13">
        <f>IF(AND(ISNUMBER(C1804),ISNUMBER($B$89),ISNUMBER($D$89)),IF(C1804&gt;$D$89,"boven UCL",IF(C1804&lt;$B$89,"onder LCL","")),"")</f>
        <v/>
      </c>
      <c r="G1804" t="n">
        <v>1698</v>
      </c>
      <c r="H1804" s="7" t="n"/>
      <c r="I1804" s="7" t="n"/>
      <c r="J1804" s="11">
        <f>IF(AND(ISNUMBER(H1804),ISNUMBER(I1804),H1804&gt;0,ISNUMBER($B$94)),I1804/H1804,"")</f>
        <v/>
      </c>
      <c r="K1804" s="11">
        <f>IF(AND(ISNUMBER(H1804),ISNUMBER(I1804),H1804&gt;0,ISNUMBER($B$94)),MAX(0,$B$94-3*SQRT($B$94*(1-$B$94)/H1804)),"")</f>
        <v/>
      </c>
      <c r="L1804" s="11">
        <f>IF(AND(ISNUMBER(H1804),ISNUMBER(I1804),H1804&gt;0,ISNUMBER($B$94)),$B$94+3*SQRT($B$94*(1-$B$94)/H1804),"")</f>
        <v/>
      </c>
      <c r="M1804" s="13">
        <f>IF(AND(ISNUMBER(J1804),ISNUMBER(K1804),ISNUMBER(L1804)),IF(J1804&gt;L1804,"boven UCL",IF(J1804&lt;K1804,"onder LCL","")),"")</f>
        <v/>
      </c>
      <c r="O1804" t="n">
        <v>1698</v>
      </c>
      <c r="P1804" s="7" t="n"/>
      <c r="Q1804" s="7" t="n"/>
      <c r="R1804" s="11">
        <f>IF(AND(ISNUMBER(P1804),ISNUMBER(Q1804),P1804&gt;0,ISNUMBER($B$100)),Q1804/P1804,"")</f>
        <v/>
      </c>
      <c r="S1804" s="11">
        <f>IF(AND(ISNUMBER(P1804),ISNUMBER(Q1804),P1804&gt;0,ISNUMBER($B$100)),MAX(0,$B$100-3*SQRT($B$100/P1804)),"")</f>
        <v/>
      </c>
      <c r="T1804" s="11">
        <f>IF(AND(ISNUMBER(P1804),ISNUMBER(Q1804),P1804&gt;0,ISNUMBER($B$100)),$B$100+3*SQRT($B$100/P1804),"")</f>
        <v/>
      </c>
      <c r="U1804" s="13">
        <f>IF(AND(ISNUMBER(R1804),ISNUMBER(S1804),ISNUMBER(T1804)),IF(R1804&gt;T1804,"boven UCL",IF(R1804&lt;S1804,"onder LCL","")),"")</f>
        <v/>
      </c>
    </row>
    <row r="1805">
      <c r="A1805" t="n">
        <v>1699</v>
      </c>
      <c r="B1805" s="7" t="n"/>
      <c r="C1805" s="11">
        <f>IF(AND(ISNUMBER(B1805),ISNUMBER(B1804)),ABS(B1805-B1804),"")</f>
        <v/>
      </c>
      <c r="D1805" s="13">
        <f>IF(AND(ISNUMBER(B1805),ISNUMBER($B$88),ISNUMBER($D$88)),IF(B1805&gt;$D$88,"boven UCL",IF(B1805&lt;$B$88,"onder LCL","")),"")</f>
        <v/>
      </c>
      <c r="E1805" s="13">
        <f>IF(AND(ISNUMBER(C1805),ISNUMBER($B$89),ISNUMBER($D$89)),IF(C1805&gt;$D$89,"boven UCL",IF(C1805&lt;$B$89,"onder LCL","")),"")</f>
        <v/>
      </c>
      <c r="G1805" t="n">
        <v>1699</v>
      </c>
      <c r="H1805" s="7" t="n"/>
      <c r="I1805" s="7" t="n"/>
      <c r="J1805" s="11">
        <f>IF(AND(ISNUMBER(H1805),ISNUMBER(I1805),H1805&gt;0,ISNUMBER($B$94)),I1805/H1805,"")</f>
        <v/>
      </c>
      <c r="K1805" s="11">
        <f>IF(AND(ISNUMBER(H1805),ISNUMBER(I1805),H1805&gt;0,ISNUMBER($B$94)),MAX(0,$B$94-3*SQRT($B$94*(1-$B$94)/H1805)),"")</f>
        <v/>
      </c>
      <c r="L1805" s="11">
        <f>IF(AND(ISNUMBER(H1805),ISNUMBER(I1805),H1805&gt;0,ISNUMBER($B$94)),$B$94+3*SQRT($B$94*(1-$B$94)/H1805),"")</f>
        <v/>
      </c>
      <c r="M1805" s="13">
        <f>IF(AND(ISNUMBER(J1805),ISNUMBER(K1805),ISNUMBER(L1805)),IF(J1805&gt;L1805,"boven UCL",IF(J1805&lt;K1805,"onder LCL","")),"")</f>
        <v/>
      </c>
      <c r="O1805" t="n">
        <v>1699</v>
      </c>
      <c r="P1805" s="7" t="n"/>
      <c r="Q1805" s="7" t="n"/>
      <c r="R1805" s="11">
        <f>IF(AND(ISNUMBER(P1805),ISNUMBER(Q1805),P1805&gt;0,ISNUMBER($B$100)),Q1805/P1805,"")</f>
        <v/>
      </c>
      <c r="S1805" s="11">
        <f>IF(AND(ISNUMBER(P1805),ISNUMBER(Q1805),P1805&gt;0,ISNUMBER($B$100)),MAX(0,$B$100-3*SQRT($B$100/P1805)),"")</f>
        <v/>
      </c>
      <c r="T1805" s="11">
        <f>IF(AND(ISNUMBER(P1805),ISNUMBER(Q1805),P1805&gt;0,ISNUMBER($B$100)),$B$100+3*SQRT($B$100/P1805),"")</f>
        <v/>
      </c>
      <c r="U1805" s="13">
        <f>IF(AND(ISNUMBER(R1805),ISNUMBER(S1805),ISNUMBER(T1805)),IF(R1805&gt;T1805,"boven UCL",IF(R1805&lt;S1805,"onder LCL","")),"")</f>
        <v/>
      </c>
    </row>
    <row r="1806">
      <c r="A1806" t="n">
        <v>1700</v>
      </c>
      <c r="B1806" s="7" t="n"/>
      <c r="C1806" s="11">
        <f>IF(AND(ISNUMBER(B1806),ISNUMBER(B1805)),ABS(B1806-B1805),"")</f>
        <v/>
      </c>
      <c r="D1806" s="13">
        <f>IF(AND(ISNUMBER(B1806),ISNUMBER($B$88),ISNUMBER($D$88)),IF(B1806&gt;$D$88,"boven UCL",IF(B1806&lt;$B$88,"onder LCL","")),"")</f>
        <v/>
      </c>
      <c r="E1806" s="13">
        <f>IF(AND(ISNUMBER(C1806),ISNUMBER($B$89),ISNUMBER($D$89)),IF(C1806&gt;$D$89,"boven UCL",IF(C1806&lt;$B$89,"onder LCL","")),"")</f>
        <v/>
      </c>
      <c r="G1806" t="n">
        <v>1700</v>
      </c>
      <c r="H1806" s="7" t="n"/>
      <c r="I1806" s="7" t="n"/>
      <c r="J1806" s="11">
        <f>IF(AND(ISNUMBER(H1806),ISNUMBER(I1806),H1806&gt;0,ISNUMBER($B$94)),I1806/H1806,"")</f>
        <v/>
      </c>
      <c r="K1806" s="11">
        <f>IF(AND(ISNUMBER(H1806),ISNUMBER(I1806),H1806&gt;0,ISNUMBER($B$94)),MAX(0,$B$94-3*SQRT($B$94*(1-$B$94)/H1806)),"")</f>
        <v/>
      </c>
      <c r="L1806" s="11">
        <f>IF(AND(ISNUMBER(H1806),ISNUMBER(I1806),H1806&gt;0,ISNUMBER($B$94)),$B$94+3*SQRT($B$94*(1-$B$94)/H1806),"")</f>
        <v/>
      </c>
      <c r="M1806" s="13">
        <f>IF(AND(ISNUMBER(J1806),ISNUMBER(K1806),ISNUMBER(L1806)),IF(J1806&gt;L1806,"boven UCL",IF(J1806&lt;K1806,"onder LCL","")),"")</f>
        <v/>
      </c>
      <c r="O1806" t="n">
        <v>1700</v>
      </c>
      <c r="P1806" s="7" t="n"/>
      <c r="Q1806" s="7" t="n"/>
      <c r="R1806" s="11">
        <f>IF(AND(ISNUMBER(P1806),ISNUMBER(Q1806),P1806&gt;0,ISNUMBER($B$100)),Q1806/P1806,"")</f>
        <v/>
      </c>
      <c r="S1806" s="11">
        <f>IF(AND(ISNUMBER(P1806),ISNUMBER(Q1806),P1806&gt;0,ISNUMBER($B$100)),MAX(0,$B$100-3*SQRT($B$100/P1806)),"")</f>
        <v/>
      </c>
      <c r="T1806" s="11">
        <f>IF(AND(ISNUMBER(P1806),ISNUMBER(Q1806),P1806&gt;0,ISNUMBER($B$100)),$B$100+3*SQRT($B$100/P1806),"")</f>
        <v/>
      </c>
      <c r="U1806" s="13">
        <f>IF(AND(ISNUMBER(R1806),ISNUMBER(S1806),ISNUMBER(T1806)),IF(R1806&gt;T1806,"boven UCL",IF(R1806&lt;S1806,"onder LCL","")),"")</f>
        <v/>
      </c>
    </row>
    <row r="1807">
      <c r="A1807" t="n">
        <v>1701</v>
      </c>
      <c r="B1807" s="7" t="n"/>
      <c r="C1807" s="11">
        <f>IF(AND(ISNUMBER(B1807),ISNUMBER(B1806)),ABS(B1807-B1806),"")</f>
        <v/>
      </c>
      <c r="D1807" s="13">
        <f>IF(AND(ISNUMBER(B1807),ISNUMBER($B$88),ISNUMBER($D$88)),IF(B1807&gt;$D$88,"boven UCL",IF(B1807&lt;$B$88,"onder LCL","")),"")</f>
        <v/>
      </c>
      <c r="E1807" s="13">
        <f>IF(AND(ISNUMBER(C1807),ISNUMBER($B$89),ISNUMBER($D$89)),IF(C1807&gt;$D$89,"boven UCL",IF(C1807&lt;$B$89,"onder LCL","")),"")</f>
        <v/>
      </c>
      <c r="G1807" t="n">
        <v>1701</v>
      </c>
      <c r="H1807" s="7" t="n"/>
      <c r="I1807" s="7" t="n"/>
      <c r="J1807" s="11">
        <f>IF(AND(ISNUMBER(H1807),ISNUMBER(I1807),H1807&gt;0,ISNUMBER($B$94)),I1807/H1807,"")</f>
        <v/>
      </c>
      <c r="K1807" s="11">
        <f>IF(AND(ISNUMBER(H1807),ISNUMBER(I1807),H1807&gt;0,ISNUMBER($B$94)),MAX(0,$B$94-3*SQRT($B$94*(1-$B$94)/H1807)),"")</f>
        <v/>
      </c>
      <c r="L1807" s="11">
        <f>IF(AND(ISNUMBER(H1807),ISNUMBER(I1807),H1807&gt;0,ISNUMBER($B$94)),$B$94+3*SQRT($B$94*(1-$B$94)/H1807),"")</f>
        <v/>
      </c>
      <c r="M1807" s="13">
        <f>IF(AND(ISNUMBER(J1807),ISNUMBER(K1807),ISNUMBER(L1807)),IF(J1807&gt;L1807,"boven UCL",IF(J1807&lt;K1807,"onder LCL","")),"")</f>
        <v/>
      </c>
      <c r="O1807" t="n">
        <v>1701</v>
      </c>
      <c r="P1807" s="7" t="n"/>
      <c r="Q1807" s="7" t="n"/>
      <c r="R1807" s="11">
        <f>IF(AND(ISNUMBER(P1807),ISNUMBER(Q1807),P1807&gt;0,ISNUMBER($B$100)),Q1807/P1807,"")</f>
        <v/>
      </c>
      <c r="S1807" s="11">
        <f>IF(AND(ISNUMBER(P1807),ISNUMBER(Q1807),P1807&gt;0,ISNUMBER($B$100)),MAX(0,$B$100-3*SQRT($B$100/P1807)),"")</f>
        <v/>
      </c>
      <c r="T1807" s="11">
        <f>IF(AND(ISNUMBER(P1807),ISNUMBER(Q1807),P1807&gt;0,ISNUMBER($B$100)),$B$100+3*SQRT($B$100/P1807),"")</f>
        <v/>
      </c>
      <c r="U1807" s="13">
        <f>IF(AND(ISNUMBER(R1807),ISNUMBER(S1807),ISNUMBER(T1807)),IF(R1807&gt;T1807,"boven UCL",IF(R1807&lt;S1807,"onder LCL","")),"")</f>
        <v/>
      </c>
    </row>
    <row r="1808">
      <c r="A1808" t="n">
        <v>1702</v>
      </c>
      <c r="B1808" s="7" t="n"/>
      <c r="C1808" s="11">
        <f>IF(AND(ISNUMBER(B1808),ISNUMBER(B1807)),ABS(B1808-B1807),"")</f>
        <v/>
      </c>
      <c r="D1808" s="13">
        <f>IF(AND(ISNUMBER(B1808),ISNUMBER($B$88),ISNUMBER($D$88)),IF(B1808&gt;$D$88,"boven UCL",IF(B1808&lt;$B$88,"onder LCL","")),"")</f>
        <v/>
      </c>
      <c r="E1808" s="13">
        <f>IF(AND(ISNUMBER(C1808),ISNUMBER($B$89),ISNUMBER($D$89)),IF(C1808&gt;$D$89,"boven UCL",IF(C1808&lt;$B$89,"onder LCL","")),"")</f>
        <v/>
      </c>
      <c r="G1808" t="n">
        <v>1702</v>
      </c>
      <c r="H1808" s="7" t="n"/>
      <c r="I1808" s="7" t="n"/>
      <c r="J1808" s="11">
        <f>IF(AND(ISNUMBER(H1808),ISNUMBER(I1808),H1808&gt;0,ISNUMBER($B$94)),I1808/H1808,"")</f>
        <v/>
      </c>
      <c r="K1808" s="11">
        <f>IF(AND(ISNUMBER(H1808),ISNUMBER(I1808),H1808&gt;0,ISNUMBER($B$94)),MAX(0,$B$94-3*SQRT($B$94*(1-$B$94)/H1808)),"")</f>
        <v/>
      </c>
      <c r="L1808" s="11">
        <f>IF(AND(ISNUMBER(H1808),ISNUMBER(I1808),H1808&gt;0,ISNUMBER($B$94)),$B$94+3*SQRT($B$94*(1-$B$94)/H1808),"")</f>
        <v/>
      </c>
      <c r="M1808" s="13">
        <f>IF(AND(ISNUMBER(J1808),ISNUMBER(K1808),ISNUMBER(L1808)),IF(J1808&gt;L1808,"boven UCL",IF(J1808&lt;K1808,"onder LCL","")),"")</f>
        <v/>
      </c>
      <c r="O1808" t="n">
        <v>1702</v>
      </c>
      <c r="P1808" s="7" t="n"/>
      <c r="Q1808" s="7" t="n"/>
      <c r="R1808" s="11">
        <f>IF(AND(ISNUMBER(P1808),ISNUMBER(Q1808),P1808&gt;0,ISNUMBER($B$100)),Q1808/P1808,"")</f>
        <v/>
      </c>
      <c r="S1808" s="11">
        <f>IF(AND(ISNUMBER(P1808),ISNUMBER(Q1808),P1808&gt;0,ISNUMBER($B$100)),MAX(0,$B$100-3*SQRT($B$100/P1808)),"")</f>
        <v/>
      </c>
      <c r="T1808" s="11">
        <f>IF(AND(ISNUMBER(P1808),ISNUMBER(Q1808),P1808&gt;0,ISNUMBER($B$100)),$B$100+3*SQRT($B$100/P1808),"")</f>
        <v/>
      </c>
      <c r="U1808" s="13">
        <f>IF(AND(ISNUMBER(R1808),ISNUMBER(S1808),ISNUMBER(T1808)),IF(R1808&gt;T1808,"boven UCL",IF(R1808&lt;S1808,"onder LCL","")),"")</f>
        <v/>
      </c>
    </row>
    <row r="1809">
      <c r="A1809" t="n">
        <v>1703</v>
      </c>
      <c r="B1809" s="7" t="n"/>
      <c r="C1809" s="11">
        <f>IF(AND(ISNUMBER(B1809),ISNUMBER(B1808)),ABS(B1809-B1808),"")</f>
        <v/>
      </c>
      <c r="D1809" s="13">
        <f>IF(AND(ISNUMBER(B1809),ISNUMBER($B$88),ISNUMBER($D$88)),IF(B1809&gt;$D$88,"boven UCL",IF(B1809&lt;$B$88,"onder LCL","")),"")</f>
        <v/>
      </c>
      <c r="E1809" s="13">
        <f>IF(AND(ISNUMBER(C1809),ISNUMBER($B$89),ISNUMBER($D$89)),IF(C1809&gt;$D$89,"boven UCL",IF(C1809&lt;$B$89,"onder LCL","")),"")</f>
        <v/>
      </c>
      <c r="G1809" t="n">
        <v>1703</v>
      </c>
      <c r="H1809" s="7" t="n"/>
      <c r="I1809" s="7" t="n"/>
      <c r="J1809" s="11">
        <f>IF(AND(ISNUMBER(H1809),ISNUMBER(I1809),H1809&gt;0,ISNUMBER($B$94)),I1809/H1809,"")</f>
        <v/>
      </c>
      <c r="K1809" s="11">
        <f>IF(AND(ISNUMBER(H1809),ISNUMBER(I1809),H1809&gt;0,ISNUMBER($B$94)),MAX(0,$B$94-3*SQRT($B$94*(1-$B$94)/H1809)),"")</f>
        <v/>
      </c>
      <c r="L1809" s="11">
        <f>IF(AND(ISNUMBER(H1809),ISNUMBER(I1809),H1809&gt;0,ISNUMBER($B$94)),$B$94+3*SQRT($B$94*(1-$B$94)/H1809),"")</f>
        <v/>
      </c>
      <c r="M1809" s="13">
        <f>IF(AND(ISNUMBER(J1809),ISNUMBER(K1809),ISNUMBER(L1809)),IF(J1809&gt;L1809,"boven UCL",IF(J1809&lt;K1809,"onder LCL","")),"")</f>
        <v/>
      </c>
      <c r="O1809" t="n">
        <v>1703</v>
      </c>
      <c r="P1809" s="7" t="n"/>
      <c r="Q1809" s="7" t="n"/>
      <c r="R1809" s="11">
        <f>IF(AND(ISNUMBER(P1809),ISNUMBER(Q1809),P1809&gt;0,ISNUMBER($B$100)),Q1809/P1809,"")</f>
        <v/>
      </c>
      <c r="S1809" s="11">
        <f>IF(AND(ISNUMBER(P1809),ISNUMBER(Q1809),P1809&gt;0,ISNUMBER($B$100)),MAX(0,$B$100-3*SQRT($B$100/P1809)),"")</f>
        <v/>
      </c>
      <c r="T1809" s="11">
        <f>IF(AND(ISNUMBER(P1809),ISNUMBER(Q1809),P1809&gt;0,ISNUMBER($B$100)),$B$100+3*SQRT($B$100/P1809),"")</f>
        <v/>
      </c>
      <c r="U1809" s="13">
        <f>IF(AND(ISNUMBER(R1809),ISNUMBER(S1809),ISNUMBER(T1809)),IF(R1809&gt;T1809,"boven UCL",IF(R1809&lt;S1809,"onder LCL","")),"")</f>
        <v/>
      </c>
    </row>
    <row r="1810">
      <c r="A1810" t="n">
        <v>1704</v>
      </c>
      <c r="B1810" s="7" t="n"/>
      <c r="C1810" s="11">
        <f>IF(AND(ISNUMBER(B1810),ISNUMBER(B1809)),ABS(B1810-B1809),"")</f>
        <v/>
      </c>
      <c r="D1810" s="13">
        <f>IF(AND(ISNUMBER(B1810),ISNUMBER($B$88),ISNUMBER($D$88)),IF(B1810&gt;$D$88,"boven UCL",IF(B1810&lt;$B$88,"onder LCL","")),"")</f>
        <v/>
      </c>
      <c r="E1810" s="13">
        <f>IF(AND(ISNUMBER(C1810),ISNUMBER($B$89),ISNUMBER($D$89)),IF(C1810&gt;$D$89,"boven UCL",IF(C1810&lt;$B$89,"onder LCL","")),"")</f>
        <v/>
      </c>
      <c r="G1810" t="n">
        <v>1704</v>
      </c>
      <c r="H1810" s="7" t="n"/>
      <c r="I1810" s="7" t="n"/>
      <c r="J1810" s="11">
        <f>IF(AND(ISNUMBER(H1810),ISNUMBER(I1810),H1810&gt;0,ISNUMBER($B$94)),I1810/H1810,"")</f>
        <v/>
      </c>
      <c r="K1810" s="11">
        <f>IF(AND(ISNUMBER(H1810),ISNUMBER(I1810),H1810&gt;0,ISNUMBER($B$94)),MAX(0,$B$94-3*SQRT($B$94*(1-$B$94)/H1810)),"")</f>
        <v/>
      </c>
      <c r="L1810" s="11">
        <f>IF(AND(ISNUMBER(H1810),ISNUMBER(I1810),H1810&gt;0,ISNUMBER($B$94)),$B$94+3*SQRT($B$94*(1-$B$94)/H1810),"")</f>
        <v/>
      </c>
      <c r="M1810" s="13">
        <f>IF(AND(ISNUMBER(J1810),ISNUMBER(K1810),ISNUMBER(L1810)),IF(J1810&gt;L1810,"boven UCL",IF(J1810&lt;K1810,"onder LCL","")),"")</f>
        <v/>
      </c>
      <c r="O1810" t="n">
        <v>1704</v>
      </c>
      <c r="P1810" s="7" t="n"/>
      <c r="Q1810" s="7" t="n"/>
      <c r="R1810" s="11">
        <f>IF(AND(ISNUMBER(P1810),ISNUMBER(Q1810),P1810&gt;0,ISNUMBER($B$100)),Q1810/P1810,"")</f>
        <v/>
      </c>
      <c r="S1810" s="11">
        <f>IF(AND(ISNUMBER(P1810),ISNUMBER(Q1810),P1810&gt;0,ISNUMBER($B$100)),MAX(0,$B$100-3*SQRT($B$100/P1810)),"")</f>
        <v/>
      </c>
      <c r="T1810" s="11">
        <f>IF(AND(ISNUMBER(P1810),ISNUMBER(Q1810),P1810&gt;0,ISNUMBER($B$100)),$B$100+3*SQRT($B$100/P1810),"")</f>
        <v/>
      </c>
      <c r="U1810" s="13">
        <f>IF(AND(ISNUMBER(R1810),ISNUMBER(S1810),ISNUMBER(T1810)),IF(R1810&gt;T1810,"boven UCL",IF(R1810&lt;S1810,"onder LCL","")),"")</f>
        <v/>
      </c>
    </row>
    <row r="1811">
      <c r="A1811" t="n">
        <v>1705</v>
      </c>
      <c r="B1811" s="7" t="n"/>
      <c r="C1811" s="11">
        <f>IF(AND(ISNUMBER(B1811),ISNUMBER(B1810)),ABS(B1811-B1810),"")</f>
        <v/>
      </c>
      <c r="D1811" s="13">
        <f>IF(AND(ISNUMBER(B1811),ISNUMBER($B$88),ISNUMBER($D$88)),IF(B1811&gt;$D$88,"boven UCL",IF(B1811&lt;$B$88,"onder LCL","")),"")</f>
        <v/>
      </c>
      <c r="E1811" s="13">
        <f>IF(AND(ISNUMBER(C1811),ISNUMBER($B$89),ISNUMBER($D$89)),IF(C1811&gt;$D$89,"boven UCL",IF(C1811&lt;$B$89,"onder LCL","")),"")</f>
        <v/>
      </c>
      <c r="G1811" t="n">
        <v>1705</v>
      </c>
      <c r="H1811" s="7" t="n"/>
      <c r="I1811" s="7" t="n"/>
      <c r="J1811" s="11">
        <f>IF(AND(ISNUMBER(H1811),ISNUMBER(I1811),H1811&gt;0,ISNUMBER($B$94)),I1811/H1811,"")</f>
        <v/>
      </c>
      <c r="K1811" s="11">
        <f>IF(AND(ISNUMBER(H1811),ISNUMBER(I1811),H1811&gt;0,ISNUMBER($B$94)),MAX(0,$B$94-3*SQRT($B$94*(1-$B$94)/H1811)),"")</f>
        <v/>
      </c>
      <c r="L1811" s="11">
        <f>IF(AND(ISNUMBER(H1811),ISNUMBER(I1811),H1811&gt;0,ISNUMBER($B$94)),$B$94+3*SQRT($B$94*(1-$B$94)/H1811),"")</f>
        <v/>
      </c>
      <c r="M1811" s="13">
        <f>IF(AND(ISNUMBER(J1811),ISNUMBER(K1811),ISNUMBER(L1811)),IF(J1811&gt;L1811,"boven UCL",IF(J1811&lt;K1811,"onder LCL","")),"")</f>
        <v/>
      </c>
      <c r="O1811" t="n">
        <v>1705</v>
      </c>
      <c r="P1811" s="7" t="n"/>
      <c r="Q1811" s="7" t="n"/>
      <c r="R1811" s="11">
        <f>IF(AND(ISNUMBER(P1811),ISNUMBER(Q1811),P1811&gt;0,ISNUMBER($B$100)),Q1811/P1811,"")</f>
        <v/>
      </c>
      <c r="S1811" s="11">
        <f>IF(AND(ISNUMBER(P1811),ISNUMBER(Q1811),P1811&gt;0,ISNUMBER($B$100)),MAX(0,$B$100-3*SQRT($B$100/P1811)),"")</f>
        <v/>
      </c>
      <c r="T1811" s="11">
        <f>IF(AND(ISNUMBER(P1811),ISNUMBER(Q1811),P1811&gt;0,ISNUMBER($B$100)),$B$100+3*SQRT($B$100/P1811),"")</f>
        <v/>
      </c>
      <c r="U1811" s="13">
        <f>IF(AND(ISNUMBER(R1811),ISNUMBER(S1811),ISNUMBER(T1811)),IF(R1811&gt;T1811,"boven UCL",IF(R1811&lt;S1811,"onder LCL","")),"")</f>
        <v/>
      </c>
    </row>
    <row r="1812">
      <c r="A1812" t="n">
        <v>1706</v>
      </c>
      <c r="B1812" s="7" t="n"/>
      <c r="C1812" s="11">
        <f>IF(AND(ISNUMBER(B1812),ISNUMBER(B1811)),ABS(B1812-B1811),"")</f>
        <v/>
      </c>
      <c r="D1812" s="13">
        <f>IF(AND(ISNUMBER(B1812),ISNUMBER($B$88),ISNUMBER($D$88)),IF(B1812&gt;$D$88,"boven UCL",IF(B1812&lt;$B$88,"onder LCL","")),"")</f>
        <v/>
      </c>
      <c r="E1812" s="13">
        <f>IF(AND(ISNUMBER(C1812),ISNUMBER($B$89),ISNUMBER($D$89)),IF(C1812&gt;$D$89,"boven UCL",IF(C1812&lt;$B$89,"onder LCL","")),"")</f>
        <v/>
      </c>
      <c r="G1812" t="n">
        <v>1706</v>
      </c>
      <c r="H1812" s="7" t="n"/>
      <c r="I1812" s="7" t="n"/>
      <c r="J1812" s="11">
        <f>IF(AND(ISNUMBER(H1812),ISNUMBER(I1812),H1812&gt;0,ISNUMBER($B$94)),I1812/H1812,"")</f>
        <v/>
      </c>
      <c r="K1812" s="11">
        <f>IF(AND(ISNUMBER(H1812),ISNUMBER(I1812),H1812&gt;0,ISNUMBER($B$94)),MAX(0,$B$94-3*SQRT($B$94*(1-$B$94)/H1812)),"")</f>
        <v/>
      </c>
      <c r="L1812" s="11">
        <f>IF(AND(ISNUMBER(H1812),ISNUMBER(I1812),H1812&gt;0,ISNUMBER($B$94)),$B$94+3*SQRT($B$94*(1-$B$94)/H1812),"")</f>
        <v/>
      </c>
      <c r="M1812" s="13">
        <f>IF(AND(ISNUMBER(J1812),ISNUMBER(K1812),ISNUMBER(L1812)),IF(J1812&gt;L1812,"boven UCL",IF(J1812&lt;K1812,"onder LCL","")),"")</f>
        <v/>
      </c>
      <c r="O1812" t="n">
        <v>1706</v>
      </c>
      <c r="P1812" s="7" t="n"/>
      <c r="Q1812" s="7" t="n"/>
      <c r="R1812" s="11">
        <f>IF(AND(ISNUMBER(P1812),ISNUMBER(Q1812),P1812&gt;0,ISNUMBER($B$100)),Q1812/P1812,"")</f>
        <v/>
      </c>
      <c r="S1812" s="11">
        <f>IF(AND(ISNUMBER(P1812),ISNUMBER(Q1812),P1812&gt;0,ISNUMBER($B$100)),MAX(0,$B$100-3*SQRT($B$100/P1812)),"")</f>
        <v/>
      </c>
      <c r="T1812" s="11">
        <f>IF(AND(ISNUMBER(P1812),ISNUMBER(Q1812),P1812&gt;0,ISNUMBER($B$100)),$B$100+3*SQRT($B$100/P1812),"")</f>
        <v/>
      </c>
      <c r="U1812" s="13">
        <f>IF(AND(ISNUMBER(R1812),ISNUMBER(S1812),ISNUMBER(T1812)),IF(R1812&gt;T1812,"boven UCL",IF(R1812&lt;S1812,"onder LCL","")),"")</f>
        <v/>
      </c>
    </row>
    <row r="1813">
      <c r="A1813" t="n">
        <v>1707</v>
      </c>
      <c r="B1813" s="7" t="n"/>
      <c r="C1813" s="11">
        <f>IF(AND(ISNUMBER(B1813),ISNUMBER(B1812)),ABS(B1813-B1812),"")</f>
        <v/>
      </c>
      <c r="D1813" s="13">
        <f>IF(AND(ISNUMBER(B1813),ISNUMBER($B$88),ISNUMBER($D$88)),IF(B1813&gt;$D$88,"boven UCL",IF(B1813&lt;$B$88,"onder LCL","")),"")</f>
        <v/>
      </c>
      <c r="E1813" s="13">
        <f>IF(AND(ISNUMBER(C1813),ISNUMBER($B$89),ISNUMBER($D$89)),IF(C1813&gt;$D$89,"boven UCL",IF(C1813&lt;$B$89,"onder LCL","")),"")</f>
        <v/>
      </c>
      <c r="G1813" t="n">
        <v>1707</v>
      </c>
      <c r="H1813" s="7" t="n"/>
      <c r="I1813" s="7" t="n"/>
      <c r="J1813" s="11">
        <f>IF(AND(ISNUMBER(H1813),ISNUMBER(I1813),H1813&gt;0,ISNUMBER($B$94)),I1813/H1813,"")</f>
        <v/>
      </c>
      <c r="K1813" s="11">
        <f>IF(AND(ISNUMBER(H1813),ISNUMBER(I1813),H1813&gt;0,ISNUMBER($B$94)),MAX(0,$B$94-3*SQRT($B$94*(1-$B$94)/H1813)),"")</f>
        <v/>
      </c>
      <c r="L1813" s="11">
        <f>IF(AND(ISNUMBER(H1813),ISNUMBER(I1813),H1813&gt;0,ISNUMBER($B$94)),$B$94+3*SQRT($B$94*(1-$B$94)/H1813),"")</f>
        <v/>
      </c>
      <c r="M1813" s="13">
        <f>IF(AND(ISNUMBER(J1813),ISNUMBER(K1813),ISNUMBER(L1813)),IF(J1813&gt;L1813,"boven UCL",IF(J1813&lt;K1813,"onder LCL","")),"")</f>
        <v/>
      </c>
      <c r="O1813" t="n">
        <v>1707</v>
      </c>
      <c r="P1813" s="7" t="n"/>
      <c r="Q1813" s="7" t="n"/>
      <c r="R1813" s="11">
        <f>IF(AND(ISNUMBER(P1813),ISNUMBER(Q1813),P1813&gt;0,ISNUMBER($B$100)),Q1813/P1813,"")</f>
        <v/>
      </c>
      <c r="S1813" s="11">
        <f>IF(AND(ISNUMBER(P1813),ISNUMBER(Q1813),P1813&gt;0,ISNUMBER($B$100)),MAX(0,$B$100-3*SQRT($B$100/P1813)),"")</f>
        <v/>
      </c>
      <c r="T1813" s="11">
        <f>IF(AND(ISNUMBER(P1813),ISNUMBER(Q1813),P1813&gt;0,ISNUMBER($B$100)),$B$100+3*SQRT($B$100/P1813),"")</f>
        <v/>
      </c>
      <c r="U1813" s="13">
        <f>IF(AND(ISNUMBER(R1813),ISNUMBER(S1813),ISNUMBER(T1813)),IF(R1813&gt;T1813,"boven UCL",IF(R1813&lt;S1813,"onder LCL","")),"")</f>
        <v/>
      </c>
    </row>
    <row r="1814">
      <c r="A1814" t="n">
        <v>1708</v>
      </c>
      <c r="B1814" s="7" t="n"/>
      <c r="C1814" s="11">
        <f>IF(AND(ISNUMBER(B1814),ISNUMBER(B1813)),ABS(B1814-B1813),"")</f>
        <v/>
      </c>
      <c r="D1814" s="13">
        <f>IF(AND(ISNUMBER(B1814),ISNUMBER($B$88),ISNUMBER($D$88)),IF(B1814&gt;$D$88,"boven UCL",IF(B1814&lt;$B$88,"onder LCL","")),"")</f>
        <v/>
      </c>
      <c r="E1814" s="13">
        <f>IF(AND(ISNUMBER(C1814),ISNUMBER($B$89),ISNUMBER($D$89)),IF(C1814&gt;$D$89,"boven UCL",IF(C1814&lt;$B$89,"onder LCL","")),"")</f>
        <v/>
      </c>
      <c r="G1814" t="n">
        <v>1708</v>
      </c>
      <c r="H1814" s="7" t="n"/>
      <c r="I1814" s="7" t="n"/>
      <c r="J1814" s="11">
        <f>IF(AND(ISNUMBER(H1814),ISNUMBER(I1814),H1814&gt;0,ISNUMBER($B$94)),I1814/H1814,"")</f>
        <v/>
      </c>
      <c r="K1814" s="11">
        <f>IF(AND(ISNUMBER(H1814),ISNUMBER(I1814),H1814&gt;0,ISNUMBER($B$94)),MAX(0,$B$94-3*SQRT($B$94*(1-$B$94)/H1814)),"")</f>
        <v/>
      </c>
      <c r="L1814" s="11">
        <f>IF(AND(ISNUMBER(H1814),ISNUMBER(I1814),H1814&gt;0,ISNUMBER($B$94)),$B$94+3*SQRT($B$94*(1-$B$94)/H1814),"")</f>
        <v/>
      </c>
      <c r="M1814" s="13">
        <f>IF(AND(ISNUMBER(J1814),ISNUMBER(K1814),ISNUMBER(L1814)),IF(J1814&gt;L1814,"boven UCL",IF(J1814&lt;K1814,"onder LCL","")),"")</f>
        <v/>
      </c>
      <c r="O1814" t="n">
        <v>1708</v>
      </c>
      <c r="P1814" s="7" t="n"/>
      <c r="Q1814" s="7" t="n"/>
      <c r="R1814" s="11">
        <f>IF(AND(ISNUMBER(P1814),ISNUMBER(Q1814),P1814&gt;0,ISNUMBER($B$100)),Q1814/P1814,"")</f>
        <v/>
      </c>
      <c r="S1814" s="11">
        <f>IF(AND(ISNUMBER(P1814),ISNUMBER(Q1814),P1814&gt;0,ISNUMBER($B$100)),MAX(0,$B$100-3*SQRT($B$100/P1814)),"")</f>
        <v/>
      </c>
      <c r="T1814" s="11">
        <f>IF(AND(ISNUMBER(P1814),ISNUMBER(Q1814),P1814&gt;0,ISNUMBER($B$100)),$B$100+3*SQRT($B$100/P1814),"")</f>
        <v/>
      </c>
      <c r="U1814" s="13">
        <f>IF(AND(ISNUMBER(R1814),ISNUMBER(S1814),ISNUMBER(T1814)),IF(R1814&gt;T1814,"boven UCL",IF(R1814&lt;S1814,"onder LCL","")),"")</f>
        <v/>
      </c>
    </row>
    <row r="1815">
      <c r="A1815" t="n">
        <v>1709</v>
      </c>
      <c r="B1815" s="7" t="n"/>
      <c r="C1815" s="11">
        <f>IF(AND(ISNUMBER(B1815),ISNUMBER(B1814)),ABS(B1815-B1814),"")</f>
        <v/>
      </c>
      <c r="D1815" s="13">
        <f>IF(AND(ISNUMBER(B1815),ISNUMBER($B$88),ISNUMBER($D$88)),IF(B1815&gt;$D$88,"boven UCL",IF(B1815&lt;$B$88,"onder LCL","")),"")</f>
        <v/>
      </c>
      <c r="E1815" s="13">
        <f>IF(AND(ISNUMBER(C1815),ISNUMBER($B$89),ISNUMBER($D$89)),IF(C1815&gt;$D$89,"boven UCL",IF(C1815&lt;$B$89,"onder LCL","")),"")</f>
        <v/>
      </c>
      <c r="G1815" t="n">
        <v>1709</v>
      </c>
      <c r="H1815" s="7" t="n"/>
      <c r="I1815" s="7" t="n"/>
      <c r="J1815" s="11">
        <f>IF(AND(ISNUMBER(H1815),ISNUMBER(I1815),H1815&gt;0,ISNUMBER($B$94)),I1815/H1815,"")</f>
        <v/>
      </c>
      <c r="K1815" s="11">
        <f>IF(AND(ISNUMBER(H1815),ISNUMBER(I1815),H1815&gt;0,ISNUMBER($B$94)),MAX(0,$B$94-3*SQRT($B$94*(1-$B$94)/H1815)),"")</f>
        <v/>
      </c>
      <c r="L1815" s="11">
        <f>IF(AND(ISNUMBER(H1815),ISNUMBER(I1815),H1815&gt;0,ISNUMBER($B$94)),$B$94+3*SQRT($B$94*(1-$B$94)/H1815),"")</f>
        <v/>
      </c>
      <c r="M1815" s="13">
        <f>IF(AND(ISNUMBER(J1815),ISNUMBER(K1815),ISNUMBER(L1815)),IF(J1815&gt;L1815,"boven UCL",IF(J1815&lt;K1815,"onder LCL","")),"")</f>
        <v/>
      </c>
      <c r="O1815" t="n">
        <v>1709</v>
      </c>
      <c r="P1815" s="7" t="n"/>
      <c r="Q1815" s="7" t="n"/>
      <c r="R1815" s="11">
        <f>IF(AND(ISNUMBER(P1815),ISNUMBER(Q1815),P1815&gt;0,ISNUMBER($B$100)),Q1815/P1815,"")</f>
        <v/>
      </c>
      <c r="S1815" s="11">
        <f>IF(AND(ISNUMBER(P1815),ISNUMBER(Q1815),P1815&gt;0,ISNUMBER($B$100)),MAX(0,$B$100-3*SQRT($B$100/P1815)),"")</f>
        <v/>
      </c>
      <c r="T1815" s="11">
        <f>IF(AND(ISNUMBER(P1815),ISNUMBER(Q1815),P1815&gt;0,ISNUMBER($B$100)),$B$100+3*SQRT($B$100/P1815),"")</f>
        <v/>
      </c>
      <c r="U1815" s="13">
        <f>IF(AND(ISNUMBER(R1815),ISNUMBER(S1815),ISNUMBER(T1815)),IF(R1815&gt;T1815,"boven UCL",IF(R1815&lt;S1815,"onder LCL","")),"")</f>
        <v/>
      </c>
    </row>
    <row r="1816">
      <c r="A1816" t="n">
        <v>1710</v>
      </c>
      <c r="B1816" s="7" t="n"/>
      <c r="C1816" s="11">
        <f>IF(AND(ISNUMBER(B1816),ISNUMBER(B1815)),ABS(B1816-B1815),"")</f>
        <v/>
      </c>
      <c r="D1816" s="13">
        <f>IF(AND(ISNUMBER(B1816),ISNUMBER($B$88),ISNUMBER($D$88)),IF(B1816&gt;$D$88,"boven UCL",IF(B1816&lt;$B$88,"onder LCL","")),"")</f>
        <v/>
      </c>
      <c r="E1816" s="13">
        <f>IF(AND(ISNUMBER(C1816),ISNUMBER($B$89),ISNUMBER($D$89)),IF(C1816&gt;$D$89,"boven UCL",IF(C1816&lt;$B$89,"onder LCL","")),"")</f>
        <v/>
      </c>
      <c r="G1816" t="n">
        <v>1710</v>
      </c>
      <c r="H1816" s="7" t="n"/>
      <c r="I1816" s="7" t="n"/>
      <c r="J1816" s="11">
        <f>IF(AND(ISNUMBER(H1816),ISNUMBER(I1816),H1816&gt;0,ISNUMBER($B$94)),I1816/H1816,"")</f>
        <v/>
      </c>
      <c r="K1816" s="11">
        <f>IF(AND(ISNUMBER(H1816),ISNUMBER(I1816),H1816&gt;0,ISNUMBER($B$94)),MAX(0,$B$94-3*SQRT($B$94*(1-$B$94)/H1816)),"")</f>
        <v/>
      </c>
      <c r="L1816" s="11">
        <f>IF(AND(ISNUMBER(H1816),ISNUMBER(I1816),H1816&gt;0,ISNUMBER($B$94)),$B$94+3*SQRT($B$94*(1-$B$94)/H1816),"")</f>
        <v/>
      </c>
      <c r="M1816" s="13">
        <f>IF(AND(ISNUMBER(J1816),ISNUMBER(K1816),ISNUMBER(L1816)),IF(J1816&gt;L1816,"boven UCL",IF(J1816&lt;K1816,"onder LCL","")),"")</f>
        <v/>
      </c>
      <c r="O1816" t="n">
        <v>1710</v>
      </c>
      <c r="P1816" s="7" t="n"/>
      <c r="Q1816" s="7" t="n"/>
      <c r="R1816" s="11">
        <f>IF(AND(ISNUMBER(P1816),ISNUMBER(Q1816),P1816&gt;0,ISNUMBER($B$100)),Q1816/P1816,"")</f>
        <v/>
      </c>
      <c r="S1816" s="11">
        <f>IF(AND(ISNUMBER(P1816),ISNUMBER(Q1816),P1816&gt;0,ISNUMBER($B$100)),MAX(0,$B$100-3*SQRT($B$100/P1816)),"")</f>
        <v/>
      </c>
      <c r="T1816" s="11">
        <f>IF(AND(ISNUMBER(P1816),ISNUMBER(Q1816),P1816&gt;0,ISNUMBER($B$100)),$B$100+3*SQRT($B$100/P1816),"")</f>
        <v/>
      </c>
      <c r="U1816" s="13">
        <f>IF(AND(ISNUMBER(R1816),ISNUMBER(S1816),ISNUMBER(T1816)),IF(R1816&gt;T1816,"boven UCL",IF(R1816&lt;S1816,"onder LCL","")),"")</f>
        <v/>
      </c>
    </row>
    <row r="1817">
      <c r="A1817" t="n">
        <v>1711</v>
      </c>
      <c r="B1817" s="7" t="n"/>
      <c r="C1817" s="11">
        <f>IF(AND(ISNUMBER(B1817),ISNUMBER(B1816)),ABS(B1817-B1816),"")</f>
        <v/>
      </c>
      <c r="D1817" s="13">
        <f>IF(AND(ISNUMBER(B1817),ISNUMBER($B$88),ISNUMBER($D$88)),IF(B1817&gt;$D$88,"boven UCL",IF(B1817&lt;$B$88,"onder LCL","")),"")</f>
        <v/>
      </c>
      <c r="E1817" s="13">
        <f>IF(AND(ISNUMBER(C1817),ISNUMBER($B$89),ISNUMBER($D$89)),IF(C1817&gt;$D$89,"boven UCL",IF(C1817&lt;$B$89,"onder LCL","")),"")</f>
        <v/>
      </c>
      <c r="G1817" t="n">
        <v>1711</v>
      </c>
      <c r="H1817" s="7" t="n"/>
      <c r="I1817" s="7" t="n"/>
      <c r="J1817" s="11">
        <f>IF(AND(ISNUMBER(H1817),ISNUMBER(I1817),H1817&gt;0,ISNUMBER($B$94)),I1817/H1817,"")</f>
        <v/>
      </c>
      <c r="K1817" s="11">
        <f>IF(AND(ISNUMBER(H1817),ISNUMBER(I1817),H1817&gt;0,ISNUMBER($B$94)),MAX(0,$B$94-3*SQRT($B$94*(1-$B$94)/H1817)),"")</f>
        <v/>
      </c>
      <c r="L1817" s="11">
        <f>IF(AND(ISNUMBER(H1817),ISNUMBER(I1817),H1817&gt;0,ISNUMBER($B$94)),$B$94+3*SQRT($B$94*(1-$B$94)/H1817),"")</f>
        <v/>
      </c>
      <c r="M1817" s="13">
        <f>IF(AND(ISNUMBER(J1817),ISNUMBER(K1817),ISNUMBER(L1817)),IF(J1817&gt;L1817,"boven UCL",IF(J1817&lt;K1817,"onder LCL","")),"")</f>
        <v/>
      </c>
      <c r="O1817" t="n">
        <v>1711</v>
      </c>
      <c r="P1817" s="7" t="n"/>
      <c r="Q1817" s="7" t="n"/>
      <c r="R1817" s="11">
        <f>IF(AND(ISNUMBER(P1817),ISNUMBER(Q1817),P1817&gt;0,ISNUMBER($B$100)),Q1817/P1817,"")</f>
        <v/>
      </c>
      <c r="S1817" s="11">
        <f>IF(AND(ISNUMBER(P1817),ISNUMBER(Q1817),P1817&gt;0,ISNUMBER($B$100)),MAX(0,$B$100-3*SQRT($B$100/P1817)),"")</f>
        <v/>
      </c>
      <c r="T1817" s="11">
        <f>IF(AND(ISNUMBER(P1817),ISNUMBER(Q1817),P1817&gt;0,ISNUMBER($B$100)),$B$100+3*SQRT($B$100/P1817),"")</f>
        <v/>
      </c>
      <c r="U1817" s="13">
        <f>IF(AND(ISNUMBER(R1817),ISNUMBER(S1817),ISNUMBER(T1817)),IF(R1817&gt;T1817,"boven UCL",IF(R1817&lt;S1817,"onder LCL","")),"")</f>
        <v/>
      </c>
    </row>
    <row r="1818">
      <c r="A1818" t="n">
        <v>1712</v>
      </c>
      <c r="B1818" s="7" t="n"/>
      <c r="C1818" s="11">
        <f>IF(AND(ISNUMBER(B1818),ISNUMBER(B1817)),ABS(B1818-B1817),"")</f>
        <v/>
      </c>
      <c r="D1818" s="13">
        <f>IF(AND(ISNUMBER(B1818),ISNUMBER($B$88),ISNUMBER($D$88)),IF(B1818&gt;$D$88,"boven UCL",IF(B1818&lt;$B$88,"onder LCL","")),"")</f>
        <v/>
      </c>
      <c r="E1818" s="13">
        <f>IF(AND(ISNUMBER(C1818),ISNUMBER($B$89),ISNUMBER($D$89)),IF(C1818&gt;$D$89,"boven UCL",IF(C1818&lt;$B$89,"onder LCL","")),"")</f>
        <v/>
      </c>
      <c r="G1818" t="n">
        <v>1712</v>
      </c>
      <c r="H1818" s="7" t="n"/>
      <c r="I1818" s="7" t="n"/>
      <c r="J1818" s="11">
        <f>IF(AND(ISNUMBER(H1818),ISNUMBER(I1818),H1818&gt;0,ISNUMBER($B$94)),I1818/H1818,"")</f>
        <v/>
      </c>
      <c r="K1818" s="11">
        <f>IF(AND(ISNUMBER(H1818),ISNUMBER(I1818),H1818&gt;0,ISNUMBER($B$94)),MAX(0,$B$94-3*SQRT($B$94*(1-$B$94)/H1818)),"")</f>
        <v/>
      </c>
      <c r="L1818" s="11">
        <f>IF(AND(ISNUMBER(H1818),ISNUMBER(I1818),H1818&gt;0,ISNUMBER($B$94)),$B$94+3*SQRT($B$94*(1-$B$94)/H1818),"")</f>
        <v/>
      </c>
      <c r="M1818" s="13">
        <f>IF(AND(ISNUMBER(J1818),ISNUMBER(K1818),ISNUMBER(L1818)),IF(J1818&gt;L1818,"boven UCL",IF(J1818&lt;K1818,"onder LCL","")),"")</f>
        <v/>
      </c>
      <c r="O1818" t="n">
        <v>1712</v>
      </c>
      <c r="P1818" s="7" t="n"/>
      <c r="Q1818" s="7" t="n"/>
      <c r="R1818" s="11">
        <f>IF(AND(ISNUMBER(P1818),ISNUMBER(Q1818),P1818&gt;0,ISNUMBER($B$100)),Q1818/P1818,"")</f>
        <v/>
      </c>
      <c r="S1818" s="11">
        <f>IF(AND(ISNUMBER(P1818),ISNUMBER(Q1818),P1818&gt;0,ISNUMBER($B$100)),MAX(0,$B$100-3*SQRT($B$100/P1818)),"")</f>
        <v/>
      </c>
      <c r="T1818" s="11">
        <f>IF(AND(ISNUMBER(P1818),ISNUMBER(Q1818),P1818&gt;0,ISNUMBER($B$100)),$B$100+3*SQRT($B$100/P1818),"")</f>
        <v/>
      </c>
      <c r="U1818" s="13">
        <f>IF(AND(ISNUMBER(R1818),ISNUMBER(S1818),ISNUMBER(T1818)),IF(R1818&gt;T1818,"boven UCL",IF(R1818&lt;S1818,"onder LCL","")),"")</f>
        <v/>
      </c>
    </row>
    <row r="1819">
      <c r="A1819" t="n">
        <v>1713</v>
      </c>
      <c r="B1819" s="7" t="n"/>
      <c r="C1819" s="11">
        <f>IF(AND(ISNUMBER(B1819),ISNUMBER(B1818)),ABS(B1819-B1818),"")</f>
        <v/>
      </c>
      <c r="D1819" s="13">
        <f>IF(AND(ISNUMBER(B1819),ISNUMBER($B$88),ISNUMBER($D$88)),IF(B1819&gt;$D$88,"boven UCL",IF(B1819&lt;$B$88,"onder LCL","")),"")</f>
        <v/>
      </c>
      <c r="E1819" s="13">
        <f>IF(AND(ISNUMBER(C1819),ISNUMBER($B$89),ISNUMBER($D$89)),IF(C1819&gt;$D$89,"boven UCL",IF(C1819&lt;$B$89,"onder LCL","")),"")</f>
        <v/>
      </c>
      <c r="G1819" t="n">
        <v>1713</v>
      </c>
      <c r="H1819" s="7" t="n"/>
      <c r="I1819" s="7" t="n"/>
      <c r="J1819" s="11">
        <f>IF(AND(ISNUMBER(H1819),ISNUMBER(I1819),H1819&gt;0,ISNUMBER($B$94)),I1819/H1819,"")</f>
        <v/>
      </c>
      <c r="K1819" s="11">
        <f>IF(AND(ISNUMBER(H1819),ISNUMBER(I1819),H1819&gt;0,ISNUMBER($B$94)),MAX(0,$B$94-3*SQRT($B$94*(1-$B$94)/H1819)),"")</f>
        <v/>
      </c>
      <c r="L1819" s="11">
        <f>IF(AND(ISNUMBER(H1819),ISNUMBER(I1819),H1819&gt;0,ISNUMBER($B$94)),$B$94+3*SQRT($B$94*(1-$B$94)/H1819),"")</f>
        <v/>
      </c>
      <c r="M1819" s="13">
        <f>IF(AND(ISNUMBER(J1819),ISNUMBER(K1819),ISNUMBER(L1819)),IF(J1819&gt;L1819,"boven UCL",IF(J1819&lt;K1819,"onder LCL","")),"")</f>
        <v/>
      </c>
      <c r="O1819" t="n">
        <v>1713</v>
      </c>
      <c r="P1819" s="7" t="n"/>
      <c r="Q1819" s="7" t="n"/>
      <c r="R1819" s="11">
        <f>IF(AND(ISNUMBER(P1819),ISNUMBER(Q1819),P1819&gt;0,ISNUMBER($B$100)),Q1819/P1819,"")</f>
        <v/>
      </c>
      <c r="S1819" s="11">
        <f>IF(AND(ISNUMBER(P1819),ISNUMBER(Q1819),P1819&gt;0,ISNUMBER($B$100)),MAX(0,$B$100-3*SQRT($B$100/P1819)),"")</f>
        <v/>
      </c>
      <c r="T1819" s="11">
        <f>IF(AND(ISNUMBER(P1819),ISNUMBER(Q1819),P1819&gt;0,ISNUMBER($B$100)),$B$100+3*SQRT($B$100/P1819),"")</f>
        <v/>
      </c>
      <c r="U1819" s="13">
        <f>IF(AND(ISNUMBER(R1819),ISNUMBER(S1819),ISNUMBER(T1819)),IF(R1819&gt;T1819,"boven UCL",IF(R1819&lt;S1819,"onder LCL","")),"")</f>
        <v/>
      </c>
    </row>
    <row r="1820">
      <c r="A1820" t="n">
        <v>1714</v>
      </c>
      <c r="B1820" s="7" t="n"/>
      <c r="C1820" s="11">
        <f>IF(AND(ISNUMBER(B1820),ISNUMBER(B1819)),ABS(B1820-B1819),"")</f>
        <v/>
      </c>
      <c r="D1820" s="13">
        <f>IF(AND(ISNUMBER(B1820),ISNUMBER($B$88),ISNUMBER($D$88)),IF(B1820&gt;$D$88,"boven UCL",IF(B1820&lt;$B$88,"onder LCL","")),"")</f>
        <v/>
      </c>
      <c r="E1820" s="13">
        <f>IF(AND(ISNUMBER(C1820),ISNUMBER($B$89),ISNUMBER($D$89)),IF(C1820&gt;$D$89,"boven UCL",IF(C1820&lt;$B$89,"onder LCL","")),"")</f>
        <v/>
      </c>
      <c r="G1820" t="n">
        <v>1714</v>
      </c>
      <c r="H1820" s="7" t="n"/>
      <c r="I1820" s="7" t="n"/>
      <c r="J1820" s="11">
        <f>IF(AND(ISNUMBER(H1820),ISNUMBER(I1820),H1820&gt;0,ISNUMBER($B$94)),I1820/H1820,"")</f>
        <v/>
      </c>
      <c r="K1820" s="11">
        <f>IF(AND(ISNUMBER(H1820),ISNUMBER(I1820),H1820&gt;0,ISNUMBER($B$94)),MAX(0,$B$94-3*SQRT($B$94*(1-$B$94)/H1820)),"")</f>
        <v/>
      </c>
      <c r="L1820" s="11">
        <f>IF(AND(ISNUMBER(H1820),ISNUMBER(I1820),H1820&gt;0,ISNUMBER($B$94)),$B$94+3*SQRT($B$94*(1-$B$94)/H1820),"")</f>
        <v/>
      </c>
      <c r="M1820" s="13">
        <f>IF(AND(ISNUMBER(J1820),ISNUMBER(K1820),ISNUMBER(L1820)),IF(J1820&gt;L1820,"boven UCL",IF(J1820&lt;K1820,"onder LCL","")),"")</f>
        <v/>
      </c>
      <c r="O1820" t="n">
        <v>1714</v>
      </c>
      <c r="P1820" s="7" t="n"/>
      <c r="Q1820" s="7" t="n"/>
      <c r="R1820" s="11">
        <f>IF(AND(ISNUMBER(P1820),ISNUMBER(Q1820),P1820&gt;0,ISNUMBER($B$100)),Q1820/P1820,"")</f>
        <v/>
      </c>
      <c r="S1820" s="11">
        <f>IF(AND(ISNUMBER(P1820),ISNUMBER(Q1820),P1820&gt;0,ISNUMBER($B$100)),MAX(0,$B$100-3*SQRT($B$100/P1820)),"")</f>
        <v/>
      </c>
      <c r="T1820" s="11">
        <f>IF(AND(ISNUMBER(P1820),ISNUMBER(Q1820),P1820&gt;0,ISNUMBER($B$100)),$B$100+3*SQRT($B$100/P1820),"")</f>
        <v/>
      </c>
      <c r="U1820" s="13">
        <f>IF(AND(ISNUMBER(R1820),ISNUMBER(S1820),ISNUMBER(T1820)),IF(R1820&gt;T1820,"boven UCL",IF(R1820&lt;S1820,"onder LCL","")),"")</f>
        <v/>
      </c>
    </row>
    <row r="1821">
      <c r="A1821" t="n">
        <v>1715</v>
      </c>
      <c r="B1821" s="7" t="n"/>
      <c r="C1821" s="11">
        <f>IF(AND(ISNUMBER(B1821),ISNUMBER(B1820)),ABS(B1821-B1820),"")</f>
        <v/>
      </c>
      <c r="D1821" s="13">
        <f>IF(AND(ISNUMBER(B1821),ISNUMBER($B$88),ISNUMBER($D$88)),IF(B1821&gt;$D$88,"boven UCL",IF(B1821&lt;$B$88,"onder LCL","")),"")</f>
        <v/>
      </c>
      <c r="E1821" s="13">
        <f>IF(AND(ISNUMBER(C1821),ISNUMBER($B$89),ISNUMBER($D$89)),IF(C1821&gt;$D$89,"boven UCL",IF(C1821&lt;$B$89,"onder LCL","")),"")</f>
        <v/>
      </c>
      <c r="G1821" t="n">
        <v>1715</v>
      </c>
      <c r="H1821" s="7" t="n"/>
      <c r="I1821" s="7" t="n"/>
      <c r="J1821" s="11">
        <f>IF(AND(ISNUMBER(H1821),ISNUMBER(I1821),H1821&gt;0,ISNUMBER($B$94)),I1821/H1821,"")</f>
        <v/>
      </c>
      <c r="K1821" s="11">
        <f>IF(AND(ISNUMBER(H1821),ISNUMBER(I1821),H1821&gt;0,ISNUMBER($B$94)),MAX(0,$B$94-3*SQRT($B$94*(1-$B$94)/H1821)),"")</f>
        <v/>
      </c>
      <c r="L1821" s="11">
        <f>IF(AND(ISNUMBER(H1821),ISNUMBER(I1821),H1821&gt;0,ISNUMBER($B$94)),$B$94+3*SQRT($B$94*(1-$B$94)/H1821),"")</f>
        <v/>
      </c>
      <c r="M1821" s="13">
        <f>IF(AND(ISNUMBER(J1821),ISNUMBER(K1821),ISNUMBER(L1821)),IF(J1821&gt;L1821,"boven UCL",IF(J1821&lt;K1821,"onder LCL","")),"")</f>
        <v/>
      </c>
      <c r="O1821" t="n">
        <v>1715</v>
      </c>
      <c r="P1821" s="7" t="n"/>
      <c r="Q1821" s="7" t="n"/>
      <c r="R1821" s="11">
        <f>IF(AND(ISNUMBER(P1821),ISNUMBER(Q1821),P1821&gt;0,ISNUMBER($B$100)),Q1821/P1821,"")</f>
        <v/>
      </c>
      <c r="S1821" s="11">
        <f>IF(AND(ISNUMBER(P1821),ISNUMBER(Q1821),P1821&gt;0,ISNUMBER($B$100)),MAX(0,$B$100-3*SQRT($B$100/P1821)),"")</f>
        <v/>
      </c>
      <c r="T1821" s="11">
        <f>IF(AND(ISNUMBER(P1821),ISNUMBER(Q1821),P1821&gt;0,ISNUMBER($B$100)),$B$100+3*SQRT($B$100/P1821),"")</f>
        <v/>
      </c>
      <c r="U1821" s="13">
        <f>IF(AND(ISNUMBER(R1821),ISNUMBER(S1821),ISNUMBER(T1821)),IF(R1821&gt;T1821,"boven UCL",IF(R1821&lt;S1821,"onder LCL","")),"")</f>
        <v/>
      </c>
    </row>
    <row r="1822">
      <c r="A1822" t="n">
        <v>1716</v>
      </c>
      <c r="B1822" s="7" t="n"/>
      <c r="C1822" s="11">
        <f>IF(AND(ISNUMBER(B1822),ISNUMBER(B1821)),ABS(B1822-B1821),"")</f>
        <v/>
      </c>
      <c r="D1822" s="13">
        <f>IF(AND(ISNUMBER(B1822),ISNUMBER($B$88),ISNUMBER($D$88)),IF(B1822&gt;$D$88,"boven UCL",IF(B1822&lt;$B$88,"onder LCL","")),"")</f>
        <v/>
      </c>
      <c r="E1822" s="13">
        <f>IF(AND(ISNUMBER(C1822),ISNUMBER($B$89),ISNUMBER($D$89)),IF(C1822&gt;$D$89,"boven UCL",IF(C1822&lt;$B$89,"onder LCL","")),"")</f>
        <v/>
      </c>
      <c r="G1822" t="n">
        <v>1716</v>
      </c>
      <c r="H1822" s="7" t="n"/>
      <c r="I1822" s="7" t="n"/>
      <c r="J1822" s="11">
        <f>IF(AND(ISNUMBER(H1822),ISNUMBER(I1822),H1822&gt;0,ISNUMBER($B$94)),I1822/H1822,"")</f>
        <v/>
      </c>
      <c r="K1822" s="11">
        <f>IF(AND(ISNUMBER(H1822),ISNUMBER(I1822),H1822&gt;0,ISNUMBER($B$94)),MAX(0,$B$94-3*SQRT($B$94*(1-$B$94)/H1822)),"")</f>
        <v/>
      </c>
      <c r="L1822" s="11">
        <f>IF(AND(ISNUMBER(H1822),ISNUMBER(I1822),H1822&gt;0,ISNUMBER($B$94)),$B$94+3*SQRT($B$94*(1-$B$94)/H1822),"")</f>
        <v/>
      </c>
      <c r="M1822" s="13">
        <f>IF(AND(ISNUMBER(J1822),ISNUMBER(K1822),ISNUMBER(L1822)),IF(J1822&gt;L1822,"boven UCL",IF(J1822&lt;K1822,"onder LCL","")),"")</f>
        <v/>
      </c>
      <c r="O1822" t="n">
        <v>1716</v>
      </c>
      <c r="P1822" s="7" t="n"/>
      <c r="Q1822" s="7" t="n"/>
      <c r="R1822" s="11">
        <f>IF(AND(ISNUMBER(P1822),ISNUMBER(Q1822),P1822&gt;0,ISNUMBER($B$100)),Q1822/P1822,"")</f>
        <v/>
      </c>
      <c r="S1822" s="11">
        <f>IF(AND(ISNUMBER(P1822),ISNUMBER(Q1822),P1822&gt;0,ISNUMBER($B$100)),MAX(0,$B$100-3*SQRT($B$100/P1822)),"")</f>
        <v/>
      </c>
      <c r="T1822" s="11">
        <f>IF(AND(ISNUMBER(P1822),ISNUMBER(Q1822),P1822&gt;0,ISNUMBER($B$100)),$B$100+3*SQRT($B$100/P1822),"")</f>
        <v/>
      </c>
      <c r="U1822" s="13">
        <f>IF(AND(ISNUMBER(R1822),ISNUMBER(S1822),ISNUMBER(T1822)),IF(R1822&gt;T1822,"boven UCL",IF(R1822&lt;S1822,"onder LCL","")),"")</f>
        <v/>
      </c>
    </row>
    <row r="1823">
      <c r="A1823" t="n">
        <v>1717</v>
      </c>
      <c r="B1823" s="7" t="n"/>
      <c r="C1823" s="11">
        <f>IF(AND(ISNUMBER(B1823),ISNUMBER(B1822)),ABS(B1823-B1822),"")</f>
        <v/>
      </c>
      <c r="D1823" s="13">
        <f>IF(AND(ISNUMBER(B1823),ISNUMBER($B$88),ISNUMBER($D$88)),IF(B1823&gt;$D$88,"boven UCL",IF(B1823&lt;$B$88,"onder LCL","")),"")</f>
        <v/>
      </c>
      <c r="E1823" s="13">
        <f>IF(AND(ISNUMBER(C1823),ISNUMBER($B$89),ISNUMBER($D$89)),IF(C1823&gt;$D$89,"boven UCL",IF(C1823&lt;$B$89,"onder LCL","")),"")</f>
        <v/>
      </c>
      <c r="G1823" t="n">
        <v>1717</v>
      </c>
      <c r="H1823" s="7" t="n"/>
      <c r="I1823" s="7" t="n"/>
      <c r="J1823" s="11">
        <f>IF(AND(ISNUMBER(H1823),ISNUMBER(I1823),H1823&gt;0,ISNUMBER($B$94)),I1823/H1823,"")</f>
        <v/>
      </c>
      <c r="K1823" s="11">
        <f>IF(AND(ISNUMBER(H1823),ISNUMBER(I1823),H1823&gt;0,ISNUMBER($B$94)),MAX(0,$B$94-3*SQRT($B$94*(1-$B$94)/H1823)),"")</f>
        <v/>
      </c>
      <c r="L1823" s="11">
        <f>IF(AND(ISNUMBER(H1823),ISNUMBER(I1823),H1823&gt;0,ISNUMBER($B$94)),$B$94+3*SQRT($B$94*(1-$B$94)/H1823),"")</f>
        <v/>
      </c>
      <c r="M1823" s="13">
        <f>IF(AND(ISNUMBER(J1823),ISNUMBER(K1823),ISNUMBER(L1823)),IF(J1823&gt;L1823,"boven UCL",IF(J1823&lt;K1823,"onder LCL","")),"")</f>
        <v/>
      </c>
      <c r="O1823" t="n">
        <v>1717</v>
      </c>
      <c r="P1823" s="7" t="n"/>
      <c r="Q1823" s="7" t="n"/>
      <c r="R1823" s="11">
        <f>IF(AND(ISNUMBER(P1823),ISNUMBER(Q1823),P1823&gt;0,ISNUMBER($B$100)),Q1823/P1823,"")</f>
        <v/>
      </c>
      <c r="S1823" s="11">
        <f>IF(AND(ISNUMBER(P1823),ISNUMBER(Q1823),P1823&gt;0,ISNUMBER($B$100)),MAX(0,$B$100-3*SQRT($B$100/P1823)),"")</f>
        <v/>
      </c>
      <c r="T1823" s="11">
        <f>IF(AND(ISNUMBER(P1823),ISNUMBER(Q1823),P1823&gt;0,ISNUMBER($B$100)),$B$100+3*SQRT($B$100/P1823),"")</f>
        <v/>
      </c>
      <c r="U1823" s="13">
        <f>IF(AND(ISNUMBER(R1823),ISNUMBER(S1823),ISNUMBER(T1823)),IF(R1823&gt;T1823,"boven UCL",IF(R1823&lt;S1823,"onder LCL","")),"")</f>
        <v/>
      </c>
    </row>
    <row r="1824">
      <c r="A1824" t="n">
        <v>1718</v>
      </c>
      <c r="B1824" s="7" t="n"/>
      <c r="C1824" s="11">
        <f>IF(AND(ISNUMBER(B1824),ISNUMBER(B1823)),ABS(B1824-B1823),"")</f>
        <v/>
      </c>
      <c r="D1824" s="13">
        <f>IF(AND(ISNUMBER(B1824),ISNUMBER($B$88),ISNUMBER($D$88)),IF(B1824&gt;$D$88,"boven UCL",IF(B1824&lt;$B$88,"onder LCL","")),"")</f>
        <v/>
      </c>
      <c r="E1824" s="13">
        <f>IF(AND(ISNUMBER(C1824),ISNUMBER($B$89),ISNUMBER($D$89)),IF(C1824&gt;$D$89,"boven UCL",IF(C1824&lt;$B$89,"onder LCL","")),"")</f>
        <v/>
      </c>
      <c r="G1824" t="n">
        <v>1718</v>
      </c>
      <c r="H1824" s="7" t="n"/>
      <c r="I1824" s="7" t="n"/>
      <c r="J1824" s="11">
        <f>IF(AND(ISNUMBER(H1824),ISNUMBER(I1824),H1824&gt;0,ISNUMBER($B$94)),I1824/H1824,"")</f>
        <v/>
      </c>
      <c r="K1824" s="11">
        <f>IF(AND(ISNUMBER(H1824),ISNUMBER(I1824),H1824&gt;0,ISNUMBER($B$94)),MAX(0,$B$94-3*SQRT($B$94*(1-$B$94)/H1824)),"")</f>
        <v/>
      </c>
      <c r="L1824" s="11">
        <f>IF(AND(ISNUMBER(H1824),ISNUMBER(I1824),H1824&gt;0,ISNUMBER($B$94)),$B$94+3*SQRT($B$94*(1-$B$94)/H1824),"")</f>
        <v/>
      </c>
      <c r="M1824" s="13">
        <f>IF(AND(ISNUMBER(J1824),ISNUMBER(K1824),ISNUMBER(L1824)),IF(J1824&gt;L1824,"boven UCL",IF(J1824&lt;K1824,"onder LCL","")),"")</f>
        <v/>
      </c>
      <c r="O1824" t="n">
        <v>1718</v>
      </c>
      <c r="P1824" s="7" t="n"/>
      <c r="Q1824" s="7" t="n"/>
      <c r="R1824" s="11">
        <f>IF(AND(ISNUMBER(P1824),ISNUMBER(Q1824),P1824&gt;0,ISNUMBER($B$100)),Q1824/P1824,"")</f>
        <v/>
      </c>
      <c r="S1824" s="11">
        <f>IF(AND(ISNUMBER(P1824),ISNUMBER(Q1824),P1824&gt;0,ISNUMBER($B$100)),MAX(0,$B$100-3*SQRT($B$100/P1824)),"")</f>
        <v/>
      </c>
      <c r="T1824" s="11">
        <f>IF(AND(ISNUMBER(P1824),ISNUMBER(Q1824),P1824&gt;0,ISNUMBER($B$100)),$B$100+3*SQRT($B$100/P1824),"")</f>
        <v/>
      </c>
      <c r="U1824" s="13">
        <f>IF(AND(ISNUMBER(R1824),ISNUMBER(S1824),ISNUMBER(T1824)),IF(R1824&gt;T1824,"boven UCL",IF(R1824&lt;S1824,"onder LCL","")),"")</f>
        <v/>
      </c>
    </row>
    <row r="1825">
      <c r="A1825" t="n">
        <v>1719</v>
      </c>
      <c r="B1825" s="7" t="n"/>
      <c r="C1825" s="11">
        <f>IF(AND(ISNUMBER(B1825),ISNUMBER(B1824)),ABS(B1825-B1824),"")</f>
        <v/>
      </c>
      <c r="D1825" s="13">
        <f>IF(AND(ISNUMBER(B1825),ISNUMBER($B$88),ISNUMBER($D$88)),IF(B1825&gt;$D$88,"boven UCL",IF(B1825&lt;$B$88,"onder LCL","")),"")</f>
        <v/>
      </c>
      <c r="E1825" s="13">
        <f>IF(AND(ISNUMBER(C1825),ISNUMBER($B$89),ISNUMBER($D$89)),IF(C1825&gt;$D$89,"boven UCL",IF(C1825&lt;$B$89,"onder LCL","")),"")</f>
        <v/>
      </c>
      <c r="G1825" t="n">
        <v>1719</v>
      </c>
      <c r="H1825" s="7" t="n"/>
      <c r="I1825" s="7" t="n"/>
      <c r="J1825" s="11">
        <f>IF(AND(ISNUMBER(H1825),ISNUMBER(I1825),H1825&gt;0,ISNUMBER($B$94)),I1825/H1825,"")</f>
        <v/>
      </c>
      <c r="K1825" s="11">
        <f>IF(AND(ISNUMBER(H1825),ISNUMBER(I1825),H1825&gt;0,ISNUMBER($B$94)),MAX(0,$B$94-3*SQRT($B$94*(1-$B$94)/H1825)),"")</f>
        <v/>
      </c>
      <c r="L1825" s="11">
        <f>IF(AND(ISNUMBER(H1825),ISNUMBER(I1825),H1825&gt;0,ISNUMBER($B$94)),$B$94+3*SQRT($B$94*(1-$B$94)/H1825),"")</f>
        <v/>
      </c>
      <c r="M1825" s="13">
        <f>IF(AND(ISNUMBER(J1825),ISNUMBER(K1825),ISNUMBER(L1825)),IF(J1825&gt;L1825,"boven UCL",IF(J1825&lt;K1825,"onder LCL","")),"")</f>
        <v/>
      </c>
      <c r="O1825" t="n">
        <v>1719</v>
      </c>
      <c r="P1825" s="7" t="n"/>
      <c r="Q1825" s="7" t="n"/>
      <c r="R1825" s="11">
        <f>IF(AND(ISNUMBER(P1825),ISNUMBER(Q1825),P1825&gt;0,ISNUMBER($B$100)),Q1825/P1825,"")</f>
        <v/>
      </c>
      <c r="S1825" s="11">
        <f>IF(AND(ISNUMBER(P1825),ISNUMBER(Q1825),P1825&gt;0,ISNUMBER($B$100)),MAX(0,$B$100-3*SQRT($B$100/P1825)),"")</f>
        <v/>
      </c>
      <c r="T1825" s="11">
        <f>IF(AND(ISNUMBER(P1825),ISNUMBER(Q1825),P1825&gt;0,ISNUMBER($B$100)),$B$100+3*SQRT($B$100/P1825),"")</f>
        <v/>
      </c>
      <c r="U1825" s="13">
        <f>IF(AND(ISNUMBER(R1825),ISNUMBER(S1825),ISNUMBER(T1825)),IF(R1825&gt;T1825,"boven UCL",IF(R1825&lt;S1825,"onder LCL","")),"")</f>
        <v/>
      </c>
    </row>
    <row r="1826">
      <c r="A1826" t="n">
        <v>1720</v>
      </c>
      <c r="B1826" s="7" t="n"/>
      <c r="C1826" s="11">
        <f>IF(AND(ISNUMBER(B1826),ISNUMBER(B1825)),ABS(B1826-B1825),"")</f>
        <v/>
      </c>
      <c r="D1826" s="13">
        <f>IF(AND(ISNUMBER(B1826),ISNUMBER($B$88),ISNUMBER($D$88)),IF(B1826&gt;$D$88,"boven UCL",IF(B1826&lt;$B$88,"onder LCL","")),"")</f>
        <v/>
      </c>
      <c r="E1826" s="13">
        <f>IF(AND(ISNUMBER(C1826),ISNUMBER($B$89),ISNUMBER($D$89)),IF(C1826&gt;$D$89,"boven UCL",IF(C1826&lt;$B$89,"onder LCL","")),"")</f>
        <v/>
      </c>
      <c r="G1826" t="n">
        <v>1720</v>
      </c>
      <c r="H1826" s="7" t="n"/>
      <c r="I1826" s="7" t="n"/>
      <c r="J1826" s="11">
        <f>IF(AND(ISNUMBER(H1826),ISNUMBER(I1826),H1826&gt;0,ISNUMBER($B$94)),I1826/H1826,"")</f>
        <v/>
      </c>
      <c r="K1826" s="11">
        <f>IF(AND(ISNUMBER(H1826),ISNUMBER(I1826),H1826&gt;0,ISNUMBER($B$94)),MAX(0,$B$94-3*SQRT($B$94*(1-$B$94)/H1826)),"")</f>
        <v/>
      </c>
      <c r="L1826" s="11">
        <f>IF(AND(ISNUMBER(H1826),ISNUMBER(I1826),H1826&gt;0,ISNUMBER($B$94)),$B$94+3*SQRT($B$94*(1-$B$94)/H1826),"")</f>
        <v/>
      </c>
      <c r="M1826" s="13">
        <f>IF(AND(ISNUMBER(J1826),ISNUMBER(K1826),ISNUMBER(L1826)),IF(J1826&gt;L1826,"boven UCL",IF(J1826&lt;K1826,"onder LCL","")),"")</f>
        <v/>
      </c>
      <c r="O1826" t="n">
        <v>1720</v>
      </c>
      <c r="P1826" s="7" t="n"/>
      <c r="Q1826" s="7" t="n"/>
      <c r="R1826" s="11">
        <f>IF(AND(ISNUMBER(P1826),ISNUMBER(Q1826),P1826&gt;0,ISNUMBER($B$100)),Q1826/P1826,"")</f>
        <v/>
      </c>
      <c r="S1826" s="11">
        <f>IF(AND(ISNUMBER(P1826),ISNUMBER(Q1826),P1826&gt;0,ISNUMBER($B$100)),MAX(0,$B$100-3*SQRT($B$100/P1826)),"")</f>
        <v/>
      </c>
      <c r="T1826" s="11">
        <f>IF(AND(ISNUMBER(P1826),ISNUMBER(Q1826),P1826&gt;0,ISNUMBER($B$100)),$B$100+3*SQRT($B$100/P1826),"")</f>
        <v/>
      </c>
      <c r="U1826" s="13">
        <f>IF(AND(ISNUMBER(R1826),ISNUMBER(S1826),ISNUMBER(T1826)),IF(R1826&gt;T1826,"boven UCL",IF(R1826&lt;S1826,"onder LCL","")),"")</f>
        <v/>
      </c>
    </row>
    <row r="1827">
      <c r="A1827" t="n">
        <v>1721</v>
      </c>
      <c r="B1827" s="7" t="n"/>
      <c r="C1827" s="11">
        <f>IF(AND(ISNUMBER(B1827),ISNUMBER(B1826)),ABS(B1827-B1826),"")</f>
        <v/>
      </c>
      <c r="D1827" s="13">
        <f>IF(AND(ISNUMBER(B1827),ISNUMBER($B$88),ISNUMBER($D$88)),IF(B1827&gt;$D$88,"boven UCL",IF(B1827&lt;$B$88,"onder LCL","")),"")</f>
        <v/>
      </c>
      <c r="E1827" s="13">
        <f>IF(AND(ISNUMBER(C1827),ISNUMBER($B$89),ISNUMBER($D$89)),IF(C1827&gt;$D$89,"boven UCL",IF(C1827&lt;$B$89,"onder LCL","")),"")</f>
        <v/>
      </c>
      <c r="G1827" t="n">
        <v>1721</v>
      </c>
      <c r="H1827" s="7" t="n"/>
      <c r="I1827" s="7" t="n"/>
      <c r="J1827" s="11">
        <f>IF(AND(ISNUMBER(H1827),ISNUMBER(I1827),H1827&gt;0,ISNUMBER($B$94)),I1827/H1827,"")</f>
        <v/>
      </c>
      <c r="K1827" s="11">
        <f>IF(AND(ISNUMBER(H1827),ISNUMBER(I1827),H1827&gt;0,ISNUMBER($B$94)),MAX(0,$B$94-3*SQRT($B$94*(1-$B$94)/H1827)),"")</f>
        <v/>
      </c>
      <c r="L1827" s="11">
        <f>IF(AND(ISNUMBER(H1827),ISNUMBER(I1827),H1827&gt;0,ISNUMBER($B$94)),$B$94+3*SQRT($B$94*(1-$B$94)/H1827),"")</f>
        <v/>
      </c>
      <c r="M1827" s="13">
        <f>IF(AND(ISNUMBER(J1827),ISNUMBER(K1827),ISNUMBER(L1827)),IF(J1827&gt;L1827,"boven UCL",IF(J1827&lt;K1827,"onder LCL","")),"")</f>
        <v/>
      </c>
      <c r="O1827" t="n">
        <v>1721</v>
      </c>
      <c r="P1827" s="7" t="n"/>
      <c r="Q1827" s="7" t="n"/>
      <c r="R1827" s="11">
        <f>IF(AND(ISNUMBER(P1827),ISNUMBER(Q1827),P1827&gt;0,ISNUMBER($B$100)),Q1827/P1827,"")</f>
        <v/>
      </c>
      <c r="S1827" s="11">
        <f>IF(AND(ISNUMBER(P1827),ISNUMBER(Q1827),P1827&gt;0,ISNUMBER($B$100)),MAX(0,$B$100-3*SQRT($B$100/P1827)),"")</f>
        <v/>
      </c>
      <c r="T1827" s="11">
        <f>IF(AND(ISNUMBER(P1827),ISNUMBER(Q1827),P1827&gt;0,ISNUMBER($B$100)),$B$100+3*SQRT($B$100/P1827),"")</f>
        <v/>
      </c>
      <c r="U1827" s="13">
        <f>IF(AND(ISNUMBER(R1827),ISNUMBER(S1827),ISNUMBER(T1827)),IF(R1827&gt;T1827,"boven UCL",IF(R1827&lt;S1827,"onder LCL","")),"")</f>
        <v/>
      </c>
    </row>
    <row r="1828">
      <c r="A1828" t="n">
        <v>1722</v>
      </c>
      <c r="B1828" s="7" t="n"/>
      <c r="C1828" s="11">
        <f>IF(AND(ISNUMBER(B1828),ISNUMBER(B1827)),ABS(B1828-B1827),"")</f>
        <v/>
      </c>
      <c r="D1828" s="13">
        <f>IF(AND(ISNUMBER(B1828),ISNUMBER($B$88),ISNUMBER($D$88)),IF(B1828&gt;$D$88,"boven UCL",IF(B1828&lt;$B$88,"onder LCL","")),"")</f>
        <v/>
      </c>
      <c r="E1828" s="13">
        <f>IF(AND(ISNUMBER(C1828),ISNUMBER($B$89),ISNUMBER($D$89)),IF(C1828&gt;$D$89,"boven UCL",IF(C1828&lt;$B$89,"onder LCL","")),"")</f>
        <v/>
      </c>
      <c r="G1828" t="n">
        <v>1722</v>
      </c>
      <c r="H1828" s="7" t="n"/>
      <c r="I1828" s="7" t="n"/>
      <c r="J1828" s="11">
        <f>IF(AND(ISNUMBER(H1828),ISNUMBER(I1828),H1828&gt;0,ISNUMBER($B$94)),I1828/H1828,"")</f>
        <v/>
      </c>
      <c r="K1828" s="11">
        <f>IF(AND(ISNUMBER(H1828),ISNUMBER(I1828),H1828&gt;0,ISNUMBER($B$94)),MAX(0,$B$94-3*SQRT($B$94*(1-$B$94)/H1828)),"")</f>
        <v/>
      </c>
      <c r="L1828" s="11">
        <f>IF(AND(ISNUMBER(H1828),ISNUMBER(I1828),H1828&gt;0,ISNUMBER($B$94)),$B$94+3*SQRT($B$94*(1-$B$94)/H1828),"")</f>
        <v/>
      </c>
      <c r="M1828" s="13">
        <f>IF(AND(ISNUMBER(J1828),ISNUMBER(K1828),ISNUMBER(L1828)),IF(J1828&gt;L1828,"boven UCL",IF(J1828&lt;K1828,"onder LCL","")),"")</f>
        <v/>
      </c>
      <c r="O1828" t="n">
        <v>1722</v>
      </c>
      <c r="P1828" s="7" t="n"/>
      <c r="Q1828" s="7" t="n"/>
      <c r="R1828" s="11">
        <f>IF(AND(ISNUMBER(P1828),ISNUMBER(Q1828),P1828&gt;0,ISNUMBER($B$100)),Q1828/P1828,"")</f>
        <v/>
      </c>
      <c r="S1828" s="11">
        <f>IF(AND(ISNUMBER(P1828),ISNUMBER(Q1828),P1828&gt;0,ISNUMBER($B$100)),MAX(0,$B$100-3*SQRT($B$100/P1828)),"")</f>
        <v/>
      </c>
      <c r="T1828" s="11">
        <f>IF(AND(ISNUMBER(P1828),ISNUMBER(Q1828),P1828&gt;0,ISNUMBER($B$100)),$B$100+3*SQRT($B$100/P1828),"")</f>
        <v/>
      </c>
      <c r="U1828" s="13">
        <f>IF(AND(ISNUMBER(R1828),ISNUMBER(S1828),ISNUMBER(T1828)),IF(R1828&gt;T1828,"boven UCL",IF(R1828&lt;S1828,"onder LCL","")),"")</f>
        <v/>
      </c>
    </row>
    <row r="1829">
      <c r="A1829" t="n">
        <v>1723</v>
      </c>
      <c r="B1829" s="7" t="n"/>
      <c r="C1829" s="11">
        <f>IF(AND(ISNUMBER(B1829),ISNUMBER(B1828)),ABS(B1829-B1828),"")</f>
        <v/>
      </c>
      <c r="D1829" s="13">
        <f>IF(AND(ISNUMBER(B1829),ISNUMBER($B$88),ISNUMBER($D$88)),IF(B1829&gt;$D$88,"boven UCL",IF(B1829&lt;$B$88,"onder LCL","")),"")</f>
        <v/>
      </c>
      <c r="E1829" s="13">
        <f>IF(AND(ISNUMBER(C1829),ISNUMBER($B$89),ISNUMBER($D$89)),IF(C1829&gt;$D$89,"boven UCL",IF(C1829&lt;$B$89,"onder LCL","")),"")</f>
        <v/>
      </c>
      <c r="G1829" t="n">
        <v>1723</v>
      </c>
      <c r="H1829" s="7" t="n"/>
      <c r="I1829" s="7" t="n"/>
      <c r="J1829" s="11">
        <f>IF(AND(ISNUMBER(H1829),ISNUMBER(I1829),H1829&gt;0,ISNUMBER($B$94)),I1829/H1829,"")</f>
        <v/>
      </c>
      <c r="K1829" s="11">
        <f>IF(AND(ISNUMBER(H1829),ISNUMBER(I1829),H1829&gt;0,ISNUMBER($B$94)),MAX(0,$B$94-3*SQRT($B$94*(1-$B$94)/H1829)),"")</f>
        <v/>
      </c>
      <c r="L1829" s="11">
        <f>IF(AND(ISNUMBER(H1829),ISNUMBER(I1829),H1829&gt;0,ISNUMBER($B$94)),$B$94+3*SQRT($B$94*(1-$B$94)/H1829),"")</f>
        <v/>
      </c>
      <c r="M1829" s="13">
        <f>IF(AND(ISNUMBER(J1829),ISNUMBER(K1829),ISNUMBER(L1829)),IF(J1829&gt;L1829,"boven UCL",IF(J1829&lt;K1829,"onder LCL","")),"")</f>
        <v/>
      </c>
      <c r="O1829" t="n">
        <v>1723</v>
      </c>
      <c r="P1829" s="7" t="n"/>
      <c r="Q1829" s="7" t="n"/>
      <c r="R1829" s="11">
        <f>IF(AND(ISNUMBER(P1829),ISNUMBER(Q1829),P1829&gt;0,ISNUMBER($B$100)),Q1829/P1829,"")</f>
        <v/>
      </c>
      <c r="S1829" s="11">
        <f>IF(AND(ISNUMBER(P1829),ISNUMBER(Q1829),P1829&gt;0,ISNUMBER($B$100)),MAX(0,$B$100-3*SQRT($B$100/P1829)),"")</f>
        <v/>
      </c>
      <c r="T1829" s="11">
        <f>IF(AND(ISNUMBER(P1829),ISNUMBER(Q1829),P1829&gt;0,ISNUMBER($B$100)),$B$100+3*SQRT($B$100/P1829),"")</f>
        <v/>
      </c>
      <c r="U1829" s="13">
        <f>IF(AND(ISNUMBER(R1829),ISNUMBER(S1829),ISNUMBER(T1829)),IF(R1829&gt;T1829,"boven UCL",IF(R1829&lt;S1829,"onder LCL","")),"")</f>
        <v/>
      </c>
    </row>
    <row r="1830">
      <c r="A1830" t="n">
        <v>1724</v>
      </c>
      <c r="B1830" s="7" t="n"/>
      <c r="C1830" s="11">
        <f>IF(AND(ISNUMBER(B1830),ISNUMBER(B1829)),ABS(B1830-B1829),"")</f>
        <v/>
      </c>
      <c r="D1830" s="13">
        <f>IF(AND(ISNUMBER(B1830),ISNUMBER($B$88),ISNUMBER($D$88)),IF(B1830&gt;$D$88,"boven UCL",IF(B1830&lt;$B$88,"onder LCL","")),"")</f>
        <v/>
      </c>
      <c r="E1830" s="13">
        <f>IF(AND(ISNUMBER(C1830),ISNUMBER($B$89),ISNUMBER($D$89)),IF(C1830&gt;$D$89,"boven UCL",IF(C1830&lt;$B$89,"onder LCL","")),"")</f>
        <v/>
      </c>
      <c r="G1830" t="n">
        <v>1724</v>
      </c>
      <c r="H1830" s="7" t="n"/>
      <c r="I1830" s="7" t="n"/>
      <c r="J1830" s="11">
        <f>IF(AND(ISNUMBER(H1830),ISNUMBER(I1830),H1830&gt;0,ISNUMBER($B$94)),I1830/H1830,"")</f>
        <v/>
      </c>
      <c r="K1830" s="11">
        <f>IF(AND(ISNUMBER(H1830),ISNUMBER(I1830),H1830&gt;0,ISNUMBER($B$94)),MAX(0,$B$94-3*SQRT($B$94*(1-$B$94)/H1830)),"")</f>
        <v/>
      </c>
      <c r="L1830" s="11">
        <f>IF(AND(ISNUMBER(H1830),ISNUMBER(I1830),H1830&gt;0,ISNUMBER($B$94)),$B$94+3*SQRT($B$94*(1-$B$94)/H1830),"")</f>
        <v/>
      </c>
      <c r="M1830" s="13">
        <f>IF(AND(ISNUMBER(J1830),ISNUMBER(K1830),ISNUMBER(L1830)),IF(J1830&gt;L1830,"boven UCL",IF(J1830&lt;K1830,"onder LCL","")),"")</f>
        <v/>
      </c>
      <c r="O1830" t="n">
        <v>1724</v>
      </c>
      <c r="P1830" s="7" t="n"/>
      <c r="Q1830" s="7" t="n"/>
      <c r="R1830" s="11">
        <f>IF(AND(ISNUMBER(P1830),ISNUMBER(Q1830),P1830&gt;0,ISNUMBER($B$100)),Q1830/P1830,"")</f>
        <v/>
      </c>
      <c r="S1830" s="11">
        <f>IF(AND(ISNUMBER(P1830),ISNUMBER(Q1830),P1830&gt;0,ISNUMBER($B$100)),MAX(0,$B$100-3*SQRT($B$100/P1830)),"")</f>
        <v/>
      </c>
      <c r="T1830" s="11">
        <f>IF(AND(ISNUMBER(P1830),ISNUMBER(Q1830),P1830&gt;0,ISNUMBER($B$100)),$B$100+3*SQRT($B$100/P1830),"")</f>
        <v/>
      </c>
      <c r="U1830" s="13">
        <f>IF(AND(ISNUMBER(R1830),ISNUMBER(S1830),ISNUMBER(T1830)),IF(R1830&gt;T1830,"boven UCL",IF(R1830&lt;S1830,"onder LCL","")),"")</f>
        <v/>
      </c>
    </row>
    <row r="1831">
      <c r="A1831" t="n">
        <v>1725</v>
      </c>
      <c r="B1831" s="7" t="n"/>
      <c r="C1831" s="11">
        <f>IF(AND(ISNUMBER(B1831),ISNUMBER(B1830)),ABS(B1831-B1830),"")</f>
        <v/>
      </c>
      <c r="D1831" s="13">
        <f>IF(AND(ISNUMBER(B1831),ISNUMBER($B$88),ISNUMBER($D$88)),IF(B1831&gt;$D$88,"boven UCL",IF(B1831&lt;$B$88,"onder LCL","")),"")</f>
        <v/>
      </c>
      <c r="E1831" s="13">
        <f>IF(AND(ISNUMBER(C1831),ISNUMBER($B$89),ISNUMBER($D$89)),IF(C1831&gt;$D$89,"boven UCL",IF(C1831&lt;$B$89,"onder LCL","")),"")</f>
        <v/>
      </c>
      <c r="G1831" t="n">
        <v>1725</v>
      </c>
      <c r="H1831" s="7" t="n"/>
      <c r="I1831" s="7" t="n"/>
      <c r="J1831" s="11">
        <f>IF(AND(ISNUMBER(H1831),ISNUMBER(I1831),H1831&gt;0,ISNUMBER($B$94)),I1831/H1831,"")</f>
        <v/>
      </c>
      <c r="K1831" s="11">
        <f>IF(AND(ISNUMBER(H1831),ISNUMBER(I1831),H1831&gt;0,ISNUMBER($B$94)),MAX(0,$B$94-3*SQRT($B$94*(1-$B$94)/H1831)),"")</f>
        <v/>
      </c>
      <c r="L1831" s="11">
        <f>IF(AND(ISNUMBER(H1831),ISNUMBER(I1831),H1831&gt;0,ISNUMBER($B$94)),$B$94+3*SQRT($B$94*(1-$B$94)/H1831),"")</f>
        <v/>
      </c>
      <c r="M1831" s="13">
        <f>IF(AND(ISNUMBER(J1831),ISNUMBER(K1831),ISNUMBER(L1831)),IF(J1831&gt;L1831,"boven UCL",IF(J1831&lt;K1831,"onder LCL","")),"")</f>
        <v/>
      </c>
      <c r="O1831" t="n">
        <v>1725</v>
      </c>
      <c r="P1831" s="7" t="n"/>
      <c r="Q1831" s="7" t="n"/>
      <c r="R1831" s="11">
        <f>IF(AND(ISNUMBER(P1831),ISNUMBER(Q1831),P1831&gt;0,ISNUMBER($B$100)),Q1831/P1831,"")</f>
        <v/>
      </c>
      <c r="S1831" s="11">
        <f>IF(AND(ISNUMBER(P1831),ISNUMBER(Q1831),P1831&gt;0,ISNUMBER($B$100)),MAX(0,$B$100-3*SQRT($B$100/P1831)),"")</f>
        <v/>
      </c>
      <c r="T1831" s="11">
        <f>IF(AND(ISNUMBER(P1831),ISNUMBER(Q1831),P1831&gt;0,ISNUMBER($B$100)),$B$100+3*SQRT($B$100/P1831),"")</f>
        <v/>
      </c>
      <c r="U1831" s="13">
        <f>IF(AND(ISNUMBER(R1831),ISNUMBER(S1831),ISNUMBER(T1831)),IF(R1831&gt;T1831,"boven UCL",IF(R1831&lt;S1831,"onder LCL","")),"")</f>
        <v/>
      </c>
    </row>
    <row r="1832">
      <c r="A1832" t="n">
        <v>1726</v>
      </c>
      <c r="B1832" s="7" t="n"/>
      <c r="C1832" s="11">
        <f>IF(AND(ISNUMBER(B1832),ISNUMBER(B1831)),ABS(B1832-B1831),"")</f>
        <v/>
      </c>
      <c r="D1832" s="13">
        <f>IF(AND(ISNUMBER(B1832),ISNUMBER($B$88),ISNUMBER($D$88)),IF(B1832&gt;$D$88,"boven UCL",IF(B1832&lt;$B$88,"onder LCL","")),"")</f>
        <v/>
      </c>
      <c r="E1832" s="13">
        <f>IF(AND(ISNUMBER(C1832),ISNUMBER($B$89),ISNUMBER($D$89)),IF(C1832&gt;$D$89,"boven UCL",IF(C1832&lt;$B$89,"onder LCL","")),"")</f>
        <v/>
      </c>
      <c r="G1832" t="n">
        <v>1726</v>
      </c>
      <c r="H1832" s="7" t="n"/>
      <c r="I1832" s="7" t="n"/>
      <c r="J1832" s="11">
        <f>IF(AND(ISNUMBER(H1832),ISNUMBER(I1832),H1832&gt;0,ISNUMBER($B$94)),I1832/H1832,"")</f>
        <v/>
      </c>
      <c r="K1832" s="11">
        <f>IF(AND(ISNUMBER(H1832),ISNUMBER(I1832),H1832&gt;0,ISNUMBER($B$94)),MAX(0,$B$94-3*SQRT($B$94*(1-$B$94)/H1832)),"")</f>
        <v/>
      </c>
      <c r="L1832" s="11">
        <f>IF(AND(ISNUMBER(H1832),ISNUMBER(I1832),H1832&gt;0,ISNUMBER($B$94)),$B$94+3*SQRT($B$94*(1-$B$94)/H1832),"")</f>
        <v/>
      </c>
      <c r="M1832" s="13">
        <f>IF(AND(ISNUMBER(J1832),ISNUMBER(K1832),ISNUMBER(L1832)),IF(J1832&gt;L1832,"boven UCL",IF(J1832&lt;K1832,"onder LCL","")),"")</f>
        <v/>
      </c>
      <c r="O1832" t="n">
        <v>1726</v>
      </c>
      <c r="P1832" s="7" t="n"/>
      <c r="Q1832" s="7" t="n"/>
      <c r="R1832" s="11">
        <f>IF(AND(ISNUMBER(P1832),ISNUMBER(Q1832),P1832&gt;0,ISNUMBER($B$100)),Q1832/P1832,"")</f>
        <v/>
      </c>
      <c r="S1832" s="11">
        <f>IF(AND(ISNUMBER(P1832),ISNUMBER(Q1832),P1832&gt;0,ISNUMBER($B$100)),MAX(0,$B$100-3*SQRT($B$100/P1832)),"")</f>
        <v/>
      </c>
      <c r="T1832" s="11">
        <f>IF(AND(ISNUMBER(P1832),ISNUMBER(Q1832),P1832&gt;0,ISNUMBER($B$100)),$B$100+3*SQRT($B$100/P1832),"")</f>
        <v/>
      </c>
      <c r="U1832" s="13">
        <f>IF(AND(ISNUMBER(R1832),ISNUMBER(S1832),ISNUMBER(T1832)),IF(R1832&gt;T1832,"boven UCL",IF(R1832&lt;S1832,"onder LCL","")),"")</f>
        <v/>
      </c>
    </row>
    <row r="1833">
      <c r="A1833" t="n">
        <v>1727</v>
      </c>
      <c r="B1833" s="7" t="n"/>
      <c r="C1833" s="11">
        <f>IF(AND(ISNUMBER(B1833),ISNUMBER(B1832)),ABS(B1833-B1832),"")</f>
        <v/>
      </c>
      <c r="D1833" s="13">
        <f>IF(AND(ISNUMBER(B1833),ISNUMBER($B$88),ISNUMBER($D$88)),IF(B1833&gt;$D$88,"boven UCL",IF(B1833&lt;$B$88,"onder LCL","")),"")</f>
        <v/>
      </c>
      <c r="E1833" s="13">
        <f>IF(AND(ISNUMBER(C1833),ISNUMBER($B$89),ISNUMBER($D$89)),IF(C1833&gt;$D$89,"boven UCL",IF(C1833&lt;$B$89,"onder LCL","")),"")</f>
        <v/>
      </c>
      <c r="G1833" t="n">
        <v>1727</v>
      </c>
      <c r="H1833" s="7" t="n"/>
      <c r="I1833" s="7" t="n"/>
      <c r="J1833" s="11">
        <f>IF(AND(ISNUMBER(H1833),ISNUMBER(I1833),H1833&gt;0,ISNUMBER($B$94)),I1833/H1833,"")</f>
        <v/>
      </c>
      <c r="K1833" s="11">
        <f>IF(AND(ISNUMBER(H1833),ISNUMBER(I1833),H1833&gt;0,ISNUMBER($B$94)),MAX(0,$B$94-3*SQRT($B$94*(1-$B$94)/H1833)),"")</f>
        <v/>
      </c>
      <c r="L1833" s="11">
        <f>IF(AND(ISNUMBER(H1833),ISNUMBER(I1833),H1833&gt;0,ISNUMBER($B$94)),$B$94+3*SQRT($B$94*(1-$B$94)/H1833),"")</f>
        <v/>
      </c>
      <c r="M1833" s="13">
        <f>IF(AND(ISNUMBER(J1833),ISNUMBER(K1833),ISNUMBER(L1833)),IF(J1833&gt;L1833,"boven UCL",IF(J1833&lt;K1833,"onder LCL","")),"")</f>
        <v/>
      </c>
      <c r="O1833" t="n">
        <v>1727</v>
      </c>
      <c r="P1833" s="7" t="n"/>
      <c r="Q1833" s="7" t="n"/>
      <c r="R1833" s="11">
        <f>IF(AND(ISNUMBER(P1833),ISNUMBER(Q1833),P1833&gt;0,ISNUMBER($B$100)),Q1833/P1833,"")</f>
        <v/>
      </c>
      <c r="S1833" s="11">
        <f>IF(AND(ISNUMBER(P1833),ISNUMBER(Q1833),P1833&gt;0,ISNUMBER($B$100)),MAX(0,$B$100-3*SQRT($B$100/P1833)),"")</f>
        <v/>
      </c>
      <c r="T1833" s="11">
        <f>IF(AND(ISNUMBER(P1833),ISNUMBER(Q1833),P1833&gt;0,ISNUMBER($B$100)),$B$100+3*SQRT($B$100/P1833),"")</f>
        <v/>
      </c>
      <c r="U1833" s="13">
        <f>IF(AND(ISNUMBER(R1833),ISNUMBER(S1833),ISNUMBER(T1833)),IF(R1833&gt;T1833,"boven UCL",IF(R1833&lt;S1833,"onder LCL","")),"")</f>
        <v/>
      </c>
    </row>
    <row r="1834">
      <c r="A1834" t="n">
        <v>1728</v>
      </c>
      <c r="B1834" s="7" t="n"/>
      <c r="C1834" s="11">
        <f>IF(AND(ISNUMBER(B1834),ISNUMBER(B1833)),ABS(B1834-B1833),"")</f>
        <v/>
      </c>
      <c r="D1834" s="13">
        <f>IF(AND(ISNUMBER(B1834),ISNUMBER($B$88),ISNUMBER($D$88)),IF(B1834&gt;$D$88,"boven UCL",IF(B1834&lt;$B$88,"onder LCL","")),"")</f>
        <v/>
      </c>
      <c r="E1834" s="13">
        <f>IF(AND(ISNUMBER(C1834),ISNUMBER($B$89),ISNUMBER($D$89)),IF(C1834&gt;$D$89,"boven UCL",IF(C1834&lt;$B$89,"onder LCL","")),"")</f>
        <v/>
      </c>
      <c r="G1834" t="n">
        <v>1728</v>
      </c>
      <c r="H1834" s="7" t="n"/>
      <c r="I1834" s="7" t="n"/>
      <c r="J1834" s="11">
        <f>IF(AND(ISNUMBER(H1834),ISNUMBER(I1834),H1834&gt;0,ISNUMBER($B$94)),I1834/H1834,"")</f>
        <v/>
      </c>
      <c r="K1834" s="11">
        <f>IF(AND(ISNUMBER(H1834),ISNUMBER(I1834),H1834&gt;0,ISNUMBER($B$94)),MAX(0,$B$94-3*SQRT($B$94*(1-$B$94)/H1834)),"")</f>
        <v/>
      </c>
      <c r="L1834" s="11">
        <f>IF(AND(ISNUMBER(H1834),ISNUMBER(I1834),H1834&gt;0,ISNUMBER($B$94)),$B$94+3*SQRT($B$94*(1-$B$94)/H1834),"")</f>
        <v/>
      </c>
      <c r="M1834" s="13">
        <f>IF(AND(ISNUMBER(J1834),ISNUMBER(K1834),ISNUMBER(L1834)),IF(J1834&gt;L1834,"boven UCL",IF(J1834&lt;K1834,"onder LCL","")),"")</f>
        <v/>
      </c>
      <c r="O1834" t="n">
        <v>1728</v>
      </c>
      <c r="P1834" s="7" t="n"/>
      <c r="Q1834" s="7" t="n"/>
      <c r="R1834" s="11">
        <f>IF(AND(ISNUMBER(P1834),ISNUMBER(Q1834),P1834&gt;0,ISNUMBER($B$100)),Q1834/P1834,"")</f>
        <v/>
      </c>
      <c r="S1834" s="11">
        <f>IF(AND(ISNUMBER(P1834),ISNUMBER(Q1834),P1834&gt;0,ISNUMBER($B$100)),MAX(0,$B$100-3*SQRT($B$100/P1834)),"")</f>
        <v/>
      </c>
      <c r="T1834" s="11">
        <f>IF(AND(ISNUMBER(P1834),ISNUMBER(Q1834),P1834&gt;0,ISNUMBER($B$100)),$B$100+3*SQRT($B$100/P1834),"")</f>
        <v/>
      </c>
      <c r="U1834" s="13">
        <f>IF(AND(ISNUMBER(R1834),ISNUMBER(S1834),ISNUMBER(T1834)),IF(R1834&gt;T1834,"boven UCL",IF(R1834&lt;S1834,"onder LCL","")),"")</f>
        <v/>
      </c>
    </row>
    <row r="1835">
      <c r="A1835" t="n">
        <v>1729</v>
      </c>
      <c r="B1835" s="7" t="n"/>
      <c r="C1835" s="11">
        <f>IF(AND(ISNUMBER(B1835),ISNUMBER(B1834)),ABS(B1835-B1834),"")</f>
        <v/>
      </c>
      <c r="D1835" s="13">
        <f>IF(AND(ISNUMBER(B1835),ISNUMBER($B$88),ISNUMBER($D$88)),IF(B1835&gt;$D$88,"boven UCL",IF(B1835&lt;$B$88,"onder LCL","")),"")</f>
        <v/>
      </c>
      <c r="E1835" s="13">
        <f>IF(AND(ISNUMBER(C1835),ISNUMBER($B$89),ISNUMBER($D$89)),IF(C1835&gt;$D$89,"boven UCL",IF(C1835&lt;$B$89,"onder LCL","")),"")</f>
        <v/>
      </c>
      <c r="G1835" t="n">
        <v>1729</v>
      </c>
      <c r="H1835" s="7" t="n"/>
      <c r="I1835" s="7" t="n"/>
      <c r="J1835" s="11">
        <f>IF(AND(ISNUMBER(H1835),ISNUMBER(I1835),H1835&gt;0,ISNUMBER($B$94)),I1835/H1835,"")</f>
        <v/>
      </c>
      <c r="K1835" s="11">
        <f>IF(AND(ISNUMBER(H1835),ISNUMBER(I1835),H1835&gt;0,ISNUMBER($B$94)),MAX(0,$B$94-3*SQRT($B$94*(1-$B$94)/H1835)),"")</f>
        <v/>
      </c>
      <c r="L1835" s="11">
        <f>IF(AND(ISNUMBER(H1835),ISNUMBER(I1835),H1835&gt;0,ISNUMBER($B$94)),$B$94+3*SQRT($B$94*(1-$B$94)/H1835),"")</f>
        <v/>
      </c>
      <c r="M1835" s="13">
        <f>IF(AND(ISNUMBER(J1835),ISNUMBER(K1835),ISNUMBER(L1835)),IF(J1835&gt;L1835,"boven UCL",IF(J1835&lt;K1835,"onder LCL","")),"")</f>
        <v/>
      </c>
      <c r="O1835" t="n">
        <v>1729</v>
      </c>
      <c r="P1835" s="7" t="n"/>
      <c r="Q1835" s="7" t="n"/>
      <c r="R1835" s="11">
        <f>IF(AND(ISNUMBER(P1835),ISNUMBER(Q1835),P1835&gt;0,ISNUMBER($B$100)),Q1835/P1835,"")</f>
        <v/>
      </c>
      <c r="S1835" s="11">
        <f>IF(AND(ISNUMBER(P1835),ISNUMBER(Q1835),P1835&gt;0,ISNUMBER($B$100)),MAX(0,$B$100-3*SQRT($B$100/P1835)),"")</f>
        <v/>
      </c>
      <c r="T1835" s="11">
        <f>IF(AND(ISNUMBER(P1835),ISNUMBER(Q1835),P1835&gt;0,ISNUMBER($B$100)),$B$100+3*SQRT($B$100/P1835),"")</f>
        <v/>
      </c>
      <c r="U1835" s="13">
        <f>IF(AND(ISNUMBER(R1835),ISNUMBER(S1835),ISNUMBER(T1835)),IF(R1835&gt;T1835,"boven UCL",IF(R1835&lt;S1835,"onder LCL","")),"")</f>
        <v/>
      </c>
    </row>
    <row r="1836">
      <c r="A1836" t="n">
        <v>1730</v>
      </c>
      <c r="B1836" s="7" t="n"/>
      <c r="C1836" s="11">
        <f>IF(AND(ISNUMBER(B1836),ISNUMBER(B1835)),ABS(B1836-B1835),"")</f>
        <v/>
      </c>
      <c r="D1836" s="13">
        <f>IF(AND(ISNUMBER(B1836),ISNUMBER($B$88),ISNUMBER($D$88)),IF(B1836&gt;$D$88,"boven UCL",IF(B1836&lt;$B$88,"onder LCL","")),"")</f>
        <v/>
      </c>
      <c r="E1836" s="13">
        <f>IF(AND(ISNUMBER(C1836),ISNUMBER($B$89),ISNUMBER($D$89)),IF(C1836&gt;$D$89,"boven UCL",IF(C1836&lt;$B$89,"onder LCL","")),"")</f>
        <v/>
      </c>
      <c r="G1836" t="n">
        <v>1730</v>
      </c>
      <c r="H1836" s="7" t="n"/>
      <c r="I1836" s="7" t="n"/>
      <c r="J1836" s="11">
        <f>IF(AND(ISNUMBER(H1836),ISNUMBER(I1836),H1836&gt;0,ISNUMBER($B$94)),I1836/H1836,"")</f>
        <v/>
      </c>
      <c r="K1836" s="11">
        <f>IF(AND(ISNUMBER(H1836),ISNUMBER(I1836),H1836&gt;0,ISNUMBER($B$94)),MAX(0,$B$94-3*SQRT($B$94*(1-$B$94)/H1836)),"")</f>
        <v/>
      </c>
      <c r="L1836" s="11">
        <f>IF(AND(ISNUMBER(H1836),ISNUMBER(I1836),H1836&gt;0,ISNUMBER($B$94)),$B$94+3*SQRT($B$94*(1-$B$94)/H1836),"")</f>
        <v/>
      </c>
      <c r="M1836" s="13">
        <f>IF(AND(ISNUMBER(J1836),ISNUMBER(K1836),ISNUMBER(L1836)),IF(J1836&gt;L1836,"boven UCL",IF(J1836&lt;K1836,"onder LCL","")),"")</f>
        <v/>
      </c>
      <c r="O1836" t="n">
        <v>1730</v>
      </c>
      <c r="P1836" s="7" t="n"/>
      <c r="Q1836" s="7" t="n"/>
      <c r="R1836" s="11">
        <f>IF(AND(ISNUMBER(P1836),ISNUMBER(Q1836),P1836&gt;0,ISNUMBER($B$100)),Q1836/P1836,"")</f>
        <v/>
      </c>
      <c r="S1836" s="11">
        <f>IF(AND(ISNUMBER(P1836),ISNUMBER(Q1836),P1836&gt;0,ISNUMBER($B$100)),MAX(0,$B$100-3*SQRT($B$100/P1836)),"")</f>
        <v/>
      </c>
      <c r="T1836" s="11">
        <f>IF(AND(ISNUMBER(P1836),ISNUMBER(Q1836),P1836&gt;0,ISNUMBER($B$100)),$B$100+3*SQRT($B$100/P1836),"")</f>
        <v/>
      </c>
      <c r="U1836" s="13">
        <f>IF(AND(ISNUMBER(R1836),ISNUMBER(S1836),ISNUMBER(T1836)),IF(R1836&gt;T1836,"boven UCL",IF(R1836&lt;S1836,"onder LCL","")),"")</f>
        <v/>
      </c>
    </row>
    <row r="1837">
      <c r="A1837" t="n">
        <v>1731</v>
      </c>
      <c r="B1837" s="7" t="n"/>
      <c r="C1837" s="11">
        <f>IF(AND(ISNUMBER(B1837),ISNUMBER(B1836)),ABS(B1837-B1836),"")</f>
        <v/>
      </c>
      <c r="D1837" s="13">
        <f>IF(AND(ISNUMBER(B1837),ISNUMBER($B$88),ISNUMBER($D$88)),IF(B1837&gt;$D$88,"boven UCL",IF(B1837&lt;$B$88,"onder LCL","")),"")</f>
        <v/>
      </c>
      <c r="E1837" s="13">
        <f>IF(AND(ISNUMBER(C1837),ISNUMBER($B$89),ISNUMBER($D$89)),IF(C1837&gt;$D$89,"boven UCL",IF(C1837&lt;$B$89,"onder LCL","")),"")</f>
        <v/>
      </c>
      <c r="G1837" t="n">
        <v>1731</v>
      </c>
      <c r="H1837" s="7" t="n"/>
      <c r="I1837" s="7" t="n"/>
      <c r="J1837" s="11">
        <f>IF(AND(ISNUMBER(H1837),ISNUMBER(I1837),H1837&gt;0,ISNUMBER($B$94)),I1837/H1837,"")</f>
        <v/>
      </c>
      <c r="K1837" s="11">
        <f>IF(AND(ISNUMBER(H1837),ISNUMBER(I1837),H1837&gt;0,ISNUMBER($B$94)),MAX(0,$B$94-3*SQRT($B$94*(1-$B$94)/H1837)),"")</f>
        <v/>
      </c>
      <c r="L1837" s="11">
        <f>IF(AND(ISNUMBER(H1837),ISNUMBER(I1837),H1837&gt;0,ISNUMBER($B$94)),$B$94+3*SQRT($B$94*(1-$B$94)/H1837),"")</f>
        <v/>
      </c>
      <c r="M1837" s="13">
        <f>IF(AND(ISNUMBER(J1837),ISNUMBER(K1837),ISNUMBER(L1837)),IF(J1837&gt;L1837,"boven UCL",IF(J1837&lt;K1837,"onder LCL","")),"")</f>
        <v/>
      </c>
      <c r="O1837" t="n">
        <v>1731</v>
      </c>
      <c r="P1837" s="7" t="n"/>
      <c r="Q1837" s="7" t="n"/>
      <c r="R1837" s="11">
        <f>IF(AND(ISNUMBER(P1837),ISNUMBER(Q1837),P1837&gt;0,ISNUMBER($B$100)),Q1837/P1837,"")</f>
        <v/>
      </c>
      <c r="S1837" s="11">
        <f>IF(AND(ISNUMBER(P1837),ISNUMBER(Q1837),P1837&gt;0,ISNUMBER($B$100)),MAX(0,$B$100-3*SQRT($B$100/P1837)),"")</f>
        <v/>
      </c>
      <c r="T1837" s="11">
        <f>IF(AND(ISNUMBER(P1837),ISNUMBER(Q1837),P1837&gt;0,ISNUMBER($B$100)),$B$100+3*SQRT($B$100/P1837),"")</f>
        <v/>
      </c>
      <c r="U1837" s="13">
        <f>IF(AND(ISNUMBER(R1837),ISNUMBER(S1837),ISNUMBER(T1837)),IF(R1837&gt;T1837,"boven UCL",IF(R1837&lt;S1837,"onder LCL","")),"")</f>
        <v/>
      </c>
    </row>
    <row r="1838">
      <c r="A1838" t="n">
        <v>1732</v>
      </c>
      <c r="B1838" s="7" t="n"/>
      <c r="C1838" s="11">
        <f>IF(AND(ISNUMBER(B1838),ISNUMBER(B1837)),ABS(B1838-B1837),"")</f>
        <v/>
      </c>
      <c r="D1838" s="13">
        <f>IF(AND(ISNUMBER(B1838),ISNUMBER($B$88),ISNUMBER($D$88)),IF(B1838&gt;$D$88,"boven UCL",IF(B1838&lt;$B$88,"onder LCL","")),"")</f>
        <v/>
      </c>
      <c r="E1838" s="13">
        <f>IF(AND(ISNUMBER(C1838),ISNUMBER($B$89),ISNUMBER($D$89)),IF(C1838&gt;$D$89,"boven UCL",IF(C1838&lt;$B$89,"onder LCL","")),"")</f>
        <v/>
      </c>
      <c r="G1838" t="n">
        <v>1732</v>
      </c>
      <c r="H1838" s="7" t="n"/>
      <c r="I1838" s="7" t="n"/>
      <c r="J1838" s="11">
        <f>IF(AND(ISNUMBER(H1838),ISNUMBER(I1838),H1838&gt;0,ISNUMBER($B$94)),I1838/H1838,"")</f>
        <v/>
      </c>
      <c r="K1838" s="11">
        <f>IF(AND(ISNUMBER(H1838),ISNUMBER(I1838),H1838&gt;0,ISNUMBER($B$94)),MAX(0,$B$94-3*SQRT($B$94*(1-$B$94)/H1838)),"")</f>
        <v/>
      </c>
      <c r="L1838" s="11">
        <f>IF(AND(ISNUMBER(H1838),ISNUMBER(I1838),H1838&gt;0,ISNUMBER($B$94)),$B$94+3*SQRT($B$94*(1-$B$94)/H1838),"")</f>
        <v/>
      </c>
      <c r="M1838" s="13">
        <f>IF(AND(ISNUMBER(J1838),ISNUMBER(K1838),ISNUMBER(L1838)),IF(J1838&gt;L1838,"boven UCL",IF(J1838&lt;K1838,"onder LCL","")),"")</f>
        <v/>
      </c>
      <c r="O1838" t="n">
        <v>1732</v>
      </c>
      <c r="P1838" s="7" t="n"/>
      <c r="Q1838" s="7" t="n"/>
      <c r="R1838" s="11">
        <f>IF(AND(ISNUMBER(P1838),ISNUMBER(Q1838),P1838&gt;0,ISNUMBER($B$100)),Q1838/P1838,"")</f>
        <v/>
      </c>
      <c r="S1838" s="11">
        <f>IF(AND(ISNUMBER(P1838),ISNUMBER(Q1838),P1838&gt;0,ISNUMBER($B$100)),MAX(0,$B$100-3*SQRT($B$100/P1838)),"")</f>
        <v/>
      </c>
      <c r="T1838" s="11">
        <f>IF(AND(ISNUMBER(P1838),ISNUMBER(Q1838),P1838&gt;0,ISNUMBER($B$100)),$B$100+3*SQRT($B$100/P1838),"")</f>
        <v/>
      </c>
      <c r="U1838" s="13">
        <f>IF(AND(ISNUMBER(R1838),ISNUMBER(S1838),ISNUMBER(T1838)),IF(R1838&gt;T1838,"boven UCL",IF(R1838&lt;S1838,"onder LCL","")),"")</f>
        <v/>
      </c>
    </row>
    <row r="1839">
      <c r="A1839" t="n">
        <v>1733</v>
      </c>
      <c r="B1839" s="7" t="n"/>
      <c r="C1839" s="11">
        <f>IF(AND(ISNUMBER(B1839),ISNUMBER(B1838)),ABS(B1839-B1838),"")</f>
        <v/>
      </c>
      <c r="D1839" s="13">
        <f>IF(AND(ISNUMBER(B1839),ISNUMBER($B$88),ISNUMBER($D$88)),IF(B1839&gt;$D$88,"boven UCL",IF(B1839&lt;$B$88,"onder LCL","")),"")</f>
        <v/>
      </c>
      <c r="E1839" s="13">
        <f>IF(AND(ISNUMBER(C1839),ISNUMBER($B$89),ISNUMBER($D$89)),IF(C1839&gt;$D$89,"boven UCL",IF(C1839&lt;$B$89,"onder LCL","")),"")</f>
        <v/>
      </c>
      <c r="G1839" t="n">
        <v>1733</v>
      </c>
      <c r="H1839" s="7" t="n"/>
      <c r="I1839" s="7" t="n"/>
      <c r="J1839" s="11">
        <f>IF(AND(ISNUMBER(H1839),ISNUMBER(I1839),H1839&gt;0,ISNUMBER($B$94)),I1839/H1839,"")</f>
        <v/>
      </c>
      <c r="K1839" s="11">
        <f>IF(AND(ISNUMBER(H1839),ISNUMBER(I1839),H1839&gt;0,ISNUMBER($B$94)),MAX(0,$B$94-3*SQRT($B$94*(1-$B$94)/H1839)),"")</f>
        <v/>
      </c>
      <c r="L1839" s="11">
        <f>IF(AND(ISNUMBER(H1839),ISNUMBER(I1839),H1839&gt;0,ISNUMBER($B$94)),$B$94+3*SQRT($B$94*(1-$B$94)/H1839),"")</f>
        <v/>
      </c>
      <c r="M1839" s="13">
        <f>IF(AND(ISNUMBER(J1839),ISNUMBER(K1839),ISNUMBER(L1839)),IF(J1839&gt;L1839,"boven UCL",IF(J1839&lt;K1839,"onder LCL","")),"")</f>
        <v/>
      </c>
      <c r="O1839" t="n">
        <v>1733</v>
      </c>
      <c r="P1839" s="7" t="n"/>
      <c r="Q1839" s="7" t="n"/>
      <c r="R1839" s="11">
        <f>IF(AND(ISNUMBER(P1839),ISNUMBER(Q1839),P1839&gt;0,ISNUMBER($B$100)),Q1839/P1839,"")</f>
        <v/>
      </c>
      <c r="S1839" s="11">
        <f>IF(AND(ISNUMBER(P1839),ISNUMBER(Q1839),P1839&gt;0,ISNUMBER($B$100)),MAX(0,$B$100-3*SQRT($B$100/P1839)),"")</f>
        <v/>
      </c>
      <c r="T1839" s="11">
        <f>IF(AND(ISNUMBER(P1839),ISNUMBER(Q1839),P1839&gt;0,ISNUMBER($B$100)),$B$100+3*SQRT($B$100/P1839),"")</f>
        <v/>
      </c>
      <c r="U1839" s="13">
        <f>IF(AND(ISNUMBER(R1839),ISNUMBER(S1839),ISNUMBER(T1839)),IF(R1839&gt;T1839,"boven UCL",IF(R1839&lt;S1839,"onder LCL","")),"")</f>
        <v/>
      </c>
    </row>
    <row r="1840">
      <c r="A1840" t="n">
        <v>1734</v>
      </c>
      <c r="B1840" s="7" t="n"/>
      <c r="C1840" s="11">
        <f>IF(AND(ISNUMBER(B1840),ISNUMBER(B1839)),ABS(B1840-B1839),"")</f>
        <v/>
      </c>
      <c r="D1840" s="13">
        <f>IF(AND(ISNUMBER(B1840),ISNUMBER($B$88),ISNUMBER($D$88)),IF(B1840&gt;$D$88,"boven UCL",IF(B1840&lt;$B$88,"onder LCL","")),"")</f>
        <v/>
      </c>
      <c r="E1840" s="13">
        <f>IF(AND(ISNUMBER(C1840),ISNUMBER($B$89),ISNUMBER($D$89)),IF(C1840&gt;$D$89,"boven UCL",IF(C1840&lt;$B$89,"onder LCL","")),"")</f>
        <v/>
      </c>
      <c r="G1840" t="n">
        <v>1734</v>
      </c>
      <c r="H1840" s="7" t="n"/>
      <c r="I1840" s="7" t="n"/>
      <c r="J1840" s="11">
        <f>IF(AND(ISNUMBER(H1840),ISNUMBER(I1840),H1840&gt;0,ISNUMBER($B$94)),I1840/H1840,"")</f>
        <v/>
      </c>
      <c r="K1840" s="11">
        <f>IF(AND(ISNUMBER(H1840),ISNUMBER(I1840),H1840&gt;0,ISNUMBER($B$94)),MAX(0,$B$94-3*SQRT($B$94*(1-$B$94)/H1840)),"")</f>
        <v/>
      </c>
      <c r="L1840" s="11">
        <f>IF(AND(ISNUMBER(H1840),ISNUMBER(I1840),H1840&gt;0,ISNUMBER($B$94)),$B$94+3*SQRT($B$94*(1-$B$94)/H1840),"")</f>
        <v/>
      </c>
      <c r="M1840" s="13">
        <f>IF(AND(ISNUMBER(J1840),ISNUMBER(K1840),ISNUMBER(L1840)),IF(J1840&gt;L1840,"boven UCL",IF(J1840&lt;K1840,"onder LCL","")),"")</f>
        <v/>
      </c>
      <c r="O1840" t="n">
        <v>1734</v>
      </c>
      <c r="P1840" s="7" t="n"/>
      <c r="Q1840" s="7" t="n"/>
      <c r="R1840" s="11">
        <f>IF(AND(ISNUMBER(P1840),ISNUMBER(Q1840),P1840&gt;0,ISNUMBER($B$100)),Q1840/P1840,"")</f>
        <v/>
      </c>
      <c r="S1840" s="11">
        <f>IF(AND(ISNUMBER(P1840),ISNUMBER(Q1840),P1840&gt;0,ISNUMBER($B$100)),MAX(0,$B$100-3*SQRT($B$100/P1840)),"")</f>
        <v/>
      </c>
      <c r="T1840" s="11">
        <f>IF(AND(ISNUMBER(P1840),ISNUMBER(Q1840),P1840&gt;0,ISNUMBER($B$100)),$B$100+3*SQRT($B$100/P1840),"")</f>
        <v/>
      </c>
      <c r="U1840" s="13">
        <f>IF(AND(ISNUMBER(R1840),ISNUMBER(S1840),ISNUMBER(T1840)),IF(R1840&gt;T1840,"boven UCL",IF(R1840&lt;S1840,"onder LCL","")),"")</f>
        <v/>
      </c>
    </row>
    <row r="1841">
      <c r="A1841" t="n">
        <v>1735</v>
      </c>
      <c r="B1841" s="7" t="n"/>
      <c r="C1841" s="11">
        <f>IF(AND(ISNUMBER(B1841),ISNUMBER(B1840)),ABS(B1841-B1840),"")</f>
        <v/>
      </c>
      <c r="D1841" s="13">
        <f>IF(AND(ISNUMBER(B1841),ISNUMBER($B$88),ISNUMBER($D$88)),IF(B1841&gt;$D$88,"boven UCL",IF(B1841&lt;$B$88,"onder LCL","")),"")</f>
        <v/>
      </c>
      <c r="E1841" s="13">
        <f>IF(AND(ISNUMBER(C1841),ISNUMBER($B$89),ISNUMBER($D$89)),IF(C1841&gt;$D$89,"boven UCL",IF(C1841&lt;$B$89,"onder LCL","")),"")</f>
        <v/>
      </c>
      <c r="G1841" t="n">
        <v>1735</v>
      </c>
      <c r="H1841" s="7" t="n"/>
      <c r="I1841" s="7" t="n"/>
      <c r="J1841" s="11">
        <f>IF(AND(ISNUMBER(H1841),ISNUMBER(I1841),H1841&gt;0,ISNUMBER($B$94)),I1841/H1841,"")</f>
        <v/>
      </c>
      <c r="K1841" s="11">
        <f>IF(AND(ISNUMBER(H1841),ISNUMBER(I1841),H1841&gt;0,ISNUMBER($B$94)),MAX(0,$B$94-3*SQRT($B$94*(1-$B$94)/H1841)),"")</f>
        <v/>
      </c>
      <c r="L1841" s="11">
        <f>IF(AND(ISNUMBER(H1841),ISNUMBER(I1841),H1841&gt;0,ISNUMBER($B$94)),$B$94+3*SQRT($B$94*(1-$B$94)/H1841),"")</f>
        <v/>
      </c>
      <c r="M1841" s="13">
        <f>IF(AND(ISNUMBER(J1841),ISNUMBER(K1841),ISNUMBER(L1841)),IF(J1841&gt;L1841,"boven UCL",IF(J1841&lt;K1841,"onder LCL","")),"")</f>
        <v/>
      </c>
      <c r="O1841" t="n">
        <v>1735</v>
      </c>
      <c r="P1841" s="7" t="n"/>
      <c r="Q1841" s="7" t="n"/>
      <c r="R1841" s="11">
        <f>IF(AND(ISNUMBER(P1841),ISNUMBER(Q1841),P1841&gt;0,ISNUMBER($B$100)),Q1841/P1841,"")</f>
        <v/>
      </c>
      <c r="S1841" s="11">
        <f>IF(AND(ISNUMBER(P1841),ISNUMBER(Q1841),P1841&gt;0,ISNUMBER($B$100)),MAX(0,$B$100-3*SQRT($B$100/P1841)),"")</f>
        <v/>
      </c>
      <c r="T1841" s="11">
        <f>IF(AND(ISNUMBER(P1841),ISNUMBER(Q1841),P1841&gt;0,ISNUMBER($B$100)),$B$100+3*SQRT($B$100/P1841),"")</f>
        <v/>
      </c>
      <c r="U1841" s="13">
        <f>IF(AND(ISNUMBER(R1841),ISNUMBER(S1841),ISNUMBER(T1841)),IF(R1841&gt;T1841,"boven UCL",IF(R1841&lt;S1841,"onder LCL","")),"")</f>
        <v/>
      </c>
    </row>
    <row r="1842">
      <c r="A1842" t="n">
        <v>1736</v>
      </c>
      <c r="B1842" s="7" t="n"/>
      <c r="C1842" s="11">
        <f>IF(AND(ISNUMBER(B1842),ISNUMBER(B1841)),ABS(B1842-B1841),"")</f>
        <v/>
      </c>
      <c r="D1842" s="13">
        <f>IF(AND(ISNUMBER(B1842),ISNUMBER($B$88),ISNUMBER($D$88)),IF(B1842&gt;$D$88,"boven UCL",IF(B1842&lt;$B$88,"onder LCL","")),"")</f>
        <v/>
      </c>
      <c r="E1842" s="13">
        <f>IF(AND(ISNUMBER(C1842),ISNUMBER($B$89),ISNUMBER($D$89)),IF(C1842&gt;$D$89,"boven UCL",IF(C1842&lt;$B$89,"onder LCL","")),"")</f>
        <v/>
      </c>
      <c r="G1842" t="n">
        <v>1736</v>
      </c>
      <c r="H1842" s="7" t="n"/>
      <c r="I1842" s="7" t="n"/>
      <c r="J1842" s="11">
        <f>IF(AND(ISNUMBER(H1842),ISNUMBER(I1842),H1842&gt;0,ISNUMBER($B$94)),I1842/H1842,"")</f>
        <v/>
      </c>
      <c r="K1842" s="11">
        <f>IF(AND(ISNUMBER(H1842),ISNUMBER(I1842),H1842&gt;0,ISNUMBER($B$94)),MAX(0,$B$94-3*SQRT($B$94*(1-$B$94)/H1842)),"")</f>
        <v/>
      </c>
      <c r="L1842" s="11">
        <f>IF(AND(ISNUMBER(H1842),ISNUMBER(I1842),H1842&gt;0,ISNUMBER($B$94)),$B$94+3*SQRT($B$94*(1-$B$94)/H1842),"")</f>
        <v/>
      </c>
      <c r="M1842" s="13">
        <f>IF(AND(ISNUMBER(J1842),ISNUMBER(K1842),ISNUMBER(L1842)),IF(J1842&gt;L1842,"boven UCL",IF(J1842&lt;K1842,"onder LCL","")),"")</f>
        <v/>
      </c>
      <c r="O1842" t="n">
        <v>1736</v>
      </c>
      <c r="P1842" s="7" t="n"/>
      <c r="Q1842" s="7" t="n"/>
      <c r="R1842" s="11">
        <f>IF(AND(ISNUMBER(P1842),ISNUMBER(Q1842),P1842&gt;0,ISNUMBER($B$100)),Q1842/P1842,"")</f>
        <v/>
      </c>
      <c r="S1842" s="11">
        <f>IF(AND(ISNUMBER(P1842),ISNUMBER(Q1842),P1842&gt;0,ISNUMBER($B$100)),MAX(0,$B$100-3*SQRT($B$100/P1842)),"")</f>
        <v/>
      </c>
      <c r="T1842" s="11">
        <f>IF(AND(ISNUMBER(P1842),ISNUMBER(Q1842),P1842&gt;0,ISNUMBER($B$100)),$B$100+3*SQRT($B$100/P1842),"")</f>
        <v/>
      </c>
      <c r="U1842" s="13">
        <f>IF(AND(ISNUMBER(R1842),ISNUMBER(S1842),ISNUMBER(T1842)),IF(R1842&gt;T1842,"boven UCL",IF(R1842&lt;S1842,"onder LCL","")),"")</f>
        <v/>
      </c>
    </row>
    <row r="1843">
      <c r="A1843" t="n">
        <v>1737</v>
      </c>
      <c r="B1843" s="7" t="n"/>
      <c r="C1843" s="11">
        <f>IF(AND(ISNUMBER(B1843),ISNUMBER(B1842)),ABS(B1843-B1842),"")</f>
        <v/>
      </c>
      <c r="D1843" s="13">
        <f>IF(AND(ISNUMBER(B1843),ISNUMBER($B$88),ISNUMBER($D$88)),IF(B1843&gt;$D$88,"boven UCL",IF(B1843&lt;$B$88,"onder LCL","")),"")</f>
        <v/>
      </c>
      <c r="E1843" s="13">
        <f>IF(AND(ISNUMBER(C1843),ISNUMBER($B$89),ISNUMBER($D$89)),IF(C1843&gt;$D$89,"boven UCL",IF(C1843&lt;$B$89,"onder LCL","")),"")</f>
        <v/>
      </c>
      <c r="G1843" t="n">
        <v>1737</v>
      </c>
      <c r="H1843" s="7" t="n"/>
      <c r="I1843" s="7" t="n"/>
      <c r="J1843" s="11">
        <f>IF(AND(ISNUMBER(H1843),ISNUMBER(I1843),H1843&gt;0,ISNUMBER($B$94)),I1843/H1843,"")</f>
        <v/>
      </c>
      <c r="K1843" s="11">
        <f>IF(AND(ISNUMBER(H1843),ISNUMBER(I1843),H1843&gt;0,ISNUMBER($B$94)),MAX(0,$B$94-3*SQRT($B$94*(1-$B$94)/H1843)),"")</f>
        <v/>
      </c>
      <c r="L1843" s="11">
        <f>IF(AND(ISNUMBER(H1843),ISNUMBER(I1843),H1843&gt;0,ISNUMBER($B$94)),$B$94+3*SQRT($B$94*(1-$B$94)/H1843),"")</f>
        <v/>
      </c>
      <c r="M1843" s="13">
        <f>IF(AND(ISNUMBER(J1843),ISNUMBER(K1843),ISNUMBER(L1843)),IF(J1843&gt;L1843,"boven UCL",IF(J1843&lt;K1843,"onder LCL","")),"")</f>
        <v/>
      </c>
      <c r="O1843" t="n">
        <v>1737</v>
      </c>
      <c r="P1843" s="7" t="n"/>
      <c r="Q1843" s="7" t="n"/>
      <c r="R1843" s="11">
        <f>IF(AND(ISNUMBER(P1843),ISNUMBER(Q1843),P1843&gt;0,ISNUMBER($B$100)),Q1843/P1843,"")</f>
        <v/>
      </c>
      <c r="S1843" s="11">
        <f>IF(AND(ISNUMBER(P1843),ISNUMBER(Q1843),P1843&gt;0,ISNUMBER($B$100)),MAX(0,$B$100-3*SQRT($B$100/P1843)),"")</f>
        <v/>
      </c>
      <c r="T1843" s="11">
        <f>IF(AND(ISNUMBER(P1843),ISNUMBER(Q1843),P1843&gt;0,ISNUMBER($B$100)),$B$100+3*SQRT($B$100/P1843),"")</f>
        <v/>
      </c>
      <c r="U1843" s="13">
        <f>IF(AND(ISNUMBER(R1843),ISNUMBER(S1843),ISNUMBER(T1843)),IF(R1843&gt;T1843,"boven UCL",IF(R1843&lt;S1843,"onder LCL","")),"")</f>
        <v/>
      </c>
    </row>
    <row r="1844">
      <c r="A1844" t="n">
        <v>1738</v>
      </c>
      <c r="B1844" s="7" t="n"/>
      <c r="C1844" s="11">
        <f>IF(AND(ISNUMBER(B1844),ISNUMBER(B1843)),ABS(B1844-B1843),"")</f>
        <v/>
      </c>
      <c r="D1844" s="13">
        <f>IF(AND(ISNUMBER(B1844),ISNUMBER($B$88),ISNUMBER($D$88)),IF(B1844&gt;$D$88,"boven UCL",IF(B1844&lt;$B$88,"onder LCL","")),"")</f>
        <v/>
      </c>
      <c r="E1844" s="13">
        <f>IF(AND(ISNUMBER(C1844),ISNUMBER($B$89),ISNUMBER($D$89)),IF(C1844&gt;$D$89,"boven UCL",IF(C1844&lt;$B$89,"onder LCL","")),"")</f>
        <v/>
      </c>
      <c r="G1844" t="n">
        <v>1738</v>
      </c>
      <c r="H1844" s="7" t="n"/>
      <c r="I1844" s="7" t="n"/>
      <c r="J1844" s="11">
        <f>IF(AND(ISNUMBER(H1844),ISNUMBER(I1844),H1844&gt;0,ISNUMBER($B$94)),I1844/H1844,"")</f>
        <v/>
      </c>
      <c r="K1844" s="11">
        <f>IF(AND(ISNUMBER(H1844),ISNUMBER(I1844),H1844&gt;0,ISNUMBER($B$94)),MAX(0,$B$94-3*SQRT($B$94*(1-$B$94)/H1844)),"")</f>
        <v/>
      </c>
      <c r="L1844" s="11">
        <f>IF(AND(ISNUMBER(H1844),ISNUMBER(I1844),H1844&gt;0,ISNUMBER($B$94)),$B$94+3*SQRT($B$94*(1-$B$94)/H1844),"")</f>
        <v/>
      </c>
      <c r="M1844" s="13">
        <f>IF(AND(ISNUMBER(J1844),ISNUMBER(K1844),ISNUMBER(L1844)),IF(J1844&gt;L1844,"boven UCL",IF(J1844&lt;K1844,"onder LCL","")),"")</f>
        <v/>
      </c>
      <c r="O1844" t="n">
        <v>1738</v>
      </c>
      <c r="P1844" s="7" t="n"/>
      <c r="Q1844" s="7" t="n"/>
      <c r="R1844" s="11">
        <f>IF(AND(ISNUMBER(P1844),ISNUMBER(Q1844),P1844&gt;0,ISNUMBER($B$100)),Q1844/P1844,"")</f>
        <v/>
      </c>
      <c r="S1844" s="11">
        <f>IF(AND(ISNUMBER(P1844),ISNUMBER(Q1844),P1844&gt;0,ISNUMBER($B$100)),MAX(0,$B$100-3*SQRT($B$100/P1844)),"")</f>
        <v/>
      </c>
      <c r="T1844" s="11">
        <f>IF(AND(ISNUMBER(P1844),ISNUMBER(Q1844),P1844&gt;0,ISNUMBER($B$100)),$B$100+3*SQRT($B$100/P1844),"")</f>
        <v/>
      </c>
      <c r="U1844" s="13">
        <f>IF(AND(ISNUMBER(R1844),ISNUMBER(S1844),ISNUMBER(T1844)),IF(R1844&gt;T1844,"boven UCL",IF(R1844&lt;S1844,"onder LCL","")),"")</f>
        <v/>
      </c>
    </row>
    <row r="1845">
      <c r="A1845" t="n">
        <v>1739</v>
      </c>
      <c r="B1845" s="7" t="n"/>
      <c r="C1845" s="11">
        <f>IF(AND(ISNUMBER(B1845),ISNUMBER(B1844)),ABS(B1845-B1844),"")</f>
        <v/>
      </c>
      <c r="D1845" s="13">
        <f>IF(AND(ISNUMBER(B1845),ISNUMBER($B$88),ISNUMBER($D$88)),IF(B1845&gt;$D$88,"boven UCL",IF(B1845&lt;$B$88,"onder LCL","")),"")</f>
        <v/>
      </c>
      <c r="E1845" s="13">
        <f>IF(AND(ISNUMBER(C1845),ISNUMBER($B$89),ISNUMBER($D$89)),IF(C1845&gt;$D$89,"boven UCL",IF(C1845&lt;$B$89,"onder LCL","")),"")</f>
        <v/>
      </c>
      <c r="G1845" t="n">
        <v>1739</v>
      </c>
      <c r="H1845" s="7" t="n"/>
      <c r="I1845" s="7" t="n"/>
      <c r="J1845" s="11">
        <f>IF(AND(ISNUMBER(H1845),ISNUMBER(I1845),H1845&gt;0,ISNUMBER($B$94)),I1845/H1845,"")</f>
        <v/>
      </c>
      <c r="K1845" s="11">
        <f>IF(AND(ISNUMBER(H1845),ISNUMBER(I1845),H1845&gt;0,ISNUMBER($B$94)),MAX(0,$B$94-3*SQRT($B$94*(1-$B$94)/H1845)),"")</f>
        <v/>
      </c>
      <c r="L1845" s="11">
        <f>IF(AND(ISNUMBER(H1845),ISNUMBER(I1845),H1845&gt;0,ISNUMBER($B$94)),$B$94+3*SQRT($B$94*(1-$B$94)/H1845),"")</f>
        <v/>
      </c>
      <c r="M1845" s="13">
        <f>IF(AND(ISNUMBER(J1845),ISNUMBER(K1845),ISNUMBER(L1845)),IF(J1845&gt;L1845,"boven UCL",IF(J1845&lt;K1845,"onder LCL","")),"")</f>
        <v/>
      </c>
      <c r="O1845" t="n">
        <v>1739</v>
      </c>
      <c r="P1845" s="7" t="n"/>
      <c r="Q1845" s="7" t="n"/>
      <c r="R1845" s="11">
        <f>IF(AND(ISNUMBER(P1845),ISNUMBER(Q1845),P1845&gt;0,ISNUMBER($B$100)),Q1845/P1845,"")</f>
        <v/>
      </c>
      <c r="S1845" s="11">
        <f>IF(AND(ISNUMBER(P1845),ISNUMBER(Q1845),P1845&gt;0,ISNUMBER($B$100)),MAX(0,$B$100-3*SQRT($B$100/P1845)),"")</f>
        <v/>
      </c>
      <c r="T1845" s="11">
        <f>IF(AND(ISNUMBER(P1845),ISNUMBER(Q1845),P1845&gt;0,ISNUMBER($B$100)),$B$100+3*SQRT($B$100/P1845),"")</f>
        <v/>
      </c>
      <c r="U1845" s="13">
        <f>IF(AND(ISNUMBER(R1845),ISNUMBER(S1845),ISNUMBER(T1845)),IF(R1845&gt;T1845,"boven UCL",IF(R1845&lt;S1845,"onder LCL","")),"")</f>
        <v/>
      </c>
    </row>
    <row r="1846">
      <c r="A1846" t="n">
        <v>1740</v>
      </c>
      <c r="B1846" s="7" t="n"/>
      <c r="C1846" s="11">
        <f>IF(AND(ISNUMBER(B1846),ISNUMBER(B1845)),ABS(B1846-B1845),"")</f>
        <v/>
      </c>
      <c r="D1846" s="13">
        <f>IF(AND(ISNUMBER(B1846),ISNUMBER($B$88),ISNUMBER($D$88)),IF(B1846&gt;$D$88,"boven UCL",IF(B1846&lt;$B$88,"onder LCL","")),"")</f>
        <v/>
      </c>
      <c r="E1846" s="13">
        <f>IF(AND(ISNUMBER(C1846),ISNUMBER($B$89),ISNUMBER($D$89)),IF(C1846&gt;$D$89,"boven UCL",IF(C1846&lt;$B$89,"onder LCL","")),"")</f>
        <v/>
      </c>
      <c r="G1846" t="n">
        <v>1740</v>
      </c>
      <c r="H1846" s="7" t="n"/>
      <c r="I1846" s="7" t="n"/>
      <c r="J1846" s="11">
        <f>IF(AND(ISNUMBER(H1846),ISNUMBER(I1846),H1846&gt;0,ISNUMBER($B$94)),I1846/H1846,"")</f>
        <v/>
      </c>
      <c r="K1846" s="11">
        <f>IF(AND(ISNUMBER(H1846),ISNUMBER(I1846),H1846&gt;0,ISNUMBER($B$94)),MAX(0,$B$94-3*SQRT($B$94*(1-$B$94)/H1846)),"")</f>
        <v/>
      </c>
      <c r="L1846" s="11">
        <f>IF(AND(ISNUMBER(H1846),ISNUMBER(I1846),H1846&gt;0,ISNUMBER($B$94)),$B$94+3*SQRT($B$94*(1-$B$94)/H1846),"")</f>
        <v/>
      </c>
      <c r="M1846" s="13">
        <f>IF(AND(ISNUMBER(J1846),ISNUMBER(K1846),ISNUMBER(L1846)),IF(J1846&gt;L1846,"boven UCL",IF(J1846&lt;K1846,"onder LCL","")),"")</f>
        <v/>
      </c>
      <c r="O1846" t="n">
        <v>1740</v>
      </c>
      <c r="P1846" s="7" t="n"/>
      <c r="Q1846" s="7" t="n"/>
      <c r="R1846" s="11">
        <f>IF(AND(ISNUMBER(P1846),ISNUMBER(Q1846),P1846&gt;0,ISNUMBER($B$100)),Q1846/P1846,"")</f>
        <v/>
      </c>
      <c r="S1846" s="11">
        <f>IF(AND(ISNUMBER(P1846),ISNUMBER(Q1846),P1846&gt;0,ISNUMBER($B$100)),MAX(0,$B$100-3*SQRT($B$100/P1846)),"")</f>
        <v/>
      </c>
      <c r="T1846" s="11">
        <f>IF(AND(ISNUMBER(P1846),ISNUMBER(Q1846),P1846&gt;0,ISNUMBER($B$100)),$B$100+3*SQRT($B$100/P1846),"")</f>
        <v/>
      </c>
      <c r="U1846" s="13">
        <f>IF(AND(ISNUMBER(R1846),ISNUMBER(S1846),ISNUMBER(T1846)),IF(R1846&gt;T1846,"boven UCL",IF(R1846&lt;S1846,"onder LCL","")),"")</f>
        <v/>
      </c>
    </row>
    <row r="1847">
      <c r="A1847" t="n">
        <v>1741</v>
      </c>
      <c r="B1847" s="7" t="n"/>
      <c r="C1847" s="11">
        <f>IF(AND(ISNUMBER(B1847),ISNUMBER(B1846)),ABS(B1847-B1846),"")</f>
        <v/>
      </c>
      <c r="D1847" s="13">
        <f>IF(AND(ISNUMBER(B1847),ISNUMBER($B$88),ISNUMBER($D$88)),IF(B1847&gt;$D$88,"boven UCL",IF(B1847&lt;$B$88,"onder LCL","")),"")</f>
        <v/>
      </c>
      <c r="E1847" s="13">
        <f>IF(AND(ISNUMBER(C1847),ISNUMBER($B$89),ISNUMBER($D$89)),IF(C1847&gt;$D$89,"boven UCL",IF(C1847&lt;$B$89,"onder LCL","")),"")</f>
        <v/>
      </c>
      <c r="G1847" t="n">
        <v>1741</v>
      </c>
      <c r="H1847" s="7" t="n"/>
      <c r="I1847" s="7" t="n"/>
      <c r="J1847" s="11">
        <f>IF(AND(ISNUMBER(H1847),ISNUMBER(I1847),H1847&gt;0,ISNUMBER($B$94)),I1847/H1847,"")</f>
        <v/>
      </c>
      <c r="K1847" s="11">
        <f>IF(AND(ISNUMBER(H1847),ISNUMBER(I1847),H1847&gt;0,ISNUMBER($B$94)),MAX(0,$B$94-3*SQRT($B$94*(1-$B$94)/H1847)),"")</f>
        <v/>
      </c>
      <c r="L1847" s="11">
        <f>IF(AND(ISNUMBER(H1847),ISNUMBER(I1847),H1847&gt;0,ISNUMBER($B$94)),$B$94+3*SQRT($B$94*(1-$B$94)/H1847),"")</f>
        <v/>
      </c>
      <c r="M1847" s="13">
        <f>IF(AND(ISNUMBER(J1847),ISNUMBER(K1847),ISNUMBER(L1847)),IF(J1847&gt;L1847,"boven UCL",IF(J1847&lt;K1847,"onder LCL","")),"")</f>
        <v/>
      </c>
      <c r="O1847" t="n">
        <v>1741</v>
      </c>
      <c r="P1847" s="7" t="n"/>
      <c r="Q1847" s="7" t="n"/>
      <c r="R1847" s="11">
        <f>IF(AND(ISNUMBER(P1847),ISNUMBER(Q1847),P1847&gt;0,ISNUMBER($B$100)),Q1847/P1847,"")</f>
        <v/>
      </c>
      <c r="S1847" s="11">
        <f>IF(AND(ISNUMBER(P1847),ISNUMBER(Q1847),P1847&gt;0,ISNUMBER($B$100)),MAX(0,$B$100-3*SQRT($B$100/P1847)),"")</f>
        <v/>
      </c>
      <c r="T1847" s="11">
        <f>IF(AND(ISNUMBER(P1847),ISNUMBER(Q1847),P1847&gt;0,ISNUMBER($B$100)),$B$100+3*SQRT($B$100/P1847),"")</f>
        <v/>
      </c>
      <c r="U1847" s="13">
        <f>IF(AND(ISNUMBER(R1847),ISNUMBER(S1847),ISNUMBER(T1847)),IF(R1847&gt;T1847,"boven UCL",IF(R1847&lt;S1847,"onder LCL","")),"")</f>
        <v/>
      </c>
    </row>
    <row r="1848">
      <c r="A1848" t="n">
        <v>1742</v>
      </c>
      <c r="B1848" s="7" t="n"/>
      <c r="C1848" s="11">
        <f>IF(AND(ISNUMBER(B1848),ISNUMBER(B1847)),ABS(B1848-B1847),"")</f>
        <v/>
      </c>
      <c r="D1848" s="13">
        <f>IF(AND(ISNUMBER(B1848),ISNUMBER($B$88),ISNUMBER($D$88)),IF(B1848&gt;$D$88,"boven UCL",IF(B1848&lt;$B$88,"onder LCL","")),"")</f>
        <v/>
      </c>
      <c r="E1848" s="13">
        <f>IF(AND(ISNUMBER(C1848),ISNUMBER($B$89),ISNUMBER($D$89)),IF(C1848&gt;$D$89,"boven UCL",IF(C1848&lt;$B$89,"onder LCL","")),"")</f>
        <v/>
      </c>
      <c r="G1848" t="n">
        <v>1742</v>
      </c>
      <c r="H1848" s="7" t="n"/>
      <c r="I1848" s="7" t="n"/>
      <c r="J1848" s="11">
        <f>IF(AND(ISNUMBER(H1848),ISNUMBER(I1848),H1848&gt;0,ISNUMBER($B$94)),I1848/H1848,"")</f>
        <v/>
      </c>
      <c r="K1848" s="11">
        <f>IF(AND(ISNUMBER(H1848),ISNUMBER(I1848),H1848&gt;0,ISNUMBER($B$94)),MAX(0,$B$94-3*SQRT($B$94*(1-$B$94)/H1848)),"")</f>
        <v/>
      </c>
      <c r="L1848" s="11">
        <f>IF(AND(ISNUMBER(H1848),ISNUMBER(I1848),H1848&gt;0,ISNUMBER($B$94)),$B$94+3*SQRT($B$94*(1-$B$94)/H1848),"")</f>
        <v/>
      </c>
      <c r="M1848" s="13">
        <f>IF(AND(ISNUMBER(J1848),ISNUMBER(K1848),ISNUMBER(L1848)),IF(J1848&gt;L1848,"boven UCL",IF(J1848&lt;K1848,"onder LCL","")),"")</f>
        <v/>
      </c>
      <c r="O1848" t="n">
        <v>1742</v>
      </c>
      <c r="P1848" s="7" t="n"/>
      <c r="Q1848" s="7" t="n"/>
      <c r="R1848" s="11">
        <f>IF(AND(ISNUMBER(P1848),ISNUMBER(Q1848),P1848&gt;0,ISNUMBER($B$100)),Q1848/P1848,"")</f>
        <v/>
      </c>
      <c r="S1848" s="11">
        <f>IF(AND(ISNUMBER(P1848),ISNUMBER(Q1848),P1848&gt;0,ISNUMBER($B$100)),MAX(0,$B$100-3*SQRT($B$100/P1848)),"")</f>
        <v/>
      </c>
      <c r="T1848" s="11">
        <f>IF(AND(ISNUMBER(P1848),ISNUMBER(Q1848),P1848&gt;0,ISNUMBER($B$100)),$B$100+3*SQRT($B$100/P1848),"")</f>
        <v/>
      </c>
      <c r="U1848" s="13">
        <f>IF(AND(ISNUMBER(R1848),ISNUMBER(S1848),ISNUMBER(T1848)),IF(R1848&gt;T1848,"boven UCL",IF(R1848&lt;S1848,"onder LCL","")),"")</f>
        <v/>
      </c>
    </row>
    <row r="1849">
      <c r="A1849" t="n">
        <v>1743</v>
      </c>
      <c r="B1849" s="7" t="n"/>
      <c r="C1849" s="11">
        <f>IF(AND(ISNUMBER(B1849),ISNUMBER(B1848)),ABS(B1849-B1848),"")</f>
        <v/>
      </c>
      <c r="D1849" s="13">
        <f>IF(AND(ISNUMBER(B1849),ISNUMBER($B$88),ISNUMBER($D$88)),IF(B1849&gt;$D$88,"boven UCL",IF(B1849&lt;$B$88,"onder LCL","")),"")</f>
        <v/>
      </c>
      <c r="E1849" s="13">
        <f>IF(AND(ISNUMBER(C1849),ISNUMBER($B$89),ISNUMBER($D$89)),IF(C1849&gt;$D$89,"boven UCL",IF(C1849&lt;$B$89,"onder LCL","")),"")</f>
        <v/>
      </c>
      <c r="G1849" t="n">
        <v>1743</v>
      </c>
      <c r="H1849" s="7" t="n"/>
      <c r="I1849" s="7" t="n"/>
      <c r="J1849" s="11">
        <f>IF(AND(ISNUMBER(H1849),ISNUMBER(I1849),H1849&gt;0,ISNUMBER($B$94)),I1849/H1849,"")</f>
        <v/>
      </c>
      <c r="K1849" s="11">
        <f>IF(AND(ISNUMBER(H1849),ISNUMBER(I1849),H1849&gt;0,ISNUMBER($B$94)),MAX(0,$B$94-3*SQRT($B$94*(1-$B$94)/H1849)),"")</f>
        <v/>
      </c>
      <c r="L1849" s="11">
        <f>IF(AND(ISNUMBER(H1849),ISNUMBER(I1849),H1849&gt;0,ISNUMBER($B$94)),$B$94+3*SQRT($B$94*(1-$B$94)/H1849),"")</f>
        <v/>
      </c>
      <c r="M1849" s="13">
        <f>IF(AND(ISNUMBER(J1849),ISNUMBER(K1849),ISNUMBER(L1849)),IF(J1849&gt;L1849,"boven UCL",IF(J1849&lt;K1849,"onder LCL","")),"")</f>
        <v/>
      </c>
      <c r="O1849" t="n">
        <v>1743</v>
      </c>
      <c r="P1849" s="7" t="n"/>
      <c r="Q1849" s="7" t="n"/>
      <c r="R1849" s="11">
        <f>IF(AND(ISNUMBER(P1849),ISNUMBER(Q1849),P1849&gt;0,ISNUMBER($B$100)),Q1849/P1849,"")</f>
        <v/>
      </c>
      <c r="S1849" s="11">
        <f>IF(AND(ISNUMBER(P1849),ISNUMBER(Q1849),P1849&gt;0,ISNUMBER($B$100)),MAX(0,$B$100-3*SQRT($B$100/P1849)),"")</f>
        <v/>
      </c>
      <c r="T1849" s="11">
        <f>IF(AND(ISNUMBER(P1849),ISNUMBER(Q1849),P1849&gt;0,ISNUMBER($B$100)),$B$100+3*SQRT($B$100/P1849),"")</f>
        <v/>
      </c>
      <c r="U1849" s="13">
        <f>IF(AND(ISNUMBER(R1849),ISNUMBER(S1849),ISNUMBER(T1849)),IF(R1849&gt;T1849,"boven UCL",IF(R1849&lt;S1849,"onder LCL","")),"")</f>
        <v/>
      </c>
    </row>
    <row r="1850">
      <c r="A1850" t="n">
        <v>1744</v>
      </c>
      <c r="B1850" s="7" t="n"/>
      <c r="C1850" s="11">
        <f>IF(AND(ISNUMBER(B1850),ISNUMBER(B1849)),ABS(B1850-B1849),"")</f>
        <v/>
      </c>
      <c r="D1850" s="13">
        <f>IF(AND(ISNUMBER(B1850),ISNUMBER($B$88),ISNUMBER($D$88)),IF(B1850&gt;$D$88,"boven UCL",IF(B1850&lt;$B$88,"onder LCL","")),"")</f>
        <v/>
      </c>
      <c r="E1850" s="13">
        <f>IF(AND(ISNUMBER(C1850),ISNUMBER($B$89),ISNUMBER($D$89)),IF(C1850&gt;$D$89,"boven UCL",IF(C1850&lt;$B$89,"onder LCL","")),"")</f>
        <v/>
      </c>
      <c r="G1850" t="n">
        <v>1744</v>
      </c>
      <c r="H1850" s="7" t="n"/>
      <c r="I1850" s="7" t="n"/>
      <c r="J1850" s="11">
        <f>IF(AND(ISNUMBER(H1850),ISNUMBER(I1850),H1850&gt;0,ISNUMBER($B$94)),I1850/H1850,"")</f>
        <v/>
      </c>
      <c r="K1850" s="11">
        <f>IF(AND(ISNUMBER(H1850),ISNUMBER(I1850),H1850&gt;0,ISNUMBER($B$94)),MAX(0,$B$94-3*SQRT($B$94*(1-$B$94)/H1850)),"")</f>
        <v/>
      </c>
      <c r="L1850" s="11">
        <f>IF(AND(ISNUMBER(H1850),ISNUMBER(I1850),H1850&gt;0,ISNUMBER($B$94)),$B$94+3*SQRT($B$94*(1-$B$94)/H1850),"")</f>
        <v/>
      </c>
      <c r="M1850" s="13">
        <f>IF(AND(ISNUMBER(J1850),ISNUMBER(K1850),ISNUMBER(L1850)),IF(J1850&gt;L1850,"boven UCL",IF(J1850&lt;K1850,"onder LCL","")),"")</f>
        <v/>
      </c>
      <c r="O1850" t="n">
        <v>1744</v>
      </c>
      <c r="P1850" s="7" t="n"/>
      <c r="Q1850" s="7" t="n"/>
      <c r="R1850" s="11">
        <f>IF(AND(ISNUMBER(P1850),ISNUMBER(Q1850),P1850&gt;0,ISNUMBER($B$100)),Q1850/P1850,"")</f>
        <v/>
      </c>
      <c r="S1850" s="11">
        <f>IF(AND(ISNUMBER(P1850),ISNUMBER(Q1850),P1850&gt;0,ISNUMBER($B$100)),MAX(0,$B$100-3*SQRT($B$100/P1850)),"")</f>
        <v/>
      </c>
      <c r="T1850" s="11">
        <f>IF(AND(ISNUMBER(P1850),ISNUMBER(Q1850),P1850&gt;0,ISNUMBER($B$100)),$B$100+3*SQRT($B$100/P1850),"")</f>
        <v/>
      </c>
      <c r="U1850" s="13">
        <f>IF(AND(ISNUMBER(R1850),ISNUMBER(S1850),ISNUMBER(T1850)),IF(R1850&gt;T1850,"boven UCL",IF(R1850&lt;S1850,"onder LCL","")),"")</f>
        <v/>
      </c>
    </row>
    <row r="1851">
      <c r="A1851" t="n">
        <v>1745</v>
      </c>
      <c r="B1851" s="7" t="n"/>
      <c r="C1851" s="11">
        <f>IF(AND(ISNUMBER(B1851),ISNUMBER(B1850)),ABS(B1851-B1850),"")</f>
        <v/>
      </c>
      <c r="D1851" s="13">
        <f>IF(AND(ISNUMBER(B1851),ISNUMBER($B$88),ISNUMBER($D$88)),IF(B1851&gt;$D$88,"boven UCL",IF(B1851&lt;$B$88,"onder LCL","")),"")</f>
        <v/>
      </c>
      <c r="E1851" s="13">
        <f>IF(AND(ISNUMBER(C1851),ISNUMBER($B$89),ISNUMBER($D$89)),IF(C1851&gt;$D$89,"boven UCL",IF(C1851&lt;$B$89,"onder LCL","")),"")</f>
        <v/>
      </c>
      <c r="G1851" t="n">
        <v>1745</v>
      </c>
      <c r="H1851" s="7" t="n"/>
      <c r="I1851" s="7" t="n"/>
      <c r="J1851" s="11">
        <f>IF(AND(ISNUMBER(H1851),ISNUMBER(I1851),H1851&gt;0,ISNUMBER($B$94)),I1851/H1851,"")</f>
        <v/>
      </c>
      <c r="K1851" s="11">
        <f>IF(AND(ISNUMBER(H1851),ISNUMBER(I1851),H1851&gt;0,ISNUMBER($B$94)),MAX(0,$B$94-3*SQRT($B$94*(1-$B$94)/H1851)),"")</f>
        <v/>
      </c>
      <c r="L1851" s="11">
        <f>IF(AND(ISNUMBER(H1851),ISNUMBER(I1851),H1851&gt;0,ISNUMBER($B$94)),$B$94+3*SQRT($B$94*(1-$B$94)/H1851),"")</f>
        <v/>
      </c>
      <c r="M1851" s="13">
        <f>IF(AND(ISNUMBER(J1851),ISNUMBER(K1851),ISNUMBER(L1851)),IF(J1851&gt;L1851,"boven UCL",IF(J1851&lt;K1851,"onder LCL","")),"")</f>
        <v/>
      </c>
      <c r="O1851" t="n">
        <v>1745</v>
      </c>
      <c r="P1851" s="7" t="n"/>
      <c r="Q1851" s="7" t="n"/>
      <c r="R1851" s="11">
        <f>IF(AND(ISNUMBER(P1851),ISNUMBER(Q1851),P1851&gt;0,ISNUMBER($B$100)),Q1851/P1851,"")</f>
        <v/>
      </c>
      <c r="S1851" s="11">
        <f>IF(AND(ISNUMBER(P1851),ISNUMBER(Q1851),P1851&gt;0,ISNUMBER($B$100)),MAX(0,$B$100-3*SQRT($B$100/P1851)),"")</f>
        <v/>
      </c>
      <c r="T1851" s="11">
        <f>IF(AND(ISNUMBER(P1851),ISNUMBER(Q1851),P1851&gt;0,ISNUMBER($B$100)),$B$100+3*SQRT($B$100/P1851),"")</f>
        <v/>
      </c>
      <c r="U1851" s="13">
        <f>IF(AND(ISNUMBER(R1851),ISNUMBER(S1851),ISNUMBER(T1851)),IF(R1851&gt;T1851,"boven UCL",IF(R1851&lt;S1851,"onder LCL","")),"")</f>
        <v/>
      </c>
    </row>
    <row r="1852">
      <c r="A1852" t="n">
        <v>1746</v>
      </c>
      <c r="B1852" s="7" t="n"/>
      <c r="C1852" s="11">
        <f>IF(AND(ISNUMBER(B1852),ISNUMBER(B1851)),ABS(B1852-B1851),"")</f>
        <v/>
      </c>
      <c r="D1852" s="13">
        <f>IF(AND(ISNUMBER(B1852),ISNUMBER($B$88),ISNUMBER($D$88)),IF(B1852&gt;$D$88,"boven UCL",IF(B1852&lt;$B$88,"onder LCL","")),"")</f>
        <v/>
      </c>
      <c r="E1852" s="13">
        <f>IF(AND(ISNUMBER(C1852),ISNUMBER($B$89),ISNUMBER($D$89)),IF(C1852&gt;$D$89,"boven UCL",IF(C1852&lt;$B$89,"onder LCL","")),"")</f>
        <v/>
      </c>
      <c r="G1852" t="n">
        <v>1746</v>
      </c>
      <c r="H1852" s="7" t="n"/>
      <c r="I1852" s="7" t="n"/>
      <c r="J1852" s="11">
        <f>IF(AND(ISNUMBER(H1852),ISNUMBER(I1852),H1852&gt;0,ISNUMBER($B$94)),I1852/H1852,"")</f>
        <v/>
      </c>
      <c r="K1852" s="11">
        <f>IF(AND(ISNUMBER(H1852),ISNUMBER(I1852),H1852&gt;0,ISNUMBER($B$94)),MAX(0,$B$94-3*SQRT($B$94*(1-$B$94)/H1852)),"")</f>
        <v/>
      </c>
      <c r="L1852" s="11">
        <f>IF(AND(ISNUMBER(H1852),ISNUMBER(I1852),H1852&gt;0,ISNUMBER($B$94)),$B$94+3*SQRT($B$94*(1-$B$94)/H1852),"")</f>
        <v/>
      </c>
      <c r="M1852" s="13">
        <f>IF(AND(ISNUMBER(J1852),ISNUMBER(K1852),ISNUMBER(L1852)),IF(J1852&gt;L1852,"boven UCL",IF(J1852&lt;K1852,"onder LCL","")),"")</f>
        <v/>
      </c>
      <c r="O1852" t="n">
        <v>1746</v>
      </c>
      <c r="P1852" s="7" t="n"/>
      <c r="Q1852" s="7" t="n"/>
      <c r="R1852" s="11">
        <f>IF(AND(ISNUMBER(P1852),ISNUMBER(Q1852),P1852&gt;0,ISNUMBER($B$100)),Q1852/P1852,"")</f>
        <v/>
      </c>
      <c r="S1852" s="11">
        <f>IF(AND(ISNUMBER(P1852),ISNUMBER(Q1852),P1852&gt;0,ISNUMBER($B$100)),MAX(0,$B$100-3*SQRT($B$100/P1852)),"")</f>
        <v/>
      </c>
      <c r="T1852" s="11">
        <f>IF(AND(ISNUMBER(P1852),ISNUMBER(Q1852),P1852&gt;0,ISNUMBER($B$100)),$B$100+3*SQRT($B$100/P1852),"")</f>
        <v/>
      </c>
      <c r="U1852" s="13">
        <f>IF(AND(ISNUMBER(R1852),ISNUMBER(S1852),ISNUMBER(T1852)),IF(R1852&gt;T1852,"boven UCL",IF(R1852&lt;S1852,"onder LCL","")),"")</f>
        <v/>
      </c>
    </row>
    <row r="1853">
      <c r="A1853" t="n">
        <v>1747</v>
      </c>
      <c r="B1853" s="7" t="n"/>
      <c r="C1853" s="11">
        <f>IF(AND(ISNUMBER(B1853),ISNUMBER(B1852)),ABS(B1853-B1852),"")</f>
        <v/>
      </c>
      <c r="D1853" s="13">
        <f>IF(AND(ISNUMBER(B1853),ISNUMBER($B$88),ISNUMBER($D$88)),IF(B1853&gt;$D$88,"boven UCL",IF(B1853&lt;$B$88,"onder LCL","")),"")</f>
        <v/>
      </c>
      <c r="E1853" s="13">
        <f>IF(AND(ISNUMBER(C1853),ISNUMBER($B$89),ISNUMBER($D$89)),IF(C1853&gt;$D$89,"boven UCL",IF(C1853&lt;$B$89,"onder LCL","")),"")</f>
        <v/>
      </c>
      <c r="G1853" t="n">
        <v>1747</v>
      </c>
      <c r="H1853" s="7" t="n"/>
      <c r="I1853" s="7" t="n"/>
      <c r="J1853" s="11">
        <f>IF(AND(ISNUMBER(H1853),ISNUMBER(I1853),H1853&gt;0,ISNUMBER($B$94)),I1853/H1853,"")</f>
        <v/>
      </c>
      <c r="K1853" s="11">
        <f>IF(AND(ISNUMBER(H1853),ISNUMBER(I1853),H1853&gt;0,ISNUMBER($B$94)),MAX(0,$B$94-3*SQRT($B$94*(1-$B$94)/H1853)),"")</f>
        <v/>
      </c>
      <c r="L1853" s="11">
        <f>IF(AND(ISNUMBER(H1853),ISNUMBER(I1853),H1853&gt;0,ISNUMBER($B$94)),$B$94+3*SQRT($B$94*(1-$B$94)/H1853),"")</f>
        <v/>
      </c>
      <c r="M1853" s="13">
        <f>IF(AND(ISNUMBER(J1853),ISNUMBER(K1853),ISNUMBER(L1853)),IF(J1853&gt;L1853,"boven UCL",IF(J1853&lt;K1853,"onder LCL","")),"")</f>
        <v/>
      </c>
      <c r="O1853" t="n">
        <v>1747</v>
      </c>
      <c r="P1853" s="7" t="n"/>
      <c r="Q1853" s="7" t="n"/>
      <c r="R1853" s="11">
        <f>IF(AND(ISNUMBER(P1853),ISNUMBER(Q1853),P1853&gt;0,ISNUMBER($B$100)),Q1853/P1853,"")</f>
        <v/>
      </c>
      <c r="S1853" s="11">
        <f>IF(AND(ISNUMBER(P1853),ISNUMBER(Q1853),P1853&gt;0,ISNUMBER($B$100)),MAX(0,$B$100-3*SQRT($B$100/P1853)),"")</f>
        <v/>
      </c>
      <c r="T1853" s="11">
        <f>IF(AND(ISNUMBER(P1853),ISNUMBER(Q1853),P1853&gt;0,ISNUMBER($B$100)),$B$100+3*SQRT($B$100/P1853),"")</f>
        <v/>
      </c>
      <c r="U1853" s="13">
        <f>IF(AND(ISNUMBER(R1853),ISNUMBER(S1853),ISNUMBER(T1853)),IF(R1853&gt;T1853,"boven UCL",IF(R1853&lt;S1853,"onder LCL","")),"")</f>
        <v/>
      </c>
    </row>
    <row r="1854">
      <c r="A1854" t="n">
        <v>1748</v>
      </c>
      <c r="B1854" s="7" t="n"/>
      <c r="C1854" s="11">
        <f>IF(AND(ISNUMBER(B1854),ISNUMBER(B1853)),ABS(B1854-B1853),"")</f>
        <v/>
      </c>
      <c r="D1854" s="13">
        <f>IF(AND(ISNUMBER(B1854),ISNUMBER($B$88),ISNUMBER($D$88)),IF(B1854&gt;$D$88,"boven UCL",IF(B1854&lt;$B$88,"onder LCL","")),"")</f>
        <v/>
      </c>
      <c r="E1854" s="13">
        <f>IF(AND(ISNUMBER(C1854),ISNUMBER($B$89),ISNUMBER($D$89)),IF(C1854&gt;$D$89,"boven UCL",IF(C1854&lt;$B$89,"onder LCL","")),"")</f>
        <v/>
      </c>
      <c r="G1854" t="n">
        <v>1748</v>
      </c>
      <c r="H1854" s="7" t="n"/>
      <c r="I1854" s="7" t="n"/>
      <c r="J1854" s="11">
        <f>IF(AND(ISNUMBER(H1854),ISNUMBER(I1854),H1854&gt;0,ISNUMBER($B$94)),I1854/H1854,"")</f>
        <v/>
      </c>
      <c r="K1854" s="11">
        <f>IF(AND(ISNUMBER(H1854),ISNUMBER(I1854),H1854&gt;0,ISNUMBER($B$94)),MAX(0,$B$94-3*SQRT($B$94*(1-$B$94)/H1854)),"")</f>
        <v/>
      </c>
      <c r="L1854" s="11">
        <f>IF(AND(ISNUMBER(H1854),ISNUMBER(I1854),H1854&gt;0,ISNUMBER($B$94)),$B$94+3*SQRT($B$94*(1-$B$94)/H1854),"")</f>
        <v/>
      </c>
      <c r="M1854" s="13">
        <f>IF(AND(ISNUMBER(J1854),ISNUMBER(K1854),ISNUMBER(L1854)),IF(J1854&gt;L1854,"boven UCL",IF(J1854&lt;K1854,"onder LCL","")),"")</f>
        <v/>
      </c>
      <c r="O1854" t="n">
        <v>1748</v>
      </c>
      <c r="P1854" s="7" t="n"/>
      <c r="Q1854" s="7" t="n"/>
      <c r="R1854" s="11">
        <f>IF(AND(ISNUMBER(P1854),ISNUMBER(Q1854),P1854&gt;0,ISNUMBER($B$100)),Q1854/P1854,"")</f>
        <v/>
      </c>
      <c r="S1854" s="11">
        <f>IF(AND(ISNUMBER(P1854),ISNUMBER(Q1854),P1854&gt;0,ISNUMBER($B$100)),MAX(0,$B$100-3*SQRT($B$100/P1854)),"")</f>
        <v/>
      </c>
      <c r="T1854" s="11">
        <f>IF(AND(ISNUMBER(P1854),ISNUMBER(Q1854),P1854&gt;0,ISNUMBER($B$100)),$B$100+3*SQRT($B$100/P1854),"")</f>
        <v/>
      </c>
      <c r="U1854" s="13">
        <f>IF(AND(ISNUMBER(R1854),ISNUMBER(S1854),ISNUMBER(T1854)),IF(R1854&gt;T1854,"boven UCL",IF(R1854&lt;S1854,"onder LCL","")),"")</f>
        <v/>
      </c>
    </row>
    <row r="1855">
      <c r="A1855" t="n">
        <v>1749</v>
      </c>
      <c r="B1855" s="7" t="n"/>
      <c r="C1855" s="11">
        <f>IF(AND(ISNUMBER(B1855),ISNUMBER(B1854)),ABS(B1855-B1854),"")</f>
        <v/>
      </c>
      <c r="D1855" s="13">
        <f>IF(AND(ISNUMBER(B1855),ISNUMBER($B$88),ISNUMBER($D$88)),IF(B1855&gt;$D$88,"boven UCL",IF(B1855&lt;$B$88,"onder LCL","")),"")</f>
        <v/>
      </c>
      <c r="E1855" s="13">
        <f>IF(AND(ISNUMBER(C1855),ISNUMBER($B$89),ISNUMBER($D$89)),IF(C1855&gt;$D$89,"boven UCL",IF(C1855&lt;$B$89,"onder LCL","")),"")</f>
        <v/>
      </c>
      <c r="G1855" t="n">
        <v>1749</v>
      </c>
      <c r="H1855" s="7" t="n"/>
      <c r="I1855" s="7" t="n"/>
      <c r="J1855" s="11">
        <f>IF(AND(ISNUMBER(H1855),ISNUMBER(I1855),H1855&gt;0,ISNUMBER($B$94)),I1855/H1855,"")</f>
        <v/>
      </c>
      <c r="K1855" s="11">
        <f>IF(AND(ISNUMBER(H1855),ISNUMBER(I1855),H1855&gt;0,ISNUMBER($B$94)),MAX(0,$B$94-3*SQRT($B$94*(1-$B$94)/H1855)),"")</f>
        <v/>
      </c>
      <c r="L1855" s="11">
        <f>IF(AND(ISNUMBER(H1855),ISNUMBER(I1855),H1855&gt;0,ISNUMBER($B$94)),$B$94+3*SQRT($B$94*(1-$B$94)/H1855),"")</f>
        <v/>
      </c>
      <c r="M1855" s="13">
        <f>IF(AND(ISNUMBER(J1855),ISNUMBER(K1855),ISNUMBER(L1855)),IF(J1855&gt;L1855,"boven UCL",IF(J1855&lt;K1855,"onder LCL","")),"")</f>
        <v/>
      </c>
      <c r="O1855" t="n">
        <v>1749</v>
      </c>
      <c r="P1855" s="7" t="n"/>
      <c r="Q1855" s="7" t="n"/>
      <c r="R1855" s="11">
        <f>IF(AND(ISNUMBER(P1855),ISNUMBER(Q1855),P1855&gt;0,ISNUMBER($B$100)),Q1855/P1855,"")</f>
        <v/>
      </c>
      <c r="S1855" s="11">
        <f>IF(AND(ISNUMBER(P1855),ISNUMBER(Q1855),P1855&gt;0,ISNUMBER($B$100)),MAX(0,$B$100-3*SQRT($B$100/P1855)),"")</f>
        <v/>
      </c>
      <c r="T1855" s="11">
        <f>IF(AND(ISNUMBER(P1855),ISNUMBER(Q1855),P1855&gt;0,ISNUMBER($B$100)),$B$100+3*SQRT($B$100/P1855),"")</f>
        <v/>
      </c>
      <c r="U1855" s="13">
        <f>IF(AND(ISNUMBER(R1855),ISNUMBER(S1855),ISNUMBER(T1855)),IF(R1855&gt;T1855,"boven UCL",IF(R1855&lt;S1855,"onder LCL","")),"")</f>
        <v/>
      </c>
    </row>
    <row r="1856">
      <c r="A1856" t="n">
        <v>1750</v>
      </c>
      <c r="B1856" s="7" t="n"/>
      <c r="C1856" s="11">
        <f>IF(AND(ISNUMBER(B1856),ISNUMBER(B1855)),ABS(B1856-B1855),"")</f>
        <v/>
      </c>
      <c r="D1856" s="13">
        <f>IF(AND(ISNUMBER(B1856),ISNUMBER($B$88),ISNUMBER($D$88)),IF(B1856&gt;$D$88,"boven UCL",IF(B1856&lt;$B$88,"onder LCL","")),"")</f>
        <v/>
      </c>
      <c r="E1856" s="13">
        <f>IF(AND(ISNUMBER(C1856),ISNUMBER($B$89),ISNUMBER($D$89)),IF(C1856&gt;$D$89,"boven UCL",IF(C1856&lt;$B$89,"onder LCL","")),"")</f>
        <v/>
      </c>
      <c r="G1856" t="n">
        <v>1750</v>
      </c>
      <c r="H1856" s="7" t="n"/>
      <c r="I1856" s="7" t="n"/>
      <c r="J1856" s="11">
        <f>IF(AND(ISNUMBER(H1856),ISNUMBER(I1856),H1856&gt;0,ISNUMBER($B$94)),I1856/H1856,"")</f>
        <v/>
      </c>
      <c r="K1856" s="11">
        <f>IF(AND(ISNUMBER(H1856),ISNUMBER(I1856),H1856&gt;0,ISNUMBER($B$94)),MAX(0,$B$94-3*SQRT($B$94*(1-$B$94)/H1856)),"")</f>
        <v/>
      </c>
      <c r="L1856" s="11">
        <f>IF(AND(ISNUMBER(H1856),ISNUMBER(I1856),H1856&gt;0,ISNUMBER($B$94)),$B$94+3*SQRT($B$94*(1-$B$94)/H1856),"")</f>
        <v/>
      </c>
      <c r="M1856" s="13">
        <f>IF(AND(ISNUMBER(J1856),ISNUMBER(K1856),ISNUMBER(L1856)),IF(J1856&gt;L1856,"boven UCL",IF(J1856&lt;K1856,"onder LCL","")),"")</f>
        <v/>
      </c>
      <c r="O1856" t="n">
        <v>1750</v>
      </c>
      <c r="P1856" s="7" t="n"/>
      <c r="Q1856" s="7" t="n"/>
      <c r="R1856" s="11">
        <f>IF(AND(ISNUMBER(P1856),ISNUMBER(Q1856),P1856&gt;0,ISNUMBER($B$100)),Q1856/P1856,"")</f>
        <v/>
      </c>
      <c r="S1856" s="11">
        <f>IF(AND(ISNUMBER(P1856),ISNUMBER(Q1856),P1856&gt;0,ISNUMBER($B$100)),MAX(0,$B$100-3*SQRT($B$100/P1856)),"")</f>
        <v/>
      </c>
      <c r="T1856" s="11">
        <f>IF(AND(ISNUMBER(P1856),ISNUMBER(Q1856),P1856&gt;0,ISNUMBER($B$100)),$B$100+3*SQRT($B$100/P1856),"")</f>
        <v/>
      </c>
      <c r="U1856" s="13">
        <f>IF(AND(ISNUMBER(R1856),ISNUMBER(S1856),ISNUMBER(T1856)),IF(R1856&gt;T1856,"boven UCL",IF(R1856&lt;S1856,"onder LCL","")),"")</f>
        <v/>
      </c>
    </row>
    <row r="1857">
      <c r="A1857" t="n">
        <v>1751</v>
      </c>
      <c r="B1857" s="7" t="n"/>
      <c r="C1857" s="11">
        <f>IF(AND(ISNUMBER(B1857),ISNUMBER(B1856)),ABS(B1857-B1856),"")</f>
        <v/>
      </c>
      <c r="D1857" s="13">
        <f>IF(AND(ISNUMBER(B1857),ISNUMBER($B$88),ISNUMBER($D$88)),IF(B1857&gt;$D$88,"boven UCL",IF(B1857&lt;$B$88,"onder LCL","")),"")</f>
        <v/>
      </c>
      <c r="E1857" s="13">
        <f>IF(AND(ISNUMBER(C1857),ISNUMBER($B$89),ISNUMBER($D$89)),IF(C1857&gt;$D$89,"boven UCL",IF(C1857&lt;$B$89,"onder LCL","")),"")</f>
        <v/>
      </c>
      <c r="G1857" t="n">
        <v>1751</v>
      </c>
      <c r="H1857" s="7" t="n"/>
      <c r="I1857" s="7" t="n"/>
      <c r="J1857" s="11">
        <f>IF(AND(ISNUMBER(H1857),ISNUMBER(I1857),H1857&gt;0,ISNUMBER($B$94)),I1857/H1857,"")</f>
        <v/>
      </c>
      <c r="K1857" s="11">
        <f>IF(AND(ISNUMBER(H1857),ISNUMBER(I1857),H1857&gt;0,ISNUMBER($B$94)),MAX(0,$B$94-3*SQRT($B$94*(1-$B$94)/H1857)),"")</f>
        <v/>
      </c>
      <c r="L1857" s="11">
        <f>IF(AND(ISNUMBER(H1857),ISNUMBER(I1857),H1857&gt;0,ISNUMBER($B$94)),$B$94+3*SQRT($B$94*(1-$B$94)/H1857),"")</f>
        <v/>
      </c>
      <c r="M1857" s="13">
        <f>IF(AND(ISNUMBER(J1857),ISNUMBER(K1857),ISNUMBER(L1857)),IF(J1857&gt;L1857,"boven UCL",IF(J1857&lt;K1857,"onder LCL","")),"")</f>
        <v/>
      </c>
      <c r="O1857" t="n">
        <v>1751</v>
      </c>
      <c r="P1857" s="7" t="n"/>
      <c r="Q1857" s="7" t="n"/>
      <c r="R1857" s="11">
        <f>IF(AND(ISNUMBER(P1857),ISNUMBER(Q1857),P1857&gt;0,ISNUMBER($B$100)),Q1857/P1857,"")</f>
        <v/>
      </c>
      <c r="S1857" s="11">
        <f>IF(AND(ISNUMBER(P1857),ISNUMBER(Q1857),P1857&gt;0,ISNUMBER($B$100)),MAX(0,$B$100-3*SQRT($B$100/P1857)),"")</f>
        <v/>
      </c>
      <c r="T1857" s="11">
        <f>IF(AND(ISNUMBER(P1857),ISNUMBER(Q1857),P1857&gt;0,ISNUMBER($B$100)),$B$100+3*SQRT($B$100/P1857),"")</f>
        <v/>
      </c>
      <c r="U1857" s="13">
        <f>IF(AND(ISNUMBER(R1857),ISNUMBER(S1857),ISNUMBER(T1857)),IF(R1857&gt;T1857,"boven UCL",IF(R1857&lt;S1857,"onder LCL","")),"")</f>
        <v/>
      </c>
    </row>
    <row r="1858">
      <c r="A1858" t="n">
        <v>1752</v>
      </c>
      <c r="B1858" s="7" t="n"/>
      <c r="C1858" s="11">
        <f>IF(AND(ISNUMBER(B1858),ISNUMBER(B1857)),ABS(B1858-B1857),"")</f>
        <v/>
      </c>
      <c r="D1858" s="13">
        <f>IF(AND(ISNUMBER(B1858),ISNUMBER($B$88),ISNUMBER($D$88)),IF(B1858&gt;$D$88,"boven UCL",IF(B1858&lt;$B$88,"onder LCL","")),"")</f>
        <v/>
      </c>
      <c r="E1858" s="13">
        <f>IF(AND(ISNUMBER(C1858),ISNUMBER($B$89),ISNUMBER($D$89)),IF(C1858&gt;$D$89,"boven UCL",IF(C1858&lt;$B$89,"onder LCL","")),"")</f>
        <v/>
      </c>
      <c r="G1858" t="n">
        <v>1752</v>
      </c>
      <c r="H1858" s="7" t="n"/>
      <c r="I1858" s="7" t="n"/>
      <c r="J1858" s="11">
        <f>IF(AND(ISNUMBER(H1858),ISNUMBER(I1858),H1858&gt;0,ISNUMBER($B$94)),I1858/H1858,"")</f>
        <v/>
      </c>
      <c r="K1858" s="11">
        <f>IF(AND(ISNUMBER(H1858),ISNUMBER(I1858),H1858&gt;0,ISNUMBER($B$94)),MAX(0,$B$94-3*SQRT($B$94*(1-$B$94)/H1858)),"")</f>
        <v/>
      </c>
      <c r="L1858" s="11">
        <f>IF(AND(ISNUMBER(H1858),ISNUMBER(I1858),H1858&gt;0,ISNUMBER($B$94)),$B$94+3*SQRT($B$94*(1-$B$94)/H1858),"")</f>
        <v/>
      </c>
      <c r="M1858" s="13">
        <f>IF(AND(ISNUMBER(J1858),ISNUMBER(K1858),ISNUMBER(L1858)),IF(J1858&gt;L1858,"boven UCL",IF(J1858&lt;K1858,"onder LCL","")),"")</f>
        <v/>
      </c>
      <c r="O1858" t="n">
        <v>1752</v>
      </c>
      <c r="P1858" s="7" t="n"/>
      <c r="Q1858" s="7" t="n"/>
      <c r="R1858" s="11">
        <f>IF(AND(ISNUMBER(P1858),ISNUMBER(Q1858),P1858&gt;0,ISNUMBER($B$100)),Q1858/P1858,"")</f>
        <v/>
      </c>
      <c r="S1858" s="11">
        <f>IF(AND(ISNUMBER(P1858),ISNUMBER(Q1858),P1858&gt;0,ISNUMBER($B$100)),MAX(0,$B$100-3*SQRT($B$100/P1858)),"")</f>
        <v/>
      </c>
      <c r="T1858" s="11">
        <f>IF(AND(ISNUMBER(P1858),ISNUMBER(Q1858),P1858&gt;0,ISNUMBER($B$100)),$B$100+3*SQRT($B$100/P1858),"")</f>
        <v/>
      </c>
      <c r="U1858" s="13">
        <f>IF(AND(ISNUMBER(R1858),ISNUMBER(S1858),ISNUMBER(T1858)),IF(R1858&gt;T1858,"boven UCL",IF(R1858&lt;S1858,"onder LCL","")),"")</f>
        <v/>
      </c>
    </row>
    <row r="1859">
      <c r="A1859" t="n">
        <v>1753</v>
      </c>
      <c r="B1859" s="7" t="n"/>
      <c r="C1859" s="11">
        <f>IF(AND(ISNUMBER(B1859),ISNUMBER(B1858)),ABS(B1859-B1858),"")</f>
        <v/>
      </c>
      <c r="D1859" s="13">
        <f>IF(AND(ISNUMBER(B1859),ISNUMBER($B$88),ISNUMBER($D$88)),IF(B1859&gt;$D$88,"boven UCL",IF(B1859&lt;$B$88,"onder LCL","")),"")</f>
        <v/>
      </c>
      <c r="E1859" s="13">
        <f>IF(AND(ISNUMBER(C1859),ISNUMBER($B$89),ISNUMBER($D$89)),IF(C1859&gt;$D$89,"boven UCL",IF(C1859&lt;$B$89,"onder LCL","")),"")</f>
        <v/>
      </c>
      <c r="G1859" t="n">
        <v>1753</v>
      </c>
      <c r="H1859" s="7" t="n"/>
      <c r="I1859" s="7" t="n"/>
      <c r="J1859" s="11">
        <f>IF(AND(ISNUMBER(H1859),ISNUMBER(I1859),H1859&gt;0,ISNUMBER($B$94)),I1859/H1859,"")</f>
        <v/>
      </c>
      <c r="K1859" s="11">
        <f>IF(AND(ISNUMBER(H1859),ISNUMBER(I1859),H1859&gt;0,ISNUMBER($B$94)),MAX(0,$B$94-3*SQRT($B$94*(1-$B$94)/H1859)),"")</f>
        <v/>
      </c>
      <c r="L1859" s="11">
        <f>IF(AND(ISNUMBER(H1859),ISNUMBER(I1859),H1859&gt;0,ISNUMBER($B$94)),$B$94+3*SQRT($B$94*(1-$B$94)/H1859),"")</f>
        <v/>
      </c>
      <c r="M1859" s="13">
        <f>IF(AND(ISNUMBER(J1859),ISNUMBER(K1859),ISNUMBER(L1859)),IF(J1859&gt;L1859,"boven UCL",IF(J1859&lt;K1859,"onder LCL","")),"")</f>
        <v/>
      </c>
      <c r="O1859" t="n">
        <v>1753</v>
      </c>
      <c r="P1859" s="7" t="n"/>
      <c r="Q1859" s="7" t="n"/>
      <c r="R1859" s="11">
        <f>IF(AND(ISNUMBER(P1859),ISNUMBER(Q1859),P1859&gt;0,ISNUMBER($B$100)),Q1859/P1859,"")</f>
        <v/>
      </c>
      <c r="S1859" s="11">
        <f>IF(AND(ISNUMBER(P1859),ISNUMBER(Q1859),P1859&gt;0,ISNUMBER($B$100)),MAX(0,$B$100-3*SQRT($B$100/P1859)),"")</f>
        <v/>
      </c>
      <c r="T1859" s="11">
        <f>IF(AND(ISNUMBER(P1859),ISNUMBER(Q1859),P1859&gt;0,ISNUMBER($B$100)),$B$100+3*SQRT($B$100/P1859),"")</f>
        <v/>
      </c>
      <c r="U1859" s="13">
        <f>IF(AND(ISNUMBER(R1859),ISNUMBER(S1859),ISNUMBER(T1859)),IF(R1859&gt;T1859,"boven UCL",IF(R1859&lt;S1859,"onder LCL","")),"")</f>
        <v/>
      </c>
    </row>
    <row r="1860">
      <c r="A1860" t="n">
        <v>1754</v>
      </c>
      <c r="B1860" s="7" t="n"/>
      <c r="C1860" s="11">
        <f>IF(AND(ISNUMBER(B1860),ISNUMBER(B1859)),ABS(B1860-B1859),"")</f>
        <v/>
      </c>
      <c r="D1860" s="13">
        <f>IF(AND(ISNUMBER(B1860),ISNUMBER($B$88),ISNUMBER($D$88)),IF(B1860&gt;$D$88,"boven UCL",IF(B1860&lt;$B$88,"onder LCL","")),"")</f>
        <v/>
      </c>
      <c r="E1860" s="13">
        <f>IF(AND(ISNUMBER(C1860),ISNUMBER($B$89),ISNUMBER($D$89)),IF(C1860&gt;$D$89,"boven UCL",IF(C1860&lt;$B$89,"onder LCL","")),"")</f>
        <v/>
      </c>
      <c r="G1860" t="n">
        <v>1754</v>
      </c>
      <c r="H1860" s="7" t="n"/>
      <c r="I1860" s="7" t="n"/>
      <c r="J1860" s="11">
        <f>IF(AND(ISNUMBER(H1860),ISNUMBER(I1860),H1860&gt;0,ISNUMBER($B$94)),I1860/H1860,"")</f>
        <v/>
      </c>
      <c r="K1860" s="11">
        <f>IF(AND(ISNUMBER(H1860),ISNUMBER(I1860),H1860&gt;0,ISNUMBER($B$94)),MAX(0,$B$94-3*SQRT($B$94*(1-$B$94)/H1860)),"")</f>
        <v/>
      </c>
      <c r="L1860" s="11">
        <f>IF(AND(ISNUMBER(H1860),ISNUMBER(I1860),H1860&gt;0,ISNUMBER($B$94)),$B$94+3*SQRT($B$94*(1-$B$94)/H1860),"")</f>
        <v/>
      </c>
      <c r="M1860" s="13">
        <f>IF(AND(ISNUMBER(J1860),ISNUMBER(K1860),ISNUMBER(L1860)),IF(J1860&gt;L1860,"boven UCL",IF(J1860&lt;K1860,"onder LCL","")),"")</f>
        <v/>
      </c>
      <c r="O1860" t="n">
        <v>1754</v>
      </c>
      <c r="P1860" s="7" t="n"/>
      <c r="Q1860" s="7" t="n"/>
      <c r="R1860" s="11">
        <f>IF(AND(ISNUMBER(P1860),ISNUMBER(Q1860),P1860&gt;0,ISNUMBER($B$100)),Q1860/P1860,"")</f>
        <v/>
      </c>
      <c r="S1860" s="11">
        <f>IF(AND(ISNUMBER(P1860),ISNUMBER(Q1860),P1860&gt;0,ISNUMBER($B$100)),MAX(0,$B$100-3*SQRT($B$100/P1860)),"")</f>
        <v/>
      </c>
      <c r="T1860" s="11">
        <f>IF(AND(ISNUMBER(P1860),ISNUMBER(Q1860),P1860&gt;0,ISNUMBER($B$100)),$B$100+3*SQRT($B$100/P1860),"")</f>
        <v/>
      </c>
      <c r="U1860" s="13">
        <f>IF(AND(ISNUMBER(R1860),ISNUMBER(S1860),ISNUMBER(T1860)),IF(R1860&gt;T1860,"boven UCL",IF(R1860&lt;S1860,"onder LCL","")),"")</f>
        <v/>
      </c>
    </row>
    <row r="1861">
      <c r="A1861" t="n">
        <v>1755</v>
      </c>
      <c r="B1861" s="7" t="n"/>
      <c r="C1861" s="11">
        <f>IF(AND(ISNUMBER(B1861),ISNUMBER(B1860)),ABS(B1861-B1860),"")</f>
        <v/>
      </c>
      <c r="D1861" s="13">
        <f>IF(AND(ISNUMBER(B1861),ISNUMBER($B$88),ISNUMBER($D$88)),IF(B1861&gt;$D$88,"boven UCL",IF(B1861&lt;$B$88,"onder LCL","")),"")</f>
        <v/>
      </c>
      <c r="E1861" s="13">
        <f>IF(AND(ISNUMBER(C1861),ISNUMBER($B$89),ISNUMBER($D$89)),IF(C1861&gt;$D$89,"boven UCL",IF(C1861&lt;$B$89,"onder LCL","")),"")</f>
        <v/>
      </c>
      <c r="G1861" t="n">
        <v>1755</v>
      </c>
      <c r="H1861" s="7" t="n"/>
      <c r="I1861" s="7" t="n"/>
      <c r="J1861" s="11">
        <f>IF(AND(ISNUMBER(H1861),ISNUMBER(I1861),H1861&gt;0,ISNUMBER($B$94)),I1861/H1861,"")</f>
        <v/>
      </c>
      <c r="K1861" s="11">
        <f>IF(AND(ISNUMBER(H1861),ISNUMBER(I1861),H1861&gt;0,ISNUMBER($B$94)),MAX(0,$B$94-3*SQRT($B$94*(1-$B$94)/H1861)),"")</f>
        <v/>
      </c>
      <c r="L1861" s="11">
        <f>IF(AND(ISNUMBER(H1861),ISNUMBER(I1861),H1861&gt;0,ISNUMBER($B$94)),$B$94+3*SQRT($B$94*(1-$B$94)/H1861),"")</f>
        <v/>
      </c>
      <c r="M1861" s="13">
        <f>IF(AND(ISNUMBER(J1861),ISNUMBER(K1861),ISNUMBER(L1861)),IF(J1861&gt;L1861,"boven UCL",IF(J1861&lt;K1861,"onder LCL","")),"")</f>
        <v/>
      </c>
      <c r="O1861" t="n">
        <v>1755</v>
      </c>
      <c r="P1861" s="7" t="n"/>
      <c r="Q1861" s="7" t="n"/>
      <c r="R1861" s="11">
        <f>IF(AND(ISNUMBER(P1861),ISNUMBER(Q1861),P1861&gt;0,ISNUMBER($B$100)),Q1861/P1861,"")</f>
        <v/>
      </c>
      <c r="S1861" s="11">
        <f>IF(AND(ISNUMBER(P1861),ISNUMBER(Q1861),P1861&gt;0,ISNUMBER($B$100)),MAX(0,$B$100-3*SQRT($B$100/P1861)),"")</f>
        <v/>
      </c>
      <c r="T1861" s="11">
        <f>IF(AND(ISNUMBER(P1861),ISNUMBER(Q1861),P1861&gt;0,ISNUMBER($B$100)),$B$100+3*SQRT($B$100/P1861),"")</f>
        <v/>
      </c>
      <c r="U1861" s="13">
        <f>IF(AND(ISNUMBER(R1861),ISNUMBER(S1861),ISNUMBER(T1861)),IF(R1861&gt;T1861,"boven UCL",IF(R1861&lt;S1861,"onder LCL","")),"")</f>
        <v/>
      </c>
    </row>
    <row r="1862">
      <c r="A1862" t="n">
        <v>1756</v>
      </c>
      <c r="B1862" s="7" t="n"/>
      <c r="C1862" s="11">
        <f>IF(AND(ISNUMBER(B1862),ISNUMBER(B1861)),ABS(B1862-B1861),"")</f>
        <v/>
      </c>
      <c r="D1862" s="13">
        <f>IF(AND(ISNUMBER(B1862),ISNUMBER($B$88),ISNUMBER($D$88)),IF(B1862&gt;$D$88,"boven UCL",IF(B1862&lt;$B$88,"onder LCL","")),"")</f>
        <v/>
      </c>
      <c r="E1862" s="13">
        <f>IF(AND(ISNUMBER(C1862),ISNUMBER($B$89),ISNUMBER($D$89)),IF(C1862&gt;$D$89,"boven UCL",IF(C1862&lt;$B$89,"onder LCL","")),"")</f>
        <v/>
      </c>
      <c r="G1862" t="n">
        <v>1756</v>
      </c>
      <c r="H1862" s="7" t="n"/>
      <c r="I1862" s="7" t="n"/>
      <c r="J1862" s="11">
        <f>IF(AND(ISNUMBER(H1862),ISNUMBER(I1862),H1862&gt;0,ISNUMBER($B$94)),I1862/H1862,"")</f>
        <v/>
      </c>
      <c r="K1862" s="11">
        <f>IF(AND(ISNUMBER(H1862),ISNUMBER(I1862),H1862&gt;0,ISNUMBER($B$94)),MAX(0,$B$94-3*SQRT($B$94*(1-$B$94)/H1862)),"")</f>
        <v/>
      </c>
      <c r="L1862" s="11">
        <f>IF(AND(ISNUMBER(H1862),ISNUMBER(I1862),H1862&gt;0,ISNUMBER($B$94)),$B$94+3*SQRT($B$94*(1-$B$94)/H1862),"")</f>
        <v/>
      </c>
      <c r="M1862" s="13">
        <f>IF(AND(ISNUMBER(J1862),ISNUMBER(K1862),ISNUMBER(L1862)),IF(J1862&gt;L1862,"boven UCL",IF(J1862&lt;K1862,"onder LCL","")),"")</f>
        <v/>
      </c>
      <c r="O1862" t="n">
        <v>1756</v>
      </c>
      <c r="P1862" s="7" t="n"/>
      <c r="Q1862" s="7" t="n"/>
      <c r="R1862" s="11">
        <f>IF(AND(ISNUMBER(P1862),ISNUMBER(Q1862),P1862&gt;0,ISNUMBER($B$100)),Q1862/P1862,"")</f>
        <v/>
      </c>
      <c r="S1862" s="11">
        <f>IF(AND(ISNUMBER(P1862),ISNUMBER(Q1862),P1862&gt;0,ISNUMBER($B$100)),MAX(0,$B$100-3*SQRT($B$100/P1862)),"")</f>
        <v/>
      </c>
      <c r="T1862" s="11">
        <f>IF(AND(ISNUMBER(P1862),ISNUMBER(Q1862),P1862&gt;0,ISNUMBER($B$100)),$B$100+3*SQRT($B$100/P1862),"")</f>
        <v/>
      </c>
      <c r="U1862" s="13">
        <f>IF(AND(ISNUMBER(R1862),ISNUMBER(S1862),ISNUMBER(T1862)),IF(R1862&gt;T1862,"boven UCL",IF(R1862&lt;S1862,"onder LCL","")),"")</f>
        <v/>
      </c>
    </row>
    <row r="1863">
      <c r="A1863" t="n">
        <v>1757</v>
      </c>
      <c r="B1863" s="7" t="n"/>
      <c r="C1863" s="11">
        <f>IF(AND(ISNUMBER(B1863),ISNUMBER(B1862)),ABS(B1863-B1862),"")</f>
        <v/>
      </c>
      <c r="D1863" s="13">
        <f>IF(AND(ISNUMBER(B1863),ISNUMBER($B$88),ISNUMBER($D$88)),IF(B1863&gt;$D$88,"boven UCL",IF(B1863&lt;$B$88,"onder LCL","")),"")</f>
        <v/>
      </c>
      <c r="E1863" s="13">
        <f>IF(AND(ISNUMBER(C1863),ISNUMBER($B$89),ISNUMBER($D$89)),IF(C1863&gt;$D$89,"boven UCL",IF(C1863&lt;$B$89,"onder LCL","")),"")</f>
        <v/>
      </c>
      <c r="G1863" t="n">
        <v>1757</v>
      </c>
      <c r="H1863" s="7" t="n"/>
      <c r="I1863" s="7" t="n"/>
      <c r="J1863" s="11">
        <f>IF(AND(ISNUMBER(H1863),ISNUMBER(I1863),H1863&gt;0,ISNUMBER($B$94)),I1863/H1863,"")</f>
        <v/>
      </c>
      <c r="K1863" s="11">
        <f>IF(AND(ISNUMBER(H1863),ISNUMBER(I1863),H1863&gt;0,ISNUMBER($B$94)),MAX(0,$B$94-3*SQRT($B$94*(1-$B$94)/H1863)),"")</f>
        <v/>
      </c>
      <c r="L1863" s="11">
        <f>IF(AND(ISNUMBER(H1863),ISNUMBER(I1863),H1863&gt;0,ISNUMBER($B$94)),$B$94+3*SQRT($B$94*(1-$B$94)/H1863),"")</f>
        <v/>
      </c>
      <c r="M1863" s="13">
        <f>IF(AND(ISNUMBER(J1863),ISNUMBER(K1863),ISNUMBER(L1863)),IF(J1863&gt;L1863,"boven UCL",IF(J1863&lt;K1863,"onder LCL","")),"")</f>
        <v/>
      </c>
      <c r="O1863" t="n">
        <v>1757</v>
      </c>
      <c r="P1863" s="7" t="n"/>
      <c r="Q1863" s="7" t="n"/>
      <c r="R1863" s="11">
        <f>IF(AND(ISNUMBER(P1863),ISNUMBER(Q1863),P1863&gt;0,ISNUMBER($B$100)),Q1863/P1863,"")</f>
        <v/>
      </c>
      <c r="S1863" s="11">
        <f>IF(AND(ISNUMBER(P1863),ISNUMBER(Q1863),P1863&gt;0,ISNUMBER($B$100)),MAX(0,$B$100-3*SQRT($B$100/P1863)),"")</f>
        <v/>
      </c>
      <c r="T1863" s="11">
        <f>IF(AND(ISNUMBER(P1863),ISNUMBER(Q1863),P1863&gt;0,ISNUMBER($B$100)),$B$100+3*SQRT($B$100/P1863),"")</f>
        <v/>
      </c>
      <c r="U1863" s="13">
        <f>IF(AND(ISNUMBER(R1863),ISNUMBER(S1863),ISNUMBER(T1863)),IF(R1863&gt;T1863,"boven UCL",IF(R1863&lt;S1863,"onder LCL","")),"")</f>
        <v/>
      </c>
    </row>
    <row r="1864">
      <c r="A1864" t="n">
        <v>1758</v>
      </c>
      <c r="B1864" s="7" t="n"/>
      <c r="C1864" s="11">
        <f>IF(AND(ISNUMBER(B1864),ISNUMBER(B1863)),ABS(B1864-B1863),"")</f>
        <v/>
      </c>
      <c r="D1864" s="13">
        <f>IF(AND(ISNUMBER(B1864),ISNUMBER($B$88),ISNUMBER($D$88)),IF(B1864&gt;$D$88,"boven UCL",IF(B1864&lt;$B$88,"onder LCL","")),"")</f>
        <v/>
      </c>
      <c r="E1864" s="13">
        <f>IF(AND(ISNUMBER(C1864),ISNUMBER($B$89),ISNUMBER($D$89)),IF(C1864&gt;$D$89,"boven UCL",IF(C1864&lt;$B$89,"onder LCL","")),"")</f>
        <v/>
      </c>
      <c r="G1864" t="n">
        <v>1758</v>
      </c>
      <c r="H1864" s="7" t="n"/>
      <c r="I1864" s="7" t="n"/>
      <c r="J1864" s="11">
        <f>IF(AND(ISNUMBER(H1864),ISNUMBER(I1864),H1864&gt;0,ISNUMBER($B$94)),I1864/H1864,"")</f>
        <v/>
      </c>
      <c r="K1864" s="11">
        <f>IF(AND(ISNUMBER(H1864),ISNUMBER(I1864),H1864&gt;0,ISNUMBER($B$94)),MAX(0,$B$94-3*SQRT($B$94*(1-$B$94)/H1864)),"")</f>
        <v/>
      </c>
      <c r="L1864" s="11">
        <f>IF(AND(ISNUMBER(H1864),ISNUMBER(I1864),H1864&gt;0,ISNUMBER($B$94)),$B$94+3*SQRT($B$94*(1-$B$94)/H1864),"")</f>
        <v/>
      </c>
      <c r="M1864" s="13">
        <f>IF(AND(ISNUMBER(J1864),ISNUMBER(K1864),ISNUMBER(L1864)),IF(J1864&gt;L1864,"boven UCL",IF(J1864&lt;K1864,"onder LCL","")),"")</f>
        <v/>
      </c>
      <c r="O1864" t="n">
        <v>1758</v>
      </c>
      <c r="P1864" s="7" t="n"/>
      <c r="Q1864" s="7" t="n"/>
      <c r="R1864" s="11">
        <f>IF(AND(ISNUMBER(P1864),ISNUMBER(Q1864),P1864&gt;0,ISNUMBER($B$100)),Q1864/P1864,"")</f>
        <v/>
      </c>
      <c r="S1864" s="11">
        <f>IF(AND(ISNUMBER(P1864),ISNUMBER(Q1864),P1864&gt;0,ISNUMBER($B$100)),MAX(0,$B$100-3*SQRT($B$100/P1864)),"")</f>
        <v/>
      </c>
      <c r="T1864" s="11">
        <f>IF(AND(ISNUMBER(P1864),ISNUMBER(Q1864),P1864&gt;0,ISNUMBER($B$100)),$B$100+3*SQRT($B$100/P1864),"")</f>
        <v/>
      </c>
      <c r="U1864" s="13">
        <f>IF(AND(ISNUMBER(R1864),ISNUMBER(S1864),ISNUMBER(T1864)),IF(R1864&gt;T1864,"boven UCL",IF(R1864&lt;S1864,"onder LCL","")),"")</f>
        <v/>
      </c>
    </row>
    <row r="1865">
      <c r="A1865" t="n">
        <v>1759</v>
      </c>
      <c r="B1865" s="7" t="n"/>
      <c r="C1865" s="11">
        <f>IF(AND(ISNUMBER(B1865),ISNUMBER(B1864)),ABS(B1865-B1864),"")</f>
        <v/>
      </c>
      <c r="D1865" s="13">
        <f>IF(AND(ISNUMBER(B1865),ISNUMBER($B$88),ISNUMBER($D$88)),IF(B1865&gt;$D$88,"boven UCL",IF(B1865&lt;$B$88,"onder LCL","")),"")</f>
        <v/>
      </c>
      <c r="E1865" s="13">
        <f>IF(AND(ISNUMBER(C1865),ISNUMBER($B$89),ISNUMBER($D$89)),IF(C1865&gt;$D$89,"boven UCL",IF(C1865&lt;$B$89,"onder LCL","")),"")</f>
        <v/>
      </c>
      <c r="G1865" t="n">
        <v>1759</v>
      </c>
      <c r="H1865" s="7" t="n"/>
      <c r="I1865" s="7" t="n"/>
      <c r="J1865" s="11">
        <f>IF(AND(ISNUMBER(H1865),ISNUMBER(I1865),H1865&gt;0,ISNUMBER($B$94)),I1865/H1865,"")</f>
        <v/>
      </c>
      <c r="K1865" s="11">
        <f>IF(AND(ISNUMBER(H1865),ISNUMBER(I1865),H1865&gt;0,ISNUMBER($B$94)),MAX(0,$B$94-3*SQRT($B$94*(1-$B$94)/H1865)),"")</f>
        <v/>
      </c>
      <c r="L1865" s="11">
        <f>IF(AND(ISNUMBER(H1865),ISNUMBER(I1865),H1865&gt;0,ISNUMBER($B$94)),$B$94+3*SQRT($B$94*(1-$B$94)/H1865),"")</f>
        <v/>
      </c>
      <c r="M1865" s="13">
        <f>IF(AND(ISNUMBER(J1865),ISNUMBER(K1865),ISNUMBER(L1865)),IF(J1865&gt;L1865,"boven UCL",IF(J1865&lt;K1865,"onder LCL","")),"")</f>
        <v/>
      </c>
      <c r="O1865" t="n">
        <v>1759</v>
      </c>
      <c r="P1865" s="7" t="n"/>
      <c r="Q1865" s="7" t="n"/>
      <c r="R1865" s="11">
        <f>IF(AND(ISNUMBER(P1865),ISNUMBER(Q1865),P1865&gt;0,ISNUMBER($B$100)),Q1865/P1865,"")</f>
        <v/>
      </c>
      <c r="S1865" s="11">
        <f>IF(AND(ISNUMBER(P1865),ISNUMBER(Q1865),P1865&gt;0,ISNUMBER($B$100)),MAX(0,$B$100-3*SQRT($B$100/P1865)),"")</f>
        <v/>
      </c>
      <c r="T1865" s="11">
        <f>IF(AND(ISNUMBER(P1865),ISNUMBER(Q1865),P1865&gt;0,ISNUMBER($B$100)),$B$100+3*SQRT($B$100/P1865),"")</f>
        <v/>
      </c>
      <c r="U1865" s="13">
        <f>IF(AND(ISNUMBER(R1865),ISNUMBER(S1865),ISNUMBER(T1865)),IF(R1865&gt;T1865,"boven UCL",IF(R1865&lt;S1865,"onder LCL","")),"")</f>
        <v/>
      </c>
    </row>
    <row r="1866">
      <c r="A1866" t="n">
        <v>1760</v>
      </c>
      <c r="B1866" s="7" t="n"/>
      <c r="C1866" s="11">
        <f>IF(AND(ISNUMBER(B1866),ISNUMBER(B1865)),ABS(B1866-B1865),"")</f>
        <v/>
      </c>
      <c r="D1866" s="13">
        <f>IF(AND(ISNUMBER(B1866),ISNUMBER($B$88),ISNUMBER($D$88)),IF(B1866&gt;$D$88,"boven UCL",IF(B1866&lt;$B$88,"onder LCL","")),"")</f>
        <v/>
      </c>
      <c r="E1866" s="13">
        <f>IF(AND(ISNUMBER(C1866),ISNUMBER($B$89),ISNUMBER($D$89)),IF(C1866&gt;$D$89,"boven UCL",IF(C1866&lt;$B$89,"onder LCL","")),"")</f>
        <v/>
      </c>
      <c r="G1866" t="n">
        <v>1760</v>
      </c>
      <c r="H1866" s="7" t="n"/>
      <c r="I1866" s="7" t="n"/>
      <c r="J1866" s="11">
        <f>IF(AND(ISNUMBER(H1866),ISNUMBER(I1866),H1866&gt;0,ISNUMBER($B$94)),I1866/H1866,"")</f>
        <v/>
      </c>
      <c r="K1866" s="11">
        <f>IF(AND(ISNUMBER(H1866),ISNUMBER(I1866),H1866&gt;0,ISNUMBER($B$94)),MAX(0,$B$94-3*SQRT($B$94*(1-$B$94)/H1866)),"")</f>
        <v/>
      </c>
      <c r="L1866" s="11">
        <f>IF(AND(ISNUMBER(H1866),ISNUMBER(I1866),H1866&gt;0,ISNUMBER($B$94)),$B$94+3*SQRT($B$94*(1-$B$94)/H1866),"")</f>
        <v/>
      </c>
      <c r="M1866" s="13">
        <f>IF(AND(ISNUMBER(J1866),ISNUMBER(K1866),ISNUMBER(L1866)),IF(J1866&gt;L1866,"boven UCL",IF(J1866&lt;K1866,"onder LCL","")),"")</f>
        <v/>
      </c>
      <c r="O1866" t="n">
        <v>1760</v>
      </c>
      <c r="P1866" s="7" t="n"/>
      <c r="Q1866" s="7" t="n"/>
      <c r="R1866" s="11">
        <f>IF(AND(ISNUMBER(P1866),ISNUMBER(Q1866),P1866&gt;0,ISNUMBER($B$100)),Q1866/P1866,"")</f>
        <v/>
      </c>
      <c r="S1866" s="11">
        <f>IF(AND(ISNUMBER(P1866),ISNUMBER(Q1866),P1866&gt;0,ISNUMBER($B$100)),MAX(0,$B$100-3*SQRT($B$100/P1866)),"")</f>
        <v/>
      </c>
      <c r="T1866" s="11">
        <f>IF(AND(ISNUMBER(P1866),ISNUMBER(Q1866),P1866&gt;0,ISNUMBER($B$100)),$B$100+3*SQRT($B$100/P1866),"")</f>
        <v/>
      </c>
      <c r="U1866" s="13">
        <f>IF(AND(ISNUMBER(R1866),ISNUMBER(S1866),ISNUMBER(T1866)),IF(R1866&gt;T1866,"boven UCL",IF(R1866&lt;S1866,"onder LCL","")),"")</f>
        <v/>
      </c>
    </row>
    <row r="1867">
      <c r="A1867" t="n">
        <v>1761</v>
      </c>
      <c r="B1867" s="7" t="n"/>
      <c r="C1867" s="11">
        <f>IF(AND(ISNUMBER(B1867),ISNUMBER(B1866)),ABS(B1867-B1866),"")</f>
        <v/>
      </c>
      <c r="D1867" s="13">
        <f>IF(AND(ISNUMBER(B1867),ISNUMBER($B$88),ISNUMBER($D$88)),IF(B1867&gt;$D$88,"boven UCL",IF(B1867&lt;$B$88,"onder LCL","")),"")</f>
        <v/>
      </c>
      <c r="E1867" s="13">
        <f>IF(AND(ISNUMBER(C1867),ISNUMBER($B$89),ISNUMBER($D$89)),IF(C1867&gt;$D$89,"boven UCL",IF(C1867&lt;$B$89,"onder LCL","")),"")</f>
        <v/>
      </c>
      <c r="G1867" t="n">
        <v>1761</v>
      </c>
      <c r="H1867" s="7" t="n"/>
      <c r="I1867" s="7" t="n"/>
      <c r="J1867" s="11">
        <f>IF(AND(ISNUMBER(H1867),ISNUMBER(I1867),H1867&gt;0,ISNUMBER($B$94)),I1867/H1867,"")</f>
        <v/>
      </c>
      <c r="K1867" s="11">
        <f>IF(AND(ISNUMBER(H1867),ISNUMBER(I1867),H1867&gt;0,ISNUMBER($B$94)),MAX(0,$B$94-3*SQRT($B$94*(1-$B$94)/H1867)),"")</f>
        <v/>
      </c>
      <c r="L1867" s="11">
        <f>IF(AND(ISNUMBER(H1867),ISNUMBER(I1867),H1867&gt;0,ISNUMBER($B$94)),$B$94+3*SQRT($B$94*(1-$B$94)/H1867),"")</f>
        <v/>
      </c>
      <c r="M1867" s="13">
        <f>IF(AND(ISNUMBER(J1867),ISNUMBER(K1867),ISNUMBER(L1867)),IF(J1867&gt;L1867,"boven UCL",IF(J1867&lt;K1867,"onder LCL","")),"")</f>
        <v/>
      </c>
      <c r="O1867" t="n">
        <v>1761</v>
      </c>
      <c r="P1867" s="7" t="n"/>
      <c r="Q1867" s="7" t="n"/>
      <c r="R1867" s="11">
        <f>IF(AND(ISNUMBER(P1867),ISNUMBER(Q1867),P1867&gt;0,ISNUMBER($B$100)),Q1867/P1867,"")</f>
        <v/>
      </c>
      <c r="S1867" s="11">
        <f>IF(AND(ISNUMBER(P1867),ISNUMBER(Q1867),P1867&gt;0,ISNUMBER($B$100)),MAX(0,$B$100-3*SQRT($B$100/P1867)),"")</f>
        <v/>
      </c>
      <c r="T1867" s="11">
        <f>IF(AND(ISNUMBER(P1867),ISNUMBER(Q1867),P1867&gt;0,ISNUMBER($B$100)),$B$100+3*SQRT($B$100/P1867),"")</f>
        <v/>
      </c>
      <c r="U1867" s="13">
        <f>IF(AND(ISNUMBER(R1867),ISNUMBER(S1867),ISNUMBER(T1867)),IF(R1867&gt;T1867,"boven UCL",IF(R1867&lt;S1867,"onder LCL","")),"")</f>
        <v/>
      </c>
    </row>
    <row r="1868">
      <c r="A1868" t="n">
        <v>1762</v>
      </c>
      <c r="B1868" s="7" t="n"/>
      <c r="C1868" s="11">
        <f>IF(AND(ISNUMBER(B1868),ISNUMBER(B1867)),ABS(B1868-B1867),"")</f>
        <v/>
      </c>
      <c r="D1868" s="13">
        <f>IF(AND(ISNUMBER(B1868),ISNUMBER($B$88),ISNUMBER($D$88)),IF(B1868&gt;$D$88,"boven UCL",IF(B1868&lt;$B$88,"onder LCL","")),"")</f>
        <v/>
      </c>
      <c r="E1868" s="13">
        <f>IF(AND(ISNUMBER(C1868),ISNUMBER($B$89),ISNUMBER($D$89)),IF(C1868&gt;$D$89,"boven UCL",IF(C1868&lt;$B$89,"onder LCL","")),"")</f>
        <v/>
      </c>
      <c r="G1868" t="n">
        <v>1762</v>
      </c>
      <c r="H1868" s="7" t="n"/>
      <c r="I1868" s="7" t="n"/>
      <c r="J1868" s="11">
        <f>IF(AND(ISNUMBER(H1868),ISNUMBER(I1868),H1868&gt;0,ISNUMBER($B$94)),I1868/H1868,"")</f>
        <v/>
      </c>
      <c r="K1868" s="11">
        <f>IF(AND(ISNUMBER(H1868),ISNUMBER(I1868),H1868&gt;0,ISNUMBER($B$94)),MAX(0,$B$94-3*SQRT($B$94*(1-$B$94)/H1868)),"")</f>
        <v/>
      </c>
      <c r="L1868" s="11">
        <f>IF(AND(ISNUMBER(H1868),ISNUMBER(I1868),H1868&gt;0,ISNUMBER($B$94)),$B$94+3*SQRT($B$94*(1-$B$94)/H1868),"")</f>
        <v/>
      </c>
      <c r="M1868" s="13">
        <f>IF(AND(ISNUMBER(J1868),ISNUMBER(K1868),ISNUMBER(L1868)),IF(J1868&gt;L1868,"boven UCL",IF(J1868&lt;K1868,"onder LCL","")),"")</f>
        <v/>
      </c>
      <c r="O1868" t="n">
        <v>1762</v>
      </c>
      <c r="P1868" s="7" t="n"/>
      <c r="Q1868" s="7" t="n"/>
      <c r="R1868" s="11">
        <f>IF(AND(ISNUMBER(P1868),ISNUMBER(Q1868),P1868&gt;0,ISNUMBER($B$100)),Q1868/P1868,"")</f>
        <v/>
      </c>
      <c r="S1868" s="11">
        <f>IF(AND(ISNUMBER(P1868),ISNUMBER(Q1868),P1868&gt;0,ISNUMBER($B$100)),MAX(0,$B$100-3*SQRT($B$100/P1868)),"")</f>
        <v/>
      </c>
      <c r="T1868" s="11">
        <f>IF(AND(ISNUMBER(P1868),ISNUMBER(Q1868),P1868&gt;0,ISNUMBER($B$100)),$B$100+3*SQRT($B$100/P1868),"")</f>
        <v/>
      </c>
      <c r="U1868" s="13">
        <f>IF(AND(ISNUMBER(R1868),ISNUMBER(S1868),ISNUMBER(T1868)),IF(R1868&gt;T1868,"boven UCL",IF(R1868&lt;S1868,"onder LCL","")),"")</f>
        <v/>
      </c>
    </row>
    <row r="1869">
      <c r="A1869" t="n">
        <v>1763</v>
      </c>
      <c r="B1869" s="7" t="n"/>
      <c r="C1869" s="11">
        <f>IF(AND(ISNUMBER(B1869),ISNUMBER(B1868)),ABS(B1869-B1868),"")</f>
        <v/>
      </c>
      <c r="D1869" s="13">
        <f>IF(AND(ISNUMBER(B1869),ISNUMBER($B$88),ISNUMBER($D$88)),IF(B1869&gt;$D$88,"boven UCL",IF(B1869&lt;$B$88,"onder LCL","")),"")</f>
        <v/>
      </c>
      <c r="E1869" s="13">
        <f>IF(AND(ISNUMBER(C1869),ISNUMBER($B$89),ISNUMBER($D$89)),IF(C1869&gt;$D$89,"boven UCL",IF(C1869&lt;$B$89,"onder LCL","")),"")</f>
        <v/>
      </c>
      <c r="G1869" t="n">
        <v>1763</v>
      </c>
      <c r="H1869" s="7" t="n"/>
      <c r="I1869" s="7" t="n"/>
      <c r="J1869" s="11">
        <f>IF(AND(ISNUMBER(H1869),ISNUMBER(I1869),H1869&gt;0,ISNUMBER($B$94)),I1869/H1869,"")</f>
        <v/>
      </c>
      <c r="K1869" s="11">
        <f>IF(AND(ISNUMBER(H1869),ISNUMBER(I1869),H1869&gt;0,ISNUMBER($B$94)),MAX(0,$B$94-3*SQRT($B$94*(1-$B$94)/H1869)),"")</f>
        <v/>
      </c>
      <c r="L1869" s="11">
        <f>IF(AND(ISNUMBER(H1869),ISNUMBER(I1869),H1869&gt;0,ISNUMBER($B$94)),$B$94+3*SQRT($B$94*(1-$B$94)/H1869),"")</f>
        <v/>
      </c>
      <c r="M1869" s="13">
        <f>IF(AND(ISNUMBER(J1869),ISNUMBER(K1869),ISNUMBER(L1869)),IF(J1869&gt;L1869,"boven UCL",IF(J1869&lt;K1869,"onder LCL","")),"")</f>
        <v/>
      </c>
      <c r="O1869" t="n">
        <v>1763</v>
      </c>
      <c r="P1869" s="7" t="n"/>
      <c r="Q1869" s="7" t="n"/>
      <c r="R1869" s="11">
        <f>IF(AND(ISNUMBER(P1869),ISNUMBER(Q1869),P1869&gt;0,ISNUMBER($B$100)),Q1869/P1869,"")</f>
        <v/>
      </c>
      <c r="S1869" s="11">
        <f>IF(AND(ISNUMBER(P1869),ISNUMBER(Q1869),P1869&gt;0,ISNUMBER($B$100)),MAX(0,$B$100-3*SQRT($B$100/P1869)),"")</f>
        <v/>
      </c>
      <c r="T1869" s="11">
        <f>IF(AND(ISNUMBER(P1869),ISNUMBER(Q1869),P1869&gt;0,ISNUMBER($B$100)),$B$100+3*SQRT($B$100/P1869),"")</f>
        <v/>
      </c>
      <c r="U1869" s="13">
        <f>IF(AND(ISNUMBER(R1869),ISNUMBER(S1869),ISNUMBER(T1869)),IF(R1869&gt;T1869,"boven UCL",IF(R1869&lt;S1869,"onder LCL","")),"")</f>
        <v/>
      </c>
    </row>
    <row r="1870">
      <c r="A1870" t="n">
        <v>1764</v>
      </c>
      <c r="B1870" s="7" t="n"/>
      <c r="C1870" s="11">
        <f>IF(AND(ISNUMBER(B1870),ISNUMBER(B1869)),ABS(B1870-B1869),"")</f>
        <v/>
      </c>
      <c r="D1870" s="13">
        <f>IF(AND(ISNUMBER(B1870),ISNUMBER($B$88),ISNUMBER($D$88)),IF(B1870&gt;$D$88,"boven UCL",IF(B1870&lt;$B$88,"onder LCL","")),"")</f>
        <v/>
      </c>
      <c r="E1870" s="13">
        <f>IF(AND(ISNUMBER(C1870),ISNUMBER($B$89),ISNUMBER($D$89)),IF(C1870&gt;$D$89,"boven UCL",IF(C1870&lt;$B$89,"onder LCL","")),"")</f>
        <v/>
      </c>
      <c r="G1870" t="n">
        <v>1764</v>
      </c>
      <c r="H1870" s="7" t="n"/>
      <c r="I1870" s="7" t="n"/>
      <c r="J1870" s="11">
        <f>IF(AND(ISNUMBER(H1870),ISNUMBER(I1870),H1870&gt;0,ISNUMBER($B$94)),I1870/H1870,"")</f>
        <v/>
      </c>
      <c r="K1870" s="11">
        <f>IF(AND(ISNUMBER(H1870),ISNUMBER(I1870),H1870&gt;0,ISNUMBER($B$94)),MAX(0,$B$94-3*SQRT($B$94*(1-$B$94)/H1870)),"")</f>
        <v/>
      </c>
      <c r="L1870" s="11">
        <f>IF(AND(ISNUMBER(H1870),ISNUMBER(I1870),H1870&gt;0,ISNUMBER($B$94)),$B$94+3*SQRT($B$94*(1-$B$94)/H1870),"")</f>
        <v/>
      </c>
      <c r="M1870" s="13">
        <f>IF(AND(ISNUMBER(J1870),ISNUMBER(K1870),ISNUMBER(L1870)),IF(J1870&gt;L1870,"boven UCL",IF(J1870&lt;K1870,"onder LCL","")),"")</f>
        <v/>
      </c>
      <c r="O1870" t="n">
        <v>1764</v>
      </c>
      <c r="P1870" s="7" t="n"/>
      <c r="Q1870" s="7" t="n"/>
      <c r="R1870" s="11">
        <f>IF(AND(ISNUMBER(P1870),ISNUMBER(Q1870),P1870&gt;0,ISNUMBER($B$100)),Q1870/P1870,"")</f>
        <v/>
      </c>
      <c r="S1870" s="11">
        <f>IF(AND(ISNUMBER(P1870),ISNUMBER(Q1870),P1870&gt;0,ISNUMBER($B$100)),MAX(0,$B$100-3*SQRT($B$100/P1870)),"")</f>
        <v/>
      </c>
      <c r="T1870" s="11">
        <f>IF(AND(ISNUMBER(P1870),ISNUMBER(Q1870),P1870&gt;0,ISNUMBER($B$100)),$B$100+3*SQRT($B$100/P1870),"")</f>
        <v/>
      </c>
      <c r="U1870" s="13">
        <f>IF(AND(ISNUMBER(R1870),ISNUMBER(S1870),ISNUMBER(T1870)),IF(R1870&gt;T1870,"boven UCL",IF(R1870&lt;S1870,"onder LCL","")),"")</f>
        <v/>
      </c>
    </row>
    <row r="1871">
      <c r="A1871" t="n">
        <v>1765</v>
      </c>
      <c r="B1871" s="7" t="n"/>
      <c r="C1871" s="11">
        <f>IF(AND(ISNUMBER(B1871),ISNUMBER(B1870)),ABS(B1871-B1870),"")</f>
        <v/>
      </c>
      <c r="D1871" s="13">
        <f>IF(AND(ISNUMBER(B1871),ISNUMBER($B$88),ISNUMBER($D$88)),IF(B1871&gt;$D$88,"boven UCL",IF(B1871&lt;$B$88,"onder LCL","")),"")</f>
        <v/>
      </c>
      <c r="E1871" s="13">
        <f>IF(AND(ISNUMBER(C1871),ISNUMBER($B$89),ISNUMBER($D$89)),IF(C1871&gt;$D$89,"boven UCL",IF(C1871&lt;$B$89,"onder LCL","")),"")</f>
        <v/>
      </c>
      <c r="G1871" t="n">
        <v>1765</v>
      </c>
      <c r="H1871" s="7" t="n"/>
      <c r="I1871" s="7" t="n"/>
      <c r="J1871" s="11">
        <f>IF(AND(ISNUMBER(H1871),ISNUMBER(I1871),H1871&gt;0,ISNUMBER($B$94)),I1871/H1871,"")</f>
        <v/>
      </c>
      <c r="K1871" s="11">
        <f>IF(AND(ISNUMBER(H1871),ISNUMBER(I1871),H1871&gt;0,ISNUMBER($B$94)),MAX(0,$B$94-3*SQRT($B$94*(1-$B$94)/H1871)),"")</f>
        <v/>
      </c>
      <c r="L1871" s="11">
        <f>IF(AND(ISNUMBER(H1871),ISNUMBER(I1871),H1871&gt;0,ISNUMBER($B$94)),$B$94+3*SQRT($B$94*(1-$B$94)/H1871),"")</f>
        <v/>
      </c>
      <c r="M1871" s="13">
        <f>IF(AND(ISNUMBER(J1871),ISNUMBER(K1871),ISNUMBER(L1871)),IF(J1871&gt;L1871,"boven UCL",IF(J1871&lt;K1871,"onder LCL","")),"")</f>
        <v/>
      </c>
      <c r="O1871" t="n">
        <v>1765</v>
      </c>
      <c r="P1871" s="7" t="n"/>
      <c r="Q1871" s="7" t="n"/>
      <c r="R1871" s="11">
        <f>IF(AND(ISNUMBER(P1871),ISNUMBER(Q1871),P1871&gt;0,ISNUMBER($B$100)),Q1871/P1871,"")</f>
        <v/>
      </c>
      <c r="S1871" s="11">
        <f>IF(AND(ISNUMBER(P1871),ISNUMBER(Q1871),P1871&gt;0,ISNUMBER($B$100)),MAX(0,$B$100-3*SQRT($B$100/P1871)),"")</f>
        <v/>
      </c>
      <c r="T1871" s="11">
        <f>IF(AND(ISNUMBER(P1871),ISNUMBER(Q1871),P1871&gt;0,ISNUMBER($B$100)),$B$100+3*SQRT($B$100/P1871),"")</f>
        <v/>
      </c>
      <c r="U1871" s="13">
        <f>IF(AND(ISNUMBER(R1871),ISNUMBER(S1871),ISNUMBER(T1871)),IF(R1871&gt;T1871,"boven UCL",IF(R1871&lt;S1871,"onder LCL","")),"")</f>
        <v/>
      </c>
    </row>
    <row r="1872">
      <c r="A1872" t="n">
        <v>1766</v>
      </c>
      <c r="B1872" s="7" t="n"/>
      <c r="C1872" s="11">
        <f>IF(AND(ISNUMBER(B1872),ISNUMBER(B1871)),ABS(B1872-B1871),"")</f>
        <v/>
      </c>
      <c r="D1872" s="13">
        <f>IF(AND(ISNUMBER(B1872),ISNUMBER($B$88),ISNUMBER($D$88)),IF(B1872&gt;$D$88,"boven UCL",IF(B1872&lt;$B$88,"onder LCL","")),"")</f>
        <v/>
      </c>
      <c r="E1872" s="13">
        <f>IF(AND(ISNUMBER(C1872),ISNUMBER($B$89),ISNUMBER($D$89)),IF(C1872&gt;$D$89,"boven UCL",IF(C1872&lt;$B$89,"onder LCL","")),"")</f>
        <v/>
      </c>
      <c r="G1872" t="n">
        <v>1766</v>
      </c>
      <c r="H1872" s="7" t="n"/>
      <c r="I1872" s="7" t="n"/>
      <c r="J1872" s="11">
        <f>IF(AND(ISNUMBER(H1872),ISNUMBER(I1872),H1872&gt;0,ISNUMBER($B$94)),I1872/H1872,"")</f>
        <v/>
      </c>
      <c r="K1872" s="11">
        <f>IF(AND(ISNUMBER(H1872),ISNUMBER(I1872),H1872&gt;0,ISNUMBER($B$94)),MAX(0,$B$94-3*SQRT($B$94*(1-$B$94)/H1872)),"")</f>
        <v/>
      </c>
      <c r="L1872" s="11">
        <f>IF(AND(ISNUMBER(H1872),ISNUMBER(I1872),H1872&gt;0,ISNUMBER($B$94)),$B$94+3*SQRT($B$94*(1-$B$94)/H1872),"")</f>
        <v/>
      </c>
      <c r="M1872" s="13">
        <f>IF(AND(ISNUMBER(J1872),ISNUMBER(K1872),ISNUMBER(L1872)),IF(J1872&gt;L1872,"boven UCL",IF(J1872&lt;K1872,"onder LCL","")),"")</f>
        <v/>
      </c>
      <c r="O1872" t="n">
        <v>1766</v>
      </c>
      <c r="P1872" s="7" t="n"/>
      <c r="Q1872" s="7" t="n"/>
      <c r="R1872" s="11">
        <f>IF(AND(ISNUMBER(P1872),ISNUMBER(Q1872),P1872&gt;0,ISNUMBER($B$100)),Q1872/P1872,"")</f>
        <v/>
      </c>
      <c r="S1872" s="11">
        <f>IF(AND(ISNUMBER(P1872),ISNUMBER(Q1872),P1872&gt;0,ISNUMBER($B$100)),MAX(0,$B$100-3*SQRT($B$100/P1872)),"")</f>
        <v/>
      </c>
      <c r="T1872" s="11">
        <f>IF(AND(ISNUMBER(P1872),ISNUMBER(Q1872),P1872&gt;0,ISNUMBER($B$100)),$B$100+3*SQRT($B$100/P1872),"")</f>
        <v/>
      </c>
      <c r="U1872" s="13">
        <f>IF(AND(ISNUMBER(R1872),ISNUMBER(S1872),ISNUMBER(T1872)),IF(R1872&gt;T1872,"boven UCL",IF(R1872&lt;S1872,"onder LCL","")),"")</f>
        <v/>
      </c>
    </row>
    <row r="1873">
      <c r="A1873" t="n">
        <v>1767</v>
      </c>
      <c r="B1873" s="7" t="n"/>
      <c r="C1873" s="11">
        <f>IF(AND(ISNUMBER(B1873),ISNUMBER(B1872)),ABS(B1873-B1872),"")</f>
        <v/>
      </c>
      <c r="D1873" s="13">
        <f>IF(AND(ISNUMBER(B1873),ISNUMBER($B$88),ISNUMBER($D$88)),IF(B1873&gt;$D$88,"boven UCL",IF(B1873&lt;$B$88,"onder LCL","")),"")</f>
        <v/>
      </c>
      <c r="E1873" s="13">
        <f>IF(AND(ISNUMBER(C1873),ISNUMBER($B$89),ISNUMBER($D$89)),IF(C1873&gt;$D$89,"boven UCL",IF(C1873&lt;$B$89,"onder LCL","")),"")</f>
        <v/>
      </c>
      <c r="G1873" t="n">
        <v>1767</v>
      </c>
      <c r="H1873" s="7" t="n"/>
      <c r="I1873" s="7" t="n"/>
      <c r="J1873" s="11">
        <f>IF(AND(ISNUMBER(H1873),ISNUMBER(I1873),H1873&gt;0,ISNUMBER($B$94)),I1873/H1873,"")</f>
        <v/>
      </c>
      <c r="K1873" s="11">
        <f>IF(AND(ISNUMBER(H1873),ISNUMBER(I1873),H1873&gt;0,ISNUMBER($B$94)),MAX(0,$B$94-3*SQRT($B$94*(1-$B$94)/H1873)),"")</f>
        <v/>
      </c>
      <c r="L1873" s="11">
        <f>IF(AND(ISNUMBER(H1873),ISNUMBER(I1873),H1873&gt;0,ISNUMBER($B$94)),$B$94+3*SQRT($B$94*(1-$B$94)/H1873),"")</f>
        <v/>
      </c>
      <c r="M1873" s="13">
        <f>IF(AND(ISNUMBER(J1873),ISNUMBER(K1873),ISNUMBER(L1873)),IF(J1873&gt;L1873,"boven UCL",IF(J1873&lt;K1873,"onder LCL","")),"")</f>
        <v/>
      </c>
      <c r="O1873" t="n">
        <v>1767</v>
      </c>
      <c r="P1873" s="7" t="n"/>
      <c r="Q1873" s="7" t="n"/>
      <c r="R1873" s="11">
        <f>IF(AND(ISNUMBER(P1873),ISNUMBER(Q1873),P1873&gt;0,ISNUMBER($B$100)),Q1873/P1873,"")</f>
        <v/>
      </c>
      <c r="S1873" s="11">
        <f>IF(AND(ISNUMBER(P1873),ISNUMBER(Q1873),P1873&gt;0,ISNUMBER($B$100)),MAX(0,$B$100-3*SQRT($B$100/P1873)),"")</f>
        <v/>
      </c>
      <c r="T1873" s="11">
        <f>IF(AND(ISNUMBER(P1873),ISNUMBER(Q1873),P1873&gt;0,ISNUMBER($B$100)),$B$100+3*SQRT($B$100/P1873),"")</f>
        <v/>
      </c>
      <c r="U1873" s="13">
        <f>IF(AND(ISNUMBER(R1873),ISNUMBER(S1873),ISNUMBER(T1873)),IF(R1873&gt;T1873,"boven UCL",IF(R1873&lt;S1873,"onder LCL","")),"")</f>
        <v/>
      </c>
    </row>
    <row r="1874">
      <c r="A1874" t="n">
        <v>1768</v>
      </c>
      <c r="B1874" s="7" t="n"/>
      <c r="C1874" s="11">
        <f>IF(AND(ISNUMBER(B1874),ISNUMBER(B1873)),ABS(B1874-B1873),"")</f>
        <v/>
      </c>
      <c r="D1874" s="13">
        <f>IF(AND(ISNUMBER(B1874),ISNUMBER($B$88),ISNUMBER($D$88)),IF(B1874&gt;$D$88,"boven UCL",IF(B1874&lt;$B$88,"onder LCL","")),"")</f>
        <v/>
      </c>
      <c r="E1874" s="13">
        <f>IF(AND(ISNUMBER(C1874),ISNUMBER($B$89),ISNUMBER($D$89)),IF(C1874&gt;$D$89,"boven UCL",IF(C1874&lt;$B$89,"onder LCL","")),"")</f>
        <v/>
      </c>
      <c r="G1874" t="n">
        <v>1768</v>
      </c>
      <c r="H1874" s="7" t="n"/>
      <c r="I1874" s="7" t="n"/>
      <c r="J1874" s="11">
        <f>IF(AND(ISNUMBER(H1874),ISNUMBER(I1874),H1874&gt;0,ISNUMBER($B$94)),I1874/H1874,"")</f>
        <v/>
      </c>
      <c r="K1874" s="11">
        <f>IF(AND(ISNUMBER(H1874),ISNUMBER(I1874),H1874&gt;0,ISNUMBER($B$94)),MAX(0,$B$94-3*SQRT($B$94*(1-$B$94)/H1874)),"")</f>
        <v/>
      </c>
      <c r="L1874" s="11">
        <f>IF(AND(ISNUMBER(H1874),ISNUMBER(I1874),H1874&gt;0,ISNUMBER($B$94)),$B$94+3*SQRT($B$94*(1-$B$94)/H1874),"")</f>
        <v/>
      </c>
      <c r="M1874" s="13">
        <f>IF(AND(ISNUMBER(J1874),ISNUMBER(K1874),ISNUMBER(L1874)),IF(J1874&gt;L1874,"boven UCL",IF(J1874&lt;K1874,"onder LCL","")),"")</f>
        <v/>
      </c>
      <c r="O1874" t="n">
        <v>1768</v>
      </c>
      <c r="P1874" s="7" t="n"/>
      <c r="Q1874" s="7" t="n"/>
      <c r="R1874" s="11">
        <f>IF(AND(ISNUMBER(P1874),ISNUMBER(Q1874),P1874&gt;0,ISNUMBER($B$100)),Q1874/P1874,"")</f>
        <v/>
      </c>
      <c r="S1874" s="11">
        <f>IF(AND(ISNUMBER(P1874),ISNUMBER(Q1874),P1874&gt;0,ISNUMBER($B$100)),MAX(0,$B$100-3*SQRT($B$100/P1874)),"")</f>
        <v/>
      </c>
      <c r="T1874" s="11">
        <f>IF(AND(ISNUMBER(P1874),ISNUMBER(Q1874),P1874&gt;0,ISNUMBER($B$100)),$B$100+3*SQRT($B$100/P1874),"")</f>
        <v/>
      </c>
      <c r="U1874" s="13">
        <f>IF(AND(ISNUMBER(R1874),ISNUMBER(S1874),ISNUMBER(T1874)),IF(R1874&gt;T1874,"boven UCL",IF(R1874&lt;S1874,"onder LCL","")),"")</f>
        <v/>
      </c>
    </row>
    <row r="1875">
      <c r="A1875" t="n">
        <v>1769</v>
      </c>
      <c r="B1875" s="7" t="n"/>
      <c r="C1875" s="11">
        <f>IF(AND(ISNUMBER(B1875),ISNUMBER(B1874)),ABS(B1875-B1874),"")</f>
        <v/>
      </c>
      <c r="D1875" s="13">
        <f>IF(AND(ISNUMBER(B1875),ISNUMBER($B$88),ISNUMBER($D$88)),IF(B1875&gt;$D$88,"boven UCL",IF(B1875&lt;$B$88,"onder LCL","")),"")</f>
        <v/>
      </c>
      <c r="E1875" s="13">
        <f>IF(AND(ISNUMBER(C1875),ISNUMBER($B$89),ISNUMBER($D$89)),IF(C1875&gt;$D$89,"boven UCL",IF(C1875&lt;$B$89,"onder LCL","")),"")</f>
        <v/>
      </c>
      <c r="G1875" t="n">
        <v>1769</v>
      </c>
      <c r="H1875" s="7" t="n"/>
      <c r="I1875" s="7" t="n"/>
      <c r="J1875" s="11">
        <f>IF(AND(ISNUMBER(H1875),ISNUMBER(I1875),H1875&gt;0,ISNUMBER($B$94)),I1875/H1875,"")</f>
        <v/>
      </c>
      <c r="K1875" s="11">
        <f>IF(AND(ISNUMBER(H1875),ISNUMBER(I1875),H1875&gt;0,ISNUMBER($B$94)),MAX(0,$B$94-3*SQRT($B$94*(1-$B$94)/H1875)),"")</f>
        <v/>
      </c>
      <c r="L1875" s="11">
        <f>IF(AND(ISNUMBER(H1875),ISNUMBER(I1875),H1875&gt;0,ISNUMBER($B$94)),$B$94+3*SQRT($B$94*(1-$B$94)/H1875),"")</f>
        <v/>
      </c>
      <c r="M1875" s="13">
        <f>IF(AND(ISNUMBER(J1875),ISNUMBER(K1875),ISNUMBER(L1875)),IF(J1875&gt;L1875,"boven UCL",IF(J1875&lt;K1875,"onder LCL","")),"")</f>
        <v/>
      </c>
      <c r="O1875" t="n">
        <v>1769</v>
      </c>
      <c r="P1875" s="7" t="n"/>
      <c r="Q1875" s="7" t="n"/>
      <c r="R1875" s="11">
        <f>IF(AND(ISNUMBER(P1875),ISNUMBER(Q1875),P1875&gt;0,ISNUMBER($B$100)),Q1875/P1875,"")</f>
        <v/>
      </c>
      <c r="S1875" s="11">
        <f>IF(AND(ISNUMBER(P1875),ISNUMBER(Q1875),P1875&gt;0,ISNUMBER($B$100)),MAX(0,$B$100-3*SQRT($B$100/P1875)),"")</f>
        <v/>
      </c>
      <c r="T1875" s="11">
        <f>IF(AND(ISNUMBER(P1875),ISNUMBER(Q1875),P1875&gt;0,ISNUMBER($B$100)),$B$100+3*SQRT($B$100/P1875),"")</f>
        <v/>
      </c>
      <c r="U1875" s="13">
        <f>IF(AND(ISNUMBER(R1875),ISNUMBER(S1875),ISNUMBER(T1875)),IF(R1875&gt;T1875,"boven UCL",IF(R1875&lt;S1875,"onder LCL","")),"")</f>
        <v/>
      </c>
    </row>
    <row r="1876">
      <c r="A1876" t="n">
        <v>1770</v>
      </c>
      <c r="B1876" s="7" t="n"/>
      <c r="C1876" s="11">
        <f>IF(AND(ISNUMBER(B1876),ISNUMBER(B1875)),ABS(B1876-B1875),"")</f>
        <v/>
      </c>
      <c r="D1876" s="13">
        <f>IF(AND(ISNUMBER(B1876),ISNUMBER($B$88),ISNUMBER($D$88)),IF(B1876&gt;$D$88,"boven UCL",IF(B1876&lt;$B$88,"onder LCL","")),"")</f>
        <v/>
      </c>
      <c r="E1876" s="13">
        <f>IF(AND(ISNUMBER(C1876),ISNUMBER($B$89),ISNUMBER($D$89)),IF(C1876&gt;$D$89,"boven UCL",IF(C1876&lt;$B$89,"onder LCL","")),"")</f>
        <v/>
      </c>
      <c r="G1876" t="n">
        <v>1770</v>
      </c>
      <c r="H1876" s="7" t="n"/>
      <c r="I1876" s="7" t="n"/>
      <c r="J1876" s="11">
        <f>IF(AND(ISNUMBER(H1876),ISNUMBER(I1876),H1876&gt;0,ISNUMBER($B$94)),I1876/H1876,"")</f>
        <v/>
      </c>
      <c r="K1876" s="11">
        <f>IF(AND(ISNUMBER(H1876),ISNUMBER(I1876),H1876&gt;0,ISNUMBER($B$94)),MAX(0,$B$94-3*SQRT($B$94*(1-$B$94)/H1876)),"")</f>
        <v/>
      </c>
      <c r="L1876" s="11">
        <f>IF(AND(ISNUMBER(H1876),ISNUMBER(I1876),H1876&gt;0,ISNUMBER($B$94)),$B$94+3*SQRT($B$94*(1-$B$94)/H1876),"")</f>
        <v/>
      </c>
      <c r="M1876" s="13">
        <f>IF(AND(ISNUMBER(J1876),ISNUMBER(K1876),ISNUMBER(L1876)),IF(J1876&gt;L1876,"boven UCL",IF(J1876&lt;K1876,"onder LCL","")),"")</f>
        <v/>
      </c>
      <c r="O1876" t="n">
        <v>1770</v>
      </c>
      <c r="P1876" s="7" t="n"/>
      <c r="Q1876" s="7" t="n"/>
      <c r="R1876" s="11">
        <f>IF(AND(ISNUMBER(P1876),ISNUMBER(Q1876),P1876&gt;0,ISNUMBER($B$100)),Q1876/P1876,"")</f>
        <v/>
      </c>
      <c r="S1876" s="11">
        <f>IF(AND(ISNUMBER(P1876),ISNUMBER(Q1876),P1876&gt;0,ISNUMBER($B$100)),MAX(0,$B$100-3*SQRT($B$100/P1876)),"")</f>
        <v/>
      </c>
      <c r="T1876" s="11">
        <f>IF(AND(ISNUMBER(P1876),ISNUMBER(Q1876),P1876&gt;0,ISNUMBER($B$100)),$B$100+3*SQRT($B$100/P1876),"")</f>
        <v/>
      </c>
      <c r="U1876" s="13">
        <f>IF(AND(ISNUMBER(R1876),ISNUMBER(S1876),ISNUMBER(T1876)),IF(R1876&gt;T1876,"boven UCL",IF(R1876&lt;S1876,"onder LCL","")),"")</f>
        <v/>
      </c>
    </row>
    <row r="1877">
      <c r="A1877" t="n">
        <v>1771</v>
      </c>
      <c r="B1877" s="7" t="n"/>
      <c r="C1877" s="11">
        <f>IF(AND(ISNUMBER(B1877),ISNUMBER(B1876)),ABS(B1877-B1876),"")</f>
        <v/>
      </c>
      <c r="D1877" s="13">
        <f>IF(AND(ISNUMBER(B1877),ISNUMBER($B$88),ISNUMBER($D$88)),IF(B1877&gt;$D$88,"boven UCL",IF(B1877&lt;$B$88,"onder LCL","")),"")</f>
        <v/>
      </c>
      <c r="E1877" s="13">
        <f>IF(AND(ISNUMBER(C1877),ISNUMBER($B$89),ISNUMBER($D$89)),IF(C1877&gt;$D$89,"boven UCL",IF(C1877&lt;$B$89,"onder LCL","")),"")</f>
        <v/>
      </c>
      <c r="G1877" t="n">
        <v>1771</v>
      </c>
      <c r="H1877" s="7" t="n"/>
      <c r="I1877" s="7" t="n"/>
      <c r="J1877" s="11">
        <f>IF(AND(ISNUMBER(H1877),ISNUMBER(I1877),H1877&gt;0,ISNUMBER($B$94)),I1877/H1877,"")</f>
        <v/>
      </c>
      <c r="K1877" s="11">
        <f>IF(AND(ISNUMBER(H1877),ISNUMBER(I1877),H1877&gt;0,ISNUMBER($B$94)),MAX(0,$B$94-3*SQRT($B$94*(1-$B$94)/H1877)),"")</f>
        <v/>
      </c>
      <c r="L1877" s="11">
        <f>IF(AND(ISNUMBER(H1877),ISNUMBER(I1877),H1877&gt;0,ISNUMBER($B$94)),$B$94+3*SQRT($B$94*(1-$B$94)/H1877),"")</f>
        <v/>
      </c>
      <c r="M1877" s="13">
        <f>IF(AND(ISNUMBER(J1877),ISNUMBER(K1877),ISNUMBER(L1877)),IF(J1877&gt;L1877,"boven UCL",IF(J1877&lt;K1877,"onder LCL","")),"")</f>
        <v/>
      </c>
      <c r="O1877" t="n">
        <v>1771</v>
      </c>
      <c r="P1877" s="7" t="n"/>
      <c r="Q1877" s="7" t="n"/>
      <c r="R1877" s="11">
        <f>IF(AND(ISNUMBER(P1877),ISNUMBER(Q1877),P1877&gt;0,ISNUMBER($B$100)),Q1877/P1877,"")</f>
        <v/>
      </c>
      <c r="S1877" s="11">
        <f>IF(AND(ISNUMBER(P1877),ISNUMBER(Q1877),P1877&gt;0,ISNUMBER($B$100)),MAX(0,$B$100-3*SQRT($B$100/P1877)),"")</f>
        <v/>
      </c>
      <c r="T1877" s="11">
        <f>IF(AND(ISNUMBER(P1877),ISNUMBER(Q1877),P1877&gt;0,ISNUMBER($B$100)),$B$100+3*SQRT($B$100/P1877),"")</f>
        <v/>
      </c>
      <c r="U1877" s="13">
        <f>IF(AND(ISNUMBER(R1877),ISNUMBER(S1877),ISNUMBER(T1877)),IF(R1877&gt;T1877,"boven UCL",IF(R1877&lt;S1877,"onder LCL","")),"")</f>
        <v/>
      </c>
    </row>
    <row r="1878">
      <c r="A1878" t="n">
        <v>1772</v>
      </c>
      <c r="B1878" s="7" t="n"/>
      <c r="C1878" s="11">
        <f>IF(AND(ISNUMBER(B1878),ISNUMBER(B1877)),ABS(B1878-B1877),"")</f>
        <v/>
      </c>
      <c r="D1878" s="13">
        <f>IF(AND(ISNUMBER(B1878),ISNUMBER($B$88),ISNUMBER($D$88)),IF(B1878&gt;$D$88,"boven UCL",IF(B1878&lt;$B$88,"onder LCL","")),"")</f>
        <v/>
      </c>
      <c r="E1878" s="13">
        <f>IF(AND(ISNUMBER(C1878),ISNUMBER($B$89),ISNUMBER($D$89)),IF(C1878&gt;$D$89,"boven UCL",IF(C1878&lt;$B$89,"onder LCL","")),"")</f>
        <v/>
      </c>
      <c r="G1878" t="n">
        <v>1772</v>
      </c>
      <c r="H1878" s="7" t="n"/>
      <c r="I1878" s="7" t="n"/>
      <c r="J1878" s="11">
        <f>IF(AND(ISNUMBER(H1878),ISNUMBER(I1878),H1878&gt;0,ISNUMBER($B$94)),I1878/H1878,"")</f>
        <v/>
      </c>
      <c r="K1878" s="11">
        <f>IF(AND(ISNUMBER(H1878),ISNUMBER(I1878),H1878&gt;0,ISNUMBER($B$94)),MAX(0,$B$94-3*SQRT($B$94*(1-$B$94)/H1878)),"")</f>
        <v/>
      </c>
      <c r="L1878" s="11">
        <f>IF(AND(ISNUMBER(H1878),ISNUMBER(I1878),H1878&gt;0,ISNUMBER($B$94)),$B$94+3*SQRT($B$94*(1-$B$94)/H1878),"")</f>
        <v/>
      </c>
      <c r="M1878" s="13">
        <f>IF(AND(ISNUMBER(J1878),ISNUMBER(K1878),ISNUMBER(L1878)),IF(J1878&gt;L1878,"boven UCL",IF(J1878&lt;K1878,"onder LCL","")),"")</f>
        <v/>
      </c>
      <c r="O1878" t="n">
        <v>1772</v>
      </c>
      <c r="P1878" s="7" t="n"/>
      <c r="Q1878" s="7" t="n"/>
      <c r="R1878" s="11">
        <f>IF(AND(ISNUMBER(P1878),ISNUMBER(Q1878),P1878&gt;0,ISNUMBER($B$100)),Q1878/P1878,"")</f>
        <v/>
      </c>
      <c r="S1878" s="11">
        <f>IF(AND(ISNUMBER(P1878),ISNUMBER(Q1878),P1878&gt;0,ISNUMBER($B$100)),MAX(0,$B$100-3*SQRT($B$100/P1878)),"")</f>
        <v/>
      </c>
      <c r="T1878" s="11">
        <f>IF(AND(ISNUMBER(P1878),ISNUMBER(Q1878),P1878&gt;0,ISNUMBER($B$100)),$B$100+3*SQRT($B$100/P1878),"")</f>
        <v/>
      </c>
      <c r="U1878" s="13">
        <f>IF(AND(ISNUMBER(R1878),ISNUMBER(S1878),ISNUMBER(T1878)),IF(R1878&gt;T1878,"boven UCL",IF(R1878&lt;S1878,"onder LCL","")),"")</f>
        <v/>
      </c>
    </row>
    <row r="1879">
      <c r="A1879" t="n">
        <v>1773</v>
      </c>
      <c r="B1879" s="7" t="n"/>
      <c r="C1879" s="11">
        <f>IF(AND(ISNUMBER(B1879),ISNUMBER(B1878)),ABS(B1879-B1878),"")</f>
        <v/>
      </c>
      <c r="D1879" s="13">
        <f>IF(AND(ISNUMBER(B1879),ISNUMBER($B$88),ISNUMBER($D$88)),IF(B1879&gt;$D$88,"boven UCL",IF(B1879&lt;$B$88,"onder LCL","")),"")</f>
        <v/>
      </c>
      <c r="E1879" s="13">
        <f>IF(AND(ISNUMBER(C1879),ISNUMBER($B$89),ISNUMBER($D$89)),IF(C1879&gt;$D$89,"boven UCL",IF(C1879&lt;$B$89,"onder LCL","")),"")</f>
        <v/>
      </c>
      <c r="G1879" t="n">
        <v>1773</v>
      </c>
      <c r="H1879" s="7" t="n"/>
      <c r="I1879" s="7" t="n"/>
      <c r="J1879" s="11">
        <f>IF(AND(ISNUMBER(H1879),ISNUMBER(I1879),H1879&gt;0,ISNUMBER($B$94)),I1879/H1879,"")</f>
        <v/>
      </c>
      <c r="K1879" s="11">
        <f>IF(AND(ISNUMBER(H1879),ISNUMBER(I1879),H1879&gt;0,ISNUMBER($B$94)),MAX(0,$B$94-3*SQRT($B$94*(1-$B$94)/H1879)),"")</f>
        <v/>
      </c>
      <c r="L1879" s="11">
        <f>IF(AND(ISNUMBER(H1879),ISNUMBER(I1879),H1879&gt;0,ISNUMBER($B$94)),$B$94+3*SQRT($B$94*(1-$B$94)/H1879),"")</f>
        <v/>
      </c>
      <c r="M1879" s="13">
        <f>IF(AND(ISNUMBER(J1879),ISNUMBER(K1879),ISNUMBER(L1879)),IF(J1879&gt;L1879,"boven UCL",IF(J1879&lt;K1879,"onder LCL","")),"")</f>
        <v/>
      </c>
      <c r="O1879" t="n">
        <v>1773</v>
      </c>
      <c r="P1879" s="7" t="n"/>
      <c r="Q1879" s="7" t="n"/>
      <c r="R1879" s="11">
        <f>IF(AND(ISNUMBER(P1879),ISNUMBER(Q1879),P1879&gt;0,ISNUMBER($B$100)),Q1879/P1879,"")</f>
        <v/>
      </c>
      <c r="S1879" s="11">
        <f>IF(AND(ISNUMBER(P1879),ISNUMBER(Q1879),P1879&gt;0,ISNUMBER($B$100)),MAX(0,$B$100-3*SQRT($B$100/P1879)),"")</f>
        <v/>
      </c>
      <c r="T1879" s="11">
        <f>IF(AND(ISNUMBER(P1879),ISNUMBER(Q1879),P1879&gt;0,ISNUMBER($B$100)),$B$100+3*SQRT($B$100/P1879),"")</f>
        <v/>
      </c>
      <c r="U1879" s="13">
        <f>IF(AND(ISNUMBER(R1879),ISNUMBER(S1879),ISNUMBER(T1879)),IF(R1879&gt;T1879,"boven UCL",IF(R1879&lt;S1879,"onder LCL","")),"")</f>
        <v/>
      </c>
    </row>
    <row r="1880">
      <c r="A1880" t="n">
        <v>1774</v>
      </c>
      <c r="B1880" s="7" t="n"/>
      <c r="C1880" s="11">
        <f>IF(AND(ISNUMBER(B1880),ISNUMBER(B1879)),ABS(B1880-B1879),"")</f>
        <v/>
      </c>
      <c r="D1880" s="13">
        <f>IF(AND(ISNUMBER(B1880),ISNUMBER($B$88),ISNUMBER($D$88)),IF(B1880&gt;$D$88,"boven UCL",IF(B1880&lt;$B$88,"onder LCL","")),"")</f>
        <v/>
      </c>
      <c r="E1880" s="13">
        <f>IF(AND(ISNUMBER(C1880),ISNUMBER($B$89),ISNUMBER($D$89)),IF(C1880&gt;$D$89,"boven UCL",IF(C1880&lt;$B$89,"onder LCL","")),"")</f>
        <v/>
      </c>
      <c r="G1880" t="n">
        <v>1774</v>
      </c>
      <c r="H1880" s="7" t="n"/>
      <c r="I1880" s="7" t="n"/>
      <c r="J1880" s="11">
        <f>IF(AND(ISNUMBER(H1880),ISNUMBER(I1880),H1880&gt;0,ISNUMBER($B$94)),I1880/H1880,"")</f>
        <v/>
      </c>
      <c r="K1880" s="11">
        <f>IF(AND(ISNUMBER(H1880),ISNUMBER(I1880),H1880&gt;0,ISNUMBER($B$94)),MAX(0,$B$94-3*SQRT($B$94*(1-$B$94)/H1880)),"")</f>
        <v/>
      </c>
      <c r="L1880" s="11">
        <f>IF(AND(ISNUMBER(H1880),ISNUMBER(I1880),H1880&gt;0,ISNUMBER($B$94)),$B$94+3*SQRT($B$94*(1-$B$94)/H1880),"")</f>
        <v/>
      </c>
      <c r="M1880" s="13">
        <f>IF(AND(ISNUMBER(J1880),ISNUMBER(K1880),ISNUMBER(L1880)),IF(J1880&gt;L1880,"boven UCL",IF(J1880&lt;K1880,"onder LCL","")),"")</f>
        <v/>
      </c>
      <c r="O1880" t="n">
        <v>1774</v>
      </c>
      <c r="P1880" s="7" t="n"/>
      <c r="Q1880" s="7" t="n"/>
      <c r="R1880" s="11">
        <f>IF(AND(ISNUMBER(P1880),ISNUMBER(Q1880),P1880&gt;0,ISNUMBER($B$100)),Q1880/P1880,"")</f>
        <v/>
      </c>
      <c r="S1880" s="11">
        <f>IF(AND(ISNUMBER(P1880),ISNUMBER(Q1880),P1880&gt;0,ISNUMBER($B$100)),MAX(0,$B$100-3*SQRT($B$100/P1880)),"")</f>
        <v/>
      </c>
      <c r="T1880" s="11">
        <f>IF(AND(ISNUMBER(P1880),ISNUMBER(Q1880),P1880&gt;0,ISNUMBER($B$100)),$B$100+3*SQRT($B$100/P1880),"")</f>
        <v/>
      </c>
      <c r="U1880" s="13">
        <f>IF(AND(ISNUMBER(R1880),ISNUMBER(S1880),ISNUMBER(T1880)),IF(R1880&gt;T1880,"boven UCL",IF(R1880&lt;S1880,"onder LCL","")),"")</f>
        <v/>
      </c>
    </row>
    <row r="1881">
      <c r="A1881" t="n">
        <v>1775</v>
      </c>
      <c r="B1881" s="7" t="n"/>
      <c r="C1881" s="11">
        <f>IF(AND(ISNUMBER(B1881),ISNUMBER(B1880)),ABS(B1881-B1880),"")</f>
        <v/>
      </c>
      <c r="D1881" s="13">
        <f>IF(AND(ISNUMBER(B1881),ISNUMBER($B$88),ISNUMBER($D$88)),IF(B1881&gt;$D$88,"boven UCL",IF(B1881&lt;$B$88,"onder LCL","")),"")</f>
        <v/>
      </c>
      <c r="E1881" s="13">
        <f>IF(AND(ISNUMBER(C1881),ISNUMBER($B$89),ISNUMBER($D$89)),IF(C1881&gt;$D$89,"boven UCL",IF(C1881&lt;$B$89,"onder LCL","")),"")</f>
        <v/>
      </c>
      <c r="G1881" t="n">
        <v>1775</v>
      </c>
      <c r="H1881" s="7" t="n"/>
      <c r="I1881" s="7" t="n"/>
      <c r="J1881" s="11">
        <f>IF(AND(ISNUMBER(H1881),ISNUMBER(I1881),H1881&gt;0,ISNUMBER($B$94)),I1881/H1881,"")</f>
        <v/>
      </c>
      <c r="K1881" s="11">
        <f>IF(AND(ISNUMBER(H1881),ISNUMBER(I1881),H1881&gt;0,ISNUMBER($B$94)),MAX(0,$B$94-3*SQRT($B$94*(1-$B$94)/H1881)),"")</f>
        <v/>
      </c>
      <c r="L1881" s="11">
        <f>IF(AND(ISNUMBER(H1881),ISNUMBER(I1881),H1881&gt;0,ISNUMBER($B$94)),$B$94+3*SQRT($B$94*(1-$B$94)/H1881),"")</f>
        <v/>
      </c>
      <c r="M1881" s="13">
        <f>IF(AND(ISNUMBER(J1881),ISNUMBER(K1881),ISNUMBER(L1881)),IF(J1881&gt;L1881,"boven UCL",IF(J1881&lt;K1881,"onder LCL","")),"")</f>
        <v/>
      </c>
      <c r="O1881" t="n">
        <v>1775</v>
      </c>
      <c r="P1881" s="7" t="n"/>
      <c r="Q1881" s="7" t="n"/>
      <c r="R1881" s="11">
        <f>IF(AND(ISNUMBER(P1881),ISNUMBER(Q1881),P1881&gt;0,ISNUMBER($B$100)),Q1881/P1881,"")</f>
        <v/>
      </c>
      <c r="S1881" s="11">
        <f>IF(AND(ISNUMBER(P1881),ISNUMBER(Q1881),P1881&gt;0,ISNUMBER($B$100)),MAX(0,$B$100-3*SQRT($B$100/P1881)),"")</f>
        <v/>
      </c>
      <c r="T1881" s="11">
        <f>IF(AND(ISNUMBER(P1881),ISNUMBER(Q1881),P1881&gt;0,ISNUMBER($B$100)),$B$100+3*SQRT($B$100/P1881),"")</f>
        <v/>
      </c>
      <c r="U1881" s="13">
        <f>IF(AND(ISNUMBER(R1881),ISNUMBER(S1881),ISNUMBER(T1881)),IF(R1881&gt;T1881,"boven UCL",IF(R1881&lt;S1881,"onder LCL","")),"")</f>
        <v/>
      </c>
    </row>
    <row r="1882">
      <c r="A1882" t="n">
        <v>1776</v>
      </c>
      <c r="B1882" s="7" t="n"/>
      <c r="C1882" s="11">
        <f>IF(AND(ISNUMBER(B1882),ISNUMBER(B1881)),ABS(B1882-B1881),"")</f>
        <v/>
      </c>
      <c r="D1882" s="13">
        <f>IF(AND(ISNUMBER(B1882),ISNUMBER($B$88),ISNUMBER($D$88)),IF(B1882&gt;$D$88,"boven UCL",IF(B1882&lt;$B$88,"onder LCL","")),"")</f>
        <v/>
      </c>
      <c r="E1882" s="13">
        <f>IF(AND(ISNUMBER(C1882),ISNUMBER($B$89),ISNUMBER($D$89)),IF(C1882&gt;$D$89,"boven UCL",IF(C1882&lt;$B$89,"onder LCL","")),"")</f>
        <v/>
      </c>
      <c r="G1882" t="n">
        <v>1776</v>
      </c>
      <c r="H1882" s="7" t="n"/>
      <c r="I1882" s="7" t="n"/>
      <c r="J1882" s="11">
        <f>IF(AND(ISNUMBER(H1882),ISNUMBER(I1882),H1882&gt;0,ISNUMBER($B$94)),I1882/H1882,"")</f>
        <v/>
      </c>
      <c r="K1882" s="11">
        <f>IF(AND(ISNUMBER(H1882),ISNUMBER(I1882),H1882&gt;0,ISNUMBER($B$94)),MAX(0,$B$94-3*SQRT($B$94*(1-$B$94)/H1882)),"")</f>
        <v/>
      </c>
      <c r="L1882" s="11">
        <f>IF(AND(ISNUMBER(H1882),ISNUMBER(I1882),H1882&gt;0,ISNUMBER($B$94)),$B$94+3*SQRT($B$94*(1-$B$94)/H1882),"")</f>
        <v/>
      </c>
      <c r="M1882" s="13">
        <f>IF(AND(ISNUMBER(J1882),ISNUMBER(K1882),ISNUMBER(L1882)),IF(J1882&gt;L1882,"boven UCL",IF(J1882&lt;K1882,"onder LCL","")),"")</f>
        <v/>
      </c>
      <c r="O1882" t="n">
        <v>1776</v>
      </c>
      <c r="P1882" s="7" t="n"/>
      <c r="Q1882" s="7" t="n"/>
      <c r="R1882" s="11">
        <f>IF(AND(ISNUMBER(P1882),ISNUMBER(Q1882),P1882&gt;0,ISNUMBER($B$100)),Q1882/P1882,"")</f>
        <v/>
      </c>
      <c r="S1882" s="11">
        <f>IF(AND(ISNUMBER(P1882),ISNUMBER(Q1882),P1882&gt;0,ISNUMBER($B$100)),MAX(0,$B$100-3*SQRT($B$100/P1882)),"")</f>
        <v/>
      </c>
      <c r="T1882" s="11">
        <f>IF(AND(ISNUMBER(P1882),ISNUMBER(Q1882),P1882&gt;0,ISNUMBER($B$100)),$B$100+3*SQRT($B$100/P1882),"")</f>
        <v/>
      </c>
      <c r="U1882" s="13">
        <f>IF(AND(ISNUMBER(R1882),ISNUMBER(S1882),ISNUMBER(T1882)),IF(R1882&gt;T1882,"boven UCL",IF(R1882&lt;S1882,"onder LCL","")),"")</f>
        <v/>
      </c>
    </row>
    <row r="1883">
      <c r="A1883" t="n">
        <v>1777</v>
      </c>
      <c r="B1883" s="7" t="n"/>
      <c r="C1883" s="11">
        <f>IF(AND(ISNUMBER(B1883),ISNUMBER(B1882)),ABS(B1883-B1882),"")</f>
        <v/>
      </c>
      <c r="D1883" s="13">
        <f>IF(AND(ISNUMBER(B1883),ISNUMBER($B$88),ISNUMBER($D$88)),IF(B1883&gt;$D$88,"boven UCL",IF(B1883&lt;$B$88,"onder LCL","")),"")</f>
        <v/>
      </c>
      <c r="E1883" s="13">
        <f>IF(AND(ISNUMBER(C1883),ISNUMBER($B$89),ISNUMBER($D$89)),IF(C1883&gt;$D$89,"boven UCL",IF(C1883&lt;$B$89,"onder LCL","")),"")</f>
        <v/>
      </c>
      <c r="G1883" t="n">
        <v>1777</v>
      </c>
      <c r="H1883" s="7" t="n"/>
      <c r="I1883" s="7" t="n"/>
      <c r="J1883" s="11">
        <f>IF(AND(ISNUMBER(H1883),ISNUMBER(I1883),H1883&gt;0,ISNUMBER($B$94)),I1883/H1883,"")</f>
        <v/>
      </c>
      <c r="K1883" s="11">
        <f>IF(AND(ISNUMBER(H1883),ISNUMBER(I1883),H1883&gt;0,ISNUMBER($B$94)),MAX(0,$B$94-3*SQRT($B$94*(1-$B$94)/H1883)),"")</f>
        <v/>
      </c>
      <c r="L1883" s="11">
        <f>IF(AND(ISNUMBER(H1883),ISNUMBER(I1883),H1883&gt;0,ISNUMBER($B$94)),$B$94+3*SQRT($B$94*(1-$B$94)/H1883),"")</f>
        <v/>
      </c>
      <c r="M1883" s="13">
        <f>IF(AND(ISNUMBER(J1883),ISNUMBER(K1883),ISNUMBER(L1883)),IF(J1883&gt;L1883,"boven UCL",IF(J1883&lt;K1883,"onder LCL","")),"")</f>
        <v/>
      </c>
      <c r="O1883" t="n">
        <v>1777</v>
      </c>
      <c r="P1883" s="7" t="n"/>
      <c r="Q1883" s="7" t="n"/>
      <c r="R1883" s="11">
        <f>IF(AND(ISNUMBER(P1883),ISNUMBER(Q1883),P1883&gt;0,ISNUMBER($B$100)),Q1883/P1883,"")</f>
        <v/>
      </c>
      <c r="S1883" s="11">
        <f>IF(AND(ISNUMBER(P1883),ISNUMBER(Q1883),P1883&gt;0,ISNUMBER($B$100)),MAX(0,$B$100-3*SQRT($B$100/P1883)),"")</f>
        <v/>
      </c>
      <c r="T1883" s="11">
        <f>IF(AND(ISNUMBER(P1883),ISNUMBER(Q1883),P1883&gt;0,ISNUMBER($B$100)),$B$100+3*SQRT($B$100/P1883),"")</f>
        <v/>
      </c>
      <c r="U1883" s="13">
        <f>IF(AND(ISNUMBER(R1883),ISNUMBER(S1883),ISNUMBER(T1883)),IF(R1883&gt;T1883,"boven UCL",IF(R1883&lt;S1883,"onder LCL","")),"")</f>
        <v/>
      </c>
    </row>
    <row r="1884">
      <c r="A1884" t="n">
        <v>1778</v>
      </c>
      <c r="B1884" s="7" t="n"/>
      <c r="C1884" s="11">
        <f>IF(AND(ISNUMBER(B1884),ISNUMBER(B1883)),ABS(B1884-B1883),"")</f>
        <v/>
      </c>
      <c r="D1884" s="13">
        <f>IF(AND(ISNUMBER(B1884),ISNUMBER($B$88),ISNUMBER($D$88)),IF(B1884&gt;$D$88,"boven UCL",IF(B1884&lt;$B$88,"onder LCL","")),"")</f>
        <v/>
      </c>
      <c r="E1884" s="13">
        <f>IF(AND(ISNUMBER(C1884),ISNUMBER($B$89),ISNUMBER($D$89)),IF(C1884&gt;$D$89,"boven UCL",IF(C1884&lt;$B$89,"onder LCL","")),"")</f>
        <v/>
      </c>
      <c r="G1884" t="n">
        <v>1778</v>
      </c>
      <c r="H1884" s="7" t="n"/>
      <c r="I1884" s="7" t="n"/>
      <c r="J1884" s="11">
        <f>IF(AND(ISNUMBER(H1884),ISNUMBER(I1884),H1884&gt;0,ISNUMBER($B$94)),I1884/H1884,"")</f>
        <v/>
      </c>
      <c r="K1884" s="11">
        <f>IF(AND(ISNUMBER(H1884),ISNUMBER(I1884),H1884&gt;0,ISNUMBER($B$94)),MAX(0,$B$94-3*SQRT($B$94*(1-$B$94)/H1884)),"")</f>
        <v/>
      </c>
      <c r="L1884" s="11">
        <f>IF(AND(ISNUMBER(H1884),ISNUMBER(I1884),H1884&gt;0,ISNUMBER($B$94)),$B$94+3*SQRT($B$94*(1-$B$94)/H1884),"")</f>
        <v/>
      </c>
      <c r="M1884" s="13">
        <f>IF(AND(ISNUMBER(J1884),ISNUMBER(K1884),ISNUMBER(L1884)),IF(J1884&gt;L1884,"boven UCL",IF(J1884&lt;K1884,"onder LCL","")),"")</f>
        <v/>
      </c>
      <c r="O1884" t="n">
        <v>1778</v>
      </c>
      <c r="P1884" s="7" t="n"/>
      <c r="Q1884" s="7" t="n"/>
      <c r="R1884" s="11">
        <f>IF(AND(ISNUMBER(P1884),ISNUMBER(Q1884),P1884&gt;0,ISNUMBER($B$100)),Q1884/P1884,"")</f>
        <v/>
      </c>
      <c r="S1884" s="11">
        <f>IF(AND(ISNUMBER(P1884),ISNUMBER(Q1884),P1884&gt;0,ISNUMBER($B$100)),MAX(0,$B$100-3*SQRT($B$100/P1884)),"")</f>
        <v/>
      </c>
      <c r="T1884" s="11">
        <f>IF(AND(ISNUMBER(P1884),ISNUMBER(Q1884),P1884&gt;0,ISNUMBER($B$100)),$B$100+3*SQRT($B$100/P1884),"")</f>
        <v/>
      </c>
      <c r="U1884" s="13">
        <f>IF(AND(ISNUMBER(R1884),ISNUMBER(S1884),ISNUMBER(T1884)),IF(R1884&gt;T1884,"boven UCL",IF(R1884&lt;S1884,"onder LCL","")),"")</f>
        <v/>
      </c>
    </row>
    <row r="1885">
      <c r="A1885" t="n">
        <v>1779</v>
      </c>
      <c r="B1885" s="7" t="n"/>
      <c r="C1885" s="11">
        <f>IF(AND(ISNUMBER(B1885),ISNUMBER(B1884)),ABS(B1885-B1884),"")</f>
        <v/>
      </c>
      <c r="D1885" s="13">
        <f>IF(AND(ISNUMBER(B1885),ISNUMBER($B$88),ISNUMBER($D$88)),IF(B1885&gt;$D$88,"boven UCL",IF(B1885&lt;$B$88,"onder LCL","")),"")</f>
        <v/>
      </c>
      <c r="E1885" s="13">
        <f>IF(AND(ISNUMBER(C1885),ISNUMBER($B$89),ISNUMBER($D$89)),IF(C1885&gt;$D$89,"boven UCL",IF(C1885&lt;$B$89,"onder LCL","")),"")</f>
        <v/>
      </c>
      <c r="G1885" t="n">
        <v>1779</v>
      </c>
      <c r="H1885" s="7" t="n"/>
      <c r="I1885" s="7" t="n"/>
      <c r="J1885" s="11">
        <f>IF(AND(ISNUMBER(H1885),ISNUMBER(I1885),H1885&gt;0,ISNUMBER($B$94)),I1885/H1885,"")</f>
        <v/>
      </c>
      <c r="K1885" s="11">
        <f>IF(AND(ISNUMBER(H1885),ISNUMBER(I1885),H1885&gt;0,ISNUMBER($B$94)),MAX(0,$B$94-3*SQRT($B$94*(1-$B$94)/H1885)),"")</f>
        <v/>
      </c>
      <c r="L1885" s="11">
        <f>IF(AND(ISNUMBER(H1885),ISNUMBER(I1885),H1885&gt;0,ISNUMBER($B$94)),$B$94+3*SQRT($B$94*(1-$B$94)/H1885),"")</f>
        <v/>
      </c>
      <c r="M1885" s="13">
        <f>IF(AND(ISNUMBER(J1885),ISNUMBER(K1885),ISNUMBER(L1885)),IF(J1885&gt;L1885,"boven UCL",IF(J1885&lt;K1885,"onder LCL","")),"")</f>
        <v/>
      </c>
      <c r="O1885" t="n">
        <v>1779</v>
      </c>
      <c r="P1885" s="7" t="n"/>
      <c r="Q1885" s="7" t="n"/>
      <c r="R1885" s="11">
        <f>IF(AND(ISNUMBER(P1885),ISNUMBER(Q1885),P1885&gt;0,ISNUMBER($B$100)),Q1885/P1885,"")</f>
        <v/>
      </c>
      <c r="S1885" s="11">
        <f>IF(AND(ISNUMBER(P1885),ISNUMBER(Q1885),P1885&gt;0,ISNUMBER($B$100)),MAX(0,$B$100-3*SQRT($B$100/P1885)),"")</f>
        <v/>
      </c>
      <c r="T1885" s="11">
        <f>IF(AND(ISNUMBER(P1885),ISNUMBER(Q1885),P1885&gt;0,ISNUMBER($B$100)),$B$100+3*SQRT($B$100/P1885),"")</f>
        <v/>
      </c>
      <c r="U1885" s="13">
        <f>IF(AND(ISNUMBER(R1885),ISNUMBER(S1885),ISNUMBER(T1885)),IF(R1885&gt;T1885,"boven UCL",IF(R1885&lt;S1885,"onder LCL","")),"")</f>
        <v/>
      </c>
    </row>
    <row r="1886">
      <c r="A1886" t="n">
        <v>1780</v>
      </c>
      <c r="B1886" s="7" t="n"/>
      <c r="C1886" s="11">
        <f>IF(AND(ISNUMBER(B1886),ISNUMBER(B1885)),ABS(B1886-B1885),"")</f>
        <v/>
      </c>
      <c r="D1886" s="13">
        <f>IF(AND(ISNUMBER(B1886),ISNUMBER($B$88),ISNUMBER($D$88)),IF(B1886&gt;$D$88,"boven UCL",IF(B1886&lt;$B$88,"onder LCL","")),"")</f>
        <v/>
      </c>
      <c r="E1886" s="13">
        <f>IF(AND(ISNUMBER(C1886),ISNUMBER($B$89),ISNUMBER($D$89)),IF(C1886&gt;$D$89,"boven UCL",IF(C1886&lt;$B$89,"onder LCL","")),"")</f>
        <v/>
      </c>
      <c r="G1886" t="n">
        <v>1780</v>
      </c>
      <c r="H1886" s="7" t="n"/>
      <c r="I1886" s="7" t="n"/>
      <c r="J1886" s="11">
        <f>IF(AND(ISNUMBER(H1886),ISNUMBER(I1886),H1886&gt;0,ISNUMBER($B$94)),I1886/H1886,"")</f>
        <v/>
      </c>
      <c r="K1886" s="11">
        <f>IF(AND(ISNUMBER(H1886),ISNUMBER(I1886),H1886&gt;0,ISNUMBER($B$94)),MAX(0,$B$94-3*SQRT($B$94*(1-$B$94)/H1886)),"")</f>
        <v/>
      </c>
      <c r="L1886" s="11">
        <f>IF(AND(ISNUMBER(H1886),ISNUMBER(I1886),H1886&gt;0,ISNUMBER($B$94)),$B$94+3*SQRT($B$94*(1-$B$94)/H1886),"")</f>
        <v/>
      </c>
      <c r="M1886" s="13">
        <f>IF(AND(ISNUMBER(J1886),ISNUMBER(K1886),ISNUMBER(L1886)),IF(J1886&gt;L1886,"boven UCL",IF(J1886&lt;K1886,"onder LCL","")),"")</f>
        <v/>
      </c>
      <c r="O1886" t="n">
        <v>1780</v>
      </c>
      <c r="P1886" s="7" t="n"/>
      <c r="Q1886" s="7" t="n"/>
      <c r="R1886" s="11">
        <f>IF(AND(ISNUMBER(P1886),ISNUMBER(Q1886),P1886&gt;0,ISNUMBER($B$100)),Q1886/P1886,"")</f>
        <v/>
      </c>
      <c r="S1886" s="11">
        <f>IF(AND(ISNUMBER(P1886),ISNUMBER(Q1886),P1886&gt;0,ISNUMBER($B$100)),MAX(0,$B$100-3*SQRT($B$100/P1886)),"")</f>
        <v/>
      </c>
      <c r="T1886" s="11">
        <f>IF(AND(ISNUMBER(P1886),ISNUMBER(Q1886),P1886&gt;0,ISNUMBER($B$100)),$B$100+3*SQRT($B$100/P1886),"")</f>
        <v/>
      </c>
      <c r="U1886" s="13">
        <f>IF(AND(ISNUMBER(R1886),ISNUMBER(S1886),ISNUMBER(T1886)),IF(R1886&gt;T1886,"boven UCL",IF(R1886&lt;S1886,"onder LCL","")),"")</f>
        <v/>
      </c>
    </row>
    <row r="1887">
      <c r="A1887" t="n">
        <v>1781</v>
      </c>
      <c r="B1887" s="7" t="n"/>
      <c r="C1887" s="11">
        <f>IF(AND(ISNUMBER(B1887),ISNUMBER(B1886)),ABS(B1887-B1886),"")</f>
        <v/>
      </c>
      <c r="D1887" s="13">
        <f>IF(AND(ISNUMBER(B1887),ISNUMBER($B$88),ISNUMBER($D$88)),IF(B1887&gt;$D$88,"boven UCL",IF(B1887&lt;$B$88,"onder LCL","")),"")</f>
        <v/>
      </c>
      <c r="E1887" s="13">
        <f>IF(AND(ISNUMBER(C1887),ISNUMBER($B$89),ISNUMBER($D$89)),IF(C1887&gt;$D$89,"boven UCL",IF(C1887&lt;$B$89,"onder LCL","")),"")</f>
        <v/>
      </c>
      <c r="G1887" t="n">
        <v>1781</v>
      </c>
      <c r="H1887" s="7" t="n"/>
      <c r="I1887" s="7" t="n"/>
      <c r="J1887" s="11">
        <f>IF(AND(ISNUMBER(H1887),ISNUMBER(I1887),H1887&gt;0,ISNUMBER($B$94)),I1887/H1887,"")</f>
        <v/>
      </c>
      <c r="K1887" s="11">
        <f>IF(AND(ISNUMBER(H1887),ISNUMBER(I1887),H1887&gt;0,ISNUMBER($B$94)),MAX(0,$B$94-3*SQRT($B$94*(1-$B$94)/H1887)),"")</f>
        <v/>
      </c>
      <c r="L1887" s="11">
        <f>IF(AND(ISNUMBER(H1887),ISNUMBER(I1887),H1887&gt;0,ISNUMBER($B$94)),$B$94+3*SQRT($B$94*(1-$B$94)/H1887),"")</f>
        <v/>
      </c>
      <c r="M1887" s="13">
        <f>IF(AND(ISNUMBER(J1887),ISNUMBER(K1887),ISNUMBER(L1887)),IF(J1887&gt;L1887,"boven UCL",IF(J1887&lt;K1887,"onder LCL","")),"")</f>
        <v/>
      </c>
      <c r="O1887" t="n">
        <v>1781</v>
      </c>
      <c r="P1887" s="7" t="n"/>
      <c r="Q1887" s="7" t="n"/>
      <c r="R1887" s="11">
        <f>IF(AND(ISNUMBER(P1887),ISNUMBER(Q1887),P1887&gt;0,ISNUMBER($B$100)),Q1887/P1887,"")</f>
        <v/>
      </c>
      <c r="S1887" s="11">
        <f>IF(AND(ISNUMBER(P1887),ISNUMBER(Q1887),P1887&gt;0,ISNUMBER($B$100)),MAX(0,$B$100-3*SQRT($B$100/P1887)),"")</f>
        <v/>
      </c>
      <c r="T1887" s="11">
        <f>IF(AND(ISNUMBER(P1887),ISNUMBER(Q1887),P1887&gt;0,ISNUMBER($B$100)),$B$100+3*SQRT($B$100/P1887),"")</f>
        <v/>
      </c>
      <c r="U1887" s="13">
        <f>IF(AND(ISNUMBER(R1887),ISNUMBER(S1887),ISNUMBER(T1887)),IF(R1887&gt;T1887,"boven UCL",IF(R1887&lt;S1887,"onder LCL","")),"")</f>
        <v/>
      </c>
    </row>
    <row r="1888">
      <c r="A1888" t="n">
        <v>1782</v>
      </c>
      <c r="B1888" s="7" t="n"/>
      <c r="C1888" s="11">
        <f>IF(AND(ISNUMBER(B1888),ISNUMBER(B1887)),ABS(B1888-B1887),"")</f>
        <v/>
      </c>
      <c r="D1888" s="13">
        <f>IF(AND(ISNUMBER(B1888),ISNUMBER($B$88),ISNUMBER($D$88)),IF(B1888&gt;$D$88,"boven UCL",IF(B1888&lt;$B$88,"onder LCL","")),"")</f>
        <v/>
      </c>
      <c r="E1888" s="13">
        <f>IF(AND(ISNUMBER(C1888),ISNUMBER($B$89),ISNUMBER($D$89)),IF(C1888&gt;$D$89,"boven UCL",IF(C1888&lt;$B$89,"onder LCL","")),"")</f>
        <v/>
      </c>
      <c r="G1888" t="n">
        <v>1782</v>
      </c>
      <c r="H1888" s="7" t="n"/>
      <c r="I1888" s="7" t="n"/>
      <c r="J1888" s="11">
        <f>IF(AND(ISNUMBER(H1888),ISNUMBER(I1888),H1888&gt;0,ISNUMBER($B$94)),I1888/H1888,"")</f>
        <v/>
      </c>
      <c r="K1888" s="11">
        <f>IF(AND(ISNUMBER(H1888),ISNUMBER(I1888),H1888&gt;0,ISNUMBER($B$94)),MAX(0,$B$94-3*SQRT($B$94*(1-$B$94)/H1888)),"")</f>
        <v/>
      </c>
      <c r="L1888" s="11">
        <f>IF(AND(ISNUMBER(H1888),ISNUMBER(I1888),H1888&gt;0,ISNUMBER($B$94)),$B$94+3*SQRT($B$94*(1-$B$94)/H1888),"")</f>
        <v/>
      </c>
      <c r="M1888" s="13">
        <f>IF(AND(ISNUMBER(J1888),ISNUMBER(K1888),ISNUMBER(L1888)),IF(J1888&gt;L1888,"boven UCL",IF(J1888&lt;K1888,"onder LCL","")),"")</f>
        <v/>
      </c>
      <c r="O1888" t="n">
        <v>1782</v>
      </c>
      <c r="P1888" s="7" t="n"/>
      <c r="Q1888" s="7" t="n"/>
      <c r="R1888" s="11">
        <f>IF(AND(ISNUMBER(P1888),ISNUMBER(Q1888),P1888&gt;0,ISNUMBER($B$100)),Q1888/P1888,"")</f>
        <v/>
      </c>
      <c r="S1888" s="11">
        <f>IF(AND(ISNUMBER(P1888),ISNUMBER(Q1888),P1888&gt;0,ISNUMBER($B$100)),MAX(0,$B$100-3*SQRT($B$100/P1888)),"")</f>
        <v/>
      </c>
      <c r="T1888" s="11">
        <f>IF(AND(ISNUMBER(P1888),ISNUMBER(Q1888),P1888&gt;0,ISNUMBER($B$100)),$B$100+3*SQRT($B$100/P1888),"")</f>
        <v/>
      </c>
      <c r="U1888" s="13">
        <f>IF(AND(ISNUMBER(R1888),ISNUMBER(S1888),ISNUMBER(T1888)),IF(R1888&gt;T1888,"boven UCL",IF(R1888&lt;S1888,"onder LCL","")),"")</f>
        <v/>
      </c>
    </row>
    <row r="1889">
      <c r="A1889" t="n">
        <v>1783</v>
      </c>
      <c r="B1889" s="7" t="n"/>
      <c r="C1889" s="11">
        <f>IF(AND(ISNUMBER(B1889),ISNUMBER(B1888)),ABS(B1889-B1888),"")</f>
        <v/>
      </c>
      <c r="D1889" s="13">
        <f>IF(AND(ISNUMBER(B1889),ISNUMBER($B$88),ISNUMBER($D$88)),IF(B1889&gt;$D$88,"boven UCL",IF(B1889&lt;$B$88,"onder LCL","")),"")</f>
        <v/>
      </c>
      <c r="E1889" s="13">
        <f>IF(AND(ISNUMBER(C1889),ISNUMBER($B$89),ISNUMBER($D$89)),IF(C1889&gt;$D$89,"boven UCL",IF(C1889&lt;$B$89,"onder LCL","")),"")</f>
        <v/>
      </c>
      <c r="G1889" t="n">
        <v>1783</v>
      </c>
      <c r="H1889" s="7" t="n"/>
      <c r="I1889" s="7" t="n"/>
      <c r="J1889" s="11">
        <f>IF(AND(ISNUMBER(H1889),ISNUMBER(I1889),H1889&gt;0,ISNUMBER($B$94)),I1889/H1889,"")</f>
        <v/>
      </c>
      <c r="K1889" s="11">
        <f>IF(AND(ISNUMBER(H1889),ISNUMBER(I1889),H1889&gt;0,ISNUMBER($B$94)),MAX(0,$B$94-3*SQRT($B$94*(1-$B$94)/H1889)),"")</f>
        <v/>
      </c>
      <c r="L1889" s="11">
        <f>IF(AND(ISNUMBER(H1889),ISNUMBER(I1889),H1889&gt;0,ISNUMBER($B$94)),$B$94+3*SQRT($B$94*(1-$B$94)/H1889),"")</f>
        <v/>
      </c>
      <c r="M1889" s="13">
        <f>IF(AND(ISNUMBER(J1889),ISNUMBER(K1889),ISNUMBER(L1889)),IF(J1889&gt;L1889,"boven UCL",IF(J1889&lt;K1889,"onder LCL","")),"")</f>
        <v/>
      </c>
      <c r="O1889" t="n">
        <v>1783</v>
      </c>
      <c r="P1889" s="7" t="n"/>
      <c r="Q1889" s="7" t="n"/>
      <c r="R1889" s="11">
        <f>IF(AND(ISNUMBER(P1889),ISNUMBER(Q1889),P1889&gt;0,ISNUMBER($B$100)),Q1889/P1889,"")</f>
        <v/>
      </c>
      <c r="S1889" s="11">
        <f>IF(AND(ISNUMBER(P1889),ISNUMBER(Q1889),P1889&gt;0,ISNUMBER($B$100)),MAX(0,$B$100-3*SQRT($B$100/P1889)),"")</f>
        <v/>
      </c>
      <c r="T1889" s="11">
        <f>IF(AND(ISNUMBER(P1889),ISNUMBER(Q1889),P1889&gt;0,ISNUMBER($B$100)),$B$100+3*SQRT($B$100/P1889),"")</f>
        <v/>
      </c>
      <c r="U1889" s="13">
        <f>IF(AND(ISNUMBER(R1889),ISNUMBER(S1889),ISNUMBER(T1889)),IF(R1889&gt;T1889,"boven UCL",IF(R1889&lt;S1889,"onder LCL","")),"")</f>
        <v/>
      </c>
    </row>
    <row r="1890">
      <c r="A1890" t="n">
        <v>1784</v>
      </c>
      <c r="B1890" s="7" t="n"/>
      <c r="C1890" s="11">
        <f>IF(AND(ISNUMBER(B1890),ISNUMBER(B1889)),ABS(B1890-B1889),"")</f>
        <v/>
      </c>
      <c r="D1890" s="13">
        <f>IF(AND(ISNUMBER(B1890),ISNUMBER($B$88),ISNUMBER($D$88)),IF(B1890&gt;$D$88,"boven UCL",IF(B1890&lt;$B$88,"onder LCL","")),"")</f>
        <v/>
      </c>
      <c r="E1890" s="13">
        <f>IF(AND(ISNUMBER(C1890),ISNUMBER($B$89),ISNUMBER($D$89)),IF(C1890&gt;$D$89,"boven UCL",IF(C1890&lt;$B$89,"onder LCL","")),"")</f>
        <v/>
      </c>
      <c r="G1890" t="n">
        <v>1784</v>
      </c>
      <c r="H1890" s="7" t="n"/>
      <c r="I1890" s="7" t="n"/>
      <c r="J1890" s="11">
        <f>IF(AND(ISNUMBER(H1890),ISNUMBER(I1890),H1890&gt;0,ISNUMBER($B$94)),I1890/H1890,"")</f>
        <v/>
      </c>
      <c r="K1890" s="11">
        <f>IF(AND(ISNUMBER(H1890),ISNUMBER(I1890),H1890&gt;0,ISNUMBER($B$94)),MAX(0,$B$94-3*SQRT($B$94*(1-$B$94)/H1890)),"")</f>
        <v/>
      </c>
      <c r="L1890" s="11">
        <f>IF(AND(ISNUMBER(H1890),ISNUMBER(I1890),H1890&gt;0,ISNUMBER($B$94)),$B$94+3*SQRT($B$94*(1-$B$94)/H1890),"")</f>
        <v/>
      </c>
      <c r="M1890" s="13">
        <f>IF(AND(ISNUMBER(J1890),ISNUMBER(K1890),ISNUMBER(L1890)),IF(J1890&gt;L1890,"boven UCL",IF(J1890&lt;K1890,"onder LCL","")),"")</f>
        <v/>
      </c>
      <c r="O1890" t="n">
        <v>1784</v>
      </c>
      <c r="P1890" s="7" t="n"/>
      <c r="Q1890" s="7" t="n"/>
      <c r="R1890" s="11">
        <f>IF(AND(ISNUMBER(P1890),ISNUMBER(Q1890),P1890&gt;0,ISNUMBER($B$100)),Q1890/P1890,"")</f>
        <v/>
      </c>
      <c r="S1890" s="11">
        <f>IF(AND(ISNUMBER(P1890),ISNUMBER(Q1890),P1890&gt;0,ISNUMBER($B$100)),MAX(0,$B$100-3*SQRT($B$100/P1890)),"")</f>
        <v/>
      </c>
      <c r="T1890" s="11">
        <f>IF(AND(ISNUMBER(P1890),ISNUMBER(Q1890),P1890&gt;0,ISNUMBER($B$100)),$B$100+3*SQRT($B$100/P1890),"")</f>
        <v/>
      </c>
      <c r="U1890" s="13">
        <f>IF(AND(ISNUMBER(R1890),ISNUMBER(S1890),ISNUMBER(T1890)),IF(R1890&gt;T1890,"boven UCL",IF(R1890&lt;S1890,"onder LCL","")),"")</f>
        <v/>
      </c>
    </row>
    <row r="1891">
      <c r="A1891" t="n">
        <v>1785</v>
      </c>
      <c r="B1891" s="7" t="n"/>
      <c r="C1891" s="11">
        <f>IF(AND(ISNUMBER(B1891),ISNUMBER(B1890)),ABS(B1891-B1890),"")</f>
        <v/>
      </c>
      <c r="D1891" s="13">
        <f>IF(AND(ISNUMBER(B1891),ISNUMBER($B$88),ISNUMBER($D$88)),IF(B1891&gt;$D$88,"boven UCL",IF(B1891&lt;$B$88,"onder LCL","")),"")</f>
        <v/>
      </c>
      <c r="E1891" s="13">
        <f>IF(AND(ISNUMBER(C1891),ISNUMBER($B$89),ISNUMBER($D$89)),IF(C1891&gt;$D$89,"boven UCL",IF(C1891&lt;$B$89,"onder LCL","")),"")</f>
        <v/>
      </c>
      <c r="G1891" t="n">
        <v>1785</v>
      </c>
      <c r="H1891" s="7" t="n"/>
      <c r="I1891" s="7" t="n"/>
      <c r="J1891" s="11">
        <f>IF(AND(ISNUMBER(H1891),ISNUMBER(I1891),H1891&gt;0,ISNUMBER($B$94)),I1891/H1891,"")</f>
        <v/>
      </c>
      <c r="K1891" s="11">
        <f>IF(AND(ISNUMBER(H1891),ISNUMBER(I1891),H1891&gt;0,ISNUMBER($B$94)),MAX(0,$B$94-3*SQRT($B$94*(1-$B$94)/H1891)),"")</f>
        <v/>
      </c>
      <c r="L1891" s="11">
        <f>IF(AND(ISNUMBER(H1891),ISNUMBER(I1891),H1891&gt;0,ISNUMBER($B$94)),$B$94+3*SQRT($B$94*(1-$B$94)/H1891),"")</f>
        <v/>
      </c>
      <c r="M1891" s="13">
        <f>IF(AND(ISNUMBER(J1891),ISNUMBER(K1891),ISNUMBER(L1891)),IF(J1891&gt;L1891,"boven UCL",IF(J1891&lt;K1891,"onder LCL","")),"")</f>
        <v/>
      </c>
      <c r="O1891" t="n">
        <v>1785</v>
      </c>
      <c r="P1891" s="7" t="n"/>
      <c r="Q1891" s="7" t="n"/>
      <c r="R1891" s="11">
        <f>IF(AND(ISNUMBER(P1891),ISNUMBER(Q1891),P1891&gt;0,ISNUMBER($B$100)),Q1891/P1891,"")</f>
        <v/>
      </c>
      <c r="S1891" s="11">
        <f>IF(AND(ISNUMBER(P1891),ISNUMBER(Q1891),P1891&gt;0,ISNUMBER($B$100)),MAX(0,$B$100-3*SQRT($B$100/P1891)),"")</f>
        <v/>
      </c>
      <c r="T1891" s="11">
        <f>IF(AND(ISNUMBER(P1891),ISNUMBER(Q1891),P1891&gt;0,ISNUMBER($B$100)),$B$100+3*SQRT($B$100/P1891),"")</f>
        <v/>
      </c>
      <c r="U1891" s="13">
        <f>IF(AND(ISNUMBER(R1891),ISNUMBER(S1891),ISNUMBER(T1891)),IF(R1891&gt;T1891,"boven UCL",IF(R1891&lt;S1891,"onder LCL","")),"")</f>
        <v/>
      </c>
    </row>
    <row r="1892">
      <c r="A1892" t="n">
        <v>1786</v>
      </c>
      <c r="B1892" s="7" t="n"/>
      <c r="C1892" s="11">
        <f>IF(AND(ISNUMBER(B1892),ISNUMBER(B1891)),ABS(B1892-B1891),"")</f>
        <v/>
      </c>
      <c r="D1892" s="13">
        <f>IF(AND(ISNUMBER(B1892),ISNUMBER($B$88),ISNUMBER($D$88)),IF(B1892&gt;$D$88,"boven UCL",IF(B1892&lt;$B$88,"onder LCL","")),"")</f>
        <v/>
      </c>
      <c r="E1892" s="13">
        <f>IF(AND(ISNUMBER(C1892),ISNUMBER($B$89),ISNUMBER($D$89)),IF(C1892&gt;$D$89,"boven UCL",IF(C1892&lt;$B$89,"onder LCL","")),"")</f>
        <v/>
      </c>
      <c r="G1892" t="n">
        <v>1786</v>
      </c>
      <c r="H1892" s="7" t="n"/>
      <c r="I1892" s="7" t="n"/>
      <c r="J1892" s="11">
        <f>IF(AND(ISNUMBER(H1892),ISNUMBER(I1892),H1892&gt;0,ISNUMBER($B$94)),I1892/H1892,"")</f>
        <v/>
      </c>
      <c r="K1892" s="11">
        <f>IF(AND(ISNUMBER(H1892),ISNUMBER(I1892),H1892&gt;0,ISNUMBER($B$94)),MAX(0,$B$94-3*SQRT($B$94*(1-$B$94)/H1892)),"")</f>
        <v/>
      </c>
      <c r="L1892" s="11">
        <f>IF(AND(ISNUMBER(H1892),ISNUMBER(I1892),H1892&gt;0,ISNUMBER($B$94)),$B$94+3*SQRT($B$94*(1-$B$94)/H1892),"")</f>
        <v/>
      </c>
      <c r="M1892" s="13">
        <f>IF(AND(ISNUMBER(J1892),ISNUMBER(K1892),ISNUMBER(L1892)),IF(J1892&gt;L1892,"boven UCL",IF(J1892&lt;K1892,"onder LCL","")),"")</f>
        <v/>
      </c>
      <c r="O1892" t="n">
        <v>1786</v>
      </c>
      <c r="P1892" s="7" t="n"/>
      <c r="Q1892" s="7" t="n"/>
      <c r="R1892" s="11">
        <f>IF(AND(ISNUMBER(P1892),ISNUMBER(Q1892),P1892&gt;0,ISNUMBER($B$100)),Q1892/P1892,"")</f>
        <v/>
      </c>
      <c r="S1892" s="11">
        <f>IF(AND(ISNUMBER(P1892),ISNUMBER(Q1892),P1892&gt;0,ISNUMBER($B$100)),MAX(0,$B$100-3*SQRT($B$100/P1892)),"")</f>
        <v/>
      </c>
      <c r="T1892" s="11">
        <f>IF(AND(ISNUMBER(P1892),ISNUMBER(Q1892),P1892&gt;0,ISNUMBER($B$100)),$B$100+3*SQRT($B$100/P1892),"")</f>
        <v/>
      </c>
      <c r="U1892" s="13">
        <f>IF(AND(ISNUMBER(R1892),ISNUMBER(S1892),ISNUMBER(T1892)),IF(R1892&gt;T1892,"boven UCL",IF(R1892&lt;S1892,"onder LCL","")),"")</f>
        <v/>
      </c>
    </row>
    <row r="1893">
      <c r="A1893" t="n">
        <v>1787</v>
      </c>
      <c r="B1893" s="7" t="n"/>
      <c r="C1893" s="11">
        <f>IF(AND(ISNUMBER(B1893),ISNUMBER(B1892)),ABS(B1893-B1892),"")</f>
        <v/>
      </c>
      <c r="D1893" s="13">
        <f>IF(AND(ISNUMBER(B1893),ISNUMBER($B$88),ISNUMBER($D$88)),IF(B1893&gt;$D$88,"boven UCL",IF(B1893&lt;$B$88,"onder LCL","")),"")</f>
        <v/>
      </c>
      <c r="E1893" s="13">
        <f>IF(AND(ISNUMBER(C1893),ISNUMBER($B$89),ISNUMBER($D$89)),IF(C1893&gt;$D$89,"boven UCL",IF(C1893&lt;$B$89,"onder LCL","")),"")</f>
        <v/>
      </c>
      <c r="G1893" t="n">
        <v>1787</v>
      </c>
      <c r="H1893" s="7" t="n"/>
      <c r="I1893" s="7" t="n"/>
      <c r="J1893" s="11">
        <f>IF(AND(ISNUMBER(H1893),ISNUMBER(I1893),H1893&gt;0,ISNUMBER($B$94)),I1893/H1893,"")</f>
        <v/>
      </c>
      <c r="K1893" s="11">
        <f>IF(AND(ISNUMBER(H1893),ISNUMBER(I1893),H1893&gt;0,ISNUMBER($B$94)),MAX(0,$B$94-3*SQRT($B$94*(1-$B$94)/H1893)),"")</f>
        <v/>
      </c>
      <c r="L1893" s="11">
        <f>IF(AND(ISNUMBER(H1893),ISNUMBER(I1893),H1893&gt;0,ISNUMBER($B$94)),$B$94+3*SQRT($B$94*(1-$B$94)/H1893),"")</f>
        <v/>
      </c>
      <c r="M1893" s="13">
        <f>IF(AND(ISNUMBER(J1893),ISNUMBER(K1893),ISNUMBER(L1893)),IF(J1893&gt;L1893,"boven UCL",IF(J1893&lt;K1893,"onder LCL","")),"")</f>
        <v/>
      </c>
      <c r="O1893" t="n">
        <v>1787</v>
      </c>
      <c r="P1893" s="7" t="n"/>
      <c r="Q1893" s="7" t="n"/>
      <c r="R1893" s="11">
        <f>IF(AND(ISNUMBER(P1893),ISNUMBER(Q1893),P1893&gt;0,ISNUMBER($B$100)),Q1893/P1893,"")</f>
        <v/>
      </c>
      <c r="S1893" s="11">
        <f>IF(AND(ISNUMBER(P1893),ISNUMBER(Q1893),P1893&gt;0,ISNUMBER($B$100)),MAX(0,$B$100-3*SQRT($B$100/P1893)),"")</f>
        <v/>
      </c>
      <c r="T1893" s="11">
        <f>IF(AND(ISNUMBER(P1893),ISNUMBER(Q1893),P1893&gt;0,ISNUMBER($B$100)),$B$100+3*SQRT($B$100/P1893),"")</f>
        <v/>
      </c>
      <c r="U1893" s="13">
        <f>IF(AND(ISNUMBER(R1893),ISNUMBER(S1893),ISNUMBER(T1893)),IF(R1893&gt;T1893,"boven UCL",IF(R1893&lt;S1893,"onder LCL","")),"")</f>
        <v/>
      </c>
    </row>
    <row r="1894">
      <c r="A1894" t="n">
        <v>1788</v>
      </c>
      <c r="B1894" s="7" t="n"/>
      <c r="C1894" s="11">
        <f>IF(AND(ISNUMBER(B1894),ISNUMBER(B1893)),ABS(B1894-B1893),"")</f>
        <v/>
      </c>
      <c r="D1894" s="13">
        <f>IF(AND(ISNUMBER(B1894),ISNUMBER($B$88),ISNUMBER($D$88)),IF(B1894&gt;$D$88,"boven UCL",IF(B1894&lt;$B$88,"onder LCL","")),"")</f>
        <v/>
      </c>
      <c r="E1894" s="13">
        <f>IF(AND(ISNUMBER(C1894),ISNUMBER($B$89),ISNUMBER($D$89)),IF(C1894&gt;$D$89,"boven UCL",IF(C1894&lt;$B$89,"onder LCL","")),"")</f>
        <v/>
      </c>
      <c r="G1894" t="n">
        <v>1788</v>
      </c>
      <c r="H1894" s="7" t="n"/>
      <c r="I1894" s="7" t="n"/>
      <c r="J1894" s="11">
        <f>IF(AND(ISNUMBER(H1894),ISNUMBER(I1894),H1894&gt;0,ISNUMBER($B$94)),I1894/H1894,"")</f>
        <v/>
      </c>
      <c r="K1894" s="11">
        <f>IF(AND(ISNUMBER(H1894),ISNUMBER(I1894),H1894&gt;0,ISNUMBER($B$94)),MAX(0,$B$94-3*SQRT($B$94*(1-$B$94)/H1894)),"")</f>
        <v/>
      </c>
      <c r="L1894" s="11">
        <f>IF(AND(ISNUMBER(H1894),ISNUMBER(I1894),H1894&gt;0,ISNUMBER($B$94)),$B$94+3*SQRT($B$94*(1-$B$94)/H1894),"")</f>
        <v/>
      </c>
      <c r="M1894" s="13">
        <f>IF(AND(ISNUMBER(J1894),ISNUMBER(K1894),ISNUMBER(L1894)),IF(J1894&gt;L1894,"boven UCL",IF(J1894&lt;K1894,"onder LCL","")),"")</f>
        <v/>
      </c>
      <c r="O1894" t="n">
        <v>1788</v>
      </c>
      <c r="P1894" s="7" t="n"/>
      <c r="Q1894" s="7" t="n"/>
      <c r="R1894" s="11">
        <f>IF(AND(ISNUMBER(P1894),ISNUMBER(Q1894),P1894&gt;0,ISNUMBER($B$100)),Q1894/P1894,"")</f>
        <v/>
      </c>
      <c r="S1894" s="11">
        <f>IF(AND(ISNUMBER(P1894),ISNUMBER(Q1894),P1894&gt;0,ISNUMBER($B$100)),MAX(0,$B$100-3*SQRT($B$100/P1894)),"")</f>
        <v/>
      </c>
      <c r="T1894" s="11">
        <f>IF(AND(ISNUMBER(P1894),ISNUMBER(Q1894),P1894&gt;0,ISNUMBER($B$100)),$B$100+3*SQRT($B$100/P1894),"")</f>
        <v/>
      </c>
      <c r="U1894" s="13">
        <f>IF(AND(ISNUMBER(R1894),ISNUMBER(S1894),ISNUMBER(T1894)),IF(R1894&gt;T1894,"boven UCL",IF(R1894&lt;S1894,"onder LCL","")),"")</f>
        <v/>
      </c>
    </row>
    <row r="1895">
      <c r="A1895" t="n">
        <v>1789</v>
      </c>
      <c r="B1895" s="7" t="n"/>
      <c r="C1895" s="11">
        <f>IF(AND(ISNUMBER(B1895),ISNUMBER(B1894)),ABS(B1895-B1894),"")</f>
        <v/>
      </c>
      <c r="D1895" s="13">
        <f>IF(AND(ISNUMBER(B1895),ISNUMBER($B$88),ISNUMBER($D$88)),IF(B1895&gt;$D$88,"boven UCL",IF(B1895&lt;$B$88,"onder LCL","")),"")</f>
        <v/>
      </c>
      <c r="E1895" s="13">
        <f>IF(AND(ISNUMBER(C1895),ISNUMBER($B$89),ISNUMBER($D$89)),IF(C1895&gt;$D$89,"boven UCL",IF(C1895&lt;$B$89,"onder LCL","")),"")</f>
        <v/>
      </c>
      <c r="G1895" t="n">
        <v>1789</v>
      </c>
      <c r="H1895" s="7" t="n"/>
      <c r="I1895" s="7" t="n"/>
      <c r="J1895" s="11">
        <f>IF(AND(ISNUMBER(H1895),ISNUMBER(I1895),H1895&gt;0,ISNUMBER($B$94)),I1895/H1895,"")</f>
        <v/>
      </c>
      <c r="K1895" s="11">
        <f>IF(AND(ISNUMBER(H1895),ISNUMBER(I1895),H1895&gt;0,ISNUMBER($B$94)),MAX(0,$B$94-3*SQRT($B$94*(1-$B$94)/H1895)),"")</f>
        <v/>
      </c>
      <c r="L1895" s="11">
        <f>IF(AND(ISNUMBER(H1895),ISNUMBER(I1895),H1895&gt;0,ISNUMBER($B$94)),$B$94+3*SQRT($B$94*(1-$B$94)/H1895),"")</f>
        <v/>
      </c>
      <c r="M1895" s="13">
        <f>IF(AND(ISNUMBER(J1895),ISNUMBER(K1895),ISNUMBER(L1895)),IF(J1895&gt;L1895,"boven UCL",IF(J1895&lt;K1895,"onder LCL","")),"")</f>
        <v/>
      </c>
      <c r="O1895" t="n">
        <v>1789</v>
      </c>
      <c r="P1895" s="7" t="n"/>
      <c r="Q1895" s="7" t="n"/>
      <c r="R1895" s="11">
        <f>IF(AND(ISNUMBER(P1895),ISNUMBER(Q1895),P1895&gt;0,ISNUMBER($B$100)),Q1895/P1895,"")</f>
        <v/>
      </c>
      <c r="S1895" s="11">
        <f>IF(AND(ISNUMBER(P1895),ISNUMBER(Q1895),P1895&gt;0,ISNUMBER($B$100)),MAX(0,$B$100-3*SQRT($B$100/P1895)),"")</f>
        <v/>
      </c>
      <c r="T1895" s="11">
        <f>IF(AND(ISNUMBER(P1895),ISNUMBER(Q1895),P1895&gt;0,ISNUMBER($B$100)),$B$100+3*SQRT($B$100/P1895),"")</f>
        <v/>
      </c>
      <c r="U1895" s="13">
        <f>IF(AND(ISNUMBER(R1895),ISNUMBER(S1895),ISNUMBER(T1895)),IF(R1895&gt;T1895,"boven UCL",IF(R1895&lt;S1895,"onder LCL","")),"")</f>
        <v/>
      </c>
    </row>
    <row r="1896">
      <c r="A1896" t="n">
        <v>1790</v>
      </c>
      <c r="B1896" s="7" t="n"/>
      <c r="C1896" s="11">
        <f>IF(AND(ISNUMBER(B1896),ISNUMBER(B1895)),ABS(B1896-B1895),"")</f>
        <v/>
      </c>
      <c r="D1896" s="13">
        <f>IF(AND(ISNUMBER(B1896),ISNUMBER($B$88),ISNUMBER($D$88)),IF(B1896&gt;$D$88,"boven UCL",IF(B1896&lt;$B$88,"onder LCL","")),"")</f>
        <v/>
      </c>
      <c r="E1896" s="13">
        <f>IF(AND(ISNUMBER(C1896),ISNUMBER($B$89),ISNUMBER($D$89)),IF(C1896&gt;$D$89,"boven UCL",IF(C1896&lt;$B$89,"onder LCL","")),"")</f>
        <v/>
      </c>
      <c r="G1896" t="n">
        <v>1790</v>
      </c>
      <c r="H1896" s="7" t="n"/>
      <c r="I1896" s="7" t="n"/>
      <c r="J1896" s="11">
        <f>IF(AND(ISNUMBER(H1896),ISNUMBER(I1896),H1896&gt;0,ISNUMBER($B$94)),I1896/H1896,"")</f>
        <v/>
      </c>
      <c r="K1896" s="11">
        <f>IF(AND(ISNUMBER(H1896),ISNUMBER(I1896),H1896&gt;0,ISNUMBER($B$94)),MAX(0,$B$94-3*SQRT($B$94*(1-$B$94)/H1896)),"")</f>
        <v/>
      </c>
      <c r="L1896" s="11">
        <f>IF(AND(ISNUMBER(H1896),ISNUMBER(I1896),H1896&gt;0,ISNUMBER($B$94)),$B$94+3*SQRT($B$94*(1-$B$94)/H1896),"")</f>
        <v/>
      </c>
      <c r="M1896" s="13">
        <f>IF(AND(ISNUMBER(J1896),ISNUMBER(K1896),ISNUMBER(L1896)),IF(J1896&gt;L1896,"boven UCL",IF(J1896&lt;K1896,"onder LCL","")),"")</f>
        <v/>
      </c>
      <c r="O1896" t="n">
        <v>1790</v>
      </c>
      <c r="P1896" s="7" t="n"/>
      <c r="Q1896" s="7" t="n"/>
      <c r="R1896" s="11">
        <f>IF(AND(ISNUMBER(P1896),ISNUMBER(Q1896),P1896&gt;0,ISNUMBER($B$100)),Q1896/P1896,"")</f>
        <v/>
      </c>
      <c r="S1896" s="11">
        <f>IF(AND(ISNUMBER(P1896),ISNUMBER(Q1896),P1896&gt;0,ISNUMBER($B$100)),MAX(0,$B$100-3*SQRT($B$100/P1896)),"")</f>
        <v/>
      </c>
      <c r="T1896" s="11">
        <f>IF(AND(ISNUMBER(P1896),ISNUMBER(Q1896),P1896&gt;0,ISNUMBER($B$100)),$B$100+3*SQRT($B$100/P1896),"")</f>
        <v/>
      </c>
      <c r="U1896" s="13">
        <f>IF(AND(ISNUMBER(R1896),ISNUMBER(S1896),ISNUMBER(T1896)),IF(R1896&gt;T1896,"boven UCL",IF(R1896&lt;S1896,"onder LCL","")),"")</f>
        <v/>
      </c>
    </row>
    <row r="1897">
      <c r="A1897" t="n">
        <v>1791</v>
      </c>
      <c r="B1897" s="7" t="n"/>
      <c r="C1897" s="11">
        <f>IF(AND(ISNUMBER(B1897),ISNUMBER(B1896)),ABS(B1897-B1896),"")</f>
        <v/>
      </c>
      <c r="D1897" s="13">
        <f>IF(AND(ISNUMBER(B1897),ISNUMBER($B$88),ISNUMBER($D$88)),IF(B1897&gt;$D$88,"boven UCL",IF(B1897&lt;$B$88,"onder LCL","")),"")</f>
        <v/>
      </c>
      <c r="E1897" s="13">
        <f>IF(AND(ISNUMBER(C1897),ISNUMBER($B$89),ISNUMBER($D$89)),IF(C1897&gt;$D$89,"boven UCL",IF(C1897&lt;$B$89,"onder LCL","")),"")</f>
        <v/>
      </c>
      <c r="G1897" t="n">
        <v>1791</v>
      </c>
      <c r="H1897" s="7" t="n"/>
      <c r="I1897" s="7" t="n"/>
      <c r="J1897" s="11">
        <f>IF(AND(ISNUMBER(H1897),ISNUMBER(I1897),H1897&gt;0,ISNUMBER($B$94)),I1897/H1897,"")</f>
        <v/>
      </c>
      <c r="K1897" s="11">
        <f>IF(AND(ISNUMBER(H1897),ISNUMBER(I1897),H1897&gt;0,ISNUMBER($B$94)),MAX(0,$B$94-3*SQRT($B$94*(1-$B$94)/H1897)),"")</f>
        <v/>
      </c>
      <c r="L1897" s="11">
        <f>IF(AND(ISNUMBER(H1897),ISNUMBER(I1897),H1897&gt;0,ISNUMBER($B$94)),$B$94+3*SQRT($B$94*(1-$B$94)/H1897),"")</f>
        <v/>
      </c>
      <c r="M1897" s="13">
        <f>IF(AND(ISNUMBER(J1897),ISNUMBER(K1897),ISNUMBER(L1897)),IF(J1897&gt;L1897,"boven UCL",IF(J1897&lt;K1897,"onder LCL","")),"")</f>
        <v/>
      </c>
      <c r="O1897" t="n">
        <v>1791</v>
      </c>
      <c r="P1897" s="7" t="n"/>
      <c r="Q1897" s="7" t="n"/>
      <c r="R1897" s="11">
        <f>IF(AND(ISNUMBER(P1897),ISNUMBER(Q1897),P1897&gt;0,ISNUMBER($B$100)),Q1897/P1897,"")</f>
        <v/>
      </c>
      <c r="S1897" s="11">
        <f>IF(AND(ISNUMBER(P1897),ISNUMBER(Q1897),P1897&gt;0,ISNUMBER($B$100)),MAX(0,$B$100-3*SQRT($B$100/P1897)),"")</f>
        <v/>
      </c>
      <c r="T1897" s="11">
        <f>IF(AND(ISNUMBER(P1897),ISNUMBER(Q1897),P1897&gt;0,ISNUMBER($B$100)),$B$100+3*SQRT($B$100/P1897),"")</f>
        <v/>
      </c>
      <c r="U1897" s="13">
        <f>IF(AND(ISNUMBER(R1897),ISNUMBER(S1897),ISNUMBER(T1897)),IF(R1897&gt;T1897,"boven UCL",IF(R1897&lt;S1897,"onder LCL","")),"")</f>
        <v/>
      </c>
    </row>
    <row r="1898">
      <c r="A1898" t="n">
        <v>1792</v>
      </c>
      <c r="B1898" s="7" t="n"/>
      <c r="C1898" s="11">
        <f>IF(AND(ISNUMBER(B1898),ISNUMBER(B1897)),ABS(B1898-B1897),"")</f>
        <v/>
      </c>
      <c r="D1898" s="13">
        <f>IF(AND(ISNUMBER(B1898),ISNUMBER($B$88),ISNUMBER($D$88)),IF(B1898&gt;$D$88,"boven UCL",IF(B1898&lt;$B$88,"onder LCL","")),"")</f>
        <v/>
      </c>
      <c r="E1898" s="13">
        <f>IF(AND(ISNUMBER(C1898),ISNUMBER($B$89),ISNUMBER($D$89)),IF(C1898&gt;$D$89,"boven UCL",IF(C1898&lt;$B$89,"onder LCL","")),"")</f>
        <v/>
      </c>
      <c r="G1898" t="n">
        <v>1792</v>
      </c>
      <c r="H1898" s="7" t="n"/>
      <c r="I1898" s="7" t="n"/>
      <c r="J1898" s="11">
        <f>IF(AND(ISNUMBER(H1898),ISNUMBER(I1898),H1898&gt;0,ISNUMBER($B$94)),I1898/H1898,"")</f>
        <v/>
      </c>
      <c r="K1898" s="11">
        <f>IF(AND(ISNUMBER(H1898),ISNUMBER(I1898),H1898&gt;0,ISNUMBER($B$94)),MAX(0,$B$94-3*SQRT($B$94*(1-$B$94)/H1898)),"")</f>
        <v/>
      </c>
      <c r="L1898" s="11">
        <f>IF(AND(ISNUMBER(H1898),ISNUMBER(I1898),H1898&gt;0,ISNUMBER($B$94)),$B$94+3*SQRT($B$94*(1-$B$94)/H1898),"")</f>
        <v/>
      </c>
      <c r="M1898" s="13">
        <f>IF(AND(ISNUMBER(J1898),ISNUMBER(K1898),ISNUMBER(L1898)),IF(J1898&gt;L1898,"boven UCL",IF(J1898&lt;K1898,"onder LCL","")),"")</f>
        <v/>
      </c>
      <c r="O1898" t="n">
        <v>1792</v>
      </c>
      <c r="P1898" s="7" t="n"/>
      <c r="Q1898" s="7" t="n"/>
      <c r="R1898" s="11">
        <f>IF(AND(ISNUMBER(P1898),ISNUMBER(Q1898),P1898&gt;0,ISNUMBER($B$100)),Q1898/P1898,"")</f>
        <v/>
      </c>
      <c r="S1898" s="11">
        <f>IF(AND(ISNUMBER(P1898),ISNUMBER(Q1898),P1898&gt;0,ISNUMBER($B$100)),MAX(0,$B$100-3*SQRT($B$100/P1898)),"")</f>
        <v/>
      </c>
      <c r="T1898" s="11">
        <f>IF(AND(ISNUMBER(P1898),ISNUMBER(Q1898),P1898&gt;0,ISNUMBER($B$100)),$B$100+3*SQRT($B$100/P1898),"")</f>
        <v/>
      </c>
      <c r="U1898" s="13">
        <f>IF(AND(ISNUMBER(R1898),ISNUMBER(S1898),ISNUMBER(T1898)),IF(R1898&gt;T1898,"boven UCL",IF(R1898&lt;S1898,"onder LCL","")),"")</f>
        <v/>
      </c>
    </row>
    <row r="1899">
      <c r="A1899" t="n">
        <v>1793</v>
      </c>
      <c r="B1899" s="7" t="n"/>
      <c r="C1899" s="11">
        <f>IF(AND(ISNUMBER(B1899),ISNUMBER(B1898)),ABS(B1899-B1898),"")</f>
        <v/>
      </c>
      <c r="D1899" s="13">
        <f>IF(AND(ISNUMBER(B1899),ISNUMBER($B$88),ISNUMBER($D$88)),IF(B1899&gt;$D$88,"boven UCL",IF(B1899&lt;$B$88,"onder LCL","")),"")</f>
        <v/>
      </c>
      <c r="E1899" s="13">
        <f>IF(AND(ISNUMBER(C1899),ISNUMBER($B$89),ISNUMBER($D$89)),IF(C1899&gt;$D$89,"boven UCL",IF(C1899&lt;$B$89,"onder LCL","")),"")</f>
        <v/>
      </c>
      <c r="G1899" t="n">
        <v>1793</v>
      </c>
      <c r="H1899" s="7" t="n"/>
      <c r="I1899" s="7" t="n"/>
      <c r="J1899" s="11">
        <f>IF(AND(ISNUMBER(H1899),ISNUMBER(I1899),H1899&gt;0,ISNUMBER($B$94)),I1899/H1899,"")</f>
        <v/>
      </c>
      <c r="K1899" s="11">
        <f>IF(AND(ISNUMBER(H1899),ISNUMBER(I1899),H1899&gt;0,ISNUMBER($B$94)),MAX(0,$B$94-3*SQRT($B$94*(1-$B$94)/H1899)),"")</f>
        <v/>
      </c>
      <c r="L1899" s="11">
        <f>IF(AND(ISNUMBER(H1899),ISNUMBER(I1899),H1899&gt;0,ISNUMBER($B$94)),$B$94+3*SQRT($B$94*(1-$B$94)/H1899),"")</f>
        <v/>
      </c>
      <c r="M1899" s="13">
        <f>IF(AND(ISNUMBER(J1899),ISNUMBER(K1899),ISNUMBER(L1899)),IF(J1899&gt;L1899,"boven UCL",IF(J1899&lt;K1899,"onder LCL","")),"")</f>
        <v/>
      </c>
      <c r="O1899" t="n">
        <v>1793</v>
      </c>
      <c r="P1899" s="7" t="n"/>
      <c r="Q1899" s="7" t="n"/>
      <c r="R1899" s="11">
        <f>IF(AND(ISNUMBER(P1899),ISNUMBER(Q1899),P1899&gt;0,ISNUMBER($B$100)),Q1899/P1899,"")</f>
        <v/>
      </c>
      <c r="S1899" s="11">
        <f>IF(AND(ISNUMBER(P1899),ISNUMBER(Q1899),P1899&gt;0,ISNUMBER($B$100)),MAX(0,$B$100-3*SQRT($B$100/P1899)),"")</f>
        <v/>
      </c>
      <c r="T1899" s="11">
        <f>IF(AND(ISNUMBER(P1899),ISNUMBER(Q1899),P1899&gt;0,ISNUMBER($B$100)),$B$100+3*SQRT($B$100/P1899),"")</f>
        <v/>
      </c>
      <c r="U1899" s="13">
        <f>IF(AND(ISNUMBER(R1899),ISNUMBER(S1899),ISNUMBER(T1899)),IF(R1899&gt;T1899,"boven UCL",IF(R1899&lt;S1899,"onder LCL","")),"")</f>
        <v/>
      </c>
    </row>
    <row r="1900">
      <c r="A1900" t="n">
        <v>1794</v>
      </c>
      <c r="B1900" s="7" t="n"/>
      <c r="C1900" s="11">
        <f>IF(AND(ISNUMBER(B1900),ISNUMBER(B1899)),ABS(B1900-B1899),"")</f>
        <v/>
      </c>
      <c r="D1900" s="13">
        <f>IF(AND(ISNUMBER(B1900),ISNUMBER($B$88),ISNUMBER($D$88)),IF(B1900&gt;$D$88,"boven UCL",IF(B1900&lt;$B$88,"onder LCL","")),"")</f>
        <v/>
      </c>
      <c r="E1900" s="13">
        <f>IF(AND(ISNUMBER(C1900),ISNUMBER($B$89),ISNUMBER($D$89)),IF(C1900&gt;$D$89,"boven UCL",IF(C1900&lt;$B$89,"onder LCL","")),"")</f>
        <v/>
      </c>
      <c r="G1900" t="n">
        <v>1794</v>
      </c>
      <c r="H1900" s="7" t="n"/>
      <c r="I1900" s="7" t="n"/>
      <c r="J1900" s="11">
        <f>IF(AND(ISNUMBER(H1900),ISNUMBER(I1900),H1900&gt;0,ISNUMBER($B$94)),I1900/H1900,"")</f>
        <v/>
      </c>
      <c r="K1900" s="11">
        <f>IF(AND(ISNUMBER(H1900),ISNUMBER(I1900),H1900&gt;0,ISNUMBER($B$94)),MAX(0,$B$94-3*SQRT($B$94*(1-$B$94)/H1900)),"")</f>
        <v/>
      </c>
      <c r="L1900" s="11">
        <f>IF(AND(ISNUMBER(H1900),ISNUMBER(I1900),H1900&gt;0,ISNUMBER($B$94)),$B$94+3*SQRT($B$94*(1-$B$94)/H1900),"")</f>
        <v/>
      </c>
      <c r="M1900" s="13">
        <f>IF(AND(ISNUMBER(J1900),ISNUMBER(K1900),ISNUMBER(L1900)),IF(J1900&gt;L1900,"boven UCL",IF(J1900&lt;K1900,"onder LCL","")),"")</f>
        <v/>
      </c>
      <c r="O1900" t="n">
        <v>1794</v>
      </c>
      <c r="P1900" s="7" t="n"/>
      <c r="Q1900" s="7" t="n"/>
      <c r="R1900" s="11">
        <f>IF(AND(ISNUMBER(P1900),ISNUMBER(Q1900),P1900&gt;0,ISNUMBER($B$100)),Q1900/P1900,"")</f>
        <v/>
      </c>
      <c r="S1900" s="11">
        <f>IF(AND(ISNUMBER(P1900),ISNUMBER(Q1900),P1900&gt;0,ISNUMBER($B$100)),MAX(0,$B$100-3*SQRT($B$100/P1900)),"")</f>
        <v/>
      </c>
      <c r="T1900" s="11">
        <f>IF(AND(ISNUMBER(P1900),ISNUMBER(Q1900),P1900&gt;0,ISNUMBER($B$100)),$B$100+3*SQRT($B$100/P1900),"")</f>
        <v/>
      </c>
      <c r="U1900" s="13">
        <f>IF(AND(ISNUMBER(R1900),ISNUMBER(S1900),ISNUMBER(T1900)),IF(R1900&gt;T1900,"boven UCL",IF(R1900&lt;S1900,"onder LCL","")),"")</f>
        <v/>
      </c>
    </row>
    <row r="1901">
      <c r="A1901" t="n">
        <v>1795</v>
      </c>
      <c r="B1901" s="7" t="n"/>
      <c r="C1901" s="11">
        <f>IF(AND(ISNUMBER(B1901),ISNUMBER(B1900)),ABS(B1901-B1900),"")</f>
        <v/>
      </c>
      <c r="D1901" s="13">
        <f>IF(AND(ISNUMBER(B1901),ISNUMBER($B$88),ISNUMBER($D$88)),IF(B1901&gt;$D$88,"boven UCL",IF(B1901&lt;$B$88,"onder LCL","")),"")</f>
        <v/>
      </c>
      <c r="E1901" s="13">
        <f>IF(AND(ISNUMBER(C1901),ISNUMBER($B$89),ISNUMBER($D$89)),IF(C1901&gt;$D$89,"boven UCL",IF(C1901&lt;$B$89,"onder LCL","")),"")</f>
        <v/>
      </c>
      <c r="G1901" t="n">
        <v>1795</v>
      </c>
      <c r="H1901" s="7" t="n"/>
      <c r="I1901" s="7" t="n"/>
      <c r="J1901" s="11">
        <f>IF(AND(ISNUMBER(H1901),ISNUMBER(I1901),H1901&gt;0,ISNUMBER($B$94)),I1901/H1901,"")</f>
        <v/>
      </c>
      <c r="K1901" s="11">
        <f>IF(AND(ISNUMBER(H1901),ISNUMBER(I1901),H1901&gt;0,ISNUMBER($B$94)),MAX(0,$B$94-3*SQRT($B$94*(1-$B$94)/H1901)),"")</f>
        <v/>
      </c>
      <c r="L1901" s="11">
        <f>IF(AND(ISNUMBER(H1901),ISNUMBER(I1901),H1901&gt;0,ISNUMBER($B$94)),$B$94+3*SQRT($B$94*(1-$B$94)/H1901),"")</f>
        <v/>
      </c>
      <c r="M1901" s="13">
        <f>IF(AND(ISNUMBER(J1901),ISNUMBER(K1901),ISNUMBER(L1901)),IF(J1901&gt;L1901,"boven UCL",IF(J1901&lt;K1901,"onder LCL","")),"")</f>
        <v/>
      </c>
      <c r="O1901" t="n">
        <v>1795</v>
      </c>
      <c r="P1901" s="7" t="n"/>
      <c r="Q1901" s="7" t="n"/>
      <c r="R1901" s="11">
        <f>IF(AND(ISNUMBER(P1901),ISNUMBER(Q1901),P1901&gt;0,ISNUMBER($B$100)),Q1901/P1901,"")</f>
        <v/>
      </c>
      <c r="S1901" s="11">
        <f>IF(AND(ISNUMBER(P1901),ISNUMBER(Q1901),P1901&gt;0,ISNUMBER($B$100)),MAX(0,$B$100-3*SQRT($B$100/P1901)),"")</f>
        <v/>
      </c>
      <c r="T1901" s="11">
        <f>IF(AND(ISNUMBER(P1901),ISNUMBER(Q1901),P1901&gt;0,ISNUMBER($B$100)),$B$100+3*SQRT($B$100/P1901),"")</f>
        <v/>
      </c>
      <c r="U1901" s="13">
        <f>IF(AND(ISNUMBER(R1901),ISNUMBER(S1901),ISNUMBER(T1901)),IF(R1901&gt;T1901,"boven UCL",IF(R1901&lt;S1901,"onder LCL","")),"")</f>
        <v/>
      </c>
    </row>
    <row r="1902">
      <c r="A1902" t="n">
        <v>1796</v>
      </c>
      <c r="B1902" s="7" t="n"/>
      <c r="C1902" s="11">
        <f>IF(AND(ISNUMBER(B1902),ISNUMBER(B1901)),ABS(B1902-B1901),"")</f>
        <v/>
      </c>
      <c r="D1902" s="13">
        <f>IF(AND(ISNUMBER(B1902),ISNUMBER($B$88),ISNUMBER($D$88)),IF(B1902&gt;$D$88,"boven UCL",IF(B1902&lt;$B$88,"onder LCL","")),"")</f>
        <v/>
      </c>
      <c r="E1902" s="13">
        <f>IF(AND(ISNUMBER(C1902),ISNUMBER($B$89),ISNUMBER($D$89)),IF(C1902&gt;$D$89,"boven UCL",IF(C1902&lt;$B$89,"onder LCL","")),"")</f>
        <v/>
      </c>
      <c r="G1902" t="n">
        <v>1796</v>
      </c>
      <c r="H1902" s="7" t="n"/>
      <c r="I1902" s="7" t="n"/>
      <c r="J1902" s="11">
        <f>IF(AND(ISNUMBER(H1902),ISNUMBER(I1902),H1902&gt;0,ISNUMBER($B$94)),I1902/H1902,"")</f>
        <v/>
      </c>
      <c r="K1902" s="11">
        <f>IF(AND(ISNUMBER(H1902),ISNUMBER(I1902),H1902&gt;0,ISNUMBER($B$94)),MAX(0,$B$94-3*SQRT($B$94*(1-$B$94)/H1902)),"")</f>
        <v/>
      </c>
      <c r="L1902" s="11">
        <f>IF(AND(ISNUMBER(H1902),ISNUMBER(I1902),H1902&gt;0,ISNUMBER($B$94)),$B$94+3*SQRT($B$94*(1-$B$94)/H1902),"")</f>
        <v/>
      </c>
      <c r="M1902" s="13">
        <f>IF(AND(ISNUMBER(J1902),ISNUMBER(K1902),ISNUMBER(L1902)),IF(J1902&gt;L1902,"boven UCL",IF(J1902&lt;K1902,"onder LCL","")),"")</f>
        <v/>
      </c>
      <c r="O1902" t="n">
        <v>1796</v>
      </c>
      <c r="P1902" s="7" t="n"/>
      <c r="Q1902" s="7" t="n"/>
      <c r="R1902" s="11">
        <f>IF(AND(ISNUMBER(P1902),ISNUMBER(Q1902),P1902&gt;0,ISNUMBER($B$100)),Q1902/P1902,"")</f>
        <v/>
      </c>
      <c r="S1902" s="11">
        <f>IF(AND(ISNUMBER(P1902),ISNUMBER(Q1902),P1902&gt;0,ISNUMBER($B$100)),MAX(0,$B$100-3*SQRT($B$100/P1902)),"")</f>
        <v/>
      </c>
      <c r="T1902" s="11">
        <f>IF(AND(ISNUMBER(P1902),ISNUMBER(Q1902),P1902&gt;0,ISNUMBER($B$100)),$B$100+3*SQRT($B$100/P1902),"")</f>
        <v/>
      </c>
      <c r="U1902" s="13">
        <f>IF(AND(ISNUMBER(R1902),ISNUMBER(S1902),ISNUMBER(T1902)),IF(R1902&gt;T1902,"boven UCL",IF(R1902&lt;S1902,"onder LCL","")),"")</f>
        <v/>
      </c>
    </row>
    <row r="1903">
      <c r="A1903" t="n">
        <v>1797</v>
      </c>
      <c r="B1903" s="7" t="n"/>
      <c r="C1903" s="11">
        <f>IF(AND(ISNUMBER(B1903),ISNUMBER(B1902)),ABS(B1903-B1902),"")</f>
        <v/>
      </c>
      <c r="D1903" s="13">
        <f>IF(AND(ISNUMBER(B1903),ISNUMBER($B$88),ISNUMBER($D$88)),IF(B1903&gt;$D$88,"boven UCL",IF(B1903&lt;$B$88,"onder LCL","")),"")</f>
        <v/>
      </c>
      <c r="E1903" s="13">
        <f>IF(AND(ISNUMBER(C1903),ISNUMBER($B$89),ISNUMBER($D$89)),IF(C1903&gt;$D$89,"boven UCL",IF(C1903&lt;$B$89,"onder LCL","")),"")</f>
        <v/>
      </c>
      <c r="G1903" t="n">
        <v>1797</v>
      </c>
      <c r="H1903" s="7" t="n"/>
      <c r="I1903" s="7" t="n"/>
      <c r="J1903" s="11">
        <f>IF(AND(ISNUMBER(H1903),ISNUMBER(I1903),H1903&gt;0,ISNUMBER($B$94)),I1903/H1903,"")</f>
        <v/>
      </c>
      <c r="K1903" s="11">
        <f>IF(AND(ISNUMBER(H1903),ISNUMBER(I1903),H1903&gt;0,ISNUMBER($B$94)),MAX(0,$B$94-3*SQRT($B$94*(1-$B$94)/H1903)),"")</f>
        <v/>
      </c>
      <c r="L1903" s="11">
        <f>IF(AND(ISNUMBER(H1903),ISNUMBER(I1903),H1903&gt;0,ISNUMBER($B$94)),$B$94+3*SQRT($B$94*(1-$B$94)/H1903),"")</f>
        <v/>
      </c>
      <c r="M1903" s="13">
        <f>IF(AND(ISNUMBER(J1903),ISNUMBER(K1903),ISNUMBER(L1903)),IF(J1903&gt;L1903,"boven UCL",IF(J1903&lt;K1903,"onder LCL","")),"")</f>
        <v/>
      </c>
      <c r="O1903" t="n">
        <v>1797</v>
      </c>
      <c r="P1903" s="7" t="n"/>
      <c r="Q1903" s="7" t="n"/>
      <c r="R1903" s="11">
        <f>IF(AND(ISNUMBER(P1903),ISNUMBER(Q1903),P1903&gt;0,ISNUMBER($B$100)),Q1903/P1903,"")</f>
        <v/>
      </c>
      <c r="S1903" s="11">
        <f>IF(AND(ISNUMBER(P1903),ISNUMBER(Q1903),P1903&gt;0,ISNUMBER($B$100)),MAX(0,$B$100-3*SQRT($B$100/P1903)),"")</f>
        <v/>
      </c>
      <c r="T1903" s="11">
        <f>IF(AND(ISNUMBER(P1903),ISNUMBER(Q1903),P1903&gt;0,ISNUMBER($B$100)),$B$100+3*SQRT($B$100/P1903),"")</f>
        <v/>
      </c>
      <c r="U1903" s="13">
        <f>IF(AND(ISNUMBER(R1903),ISNUMBER(S1903),ISNUMBER(T1903)),IF(R1903&gt;T1903,"boven UCL",IF(R1903&lt;S1903,"onder LCL","")),"")</f>
        <v/>
      </c>
    </row>
    <row r="1904">
      <c r="A1904" t="n">
        <v>1798</v>
      </c>
      <c r="B1904" s="7" t="n"/>
      <c r="C1904" s="11">
        <f>IF(AND(ISNUMBER(B1904),ISNUMBER(B1903)),ABS(B1904-B1903),"")</f>
        <v/>
      </c>
      <c r="D1904" s="13">
        <f>IF(AND(ISNUMBER(B1904),ISNUMBER($B$88),ISNUMBER($D$88)),IF(B1904&gt;$D$88,"boven UCL",IF(B1904&lt;$B$88,"onder LCL","")),"")</f>
        <v/>
      </c>
      <c r="E1904" s="13">
        <f>IF(AND(ISNUMBER(C1904),ISNUMBER($B$89),ISNUMBER($D$89)),IF(C1904&gt;$D$89,"boven UCL",IF(C1904&lt;$B$89,"onder LCL","")),"")</f>
        <v/>
      </c>
      <c r="G1904" t="n">
        <v>1798</v>
      </c>
      <c r="H1904" s="7" t="n"/>
      <c r="I1904" s="7" t="n"/>
      <c r="J1904" s="11">
        <f>IF(AND(ISNUMBER(H1904),ISNUMBER(I1904),H1904&gt;0,ISNUMBER($B$94)),I1904/H1904,"")</f>
        <v/>
      </c>
      <c r="K1904" s="11">
        <f>IF(AND(ISNUMBER(H1904),ISNUMBER(I1904),H1904&gt;0,ISNUMBER($B$94)),MAX(0,$B$94-3*SQRT($B$94*(1-$B$94)/H1904)),"")</f>
        <v/>
      </c>
      <c r="L1904" s="11">
        <f>IF(AND(ISNUMBER(H1904),ISNUMBER(I1904),H1904&gt;0,ISNUMBER($B$94)),$B$94+3*SQRT($B$94*(1-$B$94)/H1904),"")</f>
        <v/>
      </c>
      <c r="M1904" s="13">
        <f>IF(AND(ISNUMBER(J1904),ISNUMBER(K1904),ISNUMBER(L1904)),IF(J1904&gt;L1904,"boven UCL",IF(J1904&lt;K1904,"onder LCL","")),"")</f>
        <v/>
      </c>
      <c r="O1904" t="n">
        <v>1798</v>
      </c>
      <c r="P1904" s="7" t="n"/>
      <c r="Q1904" s="7" t="n"/>
      <c r="R1904" s="11">
        <f>IF(AND(ISNUMBER(P1904),ISNUMBER(Q1904),P1904&gt;0,ISNUMBER($B$100)),Q1904/P1904,"")</f>
        <v/>
      </c>
      <c r="S1904" s="11">
        <f>IF(AND(ISNUMBER(P1904),ISNUMBER(Q1904),P1904&gt;0,ISNUMBER($B$100)),MAX(0,$B$100-3*SQRT($B$100/P1904)),"")</f>
        <v/>
      </c>
      <c r="T1904" s="11">
        <f>IF(AND(ISNUMBER(P1904),ISNUMBER(Q1904),P1904&gt;0,ISNUMBER($B$100)),$B$100+3*SQRT($B$100/P1904),"")</f>
        <v/>
      </c>
      <c r="U1904" s="13">
        <f>IF(AND(ISNUMBER(R1904),ISNUMBER(S1904),ISNUMBER(T1904)),IF(R1904&gt;T1904,"boven UCL",IF(R1904&lt;S1904,"onder LCL","")),"")</f>
        <v/>
      </c>
    </row>
    <row r="1905">
      <c r="A1905" t="n">
        <v>1799</v>
      </c>
      <c r="B1905" s="7" t="n"/>
      <c r="C1905" s="11">
        <f>IF(AND(ISNUMBER(B1905),ISNUMBER(B1904)),ABS(B1905-B1904),"")</f>
        <v/>
      </c>
      <c r="D1905" s="13">
        <f>IF(AND(ISNUMBER(B1905),ISNUMBER($B$88),ISNUMBER($D$88)),IF(B1905&gt;$D$88,"boven UCL",IF(B1905&lt;$B$88,"onder LCL","")),"")</f>
        <v/>
      </c>
      <c r="E1905" s="13">
        <f>IF(AND(ISNUMBER(C1905),ISNUMBER($B$89),ISNUMBER($D$89)),IF(C1905&gt;$D$89,"boven UCL",IF(C1905&lt;$B$89,"onder LCL","")),"")</f>
        <v/>
      </c>
      <c r="G1905" t="n">
        <v>1799</v>
      </c>
      <c r="H1905" s="7" t="n"/>
      <c r="I1905" s="7" t="n"/>
      <c r="J1905" s="11">
        <f>IF(AND(ISNUMBER(H1905),ISNUMBER(I1905),H1905&gt;0,ISNUMBER($B$94)),I1905/H1905,"")</f>
        <v/>
      </c>
      <c r="K1905" s="11">
        <f>IF(AND(ISNUMBER(H1905),ISNUMBER(I1905),H1905&gt;0,ISNUMBER($B$94)),MAX(0,$B$94-3*SQRT($B$94*(1-$B$94)/H1905)),"")</f>
        <v/>
      </c>
      <c r="L1905" s="11">
        <f>IF(AND(ISNUMBER(H1905),ISNUMBER(I1905),H1905&gt;0,ISNUMBER($B$94)),$B$94+3*SQRT($B$94*(1-$B$94)/H1905),"")</f>
        <v/>
      </c>
      <c r="M1905" s="13">
        <f>IF(AND(ISNUMBER(J1905),ISNUMBER(K1905),ISNUMBER(L1905)),IF(J1905&gt;L1905,"boven UCL",IF(J1905&lt;K1905,"onder LCL","")),"")</f>
        <v/>
      </c>
      <c r="O1905" t="n">
        <v>1799</v>
      </c>
      <c r="P1905" s="7" t="n"/>
      <c r="Q1905" s="7" t="n"/>
      <c r="R1905" s="11">
        <f>IF(AND(ISNUMBER(P1905),ISNUMBER(Q1905),P1905&gt;0,ISNUMBER($B$100)),Q1905/P1905,"")</f>
        <v/>
      </c>
      <c r="S1905" s="11">
        <f>IF(AND(ISNUMBER(P1905),ISNUMBER(Q1905),P1905&gt;0,ISNUMBER($B$100)),MAX(0,$B$100-3*SQRT($B$100/P1905)),"")</f>
        <v/>
      </c>
      <c r="T1905" s="11">
        <f>IF(AND(ISNUMBER(P1905),ISNUMBER(Q1905),P1905&gt;0,ISNUMBER($B$100)),$B$100+3*SQRT($B$100/P1905),"")</f>
        <v/>
      </c>
      <c r="U1905" s="13">
        <f>IF(AND(ISNUMBER(R1905),ISNUMBER(S1905),ISNUMBER(T1905)),IF(R1905&gt;T1905,"boven UCL",IF(R1905&lt;S1905,"onder LCL","")),"")</f>
        <v/>
      </c>
    </row>
    <row r="1906">
      <c r="A1906" t="n">
        <v>1800</v>
      </c>
      <c r="B1906" s="7" t="n"/>
      <c r="C1906" s="11">
        <f>IF(AND(ISNUMBER(B1906),ISNUMBER(B1905)),ABS(B1906-B1905),"")</f>
        <v/>
      </c>
      <c r="D1906" s="13">
        <f>IF(AND(ISNUMBER(B1906),ISNUMBER($B$88),ISNUMBER($D$88)),IF(B1906&gt;$D$88,"boven UCL",IF(B1906&lt;$B$88,"onder LCL","")),"")</f>
        <v/>
      </c>
      <c r="E1906" s="13">
        <f>IF(AND(ISNUMBER(C1906),ISNUMBER($B$89),ISNUMBER($D$89)),IF(C1906&gt;$D$89,"boven UCL",IF(C1906&lt;$B$89,"onder LCL","")),"")</f>
        <v/>
      </c>
      <c r="G1906" t="n">
        <v>1800</v>
      </c>
      <c r="H1906" s="7" t="n"/>
      <c r="I1906" s="7" t="n"/>
      <c r="J1906" s="11">
        <f>IF(AND(ISNUMBER(H1906),ISNUMBER(I1906),H1906&gt;0,ISNUMBER($B$94)),I1906/H1906,"")</f>
        <v/>
      </c>
      <c r="K1906" s="11">
        <f>IF(AND(ISNUMBER(H1906),ISNUMBER(I1906),H1906&gt;0,ISNUMBER($B$94)),MAX(0,$B$94-3*SQRT($B$94*(1-$B$94)/H1906)),"")</f>
        <v/>
      </c>
      <c r="L1906" s="11">
        <f>IF(AND(ISNUMBER(H1906),ISNUMBER(I1906),H1906&gt;0,ISNUMBER($B$94)),$B$94+3*SQRT($B$94*(1-$B$94)/H1906),"")</f>
        <v/>
      </c>
      <c r="M1906" s="13">
        <f>IF(AND(ISNUMBER(J1906),ISNUMBER(K1906),ISNUMBER(L1906)),IF(J1906&gt;L1906,"boven UCL",IF(J1906&lt;K1906,"onder LCL","")),"")</f>
        <v/>
      </c>
      <c r="O1906" t="n">
        <v>1800</v>
      </c>
      <c r="P1906" s="7" t="n"/>
      <c r="Q1906" s="7" t="n"/>
      <c r="R1906" s="11">
        <f>IF(AND(ISNUMBER(P1906),ISNUMBER(Q1906),P1906&gt;0,ISNUMBER($B$100)),Q1906/P1906,"")</f>
        <v/>
      </c>
      <c r="S1906" s="11">
        <f>IF(AND(ISNUMBER(P1906),ISNUMBER(Q1906),P1906&gt;0,ISNUMBER($B$100)),MAX(0,$B$100-3*SQRT($B$100/P1906)),"")</f>
        <v/>
      </c>
      <c r="T1906" s="11">
        <f>IF(AND(ISNUMBER(P1906),ISNUMBER(Q1906),P1906&gt;0,ISNUMBER($B$100)),$B$100+3*SQRT($B$100/P1906),"")</f>
        <v/>
      </c>
      <c r="U1906" s="13">
        <f>IF(AND(ISNUMBER(R1906),ISNUMBER(S1906),ISNUMBER(T1906)),IF(R1906&gt;T1906,"boven UCL",IF(R1906&lt;S1906,"onder LCL","")),"")</f>
        <v/>
      </c>
    </row>
    <row r="1907">
      <c r="A1907" t="n">
        <v>1801</v>
      </c>
      <c r="B1907" s="7" t="n"/>
      <c r="C1907" s="11">
        <f>IF(AND(ISNUMBER(B1907),ISNUMBER(B1906)),ABS(B1907-B1906),"")</f>
        <v/>
      </c>
      <c r="D1907" s="13">
        <f>IF(AND(ISNUMBER(B1907),ISNUMBER($B$88),ISNUMBER($D$88)),IF(B1907&gt;$D$88,"boven UCL",IF(B1907&lt;$B$88,"onder LCL","")),"")</f>
        <v/>
      </c>
      <c r="E1907" s="13">
        <f>IF(AND(ISNUMBER(C1907),ISNUMBER($B$89),ISNUMBER($D$89)),IF(C1907&gt;$D$89,"boven UCL",IF(C1907&lt;$B$89,"onder LCL","")),"")</f>
        <v/>
      </c>
      <c r="G1907" t="n">
        <v>1801</v>
      </c>
      <c r="H1907" s="7" t="n"/>
      <c r="I1907" s="7" t="n"/>
      <c r="J1907" s="11">
        <f>IF(AND(ISNUMBER(H1907),ISNUMBER(I1907),H1907&gt;0,ISNUMBER($B$94)),I1907/H1907,"")</f>
        <v/>
      </c>
      <c r="K1907" s="11">
        <f>IF(AND(ISNUMBER(H1907),ISNUMBER(I1907),H1907&gt;0,ISNUMBER($B$94)),MAX(0,$B$94-3*SQRT($B$94*(1-$B$94)/H1907)),"")</f>
        <v/>
      </c>
      <c r="L1907" s="11">
        <f>IF(AND(ISNUMBER(H1907),ISNUMBER(I1907),H1907&gt;0,ISNUMBER($B$94)),$B$94+3*SQRT($B$94*(1-$B$94)/H1907),"")</f>
        <v/>
      </c>
      <c r="M1907" s="13">
        <f>IF(AND(ISNUMBER(J1907),ISNUMBER(K1907),ISNUMBER(L1907)),IF(J1907&gt;L1907,"boven UCL",IF(J1907&lt;K1907,"onder LCL","")),"")</f>
        <v/>
      </c>
      <c r="O1907" t="n">
        <v>1801</v>
      </c>
      <c r="P1907" s="7" t="n"/>
      <c r="Q1907" s="7" t="n"/>
      <c r="R1907" s="11">
        <f>IF(AND(ISNUMBER(P1907),ISNUMBER(Q1907),P1907&gt;0,ISNUMBER($B$100)),Q1907/P1907,"")</f>
        <v/>
      </c>
      <c r="S1907" s="11">
        <f>IF(AND(ISNUMBER(P1907),ISNUMBER(Q1907),P1907&gt;0,ISNUMBER($B$100)),MAX(0,$B$100-3*SQRT($B$100/P1907)),"")</f>
        <v/>
      </c>
      <c r="T1907" s="11">
        <f>IF(AND(ISNUMBER(P1907),ISNUMBER(Q1907),P1907&gt;0,ISNUMBER($B$100)),$B$100+3*SQRT($B$100/P1907),"")</f>
        <v/>
      </c>
      <c r="U1907" s="13">
        <f>IF(AND(ISNUMBER(R1907),ISNUMBER(S1907),ISNUMBER(T1907)),IF(R1907&gt;T1907,"boven UCL",IF(R1907&lt;S1907,"onder LCL","")),"")</f>
        <v/>
      </c>
    </row>
    <row r="1908">
      <c r="A1908" t="n">
        <v>1802</v>
      </c>
      <c r="B1908" s="7" t="n"/>
      <c r="C1908" s="11">
        <f>IF(AND(ISNUMBER(B1908),ISNUMBER(B1907)),ABS(B1908-B1907),"")</f>
        <v/>
      </c>
      <c r="D1908" s="13">
        <f>IF(AND(ISNUMBER(B1908),ISNUMBER($B$88),ISNUMBER($D$88)),IF(B1908&gt;$D$88,"boven UCL",IF(B1908&lt;$B$88,"onder LCL","")),"")</f>
        <v/>
      </c>
      <c r="E1908" s="13">
        <f>IF(AND(ISNUMBER(C1908),ISNUMBER($B$89),ISNUMBER($D$89)),IF(C1908&gt;$D$89,"boven UCL",IF(C1908&lt;$B$89,"onder LCL","")),"")</f>
        <v/>
      </c>
      <c r="G1908" t="n">
        <v>1802</v>
      </c>
      <c r="H1908" s="7" t="n"/>
      <c r="I1908" s="7" t="n"/>
      <c r="J1908" s="11">
        <f>IF(AND(ISNUMBER(H1908),ISNUMBER(I1908),H1908&gt;0,ISNUMBER($B$94)),I1908/H1908,"")</f>
        <v/>
      </c>
      <c r="K1908" s="11">
        <f>IF(AND(ISNUMBER(H1908),ISNUMBER(I1908),H1908&gt;0,ISNUMBER($B$94)),MAX(0,$B$94-3*SQRT($B$94*(1-$B$94)/H1908)),"")</f>
        <v/>
      </c>
      <c r="L1908" s="11">
        <f>IF(AND(ISNUMBER(H1908),ISNUMBER(I1908),H1908&gt;0,ISNUMBER($B$94)),$B$94+3*SQRT($B$94*(1-$B$94)/H1908),"")</f>
        <v/>
      </c>
      <c r="M1908" s="13">
        <f>IF(AND(ISNUMBER(J1908),ISNUMBER(K1908),ISNUMBER(L1908)),IF(J1908&gt;L1908,"boven UCL",IF(J1908&lt;K1908,"onder LCL","")),"")</f>
        <v/>
      </c>
      <c r="O1908" t="n">
        <v>1802</v>
      </c>
      <c r="P1908" s="7" t="n"/>
      <c r="Q1908" s="7" t="n"/>
      <c r="R1908" s="11">
        <f>IF(AND(ISNUMBER(P1908),ISNUMBER(Q1908),P1908&gt;0,ISNUMBER($B$100)),Q1908/P1908,"")</f>
        <v/>
      </c>
      <c r="S1908" s="11">
        <f>IF(AND(ISNUMBER(P1908),ISNUMBER(Q1908),P1908&gt;0,ISNUMBER($B$100)),MAX(0,$B$100-3*SQRT($B$100/P1908)),"")</f>
        <v/>
      </c>
      <c r="T1908" s="11">
        <f>IF(AND(ISNUMBER(P1908),ISNUMBER(Q1908),P1908&gt;0,ISNUMBER($B$100)),$B$100+3*SQRT($B$100/P1908),"")</f>
        <v/>
      </c>
      <c r="U1908" s="13">
        <f>IF(AND(ISNUMBER(R1908),ISNUMBER(S1908),ISNUMBER(T1908)),IF(R1908&gt;T1908,"boven UCL",IF(R1908&lt;S1908,"onder LCL","")),"")</f>
        <v/>
      </c>
    </row>
    <row r="1909">
      <c r="A1909" t="n">
        <v>1803</v>
      </c>
      <c r="B1909" s="7" t="n"/>
      <c r="C1909" s="11">
        <f>IF(AND(ISNUMBER(B1909),ISNUMBER(B1908)),ABS(B1909-B1908),"")</f>
        <v/>
      </c>
      <c r="D1909" s="13">
        <f>IF(AND(ISNUMBER(B1909),ISNUMBER($B$88),ISNUMBER($D$88)),IF(B1909&gt;$D$88,"boven UCL",IF(B1909&lt;$B$88,"onder LCL","")),"")</f>
        <v/>
      </c>
      <c r="E1909" s="13">
        <f>IF(AND(ISNUMBER(C1909),ISNUMBER($B$89),ISNUMBER($D$89)),IF(C1909&gt;$D$89,"boven UCL",IF(C1909&lt;$B$89,"onder LCL","")),"")</f>
        <v/>
      </c>
      <c r="G1909" t="n">
        <v>1803</v>
      </c>
      <c r="H1909" s="7" t="n"/>
      <c r="I1909" s="7" t="n"/>
      <c r="J1909" s="11">
        <f>IF(AND(ISNUMBER(H1909),ISNUMBER(I1909),H1909&gt;0,ISNUMBER($B$94)),I1909/H1909,"")</f>
        <v/>
      </c>
      <c r="K1909" s="11">
        <f>IF(AND(ISNUMBER(H1909),ISNUMBER(I1909),H1909&gt;0,ISNUMBER($B$94)),MAX(0,$B$94-3*SQRT($B$94*(1-$B$94)/H1909)),"")</f>
        <v/>
      </c>
      <c r="L1909" s="11">
        <f>IF(AND(ISNUMBER(H1909),ISNUMBER(I1909),H1909&gt;0,ISNUMBER($B$94)),$B$94+3*SQRT($B$94*(1-$B$94)/H1909),"")</f>
        <v/>
      </c>
      <c r="M1909" s="13">
        <f>IF(AND(ISNUMBER(J1909),ISNUMBER(K1909),ISNUMBER(L1909)),IF(J1909&gt;L1909,"boven UCL",IF(J1909&lt;K1909,"onder LCL","")),"")</f>
        <v/>
      </c>
      <c r="O1909" t="n">
        <v>1803</v>
      </c>
      <c r="P1909" s="7" t="n"/>
      <c r="Q1909" s="7" t="n"/>
      <c r="R1909" s="11">
        <f>IF(AND(ISNUMBER(P1909),ISNUMBER(Q1909),P1909&gt;0,ISNUMBER($B$100)),Q1909/P1909,"")</f>
        <v/>
      </c>
      <c r="S1909" s="11">
        <f>IF(AND(ISNUMBER(P1909),ISNUMBER(Q1909),P1909&gt;0,ISNUMBER($B$100)),MAX(0,$B$100-3*SQRT($B$100/P1909)),"")</f>
        <v/>
      </c>
      <c r="T1909" s="11">
        <f>IF(AND(ISNUMBER(P1909),ISNUMBER(Q1909),P1909&gt;0,ISNUMBER($B$100)),$B$100+3*SQRT($B$100/P1909),"")</f>
        <v/>
      </c>
      <c r="U1909" s="13">
        <f>IF(AND(ISNUMBER(R1909),ISNUMBER(S1909),ISNUMBER(T1909)),IF(R1909&gt;T1909,"boven UCL",IF(R1909&lt;S1909,"onder LCL","")),"")</f>
        <v/>
      </c>
    </row>
    <row r="1910">
      <c r="A1910" t="n">
        <v>1804</v>
      </c>
      <c r="B1910" s="7" t="n"/>
      <c r="C1910" s="11">
        <f>IF(AND(ISNUMBER(B1910),ISNUMBER(B1909)),ABS(B1910-B1909),"")</f>
        <v/>
      </c>
      <c r="D1910" s="13">
        <f>IF(AND(ISNUMBER(B1910),ISNUMBER($B$88),ISNUMBER($D$88)),IF(B1910&gt;$D$88,"boven UCL",IF(B1910&lt;$B$88,"onder LCL","")),"")</f>
        <v/>
      </c>
      <c r="E1910" s="13">
        <f>IF(AND(ISNUMBER(C1910),ISNUMBER($B$89),ISNUMBER($D$89)),IF(C1910&gt;$D$89,"boven UCL",IF(C1910&lt;$B$89,"onder LCL","")),"")</f>
        <v/>
      </c>
      <c r="G1910" t="n">
        <v>1804</v>
      </c>
      <c r="H1910" s="7" t="n"/>
      <c r="I1910" s="7" t="n"/>
      <c r="J1910" s="11">
        <f>IF(AND(ISNUMBER(H1910),ISNUMBER(I1910),H1910&gt;0,ISNUMBER($B$94)),I1910/H1910,"")</f>
        <v/>
      </c>
      <c r="K1910" s="11">
        <f>IF(AND(ISNUMBER(H1910),ISNUMBER(I1910),H1910&gt;0,ISNUMBER($B$94)),MAX(0,$B$94-3*SQRT($B$94*(1-$B$94)/H1910)),"")</f>
        <v/>
      </c>
      <c r="L1910" s="11">
        <f>IF(AND(ISNUMBER(H1910),ISNUMBER(I1910),H1910&gt;0,ISNUMBER($B$94)),$B$94+3*SQRT($B$94*(1-$B$94)/H1910),"")</f>
        <v/>
      </c>
      <c r="M1910" s="13">
        <f>IF(AND(ISNUMBER(J1910),ISNUMBER(K1910),ISNUMBER(L1910)),IF(J1910&gt;L1910,"boven UCL",IF(J1910&lt;K1910,"onder LCL","")),"")</f>
        <v/>
      </c>
      <c r="O1910" t="n">
        <v>1804</v>
      </c>
      <c r="P1910" s="7" t="n"/>
      <c r="Q1910" s="7" t="n"/>
      <c r="R1910" s="11">
        <f>IF(AND(ISNUMBER(P1910),ISNUMBER(Q1910),P1910&gt;0,ISNUMBER($B$100)),Q1910/P1910,"")</f>
        <v/>
      </c>
      <c r="S1910" s="11">
        <f>IF(AND(ISNUMBER(P1910),ISNUMBER(Q1910),P1910&gt;0,ISNUMBER($B$100)),MAX(0,$B$100-3*SQRT($B$100/P1910)),"")</f>
        <v/>
      </c>
      <c r="T1910" s="11">
        <f>IF(AND(ISNUMBER(P1910),ISNUMBER(Q1910),P1910&gt;0,ISNUMBER($B$100)),$B$100+3*SQRT($B$100/P1910),"")</f>
        <v/>
      </c>
      <c r="U1910" s="13">
        <f>IF(AND(ISNUMBER(R1910),ISNUMBER(S1910),ISNUMBER(T1910)),IF(R1910&gt;T1910,"boven UCL",IF(R1910&lt;S1910,"onder LCL","")),"")</f>
        <v/>
      </c>
    </row>
    <row r="1911">
      <c r="A1911" t="n">
        <v>1805</v>
      </c>
      <c r="B1911" s="7" t="n"/>
      <c r="C1911" s="11">
        <f>IF(AND(ISNUMBER(B1911),ISNUMBER(B1910)),ABS(B1911-B1910),"")</f>
        <v/>
      </c>
      <c r="D1911" s="13">
        <f>IF(AND(ISNUMBER(B1911),ISNUMBER($B$88),ISNUMBER($D$88)),IF(B1911&gt;$D$88,"boven UCL",IF(B1911&lt;$B$88,"onder LCL","")),"")</f>
        <v/>
      </c>
      <c r="E1911" s="13">
        <f>IF(AND(ISNUMBER(C1911),ISNUMBER($B$89),ISNUMBER($D$89)),IF(C1911&gt;$D$89,"boven UCL",IF(C1911&lt;$B$89,"onder LCL","")),"")</f>
        <v/>
      </c>
      <c r="G1911" t="n">
        <v>1805</v>
      </c>
      <c r="H1911" s="7" t="n"/>
      <c r="I1911" s="7" t="n"/>
      <c r="J1911" s="11">
        <f>IF(AND(ISNUMBER(H1911),ISNUMBER(I1911),H1911&gt;0,ISNUMBER($B$94)),I1911/H1911,"")</f>
        <v/>
      </c>
      <c r="K1911" s="11">
        <f>IF(AND(ISNUMBER(H1911),ISNUMBER(I1911),H1911&gt;0,ISNUMBER($B$94)),MAX(0,$B$94-3*SQRT($B$94*(1-$B$94)/H1911)),"")</f>
        <v/>
      </c>
      <c r="L1911" s="11">
        <f>IF(AND(ISNUMBER(H1911),ISNUMBER(I1911),H1911&gt;0,ISNUMBER($B$94)),$B$94+3*SQRT($B$94*(1-$B$94)/H1911),"")</f>
        <v/>
      </c>
      <c r="M1911" s="13">
        <f>IF(AND(ISNUMBER(J1911),ISNUMBER(K1911),ISNUMBER(L1911)),IF(J1911&gt;L1911,"boven UCL",IF(J1911&lt;K1911,"onder LCL","")),"")</f>
        <v/>
      </c>
      <c r="O1911" t="n">
        <v>1805</v>
      </c>
      <c r="P1911" s="7" t="n"/>
      <c r="Q1911" s="7" t="n"/>
      <c r="R1911" s="11">
        <f>IF(AND(ISNUMBER(P1911),ISNUMBER(Q1911),P1911&gt;0,ISNUMBER($B$100)),Q1911/P1911,"")</f>
        <v/>
      </c>
      <c r="S1911" s="11">
        <f>IF(AND(ISNUMBER(P1911),ISNUMBER(Q1911),P1911&gt;0,ISNUMBER($B$100)),MAX(0,$B$100-3*SQRT($B$100/P1911)),"")</f>
        <v/>
      </c>
      <c r="T1911" s="11">
        <f>IF(AND(ISNUMBER(P1911),ISNUMBER(Q1911),P1911&gt;0,ISNUMBER($B$100)),$B$100+3*SQRT($B$100/P1911),"")</f>
        <v/>
      </c>
      <c r="U1911" s="13">
        <f>IF(AND(ISNUMBER(R1911),ISNUMBER(S1911),ISNUMBER(T1911)),IF(R1911&gt;T1911,"boven UCL",IF(R1911&lt;S1911,"onder LCL","")),"")</f>
        <v/>
      </c>
    </row>
    <row r="1912">
      <c r="A1912" t="n">
        <v>1806</v>
      </c>
      <c r="B1912" s="7" t="n"/>
      <c r="C1912" s="11">
        <f>IF(AND(ISNUMBER(B1912),ISNUMBER(B1911)),ABS(B1912-B1911),"")</f>
        <v/>
      </c>
      <c r="D1912" s="13">
        <f>IF(AND(ISNUMBER(B1912),ISNUMBER($B$88),ISNUMBER($D$88)),IF(B1912&gt;$D$88,"boven UCL",IF(B1912&lt;$B$88,"onder LCL","")),"")</f>
        <v/>
      </c>
      <c r="E1912" s="13">
        <f>IF(AND(ISNUMBER(C1912),ISNUMBER($B$89),ISNUMBER($D$89)),IF(C1912&gt;$D$89,"boven UCL",IF(C1912&lt;$B$89,"onder LCL","")),"")</f>
        <v/>
      </c>
      <c r="G1912" t="n">
        <v>1806</v>
      </c>
      <c r="H1912" s="7" t="n"/>
      <c r="I1912" s="7" t="n"/>
      <c r="J1912" s="11">
        <f>IF(AND(ISNUMBER(H1912),ISNUMBER(I1912),H1912&gt;0,ISNUMBER($B$94)),I1912/H1912,"")</f>
        <v/>
      </c>
      <c r="K1912" s="11">
        <f>IF(AND(ISNUMBER(H1912),ISNUMBER(I1912),H1912&gt;0,ISNUMBER($B$94)),MAX(0,$B$94-3*SQRT($B$94*(1-$B$94)/H1912)),"")</f>
        <v/>
      </c>
      <c r="L1912" s="11">
        <f>IF(AND(ISNUMBER(H1912),ISNUMBER(I1912),H1912&gt;0,ISNUMBER($B$94)),$B$94+3*SQRT($B$94*(1-$B$94)/H1912),"")</f>
        <v/>
      </c>
      <c r="M1912" s="13">
        <f>IF(AND(ISNUMBER(J1912),ISNUMBER(K1912),ISNUMBER(L1912)),IF(J1912&gt;L1912,"boven UCL",IF(J1912&lt;K1912,"onder LCL","")),"")</f>
        <v/>
      </c>
      <c r="O1912" t="n">
        <v>1806</v>
      </c>
      <c r="P1912" s="7" t="n"/>
      <c r="Q1912" s="7" t="n"/>
      <c r="R1912" s="11">
        <f>IF(AND(ISNUMBER(P1912),ISNUMBER(Q1912),P1912&gt;0,ISNUMBER($B$100)),Q1912/P1912,"")</f>
        <v/>
      </c>
      <c r="S1912" s="11">
        <f>IF(AND(ISNUMBER(P1912),ISNUMBER(Q1912),P1912&gt;0,ISNUMBER($B$100)),MAX(0,$B$100-3*SQRT($B$100/P1912)),"")</f>
        <v/>
      </c>
      <c r="T1912" s="11">
        <f>IF(AND(ISNUMBER(P1912),ISNUMBER(Q1912),P1912&gt;0,ISNUMBER($B$100)),$B$100+3*SQRT($B$100/P1912),"")</f>
        <v/>
      </c>
      <c r="U1912" s="13">
        <f>IF(AND(ISNUMBER(R1912),ISNUMBER(S1912),ISNUMBER(T1912)),IF(R1912&gt;T1912,"boven UCL",IF(R1912&lt;S1912,"onder LCL","")),"")</f>
        <v/>
      </c>
    </row>
    <row r="1913">
      <c r="A1913" t="n">
        <v>1807</v>
      </c>
      <c r="B1913" s="7" t="n"/>
      <c r="C1913" s="11">
        <f>IF(AND(ISNUMBER(B1913),ISNUMBER(B1912)),ABS(B1913-B1912),"")</f>
        <v/>
      </c>
      <c r="D1913" s="13">
        <f>IF(AND(ISNUMBER(B1913),ISNUMBER($B$88),ISNUMBER($D$88)),IF(B1913&gt;$D$88,"boven UCL",IF(B1913&lt;$B$88,"onder LCL","")),"")</f>
        <v/>
      </c>
      <c r="E1913" s="13">
        <f>IF(AND(ISNUMBER(C1913),ISNUMBER($B$89),ISNUMBER($D$89)),IF(C1913&gt;$D$89,"boven UCL",IF(C1913&lt;$B$89,"onder LCL","")),"")</f>
        <v/>
      </c>
      <c r="G1913" t="n">
        <v>1807</v>
      </c>
      <c r="H1913" s="7" t="n"/>
      <c r="I1913" s="7" t="n"/>
      <c r="J1913" s="11">
        <f>IF(AND(ISNUMBER(H1913),ISNUMBER(I1913),H1913&gt;0,ISNUMBER($B$94)),I1913/H1913,"")</f>
        <v/>
      </c>
      <c r="K1913" s="11">
        <f>IF(AND(ISNUMBER(H1913),ISNUMBER(I1913),H1913&gt;0,ISNUMBER($B$94)),MAX(0,$B$94-3*SQRT($B$94*(1-$B$94)/H1913)),"")</f>
        <v/>
      </c>
      <c r="L1913" s="11">
        <f>IF(AND(ISNUMBER(H1913),ISNUMBER(I1913),H1913&gt;0,ISNUMBER($B$94)),$B$94+3*SQRT($B$94*(1-$B$94)/H1913),"")</f>
        <v/>
      </c>
      <c r="M1913" s="13">
        <f>IF(AND(ISNUMBER(J1913),ISNUMBER(K1913),ISNUMBER(L1913)),IF(J1913&gt;L1913,"boven UCL",IF(J1913&lt;K1913,"onder LCL","")),"")</f>
        <v/>
      </c>
      <c r="O1913" t="n">
        <v>1807</v>
      </c>
      <c r="P1913" s="7" t="n"/>
      <c r="Q1913" s="7" t="n"/>
      <c r="R1913" s="11">
        <f>IF(AND(ISNUMBER(P1913),ISNUMBER(Q1913),P1913&gt;0,ISNUMBER($B$100)),Q1913/P1913,"")</f>
        <v/>
      </c>
      <c r="S1913" s="11">
        <f>IF(AND(ISNUMBER(P1913),ISNUMBER(Q1913),P1913&gt;0,ISNUMBER($B$100)),MAX(0,$B$100-3*SQRT($B$100/P1913)),"")</f>
        <v/>
      </c>
      <c r="T1913" s="11">
        <f>IF(AND(ISNUMBER(P1913),ISNUMBER(Q1913),P1913&gt;0,ISNUMBER($B$100)),$B$100+3*SQRT($B$100/P1913),"")</f>
        <v/>
      </c>
      <c r="U1913" s="13">
        <f>IF(AND(ISNUMBER(R1913),ISNUMBER(S1913),ISNUMBER(T1913)),IF(R1913&gt;T1913,"boven UCL",IF(R1913&lt;S1913,"onder LCL","")),"")</f>
        <v/>
      </c>
    </row>
    <row r="1914">
      <c r="A1914" t="n">
        <v>1808</v>
      </c>
      <c r="B1914" s="7" t="n"/>
      <c r="C1914" s="11">
        <f>IF(AND(ISNUMBER(B1914),ISNUMBER(B1913)),ABS(B1914-B1913),"")</f>
        <v/>
      </c>
      <c r="D1914" s="13">
        <f>IF(AND(ISNUMBER(B1914),ISNUMBER($B$88),ISNUMBER($D$88)),IF(B1914&gt;$D$88,"boven UCL",IF(B1914&lt;$B$88,"onder LCL","")),"")</f>
        <v/>
      </c>
      <c r="E1914" s="13">
        <f>IF(AND(ISNUMBER(C1914),ISNUMBER($B$89),ISNUMBER($D$89)),IF(C1914&gt;$D$89,"boven UCL",IF(C1914&lt;$B$89,"onder LCL","")),"")</f>
        <v/>
      </c>
      <c r="G1914" t="n">
        <v>1808</v>
      </c>
      <c r="H1914" s="7" t="n"/>
      <c r="I1914" s="7" t="n"/>
      <c r="J1914" s="11">
        <f>IF(AND(ISNUMBER(H1914),ISNUMBER(I1914),H1914&gt;0,ISNUMBER($B$94)),I1914/H1914,"")</f>
        <v/>
      </c>
      <c r="K1914" s="11">
        <f>IF(AND(ISNUMBER(H1914),ISNUMBER(I1914),H1914&gt;0,ISNUMBER($B$94)),MAX(0,$B$94-3*SQRT($B$94*(1-$B$94)/H1914)),"")</f>
        <v/>
      </c>
      <c r="L1914" s="11">
        <f>IF(AND(ISNUMBER(H1914),ISNUMBER(I1914),H1914&gt;0,ISNUMBER($B$94)),$B$94+3*SQRT($B$94*(1-$B$94)/H1914),"")</f>
        <v/>
      </c>
      <c r="M1914" s="13">
        <f>IF(AND(ISNUMBER(J1914),ISNUMBER(K1914),ISNUMBER(L1914)),IF(J1914&gt;L1914,"boven UCL",IF(J1914&lt;K1914,"onder LCL","")),"")</f>
        <v/>
      </c>
      <c r="O1914" t="n">
        <v>1808</v>
      </c>
      <c r="P1914" s="7" t="n"/>
      <c r="Q1914" s="7" t="n"/>
      <c r="R1914" s="11">
        <f>IF(AND(ISNUMBER(P1914),ISNUMBER(Q1914),P1914&gt;0,ISNUMBER($B$100)),Q1914/P1914,"")</f>
        <v/>
      </c>
      <c r="S1914" s="11">
        <f>IF(AND(ISNUMBER(P1914),ISNUMBER(Q1914),P1914&gt;0,ISNUMBER($B$100)),MAX(0,$B$100-3*SQRT($B$100/P1914)),"")</f>
        <v/>
      </c>
      <c r="T1914" s="11">
        <f>IF(AND(ISNUMBER(P1914),ISNUMBER(Q1914),P1914&gt;0,ISNUMBER($B$100)),$B$100+3*SQRT($B$100/P1914),"")</f>
        <v/>
      </c>
      <c r="U1914" s="13">
        <f>IF(AND(ISNUMBER(R1914),ISNUMBER(S1914),ISNUMBER(T1914)),IF(R1914&gt;T1914,"boven UCL",IF(R1914&lt;S1914,"onder LCL","")),"")</f>
        <v/>
      </c>
    </row>
    <row r="1915">
      <c r="A1915" t="n">
        <v>1809</v>
      </c>
      <c r="B1915" s="7" t="n"/>
      <c r="C1915" s="11">
        <f>IF(AND(ISNUMBER(B1915),ISNUMBER(B1914)),ABS(B1915-B1914),"")</f>
        <v/>
      </c>
      <c r="D1915" s="13">
        <f>IF(AND(ISNUMBER(B1915),ISNUMBER($B$88),ISNUMBER($D$88)),IF(B1915&gt;$D$88,"boven UCL",IF(B1915&lt;$B$88,"onder LCL","")),"")</f>
        <v/>
      </c>
      <c r="E1915" s="13">
        <f>IF(AND(ISNUMBER(C1915),ISNUMBER($B$89),ISNUMBER($D$89)),IF(C1915&gt;$D$89,"boven UCL",IF(C1915&lt;$B$89,"onder LCL","")),"")</f>
        <v/>
      </c>
      <c r="G1915" t="n">
        <v>1809</v>
      </c>
      <c r="H1915" s="7" t="n"/>
      <c r="I1915" s="7" t="n"/>
      <c r="J1915" s="11">
        <f>IF(AND(ISNUMBER(H1915),ISNUMBER(I1915),H1915&gt;0,ISNUMBER($B$94)),I1915/H1915,"")</f>
        <v/>
      </c>
      <c r="K1915" s="11">
        <f>IF(AND(ISNUMBER(H1915),ISNUMBER(I1915),H1915&gt;0,ISNUMBER($B$94)),MAX(0,$B$94-3*SQRT($B$94*(1-$B$94)/H1915)),"")</f>
        <v/>
      </c>
      <c r="L1915" s="11">
        <f>IF(AND(ISNUMBER(H1915),ISNUMBER(I1915),H1915&gt;0,ISNUMBER($B$94)),$B$94+3*SQRT($B$94*(1-$B$94)/H1915),"")</f>
        <v/>
      </c>
      <c r="M1915" s="13">
        <f>IF(AND(ISNUMBER(J1915),ISNUMBER(K1915),ISNUMBER(L1915)),IF(J1915&gt;L1915,"boven UCL",IF(J1915&lt;K1915,"onder LCL","")),"")</f>
        <v/>
      </c>
      <c r="O1915" t="n">
        <v>1809</v>
      </c>
      <c r="P1915" s="7" t="n"/>
      <c r="Q1915" s="7" t="n"/>
      <c r="R1915" s="11">
        <f>IF(AND(ISNUMBER(P1915),ISNUMBER(Q1915),P1915&gt;0,ISNUMBER($B$100)),Q1915/P1915,"")</f>
        <v/>
      </c>
      <c r="S1915" s="11">
        <f>IF(AND(ISNUMBER(P1915),ISNUMBER(Q1915),P1915&gt;0,ISNUMBER($B$100)),MAX(0,$B$100-3*SQRT($B$100/P1915)),"")</f>
        <v/>
      </c>
      <c r="T1915" s="11">
        <f>IF(AND(ISNUMBER(P1915),ISNUMBER(Q1915),P1915&gt;0,ISNUMBER($B$100)),$B$100+3*SQRT($B$100/P1915),"")</f>
        <v/>
      </c>
      <c r="U1915" s="13">
        <f>IF(AND(ISNUMBER(R1915),ISNUMBER(S1915),ISNUMBER(T1915)),IF(R1915&gt;T1915,"boven UCL",IF(R1915&lt;S1915,"onder LCL","")),"")</f>
        <v/>
      </c>
    </row>
    <row r="1916">
      <c r="A1916" t="n">
        <v>1810</v>
      </c>
      <c r="B1916" s="7" t="n"/>
      <c r="C1916" s="11">
        <f>IF(AND(ISNUMBER(B1916),ISNUMBER(B1915)),ABS(B1916-B1915),"")</f>
        <v/>
      </c>
      <c r="D1916" s="13">
        <f>IF(AND(ISNUMBER(B1916),ISNUMBER($B$88),ISNUMBER($D$88)),IF(B1916&gt;$D$88,"boven UCL",IF(B1916&lt;$B$88,"onder LCL","")),"")</f>
        <v/>
      </c>
      <c r="E1916" s="13">
        <f>IF(AND(ISNUMBER(C1916),ISNUMBER($B$89),ISNUMBER($D$89)),IF(C1916&gt;$D$89,"boven UCL",IF(C1916&lt;$B$89,"onder LCL","")),"")</f>
        <v/>
      </c>
      <c r="G1916" t="n">
        <v>1810</v>
      </c>
      <c r="H1916" s="7" t="n"/>
      <c r="I1916" s="7" t="n"/>
      <c r="J1916" s="11">
        <f>IF(AND(ISNUMBER(H1916),ISNUMBER(I1916),H1916&gt;0,ISNUMBER($B$94)),I1916/H1916,"")</f>
        <v/>
      </c>
      <c r="K1916" s="11">
        <f>IF(AND(ISNUMBER(H1916),ISNUMBER(I1916),H1916&gt;0,ISNUMBER($B$94)),MAX(0,$B$94-3*SQRT($B$94*(1-$B$94)/H1916)),"")</f>
        <v/>
      </c>
      <c r="L1916" s="11">
        <f>IF(AND(ISNUMBER(H1916),ISNUMBER(I1916),H1916&gt;0,ISNUMBER($B$94)),$B$94+3*SQRT($B$94*(1-$B$94)/H1916),"")</f>
        <v/>
      </c>
      <c r="M1916" s="13">
        <f>IF(AND(ISNUMBER(J1916),ISNUMBER(K1916),ISNUMBER(L1916)),IF(J1916&gt;L1916,"boven UCL",IF(J1916&lt;K1916,"onder LCL","")),"")</f>
        <v/>
      </c>
      <c r="O1916" t="n">
        <v>1810</v>
      </c>
      <c r="P1916" s="7" t="n"/>
      <c r="Q1916" s="7" t="n"/>
      <c r="R1916" s="11">
        <f>IF(AND(ISNUMBER(P1916),ISNUMBER(Q1916),P1916&gt;0,ISNUMBER($B$100)),Q1916/P1916,"")</f>
        <v/>
      </c>
      <c r="S1916" s="11">
        <f>IF(AND(ISNUMBER(P1916),ISNUMBER(Q1916),P1916&gt;0,ISNUMBER($B$100)),MAX(0,$B$100-3*SQRT($B$100/P1916)),"")</f>
        <v/>
      </c>
      <c r="T1916" s="11">
        <f>IF(AND(ISNUMBER(P1916),ISNUMBER(Q1916),P1916&gt;0,ISNUMBER($B$100)),$B$100+3*SQRT($B$100/P1916),"")</f>
        <v/>
      </c>
      <c r="U1916" s="13">
        <f>IF(AND(ISNUMBER(R1916),ISNUMBER(S1916),ISNUMBER(T1916)),IF(R1916&gt;T1916,"boven UCL",IF(R1916&lt;S1916,"onder LCL","")),"")</f>
        <v/>
      </c>
    </row>
    <row r="1917">
      <c r="A1917" t="n">
        <v>1811</v>
      </c>
      <c r="B1917" s="7" t="n"/>
      <c r="C1917" s="11">
        <f>IF(AND(ISNUMBER(B1917),ISNUMBER(B1916)),ABS(B1917-B1916),"")</f>
        <v/>
      </c>
      <c r="D1917" s="13">
        <f>IF(AND(ISNUMBER(B1917),ISNUMBER($B$88),ISNUMBER($D$88)),IF(B1917&gt;$D$88,"boven UCL",IF(B1917&lt;$B$88,"onder LCL","")),"")</f>
        <v/>
      </c>
      <c r="E1917" s="13">
        <f>IF(AND(ISNUMBER(C1917),ISNUMBER($B$89),ISNUMBER($D$89)),IF(C1917&gt;$D$89,"boven UCL",IF(C1917&lt;$B$89,"onder LCL","")),"")</f>
        <v/>
      </c>
      <c r="G1917" t="n">
        <v>1811</v>
      </c>
      <c r="H1917" s="7" t="n"/>
      <c r="I1917" s="7" t="n"/>
      <c r="J1917" s="11">
        <f>IF(AND(ISNUMBER(H1917),ISNUMBER(I1917),H1917&gt;0,ISNUMBER($B$94)),I1917/H1917,"")</f>
        <v/>
      </c>
      <c r="K1917" s="11">
        <f>IF(AND(ISNUMBER(H1917),ISNUMBER(I1917),H1917&gt;0,ISNUMBER($B$94)),MAX(0,$B$94-3*SQRT($B$94*(1-$B$94)/H1917)),"")</f>
        <v/>
      </c>
      <c r="L1917" s="11">
        <f>IF(AND(ISNUMBER(H1917),ISNUMBER(I1917),H1917&gt;0,ISNUMBER($B$94)),$B$94+3*SQRT($B$94*(1-$B$94)/H1917),"")</f>
        <v/>
      </c>
      <c r="M1917" s="13">
        <f>IF(AND(ISNUMBER(J1917),ISNUMBER(K1917),ISNUMBER(L1917)),IF(J1917&gt;L1917,"boven UCL",IF(J1917&lt;K1917,"onder LCL","")),"")</f>
        <v/>
      </c>
      <c r="O1917" t="n">
        <v>1811</v>
      </c>
      <c r="P1917" s="7" t="n"/>
      <c r="Q1917" s="7" t="n"/>
      <c r="R1917" s="11">
        <f>IF(AND(ISNUMBER(P1917),ISNUMBER(Q1917),P1917&gt;0,ISNUMBER($B$100)),Q1917/P1917,"")</f>
        <v/>
      </c>
      <c r="S1917" s="11">
        <f>IF(AND(ISNUMBER(P1917),ISNUMBER(Q1917),P1917&gt;0,ISNUMBER($B$100)),MAX(0,$B$100-3*SQRT($B$100/P1917)),"")</f>
        <v/>
      </c>
      <c r="T1917" s="11">
        <f>IF(AND(ISNUMBER(P1917),ISNUMBER(Q1917),P1917&gt;0,ISNUMBER($B$100)),$B$100+3*SQRT($B$100/P1917),"")</f>
        <v/>
      </c>
      <c r="U1917" s="13">
        <f>IF(AND(ISNUMBER(R1917),ISNUMBER(S1917),ISNUMBER(T1917)),IF(R1917&gt;T1917,"boven UCL",IF(R1917&lt;S1917,"onder LCL","")),"")</f>
        <v/>
      </c>
    </row>
    <row r="1918">
      <c r="A1918" t="n">
        <v>1812</v>
      </c>
      <c r="B1918" s="7" t="n"/>
      <c r="C1918" s="11">
        <f>IF(AND(ISNUMBER(B1918),ISNUMBER(B1917)),ABS(B1918-B1917),"")</f>
        <v/>
      </c>
      <c r="D1918" s="13">
        <f>IF(AND(ISNUMBER(B1918),ISNUMBER($B$88),ISNUMBER($D$88)),IF(B1918&gt;$D$88,"boven UCL",IF(B1918&lt;$B$88,"onder LCL","")),"")</f>
        <v/>
      </c>
      <c r="E1918" s="13">
        <f>IF(AND(ISNUMBER(C1918),ISNUMBER($B$89),ISNUMBER($D$89)),IF(C1918&gt;$D$89,"boven UCL",IF(C1918&lt;$B$89,"onder LCL","")),"")</f>
        <v/>
      </c>
      <c r="G1918" t="n">
        <v>1812</v>
      </c>
      <c r="H1918" s="7" t="n"/>
      <c r="I1918" s="7" t="n"/>
      <c r="J1918" s="11">
        <f>IF(AND(ISNUMBER(H1918),ISNUMBER(I1918),H1918&gt;0,ISNUMBER($B$94)),I1918/H1918,"")</f>
        <v/>
      </c>
      <c r="K1918" s="11">
        <f>IF(AND(ISNUMBER(H1918),ISNUMBER(I1918),H1918&gt;0,ISNUMBER($B$94)),MAX(0,$B$94-3*SQRT($B$94*(1-$B$94)/H1918)),"")</f>
        <v/>
      </c>
      <c r="L1918" s="11">
        <f>IF(AND(ISNUMBER(H1918),ISNUMBER(I1918),H1918&gt;0,ISNUMBER($B$94)),$B$94+3*SQRT($B$94*(1-$B$94)/H1918),"")</f>
        <v/>
      </c>
      <c r="M1918" s="13">
        <f>IF(AND(ISNUMBER(J1918),ISNUMBER(K1918),ISNUMBER(L1918)),IF(J1918&gt;L1918,"boven UCL",IF(J1918&lt;K1918,"onder LCL","")),"")</f>
        <v/>
      </c>
      <c r="O1918" t="n">
        <v>1812</v>
      </c>
      <c r="P1918" s="7" t="n"/>
      <c r="Q1918" s="7" t="n"/>
      <c r="R1918" s="11">
        <f>IF(AND(ISNUMBER(P1918),ISNUMBER(Q1918),P1918&gt;0,ISNUMBER($B$100)),Q1918/P1918,"")</f>
        <v/>
      </c>
      <c r="S1918" s="11">
        <f>IF(AND(ISNUMBER(P1918),ISNUMBER(Q1918),P1918&gt;0,ISNUMBER($B$100)),MAX(0,$B$100-3*SQRT($B$100/P1918)),"")</f>
        <v/>
      </c>
      <c r="T1918" s="11">
        <f>IF(AND(ISNUMBER(P1918),ISNUMBER(Q1918),P1918&gt;0,ISNUMBER($B$100)),$B$100+3*SQRT($B$100/P1918),"")</f>
        <v/>
      </c>
      <c r="U1918" s="13">
        <f>IF(AND(ISNUMBER(R1918),ISNUMBER(S1918),ISNUMBER(T1918)),IF(R1918&gt;T1918,"boven UCL",IF(R1918&lt;S1918,"onder LCL","")),"")</f>
        <v/>
      </c>
    </row>
    <row r="1919">
      <c r="A1919" t="n">
        <v>1813</v>
      </c>
      <c r="B1919" s="7" t="n"/>
      <c r="C1919" s="11">
        <f>IF(AND(ISNUMBER(B1919),ISNUMBER(B1918)),ABS(B1919-B1918),"")</f>
        <v/>
      </c>
      <c r="D1919" s="13">
        <f>IF(AND(ISNUMBER(B1919),ISNUMBER($B$88),ISNUMBER($D$88)),IF(B1919&gt;$D$88,"boven UCL",IF(B1919&lt;$B$88,"onder LCL","")),"")</f>
        <v/>
      </c>
      <c r="E1919" s="13">
        <f>IF(AND(ISNUMBER(C1919),ISNUMBER($B$89),ISNUMBER($D$89)),IF(C1919&gt;$D$89,"boven UCL",IF(C1919&lt;$B$89,"onder LCL","")),"")</f>
        <v/>
      </c>
      <c r="G1919" t="n">
        <v>1813</v>
      </c>
      <c r="H1919" s="7" t="n"/>
      <c r="I1919" s="7" t="n"/>
      <c r="J1919" s="11">
        <f>IF(AND(ISNUMBER(H1919),ISNUMBER(I1919),H1919&gt;0,ISNUMBER($B$94)),I1919/H1919,"")</f>
        <v/>
      </c>
      <c r="K1919" s="11">
        <f>IF(AND(ISNUMBER(H1919),ISNUMBER(I1919),H1919&gt;0,ISNUMBER($B$94)),MAX(0,$B$94-3*SQRT($B$94*(1-$B$94)/H1919)),"")</f>
        <v/>
      </c>
      <c r="L1919" s="11">
        <f>IF(AND(ISNUMBER(H1919),ISNUMBER(I1919),H1919&gt;0,ISNUMBER($B$94)),$B$94+3*SQRT($B$94*(1-$B$94)/H1919),"")</f>
        <v/>
      </c>
      <c r="M1919" s="13">
        <f>IF(AND(ISNUMBER(J1919),ISNUMBER(K1919),ISNUMBER(L1919)),IF(J1919&gt;L1919,"boven UCL",IF(J1919&lt;K1919,"onder LCL","")),"")</f>
        <v/>
      </c>
      <c r="O1919" t="n">
        <v>1813</v>
      </c>
      <c r="P1919" s="7" t="n"/>
      <c r="Q1919" s="7" t="n"/>
      <c r="R1919" s="11">
        <f>IF(AND(ISNUMBER(P1919),ISNUMBER(Q1919),P1919&gt;0,ISNUMBER($B$100)),Q1919/P1919,"")</f>
        <v/>
      </c>
      <c r="S1919" s="11">
        <f>IF(AND(ISNUMBER(P1919),ISNUMBER(Q1919),P1919&gt;0,ISNUMBER($B$100)),MAX(0,$B$100-3*SQRT($B$100/P1919)),"")</f>
        <v/>
      </c>
      <c r="T1919" s="11">
        <f>IF(AND(ISNUMBER(P1919),ISNUMBER(Q1919),P1919&gt;0,ISNUMBER($B$100)),$B$100+3*SQRT($B$100/P1919),"")</f>
        <v/>
      </c>
      <c r="U1919" s="13">
        <f>IF(AND(ISNUMBER(R1919),ISNUMBER(S1919),ISNUMBER(T1919)),IF(R1919&gt;T1919,"boven UCL",IF(R1919&lt;S1919,"onder LCL","")),"")</f>
        <v/>
      </c>
    </row>
    <row r="1920">
      <c r="A1920" t="n">
        <v>1814</v>
      </c>
      <c r="B1920" s="7" t="n"/>
      <c r="C1920" s="11">
        <f>IF(AND(ISNUMBER(B1920),ISNUMBER(B1919)),ABS(B1920-B1919),"")</f>
        <v/>
      </c>
      <c r="D1920" s="13">
        <f>IF(AND(ISNUMBER(B1920),ISNUMBER($B$88),ISNUMBER($D$88)),IF(B1920&gt;$D$88,"boven UCL",IF(B1920&lt;$B$88,"onder LCL","")),"")</f>
        <v/>
      </c>
      <c r="E1920" s="13">
        <f>IF(AND(ISNUMBER(C1920),ISNUMBER($B$89),ISNUMBER($D$89)),IF(C1920&gt;$D$89,"boven UCL",IF(C1920&lt;$B$89,"onder LCL","")),"")</f>
        <v/>
      </c>
      <c r="G1920" t="n">
        <v>1814</v>
      </c>
      <c r="H1920" s="7" t="n"/>
      <c r="I1920" s="7" t="n"/>
      <c r="J1920" s="11">
        <f>IF(AND(ISNUMBER(H1920),ISNUMBER(I1920),H1920&gt;0,ISNUMBER($B$94)),I1920/H1920,"")</f>
        <v/>
      </c>
      <c r="K1920" s="11">
        <f>IF(AND(ISNUMBER(H1920),ISNUMBER(I1920),H1920&gt;0,ISNUMBER($B$94)),MAX(0,$B$94-3*SQRT($B$94*(1-$B$94)/H1920)),"")</f>
        <v/>
      </c>
      <c r="L1920" s="11">
        <f>IF(AND(ISNUMBER(H1920),ISNUMBER(I1920),H1920&gt;0,ISNUMBER($B$94)),$B$94+3*SQRT($B$94*(1-$B$94)/H1920),"")</f>
        <v/>
      </c>
      <c r="M1920" s="13">
        <f>IF(AND(ISNUMBER(J1920),ISNUMBER(K1920),ISNUMBER(L1920)),IF(J1920&gt;L1920,"boven UCL",IF(J1920&lt;K1920,"onder LCL","")),"")</f>
        <v/>
      </c>
      <c r="O1920" t="n">
        <v>1814</v>
      </c>
      <c r="P1920" s="7" t="n"/>
      <c r="Q1920" s="7" t="n"/>
      <c r="R1920" s="11">
        <f>IF(AND(ISNUMBER(P1920),ISNUMBER(Q1920),P1920&gt;0,ISNUMBER($B$100)),Q1920/P1920,"")</f>
        <v/>
      </c>
      <c r="S1920" s="11">
        <f>IF(AND(ISNUMBER(P1920),ISNUMBER(Q1920),P1920&gt;0,ISNUMBER($B$100)),MAX(0,$B$100-3*SQRT($B$100/P1920)),"")</f>
        <v/>
      </c>
      <c r="T1920" s="11">
        <f>IF(AND(ISNUMBER(P1920),ISNUMBER(Q1920),P1920&gt;0,ISNUMBER($B$100)),$B$100+3*SQRT($B$100/P1920),"")</f>
        <v/>
      </c>
      <c r="U1920" s="13">
        <f>IF(AND(ISNUMBER(R1920),ISNUMBER(S1920),ISNUMBER(T1920)),IF(R1920&gt;T1920,"boven UCL",IF(R1920&lt;S1920,"onder LCL","")),"")</f>
        <v/>
      </c>
    </row>
    <row r="1921">
      <c r="A1921" t="n">
        <v>1815</v>
      </c>
      <c r="B1921" s="7" t="n"/>
      <c r="C1921" s="11">
        <f>IF(AND(ISNUMBER(B1921),ISNUMBER(B1920)),ABS(B1921-B1920),"")</f>
        <v/>
      </c>
      <c r="D1921" s="13">
        <f>IF(AND(ISNUMBER(B1921),ISNUMBER($B$88),ISNUMBER($D$88)),IF(B1921&gt;$D$88,"boven UCL",IF(B1921&lt;$B$88,"onder LCL","")),"")</f>
        <v/>
      </c>
      <c r="E1921" s="13">
        <f>IF(AND(ISNUMBER(C1921),ISNUMBER($B$89),ISNUMBER($D$89)),IF(C1921&gt;$D$89,"boven UCL",IF(C1921&lt;$B$89,"onder LCL","")),"")</f>
        <v/>
      </c>
      <c r="G1921" t="n">
        <v>1815</v>
      </c>
      <c r="H1921" s="7" t="n"/>
      <c r="I1921" s="7" t="n"/>
      <c r="J1921" s="11">
        <f>IF(AND(ISNUMBER(H1921),ISNUMBER(I1921),H1921&gt;0,ISNUMBER($B$94)),I1921/H1921,"")</f>
        <v/>
      </c>
      <c r="K1921" s="11">
        <f>IF(AND(ISNUMBER(H1921),ISNUMBER(I1921),H1921&gt;0,ISNUMBER($B$94)),MAX(0,$B$94-3*SQRT($B$94*(1-$B$94)/H1921)),"")</f>
        <v/>
      </c>
      <c r="L1921" s="11">
        <f>IF(AND(ISNUMBER(H1921),ISNUMBER(I1921),H1921&gt;0,ISNUMBER($B$94)),$B$94+3*SQRT($B$94*(1-$B$94)/H1921),"")</f>
        <v/>
      </c>
      <c r="M1921" s="13">
        <f>IF(AND(ISNUMBER(J1921),ISNUMBER(K1921),ISNUMBER(L1921)),IF(J1921&gt;L1921,"boven UCL",IF(J1921&lt;K1921,"onder LCL","")),"")</f>
        <v/>
      </c>
      <c r="O1921" t="n">
        <v>1815</v>
      </c>
      <c r="P1921" s="7" t="n"/>
      <c r="Q1921" s="7" t="n"/>
      <c r="R1921" s="11">
        <f>IF(AND(ISNUMBER(P1921),ISNUMBER(Q1921),P1921&gt;0,ISNUMBER($B$100)),Q1921/P1921,"")</f>
        <v/>
      </c>
      <c r="S1921" s="11">
        <f>IF(AND(ISNUMBER(P1921),ISNUMBER(Q1921),P1921&gt;0,ISNUMBER($B$100)),MAX(0,$B$100-3*SQRT($B$100/P1921)),"")</f>
        <v/>
      </c>
      <c r="T1921" s="11">
        <f>IF(AND(ISNUMBER(P1921),ISNUMBER(Q1921),P1921&gt;0,ISNUMBER($B$100)),$B$100+3*SQRT($B$100/P1921),"")</f>
        <v/>
      </c>
      <c r="U1921" s="13">
        <f>IF(AND(ISNUMBER(R1921),ISNUMBER(S1921),ISNUMBER(T1921)),IF(R1921&gt;T1921,"boven UCL",IF(R1921&lt;S1921,"onder LCL","")),"")</f>
        <v/>
      </c>
    </row>
    <row r="1922">
      <c r="A1922" t="n">
        <v>1816</v>
      </c>
      <c r="B1922" s="7" t="n"/>
      <c r="C1922" s="11">
        <f>IF(AND(ISNUMBER(B1922),ISNUMBER(B1921)),ABS(B1922-B1921),"")</f>
        <v/>
      </c>
      <c r="D1922" s="13">
        <f>IF(AND(ISNUMBER(B1922),ISNUMBER($B$88),ISNUMBER($D$88)),IF(B1922&gt;$D$88,"boven UCL",IF(B1922&lt;$B$88,"onder LCL","")),"")</f>
        <v/>
      </c>
      <c r="E1922" s="13">
        <f>IF(AND(ISNUMBER(C1922),ISNUMBER($B$89),ISNUMBER($D$89)),IF(C1922&gt;$D$89,"boven UCL",IF(C1922&lt;$B$89,"onder LCL","")),"")</f>
        <v/>
      </c>
      <c r="G1922" t="n">
        <v>1816</v>
      </c>
      <c r="H1922" s="7" t="n"/>
      <c r="I1922" s="7" t="n"/>
      <c r="J1922" s="11">
        <f>IF(AND(ISNUMBER(H1922),ISNUMBER(I1922),H1922&gt;0,ISNUMBER($B$94)),I1922/H1922,"")</f>
        <v/>
      </c>
      <c r="K1922" s="11">
        <f>IF(AND(ISNUMBER(H1922),ISNUMBER(I1922),H1922&gt;0,ISNUMBER($B$94)),MAX(0,$B$94-3*SQRT($B$94*(1-$B$94)/H1922)),"")</f>
        <v/>
      </c>
      <c r="L1922" s="11">
        <f>IF(AND(ISNUMBER(H1922),ISNUMBER(I1922),H1922&gt;0,ISNUMBER($B$94)),$B$94+3*SQRT($B$94*(1-$B$94)/H1922),"")</f>
        <v/>
      </c>
      <c r="M1922" s="13">
        <f>IF(AND(ISNUMBER(J1922),ISNUMBER(K1922),ISNUMBER(L1922)),IF(J1922&gt;L1922,"boven UCL",IF(J1922&lt;K1922,"onder LCL","")),"")</f>
        <v/>
      </c>
      <c r="O1922" t="n">
        <v>1816</v>
      </c>
      <c r="P1922" s="7" t="n"/>
      <c r="Q1922" s="7" t="n"/>
      <c r="R1922" s="11">
        <f>IF(AND(ISNUMBER(P1922),ISNUMBER(Q1922),P1922&gt;0,ISNUMBER($B$100)),Q1922/P1922,"")</f>
        <v/>
      </c>
      <c r="S1922" s="11">
        <f>IF(AND(ISNUMBER(P1922),ISNUMBER(Q1922),P1922&gt;0,ISNUMBER($B$100)),MAX(0,$B$100-3*SQRT($B$100/P1922)),"")</f>
        <v/>
      </c>
      <c r="T1922" s="11">
        <f>IF(AND(ISNUMBER(P1922),ISNUMBER(Q1922),P1922&gt;0,ISNUMBER($B$100)),$B$100+3*SQRT($B$100/P1922),"")</f>
        <v/>
      </c>
      <c r="U1922" s="13">
        <f>IF(AND(ISNUMBER(R1922),ISNUMBER(S1922),ISNUMBER(T1922)),IF(R1922&gt;T1922,"boven UCL",IF(R1922&lt;S1922,"onder LCL","")),"")</f>
        <v/>
      </c>
    </row>
    <row r="1923">
      <c r="A1923" t="n">
        <v>1817</v>
      </c>
      <c r="B1923" s="7" t="n"/>
      <c r="C1923" s="11">
        <f>IF(AND(ISNUMBER(B1923),ISNUMBER(B1922)),ABS(B1923-B1922),"")</f>
        <v/>
      </c>
      <c r="D1923" s="13">
        <f>IF(AND(ISNUMBER(B1923),ISNUMBER($B$88),ISNUMBER($D$88)),IF(B1923&gt;$D$88,"boven UCL",IF(B1923&lt;$B$88,"onder LCL","")),"")</f>
        <v/>
      </c>
      <c r="E1923" s="13">
        <f>IF(AND(ISNUMBER(C1923),ISNUMBER($B$89),ISNUMBER($D$89)),IF(C1923&gt;$D$89,"boven UCL",IF(C1923&lt;$B$89,"onder LCL","")),"")</f>
        <v/>
      </c>
      <c r="G1923" t="n">
        <v>1817</v>
      </c>
      <c r="H1923" s="7" t="n"/>
      <c r="I1923" s="7" t="n"/>
      <c r="J1923" s="11">
        <f>IF(AND(ISNUMBER(H1923),ISNUMBER(I1923),H1923&gt;0,ISNUMBER($B$94)),I1923/H1923,"")</f>
        <v/>
      </c>
      <c r="K1923" s="11">
        <f>IF(AND(ISNUMBER(H1923),ISNUMBER(I1923),H1923&gt;0,ISNUMBER($B$94)),MAX(0,$B$94-3*SQRT($B$94*(1-$B$94)/H1923)),"")</f>
        <v/>
      </c>
      <c r="L1923" s="11">
        <f>IF(AND(ISNUMBER(H1923),ISNUMBER(I1923),H1923&gt;0,ISNUMBER($B$94)),$B$94+3*SQRT($B$94*(1-$B$94)/H1923),"")</f>
        <v/>
      </c>
      <c r="M1923" s="13">
        <f>IF(AND(ISNUMBER(J1923),ISNUMBER(K1923),ISNUMBER(L1923)),IF(J1923&gt;L1923,"boven UCL",IF(J1923&lt;K1923,"onder LCL","")),"")</f>
        <v/>
      </c>
      <c r="O1923" t="n">
        <v>1817</v>
      </c>
      <c r="P1923" s="7" t="n"/>
      <c r="Q1923" s="7" t="n"/>
      <c r="R1923" s="11">
        <f>IF(AND(ISNUMBER(P1923),ISNUMBER(Q1923),P1923&gt;0,ISNUMBER($B$100)),Q1923/P1923,"")</f>
        <v/>
      </c>
      <c r="S1923" s="11">
        <f>IF(AND(ISNUMBER(P1923),ISNUMBER(Q1923),P1923&gt;0,ISNUMBER($B$100)),MAX(0,$B$100-3*SQRT($B$100/P1923)),"")</f>
        <v/>
      </c>
      <c r="T1923" s="11">
        <f>IF(AND(ISNUMBER(P1923),ISNUMBER(Q1923),P1923&gt;0,ISNUMBER($B$100)),$B$100+3*SQRT($B$100/P1923),"")</f>
        <v/>
      </c>
      <c r="U1923" s="13">
        <f>IF(AND(ISNUMBER(R1923),ISNUMBER(S1923),ISNUMBER(T1923)),IF(R1923&gt;T1923,"boven UCL",IF(R1923&lt;S1923,"onder LCL","")),"")</f>
        <v/>
      </c>
    </row>
    <row r="1924">
      <c r="A1924" t="n">
        <v>1818</v>
      </c>
      <c r="B1924" s="7" t="n"/>
      <c r="C1924" s="11">
        <f>IF(AND(ISNUMBER(B1924),ISNUMBER(B1923)),ABS(B1924-B1923),"")</f>
        <v/>
      </c>
      <c r="D1924" s="13">
        <f>IF(AND(ISNUMBER(B1924),ISNUMBER($B$88),ISNUMBER($D$88)),IF(B1924&gt;$D$88,"boven UCL",IF(B1924&lt;$B$88,"onder LCL","")),"")</f>
        <v/>
      </c>
      <c r="E1924" s="13">
        <f>IF(AND(ISNUMBER(C1924),ISNUMBER($B$89),ISNUMBER($D$89)),IF(C1924&gt;$D$89,"boven UCL",IF(C1924&lt;$B$89,"onder LCL","")),"")</f>
        <v/>
      </c>
      <c r="G1924" t="n">
        <v>1818</v>
      </c>
      <c r="H1924" s="7" t="n"/>
      <c r="I1924" s="7" t="n"/>
      <c r="J1924" s="11">
        <f>IF(AND(ISNUMBER(H1924),ISNUMBER(I1924),H1924&gt;0,ISNUMBER($B$94)),I1924/H1924,"")</f>
        <v/>
      </c>
      <c r="K1924" s="11">
        <f>IF(AND(ISNUMBER(H1924),ISNUMBER(I1924),H1924&gt;0,ISNUMBER($B$94)),MAX(0,$B$94-3*SQRT($B$94*(1-$B$94)/H1924)),"")</f>
        <v/>
      </c>
      <c r="L1924" s="11">
        <f>IF(AND(ISNUMBER(H1924),ISNUMBER(I1924),H1924&gt;0,ISNUMBER($B$94)),$B$94+3*SQRT($B$94*(1-$B$94)/H1924),"")</f>
        <v/>
      </c>
      <c r="M1924" s="13">
        <f>IF(AND(ISNUMBER(J1924),ISNUMBER(K1924),ISNUMBER(L1924)),IF(J1924&gt;L1924,"boven UCL",IF(J1924&lt;K1924,"onder LCL","")),"")</f>
        <v/>
      </c>
      <c r="O1924" t="n">
        <v>1818</v>
      </c>
      <c r="P1924" s="7" t="n"/>
      <c r="Q1924" s="7" t="n"/>
      <c r="R1924" s="11">
        <f>IF(AND(ISNUMBER(P1924),ISNUMBER(Q1924),P1924&gt;0,ISNUMBER($B$100)),Q1924/P1924,"")</f>
        <v/>
      </c>
      <c r="S1924" s="11">
        <f>IF(AND(ISNUMBER(P1924),ISNUMBER(Q1924),P1924&gt;0,ISNUMBER($B$100)),MAX(0,$B$100-3*SQRT($B$100/P1924)),"")</f>
        <v/>
      </c>
      <c r="T1924" s="11">
        <f>IF(AND(ISNUMBER(P1924),ISNUMBER(Q1924),P1924&gt;0,ISNUMBER($B$100)),$B$100+3*SQRT($B$100/P1924),"")</f>
        <v/>
      </c>
      <c r="U1924" s="13">
        <f>IF(AND(ISNUMBER(R1924),ISNUMBER(S1924),ISNUMBER(T1924)),IF(R1924&gt;T1924,"boven UCL",IF(R1924&lt;S1924,"onder LCL","")),"")</f>
        <v/>
      </c>
    </row>
    <row r="1925">
      <c r="A1925" t="n">
        <v>1819</v>
      </c>
      <c r="B1925" s="7" t="n"/>
      <c r="C1925" s="11">
        <f>IF(AND(ISNUMBER(B1925),ISNUMBER(B1924)),ABS(B1925-B1924),"")</f>
        <v/>
      </c>
      <c r="D1925" s="13">
        <f>IF(AND(ISNUMBER(B1925),ISNUMBER($B$88),ISNUMBER($D$88)),IF(B1925&gt;$D$88,"boven UCL",IF(B1925&lt;$B$88,"onder LCL","")),"")</f>
        <v/>
      </c>
      <c r="E1925" s="13">
        <f>IF(AND(ISNUMBER(C1925),ISNUMBER($B$89),ISNUMBER($D$89)),IF(C1925&gt;$D$89,"boven UCL",IF(C1925&lt;$B$89,"onder LCL","")),"")</f>
        <v/>
      </c>
      <c r="G1925" t="n">
        <v>1819</v>
      </c>
      <c r="H1925" s="7" t="n"/>
      <c r="I1925" s="7" t="n"/>
      <c r="J1925" s="11">
        <f>IF(AND(ISNUMBER(H1925),ISNUMBER(I1925),H1925&gt;0,ISNUMBER($B$94)),I1925/H1925,"")</f>
        <v/>
      </c>
      <c r="K1925" s="11">
        <f>IF(AND(ISNUMBER(H1925),ISNUMBER(I1925),H1925&gt;0,ISNUMBER($B$94)),MAX(0,$B$94-3*SQRT($B$94*(1-$B$94)/H1925)),"")</f>
        <v/>
      </c>
      <c r="L1925" s="11">
        <f>IF(AND(ISNUMBER(H1925),ISNUMBER(I1925),H1925&gt;0,ISNUMBER($B$94)),$B$94+3*SQRT($B$94*(1-$B$94)/H1925),"")</f>
        <v/>
      </c>
      <c r="M1925" s="13">
        <f>IF(AND(ISNUMBER(J1925),ISNUMBER(K1925),ISNUMBER(L1925)),IF(J1925&gt;L1925,"boven UCL",IF(J1925&lt;K1925,"onder LCL","")),"")</f>
        <v/>
      </c>
      <c r="O1925" t="n">
        <v>1819</v>
      </c>
      <c r="P1925" s="7" t="n"/>
      <c r="Q1925" s="7" t="n"/>
      <c r="R1925" s="11">
        <f>IF(AND(ISNUMBER(P1925),ISNUMBER(Q1925),P1925&gt;0,ISNUMBER($B$100)),Q1925/P1925,"")</f>
        <v/>
      </c>
      <c r="S1925" s="11">
        <f>IF(AND(ISNUMBER(P1925),ISNUMBER(Q1925),P1925&gt;0,ISNUMBER($B$100)),MAX(0,$B$100-3*SQRT($B$100/P1925)),"")</f>
        <v/>
      </c>
      <c r="T1925" s="11">
        <f>IF(AND(ISNUMBER(P1925),ISNUMBER(Q1925),P1925&gt;0,ISNUMBER($B$100)),$B$100+3*SQRT($B$100/P1925),"")</f>
        <v/>
      </c>
      <c r="U1925" s="13">
        <f>IF(AND(ISNUMBER(R1925),ISNUMBER(S1925),ISNUMBER(T1925)),IF(R1925&gt;T1925,"boven UCL",IF(R1925&lt;S1925,"onder LCL","")),"")</f>
        <v/>
      </c>
    </row>
    <row r="1926">
      <c r="A1926" t="n">
        <v>1820</v>
      </c>
      <c r="B1926" s="7" t="n"/>
      <c r="C1926" s="11">
        <f>IF(AND(ISNUMBER(B1926),ISNUMBER(B1925)),ABS(B1926-B1925),"")</f>
        <v/>
      </c>
      <c r="D1926" s="13">
        <f>IF(AND(ISNUMBER(B1926),ISNUMBER($B$88),ISNUMBER($D$88)),IF(B1926&gt;$D$88,"boven UCL",IF(B1926&lt;$B$88,"onder LCL","")),"")</f>
        <v/>
      </c>
      <c r="E1926" s="13">
        <f>IF(AND(ISNUMBER(C1926),ISNUMBER($B$89),ISNUMBER($D$89)),IF(C1926&gt;$D$89,"boven UCL",IF(C1926&lt;$B$89,"onder LCL","")),"")</f>
        <v/>
      </c>
      <c r="G1926" t="n">
        <v>1820</v>
      </c>
      <c r="H1926" s="7" t="n"/>
      <c r="I1926" s="7" t="n"/>
      <c r="J1926" s="11">
        <f>IF(AND(ISNUMBER(H1926),ISNUMBER(I1926),H1926&gt;0,ISNUMBER($B$94)),I1926/H1926,"")</f>
        <v/>
      </c>
      <c r="K1926" s="11">
        <f>IF(AND(ISNUMBER(H1926),ISNUMBER(I1926),H1926&gt;0,ISNUMBER($B$94)),MAX(0,$B$94-3*SQRT($B$94*(1-$B$94)/H1926)),"")</f>
        <v/>
      </c>
      <c r="L1926" s="11">
        <f>IF(AND(ISNUMBER(H1926),ISNUMBER(I1926),H1926&gt;0,ISNUMBER($B$94)),$B$94+3*SQRT($B$94*(1-$B$94)/H1926),"")</f>
        <v/>
      </c>
      <c r="M1926" s="13">
        <f>IF(AND(ISNUMBER(J1926),ISNUMBER(K1926),ISNUMBER(L1926)),IF(J1926&gt;L1926,"boven UCL",IF(J1926&lt;K1926,"onder LCL","")),"")</f>
        <v/>
      </c>
      <c r="O1926" t="n">
        <v>1820</v>
      </c>
      <c r="P1926" s="7" t="n"/>
      <c r="Q1926" s="7" t="n"/>
      <c r="R1926" s="11">
        <f>IF(AND(ISNUMBER(P1926),ISNUMBER(Q1926),P1926&gt;0,ISNUMBER($B$100)),Q1926/P1926,"")</f>
        <v/>
      </c>
      <c r="S1926" s="11">
        <f>IF(AND(ISNUMBER(P1926),ISNUMBER(Q1926),P1926&gt;0,ISNUMBER($B$100)),MAX(0,$B$100-3*SQRT($B$100/P1926)),"")</f>
        <v/>
      </c>
      <c r="T1926" s="11">
        <f>IF(AND(ISNUMBER(P1926),ISNUMBER(Q1926),P1926&gt;0,ISNUMBER($B$100)),$B$100+3*SQRT($B$100/P1926),"")</f>
        <v/>
      </c>
      <c r="U1926" s="13">
        <f>IF(AND(ISNUMBER(R1926),ISNUMBER(S1926),ISNUMBER(T1926)),IF(R1926&gt;T1926,"boven UCL",IF(R1926&lt;S1926,"onder LCL","")),"")</f>
        <v/>
      </c>
    </row>
    <row r="1927">
      <c r="A1927" t="n">
        <v>1821</v>
      </c>
      <c r="B1927" s="7" t="n"/>
      <c r="C1927" s="11">
        <f>IF(AND(ISNUMBER(B1927),ISNUMBER(B1926)),ABS(B1927-B1926),"")</f>
        <v/>
      </c>
      <c r="D1927" s="13">
        <f>IF(AND(ISNUMBER(B1927),ISNUMBER($B$88),ISNUMBER($D$88)),IF(B1927&gt;$D$88,"boven UCL",IF(B1927&lt;$B$88,"onder LCL","")),"")</f>
        <v/>
      </c>
      <c r="E1927" s="13">
        <f>IF(AND(ISNUMBER(C1927),ISNUMBER($B$89),ISNUMBER($D$89)),IF(C1927&gt;$D$89,"boven UCL",IF(C1927&lt;$B$89,"onder LCL","")),"")</f>
        <v/>
      </c>
      <c r="G1927" t="n">
        <v>1821</v>
      </c>
      <c r="H1927" s="7" t="n"/>
      <c r="I1927" s="7" t="n"/>
      <c r="J1927" s="11">
        <f>IF(AND(ISNUMBER(H1927),ISNUMBER(I1927),H1927&gt;0,ISNUMBER($B$94)),I1927/H1927,"")</f>
        <v/>
      </c>
      <c r="K1927" s="11">
        <f>IF(AND(ISNUMBER(H1927),ISNUMBER(I1927),H1927&gt;0,ISNUMBER($B$94)),MAX(0,$B$94-3*SQRT($B$94*(1-$B$94)/H1927)),"")</f>
        <v/>
      </c>
      <c r="L1927" s="11">
        <f>IF(AND(ISNUMBER(H1927),ISNUMBER(I1927),H1927&gt;0,ISNUMBER($B$94)),$B$94+3*SQRT($B$94*(1-$B$94)/H1927),"")</f>
        <v/>
      </c>
      <c r="M1927" s="13">
        <f>IF(AND(ISNUMBER(J1927),ISNUMBER(K1927),ISNUMBER(L1927)),IF(J1927&gt;L1927,"boven UCL",IF(J1927&lt;K1927,"onder LCL","")),"")</f>
        <v/>
      </c>
      <c r="O1927" t="n">
        <v>1821</v>
      </c>
      <c r="P1927" s="7" t="n"/>
      <c r="Q1927" s="7" t="n"/>
      <c r="R1927" s="11">
        <f>IF(AND(ISNUMBER(P1927),ISNUMBER(Q1927),P1927&gt;0,ISNUMBER($B$100)),Q1927/P1927,"")</f>
        <v/>
      </c>
      <c r="S1927" s="11">
        <f>IF(AND(ISNUMBER(P1927),ISNUMBER(Q1927),P1927&gt;0,ISNUMBER($B$100)),MAX(0,$B$100-3*SQRT($B$100/P1927)),"")</f>
        <v/>
      </c>
      <c r="T1927" s="11">
        <f>IF(AND(ISNUMBER(P1927),ISNUMBER(Q1927),P1927&gt;0,ISNUMBER($B$100)),$B$100+3*SQRT($B$100/P1927),"")</f>
        <v/>
      </c>
      <c r="U1927" s="13">
        <f>IF(AND(ISNUMBER(R1927),ISNUMBER(S1927),ISNUMBER(T1927)),IF(R1927&gt;T1927,"boven UCL",IF(R1927&lt;S1927,"onder LCL","")),"")</f>
        <v/>
      </c>
    </row>
    <row r="1928">
      <c r="A1928" t="n">
        <v>1822</v>
      </c>
      <c r="B1928" s="7" t="n"/>
      <c r="C1928" s="11">
        <f>IF(AND(ISNUMBER(B1928),ISNUMBER(B1927)),ABS(B1928-B1927),"")</f>
        <v/>
      </c>
      <c r="D1928" s="13">
        <f>IF(AND(ISNUMBER(B1928),ISNUMBER($B$88),ISNUMBER($D$88)),IF(B1928&gt;$D$88,"boven UCL",IF(B1928&lt;$B$88,"onder LCL","")),"")</f>
        <v/>
      </c>
      <c r="E1928" s="13">
        <f>IF(AND(ISNUMBER(C1928),ISNUMBER($B$89),ISNUMBER($D$89)),IF(C1928&gt;$D$89,"boven UCL",IF(C1928&lt;$B$89,"onder LCL","")),"")</f>
        <v/>
      </c>
      <c r="G1928" t="n">
        <v>1822</v>
      </c>
      <c r="H1928" s="7" t="n"/>
      <c r="I1928" s="7" t="n"/>
      <c r="J1928" s="11">
        <f>IF(AND(ISNUMBER(H1928),ISNUMBER(I1928),H1928&gt;0,ISNUMBER($B$94)),I1928/H1928,"")</f>
        <v/>
      </c>
      <c r="K1928" s="11">
        <f>IF(AND(ISNUMBER(H1928),ISNUMBER(I1928),H1928&gt;0,ISNUMBER($B$94)),MAX(0,$B$94-3*SQRT($B$94*(1-$B$94)/H1928)),"")</f>
        <v/>
      </c>
      <c r="L1928" s="11">
        <f>IF(AND(ISNUMBER(H1928),ISNUMBER(I1928),H1928&gt;0,ISNUMBER($B$94)),$B$94+3*SQRT($B$94*(1-$B$94)/H1928),"")</f>
        <v/>
      </c>
      <c r="M1928" s="13">
        <f>IF(AND(ISNUMBER(J1928),ISNUMBER(K1928),ISNUMBER(L1928)),IF(J1928&gt;L1928,"boven UCL",IF(J1928&lt;K1928,"onder LCL","")),"")</f>
        <v/>
      </c>
      <c r="O1928" t="n">
        <v>1822</v>
      </c>
      <c r="P1928" s="7" t="n"/>
      <c r="Q1928" s="7" t="n"/>
      <c r="R1928" s="11">
        <f>IF(AND(ISNUMBER(P1928),ISNUMBER(Q1928),P1928&gt;0,ISNUMBER($B$100)),Q1928/P1928,"")</f>
        <v/>
      </c>
      <c r="S1928" s="11">
        <f>IF(AND(ISNUMBER(P1928),ISNUMBER(Q1928),P1928&gt;0,ISNUMBER($B$100)),MAX(0,$B$100-3*SQRT($B$100/P1928)),"")</f>
        <v/>
      </c>
      <c r="T1928" s="11">
        <f>IF(AND(ISNUMBER(P1928),ISNUMBER(Q1928),P1928&gt;0,ISNUMBER($B$100)),$B$100+3*SQRT($B$100/P1928),"")</f>
        <v/>
      </c>
      <c r="U1928" s="13">
        <f>IF(AND(ISNUMBER(R1928),ISNUMBER(S1928),ISNUMBER(T1928)),IF(R1928&gt;T1928,"boven UCL",IF(R1928&lt;S1928,"onder LCL","")),"")</f>
        <v/>
      </c>
    </row>
    <row r="1929">
      <c r="A1929" t="n">
        <v>1823</v>
      </c>
      <c r="B1929" s="7" t="n"/>
      <c r="C1929" s="11">
        <f>IF(AND(ISNUMBER(B1929),ISNUMBER(B1928)),ABS(B1929-B1928),"")</f>
        <v/>
      </c>
      <c r="D1929" s="13">
        <f>IF(AND(ISNUMBER(B1929),ISNUMBER($B$88),ISNUMBER($D$88)),IF(B1929&gt;$D$88,"boven UCL",IF(B1929&lt;$B$88,"onder LCL","")),"")</f>
        <v/>
      </c>
      <c r="E1929" s="13">
        <f>IF(AND(ISNUMBER(C1929),ISNUMBER($B$89),ISNUMBER($D$89)),IF(C1929&gt;$D$89,"boven UCL",IF(C1929&lt;$B$89,"onder LCL","")),"")</f>
        <v/>
      </c>
      <c r="G1929" t="n">
        <v>1823</v>
      </c>
      <c r="H1929" s="7" t="n"/>
      <c r="I1929" s="7" t="n"/>
      <c r="J1929" s="11">
        <f>IF(AND(ISNUMBER(H1929),ISNUMBER(I1929),H1929&gt;0,ISNUMBER($B$94)),I1929/H1929,"")</f>
        <v/>
      </c>
      <c r="K1929" s="11">
        <f>IF(AND(ISNUMBER(H1929),ISNUMBER(I1929),H1929&gt;0,ISNUMBER($B$94)),MAX(0,$B$94-3*SQRT($B$94*(1-$B$94)/H1929)),"")</f>
        <v/>
      </c>
      <c r="L1929" s="11">
        <f>IF(AND(ISNUMBER(H1929),ISNUMBER(I1929),H1929&gt;0,ISNUMBER($B$94)),$B$94+3*SQRT($B$94*(1-$B$94)/H1929),"")</f>
        <v/>
      </c>
      <c r="M1929" s="13">
        <f>IF(AND(ISNUMBER(J1929),ISNUMBER(K1929),ISNUMBER(L1929)),IF(J1929&gt;L1929,"boven UCL",IF(J1929&lt;K1929,"onder LCL","")),"")</f>
        <v/>
      </c>
      <c r="O1929" t="n">
        <v>1823</v>
      </c>
      <c r="P1929" s="7" t="n"/>
      <c r="Q1929" s="7" t="n"/>
      <c r="R1929" s="11">
        <f>IF(AND(ISNUMBER(P1929),ISNUMBER(Q1929),P1929&gt;0,ISNUMBER($B$100)),Q1929/P1929,"")</f>
        <v/>
      </c>
      <c r="S1929" s="11">
        <f>IF(AND(ISNUMBER(P1929),ISNUMBER(Q1929),P1929&gt;0,ISNUMBER($B$100)),MAX(0,$B$100-3*SQRT($B$100/P1929)),"")</f>
        <v/>
      </c>
      <c r="T1929" s="11">
        <f>IF(AND(ISNUMBER(P1929),ISNUMBER(Q1929),P1929&gt;0,ISNUMBER($B$100)),$B$100+3*SQRT($B$100/P1929),"")</f>
        <v/>
      </c>
      <c r="U1929" s="13">
        <f>IF(AND(ISNUMBER(R1929),ISNUMBER(S1929),ISNUMBER(T1929)),IF(R1929&gt;T1929,"boven UCL",IF(R1929&lt;S1929,"onder LCL","")),"")</f>
        <v/>
      </c>
    </row>
    <row r="1930">
      <c r="A1930" t="n">
        <v>1824</v>
      </c>
      <c r="B1930" s="7" t="n"/>
      <c r="C1930" s="11">
        <f>IF(AND(ISNUMBER(B1930),ISNUMBER(B1929)),ABS(B1930-B1929),"")</f>
        <v/>
      </c>
      <c r="D1930" s="13">
        <f>IF(AND(ISNUMBER(B1930),ISNUMBER($B$88),ISNUMBER($D$88)),IF(B1930&gt;$D$88,"boven UCL",IF(B1930&lt;$B$88,"onder LCL","")),"")</f>
        <v/>
      </c>
      <c r="E1930" s="13">
        <f>IF(AND(ISNUMBER(C1930),ISNUMBER($B$89),ISNUMBER($D$89)),IF(C1930&gt;$D$89,"boven UCL",IF(C1930&lt;$B$89,"onder LCL","")),"")</f>
        <v/>
      </c>
      <c r="G1930" t="n">
        <v>1824</v>
      </c>
      <c r="H1930" s="7" t="n"/>
      <c r="I1930" s="7" t="n"/>
      <c r="J1930" s="11">
        <f>IF(AND(ISNUMBER(H1930),ISNUMBER(I1930),H1930&gt;0,ISNUMBER($B$94)),I1930/H1930,"")</f>
        <v/>
      </c>
      <c r="K1930" s="11">
        <f>IF(AND(ISNUMBER(H1930),ISNUMBER(I1930),H1930&gt;0,ISNUMBER($B$94)),MAX(0,$B$94-3*SQRT($B$94*(1-$B$94)/H1930)),"")</f>
        <v/>
      </c>
      <c r="L1930" s="11">
        <f>IF(AND(ISNUMBER(H1930),ISNUMBER(I1930),H1930&gt;0,ISNUMBER($B$94)),$B$94+3*SQRT($B$94*(1-$B$94)/H1930),"")</f>
        <v/>
      </c>
      <c r="M1930" s="13">
        <f>IF(AND(ISNUMBER(J1930),ISNUMBER(K1930),ISNUMBER(L1930)),IF(J1930&gt;L1930,"boven UCL",IF(J1930&lt;K1930,"onder LCL","")),"")</f>
        <v/>
      </c>
      <c r="O1930" t="n">
        <v>1824</v>
      </c>
      <c r="P1930" s="7" t="n"/>
      <c r="Q1930" s="7" t="n"/>
      <c r="R1930" s="11">
        <f>IF(AND(ISNUMBER(P1930),ISNUMBER(Q1930),P1930&gt;0,ISNUMBER($B$100)),Q1930/P1930,"")</f>
        <v/>
      </c>
      <c r="S1930" s="11">
        <f>IF(AND(ISNUMBER(P1930),ISNUMBER(Q1930),P1930&gt;0,ISNUMBER($B$100)),MAX(0,$B$100-3*SQRT($B$100/P1930)),"")</f>
        <v/>
      </c>
      <c r="T1930" s="11">
        <f>IF(AND(ISNUMBER(P1930),ISNUMBER(Q1930),P1930&gt;0,ISNUMBER($B$100)),$B$100+3*SQRT($B$100/P1930),"")</f>
        <v/>
      </c>
      <c r="U1930" s="13">
        <f>IF(AND(ISNUMBER(R1930),ISNUMBER(S1930),ISNUMBER(T1930)),IF(R1930&gt;T1930,"boven UCL",IF(R1930&lt;S1930,"onder LCL","")),"")</f>
        <v/>
      </c>
    </row>
    <row r="1931">
      <c r="A1931" t="n">
        <v>1825</v>
      </c>
      <c r="B1931" s="7" t="n"/>
      <c r="C1931" s="11">
        <f>IF(AND(ISNUMBER(B1931),ISNUMBER(B1930)),ABS(B1931-B1930),"")</f>
        <v/>
      </c>
      <c r="D1931" s="13">
        <f>IF(AND(ISNUMBER(B1931),ISNUMBER($B$88),ISNUMBER($D$88)),IF(B1931&gt;$D$88,"boven UCL",IF(B1931&lt;$B$88,"onder LCL","")),"")</f>
        <v/>
      </c>
      <c r="E1931" s="13">
        <f>IF(AND(ISNUMBER(C1931),ISNUMBER($B$89),ISNUMBER($D$89)),IF(C1931&gt;$D$89,"boven UCL",IF(C1931&lt;$B$89,"onder LCL","")),"")</f>
        <v/>
      </c>
      <c r="G1931" t="n">
        <v>1825</v>
      </c>
      <c r="H1931" s="7" t="n"/>
      <c r="I1931" s="7" t="n"/>
      <c r="J1931" s="11">
        <f>IF(AND(ISNUMBER(H1931),ISNUMBER(I1931),H1931&gt;0,ISNUMBER($B$94)),I1931/H1931,"")</f>
        <v/>
      </c>
      <c r="K1931" s="11">
        <f>IF(AND(ISNUMBER(H1931),ISNUMBER(I1931),H1931&gt;0,ISNUMBER($B$94)),MAX(0,$B$94-3*SQRT($B$94*(1-$B$94)/H1931)),"")</f>
        <v/>
      </c>
      <c r="L1931" s="11">
        <f>IF(AND(ISNUMBER(H1931),ISNUMBER(I1931),H1931&gt;0,ISNUMBER($B$94)),$B$94+3*SQRT($B$94*(1-$B$94)/H1931),"")</f>
        <v/>
      </c>
      <c r="M1931" s="13">
        <f>IF(AND(ISNUMBER(J1931),ISNUMBER(K1931),ISNUMBER(L1931)),IF(J1931&gt;L1931,"boven UCL",IF(J1931&lt;K1931,"onder LCL","")),"")</f>
        <v/>
      </c>
      <c r="O1931" t="n">
        <v>1825</v>
      </c>
      <c r="P1931" s="7" t="n"/>
      <c r="Q1931" s="7" t="n"/>
      <c r="R1931" s="11">
        <f>IF(AND(ISNUMBER(P1931),ISNUMBER(Q1931),P1931&gt;0,ISNUMBER($B$100)),Q1931/P1931,"")</f>
        <v/>
      </c>
      <c r="S1931" s="11">
        <f>IF(AND(ISNUMBER(P1931),ISNUMBER(Q1931),P1931&gt;0,ISNUMBER($B$100)),MAX(0,$B$100-3*SQRT($B$100/P1931)),"")</f>
        <v/>
      </c>
      <c r="T1931" s="11">
        <f>IF(AND(ISNUMBER(P1931),ISNUMBER(Q1931),P1931&gt;0,ISNUMBER($B$100)),$B$100+3*SQRT($B$100/P1931),"")</f>
        <v/>
      </c>
      <c r="U1931" s="13">
        <f>IF(AND(ISNUMBER(R1931),ISNUMBER(S1931),ISNUMBER(T1931)),IF(R1931&gt;T1931,"boven UCL",IF(R1931&lt;S1931,"onder LCL","")),"")</f>
        <v/>
      </c>
    </row>
    <row r="1932">
      <c r="A1932" t="n">
        <v>1826</v>
      </c>
      <c r="B1932" s="7" t="n"/>
      <c r="C1932" s="11">
        <f>IF(AND(ISNUMBER(B1932),ISNUMBER(B1931)),ABS(B1932-B1931),"")</f>
        <v/>
      </c>
      <c r="D1932" s="13">
        <f>IF(AND(ISNUMBER(B1932),ISNUMBER($B$88),ISNUMBER($D$88)),IF(B1932&gt;$D$88,"boven UCL",IF(B1932&lt;$B$88,"onder LCL","")),"")</f>
        <v/>
      </c>
      <c r="E1932" s="13">
        <f>IF(AND(ISNUMBER(C1932),ISNUMBER($B$89),ISNUMBER($D$89)),IF(C1932&gt;$D$89,"boven UCL",IF(C1932&lt;$B$89,"onder LCL","")),"")</f>
        <v/>
      </c>
      <c r="G1932" t="n">
        <v>1826</v>
      </c>
      <c r="H1932" s="7" t="n"/>
      <c r="I1932" s="7" t="n"/>
      <c r="J1932" s="11">
        <f>IF(AND(ISNUMBER(H1932),ISNUMBER(I1932),H1932&gt;0,ISNUMBER($B$94)),I1932/H1932,"")</f>
        <v/>
      </c>
      <c r="K1932" s="11">
        <f>IF(AND(ISNUMBER(H1932),ISNUMBER(I1932),H1932&gt;0,ISNUMBER($B$94)),MAX(0,$B$94-3*SQRT($B$94*(1-$B$94)/H1932)),"")</f>
        <v/>
      </c>
      <c r="L1932" s="11">
        <f>IF(AND(ISNUMBER(H1932),ISNUMBER(I1932),H1932&gt;0,ISNUMBER($B$94)),$B$94+3*SQRT($B$94*(1-$B$94)/H1932),"")</f>
        <v/>
      </c>
      <c r="M1932" s="13">
        <f>IF(AND(ISNUMBER(J1932),ISNUMBER(K1932),ISNUMBER(L1932)),IF(J1932&gt;L1932,"boven UCL",IF(J1932&lt;K1932,"onder LCL","")),"")</f>
        <v/>
      </c>
      <c r="O1932" t="n">
        <v>1826</v>
      </c>
      <c r="P1932" s="7" t="n"/>
      <c r="Q1932" s="7" t="n"/>
      <c r="R1932" s="11">
        <f>IF(AND(ISNUMBER(P1932),ISNUMBER(Q1932),P1932&gt;0,ISNUMBER($B$100)),Q1932/P1932,"")</f>
        <v/>
      </c>
      <c r="S1932" s="11">
        <f>IF(AND(ISNUMBER(P1932),ISNUMBER(Q1932),P1932&gt;0,ISNUMBER($B$100)),MAX(0,$B$100-3*SQRT($B$100/P1932)),"")</f>
        <v/>
      </c>
      <c r="T1932" s="11">
        <f>IF(AND(ISNUMBER(P1932),ISNUMBER(Q1932),P1932&gt;0,ISNUMBER($B$100)),$B$100+3*SQRT($B$100/P1932),"")</f>
        <v/>
      </c>
      <c r="U1932" s="13">
        <f>IF(AND(ISNUMBER(R1932),ISNUMBER(S1932),ISNUMBER(T1932)),IF(R1932&gt;T1932,"boven UCL",IF(R1932&lt;S1932,"onder LCL","")),"")</f>
        <v/>
      </c>
    </row>
    <row r="1933">
      <c r="A1933" t="n">
        <v>1827</v>
      </c>
      <c r="B1933" s="7" t="n"/>
      <c r="C1933" s="11">
        <f>IF(AND(ISNUMBER(B1933),ISNUMBER(B1932)),ABS(B1933-B1932),"")</f>
        <v/>
      </c>
      <c r="D1933" s="13">
        <f>IF(AND(ISNUMBER(B1933),ISNUMBER($B$88),ISNUMBER($D$88)),IF(B1933&gt;$D$88,"boven UCL",IF(B1933&lt;$B$88,"onder LCL","")),"")</f>
        <v/>
      </c>
      <c r="E1933" s="13">
        <f>IF(AND(ISNUMBER(C1933),ISNUMBER($B$89),ISNUMBER($D$89)),IF(C1933&gt;$D$89,"boven UCL",IF(C1933&lt;$B$89,"onder LCL","")),"")</f>
        <v/>
      </c>
      <c r="G1933" t="n">
        <v>1827</v>
      </c>
      <c r="H1933" s="7" t="n"/>
      <c r="I1933" s="7" t="n"/>
      <c r="J1933" s="11">
        <f>IF(AND(ISNUMBER(H1933),ISNUMBER(I1933),H1933&gt;0,ISNUMBER($B$94)),I1933/H1933,"")</f>
        <v/>
      </c>
      <c r="K1933" s="11">
        <f>IF(AND(ISNUMBER(H1933),ISNUMBER(I1933),H1933&gt;0,ISNUMBER($B$94)),MAX(0,$B$94-3*SQRT($B$94*(1-$B$94)/H1933)),"")</f>
        <v/>
      </c>
      <c r="L1933" s="11">
        <f>IF(AND(ISNUMBER(H1933),ISNUMBER(I1933),H1933&gt;0,ISNUMBER($B$94)),$B$94+3*SQRT($B$94*(1-$B$94)/H1933),"")</f>
        <v/>
      </c>
      <c r="M1933" s="13">
        <f>IF(AND(ISNUMBER(J1933),ISNUMBER(K1933),ISNUMBER(L1933)),IF(J1933&gt;L1933,"boven UCL",IF(J1933&lt;K1933,"onder LCL","")),"")</f>
        <v/>
      </c>
      <c r="O1933" t="n">
        <v>1827</v>
      </c>
      <c r="P1933" s="7" t="n"/>
      <c r="Q1933" s="7" t="n"/>
      <c r="R1933" s="11">
        <f>IF(AND(ISNUMBER(P1933),ISNUMBER(Q1933),P1933&gt;0,ISNUMBER($B$100)),Q1933/P1933,"")</f>
        <v/>
      </c>
      <c r="S1933" s="11">
        <f>IF(AND(ISNUMBER(P1933),ISNUMBER(Q1933),P1933&gt;0,ISNUMBER($B$100)),MAX(0,$B$100-3*SQRT($B$100/P1933)),"")</f>
        <v/>
      </c>
      <c r="T1933" s="11">
        <f>IF(AND(ISNUMBER(P1933),ISNUMBER(Q1933),P1933&gt;0,ISNUMBER($B$100)),$B$100+3*SQRT($B$100/P1933),"")</f>
        <v/>
      </c>
      <c r="U1933" s="13">
        <f>IF(AND(ISNUMBER(R1933),ISNUMBER(S1933),ISNUMBER(T1933)),IF(R1933&gt;T1933,"boven UCL",IF(R1933&lt;S1933,"onder LCL","")),"")</f>
        <v/>
      </c>
    </row>
    <row r="1934">
      <c r="A1934" t="n">
        <v>1828</v>
      </c>
      <c r="B1934" s="7" t="n"/>
      <c r="C1934" s="11">
        <f>IF(AND(ISNUMBER(B1934),ISNUMBER(B1933)),ABS(B1934-B1933),"")</f>
        <v/>
      </c>
      <c r="D1934" s="13">
        <f>IF(AND(ISNUMBER(B1934),ISNUMBER($B$88),ISNUMBER($D$88)),IF(B1934&gt;$D$88,"boven UCL",IF(B1934&lt;$B$88,"onder LCL","")),"")</f>
        <v/>
      </c>
      <c r="E1934" s="13">
        <f>IF(AND(ISNUMBER(C1934),ISNUMBER($B$89),ISNUMBER($D$89)),IF(C1934&gt;$D$89,"boven UCL",IF(C1934&lt;$B$89,"onder LCL","")),"")</f>
        <v/>
      </c>
      <c r="G1934" t="n">
        <v>1828</v>
      </c>
      <c r="H1934" s="7" t="n"/>
      <c r="I1934" s="7" t="n"/>
      <c r="J1934" s="11">
        <f>IF(AND(ISNUMBER(H1934),ISNUMBER(I1934),H1934&gt;0,ISNUMBER($B$94)),I1934/H1934,"")</f>
        <v/>
      </c>
      <c r="K1934" s="11">
        <f>IF(AND(ISNUMBER(H1934),ISNUMBER(I1934),H1934&gt;0,ISNUMBER($B$94)),MAX(0,$B$94-3*SQRT($B$94*(1-$B$94)/H1934)),"")</f>
        <v/>
      </c>
      <c r="L1934" s="11">
        <f>IF(AND(ISNUMBER(H1934),ISNUMBER(I1934),H1934&gt;0,ISNUMBER($B$94)),$B$94+3*SQRT($B$94*(1-$B$94)/H1934),"")</f>
        <v/>
      </c>
      <c r="M1934" s="13">
        <f>IF(AND(ISNUMBER(J1934),ISNUMBER(K1934),ISNUMBER(L1934)),IF(J1934&gt;L1934,"boven UCL",IF(J1934&lt;K1934,"onder LCL","")),"")</f>
        <v/>
      </c>
      <c r="O1934" t="n">
        <v>1828</v>
      </c>
      <c r="P1934" s="7" t="n"/>
      <c r="Q1934" s="7" t="n"/>
      <c r="R1934" s="11">
        <f>IF(AND(ISNUMBER(P1934),ISNUMBER(Q1934),P1934&gt;0,ISNUMBER($B$100)),Q1934/P1934,"")</f>
        <v/>
      </c>
      <c r="S1934" s="11">
        <f>IF(AND(ISNUMBER(P1934),ISNUMBER(Q1934),P1934&gt;0,ISNUMBER($B$100)),MAX(0,$B$100-3*SQRT($B$100/P1934)),"")</f>
        <v/>
      </c>
      <c r="T1934" s="11">
        <f>IF(AND(ISNUMBER(P1934),ISNUMBER(Q1934),P1934&gt;0,ISNUMBER($B$100)),$B$100+3*SQRT($B$100/P1934),"")</f>
        <v/>
      </c>
      <c r="U1934" s="13">
        <f>IF(AND(ISNUMBER(R1934),ISNUMBER(S1934),ISNUMBER(T1934)),IF(R1934&gt;T1934,"boven UCL",IF(R1934&lt;S1934,"onder LCL","")),"")</f>
        <v/>
      </c>
    </row>
    <row r="1935">
      <c r="A1935" t="n">
        <v>1829</v>
      </c>
      <c r="B1935" s="7" t="n"/>
      <c r="C1935" s="11">
        <f>IF(AND(ISNUMBER(B1935),ISNUMBER(B1934)),ABS(B1935-B1934),"")</f>
        <v/>
      </c>
      <c r="D1935" s="13">
        <f>IF(AND(ISNUMBER(B1935),ISNUMBER($B$88),ISNUMBER($D$88)),IF(B1935&gt;$D$88,"boven UCL",IF(B1935&lt;$B$88,"onder LCL","")),"")</f>
        <v/>
      </c>
      <c r="E1935" s="13">
        <f>IF(AND(ISNUMBER(C1935),ISNUMBER($B$89),ISNUMBER($D$89)),IF(C1935&gt;$D$89,"boven UCL",IF(C1935&lt;$B$89,"onder LCL","")),"")</f>
        <v/>
      </c>
      <c r="G1935" t="n">
        <v>1829</v>
      </c>
      <c r="H1935" s="7" t="n"/>
      <c r="I1935" s="7" t="n"/>
      <c r="J1935" s="11">
        <f>IF(AND(ISNUMBER(H1935),ISNUMBER(I1935),H1935&gt;0,ISNUMBER($B$94)),I1935/H1935,"")</f>
        <v/>
      </c>
      <c r="K1935" s="11">
        <f>IF(AND(ISNUMBER(H1935),ISNUMBER(I1935),H1935&gt;0,ISNUMBER($B$94)),MAX(0,$B$94-3*SQRT($B$94*(1-$B$94)/H1935)),"")</f>
        <v/>
      </c>
      <c r="L1935" s="11">
        <f>IF(AND(ISNUMBER(H1935),ISNUMBER(I1935),H1935&gt;0,ISNUMBER($B$94)),$B$94+3*SQRT($B$94*(1-$B$94)/H1935),"")</f>
        <v/>
      </c>
      <c r="M1935" s="13">
        <f>IF(AND(ISNUMBER(J1935),ISNUMBER(K1935),ISNUMBER(L1935)),IF(J1935&gt;L1935,"boven UCL",IF(J1935&lt;K1935,"onder LCL","")),"")</f>
        <v/>
      </c>
      <c r="O1935" t="n">
        <v>1829</v>
      </c>
      <c r="P1935" s="7" t="n"/>
      <c r="Q1935" s="7" t="n"/>
      <c r="R1935" s="11">
        <f>IF(AND(ISNUMBER(P1935),ISNUMBER(Q1935),P1935&gt;0,ISNUMBER($B$100)),Q1935/P1935,"")</f>
        <v/>
      </c>
      <c r="S1935" s="11">
        <f>IF(AND(ISNUMBER(P1935),ISNUMBER(Q1935),P1935&gt;0,ISNUMBER($B$100)),MAX(0,$B$100-3*SQRT($B$100/P1935)),"")</f>
        <v/>
      </c>
      <c r="T1935" s="11">
        <f>IF(AND(ISNUMBER(P1935),ISNUMBER(Q1935),P1935&gt;0,ISNUMBER($B$100)),$B$100+3*SQRT($B$100/P1935),"")</f>
        <v/>
      </c>
      <c r="U1935" s="13">
        <f>IF(AND(ISNUMBER(R1935),ISNUMBER(S1935),ISNUMBER(T1935)),IF(R1935&gt;T1935,"boven UCL",IF(R1935&lt;S1935,"onder LCL","")),"")</f>
        <v/>
      </c>
    </row>
    <row r="1936">
      <c r="A1936" t="n">
        <v>1830</v>
      </c>
      <c r="B1936" s="7" t="n"/>
      <c r="C1936" s="11">
        <f>IF(AND(ISNUMBER(B1936),ISNUMBER(B1935)),ABS(B1936-B1935),"")</f>
        <v/>
      </c>
      <c r="D1936" s="13">
        <f>IF(AND(ISNUMBER(B1936),ISNUMBER($B$88),ISNUMBER($D$88)),IF(B1936&gt;$D$88,"boven UCL",IF(B1936&lt;$B$88,"onder LCL","")),"")</f>
        <v/>
      </c>
      <c r="E1936" s="13">
        <f>IF(AND(ISNUMBER(C1936),ISNUMBER($B$89),ISNUMBER($D$89)),IF(C1936&gt;$D$89,"boven UCL",IF(C1936&lt;$B$89,"onder LCL","")),"")</f>
        <v/>
      </c>
      <c r="G1936" t="n">
        <v>1830</v>
      </c>
      <c r="H1936" s="7" t="n"/>
      <c r="I1936" s="7" t="n"/>
      <c r="J1936" s="11">
        <f>IF(AND(ISNUMBER(H1936),ISNUMBER(I1936),H1936&gt;0,ISNUMBER($B$94)),I1936/H1936,"")</f>
        <v/>
      </c>
      <c r="K1936" s="11">
        <f>IF(AND(ISNUMBER(H1936),ISNUMBER(I1936),H1936&gt;0,ISNUMBER($B$94)),MAX(0,$B$94-3*SQRT($B$94*(1-$B$94)/H1936)),"")</f>
        <v/>
      </c>
      <c r="L1936" s="11">
        <f>IF(AND(ISNUMBER(H1936),ISNUMBER(I1936),H1936&gt;0,ISNUMBER($B$94)),$B$94+3*SQRT($B$94*(1-$B$94)/H1936),"")</f>
        <v/>
      </c>
      <c r="M1936" s="13">
        <f>IF(AND(ISNUMBER(J1936),ISNUMBER(K1936),ISNUMBER(L1936)),IF(J1936&gt;L1936,"boven UCL",IF(J1936&lt;K1936,"onder LCL","")),"")</f>
        <v/>
      </c>
      <c r="O1936" t="n">
        <v>1830</v>
      </c>
      <c r="P1936" s="7" t="n"/>
      <c r="Q1936" s="7" t="n"/>
      <c r="R1936" s="11">
        <f>IF(AND(ISNUMBER(P1936),ISNUMBER(Q1936),P1936&gt;0,ISNUMBER($B$100)),Q1936/P1936,"")</f>
        <v/>
      </c>
      <c r="S1936" s="11">
        <f>IF(AND(ISNUMBER(P1936),ISNUMBER(Q1936),P1936&gt;0,ISNUMBER($B$100)),MAX(0,$B$100-3*SQRT($B$100/P1936)),"")</f>
        <v/>
      </c>
      <c r="T1936" s="11">
        <f>IF(AND(ISNUMBER(P1936),ISNUMBER(Q1936),P1936&gt;0,ISNUMBER($B$100)),$B$100+3*SQRT($B$100/P1936),"")</f>
        <v/>
      </c>
      <c r="U1936" s="13">
        <f>IF(AND(ISNUMBER(R1936),ISNUMBER(S1936),ISNUMBER(T1936)),IF(R1936&gt;T1936,"boven UCL",IF(R1936&lt;S1936,"onder LCL","")),"")</f>
        <v/>
      </c>
    </row>
    <row r="1937">
      <c r="A1937" t="n">
        <v>1831</v>
      </c>
      <c r="B1937" s="7" t="n"/>
      <c r="C1937" s="11">
        <f>IF(AND(ISNUMBER(B1937),ISNUMBER(B1936)),ABS(B1937-B1936),"")</f>
        <v/>
      </c>
      <c r="D1937" s="13">
        <f>IF(AND(ISNUMBER(B1937),ISNUMBER($B$88),ISNUMBER($D$88)),IF(B1937&gt;$D$88,"boven UCL",IF(B1937&lt;$B$88,"onder LCL","")),"")</f>
        <v/>
      </c>
      <c r="E1937" s="13">
        <f>IF(AND(ISNUMBER(C1937),ISNUMBER($B$89),ISNUMBER($D$89)),IF(C1937&gt;$D$89,"boven UCL",IF(C1937&lt;$B$89,"onder LCL","")),"")</f>
        <v/>
      </c>
      <c r="G1937" t="n">
        <v>1831</v>
      </c>
      <c r="H1937" s="7" t="n"/>
      <c r="I1937" s="7" t="n"/>
      <c r="J1937" s="11">
        <f>IF(AND(ISNUMBER(H1937),ISNUMBER(I1937),H1937&gt;0,ISNUMBER($B$94)),I1937/H1937,"")</f>
        <v/>
      </c>
      <c r="K1937" s="11">
        <f>IF(AND(ISNUMBER(H1937),ISNUMBER(I1937),H1937&gt;0,ISNUMBER($B$94)),MAX(0,$B$94-3*SQRT($B$94*(1-$B$94)/H1937)),"")</f>
        <v/>
      </c>
      <c r="L1937" s="11">
        <f>IF(AND(ISNUMBER(H1937),ISNUMBER(I1937),H1937&gt;0,ISNUMBER($B$94)),$B$94+3*SQRT($B$94*(1-$B$94)/H1937),"")</f>
        <v/>
      </c>
      <c r="M1937" s="13">
        <f>IF(AND(ISNUMBER(J1937),ISNUMBER(K1937),ISNUMBER(L1937)),IF(J1937&gt;L1937,"boven UCL",IF(J1937&lt;K1937,"onder LCL","")),"")</f>
        <v/>
      </c>
      <c r="O1937" t="n">
        <v>1831</v>
      </c>
      <c r="P1937" s="7" t="n"/>
      <c r="Q1937" s="7" t="n"/>
      <c r="R1937" s="11">
        <f>IF(AND(ISNUMBER(P1937),ISNUMBER(Q1937),P1937&gt;0,ISNUMBER($B$100)),Q1937/P1937,"")</f>
        <v/>
      </c>
      <c r="S1937" s="11">
        <f>IF(AND(ISNUMBER(P1937),ISNUMBER(Q1937),P1937&gt;0,ISNUMBER($B$100)),MAX(0,$B$100-3*SQRT($B$100/P1937)),"")</f>
        <v/>
      </c>
      <c r="T1937" s="11">
        <f>IF(AND(ISNUMBER(P1937),ISNUMBER(Q1937),P1937&gt;0,ISNUMBER($B$100)),$B$100+3*SQRT($B$100/P1937),"")</f>
        <v/>
      </c>
      <c r="U1937" s="13">
        <f>IF(AND(ISNUMBER(R1937),ISNUMBER(S1937),ISNUMBER(T1937)),IF(R1937&gt;T1937,"boven UCL",IF(R1937&lt;S1937,"onder LCL","")),"")</f>
        <v/>
      </c>
    </row>
    <row r="1938">
      <c r="A1938" t="n">
        <v>1832</v>
      </c>
      <c r="B1938" s="7" t="n"/>
      <c r="C1938" s="11">
        <f>IF(AND(ISNUMBER(B1938),ISNUMBER(B1937)),ABS(B1938-B1937),"")</f>
        <v/>
      </c>
      <c r="D1938" s="13">
        <f>IF(AND(ISNUMBER(B1938),ISNUMBER($B$88),ISNUMBER($D$88)),IF(B1938&gt;$D$88,"boven UCL",IF(B1938&lt;$B$88,"onder LCL","")),"")</f>
        <v/>
      </c>
      <c r="E1938" s="13">
        <f>IF(AND(ISNUMBER(C1938),ISNUMBER($B$89),ISNUMBER($D$89)),IF(C1938&gt;$D$89,"boven UCL",IF(C1938&lt;$B$89,"onder LCL","")),"")</f>
        <v/>
      </c>
      <c r="G1938" t="n">
        <v>1832</v>
      </c>
      <c r="H1938" s="7" t="n"/>
      <c r="I1938" s="7" t="n"/>
      <c r="J1938" s="11">
        <f>IF(AND(ISNUMBER(H1938),ISNUMBER(I1938),H1938&gt;0,ISNUMBER($B$94)),I1938/H1938,"")</f>
        <v/>
      </c>
      <c r="K1938" s="11">
        <f>IF(AND(ISNUMBER(H1938),ISNUMBER(I1938),H1938&gt;0,ISNUMBER($B$94)),MAX(0,$B$94-3*SQRT($B$94*(1-$B$94)/H1938)),"")</f>
        <v/>
      </c>
      <c r="L1938" s="11">
        <f>IF(AND(ISNUMBER(H1938),ISNUMBER(I1938),H1938&gt;0,ISNUMBER($B$94)),$B$94+3*SQRT($B$94*(1-$B$94)/H1938),"")</f>
        <v/>
      </c>
      <c r="M1938" s="13">
        <f>IF(AND(ISNUMBER(J1938),ISNUMBER(K1938),ISNUMBER(L1938)),IF(J1938&gt;L1938,"boven UCL",IF(J1938&lt;K1938,"onder LCL","")),"")</f>
        <v/>
      </c>
      <c r="O1938" t="n">
        <v>1832</v>
      </c>
      <c r="P1938" s="7" t="n"/>
      <c r="Q1938" s="7" t="n"/>
      <c r="R1938" s="11">
        <f>IF(AND(ISNUMBER(P1938),ISNUMBER(Q1938),P1938&gt;0,ISNUMBER($B$100)),Q1938/P1938,"")</f>
        <v/>
      </c>
      <c r="S1938" s="11">
        <f>IF(AND(ISNUMBER(P1938),ISNUMBER(Q1938),P1938&gt;0,ISNUMBER($B$100)),MAX(0,$B$100-3*SQRT($B$100/P1938)),"")</f>
        <v/>
      </c>
      <c r="T1938" s="11">
        <f>IF(AND(ISNUMBER(P1938),ISNUMBER(Q1938),P1938&gt;0,ISNUMBER($B$100)),$B$100+3*SQRT($B$100/P1938),"")</f>
        <v/>
      </c>
      <c r="U1938" s="13">
        <f>IF(AND(ISNUMBER(R1938),ISNUMBER(S1938),ISNUMBER(T1938)),IF(R1938&gt;T1938,"boven UCL",IF(R1938&lt;S1938,"onder LCL","")),"")</f>
        <v/>
      </c>
    </row>
    <row r="1939">
      <c r="A1939" t="n">
        <v>1833</v>
      </c>
      <c r="B1939" s="7" t="n"/>
      <c r="C1939" s="11">
        <f>IF(AND(ISNUMBER(B1939),ISNUMBER(B1938)),ABS(B1939-B1938),"")</f>
        <v/>
      </c>
      <c r="D1939" s="13">
        <f>IF(AND(ISNUMBER(B1939),ISNUMBER($B$88),ISNUMBER($D$88)),IF(B1939&gt;$D$88,"boven UCL",IF(B1939&lt;$B$88,"onder LCL","")),"")</f>
        <v/>
      </c>
      <c r="E1939" s="13">
        <f>IF(AND(ISNUMBER(C1939),ISNUMBER($B$89),ISNUMBER($D$89)),IF(C1939&gt;$D$89,"boven UCL",IF(C1939&lt;$B$89,"onder LCL","")),"")</f>
        <v/>
      </c>
      <c r="G1939" t="n">
        <v>1833</v>
      </c>
      <c r="H1939" s="7" t="n"/>
      <c r="I1939" s="7" t="n"/>
      <c r="J1939" s="11">
        <f>IF(AND(ISNUMBER(H1939),ISNUMBER(I1939),H1939&gt;0,ISNUMBER($B$94)),I1939/H1939,"")</f>
        <v/>
      </c>
      <c r="K1939" s="11">
        <f>IF(AND(ISNUMBER(H1939),ISNUMBER(I1939),H1939&gt;0,ISNUMBER($B$94)),MAX(0,$B$94-3*SQRT($B$94*(1-$B$94)/H1939)),"")</f>
        <v/>
      </c>
      <c r="L1939" s="11">
        <f>IF(AND(ISNUMBER(H1939),ISNUMBER(I1939),H1939&gt;0,ISNUMBER($B$94)),$B$94+3*SQRT($B$94*(1-$B$94)/H1939),"")</f>
        <v/>
      </c>
      <c r="M1939" s="13">
        <f>IF(AND(ISNUMBER(J1939),ISNUMBER(K1939),ISNUMBER(L1939)),IF(J1939&gt;L1939,"boven UCL",IF(J1939&lt;K1939,"onder LCL","")),"")</f>
        <v/>
      </c>
      <c r="O1939" t="n">
        <v>1833</v>
      </c>
      <c r="P1939" s="7" t="n"/>
      <c r="Q1939" s="7" t="n"/>
      <c r="R1939" s="11">
        <f>IF(AND(ISNUMBER(P1939),ISNUMBER(Q1939),P1939&gt;0,ISNUMBER($B$100)),Q1939/P1939,"")</f>
        <v/>
      </c>
      <c r="S1939" s="11">
        <f>IF(AND(ISNUMBER(P1939),ISNUMBER(Q1939),P1939&gt;0,ISNUMBER($B$100)),MAX(0,$B$100-3*SQRT($B$100/P1939)),"")</f>
        <v/>
      </c>
      <c r="T1939" s="11">
        <f>IF(AND(ISNUMBER(P1939),ISNUMBER(Q1939),P1939&gt;0,ISNUMBER($B$100)),$B$100+3*SQRT($B$100/P1939),"")</f>
        <v/>
      </c>
      <c r="U1939" s="13">
        <f>IF(AND(ISNUMBER(R1939),ISNUMBER(S1939),ISNUMBER(T1939)),IF(R1939&gt;T1939,"boven UCL",IF(R1939&lt;S1939,"onder LCL","")),"")</f>
        <v/>
      </c>
    </row>
    <row r="1940">
      <c r="A1940" t="n">
        <v>1834</v>
      </c>
      <c r="B1940" s="7" t="n"/>
      <c r="C1940" s="11">
        <f>IF(AND(ISNUMBER(B1940),ISNUMBER(B1939)),ABS(B1940-B1939),"")</f>
        <v/>
      </c>
      <c r="D1940" s="13">
        <f>IF(AND(ISNUMBER(B1940),ISNUMBER($B$88),ISNUMBER($D$88)),IF(B1940&gt;$D$88,"boven UCL",IF(B1940&lt;$B$88,"onder LCL","")),"")</f>
        <v/>
      </c>
      <c r="E1940" s="13">
        <f>IF(AND(ISNUMBER(C1940),ISNUMBER($B$89),ISNUMBER($D$89)),IF(C1940&gt;$D$89,"boven UCL",IF(C1940&lt;$B$89,"onder LCL","")),"")</f>
        <v/>
      </c>
      <c r="G1940" t="n">
        <v>1834</v>
      </c>
      <c r="H1940" s="7" t="n"/>
      <c r="I1940" s="7" t="n"/>
      <c r="J1940" s="11">
        <f>IF(AND(ISNUMBER(H1940),ISNUMBER(I1940),H1940&gt;0,ISNUMBER($B$94)),I1940/H1940,"")</f>
        <v/>
      </c>
      <c r="K1940" s="11">
        <f>IF(AND(ISNUMBER(H1940),ISNUMBER(I1940),H1940&gt;0,ISNUMBER($B$94)),MAX(0,$B$94-3*SQRT($B$94*(1-$B$94)/H1940)),"")</f>
        <v/>
      </c>
      <c r="L1940" s="11">
        <f>IF(AND(ISNUMBER(H1940),ISNUMBER(I1940),H1940&gt;0,ISNUMBER($B$94)),$B$94+3*SQRT($B$94*(1-$B$94)/H1940),"")</f>
        <v/>
      </c>
      <c r="M1940" s="13">
        <f>IF(AND(ISNUMBER(J1940),ISNUMBER(K1940),ISNUMBER(L1940)),IF(J1940&gt;L1940,"boven UCL",IF(J1940&lt;K1940,"onder LCL","")),"")</f>
        <v/>
      </c>
      <c r="O1940" t="n">
        <v>1834</v>
      </c>
      <c r="P1940" s="7" t="n"/>
      <c r="Q1940" s="7" t="n"/>
      <c r="R1940" s="11">
        <f>IF(AND(ISNUMBER(P1940),ISNUMBER(Q1940),P1940&gt;0,ISNUMBER($B$100)),Q1940/P1940,"")</f>
        <v/>
      </c>
      <c r="S1940" s="11">
        <f>IF(AND(ISNUMBER(P1940),ISNUMBER(Q1940),P1940&gt;0,ISNUMBER($B$100)),MAX(0,$B$100-3*SQRT($B$100/P1940)),"")</f>
        <v/>
      </c>
      <c r="T1940" s="11">
        <f>IF(AND(ISNUMBER(P1940),ISNUMBER(Q1940),P1940&gt;0,ISNUMBER($B$100)),$B$100+3*SQRT($B$100/P1940),"")</f>
        <v/>
      </c>
      <c r="U1940" s="13">
        <f>IF(AND(ISNUMBER(R1940),ISNUMBER(S1940),ISNUMBER(T1940)),IF(R1940&gt;T1940,"boven UCL",IF(R1940&lt;S1940,"onder LCL","")),"")</f>
        <v/>
      </c>
    </row>
    <row r="1941">
      <c r="A1941" t="n">
        <v>1835</v>
      </c>
      <c r="B1941" s="7" t="n"/>
      <c r="C1941" s="11">
        <f>IF(AND(ISNUMBER(B1941),ISNUMBER(B1940)),ABS(B1941-B1940),"")</f>
        <v/>
      </c>
      <c r="D1941" s="13">
        <f>IF(AND(ISNUMBER(B1941),ISNUMBER($B$88),ISNUMBER($D$88)),IF(B1941&gt;$D$88,"boven UCL",IF(B1941&lt;$B$88,"onder LCL","")),"")</f>
        <v/>
      </c>
      <c r="E1941" s="13">
        <f>IF(AND(ISNUMBER(C1941),ISNUMBER($B$89),ISNUMBER($D$89)),IF(C1941&gt;$D$89,"boven UCL",IF(C1941&lt;$B$89,"onder LCL","")),"")</f>
        <v/>
      </c>
      <c r="G1941" t="n">
        <v>1835</v>
      </c>
      <c r="H1941" s="7" t="n"/>
      <c r="I1941" s="7" t="n"/>
      <c r="J1941" s="11">
        <f>IF(AND(ISNUMBER(H1941),ISNUMBER(I1941),H1941&gt;0,ISNUMBER($B$94)),I1941/H1941,"")</f>
        <v/>
      </c>
      <c r="K1941" s="11">
        <f>IF(AND(ISNUMBER(H1941),ISNUMBER(I1941),H1941&gt;0,ISNUMBER($B$94)),MAX(0,$B$94-3*SQRT($B$94*(1-$B$94)/H1941)),"")</f>
        <v/>
      </c>
      <c r="L1941" s="11">
        <f>IF(AND(ISNUMBER(H1941),ISNUMBER(I1941),H1941&gt;0,ISNUMBER($B$94)),$B$94+3*SQRT($B$94*(1-$B$94)/H1941),"")</f>
        <v/>
      </c>
      <c r="M1941" s="13">
        <f>IF(AND(ISNUMBER(J1941),ISNUMBER(K1941),ISNUMBER(L1941)),IF(J1941&gt;L1941,"boven UCL",IF(J1941&lt;K1941,"onder LCL","")),"")</f>
        <v/>
      </c>
      <c r="O1941" t="n">
        <v>1835</v>
      </c>
      <c r="P1941" s="7" t="n"/>
      <c r="Q1941" s="7" t="n"/>
      <c r="R1941" s="11">
        <f>IF(AND(ISNUMBER(P1941),ISNUMBER(Q1941),P1941&gt;0,ISNUMBER($B$100)),Q1941/P1941,"")</f>
        <v/>
      </c>
      <c r="S1941" s="11">
        <f>IF(AND(ISNUMBER(P1941),ISNUMBER(Q1941),P1941&gt;0,ISNUMBER($B$100)),MAX(0,$B$100-3*SQRT($B$100/P1941)),"")</f>
        <v/>
      </c>
      <c r="T1941" s="11">
        <f>IF(AND(ISNUMBER(P1941),ISNUMBER(Q1941),P1941&gt;0,ISNUMBER($B$100)),$B$100+3*SQRT($B$100/P1941),"")</f>
        <v/>
      </c>
      <c r="U1941" s="13">
        <f>IF(AND(ISNUMBER(R1941),ISNUMBER(S1941),ISNUMBER(T1941)),IF(R1941&gt;T1941,"boven UCL",IF(R1941&lt;S1941,"onder LCL","")),"")</f>
        <v/>
      </c>
    </row>
    <row r="1942">
      <c r="A1942" t="n">
        <v>1836</v>
      </c>
      <c r="B1942" s="7" t="n"/>
      <c r="C1942" s="11">
        <f>IF(AND(ISNUMBER(B1942),ISNUMBER(B1941)),ABS(B1942-B1941),"")</f>
        <v/>
      </c>
      <c r="D1942" s="13">
        <f>IF(AND(ISNUMBER(B1942),ISNUMBER($B$88),ISNUMBER($D$88)),IF(B1942&gt;$D$88,"boven UCL",IF(B1942&lt;$B$88,"onder LCL","")),"")</f>
        <v/>
      </c>
      <c r="E1942" s="13">
        <f>IF(AND(ISNUMBER(C1942),ISNUMBER($B$89),ISNUMBER($D$89)),IF(C1942&gt;$D$89,"boven UCL",IF(C1942&lt;$B$89,"onder LCL","")),"")</f>
        <v/>
      </c>
      <c r="G1942" t="n">
        <v>1836</v>
      </c>
      <c r="H1942" s="7" t="n"/>
      <c r="I1942" s="7" t="n"/>
      <c r="J1942" s="11">
        <f>IF(AND(ISNUMBER(H1942),ISNUMBER(I1942),H1942&gt;0,ISNUMBER($B$94)),I1942/H1942,"")</f>
        <v/>
      </c>
      <c r="K1942" s="11">
        <f>IF(AND(ISNUMBER(H1942),ISNUMBER(I1942),H1942&gt;0,ISNUMBER($B$94)),MAX(0,$B$94-3*SQRT($B$94*(1-$B$94)/H1942)),"")</f>
        <v/>
      </c>
      <c r="L1942" s="11">
        <f>IF(AND(ISNUMBER(H1942),ISNUMBER(I1942),H1942&gt;0,ISNUMBER($B$94)),$B$94+3*SQRT($B$94*(1-$B$94)/H1942),"")</f>
        <v/>
      </c>
      <c r="M1942" s="13">
        <f>IF(AND(ISNUMBER(J1942),ISNUMBER(K1942),ISNUMBER(L1942)),IF(J1942&gt;L1942,"boven UCL",IF(J1942&lt;K1942,"onder LCL","")),"")</f>
        <v/>
      </c>
      <c r="O1942" t="n">
        <v>1836</v>
      </c>
      <c r="P1942" s="7" t="n"/>
      <c r="Q1942" s="7" t="n"/>
      <c r="R1942" s="11">
        <f>IF(AND(ISNUMBER(P1942),ISNUMBER(Q1942),P1942&gt;0,ISNUMBER($B$100)),Q1942/P1942,"")</f>
        <v/>
      </c>
      <c r="S1942" s="11">
        <f>IF(AND(ISNUMBER(P1942),ISNUMBER(Q1942),P1942&gt;0,ISNUMBER($B$100)),MAX(0,$B$100-3*SQRT($B$100/P1942)),"")</f>
        <v/>
      </c>
      <c r="T1942" s="11">
        <f>IF(AND(ISNUMBER(P1942),ISNUMBER(Q1942),P1942&gt;0,ISNUMBER($B$100)),$B$100+3*SQRT($B$100/P1942),"")</f>
        <v/>
      </c>
      <c r="U1942" s="13">
        <f>IF(AND(ISNUMBER(R1942),ISNUMBER(S1942),ISNUMBER(T1942)),IF(R1942&gt;T1942,"boven UCL",IF(R1942&lt;S1942,"onder LCL","")),"")</f>
        <v/>
      </c>
    </row>
    <row r="1943">
      <c r="A1943" t="n">
        <v>1837</v>
      </c>
      <c r="B1943" s="7" t="n"/>
      <c r="C1943" s="11">
        <f>IF(AND(ISNUMBER(B1943),ISNUMBER(B1942)),ABS(B1943-B1942),"")</f>
        <v/>
      </c>
      <c r="D1943" s="13">
        <f>IF(AND(ISNUMBER(B1943),ISNUMBER($B$88),ISNUMBER($D$88)),IF(B1943&gt;$D$88,"boven UCL",IF(B1943&lt;$B$88,"onder LCL","")),"")</f>
        <v/>
      </c>
      <c r="E1943" s="13">
        <f>IF(AND(ISNUMBER(C1943),ISNUMBER($B$89),ISNUMBER($D$89)),IF(C1943&gt;$D$89,"boven UCL",IF(C1943&lt;$B$89,"onder LCL","")),"")</f>
        <v/>
      </c>
      <c r="G1943" t="n">
        <v>1837</v>
      </c>
      <c r="H1943" s="7" t="n"/>
      <c r="I1943" s="7" t="n"/>
      <c r="J1943" s="11">
        <f>IF(AND(ISNUMBER(H1943),ISNUMBER(I1943),H1943&gt;0,ISNUMBER($B$94)),I1943/H1943,"")</f>
        <v/>
      </c>
      <c r="K1943" s="11">
        <f>IF(AND(ISNUMBER(H1943),ISNUMBER(I1943),H1943&gt;0,ISNUMBER($B$94)),MAX(0,$B$94-3*SQRT($B$94*(1-$B$94)/H1943)),"")</f>
        <v/>
      </c>
      <c r="L1943" s="11">
        <f>IF(AND(ISNUMBER(H1943),ISNUMBER(I1943),H1943&gt;0,ISNUMBER($B$94)),$B$94+3*SQRT($B$94*(1-$B$94)/H1943),"")</f>
        <v/>
      </c>
      <c r="M1943" s="13">
        <f>IF(AND(ISNUMBER(J1943),ISNUMBER(K1943),ISNUMBER(L1943)),IF(J1943&gt;L1943,"boven UCL",IF(J1943&lt;K1943,"onder LCL","")),"")</f>
        <v/>
      </c>
      <c r="O1943" t="n">
        <v>1837</v>
      </c>
      <c r="P1943" s="7" t="n"/>
      <c r="Q1943" s="7" t="n"/>
      <c r="R1943" s="11">
        <f>IF(AND(ISNUMBER(P1943),ISNUMBER(Q1943),P1943&gt;0,ISNUMBER($B$100)),Q1943/P1943,"")</f>
        <v/>
      </c>
      <c r="S1943" s="11">
        <f>IF(AND(ISNUMBER(P1943),ISNUMBER(Q1943),P1943&gt;0,ISNUMBER($B$100)),MAX(0,$B$100-3*SQRT($B$100/P1943)),"")</f>
        <v/>
      </c>
      <c r="T1943" s="11">
        <f>IF(AND(ISNUMBER(P1943),ISNUMBER(Q1943),P1943&gt;0,ISNUMBER($B$100)),$B$100+3*SQRT($B$100/P1943),"")</f>
        <v/>
      </c>
      <c r="U1943" s="13">
        <f>IF(AND(ISNUMBER(R1943),ISNUMBER(S1943),ISNUMBER(T1943)),IF(R1943&gt;T1943,"boven UCL",IF(R1943&lt;S1943,"onder LCL","")),"")</f>
        <v/>
      </c>
    </row>
    <row r="1944">
      <c r="A1944" t="n">
        <v>1838</v>
      </c>
      <c r="B1944" s="7" t="n"/>
      <c r="C1944" s="11">
        <f>IF(AND(ISNUMBER(B1944),ISNUMBER(B1943)),ABS(B1944-B1943),"")</f>
        <v/>
      </c>
      <c r="D1944" s="13">
        <f>IF(AND(ISNUMBER(B1944),ISNUMBER($B$88),ISNUMBER($D$88)),IF(B1944&gt;$D$88,"boven UCL",IF(B1944&lt;$B$88,"onder LCL","")),"")</f>
        <v/>
      </c>
      <c r="E1944" s="13">
        <f>IF(AND(ISNUMBER(C1944),ISNUMBER($B$89),ISNUMBER($D$89)),IF(C1944&gt;$D$89,"boven UCL",IF(C1944&lt;$B$89,"onder LCL","")),"")</f>
        <v/>
      </c>
      <c r="G1944" t="n">
        <v>1838</v>
      </c>
      <c r="H1944" s="7" t="n"/>
      <c r="I1944" s="7" t="n"/>
      <c r="J1944" s="11">
        <f>IF(AND(ISNUMBER(H1944),ISNUMBER(I1944),H1944&gt;0,ISNUMBER($B$94)),I1944/H1944,"")</f>
        <v/>
      </c>
      <c r="K1944" s="11">
        <f>IF(AND(ISNUMBER(H1944),ISNUMBER(I1944),H1944&gt;0,ISNUMBER($B$94)),MAX(0,$B$94-3*SQRT($B$94*(1-$B$94)/H1944)),"")</f>
        <v/>
      </c>
      <c r="L1944" s="11">
        <f>IF(AND(ISNUMBER(H1944),ISNUMBER(I1944),H1944&gt;0,ISNUMBER($B$94)),$B$94+3*SQRT($B$94*(1-$B$94)/H1944),"")</f>
        <v/>
      </c>
      <c r="M1944" s="13">
        <f>IF(AND(ISNUMBER(J1944),ISNUMBER(K1944),ISNUMBER(L1944)),IF(J1944&gt;L1944,"boven UCL",IF(J1944&lt;K1944,"onder LCL","")),"")</f>
        <v/>
      </c>
      <c r="O1944" t="n">
        <v>1838</v>
      </c>
      <c r="P1944" s="7" t="n"/>
      <c r="Q1944" s="7" t="n"/>
      <c r="R1944" s="11">
        <f>IF(AND(ISNUMBER(P1944),ISNUMBER(Q1944),P1944&gt;0,ISNUMBER($B$100)),Q1944/P1944,"")</f>
        <v/>
      </c>
      <c r="S1944" s="11">
        <f>IF(AND(ISNUMBER(P1944),ISNUMBER(Q1944),P1944&gt;0,ISNUMBER($B$100)),MAX(0,$B$100-3*SQRT($B$100/P1944)),"")</f>
        <v/>
      </c>
      <c r="T1944" s="11">
        <f>IF(AND(ISNUMBER(P1944),ISNUMBER(Q1944),P1944&gt;0,ISNUMBER($B$100)),$B$100+3*SQRT($B$100/P1944),"")</f>
        <v/>
      </c>
      <c r="U1944" s="13">
        <f>IF(AND(ISNUMBER(R1944),ISNUMBER(S1944),ISNUMBER(T1944)),IF(R1944&gt;T1944,"boven UCL",IF(R1944&lt;S1944,"onder LCL","")),"")</f>
        <v/>
      </c>
    </row>
    <row r="1945">
      <c r="A1945" t="n">
        <v>1839</v>
      </c>
      <c r="B1945" s="7" t="n"/>
      <c r="C1945" s="11">
        <f>IF(AND(ISNUMBER(B1945),ISNUMBER(B1944)),ABS(B1945-B1944),"")</f>
        <v/>
      </c>
      <c r="D1945" s="13">
        <f>IF(AND(ISNUMBER(B1945),ISNUMBER($B$88),ISNUMBER($D$88)),IF(B1945&gt;$D$88,"boven UCL",IF(B1945&lt;$B$88,"onder LCL","")),"")</f>
        <v/>
      </c>
      <c r="E1945" s="13">
        <f>IF(AND(ISNUMBER(C1945),ISNUMBER($B$89),ISNUMBER($D$89)),IF(C1945&gt;$D$89,"boven UCL",IF(C1945&lt;$B$89,"onder LCL","")),"")</f>
        <v/>
      </c>
      <c r="G1945" t="n">
        <v>1839</v>
      </c>
      <c r="H1945" s="7" t="n"/>
      <c r="I1945" s="7" t="n"/>
      <c r="J1945" s="11">
        <f>IF(AND(ISNUMBER(H1945),ISNUMBER(I1945),H1945&gt;0,ISNUMBER($B$94)),I1945/H1945,"")</f>
        <v/>
      </c>
      <c r="K1945" s="11">
        <f>IF(AND(ISNUMBER(H1945),ISNUMBER(I1945),H1945&gt;0,ISNUMBER($B$94)),MAX(0,$B$94-3*SQRT($B$94*(1-$B$94)/H1945)),"")</f>
        <v/>
      </c>
      <c r="L1945" s="11">
        <f>IF(AND(ISNUMBER(H1945),ISNUMBER(I1945),H1945&gt;0,ISNUMBER($B$94)),$B$94+3*SQRT($B$94*(1-$B$94)/H1945),"")</f>
        <v/>
      </c>
      <c r="M1945" s="13">
        <f>IF(AND(ISNUMBER(J1945),ISNUMBER(K1945),ISNUMBER(L1945)),IF(J1945&gt;L1945,"boven UCL",IF(J1945&lt;K1945,"onder LCL","")),"")</f>
        <v/>
      </c>
      <c r="O1945" t="n">
        <v>1839</v>
      </c>
      <c r="P1945" s="7" t="n"/>
      <c r="Q1945" s="7" t="n"/>
      <c r="R1945" s="11">
        <f>IF(AND(ISNUMBER(P1945),ISNUMBER(Q1945),P1945&gt;0,ISNUMBER($B$100)),Q1945/P1945,"")</f>
        <v/>
      </c>
      <c r="S1945" s="11">
        <f>IF(AND(ISNUMBER(P1945),ISNUMBER(Q1945),P1945&gt;0,ISNUMBER($B$100)),MAX(0,$B$100-3*SQRT($B$100/P1945)),"")</f>
        <v/>
      </c>
      <c r="T1945" s="11">
        <f>IF(AND(ISNUMBER(P1945),ISNUMBER(Q1945),P1945&gt;0,ISNUMBER($B$100)),$B$100+3*SQRT($B$100/P1945),"")</f>
        <v/>
      </c>
      <c r="U1945" s="13">
        <f>IF(AND(ISNUMBER(R1945),ISNUMBER(S1945),ISNUMBER(T1945)),IF(R1945&gt;T1945,"boven UCL",IF(R1945&lt;S1945,"onder LCL","")),"")</f>
        <v/>
      </c>
    </row>
    <row r="1946">
      <c r="A1946" t="n">
        <v>1840</v>
      </c>
      <c r="B1946" s="7" t="n"/>
      <c r="C1946" s="11">
        <f>IF(AND(ISNUMBER(B1946),ISNUMBER(B1945)),ABS(B1946-B1945),"")</f>
        <v/>
      </c>
      <c r="D1946" s="13">
        <f>IF(AND(ISNUMBER(B1946),ISNUMBER($B$88),ISNUMBER($D$88)),IF(B1946&gt;$D$88,"boven UCL",IF(B1946&lt;$B$88,"onder LCL","")),"")</f>
        <v/>
      </c>
      <c r="E1946" s="13">
        <f>IF(AND(ISNUMBER(C1946),ISNUMBER($B$89),ISNUMBER($D$89)),IF(C1946&gt;$D$89,"boven UCL",IF(C1946&lt;$B$89,"onder LCL","")),"")</f>
        <v/>
      </c>
      <c r="G1946" t="n">
        <v>1840</v>
      </c>
      <c r="H1946" s="7" t="n"/>
      <c r="I1946" s="7" t="n"/>
      <c r="J1946" s="11">
        <f>IF(AND(ISNUMBER(H1946),ISNUMBER(I1946),H1946&gt;0,ISNUMBER($B$94)),I1946/H1946,"")</f>
        <v/>
      </c>
      <c r="K1946" s="11">
        <f>IF(AND(ISNUMBER(H1946),ISNUMBER(I1946),H1946&gt;0,ISNUMBER($B$94)),MAX(0,$B$94-3*SQRT($B$94*(1-$B$94)/H1946)),"")</f>
        <v/>
      </c>
      <c r="L1946" s="11">
        <f>IF(AND(ISNUMBER(H1946),ISNUMBER(I1946),H1946&gt;0,ISNUMBER($B$94)),$B$94+3*SQRT($B$94*(1-$B$94)/H1946),"")</f>
        <v/>
      </c>
      <c r="M1946" s="13">
        <f>IF(AND(ISNUMBER(J1946),ISNUMBER(K1946),ISNUMBER(L1946)),IF(J1946&gt;L1946,"boven UCL",IF(J1946&lt;K1946,"onder LCL","")),"")</f>
        <v/>
      </c>
      <c r="O1946" t="n">
        <v>1840</v>
      </c>
      <c r="P1946" s="7" t="n"/>
      <c r="Q1946" s="7" t="n"/>
      <c r="R1946" s="11">
        <f>IF(AND(ISNUMBER(P1946),ISNUMBER(Q1946),P1946&gt;0,ISNUMBER($B$100)),Q1946/P1946,"")</f>
        <v/>
      </c>
      <c r="S1946" s="11">
        <f>IF(AND(ISNUMBER(P1946),ISNUMBER(Q1946),P1946&gt;0,ISNUMBER($B$100)),MAX(0,$B$100-3*SQRT($B$100/P1946)),"")</f>
        <v/>
      </c>
      <c r="T1946" s="11">
        <f>IF(AND(ISNUMBER(P1946),ISNUMBER(Q1946),P1946&gt;0,ISNUMBER($B$100)),$B$100+3*SQRT($B$100/P1946),"")</f>
        <v/>
      </c>
      <c r="U1946" s="13">
        <f>IF(AND(ISNUMBER(R1946),ISNUMBER(S1946),ISNUMBER(T1946)),IF(R1946&gt;T1946,"boven UCL",IF(R1946&lt;S1946,"onder LCL","")),"")</f>
        <v/>
      </c>
    </row>
    <row r="1947">
      <c r="A1947" t="n">
        <v>1841</v>
      </c>
      <c r="B1947" s="7" t="n"/>
      <c r="C1947" s="11">
        <f>IF(AND(ISNUMBER(B1947),ISNUMBER(B1946)),ABS(B1947-B1946),"")</f>
        <v/>
      </c>
      <c r="D1947" s="13">
        <f>IF(AND(ISNUMBER(B1947),ISNUMBER($B$88),ISNUMBER($D$88)),IF(B1947&gt;$D$88,"boven UCL",IF(B1947&lt;$B$88,"onder LCL","")),"")</f>
        <v/>
      </c>
      <c r="E1947" s="13">
        <f>IF(AND(ISNUMBER(C1947),ISNUMBER($B$89),ISNUMBER($D$89)),IF(C1947&gt;$D$89,"boven UCL",IF(C1947&lt;$B$89,"onder LCL","")),"")</f>
        <v/>
      </c>
      <c r="G1947" t="n">
        <v>1841</v>
      </c>
      <c r="H1947" s="7" t="n"/>
      <c r="I1947" s="7" t="n"/>
      <c r="J1947" s="11">
        <f>IF(AND(ISNUMBER(H1947),ISNUMBER(I1947),H1947&gt;0,ISNUMBER($B$94)),I1947/H1947,"")</f>
        <v/>
      </c>
      <c r="K1947" s="11">
        <f>IF(AND(ISNUMBER(H1947),ISNUMBER(I1947),H1947&gt;0,ISNUMBER($B$94)),MAX(0,$B$94-3*SQRT($B$94*(1-$B$94)/H1947)),"")</f>
        <v/>
      </c>
      <c r="L1947" s="11">
        <f>IF(AND(ISNUMBER(H1947),ISNUMBER(I1947),H1947&gt;0,ISNUMBER($B$94)),$B$94+3*SQRT($B$94*(1-$B$94)/H1947),"")</f>
        <v/>
      </c>
      <c r="M1947" s="13">
        <f>IF(AND(ISNUMBER(J1947),ISNUMBER(K1947),ISNUMBER(L1947)),IF(J1947&gt;L1947,"boven UCL",IF(J1947&lt;K1947,"onder LCL","")),"")</f>
        <v/>
      </c>
      <c r="O1947" t="n">
        <v>1841</v>
      </c>
      <c r="P1947" s="7" t="n"/>
      <c r="Q1947" s="7" t="n"/>
      <c r="R1947" s="11">
        <f>IF(AND(ISNUMBER(P1947),ISNUMBER(Q1947),P1947&gt;0,ISNUMBER($B$100)),Q1947/P1947,"")</f>
        <v/>
      </c>
      <c r="S1947" s="11">
        <f>IF(AND(ISNUMBER(P1947),ISNUMBER(Q1947),P1947&gt;0,ISNUMBER($B$100)),MAX(0,$B$100-3*SQRT($B$100/P1947)),"")</f>
        <v/>
      </c>
      <c r="T1947" s="11">
        <f>IF(AND(ISNUMBER(P1947),ISNUMBER(Q1947),P1947&gt;0,ISNUMBER($B$100)),$B$100+3*SQRT($B$100/P1947),"")</f>
        <v/>
      </c>
      <c r="U1947" s="13">
        <f>IF(AND(ISNUMBER(R1947),ISNUMBER(S1947),ISNUMBER(T1947)),IF(R1947&gt;T1947,"boven UCL",IF(R1947&lt;S1947,"onder LCL","")),"")</f>
        <v/>
      </c>
    </row>
    <row r="1948">
      <c r="A1948" t="n">
        <v>1842</v>
      </c>
      <c r="B1948" s="7" t="n"/>
      <c r="C1948" s="11">
        <f>IF(AND(ISNUMBER(B1948),ISNUMBER(B1947)),ABS(B1948-B1947),"")</f>
        <v/>
      </c>
      <c r="D1948" s="13">
        <f>IF(AND(ISNUMBER(B1948),ISNUMBER($B$88),ISNUMBER($D$88)),IF(B1948&gt;$D$88,"boven UCL",IF(B1948&lt;$B$88,"onder LCL","")),"")</f>
        <v/>
      </c>
      <c r="E1948" s="13">
        <f>IF(AND(ISNUMBER(C1948),ISNUMBER($B$89),ISNUMBER($D$89)),IF(C1948&gt;$D$89,"boven UCL",IF(C1948&lt;$B$89,"onder LCL","")),"")</f>
        <v/>
      </c>
      <c r="G1948" t="n">
        <v>1842</v>
      </c>
      <c r="H1948" s="7" t="n"/>
      <c r="I1948" s="7" t="n"/>
      <c r="J1948" s="11">
        <f>IF(AND(ISNUMBER(H1948),ISNUMBER(I1948),H1948&gt;0,ISNUMBER($B$94)),I1948/H1948,"")</f>
        <v/>
      </c>
      <c r="K1948" s="11">
        <f>IF(AND(ISNUMBER(H1948),ISNUMBER(I1948),H1948&gt;0,ISNUMBER($B$94)),MAX(0,$B$94-3*SQRT($B$94*(1-$B$94)/H1948)),"")</f>
        <v/>
      </c>
      <c r="L1948" s="11">
        <f>IF(AND(ISNUMBER(H1948),ISNUMBER(I1948),H1948&gt;0,ISNUMBER($B$94)),$B$94+3*SQRT($B$94*(1-$B$94)/H1948),"")</f>
        <v/>
      </c>
      <c r="M1948" s="13">
        <f>IF(AND(ISNUMBER(J1948),ISNUMBER(K1948),ISNUMBER(L1948)),IF(J1948&gt;L1948,"boven UCL",IF(J1948&lt;K1948,"onder LCL","")),"")</f>
        <v/>
      </c>
      <c r="O1948" t="n">
        <v>1842</v>
      </c>
      <c r="P1948" s="7" t="n"/>
      <c r="Q1948" s="7" t="n"/>
      <c r="R1948" s="11">
        <f>IF(AND(ISNUMBER(P1948),ISNUMBER(Q1948),P1948&gt;0,ISNUMBER($B$100)),Q1948/P1948,"")</f>
        <v/>
      </c>
      <c r="S1948" s="11">
        <f>IF(AND(ISNUMBER(P1948),ISNUMBER(Q1948),P1948&gt;0,ISNUMBER($B$100)),MAX(0,$B$100-3*SQRT($B$100/P1948)),"")</f>
        <v/>
      </c>
      <c r="T1948" s="11">
        <f>IF(AND(ISNUMBER(P1948),ISNUMBER(Q1948),P1948&gt;0,ISNUMBER($B$100)),$B$100+3*SQRT($B$100/P1948),"")</f>
        <v/>
      </c>
      <c r="U1948" s="13">
        <f>IF(AND(ISNUMBER(R1948),ISNUMBER(S1948),ISNUMBER(T1948)),IF(R1948&gt;T1948,"boven UCL",IF(R1948&lt;S1948,"onder LCL","")),"")</f>
        <v/>
      </c>
    </row>
    <row r="1949">
      <c r="A1949" t="n">
        <v>1843</v>
      </c>
      <c r="B1949" s="7" t="n"/>
      <c r="C1949" s="11">
        <f>IF(AND(ISNUMBER(B1949),ISNUMBER(B1948)),ABS(B1949-B1948),"")</f>
        <v/>
      </c>
      <c r="D1949" s="13">
        <f>IF(AND(ISNUMBER(B1949),ISNUMBER($B$88),ISNUMBER($D$88)),IF(B1949&gt;$D$88,"boven UCL",IF(B1949&lt;$B$88,"onder LCL","")),"")</f>
        <v/>
      </c>
      <c r="E1949" s="13">
        <f>IF(AND(ISNUMBER(C1949),ISNUMBER($B$89),ISNUMBER($D$89)),IF(C1949&gt;$D$89,"boven UCL",IF(C1949&lt;$B$89,"onder LCL","")),"")</f>
        <v/>
      </c>
      <c r="G1949" t="n">
        <v>1843</v>
      </c>
      <c r="H1949" s="7" t="n"/>
      <c r="I1949" s="7" t="n"/>
      <c r="J1949" s="11">
        <f>IF(AND(ISNUMBER(H1949),ISNUMBER(I1949),H1949&gt;0,ISNUMBER($B$94)),I1949/H1949,"")</f>
        <v/>
      </c>
      <c r="K1949" s="11">
        <f>IF(AND(ISNUMBER(H1949),ISNUMBER(I1949),H1949&gt;0,ISNUMBER($B$94)),MAX(0,$B$94-3*SQRT($B$94*(1-$B$94)/H1949)),"")</f>
        <v/>
      </c>
      <c r="L1949" s="11">
        <f>IF(AND(ISNUMBER(H1949),ISNUMBER(I1949),H1949&gt;0,ISNUMBER($B$94)),$B$94+3*SQRT($B$94*(1-$B$94)/H1949),"")</f>
        <v/>
      </c>
      <c r="M1949" s="13">
        <f>IF(AND(ISNUMBER(J1949),ISNUMBER(K1949),ISNUMBER(L1949)),IF(J1949&gt;L1949,"boven UCL",IF(J1949&lt;K1949,"onder LCL","")),"")</f>
        <v/>
      </c>
      <c r="O1949" t="n">
        <v>1843</v>
      </c>
      <c r="P1949" s="7" t="n"/>
      <c r="Q1949" s="7" t="n"/>
      <c r="R1949" s="11">
        <f>IF(AND(ISNUMBER(P1949),ISNUMBER(Q1949),P1949&gt;0,ISNUMBER($B$100)),Q1949/P1949,"")</f>
        <v/>
      </c>
      <c r="S1949" s="11">
        <f>IF(AND(ISNUMBER(P1949),ISNUMBER(Q1949),P1949&gt;0,ISNUMBER($B$100)),MAX(0,$B$100-3*SQRT($B$100/P1949)),"")</f>
        <v/>
      </c>
      <c r="T1949" s="11">
        <f>IF(AND(ISNUMBER(P1949),ISNUMBER(Q1949),P1949&gt;0,ISNUMBER($B$100)),$B$100+3*SQRT($B$100/P1949),"")</f>
        <v/>
      </c>
      <c r="U1949" s="13">
        <f>IF(AND(ISNUMBER(R1949),ISNUMBER(S1949),ISNUMBER(T1949)),IF(R1949&gt;T1949,"boven UCL",IF(R1949&lt;S1949,"onder LCL","")),"")</f>
        <v/>
      </c>
    </row>
    <row r="1950">
      <c r="A1950" t="n">
        <v>1844</v>
      </c>
      <c r="B1950" s="7" t="n"/>
      <c r="C1950" s="11">
        <f>IF(AND(ISNUMBER(B1950),ISNUMBER(B1949)),ABS(B1950-B1949),"")</f>
        <v/>
      </c>
      <c r="D1950" s="13">
        <f>IF(AND(ISNUMBER(B1950),ISNUMBER($B$88),ISNUMBER($D$88)),IF(B1950&gt;$D$88,"boven UCL",IF(B1950&lt;$B$88,"onder LCL","")),"")</f>
        <v/>
      </c>
      <c r="E1950" s="13">
        <f>IF(AND(ISNUMBER(C1950),ISNUMBER($B$89),ISNUMBER($D$89)),IF(C1950&gt;$D$89,"boven UCL",IF(C1950&lt;$B$89,"onder LCL","")),"")</f>
        <v/>
      </c>
      <c r="G1950" t="n">
        <v>1844</v>
      </c>
      <c r="H1950" s="7" t="n"/>
      <c r="I1950" s="7" t="n"/>
      <c r="J1950" s="11">
        <f>IF(AND(ISNUMBER(H1950),ISNUMBER(I1950),H1950&gt;0,ISNUMBER($B$94)),I1950/H1950,"")</f>
        <v/>
      </c>
      <c r="K1950" s="11">
        <f>IF(AND(ISNUMBER(H1950),ISNUMBER(I1950),H1950&gt;0,ISNUMBER($B$94)),MAX(0,$B$94-3*SQRT($B$94*(1-$B$94)/H1950)),"")</f>
        <v/>
      </c>
      <c r="L1950" s="11">
        <f>IF(AND(ISNUMBER(H1950),ISNUMBER(I1950),H1950&gt;0,ISNUMBER($B$94)),$B$94+3*SQRT($B$94*(1-$B$94)/H1950),"")</f>
        <v/>
      </c>
      <c r="M1950" s="13">
        <f>IF(AND(ISNUMBER(J1950),ISNUMBER(K1950),ISNUMBER(L1950)),IF(J1950&gt;L1950,"boven UCL",IF(J1950&lt;K1950,"onder LCL","")),"")</f>
        <v/>
      </c>
      <c r="O1950" t="n">
        <v>1844</v>
      </c>
      <c r="P1950" s="7" t="n"/>
      <c r="Q1950" s="7" t="n"/>
      <c r="R1950" s="11">
        <f>IF(AND(ISNUMBER(P1950),ISNUMBER(Q1950),P1950&gt;0,ISNUMBER($B$100)),Q1950/P1950,"")</f>
        <v/>
      </c>
      <c r="S1950" s="11">
        <f>IF(AND(ISNUMBER(P1950),ISNUMBER(Q1950),P1950&gt;0,ISNUMBER($B$100)),MAX(0,$B$100-3*SQRT($B$100/P1950)),"")</f>
        <v/>
      </c>
      <c r="T1950" s="11">
        <f>IF(AND(ISNUMBER(P1950),ISNUMBER(Q1950),P1950&gt;0,ISNUMBER($B$100)),$B$100+3*SQRT($B$100/P1950),"")</f>
        <v/>
      </c>
      <c r="U1950" s="13">
        <f>IF(AND(ISNUMBER(R1950),ISNUMBER(S1950),ISNUMBER(T1950)),IF(R1950&gt;T1950,"boven UCL",IF(R1950&lt;S1950,"onder LCL","")),"")</f>
        <v/>
      </c>
    </row>
    <row r="1951">
      <c r="A1951" t="n">
        <v>1845</v>
      </c>
      <c r="B1951" s="7" t="n"/>
      <c r="C1951" s="11">
        <f>IF(AND(ISNUMBER(B1951),ISNUMBER(B1950)),ABS(B1951-B1950),"")</f>
        <v/>
      </c>
      <c r="D1951" s="13">
        <f>IF(AND(ISNUMBER(B1951),ISNUMBER($B$88),ISNUMBER($D$88)),IF(B1951&gt;$D$88,"boven UCL",IF(B1951&lt;$B$88,"onder LCL","")),"")</f>
        <v/>
      </c>
      <c r="E1951" s="13">
        <f>IF(AND(ISNUMBER(C1951),ISNUMBER($B$89),ISNUMBER($D$89)),IF(C1951&gt;$D$89,"boven UCL",IF(C1951&lt;$B$89,"onder LCL","")),"")</f>
        <v/>
      </c>
      <c r="G1951" t="n">
        <v>1845</v>
      </c>
      <c r="H1951" s="7" t="n"/>
      <c r="I1951" s="7" t="n"/>
      <c r="J1951" s="11">
        <f>IF(AND(ISNUMBER(H1951),ISNUMBER(I1951),H1951&gt;0,ISNUMBER($B$94)),I1951/H1951,"")</f>
        <v/>
      </c>
      <c r="K1951" s="11">
        <f>IF(AND(ISNUMBER(H1951),ISNUMBER(I1951),H1951&gt;0,ISNUMBER($B$94)),MAX(0,$B$94-3*SQRT($B$94*(1-$B$94)/H1951)),"")</f>
        <v/>
      </c>
      <c r="L1951" s="11">
        <f>IF(AND(ISNUMBER(H1951),ISNUMBER(I1951),H1951&gt;0,ISNUMBER($B$94)),$B$94+3*SQRT($B$94*(1-$B$94)/H1951),"")</f>
        <v/>
      </c>
      <c r="M1951" s="13">
        <f>IF(AND(ISNUMBER(J1951),ISNUMBER(K1951),ISNUMBER(L1951)),IF(J1951&gt;L1951,"boven UCL",IF(J1951&lt;K1951,"onder LCL","")),"")</f>
        <v/>
      </c>
      <c r="O1951" t="n">
        <v>1845</v>
      </c>
      <c r="P1951" s="7" t="n"/>
      <c r="Q1951" s="7" t="n"/>
      <c r="R1951" s="11">
        <f>IF(AND(ISNUMBER(P1951),ISNUMBER(Q1951),P1951&gt;0,ISNUMBER($B$100)),Q1951/P1951,"")</f>
        <v/>
      </c>
      <c r="S1951" s="11">
        <f>IF(AND(ISNUMBER(P1951),ISNUMBER(Q1951),P1951&gt;0,ISNUMBER($B$100)),MAX(0,$B$100-3*SQRT($B$100/P1951)),"")</f>
        <v/>
      </c>
      <c r="T1951" s="11">
        <f>IF(AND(ISNUMBER(P1951),ISNUMBER(Q1951),P1951&gt;0,ISNUMBER($B$100)),$B$100+3*SQRT($B$100/P1951),"")</f>
        <v/>
      </c>
      <c r="U1951" s="13">
        <f>IF(AND(ISNUMBER(R1951),ISNUMBER(S1951),ISNUMBER(T1951)),IF(R1951&gt;T1951,"boven UCL",IF(R1951&lt;S1951,"onder LCL","")),"")</f>
        <v/>
      </c>
    </row>
    <row r="1952">
      <c r="A1952" t="n">
        <v>1846</v>
      </c>
      <c r="B1952" s="7" t="n"/>
      <c r="C1952" s="11">
        <f>IF(AND(ISNUMBER(B1952),ISNUMBER(B1951)),ABS(B1952-B1951),"")</f>
        <v/>
      </c>
      <c r="D1952" s="13">
        <f>IF(AND(ISNUMBER(B1952),ISNUMBER($B$88),ISNUMBER($D$88)),IF(B1952&gt;$D$88,"boven UCL",IF(B1952&lt;$B$88,"onder LCL","")),"")</f>
        <v/>
      </c>
      <c r="E1952" s="13">
        <f>IF(AND(ISNUMBER(C1952),ISNUMBER($B$89),ISNUMBER($D$89)),IF(C1952&gt;$D$89,"boven UCL",IF(C1952&lt;$B$89,"onder LCL","")),"")</f>
        <v/>
      </c>
      <c r="G1952" t="n">
        <v>1846</v>
      </c>
      <c r="H1952" s="7" t="n"/>
      <c r="I1952" s="7" t="n"/>
      <c r="J1952" s="11">
        <f>IF(AND(ISNUMBER(H1952),ISNUMBER(I1952),H1952&gt;0,ISNUMBER($B$94)),I1952/H1952,"")</f>
        <v/>
      </c>
      <c r="K1952" s="11">
        <f>IF(AND(ISNUMBER(H1952),ISNUMBER(I1952),H1952&gt;0,ISNUMBER($B$94)),MAX(0,$B$94-3*SQRT($B$94*(1-$B$94)/H1952)),"")</f>
        <v/>
      </c>
      <c r="L1952" s="11">
        <f>IF(AND(ISNUMBER(H1952),ISNUMBER(I1952),H1952&gt;0,ISNUMBER($B$94)),$B$94+3*SQRT($B$94*(1-$B$94)/H1952),"")</f>
        <v/>
      </c>
      <c r="M1952" s="13">
        <f>IF(AND(ISNUMBER(J1952),ISNUMBER(K1952),ISNUMBER(L1952)),IF(J1952&gt;L1952,"boven UCL",IF(J1952&lt;K1952,"onder LCL","")),"")</f>
        <v/>
      </c>
      <c r="O1952" t="n">
        <v>1846</v>
      </c>
      <c r="P1952" s="7" t="n"/>
      <c r="Q1952" s="7" t="n"/>
      <c r="R1952" s="11">
        <f>IF(AND(ISNUMBER(P1952),ISNUMBER(Q1952),P1952&gt;0,ISNUMBER($B$100)),Q1952/P1952,"")</f>
        <v/>
      </c>
      <c r="S1952" s="11">
        <f>IF(AND(ISNUMBER(P1952),ISNUMBER(Q1952),P1952&gt;0,ISNUMBER($B$100)),MAX(0,$B$100-3*SQRT($B$100/P1952)),"")</f>
        <v/>
      </c>
      <c r="T1952" s="11">
        <f>IF(AND(ISNUMBER(P1952),ISNUMBER(Q1952),P1952&gt;0,ISNUMBER($B$100)),$B$100+3*SQRT($B$100/P1952),"")</f>
        <v/>
      </c>
      <c r="U1952" s="13">
        <f>IF(AND(ISNUMBER(R1952),ISNUMBER(S1952),ISNUMBER(T1952)),IF(R1952&gt;T1952,"boven UCL",IF(R1952&lt;S1952,"onder LCL","")),"")</f>
        <v/>
      </c>
    </row>
    <row r="1953">
      <c r="A1953" t="n">
        <v>1847</v>
      </c>
      <c r="B1953" s="7" t="n"/>
      <c r="C1953" s="11">
        <f>IF(AND(ISNUMBER(B1953),ISNUMBER(B1952)),ABS(B1953-B1952),"")</f>
        <v/>
      </c>
      <c r="D1953" s="13">
        <f>IF(AND(ISNUMBER(B1953),ISNUMBER($B$88),ISNUMBER($D$88)),IF(B1953&gt;$D$88,"boven UCL",IF(B1953&lt;$B$88,"onder LCL","")),"")</f>
        <v/>
      </c>
      <c r="E1953" s="13">
        <f>IF(AND(ISNUMBER(C1953),ISNUMBER($B$89),ISNUMBER($D$89)),IF(C1953&gt;$D$89,"boven UCL",IF(C1953&lt;$B$89,"onder LCL","")),"")</f>
        <v/>
      </c>
      <c r="G1953" t="n">
        <v>1847</v>
      </c>
      <c r="H1953" s="7" t="n"/>
      <c r="I1953" s="7" t="n"/>
      <c r="J1953" s="11">
        <f>IF(AND(ISNUMBER(H1953),ISNUMBER(I1953),H1953&gt;0,ISNUMBER($B$94)),I1953/H1953,"")</f>
        <v/>
      </c>
      <c r="K1953" s="11">
        <f>IF(AND(ISNUMBER(H1953),ISNUMBER(I1953),H1953&gt;0,ISNUMBER($B$94)),MAX(0,$B$94-3*SQRT($B$94*(1-$B$94)/H1953)),"")</f>
        <v/>
      </c>
      <c r="L1953" s="11">
        <f>IF(AND(ISNUMBER(H1953),ISNUMBER(I1953),H1953&gt;0,ISNUMBER($B$94)),$B$94+3*SQRT($B$94*(1-$B$94)/H1953),"")</f>
        <v/>
      </c>
      <c r="M1953" s="13">
        <f>IF(AND(ISNUMBER(J1953),ISNUMBER(K1953),ISNUMBER(L1953)),IF(J1953&gt;L1953,"boven UCL",IF(J1953&lt;K1953,"onder LCL","")),"")</f>
        <v/>
      </c>
      <c r="O1953" t="n">
        <v>1847</v>
      </c>
      <c r="P1953" s="7" t="n"/>
      <c r="Q1953" s="7" t="n"/>
      <c r="R1953" s="11">
        <f>IF(AND(ISNUMBER(P1953),ISNUMBER(Q1953),P1953&gt;0,ISNUMBER($B$100)),Q1953/P1953,"")</f>
        <v/>
      </c>
      <c r="S1953" s="11">
        <f>IF(AND(ISNUMBER(P1953),ISNUMBER(Q1953),P1953&gt;0,ISNUMBER($B$100)),MAX(0,$B$100-3*SQRT($B$100/P1953)),"")</f>
        <v/>
      </c>
      <c r="T1953" s="11">
        <f>IF(AND(ISNUMBER(P1953),ISNUMBER(Q1953),P1953&gt;0,ISNUMBER($B$100)),$B$100+3*SQRT($B$100/P1953),"")</f>
        <v/>
      </c>
      <c r="U1953" s="13">
        <f>IF(AND(ISNUMBER(R1953),ISNUMBER(S1953),ISNUMBER(T1953)),IF(R1953&gt;T1953,"boven UCL",IF(R1953&lt;S1953,"onder LCL","")),"")</f>
        <v/>
      </c>
    </row>
    <row r="1954">
      <c r="A1954" t="n">
        <v>1848</v>
      </c>
      <c r="B1954" s="7" t="n"/>
      <c r="C1954" s="11">
        <f>IF(AND(ISNUMBER(B1954),ISNUMBER(B1953)),ABS(B1954-B1953),"")</f>
        <v/>
      </c>
      <c r="D1954" s="13">
        <f>IF(AND(ISNUMBER(B1954),ISNUMBER($B$88),ISNUMBER($D$88)),IF(B1954&gt;$D$88,"boven UCL",IF(B1954&lt;$B$88,"onder LCL","")),"")</f>
        <v/>
      </c>
      <c r="E1954" s="13">
        <f>IF(AND(ISNUMBER(C1954),ISNUMBER($B$89),ISNUMBER($D$89)),IF(C1954&gt;$D$89,"boven UCL",IF(C1954&lt;$B$89,"onder LCL","")),"")</f>
        <v/>
      </c>
      <c r="G1954" t="n">
        <v>1848</v>
      </c>
      <c r="H1954" s="7" t="n"/>
      <c r="I1954" s="7" t="n"/>
      <c r="J1954" s="11">
        <f>IF(AND(ISNUMBER(H1954),ISNUMBER(I1954),H1954&gt;0,ISNUMBER($B$94)),I1954/H1954,"")</f>
        <v/>
      </c>
      <c r="K1954" s="11">
        <f>IF(AND(ISNUMBER(H1954),ISNUMBER(I1954),H1954&gt;0,ISNUMBER($B$94)),MAX(0,$B$94-3*SQRT($B$94*(1-$B$94)/H1954)),"")</f>
        <v/>
      </c>
      <c r="L1954" s="11">
        <f>IF(AND(ISNUMBER(H1954),ISNUMBER(I1954),H1954&gt;0,ISNUMBER($B$94)),$B$94+3*SQRT($B$94*(1-$B$94)/H1954),"")</f>
        <v/>
      </c>
      <c r="M1954" s="13">
        <f>IF(AND(ISNUMBER(J1954),ISNUMBER(K1954),ISNUMBER(L1954)),IF(J1954&gt;L1954,"boven UCL",IF(J1954&lt;K1954,"onder LCL","")),"")</f>
        <v/>
      </c>
      <c r="O1954" t="n">
        <v>1848</v>
      </c>
      <c r="P1954" s="7" t="n"/>
      <c r="Q1954" s="7" t="n"/>
      <c r="R1954" s="11">
        <f>IF(AND(ISNUMBER(P1954),ISNUMBER(Q1954),P1954&gt;0,ISNUMBER($B$100)),Q1954/P1954,"")</f>
        <v/>
      </c>
      <c r="S1954" s="11">
        <f>IF(AND(ISNUMBER(P1954),ISNUMBER(Q1954),P1954&gt;0,ISNUMBER($B$100)),MAX(0,$B$100-3*SQRT($B$100/P1954)),"")</f>
        <v/>
      </c>
      <c r="T1954" s="11">
        <f>IF(AND(ISNUMBER(P1954),ISNUMBER(Q1954),P1954&gt;0,ISNUMBER($B$100)),$B$100+3*SQRT($B$100/P1954),"")</f>
        <v/>
      </c>
      <c r="U1954" s="13">
        <f>IF(AND(ISNUMBER(R1954),ISNUMBER(S1954),ISNUMBER(T1954)),IF(R1954&gt;T1954,"boven UCL",IF(R1954&lt;S1954,"onder LCL","")),"")</f>
        <v/>
      </c>
    </row>
    <row r="1955">
      <c r="A1955" t="n">
        <v>1849</v>
      </c>
      <c r="B1955" s="7" t="n"/>
      <c r="C1955" s="11">
        <f>IF(AND(ISNUMBER(B1955),ISNUMBER(B1954)),ABS(B1955-B1954),"")</f>
        <v/>
      </c>
      <c r="D1955" s="13">
        <f>IF(AND(ISNUMBER(B1955),ISNUMBER($B$88),ISNUMBER($D$88)),IF(B1955&gt;$D$88,"boven UCL",IF(B1955&lt;$B$88,"onder LCL","")),"")</f>
        <v/>
      </c>
      <c r="E1955" s="13">
        <f>IF(AND(ISNUMBER(C1955),ISNUMBER($B$89),ISNUMBER($D$89)),IF(C1955&gt;$D$89,"boven UCL",IF(C1955&lt;$B$89,"onder LCL","")),"")</f>
        <v/>
      </c>
      <c r="G1955" t="n">
        <v>1849</v>
      </c>
      <c r="H1955" s="7" t="n"/>
      <c r="I1955" s="7" t="n"/>
      <c r="J1955" s="11">
        <f>IF(AND(ISNUMBER(H1955),ISNUMBER(I1955),H1955&gt;0,ISNUMBER($B$94)),I1955/H1955,"")</f>
        <v/>
      </c>
      <c r="K1955" s="11">
        <f>IF(AND(ISNUMBER(H1955),ISNUMBER(I1955),H1955&gt;0,ISNUMBER($B$94)),MAX(0,$B$94-3*SQRT($B$94*(1-$B$94)/H1955)),"")</f>
        <v/>
      </c>
      <c r="L1955" s="11">
        <f>IF(AND(ISNUMBER(H1955),ISNUMBER(I1955),H1955&gt;0,ISNUMBER($B$94)),$B$94+3*SQRT($B$94*(1-$B$94)/H1955),"")</f>
        <v/>
      </c>
      <c r="M1955" s="13">
        <f>IF(AND(ISNUMBER(J1955),ISNUMBER(K1955),ISNUMBER(L1955)),IF(J1955&gt;L1955,"boven UCL",IF(J1955&lt;K1955,"onder LCL","")),"")</f>
        <v/>
      </c>
      <c r="O1955" t="n">
        <v>1849</v>
      </c>
      <c r="P1955" s="7" t="n"/>
      <c r="Q1955" s="7" t="n"/>
      <c r="R1955" s="11">
        <f>IF(AND(ISNUMBER(P1955),ISNUMBER(Q1955),P1955&gt;0,ISNUMBER($B$100)),Q1955/P1955,"")</f>
        <v/>
      </c>
      <c r="S1955" s="11">
        <f>IF(AND(ISNUMBER(P1955),ISNUMBER(Q1955),P1955&gt;0,ISNUMBER($B$100)),MAX(0,$B$100-3*SQRT($B$100/P1955)),"")</f>
        <v/>
      </c>
      <c r="T1955" s="11">
        <f>IF(AND(ISNUMBER(P1955),ISNUMBER(Q1955),P1955&gt;0,ISNUMBER($B$100)),$B$100+3*SQRT($B$100/P1955),"")</f>
        <v/>
      </c>
      <c r="U1955" s="13">
        <f>IF(AND(ISNUMBER(R1955),ISNUMBER(S1955),ISNUMBER(T1955)),IF(R1955&gt;T1955,"boven UCL",IF(R1955&lt;S1955,"onder LCL","")),"")</f>
        <v/>
      </c>
    </row>
    <row r="1956">
      <c r="A1956" t="n">
        <v>1850</v>
      </c>
      <c r="B1956" s="7" t="n"/>
      <c r="C1956" s="11">
        <f>IF(AND(ISNUMBER(B1956),ISNUMBER(B1955)),ABS(B1956-B1955),"")</f>
        <v/>
      </c>
      <c r="D1956" s="13">
        <f>IF(AND(ISNUMBER(B1956),ISNUMBER($B$88),ISNUMBER($D$88)),IF(B1956&gt;$D$88,"boven UCL",IF(B1956&lt;$B$88,"onder LCL","")),"")</f>
        <v/>
      </c>
      <c r="E1956" s="13">
        <f>IF(AND(ISNUMBER(C1956),ISNUMBER($B$89),ISNUMBER($D$89)),IF(C1956&gt;$D$89,"boven UCL",IF(C1956&lt;$B$89,"onder LCL","")),"")</f>
        <v/>
      </c>
      <c r="G1956" t="n">
        <v>1850</v>
      </c>
      <c r="H1956" s="7" t="n"/>
      <c r="I1956" s="7" t="n"/>
      <c r="J1956" s="11">
        <f>IF(AND(ISNUMBER(H1956),ISNUMBER(I1956),H1956&gt;0,ISNUMBER($B$94)),I1956/H1956,"")</f>
        <v/>
      </c>
      <c r="K1956" s="11">
        <f>IF(AND(ISNUMBER(H1956),ISNUMBER(I1956),H1956&gt;0,ISNUMBER($B$94)),MAX(0,$B$94-3*SQRT($B$94*(1-$B$94)/H1956)),"")</f>
        <v/>
      </c>
      <c r="L1956" s="11">
        <f>IF(AND(ISNUMBER(H1956),ISNUMBER(I1956),H1956&gt;0,ISNUMBER($B$94)),$B$94+3*SQRT($B$94*(1-$B$94)/H1956),"")</f>
        <v/>
      </c>
      <c r="M1956" s="13">
        <f>IF(AND(ISNUMBER(J1956),ISNUMBER(K1956),ISNUMBER(L1956)),IF(J1956&gt;L1956,"boven UCL",IF(J1956&lt;K1956,"onder LCL","")),"")</f>
        <v/>
      </c>
      <c r="O1956" t="n">
        <v>1850</v>
      </c>
      <c r="P1956" s="7" t="n"/>
      <c r="Q1956" s="7" t="n"/>
      <c r="R1956" s="11">
        <f>IF(AND(ISNUMBER(P1956),ISNUMBER(Q1956),P1956&gt;0,ISNUMBER($B$100)),Q1956/P1956,"")</f>
        <v/>
      </c>
      <c r="S1956" s="11">
        <f>IF(AND(ISNUMBER(P1956),ISNUMBER(Q1956),P1956&gt;0,ISNUMBER($B$100)),MAX(0,$B$100-3*SQRT($B$100/P1956)),"")</f>
        <v/>
      </c>
      <c r="T1956" s="11">
        <f>IF(AND(ISNUMBER(P1956),ISNUMBER(Q1956),P1956&gt;0,ISNUMBER($B$100)),$B$100+3*SQRT($B$100/P1956),"")</f>
        <v/>
      </c>
      <c r="U1956" s="13">
        <f>IF(AND(ISNUMBER(R1956),ISNUMBER(S1956),ISNUMBER(T1956)),IF(R1956&gt;T1956,"boven UCL",IF(R1956&lt;S1956,"onder LCL","")),"")</f>
        <v/>
      </c>
    </row>
    <row r="1957">
      <c r="A1957" t="n">
        <v>1851</v>
      </c>
      <c r="B1957" s="7" t="n"/>
      <c r="C1957" s="11">
        <f>IF(AND(ISNUMBER(B1957),ISNUMBER(B1956)),ABS(B1957-B1956),"")</f>
        <v/>
      </c>
      <c r="D1957" s="13">
        <f>IF(AND(ISNUMBER(B1957),ISNUMBER($B$88),ISNUMBER($D$88)),IF(B1957&gt;$D$88,"boven UCL",IF(B1957&lt;$B$88,"onder LCL","")),"")</f>
        <v/>
      </c>
      <c r="E1957" s="13">
        <f>IF(AND(ISNUMBER(C1957),ISNUMBER($B$89),ISNUMBER($D$89)),IF(C1957&gt;$D$89,"boven UCL",IF(C1957&lt;$B$89,"onder LCL","")),"")</f>
        <v/>
      </c>
      <c r="G1957" t="n">
        <v>1851</v>
      </c>
      <c r="H1957" s="7" t="n"/>
      <c r="I1957" s="7" t="n"/>
      <c r="J1957" s="11">
        <f>IF(AND(ISNUMBER(H1957),ISNUMBER(I1957),H1957&gt;0,ISNUMBER($B$94)),I1957/H1957,"")</f>
        <v/>
      </c>
      <c r="K1957" s="11">
        <f>IF(AND(ISNUMBER(H1957),ISNUMBER(I1957),H1957&gt;0,ISNUMBER($B$94)),MAX(0,$B$94-3*SQRT($B$94*(1-$B$94)/H1957)),"")</f>
        <v/>
      </c>
      <c r="L1957" s="11">
        <f>IF(AND(ISNUMBER(H1957),ISNUMBER(I1957),H1957&gt;0,ISNUMBER($B$94)),$B$94+3*SQRT($B$94*(1-$B$94)/H1957),"")</f>
        <v/>
      </c>
      <c r="M1957" s="13">
        <f>IF(AND(ISNUMBER(J1957),ISNUMBER(K1957),ISNUMBER(L1957)),IF(J1957&gt;L1957,"boven UCL",IF(J1957&lt;K1957,"onder LCL","")),"")</f>
        <v/>
      </c>
      <c r="O1957" t="n">
        <v>1851</v>
      </c>
      <c r="P1957" s="7" t="n"/>
      <c r="Q1957" s="7" t="n"/>
      <c r="R1957" s="11">
        <f>IF(AND(ISNUMBER(P1957),ISNUMBER(Q1957),P1957&gt;0,ISNUMBER($B$100)),Q1957/P1957,"")</f>
        <v/>
      </c>
      <c r="S1957" s="11">
        <f>IF(AND(ISNUMBER(P1957),ISNUMBER(Q1957),P1957&gt;0,ISNUMBER($B$100)),MAX(0,$B$100-3*SQRT($B$100/P1957)),"")</f>
        <v/>
      </c>
      <c r="T1957" s="11">
        <f>IF(AND(ISNUMBER(P1957),ISNUMBER(Q1957),P1957&gt;0,ISNUMBER($B$100)),$B$100+3*SQRT($B$100/P1957),"")</f>
        <v/>
      </c>
      <c r="U1957" s="13">
        <f>IF(AND(ISNUMBER(R1957),ISNUMBER(S1957),ISNUMBER(T1957)),IF(R1957&gt;T1957,"boven UCL",IF(R1957&lt;S1957,"onder LCL","")),"")</f>
        <v/>
      </c>
    </row>
    <row r="1958">
      <c r="A1958" t="n">
        <v>1852</v>
      </c>
      <c r="B1958" s="7" t="n"/>
      <c r="C1958" s="11">
        <f>IF(AND(ISNUMBER(B1958),ISNUMBER(B1957)),ABS(B1958-B1957),"")</f>
        <v/>
      </c>
      <c r="D1958" s="13">
        <f>IF(AND(ISNUMBER(B1958),ISNUMBER($B$88),ISNUMBER($D$88)),IF(B1958&gt;$D$88,"boven UCL",IF(B1958&lt;$B$88,"onder LCL","")),"")</f>
        <v/>
      </c>
      <c r="E1958" s="13">
        <f>IF(AND(ISNUMBER(C1958),ISNUMBER($B$89),ISNUMBER($D$89)),IF(C1958&gt;$D$89,"boven UCL",IF(C1958&lt;$B$89,"onder LCL","")),"")</f>
        <v/>
      </c>
      <c r="G1958" t="n">
        <v>1852</v>
      </c>
      <c r="H1958" s="7" t="n"/>
      <c r="I1958" s="7" t="n"/>
      <c r="J1958" s="11">
        <f>IF(AND(ISNUMBER(H1958),ISNUMBER(I1958),H1958&gt;0,ISNUMBER($B$94)),I1958/H1958,"")</f>
        <v/>
      </c>
      <c r="K1958" s="11">
        <f>IF(AND(ISNUMBER(H1958),ISNUMBER(I1958),H1958&gt;0,ISNUMBER($B$94)),MAX(0,$B$94-3*SQRT($B$94*(1-$B$94)/H1958)),"")</f>
        <v/>
      </c>
      <c r="L1958" s="11">
        <f>IF(AND(ISNUMBER(H1958),ISNUMBER(I1958),H1958&gt;0,ISNUMBER($B$94)),$B$94+3*SQRT($B$94*(1-$B$94)/H1958),"")</f>
        <v/>
      </c>
      <c r="M1958" s="13">
        <f>IF(AND(ISNUMBER(J1958),ISNUMBER(K1958),ISNUMBER(L1958)),IF(J1958&gt;L1958,"boven UCL",IF(J1958&lt;K1958,"onder LCL","")),"")</f>
        <v/>
      </c>
      <c r="O1958" t="n">
        <v>1852</v>
      </c>
      <c r="P1958" s="7" t="n"/>
      <c r="Q1958" s="7" t="n"/>
      <c r="R1958" s="11">
        <f>IF(AND(ISNUMBER(P1958),ISNUMBER(Q1958),P1958&gt;0,ISNUMBER($B$100)),Q1958/P1958,"")</f>
        <v/>
      </c>
      <c r="S1958" s="11">
        <f>IF(AND(ISNUMBER(P1958),ISNUMBER(Q1958),P1958&gt;0,ISNUMBER($B$100)),MAX(0,$B$100-3*SQRT($B$100/P1958)),"")</f>
        <v/>
      </c>
      <c r="T1958" s="11">
        <f>IF(AND(ISNUMBER(P1958),ISNUMBER(Q1958),P1958&gt;0,ISNUMBER($B$100)),$B$100+3*SQRT($B$100/P1958),"")</f>
        <v/>
      </c>
      <c r="U1958" s="13">
        <f>IF(AND(ISNUMBER(R1958),ISNUMBER(S1958),ISNUMBER(T1958)),IF(R1958&gt;T1958,"boven UCL",IF(R1958&lt;S1958,"onder LCL","")),"")</f>
        <v/>
      </c>
    </row>
    <row r="1959">
      <c r="A1959" t="n">
        <v>1853</v>
      </c>
      <c r="B1959" s="7" t="n"/>
      <c r="C1959" s="11">
        <f>IF(AND(ISNUMBER(B1959),ISNUMBER(B1958)),ABS(B1959-B1958),"")</f>
        <v/>
      </c>
      <c r="D1959" s="13">
        <f>IF(AND(ISNUMBER(B1959),ISNUMBER($B$88),ISNUMBER($D$88)),IF(B1959&gt;$D$88,"boven UCL",IF(B1959&lt;$B$88,"onder LCL","")),"")</f>
        <v/>
      </c>
      <c r="E1959" s="13">
        <f>IF(AND(ISNUMBER(C1959),ISNUMBER($B$89),ISNUMBER($D$89)),IF(C1959&gt;$D$89,"boven UCL",IF(C1959&lt;$B$89,"onder LCL","")),"")</f>
        <v/>
      </c>
      <c r="G1959" t="n">
        <v>1853</v>
      </c>
      <c r="H1959" s="7" t="n"/>
      <c r="I1959" s="7" t="n"/>
      <c r="J1959" s="11">
        <f>IF(AND(ISNUMBER(H1959),ISNUMBER(I1959),H1959&gt;0,ISNUMBER($B$94)),I1959/H1959,"")</f>
        <v/>
      </c>
      <c r="K1959" s="11">
        <f>IF(AND(ISNUMBER(H1959),ISNUMBER(I1959),H1959&gt;0,ISNUMBER($B$94)),MAX(0,$B$94-3*SQRT($B$94*(1-$B$94)/H1959)),"")</f>
        <v/>
      </c>
      <c r="L1959" s="11">
        <f>IF(AND(ISNUMBER(H1959),ISNUMBER(I1959),H1959&gt;0,ISNUMBER($B$94)),$B$94+3*SQRT($B$94*(1-$B$94)/H1959),"")</f>
        <v/>
      </c>
      <c r="M1959" s="13">
        <f>IF(AND(ISNUMBER(J1959),ISNUMBER(K1959),ISNUMBER(L1959)),IF(J1959&gt;L1959,"boven UCL",IF(J1959&lt;K1959,"onder LCL","")),"")</f>
        <v/>
      </c>
      <c r="O1959" t="n">
        <v>1853</v>
      </c>
      <c r="P1959" s="7" t="n"/>
      <c r="Q1959" s="7" t="n"/>
      <c r="R1959" s="11">
        <f>IF(AND(ISNUMBER(P1959),ISNUMBER(Q1959),P1959&gt;0,ISNUMBER($B$100)),Q1959/P1959,"")</f>
        <v/>
      </c>
      <c r="S1959" s="11">
        <f>IF(AND(ISNUMBER(P1959),ISNUMBER(Q1959),P1959&gt;0,ISNUMBER($B$100)),MAX(0,$B$100-3*SQRT($B$100/P1959)),"")</f>
        <v/>
      </c>
      <c r="T1959" s="11">
        <f>IF(AND(ISNUMBER(P1959),ISNUMBER(Q1959),P1959&gt;0,ISNUMBER($B$100)),$B$100+3*SQRT($B$100/P1959),"")</f>
        <v/>
      </c>
      <c r="U1959" s="13">
        <f>IF(AND(ISNUMBER(R1959),ISNUMBER(S1959),ISNUMBER(T1959)),IF(R1959&gt;T1959,"boven UCL",IF(R1959&lt;S1959,"onder LCL","")),"")</f>
        <v/>
      </c>
    </row>
    <row r="1960">
      <c r="A1960" t="n">
        <v>1854</v>
      </c>
      <c r="B1960" s="7" t="n"/>
      <c r="C1960" s="11">
        <f>IF(AND(ISNUMBER(B1960),ISNUMBER(B1959)),ABS(B1960-B1959),"")</f>
        <v/>
      </c>
      <c r="D1960" s="13">
        <f>IF(AND(ISNUMBER(B1960),ISNUMBER($B$88),ISNUMBER($D$88)),IF(B1960&gt;$D$88,"boven UCL",IF(B1960&lt;$B$88,"onder LCL","")),"")</f>
        <v/>
      </c>
      <c r="E1960" s="13">
        <f>IF(AND(ISNUMBER(C1960),ISNUMBER($B$89),ISNUMBER($D$89)),IF(C1960&gt;$D$89,"boven UCL",IF(C1960&lt;$B$89,"onder LCL","")),"")</f>
        <v/>
      </c>
      <c r="G1960" t="n">
        <v>1854</v>
      </c>
      <c r="H1960" s="7" t="n"/>
      <c r="I1960" s="7" t="n"/>
      <c r="J1960" s="11">
        <f>IF(AND(ISNUMBER(H1960),ISNUMBER(I1960),H1960&gt;0,ISNUMBER($B$94)),I1960/H1960,"")</f>
        <v/>
      </c>
      <c r="K1960" s="11">
        <f>IF(AND(ISNUMBER(H1960),ISNUMBER(I1960),H1960&gt;0,ISNUMBER($B$94)),MAX(0,$B$94-3*SQRT($B$94*(1-$B$94)/H1960)),"")</f>
        <v/>
      </c>
      <c r="L1960" s="11">
        <f>IF(AND(ISNUMBER(H1960),ISNUMBER(I1960),H1960&gt;0,ISNUMBER($B$94)),$B$94+3*SQRT($B$94*(1-$B$94)/H1960),"")</f>
        <v/>
      </c>
      <c r="M1960" s="13">
        <f>IF(AND(ISNUMBER(J1960),ISNUMBER(K1960),ISNUMBER(L1960)),IF(J1960&gt;L1960,"boven UCL",IF(J1960&lt;K1960,"onder LCL","")),"")</f>
        <v/>
      </c>
      <c r="O1960" t="n">
        <v>1854</v>
      </c>
      <c r="P1960" s="7" t="n"/>
      <c r="Q1960" s="7" t="n"/>
      <c r="R1960" s="11">
        <f>IF(AND(ISNUMBER(P1960),ISNUMBER(Q1960),P1960&gt;0,ISNUMBER($B$100)),Q1960/P1960,"")</f>
        <v/>
      </c>
      <c r="S1960" s="11">
        <f>IF(AND(ISNUMBER(P1960),ISNUMBER(Q1960),P1960&gt;0,ISNUMBER($B$100)),MAX(0,$B$100-3*SQRT($B$100/P1960)),"")</f>
        <v/>
      </c>
      <c r="T1960" s="11">
        <f>IF(AND(ISNUMBER(P1960),ISNUMBER(Q1960),P1960&gt;0,ISNUMBER($B$100)),$B$100+3*SQRT($B$100/P1960),"")</f>
        <v/>
      </c>
      <c r="U1960" s="13">
        <f>IF(AND(ISNUMBER(R1960),ISNUMBER(S1960),ISNUMBER(T1960)),IF(R1960&gt;T1960,"boven UCL",IF(R1960&lt;S1960,"onder LCL","")),"")</f>
        <v/>
      </c>
    </row>
    <row r="1961">
      <c r="A1961" t="n">
        <v>1855</v>
      </c>
      <c r="B1961" s="7" t="n"/>
      <c r="C1961" s="11">
        <f>IF(AND(ISNUMBER(B1961),ISNUMBER(B1960)),ABS(B1961-B1960),"")</f>
        <v/>
      </c>
      <c r="D1961" s="13">
        <f>IF(AND(ISNUMBER(B1961),ISNUMBER($B$88),ISNUMBER($D$88)),IF(B1961&gt;$D$88,"boven UCL",IF(B1961&lt;$B$88,"onder LCL","")),"")</f>
        <v/>
      </c>
      <c r="E1961" s="13">
        <f>IF(AND(ISNUMBER(C1961),ISNUMBER($B$89),ISNUMBER($D$89)),IF(C1961&gt;$D$89,"boven UCL",IF(C1961&lt;$B$89,"onder LCL","")),"")</f>
        <v/>
      </c>
      <c r="G1961" t="n">
        <v>1855</v>
      </c>
      <c r="H1961" s="7" t="n"/>
      <c r="I1961" s="7" t="n"/>
      <c r="J1961" s="11">
        <f>IF(AND(ISNUMBER(H1961),ISNUMBER(I1961),H1961&gt;0,ISNUMBER($B$94)),I1961/H1961,"")</f>
        <v/>
      </c>
      <c r="K1961" s="11">
        <f>IF(AND(ISNUMBER(H1961),ISNUMBER(I1961),H1961&gt;0,ISNUMBER($B$94)),MAX(0,$B$94-3*SQRT($B$94*(1-$B$94)/H1961)),"")</f>
        <v/>
      </c>
      <c r="L1961" s="11">
        <f>IF(AND(ISNUMBER(H1961),ISNUMBER(I1961),H1961&gt;0,ISNUMBER($B$94)),$B$94+3*SQRT($B$94*(1-$B$94)/H1961),"")</f>
        <v/>
      </c>
      <c r="M1961" s="13">
        <f>IF(AND(ISNUMBER(J1961),ISNUMBER(K1961),ISNUMBER(L1961)),IF(J1961&gt;L1961,"boven UCL",IF(J1961&lt;K1961,"onder LCL","")),"")</f>
        <v/>
      </c>
      <c r="O1961" t="n">
        <v>1855</v>
      </c>
      <c r="P1961" s="7" t="n"/>
      <c r="Q1961" s="7" t="n"/>
      <c r="R1961" s="11">
        <f>IF(AND(ISNUMBER(P1961),ISNUMBER(Q1961),P1961&gt;0,ISNUMBER($B$100)),Q1961/P1961,"")</f>
        <v/>
      </c>
      <c r="S1961" s="11">
        <f>IF(AND(ISNUMBER(P1961),ISNUMBER(Q1961),P1961&gt;0,ISNUMBER($B$100)),MAX(0,$B$100-3*SQRT($B$100/P1961)),"")</f>
        <v/>
      </c>
      <c r="T1961" s="11">
        <f>IF(AND(ISNUMBER(P1961),ISNUMBER(Q1961),P1961&gt;0,ISNUMBER($B$100)),$B$100+3*SQRT($B$100/P1961),"")</f>
        <v/>
      </c>
      <c r="U1961" s="13">
        <f>IF(AND(ISNUMBER(R1961),ISNUMBER(S1961),ISNUMBER(T1961)),IF(R1961&gt;T1961,"boven UCL",IF(R1961&lt;S1961,"onder LCL","")),"")</f>
        <v/>
      </c>
    </row>
    <row r="1962">
      <c r="A1962" t="n">
        <v>1856</v>
      </c>
      <c r="B1962" s="7" t="n"/>
      <c r="C1962" s="11">
        <f>IF(AND(ISNUMBER(B1962),ISNUMBER(B1961)),ABS(B1962-B1961),"")</f>
        <v/>
      </c>
      <c r="D1962" s="13">
        <f>IF(AND(ISNUMBER(B1962),ISNUMBER($B$88),ISNUMBER($D$88)),IF(B1962&gt;$D$88,"boven UCL",IF(B1962&lt;$B$88,"onder LCL","")),"")</f>
        <v/>
      </c>
      <c r="E1962" s="13">
        <f>IF(AND(ISNUMBER(C1962),ISNUMBER($B$89),ISNUMBER($D$89)),IF(C1962&gt;$D$89,"boven UCL",IF(C1962&lt;$B$89,"onder LCL","")),"")</f>
        <v/>
      </c>
      <c r="G1962" t="n">
        <v>1856</v>
      </c>
      <c r="H1962" s="7" t="n"/>
      <c r="I1962" s="7" t="n"/>
      <c r="J1962" s="11">
        <f>IF(AND(ISNUMBER(H1962),ISNUMBER(I1962),H1962&gt;0,ISNUMBER($B$94)),I1962/H1962,"")</f>
        <v/>
      </c>
      <c r="K1962" s="11">
        <f>IF(AND(ISNUMBER(H1962),ISNUMBER(I1962),H1962&gt;0,ISNUMBER($B$94)),MAX(0,$B$94-3*SQRT($B$94*(1-$B$94)/H1962)),"")</f>
        <v/>
      </c>
      <c r="L1962" s="11">
        <f>IF(AND(ISNUMBER(H1962),ISNUMBER(I1962),H1962&gt;0,ISNUMBER($B$94)),$B$94+3*SQRT($B$94*(1-$B$94)/H1962),"")</f>
        <v/>
      </c>
      <c r="M1962" s="13">
        <f>IF(AND(ISNUMBER(J1962),ISNUMBER(K1962),ISNUMBER(L1962)),IF(J1962&gt;L1962,"boven UCL",IF(J1962&lt;K1962,"onder LCL","")),"")</f>
        <v/>
      </c>
      <c r="O1962" t="n">
        <v>1856</v>
      </c>
      <c r="P1962" s="7" t="n"/>
      <c r="Q1962" s="7" t="n"/>
      <c r="R1962" s="11">
        <f>IF(AND(ISNUMBER(P1962),ISNUMBER(Q1962),P1962&gt;0,ISNUMBER($B$100)),Q1962/P1962,"")</f>
        <v/>
      </c>
      <c r="S1962" s="11">
        <f>IF(AND(ISNUMBER(P1962),ISNUMBER(Q1962),P1962&gt;0,ISNUMBER($B$100)),MAX(0,$B$100-3*SQRT($B$100/P1962)),"")</f>
        <v/>
      </c>
      <c r="T1962" s="11">
        <f>IF(AND(ISNUMBER(P1962),ISNUMBER(Q1962),P1962&gt;0,ISNUMBER($B$100)),$B$100+3*SQRT($B$100/P1962),"")</f>
        <v/>
      </c>
      <c r="U1962" s="13">
        <f>IF(AND(ISNUMBER(R1962),ISNUMBER(S1962),ISNUMBER(T1962)),IF(R1962&gt;T1962,"boven UCL",IF(R1962&lt;S1962,"onder LCL","")),"")</f>
        <v/>
      </c>
    </row>
    <row r="1963">
      <c r="A1963" t="n">
        <v>1857</v>
      </c>
      <c r="B1963" s="7" t="n"/>
      <c r="C1963" s="11">
        <f>IF(AND(ISNUMBER(B1963),ISNUMBER(B1962)),ABS(B1963-B1962),"")</f>
        <v/>
      </c>
      <c r="D1963" s="13">
        <f>IF(AND(ISNUMBER(B1963),ISNUMBER($B$88),ISNUMBER($D$88)),IF(B1963&gt;$D$88,"boven UCL",IF(B1963&lt;$B$88,"onder LCL","")),"")</f>
        <v/>
      </c>
      <c r="E1963" s="13">
        <f>IF(AND(ISNUMBER(C1963),ISNUMBER($B$89),ISNUMBER($D$89)),IF(C1963&gt;$D$89,"boven UCL",IF(C1963&lt;$B$89,"onder LCL","")),"")</f>
        <v/>
      </c>
      <c r="G1963" t="n">
        <v>1857</v>
      </c>
      <c r="H1963" s="7" t="n"/>
      <c r="I1963" s="7" t="n"/>
      <c r="J1963" s="11">
        <f>IF(AND(ISNUMBER(H1963),ISNUMBER(I1963),H1963&gt;0,ISNUMBER($B$94)),I1963/H1963,"")</f>
        <v/>
      </c>
      <c r="K1963" s="11">
        <f>IF(AND(ISNUMBER(H1963),ISNUMBER(I1963),H1963&gt;0,ISNUMBER($B$94)),MAX(0,$B$94-3*SQRT($B$94*(1-$B$94)/H1963)),"")</f>
        <v/>
      </c>
      <c r="L1963" s="11">
        <f>IF(AND(ISNUMBER(H1963),ISNUMBER(I1963),H1963&gt;0,ISNUMBER($B$94)),$B$94+3*SQRT($B$94*(1-$B$94)/H1963),"")</f>
        <v/>
      </c>
      <c r="M1963" s="13">
        <f>IF(AND(ISNUMBER(J1963),ISNUMBER(K1963),ISNUMBER(L1963)),IF(J1963&gt;L1963,"boven UCL",IF(J1963&lt;K1963,"onder LCL","")),"")</f>
        <v/>
      </c>
      <c r="O1963" t="n">
        <v>1857</v>
      </c>
      <c r="P1963" s="7" t="n"/>
      <c r="Q1963" s="7" t="n"/>
      <c r="R1963" s="11">
        <f>IF(AND(ISNUMBER(P1963),ISNUMBER(Q1963),P1963&gt;0,ISNUMBER($B$100)),Q1963/P1963,"")</f>
        <v/>
      </c>
      <c r="S1963" s="11">
        <f>IF(AND(ISNUMBER(P1963),ISNUMBER(Q1963),P1963&gt;0,ISNUMBER($B$100)),MAX(0,$B$100-3*SQRT($B$100/P1963)),"")</f>
        <v/>
      </c>
      <c r="T1963" s="11">
        <f>IF(AND(ISNUMBER(P1963),ISNUMBER(Q1963),P1963&gt;0,ISNUMBER($B$100)),$B$100+3*SQRT($B$100/P1963),"")</f>
        <v/>
      </c>
      <c r="U1963" s="13">
        <f>IF(AND(ISNUMBER(R1963),ISNUMBER(S1963),ISNUMBER(T1963)),IF(R1963&gt;T1963,"boven UCL",IF(R1963&lt;S1963,"onder LCL","")),"")</f>
        <v/>
      </c>
    </row>
    <row r="1964">
      <c r="A1964" t="n">
        <v>1858</v>
      </c>
      <c r="B1964" s="7" t="n"/>
      <c r="C1964" s="11">
        <f>IF(AND(ISNUMBER(B1964),ISNUMBER(B1963)),ABS(B1964-B1963),"")</f>
        <v/>
      </c>
      <c r="D1964" s="13">
        <f>IF(AND(ISNUMBER(B1964),ISNUMBER($B$88),ISNUMBER($D$88)),IF(B1964&gt;$D$88,"boven UCL",IF(B1964&lt;$B$88,"onder LCL","")),"")</f>
        <v/>
      </c>
      <c r="E1964" s="13">
        <f>IF(AND(ISNUMBER(C1964),ISNUMBER($B$89),ISNUMBER($D$89)),IF(C1964&gt;$D$89,"boven UCL",IF(C1964&lt;$B$89,"onder LCL","")),"")</f>
        <v/>
      </c>
      <c r="G1964" t="n">
        <v>1858</v>
      </c>
      <c r="H1964" s="7" t="n"/>
      <c r="I1964" s="7" t="n"/>
      <c r="J1964" s="11">
        <f>IF(AND(ISNUMBER(H1964),ISNUMBER(I1964),H1964&gt;0,ISNUMBER($B$94)),I1964/H1964,"")</f>
        <v/>
      </c>
      <c r="K1964" s="11">
        <f>IF(AND(ISNUMBER(H1964),ISNUMBER(I1964),H1964&gt;0,ISNUMBER($B$94)),MAX(0,$B$94-3*SQRT($B$94*(1-$B$94)/H1964)),"")</f>
        <v/>
      </c>
      <c r="L1964" s="11">
        <f>IF(AND(ISNUMBER(H1964),ISNUMBER(I1964),H1964&gt;0,ISNUMBER($B$94)),$B$94+3*SQRT($B$94*(1-$B$94)/H1964),"")</f>
        <v/>
      </c>
      <c r="M1964" s="13">
        <f>IF(AND(ISNUMBER(J1964),ISNUMBER(K1964),ISNUMBER(L1964)),IF(J1964&gt;L1964,"boven UCL",IF(J1964&lt;K1964,"onder LCL","")),"")</f>
        <v/>
      </c>
      <c r="O1964" t="n">
        <v>1858</v>
      </c>
      <c r="P1964" s="7" t="n"/>
      <c r="Q1964" s="7" t="n"/>
      <c r="R1964" s="11">
        <f>IF(AND(ISNUMBER(P1964),ISNUMBER(Q1964),P1964&gt;0,ISNUMBER($B$100)),Q1964/P1964,"")</f>
        <v/>
      </c>
      <c r="S1964" s="11">
        <f>IF(AND(ISNUMBER(P1964),ISNUMBER(Q1964),P1964&gt;0,ISNUMBER($B$100)),MAX(0,$B$100-3*SQRT($B$100/P1964)),"")</f>
        <v/>
      </c>
      <c r="T1964" s="11">
        <f>IF(AND(ISNUMBER(P1964),ISNUMBER(Q1964),P1964&gt;0,ISNUMBER($B$100)),$B$100+3*SQRT($B$100/P1964),"")</f>
        <v/>
      </c>
      <c r="U1964" s="13">
        <f>IF(AND(ISNUMBER(R1964),ISNUMBER(S1964),ISNUMBER(T1964)),IF(R1964&gt;T1964,"boven UCL",IF(R1964&lt;S1964,"onder LCL","")),"")</f>
        <v/>
      </c>
    </row>
    <row r="1965">
      <c r="A1965" t="n">
        <v>1859</v>
      </c>
      <c r="B1965" s="7" t="n"/>
      <c r="C1965" s="11">
        <f>IF(AND(ISNUMBER(B1965),ISNUMBER(B1964)),ABS(B1965-B1964),"")</f>
        <v/>
      </c>
      <c r="D1965" s="13">
        <f>IF(AND(ISNUMBER(B1965),ISNUMBER($B$88),ISNUMBER($D$88)),IF(B1965&gt;$D$88,"boven UCL",IF(B1965&lt;$B$88,"onder LCL","")),"")</f>
        <v/>
      </c>
      <c r="E1965" s="13">
        <f>IF(AND(ISNUMBER(C1965),ISNUMBER($B$89),ISNUMBER($D$89)),IF(C1965&gt;$D$89,"boven UCL",IF(C1965&lt;$B$89,"onder LCL","")),"")</f>
        <v/>
      </c>
      <c r="G1965" t="n">
        <v>1859</v>
      </c>
      <c r="H1965" s="7" t="n"/>
      <c r="I1965" s="7" t="n"/>
      <c r="J1965" s="11">
        <f>IF(AND(ISNUMBER(H1965),ISNUMBER(I1965),H1965&gt;0,ISNUMBER($B$94)),I1965/H1965,"")</f>
        <v/>
      </c>
      <c r="K1965" s="11">
        <f>IF(AND(ISNUMBER(H1965),ISNUMBER(I1965),H1965&gt;0,ISNUMBER($B$94)),MAX(0,$B$94-3*SQRT($B$94*(1-$B$94)/H1965)),"")</f>
        <v/>
      </c>
      <c r="L1965" s="11">
        <f>IF(AND(ISNUMBER(H1965),ISNUMBER(I1965),H1965&gt;0,ISNUMBER($B$94)),$B$94+3*SQRT($B$94*(1-$B$94)/H1965),"")</f>
        <v/>
      </c>
      <c r="M1965" s="13">
        <f>IF(AND(ISNUMBER(J1965),ISNUMBER(K1965),ISNUMBER(L1965)),IF(J1965&gt;L1965,"boven UCL",IF(J1965&lt;K1965,"onder LCL","")),"")</f>
        <v/>
      </c>
      <c r="O1965" t="n">
        <v>1859</v>
      </c>
      <c r="P1965" s="7" t="n"/>
      <c r="Q1965" s="7" t="n"/>
      <c r="R1965" s="11">
        <f>IF(AND(ISNUMBER(P1965),ISNUMBER(Q1965),P1965&gt;0,ISNUMBER($B$100)),Q1965/P1965,"")</f>
        <v/>
      </c>
      <c r="S1965" s="11">
        <f>IF(AND(ISNUMBER(P1965),ISNUMBER(Q1965),P1965&gt;0,ISNUMBER($B$100)),MAX(0,$B$100-3*SQRT($B$100/P1965)),"")</f>
        <v/>
      </c>
      <c r="T1965" s="11">
        <f>IF(AND(ISNUMBER(P1965),ISNUMBER(Q1965),P1965&gt;0,ISNUMBER($B$100)),$B$100+3*SQRT($B$100/P1965),"")</f>
        <v/>
      </c>
      <c r="U1965" s="13">
        <f>IF(AND(ISNUMBER(R1965),ISNUMBER(S1965),ISNUMBER(T1965)),IF(R1965&gt;T1965,"boven UCL",IF(R1965&lt;S1965,"onder LCL","")),"")</f>
        <v/>
      </c>
    </row>
    <row r="1966">
      <c r="A1966" t="n">
        <v>1860</v>
      </c>
      <c r="B1966" s="7" t="n"/>
      <c r="C1966" s="11">
        <f>IF(AND(ISNUMBER(B1966),ISNUMBER(B1965)),ABS(B1966-B1965),"")</f>
        <v/>
      </c>
      <c r="D1966" s="13">
        <f>IF(AND(ISNUMBER(B1966),ISNUMBER($B$88),ISNUMBER($D$88)),IF(B1966&gt;$D$88,"boven UCL",IF(B1966&lt;$B$88,"onder LCL","")),"")</f>
        <v/>
      </c>
      <c r="E1966" s="13">
        <f>IF(AND(ISNUMBER(C1966),ISNUMBER($B$89),ISNUMBER($D$89)),IF(C1966&gt;$D$89,"boven UCL",IF(C1966&lt;$B$89,"onder LCL","")),"")</f>
        <v/>
      </c>
      <c r="G1966" t="n">
        <v>1860</v>
      </c>
      <c r="H1966" s="7" t="n"/>
      <c r="I1966" s="7" t="n"/>
      <c r="J1966" s="11">
        <f>IF(AND(ISNUMBER(H1966),ISNUMBER(I1966),H1966&gt;0,ISNUMBER($B$94)),I1966/H1966,"")</f>
        <v/>
      </c>
      <c r="K1966" s="11">
        <f>IF(AND(ISNUMBER(H1966),ISNUMBER(I1966),H1966&gt;0,ISNUMBER($B$94)),MAX(0,$B$94-3*SQRT($B$94*(1-$B$94)/H1966)),"")</f>
        <v/>
      </c>
      <c r="L1966" s="11">
        <f>IF(AND(ISNUMBER(H1966),ISNUMBER(I1966),H1966&gt;0,ISNUMBER($B$94)),$B$94+3*SQRT($B$94*(1-$B$94)/H1966),"")</f>
        <v/>
      </c>
      <c r="M1966" s="13">
        <f>IF(AND(ISNUMBER(J1966),ISNUMBER(K1966),ISNUMBER(L1966)),IF(J1966&gt;L1966,"boven UCL",IF(J1966&lt;K1966,"onder LCL","")),"")</f>
        <v/>
      </c>
      <c r="O1966" t="n">
        <v>1860</v>
      </c>
      <c r="P1966" s="7" t="n"/>
      <c r="Q1966" s="7" t="n"/>
      <c r="R1966" s="11">
        <f>IF(AND(ISNUMBER(P1966),ISNUMBER(Q1966),P1966&gt;0,ISNUMBER($B$100)),Q1966/P1966,"")</f>
        <v/>
      </c>
      <c r="S1966" s="11">
        <f>IF(AND(ISNUMBER(P1966),ISNUMBER(Q1966),P1966&gt;0,ISNUMBER($B$100)),MAX(0,$B$100-3*SQRT($B$100/P1966)),"")</f>
        <v/>
      </c>
      <c r="T1966" s="11">
        <f>IF(AND(ISNUMBER(P1966),ISNUMBER(Q1966),P1966&gt;0,ISNUMBER($B$100)),$B$100+3*SQRT($B$100/P1966),"")</f>
        <v/>
      </c>
      <c r="U1966" s="13">
        <f>IF(AND(ISNUMBER(R1966),ISNUMBER(S1966),ISNUMBER(T1966)),IF(R1966&gt;T1966,"boven UCL",IF(R1966&lt;S1966,"onder LCL","")),"")</f>
        <v/>
      </c>
    </row>
    <row r="1967">
      <c r="A1967" t="n">
        <v>1861</v>
      </c>
      <c r="B1967" s="7" t="n"/>
      <c r="C1967" s="11">
        <f>IF(AND(ISNUMBER(B1967),ISNUMBER(B1966)),ABS(B1967-B1966),"")</f>
        <v/>
      </c>
      <c r="D1967" s="13">
        <f>IF(AND(ISNUMBER(B1967),ISNUMBER($B$88),ISNUMBER($D$88)),IF(B1967&gt;$D$88,"boven UCL",IF(B1967&lt;$B$88,"onder LCL","")),"")</f>
        <v/>
      </c>
      <c r="E1967" s="13">
        <f>IF(AND(ISNUMBER(C1967),ISNUMBER($B$89),ISNUMBER($D$89)),IF(C1967&gt;$D$89,"boven UCL",IF(C1967&lt;$B$89,"onder LCL","")),"")</f>
        <v/>
      </c>
      <c r="G1967" t="n">
        <v>1861</v>
      </c>
      <c r="H1967" s="7" t="n"/>
      <c r="I1967" s="7" t="n"/>
      <c r="J1967" s="11">
        <f>IF(AND(ISNUMBER(H1967),ISNUMBER(I1967),H1967&gt;0,ISNUMBER($B$94)),I1967/H1967,"")</f>
        <v/>
      </c>
      <c r="K1967" s="11">
        <f>IF(AND(ISNUMBER(H1967),ISNUMBER(I1967),H1967&gt;0,ISNUMBER($B$94)),MAX(0,$B$94-3*SQRT($B$94*(1-$B$94)/H1967)),"")</f>
        <v/>
      </c>
      <c r="L1967" s="11">
        <f>IF(AND(ISNUMBER(H1967),ISNUMBER(I1967),H1967&gt;0,ISNUMBER($B$94)),$B$94+3*SQRT($B$94*(1-$B$94)/H1967),"")</f>
        <v/>
      </c>
      <c r="M1967" s="13">
        <f>IF(AND(ISNUMBER(J1967),ISNUMBER(K1967),ISNUMBER(L1967)),IF(J1967&gt;L1967,"boven UCL",IF(J1967&lt;K1967,"onder LCL","")),"")</f>
        <v/>
      </c>
      <c r="O1967" t="n">
        <v>1861</v>
      </c>
      <c r="P1967" s="7" t="n"/>
      <c r="Q1967" s="7" t="n"/>
      <c r="R1967" s="11">
        <f>IF(AND(ISNUMBER(P1967),ISNUMBER(Q1967),P1967&gt;0,ISNUMBER($B$100)),Q1967/P1967,"")</f>
        <v/>
      </c>
      <c r="S1967" s="11">
        <f>IF(AND(ISNUMBER(P1967),ISNUMBER(Q1967),P1967&gt;0,ISNUMBER($B$100)),MAX(0,$B$100-3*SQRT($B$100/P1967)),"")</f>
        <v/>
      </c>
      <c r="T1967" s="11">
        <f>IF(AND(ISNUMBER(P1967),ISNUMBER(Q1967),P1967&gt;0,ISNUMBER($B$100)),$B$100+3*SQRT($B$100/P1967),"")</f>
        <v/>
      </c>
      <c r="U1967" s="13">
        <f>IF(AND(ISNUMBER(R1967),ISNUMBER(S1967),ISNUMBER(T1967)),IF(R1967&gt;T1967,"boven UCL",IF(R1967&lt;S1967,"onder LCL","")),"")</f>
        <v/>
      </c>
    </row>
    <row r="1968">
      <c r="A1968" t="n">
        <v>1862</v>
      </c>
      <c r="B1968" s="7" t="n"/>
      <c r="C1968" s="11">
        <f>IF(AND(ISNUMBER(B1968),ISNUMBER(B1967)),ABS(B1968-B1967),"")</f>
        <v/>
      </c>
      <c r="D1968" s="13">
        <f>IF(AND(ISNUMBER(B1968),ISNUMBER($B$88),ISNUMBER($D$88)),IF(B1968&gt;$D$88,"boven UCL",IF(B1968&lt;$B$88,"onder LCL","")),"")</f>
        <v/>
      </c>
      <c r="E1968" s="13">
        <f>IF(AND(ISNUMBER(C1968),ISNUMBER($B$89),ISNUMBER($D$89)),IF(C1968&gt;$D$89,"boven UCL",IF(C1968&lt;$B$89,"onder LCL","")),"")</f>
        <v/>
      </c>
      <c r="G1968" t="n">
        <v>1862</v>
      </c>
      <c r="H1968" s="7" t="n"/>
      <c r="I1968" s="7" t="n"/>
      <c r="J1968" s="11">
        <f>IF(AND(ISNUMBER(H1968),ISNUMBER(I1968),H1968&gt;0,ISNUMBER($B$94)),I1968/H1968,"")</f>
        <v/>
      </c>
      <c r="K1968" s="11">
        <f>IF(AND(ISNUMBER(H1968),ISNUMBER(I1968),H1968&gt;0,ISNUMBER($B$94)),MAX(0,$B$94-3*SQRT($B$94*(1-$B$94)/H1968)),"")</f>
        <v/>
      </c>
      <c r="L1968" s="11">
        <f>IF(AND(ISNUMBER(H1968),ISNUMBER(I1968),H1968&gt;0,ISNUMBER($B$94)),$B$94+3*SQRT($B$94*(1-$B$94)/H1968),"")</f>
        <v/>
      </c>
      <c r="M1968" s="13">
        <f>IF(AND(ISNUMBER(J1968),ISNUMBER(K1968),ISNUMBER(L1968)),IF(J1968&gt;L1968,"boven UCL",IF(J1968&lt;K1968,"onder LCL","")),"")</f>
        <v/>
      </c>
      <c r="O1968" t="n">
        <v>1862</v>
      </c>
      <c r="P1968" s="7" t="n"/>
      <c r="Q1968" s="7" t="n"/>
      <c r="R1968" s="11">
        <f>IF(AND(ISNUMBER(P1968),ISNUMBER(Q1968),P1968&gt;0,ISNUMBER($B$100)),Q1968/P1968,"")</f>
        <v/>
      </c>
      <c r="S1968" s="11">
        <f>IF(AND(ISNUMBER(P1968),ISNUMBER(Q1968),P1968&gt;0,ISNUMBER($B$100)),MAX(0,$B$100-3*SQRT($B$100/P1968)),"")</f>
        <v/>
      </c>
      <c r="T1968" s="11">
        <f>IF(AND(ISNUMBER(P1968),ISNUMBER(Q1968),P1968&gt;0,ISNUMBER($B$100)),$B$100+3*SQRT($B$100/P1968),"")</f>
        <v/>
      </c>
      <c r="U1968" s="13">
        <f>IF(AND(ISNUMBER(R1968),ISNUMBER(S1968),ISNUMBER(T1968)),IF(R1968&gt;T1968,"boven UCL",IF(R1968&lt;S1968,"onder LCL","")),"")</f>
        <v/>
      </c>
    </row>
    <row r="1969">
      <c r="A1969" t="n">
        <v>1863</v>
      </c>
      <c r="B1969" s="7" t="n"/>
      <c r="C1969" s="11">
        <f>IF(AND(ISNUMBER(B1969),ISNUMBER(B1968)),ABS(B1969-B1968),"")</f>
        <v/>
      </c>
      <c r="D1969" s="13">
        <f>IF(AND(ISNUMBER(B1969),ISNUMBER($B$88),ISNUMBER($D$88)),IF(B1969&gt;$D$88,"boven UCL",IF(B1969&lt;$B$88,"onder LCL","")),"")</f>
        <v/>
      </c>
      <c r="E1969" s="13">
        <f>IF(AND(ISNUMBER(C1969),ISNUMBER($B$89),ISNUMBER($D$89)),IF(C1969&gt;$D$89,"boven UCL",IF(C1969&lt;$B$89,"onder LCL","")),"")</f>
        <v/>
      </c>
      <c r="G1969" t="n">
        <v>1863</v>
      </c>
      <c r="H1969" s="7" t="n"/>
      <c r="I1969" s="7" t="n"/>
      <c r="J1969" s="11">
        <f>IF(AND(ISNUMBER(H1969),ISNUMBER(I1969),H1969&gt;0,ISNUMBER($B$94)),I1969/H1969,"")</f>
        <v/>
      </c>
      <c r="K1969" s="11">
        <f>IF(AND(ISNUMBER(H1969),ISNUMBER(I1969),H1969&gt;0,ISNUMBER($B$94)),MAX(0,$B$94-3*SQRT($B$94*(1-$B$94)/H1969)),"")</f>
        <v/>
      </c>
      <c r="L1969" s="11">
        <f>IF(AND(ISNUMBER(H1969),ISNUMBER(I1969),H1969&gt;0,ISNUMBER($B$94)),$B$94+3*SQRT($B$94*(1-$B$94)/H1969),"")</f>
        <v/>
      </c>
      <c r="M1969" s="13">
        <f>IF(AND(ISNUMBER(J1969),ISNUMBER(K1969),ISNUMBER(L1969)),IF(J1969&gt;L1969,"boven UCL",IF(J1969&lt;K1969,"onder LCL","")),"")</f>
        <v/>
      </c>
      <c r="O1969" t="n">
        <v>1863</v>
      </c>
      <c r="P1969" s="7" t="n"/>
      <c r="Q1969" s="7" t="n"/>
      <c r="R1969" s="11">
        <f>IF(AND(ISNUMBER(P1969),ISNUMBER(Q1969),P1969&gt;0,ISNUMBER($B$100)),Q1969/P1969,"")</f>
        <v/>
      </c>
      <c r="S1969" s="11">
        <f>IF(AND(ISNUMBER(P1969),ISNUMBER(Q1969),P1969&gt;0,ISNUMBER($B$100)),MAX(0,$B$100-3*SQRT($B$100/P1969)),"")</f>
        <v/>
      </c>
      <c r="T1969" s="11">
        <f>IF(AND(ISNUMBER(P1969),ISNUMBER(Q1969),P1969&gt;0,ISNUMBER($B$100)),$B$100+3*SQRT($B$100/P1969),"")</f>
        <v/>
      </c>
      <c r="U1969" s="13">
        <f>IF(AND(ISNUMBER(R1969),ISNUMBER(S1969),ISNUMBER(T1969)),IF(R1969&gt;T1969,"boven UCL",IF(R1969&lt;S1969,"onder LCL","")),"")</f>
        <v/>
      </c>
    </row>
    <row r="1970">
      <c r="A1970" t="n">
        <v>1864</v>
      </c>
      <c r="B1970" s="7" t="n"/>
      <c r="C1970" s="11">
        <f>IF(AND(ISNUMBER(B1970),ISNUMBER(B1969)),ABS(B1970-B1969),"")</f>
        <v/>
      </c>
      <c r="D1970" s="13">
        <f>IF(AND(ISNUMBER(B1970),ISNUMBER($B$88),ISNUMBER($D$88)),IF(B1970&gt;$D$88,"boven UCL",IF(B1970&lt;$B$88,"onder LCL","")),"")</f>
        <v/>
      </c>
      <c r="E1970" s="13">
        <f>IF(AND(ISNUMBER(C1970),ISNUMBER($B$89),ISNUMBER($D$89)),IF(C1970&gt;$D$89,"boven UCL",IF(C1970&lt;$B$89,"onder LCL","")),"")</f>
        <v/>
      </c>
      <c r="G1970" t="n">
        <v>1864</v>
      </c>
      <c r="H1970" s="7" t="n"/>
      <c r="I1970" s="7" t="n"/>
      <c r="J1970" s="11">
        <f>IF(AND(ISNUMBER(H1970),ISNUMBER(I1970),H1970&gt;0,ISNUMBER($B$94)),I1970/H1970,"")</f>
        <v/>
      </c>
      <c r="K1970" s="11">
        <f>IF(AND(ISNUMBER(H1970),ISNUMBER(I1970),H1970&gt;0,ISNUMBER($B$94)),MAX(0,$B$94-3*SQRT($B$94*(1-$B$94)/H1970)),"")</f>
        <v/>
      </c>
      <c r="L1970" s="11">
        <f>IF(AND(ISNUMBER(H1970),ISNUMBER(I1970),H1970&gt;0,ISNUMBER($B$94)),$B$94+3*SQRT($B$94*(1-$B$94)/H1970),"")</f>
        <v/>
      </c>
      <c r="M1970" s="13">
        <f>IF(AND(ISNUMBER(J1970),ISNUMBER(K1970),ISNUMBER(L1970)),IF(J1970&gt;L1970,"boven UCL",IF(J1970&lt;K1970,"onder LCL","")),"")</f>
        <v/>
      </c>
      <c r="O1970" t="n">
        <v>1864</v>
      </c>
      <c r="P1970" s="7" t="n"/>
      <c r="Q1970" s="7" t="n"/>
      <c r="R1970" s="11">
        <f>IF(AND(ISNUMBER(P1970),ISNUMBER(Q1970),P1970&gt;0,ISNUMBER($B$100)),Q1970/P1970,"")</f>
        <v/>
      </c>
      <c r="S1970" s="11">
        <f>IF(AND(ISNUMBER(P1970),ISNUMBER(Q1970),P1970&gt;0,ISNUMBER($B$100)),MAX(0,$B$100-3*SQRT($B$100/P1970)),"")</f>
        <v/>
      </c>
      <c r="T1970" s="11">
        <f>IF(AND(ISNUMBER(P1970),ISNUMBER(Q1970),P1970&gt;0,ISNUMBER($B$100)),$B$100+3*SQRT($B$100/P1970),"")</f>
        <v/>
      </c>
      <c r="U1970" s="13">
        <f>IF(AND(ISNUMBER(R1970),ISNUMBER(S1970),ISNUMBER(T1970)),IF(R1970&gt;T1970,"boven UCL",IF(R1970&lt;S1970,"onder LCL","")),"")</f>
        <v/>
      </c>
    </row>
    <row r="1971">
      <c r="A1971" t="n">
        <v>1865</v>
      </c>
      <c r="B1971" s="7" t="n"/>
      <c r="C1971" s="11">
        <f>IF(AND(ISNUMBER(B1971),ISNUMBER(B1970)),ABS(B1971-B1970),"")</f>
        <v/>
      </c>
      <c r="D1971" s="13">
        <f>IF(AND(ISNUMBER(B1971),ISNUMBER($B$88),ISNUMBER($D$88)),IF(B1971&gt;$D$88,"boven UCL",IF(B1971&lt;$B$88,"onder LCL","")),"")</f>
        <v/>
      </c>
      <c r="E1971" s="13">
        <f>IF(AND(ISNUMBER(C1971),ISNUMBER($B$89),ISNUMBER($D$89)),IF(C1971&gt;$D$89,"boven UCL",IF(C1971&lt;$B$89,"onder LCL","")),"")</f>
        <v/>
      </c>
      <c r="G1971" t="n">
        <v>1865</v>
      </c>
      <c r="H1971" s="7" t="n"/>
      <c r="I1971" s="7" t="n"/>
      <c r="J1971" s="11">
        <f>IF(AND(ISNUMBER(H1971),ISNUMBER(I1971),H1971&gt;0,ISNUMBER($B$94)),I1971/H1971,"")</f>
        <v/>
      </c>
      <c r="K1971" s="11">
        <f>IF(AND(ISNUMBER(H1971),ISNUMBER(I1971),H1971&gt;0,ISNUMBER($B$94)),MAX(0,$B$94-3*SQRT($B$94*(1-$B$94)/H1971)),"")</f>
        <v/>
      </c>
      <c r="L1971" s="11">
        <f>IF(AND(ISNUMBER(H1971),ISNUMBER(I1971),H1971&gt;0,ISNUMBER($B$94)),$B$94+3*SQRT($B$94*(1-$B$94)/H1971),"")</f>
        <v/>
      </c>
      <c r="M1971" s="13">
        <f>IF(AND(ISNUMBER(J1971),ISNUMBER(K1971),ISNUMBER(L1971)),IF(J1971&gt;L1971,"boven UCL",IF(J1971&lt;K1971,"onder LCL","")),"")</f>
        <v/>
      </c>
      <c r="O1971" t="n">
        <v>1865</v>
      </c>
      <c r="P1971" s="7" t="n"/>
      <c r="Q1971" s="7" t="n"/>
      <c r="R1971" s="11">
        <f>IF(AND(ISNUMBER(P1971),ISNUMBER(Q1971),P1971&gt;0,ISNUMBER($B$100)),Q1971/P1971,"")</f>
        <v/>
      </c>
      <c r="S1971" s="11">
        <f>IF(AND(ISNUMBER(P1971),ISNUMBER(Q1971),P1971&gt;0,ISNUMBER($B$100)),MAX(0,$B$100-3*SQRT($B$100/P1971)),"")</f>
        <v/>
      </c>
      <c r="T1971" s="11">
        <f>IF(AND(ISNUMBER(P1971),ISNUMBER(Q1971),P1971&gt;0,ISNUMBER($B$100)),$B$100+3*SQRT($B$100/P1971),"")</f>
        <v/>
      </c>
      <c r="U1971" s="13">
        <f>IF(AND(ISNUMBER(R1971),ISNUMBER(S1971),ISNUMBER(T1971)),IF(R1971&gt;T1971,"boven UCL",IF(R1971&lt;S1971,"onder LCL","")),"")</f>
        <v/>
      </c>
    </row>
    <row r="1972">
      <c r="A1972" t="n">
        <v>1866</v>
      </c>
      <c r="B1972" s="7" t="n"/>
      <c r="C1972" s="11">
        <f>IF(AND(ISNUMBER(B1972),ISNUMBER(B1971)),ABS(B1972-B1971),"")</f>
        <v/>
      </c>
      <c r="D1972" s="13">
        <f>IF(AND(ISNUMBER(B1972),ISNUMBER($B$88),ISNUMBER($D$88)),IF(B1972&gt;$D$88,"boven UCL",IF(B1972&lt;$B$88,"onder LCL","")),"")</f>
        <v/>
      </c>
      <c r="E1972" s="13">
        <f>IF(AND(ISNUMBER(C1972),ISNUMBER($B$89),ISNUMBER($D$89)),IF(C1972&gt;$D$89,"boven UCL",IF(C1972&lt;$B$89,"onder LCL","")),"")</f>
        <v/>
      </c>
      <c r="G1972" t="n">
        <v>1866</v>
      </c>
      <c r="H1972" s="7" t="n"/>
      <c r="I1972" s="7" t="n"/>
      <c r="J1972" s="11">
        <f>IF(AND(ISNUMBER(H1972),ISNUMBER(I1972),H1972&gt;0,ISNUMBER($B$94)),I1972/H1972,"")</f>
        <v/>
      </c>
      <c r="K1972" s="11">
        <f>IF(AND(ISNUMBER(H1972),ISNUMBER(I1972),H1972&gt;0,ISNUMBER($B$94)),MAX(0,$B$94-3*SQRT($B$94*(1-$B$94)/H1972)),"")</f>
        <v/>
      </c>
      <c r="L1972" s="11">
        <f>IF(AND(ISNUMBER(H1972),ISNUMBER(I1972),H1972&gt;0,ISNUMBER($B$94)),$B$94+3*SQRT($B$94*(1-$B$94)/H1972),"")</f>
        <v/>
      </c>
      <c r="M1972" s="13">
        <f>IF(AND(ISNUMBER(J1972),ISNUMBER(K1972),ISNUMBER(L1972)),IF(J1972&gt;L1972,"boven UCL",IF(J1972&lt;K1972,"onder LCL","")),"")</f>
        <v/>
      </c>
      <c r="O1972" t="n">
        <v>1866</v>
      </c>
      <c r="P1972" s="7" t="n"/>
      <c r="Q1972" s="7" t="n"/>
      <c r="R1972" s="11">
        <f>IF(AND(ISNUMBER(P1972),ISNUMBER(Q1972),P1972&gt;0,ISNUMBER($B$100)),Q1972/P1972,"")</f>
        <v/>
      </c>
      <c r="S1972" s="11">
        <f>IF(AND(ISNUMBER(P1972),ISNUMBER(Q1972),P1972&gt;0,ISNUMBER($B$100)),MAX(0,$B$100-3*SQRT($B$100/P1972)),"")</f>
        <v/>
      </c>
      <c r="T1972" s="11">
        <f>IF(AND(ISNUMBER(P1972),ISNUMBER(Q1972),P1972&gt;0,ISNUMBER($B$100)),$B$100+3*SQRT($B$100/P1972),"")</f>
        <v/>
      </c>
      <c r="U1972" s="13">
        <f>IF(AND(ISNUMBER(R1972),ISNUMBER(S1972),ISNUMBER(T1972)),IF(R1972&gt;T1972,"boven UCL",IF(R1972&lt;S1972,"onder LCL","")),"")</f>
        <v/>
      </c>
    </row>
    <row r="1973">
      <c r="A1973" t="n">
        <v>1867</v>
      </c>
      <c r="B1973" s="7" t="n"/>
      <c r="C1973" s="11">
        <f>IF(AND(ISNUMBER(B1973),ISNUMBER(B1972)),ABS(B1973-B1972),"")</f>
        <v/>
      </c>
      <c r="D1973" s="13">
        <f>IF(AND(ISNUMBER(B1973),ISNUMBER($B$88),ISNUMBER($D$88)),IF(B1973&gt;$D$88,"boven UCL",IF(B1973&lt;$B$88,"onder LCL","")),"")</f>
        <v/>
      </c>
      <c r="E1973" s="13">
        <f>IF(AND(ISNUMBER(C1973),ISNUMBER($B$89),ISNUMBER($D$89)),IF(C1973&gt;$D$89,"boven UCL",IF(C1973&lt;$B$89,"onder LCL","")),"")</f>
        <v/>
      </c>
      <c r="G1973" t="n">
        <v>1867</v>
      </c>
      <c r="H1973" s="7" t="n"/>
      <c r="I1973" s="7" t="n"/>
      <c r="J1973" s="11">
        <f>IF(AND(ISNUMBER(H1973),ISNUMBER(I1973),H1973&gt;0,ISNUMBER($B$94)),I1973/H1973,"")</f>
        <v/>
      </c>
      <c r="K1973" s="11">
        <f>IF(AND(ISNUMBER(H1973),ISNUMBER(I1973),H1973&gt;0,ISNUMBER($B$94)),MAX(0,$B$94-3*SQRT($B$94*(1-$B$94)/H1973)),"")</f>
        <v/>
      </c>
      <c r="L1973" s="11">
        <f>IF(AND(ISNUMBER(H1973),ISNUMBER(I1973),H1973&gt;0,ISNUMBER($B$94)),$B$94+3*SQRT($B$94*(1-$B$94)/H1973),"")</f>
        <v/>
      </c>
      <c r="M1973" s="13">
        <f>IF(AND(ISNUMBER(J1973),ISNUMBER(K1973),ISNUMBER(L1973)),IF(J1973&gt;L1973,"boven UCL",IF(J1973&lt;K1973,"onder LCL","")),"")</f>
        <v/>
      </c>
      <c r="O1973" t="n">
        <v>1867</v>
      </c>
      <c r="P1973" s="7" t="n"/>
      <c r="Q1973" s="7" t="n"/>
      <c r="R1973" s="11">
        <f>IF(AND(ISNUMBER(P1973),ISNUMBER(Q1973),P1973&gt;0,ISNUMBER($B$100)),Q1973/P1973,"")</f>
        <v/>
      </c>
      <c r="S1973" s="11">
        <f>IF(AND(ISNUMBER(P1973),ISNUMBER(Q1973),P1973&gt;0,ISNUMBER($B$100)),MAX(0,$B$100-3*SQRT($B$100/P1973)),"")</f>
        <v/>
      </c>
      <c r="T1973" s="11">
        <f>IF(AND(ISNUMBER(P1973),ISNUMBER(Q1973),P1973&gt;0,ISNUMBER($B$100)),$B$100+3*SQRT($B$100/P1973),"")</f>
        <v/>
      </c>
      <c r="U1973" s="13">
        <f>IF(AND(ISNUMBER(R1973),ISNUMBER(S1973),ISNUMBER(T1973)),IF(R1973&gt;T1973,"boven UCL",IF(R1973&lt;S1973,"onder LCL","")),"")</f>
        <v/>
      </c>
    </row>
    <row r="1974">
      <c r="A1974" t="n">
        <v>1868</v>
      </c>
      <c r="B1974" s="7" t="n"/>
      <c r="C1974" s="11">
        <f>IF(AND(ISNUMBER(B1974),ISNUMBER(B1973)),ABS(B1974-B1973),"")</f>
        <v/>
      </c>
      <c r="D1974" s="13">
        <f>IF(AND(ISNUMBER(B1974),ISNUMBER($B$88),ISNUMBER($D$88)),IF(B1974&gt;$D$88,"boven UCL",IF(B1974&lt;$B$88,"onder LCL","")),"")</f>
        <v/>
      </c>
      <c r="E1974" s="13">
        <f>IF(AND(ISNUMBER(C1974),ISNUMBER($B$89),ISNUMBER($D$89)),IF(C1974&gt;$D$89,"boven UCL",IF(C1974&lt;$B$89,"onder LCL","")),"")</f>
        <v/>
      </c>
      <c r="G1974" t="n">
        <v>1868</v>
      </c>
      <c r="H1974" s="7" t="n"/>
      <c r="I1974" s="7" t="n"/>
      <c r="J1974" s="11">
        <f>IF(AND(ISNUMBER(H1974),ISNUMBER(I1974),H1974&gt;0,ISNUMBER($B$94)),I1974/H1974,"")</f>
        <v/>
      </c>
      <c r="K1974" s="11">
        <f>IF(AND(ISNUMBER(H1974),ISNUMBER(I1974),H1974&gt;0,ISNUMBER($B$94)),MAX(0,$B$94-3*SQRT($B$94*(1-$B$94)/H1974)),"")</f>
        <v/>
      </c>
      <c r="L1974" s="11">
        <f>IF(AND(ISNUMBER(H1974),ISNUMBER(I1974),H1974&gt;0,ISNUMBER($B$94)),$B$94+3*SQRT($B$94*(1-$B$94)/H1974),"")</f>
        <v/>
      </c>
      <c r="M1974" s="13">
        <f>IF(AND(ISNUMBER(J1974),ISNUMBER(K1974),ISNUMBER(L1974)),IF(J1974&gt;L1974,"boven UCL",IF(J1974&lt;K1974,"onder LCL","")),"")</f>
        <v/>
      </c>
      <c r="O1974" t="n">
        <v>1868</v>
      </c>
      <c r="P1974" s="7" t="n"/>
      <c r="Q1974" s="7" t="n"/>
      <c r="R1974" s="11">
        <f>IF(AND(ISNUMBER(P1974),ISNUMBER(Q1974),P1974&gt;0,ISNUMBER($B$100)),Q1974/P1974,"")</f>
        <v/>
      </c>
      <c r="S1974" s="11">
        <f>IF(AND(ISNUMBER(P1974),ISNUMBER(Q1974),P1974&gt;0,ISNUMBER($B$100)),MAX(0,$B$100-3*SQRT($B$100/P1974)),"")</f>
        <v/>
      </c>
      <c r="T1974" s="11">
        <f>IF(AND(ISNUMBER(P1974),ISNUMBER(Q1974),P1974&gt;0,ISNUMBER($B$100)),$B$100+3*SQRT($B$100/P1974),"")</f>
        <v/>
      </c>
      <c r="U1974" s="13">
        <f>IF(AND(ISNUMBER(R1974),ISNUMBER(S1974),ISNUMBER(T1974)),IF(R1974&gt;T1974,"boven UCL",IF(R1974&lt;S1974,"onder LCL","")),"")</f>
        <v/>
      </c>
    </row>
    <row r="1975">
      <c r="A1975" t="n">
        <v>1869</v>
      </c>
      <c r="B1975" s="7" t="n"/>
      <c r="C1975" s="11">
        <f>IF(AND(ISNUMBER(B1975),ISNUMBER(B1974)),ABS(B1975-B1974),"")</f>
        <v/>
      </c>
      <c r="D1975" s="13">
        <f>IF(AND(ISNUMBER(B1975),ISNUMBER($B$88),ISNUMBER($D$88)),IF(B1975&gt;$D$88,"boven UCL",IF(B1975&lt;$B$88,"onder LCL","")),"")</f>
        <v/>
      </c>
      <c r="E1975" s="13">
        <f>IF(AND(ISNUMBER(C1975),ISNUMBER($B$89),ISNUMBER($D$89)),IF(C1975&gt;$D$89,"boven UCL",IF(C1975&lt;$B$89,"onder LCL","")),"")</f>
        <v/>
      </c>
      <c r="G1975" t="n">
        <v>1869</v>
      </c>
      <c r="H1975" s="7" t="n"/>
      <c r="I1975" s="7" t="n"/>
      <c r="J1975" s="11">
        <f>IF(AND(ISNUMBER(H1975),ISNUMBER(I1975),H1975&gt;0,ISNUMBER($B$94)),I1975/H1975,"")</f>
        <v/>
      </c>
      <c r="K1975" s="11">
        <f>IF(AND(ISNUMBER(H1975),ISNUMBER(I1975),H1975&gt;0,ISNUMBER($B$94)),MAX(0,$B$94-3*SQRT($B$94*(1-$B$94)/H1975)),"")</f>
        <v/>
      </c>
      <c r="L1975" s="11">
        <f>IF(AND(ISNUMBER(H1975),ISNUMBER(I1975),H1975&gt;0,ISNUMBER($B$94)),$B$94+3*SQRT($B$94*(1-$B$94)/H1975),"")</f>
        <v/>
      </c>
      <c r="M1975" s="13">
        <f>IF(AND(ISNUMBER(J1975),ISNUMBER(K1975),ISNUMBER(L1975)),IF(J1975&gt;L1975,"boven UCL",IF(J1975&lt;K1975,"onder LCL","")),"")</f>
        <v/>
      </c>
      <c r="O1975" t="n">
        <v>1869</v>
      </c>
      <c r="P1975" s="7" t="n"/>
      <c r="Q1975" s="7" t="n"/>
      <c r="R1975" s="11">
        <f>IF(AND(ISNUMBER(P1975),ISNUMBER(Q1975),P1975&gt;0,ISNUMBER($B$100)),Q1975/P1975,"")</f>
        <v/>
      </c>
      <c r="S1975" s="11">
        <f>IF(AND(ISNUMBER(P1975),ISNUMBER(Q1975),P1975&gt;0,ISNUMBER($B$100)),MAX(0,$B$100-3*SQRT($B$100/P1975)),"")</f>
        <v/>
      </c>
      <c r="T1975" s="11">
        <f>IF(AND(ISNUMBER(P1975),ISNUMBER(Q1975),P1975&gt;0,ISNUMBER($B$100)),$B$100+3*SQRT($B$100/P1975),"")</f>
        <v/>
      </c>
      <c r="U1975" s="13">
        <f>IF(AND(ISNUMBER(R1975),ISNUMBER(S1975),ISNUMBER(T1975)),IF(R1975&gt;T1975,"boven UCL",IF(R1975&lt;S1975,"onder LCL","")),"")</f>
        <v/>
      </c>
    </row>
    <row r="1976">
      <c r="A1976" t="n">
        <v>1870</v>
      </c>
      <c r="B1976" s="7" t="n"/>
      <c r="C1976" s="11">
        <f>IF(AND(ISNUMBER(B1976),ISNUMBER(B1975)),ABS(B1976-B1975),"")</f>
        <v/>
      </c>
      <c r="D1976" s="13">
        <f>IF(AND(ISNUMBER(B1976),ISNUMBER($B$88),ISNUMBER($D$88)),IF(B1976&gt;$D$88,"boven UCL",IF(B1976&lt;$B$88,"onder LCL","")),"")</f>
        <v/>
      </c>
      <c r="E1976" s="13">
        <f>IF(AND(ISNUMBER(C1976),ISNUMBER($B$89),ISNUMBER($D$89)),IF(C1976&gt;$D$89,"boven UCL",IF(C1976&lt;$B$89,"onder LCL","")),"")</f>
        <v/>
      </c>
      <c r="G1976" t="n">
        <v>1870</v>
      </c>
      <c r="H1976" s="7" t="n"/>
      <c r="I1976" s="7" t="n"/>
      <c r="J1976" s="11">
        <f>IF(AND(ISNUMBER(H1976),ISNUMBER(I1976),H1976&gt;0,ISNUMBER($B$94)),I1976/H1976,"")</f>
        <v/>
      </c>
      <c r="K1976" s="11">
        <f>IF(AND(ISNUMBER(H1976),ISNUMBER(I1976),H1976&gt;0,ISNUMBER($B$94)),MAX(0,$B$94-3*SQRT($B$94*(1-$B$94)/H1976)),"")</f>
        <v/>
      </c>
      <c r="L1976" s="11">
        <f>IF(AND(ISNUMBER(H1976),ISNUMBER(I1976),H1976&gt;0,ISNUMBER($B$94)),$B$94+3*SQRT($B$94*(1-$B$94)/H1976),"")</f>
        <v/>
      </c>
      <c r="M1976" s="13">
        <f>IF(AND(ISNUMBER(J1976),ISNUMBER(K1976),ISNUMBER(L1976)),IF(J1976&gt;L1976,"boven UCL",IF(J1976&lt;K1976,"onder LCL","")),"")</f>
        <v/>
      </c>
      <c r="O1976" t="n">
        <v>1870</v>
      </c>
      <c r="P1976" s="7" t="n"/>
      <c r="Q1976" s="7" t="n"/>
      <c r="R1976" s="11">
        <f>IF(AND(ISNUMBER(P1976),ISNUMBER(Q1976),P1976&gt;0,ISNUMBER($B$100)),Q1976/P1976,"")</f>
        <v/>
      </c>
      <c r="S1976" s="11">
        <f>IF(AND(ISNUMBER(P1976),ISNUMBER(Q1976),P1976&gt;0,ISNUMBER($B$100)),MAX(0,$B$100-3*SQRT($B$100/P1976)),"")</f>
        <v/>
      </c>
      <c r="T1976" s="11">
        <f>IF(AND(ISNUMBER(P1976),ISNUMBER(Q1976),P1976&gt;0,ISNUMBER($B$100)),$B$100+3*SQRT($B$100/P1976),"")</f>
        <v/>
      </c>
      <c r="U1976" s="13">
        <f>IF(AND(ISNUMBER(R1976),ISNUMBER(S1976),ISNUMBER(T1976)),IF(R1976&gt;T1976,"boven UCL",IF(R1976&lt;S1976,"onder LCL","")),"")</f>
        <v/>
      </c>
    </row>
    <row r="1977">
      <c r="A1977" t="n">
        <v>1871</v>
      </c>
      <c r="B1977" s="7" t="n"/>
      <c r="C1977" s="11">
        <f>IF(AND(ISNUMBER(B1977),ISNUMBER(B1976)),ABS(B1977-B1976),"")</f>
        <v/>
      </c>
      <c r="D1977" s="13">
        <f>IF(AND(ISNUMBER(B1977),ISNUMBER($B$88),ISNUMBER($D$88)),IF(B1977&gt;$D$88,"boven UCL",IF(B1977&lt;$B$88,"onder LCL","")),"")</f>
        <v/>
      </c>
      <c r="E1977" s="13">
        <f>IF(AND(ISNUMBER(C1977),ISNUMBER($B$89),ISNUMBER($D$89)),IF(C1977&gt;$D$89,"boven UCL",IF(C1977&lt;$B$89,"onder LCL","")),"")</f>
        <v/>
      </c>
      <c r="G1977" t="n">
        <v>1871</v>
      </c>
      <c r="H1977" s="7" t="n"/>
      <c r="I1977" s="7" t="n"/>
      <c r="J1977" s="11">
        <f>IF(AND(ISNUMBER(H1977),ISNUMBER(I1977),H1977&gt;0,ISNUMBER($B$94)),I1977/H1977,"")</f>
        <v/>
      </c>
      <c r="K1977" s="11">
        <f>IF(AND(ISNUMBER(H1977),ISNUMBER(I1977),H1977&gt;0,ISNUMBER($B$94)),MAX(0,$B$94-3*SQRT($B$94*(1-$B$94)/H1977)),"")</f>
        <v/>
      </c>
      <c r="L1977" s="11">
        <f>IF(AND(ISNUMBER(H1977),ISNUMBER(I1977),H1977&gt;0,ISNUMBER($B$94)),$B$94+3*SQRT($B$94*(1-$B$94)/H1977),"")</f>
        <v/>
      </c>
      <c r="M1977" s="13">
        <f>IF(AND(ISNUMBER(J1977),ISNUMBER(K1977),ISNUMBER(L1977)),IF(J1977&gt;L1977,"boven UCL",IF(J1977&lt;K1977,"onder LCL","")),"")</f>
        <v/>
      </c>
      <c r="O1977" t="n">
        <v>1871</v>
      </c>
      <c r="P1977" s="7" t="n"/>
      <c r="Q1977" s="7" t="n"/>
      <c r="R1977" s="11">
        <f>IF(AND(ISNUMBER(P1977),ISNUMBER(Q1977),P1977&gt;0,ISNUMBER($B$100)),Q1977/P1977,"")</f>
        <v/>
      </c>
      <c r="S1977" s="11">
        <f>IF(AND(ISNUMBER(P1977),ISNUMBER(Q1977),P1977&gt;0,ISNUMBER($B$100)),MAX(0,$B$100-3*SQRT($B$100/P1977)),"")</f>
        <v/>
      </c>
      <c r="T1977" s="11">
        <f>IF(AND(ISNUMBER(P1977),ISNUMBER(Q1977),P1977&gt;0,ISNUMBER($B$100)),$B$100+3*SQRT($B$100/P1977),"")</f>
        <v/>
      </c>
      <c r="U1977" s="13">
        <f>IF(AND(ISNUMBER(R1977),ISNUMBER(S1977),ISNUMBER(T1977)),IF(R1977&gt;T1977,"boven UCL",IF(R1977&lt;S1977,"onder LCL","")),"")</f>
        <v/>
      </c>
    </row>
    <row r="1978">
      <c r="A1978" t="n">
        <v>1872</v>
      </c>
      <c r="B1978" s="7" t="n"/>
      <c r="C1978" s="11">
        <f>IF(AND(ISNUMBER(B1978),ISNUMBER(B1977)),ABS(B1978-B1977),"")</f>
        <v/>
      </c>
      <c r="D1978" s="13">
        <f>IF(AND(ISNUMBER(B1978),ISNUMBER($B$88),ISNUMBER($D$88)),IF(B1978&gt;$D$88,"boven UCL",IF(B1978&lt;$B$88,"onder LCL","")),"")</f>
        <v/>
      </c>
      <c r="E1978" s="13">
        <f>IF(AND(ISNUMBER(C1978),ISNUMBER($B$89),ISNUMBER($D$89)),IF(C1978&gt;$D$89,"boven UCL",IF(C1978&lt;$B$89,"onder LCL","")),"")</f>
        <v/>
      </c>
      <c r="G1978" t="n">
        <v>1872</v>
      </c>
      <c r="H1978" s="7" t="n"/>
      <c r="I1978" s="7" t="n"/>
      <c r="J1978" s="11">
        <f>IF(AND(ISNUMBER(H1978),ISNUMBER(I1978),H1978&gt;0,ISNUMBER($B$94)),I1978/H1978,"")</f>
        <v/>
      </c>
      <c r="K1978" s="11">
        <f>IF(AND(ISNUMBER(H1978),ISNUMBER(I1978),H1978&gt;0,ISNUMBER($B$94)),MAX(0,$B$94-3*SQRT($B$94*(1-$B$94)/H1978)),"")</f>
        <v/>
      </c>
      <c r="L1978" s="11">
        <f>IF(AND(ISNUMBER(H1978),ISNUMBER(I1978),H1978&gt;0,ISNUMBER($B$94)),$B$94+3*SQRT($B$94*(1-$B$94)/H1978),"")</f>
        <v/>
      </c>
      <c r="M1978" s="13">
        <f>IF(AND(ISNUMBER(J1978),ISNUMBER(K1978),ISNUMBER(L1978)),IF(J1978&gt;L1978,"boven UCL",IF(J1978&lt;K1978,"onder LCL","")),"")</f>
        <v/>
      </c>
      <c r="O1978" t="n">
        <v>1872</v>
      </c>
      <c r="P1978" s="7" t="n"/>
      <c r="Q1978" s="7" t="n"/>
      <c r="R1978" s="11">
        <f>IF(AND(ISNUMBER(P1978),ISNUMBER(Q1978),P1978&gt;0,ISNUMBER($B$100)),Q1978/P1978,"")</f>
        <v/>
      </c>
      <c r="S1978" s="11">
        <f>IF(AND(ISNUMBER(P1978),ISNUMBER(Q1978),P1978&gt;0,ISNUMBER($B$100)),MAX(0,$B$100-3*SQRT($B$100/P1978)),"")</f>
        <v/>
      </c>
      <c r="T1978" s="11">
        <f>IF(AND(ISNUMBER(P1978),ISNUMBER(Q1978),P1978&gt;0,ISNUMBER($B$100)),$B$100+3*SQRT($B$100/P1978),"")</f>
        <v/>
      </c>
      <c r="U1978" s="13">
        <f>IF(AND(ISNUMBER(R1978),ISNUMBER(S1978),ISNUMBER(T1978)),IF(R1978&gt;T1978,"boven UCL",IF(R1978&lt;S1978,"onder LCL","")),"")</f>
        <v/>
      </c>
    </row>
    <row r="1979">
      <c r="A1979" t="n">
        <v>1873</v>
      </c>
      <c r="B1979" s="7" t="n"/>
      <c r="C1979" s="11">
        <f>IF(AND(ISNUMBER(B1979),ISNUMBER(B1978)),ABS(B1979-B1978),"")</f>
        <v/>
      </c>
      <c r="D1979" s="13">
        <f>IF(AND(ISNUMBER(B1979),ISNUMBER($B$88),ISNUMBER($D$88)),IF(B1979&gt;$D$88,"boven UCL",IF(B1979&lt;$B$88,"onder LCL","")),"")</f>
        <v/>
      </c>
      <c r="E1979" s="13">
        <f>IF(AND(ISNUMBER(C1979),ISNUMBER($B$89),ISNUMBER($D$89)),IF(C1979&gt;$D$89,"boven UCL",IF(C1979&lt;$B$89,"onder LCL","")),"")</f>
        <v/>
      </c>
      <c r="G1979" t="n">
        <v>1873</v>
      </c>
      <c r="H1979" s="7" t="n"/>
      <c r="I1979" s="7" t="n"/>
      <c r="J1979" s="11">
        <f>IF(AND(ISNUMBER(H1979),ISNUMBER(I1979),H1979&gt;0,ISNUMBER($B$94)),I1979/H1979,"")</f>
        <v/>
      </c>
      <c r="K1979" s="11">
        <f>IF(AND(ISNUMBER(H1979),ISNUMBER(I1979),H1979&gt;0,ISNUMBER($B$94)),MAX(0,$B$94-3*SQRT($B$94*(1-$B$94)/H1979)),"")</f>
        <v/>
      </c>
      <c r="L1979" s="11">
        <f>IF(AND(ISNUMBER(H1979),ISNUMBER(I1979),H1979&gt;0,ISNUMBER($B$94)),$B$94+3*SQRT($B$94*(1-$B$94)/H1979),"")</f>
        <v/>
      </c>
      <c r="M1979" s="13">
        <f>IF(AND(ISNUMBER(J1979),ISNUMBER(K1979),ISNUMBER(L1979)),IF(J1979&gt;L1979,"boven UCL",IF(J1979&lt;K1979,"onder LCL","")),"")</f>
        <v/>
      </c>
      <c r="O1979" t="n">
        <v>1873</v>
      </c>
      <c r="P1979" s="7" t="n"/>
      <c r="Q1979" s="7" t="n"/>
      <c r="R1979" s="11">
        <f>IF(AND(ISNUMBER(P1979),ISNUMBER(Q1979),P1979&gt;0,ISNUMBER($B$100)),Q1979/P1979,"")</f>
        <v/>
      </c>
      <c r="S1979" s="11">
        <f>IF(AND(ISNUMBER(P1979),ISNUMBER(Q1979),P1979&gt;0,ISNUMBER($B$100)),MAX(0,$B$100-3*SQRT($B$100/P1979)),"")</f>
        <v/>
      </c>
      <c r="T1979" s="11">
        <f>IF(AND(ISNUMBER(P1979),ISNUMBER(Q1979),P1979&gt;0,ISNUMBER($B$100)),$B$100+3*SQRT($B$100/P1979),"")</f>
        <v/>
      </c>
      <c r="U1979" s="13">
        <f>IF(AND(ISNUMBER(R1979),ISNUMBER(S1979),ISNUMBER(T1979)),IF(R1979&gt;T1979,"boven UCL",IF(R1979&lt;S1979,"onder LCL","")),"")</f>
        <v/>
      </c>
    </row>
    <row r="1980">
      <c r="A1980" t="n">
        <v>1874</v>
      </c>
      <c r="B1980" s="7" t="n"/>
      <c r="C1980" s="11">
        <f>IF(AND(ISNUMBER(B1980),ISNUMBER(B1979)),ABS(B1980-B1979),"")</f>
        <v/>
      </c>
      <c r="D1980" s="13">
        <f>IF(AND(ISNUMBER(B1980),ISNUMBER($B$88),ISNUMBER($D$88)),IF(B1980&gt;$D$88,"boven UCL",IF(B1980&lt;$B$88,"onder LCL","")),"")</f>
        <v/>
      </c>
      <c r="E1980" s="13">
        <f>IF(AND(ISNUMBER(C1980),ISNUMBER($B$89),ISNUMBER($D$89)),IF(C1980&gt;$D$89,"boven UCL",IF(C1980&lt;$B$89,"onder LCL","")),"")</f>
        <v/>
      </c>
      <c r="G1980" t="n">
        <v>1874</v>
      </c>
      <c r="H1980" s="7" t="n"/>
      <c r="I1980" s="7" t="n"/>
      <c r="J1980" s="11">
        <f>IF(AND(ISNUMBER(H1980),ISNUMBER(I1980),H1980&gt;0,ISNUMBER($B$94)),I1980/H1980,"")</f>
        <v/>
      </c>
      <c r="K1980" s="11">
        <f>IF(AND(ISNUMBER(H1980),ISNUMBER(I1980),H1980&gt;0,ISNUMBER($B$94)),MAX(0,$B$94-3*SQRT($B$94*(1-$B$94)/H1980)),"")</f>
        <v/>
      </c>
      <c r="L1980" s="11">
        <f>IF(AND(ISNUMBER(H1980),ISNUMBER(I1980),H1980&gt;0,ISNUMBER($B$94)),$B$94+3*SQRT($B$94*(1-$B$94)/H1980),"")</f>
        <v/>
      </c>
      <c r="M1980" s="13">
        <f>IF(AND(ISNUMBER(J1980),ISNUMBER(K1980),ISNUMBER(L1980)),IF(J1980&gt;L1980,"boven UCL",IF(J1980&lt;K1980,"onder LCL","")),"")</f>
        <v/>
      </c>
      <c r="O1980" t="n">
        <v>1874</v>
      </c>
      <c r="P1980" s="7" t="n"/>
      <c r="Q1980" s="7" t="n"/>
      <c r="R1980" s="11">
        <f>IF(AND(ISNUMBER(P1980),ISNUMBER(Q1980),P1980&gt;0,ISNUMBER($B$100)),Q1980/P1980,"")</f>
        <v/>
      </c>
      <c r="S1980" s="11">
        <f>IF(AND(ISNUMBER(P1980),ISNUMBER(Q1980),P1980&gt;0,ISNUMBER($B$100)),MAX(0,$B$100-3*SQRT($B$100/P1980)),"")</f>
        <v/>
      </c>
      <c r="T1980" s="11">
        <f>IF(AND(ISNUMBER(P1980),ISNUMBER(Q1980),P1980&gt;0,ISNUMBER($B$100)),$B$100+3*SQRT($B$100/P1980),"")</f>
        <v/>
      </c>
      <c r="U1980" s="13">
        <f>IF(AND(ISNUMBER(R1980),ISNUMBER(S1980),ISNUMBER(T1980)),IF(R1980&gt;T1980,"boven UCL",IF(R1980&lt;S1980,"onder LCL","")),"")</f>
        <v/>
      </c>
    </row>
    <row r="1981">
      <c r="A1981" t="n">
        <v>1875</v>
      </c>
      <c r="B1981" s="7" t="n"/>
      <c r="C1981" s="11">
        <f>IF(AND(ISNUMBER(B1981),ISNUMBER(B1980)),ABS(B1981-B1980),"")</f>
        <v/>
      </c>
      <c r="D1981" s="13">
        <f>IF(AND(ISNUMBER(B1981),ISNUMBER($B$88),ISNUMBER($D$88)),IF(B1981&gt;$D$88,"boven UCL",IF(B1981&lt;$B$88,"onder LCL","")),"")</f>
        <v/>
      </c>
      <c r="E1981" s="13">
        <f>IF(AND(ISNUMBER(C1981),ISNUMBER($B$89),ISNUMBER($D$89)),IF(C1981&gt;$D$89,"boven UCL",IF(C1981&lt;$B$89,"onder LCL","")),"")</f>
        <v/>
      </c>
      <c r="G1981" t="n">
        <v>1875</v>
      </c>
      <c r="H1981" s="7" t="n"/>
      <c r="I1981" s="7" t="n"/>
      <c r="J1981" s="11">
        <f>IF(AND(ISNUMBER(H1981),ISNUMBER(I1981),H1981&gt;0,ISNUMBER($B$94)),I1981/H1981,"")</f>
        <v/>
      </c>
      <c r="K1981" s="11">
        <f>IF(AND(ISNUMBER(H1981),ISNUMBER(I1981),H1981&gt;0,ISNUMBER($B$94)),MAX(0,$B$94-3*SQRT($B$94*(1-$B$94)/H1981)),"")</f>
        <v/>
      </c>
      <c r="L1981" s="11">
        <f>IF(AND(ISNUMBER(H1981),ISNUMBER(I1981),H1981&gt;0,ISNUMBER($B$94)),$B$94+3*SQRT($B$94*(1-$B$94)/H1981),"")</f>
        <v/>
      </c>
      <c r="M1981" s="13">
        <f>IF(AND(ISNUMBER(J1981),ISNUMBER(K1981),ISNUMBER(L1981)),IF(J1981&gt;L1981,"boven UCL",IF(J1981&lt;K1981,"onder LCL","")),"")</f>
        <v/>
      </c>
      <c r="O1981" t="n">
        <v>1875</v>
      </c>
      <c r="P1981" s="7" t="n"/>
      <c r="Q1981" s="7" t="n"/>
      <c r="R1981" s="11">
        <f>IF(AND(ISNUMBER(P1981),ISNUMBER(Q1981),P1981&gt;0,ISNUMBER($B$100)),Q1981/P1981,"")</f>
        <v/>
      </c>
      <c r="S1981" s="11">
        <f>IF(AND(ISNUMBER(P1981),ISNUMBER(Q1981),P1981&gt;0,ISNUMBER($B$100)),MAX(0,$B$100-3*SQRT($B$100/P1981)),"")</f>
        <v/>
      </c>
      <c r="T1981" s="11">
        <f>IF(AND(ISNUMBER(P1981),ISNUMBER(Q1981),P1981&gt;0,ISNUMBER($B$100)),$B$100+3*SQRT($B$100/P1981),"")</f>
        <v/>
      </c>
      <c r="U1981" s="13">
        <f>IF(AND(ISNUMBER(R1981),ISNUMBER(S1981),ISNUMBER(T1981)),IF(R1981&gt;T1981,"boven UCL",IF(R1981&lt;S1981,"onder LCL","")),"")</f>
        <v/>
      </c>
    </row>
    <row r="1982">
      <c r="A1982" t="n">
        <v>1876</v>
      </c>
      <c r="B1982" s="7" t="n"/>
      <c r="C1982" s="11">
        <f>IF(AND(ISNUMBER(B1982),ISNUMBER(B1981)),ABS(B1982-B1981),"")</f>
        <v/>
      </c>
      <c r="D1982" s="13">
        <f>IF(AND(ISNUMBER(B1982),ISNUMBER($B$88),ISNUMBER($D$88)),IF(B1982&gt;$D$88,"boven UCL",IF(B1982&lt;$B$88,"onder LCL","")),"")</f>
        <v/>
      </c>
      <c r="E1982" s="13">
        <f>IF(AND(ISNUMBER(C1982),ISNUMBER($B$89),ISNUMBER($D$89)),IF(C1982&gt;$D$89,"boven UCL",IF(C1982&lt;$B$89,"onder LCL","")),"")</f>
        <v/>
      </c>
      <c r="G1982" t="n">
        <v>1876</v>
      </c>
      <c r="H1982" s="7" t="n"/>
      <c r="I1982" s="7" t="n"/>
      <c r="J1982" s="11">
        <f>IF(AND(ISNUMBER(H1982),ISNUMBER(I1982),H1982&gt;0,ISNUMBER($B$94)),I1982/H1982,"")</f>
        <v/>
      </c>
      <c r="K1982" s="11">
        <f>IF(AND(ISNUMBER(H1982),ISNUMBER(I1982),H1982&gt;0,ISNUMBER($B$94)),MAX(0,$B$94-3*SQRT($B$94*(1-$B$94)/H1982)),"")</f>
        <v/>
      </c>
      <c r="L1982" s="11">
        <f>IF(AND(ISNUMBER(H1982),ISNUMBER(I1982),H1982&gt;0,ISNUMBER($B$94)),$B$94+3*SQRT($B$94*(1-$B$94)/H1982),"")</f>
        <v/>
      </c>
      <c r="M1982" s="13">
        <f>IF(AND(ISNUMBER(J1982),ISNUMBER(K1982),ISNUMBER(L1982)),IF(J1982&gt;L1982,"boven UCL",IF(J1982&lt;K1982,"onder LCL","")),"")</f>
        <v/>
      </c>
      <c r="O1982" t="n">
        <v>1876</v>
      </c>
      <c r="P1982" s="7" t="n"/>
      <c r="Q1982" s="7" t="n"/>
      <c r="R1982" s="11">
        <f>IF(AND(ISNUMBER(P1982),ISNUMBER(Q1982),P1982&gt;0,ISNUMBER($B$100)),Q1982/P1982,"")</f>
        <v/>
      </c>
      <c r="S1982" s="11">
        <f>IF(AND(ISNUMBER(P1982),ISNUMBER(Q1982),P1982&gt;0,ISNUMBER($B$100)),MAX(0,$B$100-3*SQRT($B$100/P1982)),"")</f>
        <v/>
      </c>
      <c r="T1982" s="11">
        <f>IF(AND(ISNUMBER(P1982),ISNUMBER(Q1982),P1982&gt;0,ISNUMBER($B$100)),$B$100+3*SQRT($B$100/P1982),"")</f>
        <v/>
      </c>
      <c r="U1982" s="13">
        <f>IF(AND(ISNUMBER(R1982),ISNUMBER(S1982),ISNUMBER(T1982)),IF(R1982&gt;T1982,"boven UCL",IF(R1982&lt;S1982,"onder LCL","")),"")</f>
        <v/>
      </c>
    </row>
    <row r="1983">
      <c r="A1983" t="n">
        <v>1877</v>
      </c>
      <c r="B1983" s="7" t="n"/>
      <c r="C1983" s="11">
        <f>IF(AND(ISNUMBER(B1983),ISNUMBER(B1982)),ABS(B1983-B1982),"")</f>
        <v/>
      </c>
      <c r="D1983" s="13">
        <f>IF(AND(ISNUMBER(B1983),ISNUMBER($B$88),ISNUMBER($D$88)),IF(B1983&gt;$D$88,"boven UCL",IF(B1983&lt;$B$88,"onder LCL","")),"")</f>
        <v/>
      </c>
      <c r="E1983" s="13">
        <f>IF(AND(ISNUMBER(C1983),ISNUMBER($B$89),ISNUMBER($D$89)),IF(C1983&gt;$D$89,"boven UCL",IF(C1983&lt;$B$89,"onder LCL","")),"")</f>
        <v/>
      </c>
      <c r="G1983" t="n">
        <v>1877</v>
      </c>
      <c r="H1983" s="7" t="n"/>
      <c r="I1983" s="7" t="n"/>
      <c r="J1983" s="11">
        <f>IF(AND(ISNUMBER(H1983),ISNUMBER(I1983),H1983&gt;0,ISNUMBER($B$94)),I1983/H1983,"")</f>
        <v/>
      </c>
      <c r="K1983" s="11">
        <f>IF(AND(ISNUMBER(H1983),ISNUMBER(I1983),H1983&gt;0,ISNUMBER($B$94)),MAX(0,$B$94-3*SQRT($B$94*(1-$B$94)/H1983)),"")</f>
        <v/>
      </c>
      <c r="L1983" s="11">
        <f>IF(AND(ISNUMBER(H1983),ISNUMBER(I1983),H1983&gt;0,ISNUMBER($B$94)),$B$94+3*SQRT($B$94*(1-$B$94)/H1983),"")</f>
        <v/>
      </c>
      <c r="M1983" s="13">
        <f>IF(AND(ISNUMBER(J1983),ISNUMBER(K1983),ISNUMBER(L1983)),IF(J1983&gt;L1983,"boven UCL",IF(J1983&lt;K1983,"onder LCL","")),"")</f>
        <v/>
      </c>
      <c r="O1983" t="n">
        <v>1877</v>
      </c>
      <c r="P1983" s="7" t="n"/>
      <c r="Q1983" s="7" t="n"/>
      <c r="R1983" s="11">
        <f>IF(AND(ISNUMBER(P1983),ISNUMBER(Q1983),P1983&gt;0,ISNUMBER($B$100)),Q1983/P1983,"")</f>
        <v/>
      </c>
      <c r="S1983" s="11">
        <f>IF(AND(ISNUMBER(P1983),ISNUMBER(Q1983),P1983&gt;0,ISNUMBER($B$100)),MAX(0,$B$100-3*SQRT($B$100/P1983)),"")</f>
        <v/>
      </c>
      <c r="T1983" s="11">
        <f>IF(AND(ISNUMBER(P1983),ISNUMBER(Q1983),P1983&gt;0,ISNUMBER($B$100)),$B$100+3*SQRT($B$100/P1983),"")</f>
        <v/>
      </c>
      <c r="U1983" s="13">
        <f>IF(AND(ISNUMBER(R1983),ISNUMBER(S1983),ISNUMBER(T1983)),IF(R1983&gt;T1983,"boven UCL",IF(R1983&lt;S1983,"onder LCL","")),"")</f>
        <v/>
      </c>
    </row>
    <row r="1984">
      <c r="A1984" t="n">
        <v>1878</v>
      </c>
      <c r="B1984" s="7" t="n"/>
      <c r="C1984" s="11">
        <f>IF(AND(ISNUMBER(B1984),ISNUMBER(B1983)),ABS(B1984-B1983),"")</f>
        <v/>
      </c>
      <c r="D1984" s="13">
        <f>IF(AND(ISNUMBER(B1984),ISNUMBER($B$88),ISNUMBER($D$88)),IF(B1984&gt;$D$88,"boven UCL",IF(B1984&lt;$B$88,"onder LCL","")),"")</f>
        <v/>
      </c>
      <c r="E1984" s="13">
        <f>IF(AND(ISNUMBER(C1984),ISNUMBER($B$89),ISNUMBER($D$89)),IF(C1984&gt;$D$89,"boven UCL",IF(C1984&lt;$B$89,"onder LCL","")),"")</f>
        <v/>
      </c>
      <c r="G1984" t="n">
        <v>1878</v>
      </c>
      <c r="H1984" s="7" t="n"/>
      <c r="I1984" s="7" t="n"/>
      <c r="J1984" s="11">
        <f>IF(AND(ISNUMBER(H1984),ISNUMBER(I1984),H1984&gt;0,ISNUMBER($B$94)),I1984/H1984,"")</f>
        <v/>
      </c>
      <c r="K1984" s="11">
        <f>IF(AND(ISNUMBER(H1984),ISNUMBER(I1984),H1984&gt;0,ISNUMBER($B$94)),MAX(0,$B$94-3*SQRT($B$94*(1-$B$94)/H1984)),"")</f>
        <v/>
      </c>
      <c r="L1984" s="11">
        <f>IF(AND(ISNUMBER(H1984),ISNUMBER(I1984),H1984&gt;0,ISNUMBER($B$94)),$B$94+3*SQRT($B$94*(1-$B$94)/H1984),"")</f>
        <v/>
      </c>
      <c r="M1984" s="13">
        <f>IF(AND(ISNUMBER(J1984),ISNUMBER(K1984),ISNUMBER(L1984)),IF(J1984&gt;L1984,"boven UCL",IF(J1984&lt;K1984,"onder LCL","")),"")</f>
        <v/>
      </c>
      <c r="O1984" t="n">
        <v>1878</v>
      </c>
      <c r="P1984" s="7" t="n"/>
      <c r="Q1984" s="7" t="n"/>
      <c r="R1984" s="11">
        <f>IF(AND(ISNUMBER(P1984),ISNUMBER(Q1984),P1984&gt;0,ISNUMBER($B$100)),Q1984/P1984,"")</f>
        <v/>
      </c>
      <c r="S1984" s="11">
        <f>IF(AND(ISNUMBER(P1984),ISNUMBER(Q1984),P1984&gt;0,ISNUMBER($B$100)),MAX(0,$B$100-3*SQRT($B$100/P1984)),"")</f>
        <v/>
      </c>
      <c r="T1984" s="11">
        <f>IF(AND(ISNUMBER(P1984),ISNUMBER(Q1984),P1984&gt;0,ISNUMBER($B$100)),$B$100+3*SQRT($B$100/P1984),"")</f>
        <v/>
      </c>
      <c r="U1984" s="13">
        <f>IF(AND(ISNUMBER(R1984),ISNUMBER(S1984),ISNUMBER(T1984)),IF(R1984&gt;T1984,"boven UCL",IF(R1984&lt;S1984,"onder LCL","")),"")</f>
        <v/>
      </c>
    </row>
    <row r="1985">
      <c r="A1985" t="n">
        <v>1879</v>
      </c>
      <c r="B1985" s="7" t="n"/>
      <c r="C1985" s="11">
        <f>IF(AND(ISNUMBER(B1985),ISNUMBER(B1984)),ABS(B1985-B1984),"")</f>
        <v/>
      </c>
      <c r="D1985" s="13">
        <f>IF(AND(ISNUMBER(B1985),ISNUMBER($B$88),ISNUMBER($D$88)),IF(B1985&gt;$D$88,"boven UCL",IF(B1985&lt;$B$88,"onder LCL","")),"")</f>
        <v/>
      </c>
      <c r="E1985" s="13">
        <f>IF(AND(ISNUMBER(C1985),ISNUMBER($B$89),ISNUMBER($D$89)),IF(C1985&gt;$D$89,"boven UCL",IF(C1985&lt;$B$89,"onder LCL","")),"")</f>
        <v/>
      </c>
      <c r="G1985" t="n">
        <v>1879</v>
      </c>
      <c r="H1985" s="7" t="n"/>
      <c r="I1985" s="7" t="n"/>
      <c r="J1985" s="11">
        <f>IF(AND(ISNUMBER(H1985),ISNUMBER(I1985),H1985&gt;0,ISNUMBER($B$94)),I1985/H1985,"")</f>
        <v/>
      </c>
      <c r="K1985" s="11">
        <f>IF(AND(ISNUMBER(H1985),ISNUMBER(I1985),H1985&gt;0,ISNUMBER($B$94)),MAX(0,$B$94-3*SQRT($B$94*(1-$B$94)/H1985)),"")</f>
        <v/>
      </c>
      <c r="L1985" s="11">
        <f>IF(AND(ISNUMBER(H1985),ISNUMBER(I1985),H1985&gt;0,ISNUMBER($B$94)),$B$94+3*SQRT($B$94*(1-$B$94)/H1985),"")</f>
        <v/>
      </c>
      <c r="M1985" s="13">
        <f>IF(AND(ISNUMBER(J1985),ISNUMBER(K1985),ISNUMBER(L1985)),IF(J1985&gt;L1985,"boven UCL",IF(J1985&lt;K1985,"onder LCL","")),"")</f>
        <v/>
      </c>
      <c r="O1985" t="n">
        <v>1879</v>
      </c>
      <c r="P1985" s="7" t="n"/>
      <c r="Q1985" s="7" t="n"/>
      <c r="R1985" s="11">
        <f>IF(AND(ISNUMBER(P1985),ISNUMBER(Q1985),P1985&gt;0,ISNUMBER($B$100)),Q1985/P1985,"")</f>
        <v/>
      </c>
      <c r="S1985" s="11">
        <f>IF(AND(ISNUMBER(P1985),ISNUMBER(Q1985),P1985&gt;0,ISNUMBER($B$100)),MAX(0,$B$100-3*SQRT($B$100/P1985)),"")</f>
        <v/>
      </c>
      <c r="T1985" s="11">
        <f>IF(AND(ISNUMBER(P1985),ISNUMBER(Q1985),P1985&gt;0,ISNUMBER($B$100)),$B$100+3*SQRT($B$100/P1985),"")</f>
        <v/>
      </c>
      <c r="U1985" s="13">
        <f>IF(AND(ISNUMBER(R1985),ISNUMBER(S1985),ISNUMBER(T1985)),IF(R1985&gt;T1985,"boven UCL",IF(R1985&lt;S1985,"onder LCL","")),"")</f>
        <v/>
      </c>
    </row>
    <row r="1986">
      <c r="A1986" t="n">
        <v>1880</v>
      </c>
      <c r="B1986" s="7" t="n"/>
      <c r="C1986" s="11">
        <f>IF(AND(ISNUMBER(B1986),ISNUMBER(B1985)),ABS(B1986-B1985),"")</f>
        <v/>
      </c>
      <c r="D1986" s="13">
        <f>IF(AND(ISNUMBER(B1986),ISNUMBER($B$88),ISNUMBER($D$88)),IF(B1986&gt;$D$88,"boven UCL",IF(B1986&lt;$B$88,"onder LCL","")),"")</f>
        <v/>
      </c>
      <c r="E1986" s="13">
        <f>IF(AND(ISNUMBER(C1986),ISNUMBER($B$89),ISNUMBER($D$89)),IF(C1986&gt;$D$89,"boven UCL",IF(C1986&lt;$B$89,"onder LCL","")),"")</f>
        <v/>
      </c>
      <c r="G1986" t="n">
        <v>1880</v>
      </c>
      <c r="H1986" s="7" t="n"/>
      <c r="I1986" s="7" t="n"/>
      <c r="J1986" s="11">
        <f>IF(AND(ISNUMBER(H1986),ISNUMBER(I1986),H1986&gt;0,ISNUMBER($B$94)),I1986/H1986,"")</f>
        <v/>
      </c>
      <c r="K1986" s="11">
        <f>IF(AND(ISNUMBER(H1986),ISNUMBER(I1986),H1986&gt;0,ISNUMBER($B$94)),MAX(0,$B$94-3*SQRT($B$94*(1-$B$94)/H1986)),"")</f>
        <v/>
      </c>
      <c r="L1986" s="11">
        <f>IF(AND(ISNUMBER(H1986),ISNUMBER(I1986),H1986&gt;0,ISNUMBER($B$94)),$B$94+3*SQRT($B$94*(1-$B$94)/H1986),"")</f>
        <v/>
      </c>
      <c r="M1986" s="13">
        <f>IF(AND(ISNUMBER(J1986),ISNUMBER(K1986),ISNUMBER(L1986)),IF(J1986&gt;L1986,"boven UCL",IF(J1986&lt;K1986,"onder LCL","")),"")</f>
        <v/>
      </c>
      <c r="O1986" t="n">
        <v>1880</v>
      </c>
      <c r="P1986" s="7" t="n"/>
      <c r="Q1986" s="7" t="n"/>
      <c r="R1986" s="11">
        <f>IF(AND(ISNUMBER(P1986),ISNUMBER(Q1986),P1986&gt;0,ISNUMBER($B$100)),Q1986/P1986,"")</f>
        <v/>
      </c>
      <c r="S1986" s="11">
        <f>IF(AND(ISNUMBER(P1986),ISNUMBER(Q1986),P1986&gt;0,ISNUMBER($B$100)),MAX(0,$B$100-3*SQRT($B$100/P1986)),"")</f>
        <v/>
      </c>
      <c r="T1986" s="11">
        <f>IF(AND(ISNUMBER(P1986),ISNUMBER(Q1986),P1986&gt;0,ISNUMBER($B$100)),$B$100+3*SQRT($B$100/P1986),"")</f>
        <v/>
      </c>
      <c r="U1986" s="13">
        <f>IF(AND(ISNUMBER(R1986),ISNUMBER(S1986),ISNUMBER(T1986)),IF(R1986&gt;T1986,"boven UCL",IF(R1986&lt;S1986,"onder LCL","")),"")</f>
        <v/>
      </c>
    </row>
    <row r="1987">
      <c r="A1987" t="n">
        <v>1881</v>
      </c>
      <c r="B1987" s="7" t="n"/>
      <c r="C1987" s="11">
        <f>IF(AND(ISNUMBER(B1987),ISNUMBER(B1986)),ABS(B1987-B1986),"")</f>
        <v/>
      </c>
      <c r="D1987" s="13">
        <f>IF(AND(ISNUMBER(B1987),ISNUMBER($B$88),ISNUMBER($D$88)),IF(B1987&gt;$D$88,"boven UCL",IF(B1987&lt;$B$88,"onder LCL","")),"")</f>
        <v/>
      </c>
      <c r="E1987" s="13">
        <f>IF(AND(ISNUMBER(C1987),ISNUMBER($B$89),ISNUMBER($D$89)),IF(C1987&gt;$D$89,"boven UCL",IF(C1987&lt;$B$89,"onder LCL","")),"")</f>
        <v/>
      </c>
      <c r="G1987" t="n">
        <v>1881</v>
      </c>
      <c r="H1987" s="7" t="n"/>
      <c r="I1987" s="7" t="n"/>
      <c r="J1987" s="11">
        <f>IF(AND(ISNUMBER(H1987),ISNUMBER(I1987),H1987&gt;0,ISNUMBER($B$94)),I1987/H1987,"")</f>
        <v/>
      </c>
      <c r="K1987" s="11">
        <f>IF(AND(ISNUMBER(H1987),ISNUMBER(I1987),H1987&gt;0,ISNUMBER($B$94)),MAX(0,$B$94-3*SQRT($B$94*(1-$B$94)/H1987)),"")</f>
        <v/>
      </c>
      <c r="L1987" s="11">
        <f>IF(AND(ISNUMBER(H1987),ISNUMBER(I1987),H1987&gt;0,ISNUMBER($B$94)),$B$94+3*SQRT($B$94*(1-$B$94)/H1987),"")</f>
        <v/>
      </c>
      <c r="M1987" s="13">
        <f>IF(AND(ISNUMBER(J1987),ISNUMBER(K1987),ISNUMBER(L1987)),IF(J1987&gt;L1987,"boven UCL",IF(J1987&lt;K1987,"onder LCL","")),"")</f>
        <v/>
      </c>
      <c r="O1987" t="n">
        <v>1881</v>
      </c>
      <c r="P1987" s="7" t="n"/>
      <c r="Q1987" s="7" t="n"/>
      <c r="R1987" s="11">
        <f>IF(AND(ISNUMBER(P1987),ISNUMBER(Q1987),P1987&gt;0,ISNUMBER($B$100)),Q1987/P1987,"")</f>
        <v/>
      </c>
      <c r="S1987" s="11">
        <f>IF(AND(ISNUMBER(P1987),ISNUMBER(Q1987),P1987&gt;0,ISNUMBER($B$100)),MAX(0,$B$100-3*SQRT($B$100/P1987)),"")</f>
        <v/>
      </c>
      <c r="T1987" s="11">
        <f>IF(AND(ISNUMBER(P1987),ISNUMBER(Q1987),P1987&gt;0,ISNUMBER($B$100)),$B$100+3*SQRT($B$100/P1987),"")</f>
        <v/>
      </c>
      <c r="U1987" s="13">
        <f>IF(AND(ISNUMBER(R1987),ISNUMBER(S1987),ISNUMBER(T1987)),IF(R1987&gt;T1987,"boven UCL",IF(R1987&lt;S1987,"onder LCL","")),"")</f>
        <v/>
      </c>
    </row>
    <row r="1988">
      <c r="A1988" t="n">
        <v>1882</v>
      </c>
      <c r="B1988" s="7" t="n"/>
      <c r="C1988" s="11">
        <f>IF(AND(ISNUMBER(B1988),ISNUMBER(B1987)),ABS(B1988-B1987),"")</f>
        <v/>
      </c>
      <c r="D1988" s="13">
        <f>IF(AND(ISNUMBER(B1988),ISNUMBER($B$88),ISNUMBER($D$88)),IF(B1988&gt;$D$88,"boven UCL",IF(B1988&lt;$B$88,"onder LCL","")),"")</f>
        <v/>
      </c>
      <c r="E1988" s="13">
        <f>IF(AND(ISNUMBER(C1988),ISNUMBER($B$89),ISNUMBER($D$89)),IF(C1988&gt;$D$89,"boven UCL",IF(C1988&lt;$B$89,"onder LCL","")),"")</f>
        <v/>
      </c>
      <c r="G1988" t="n">
        <v>1882</v>
      </c>
      <c r="H1988" s="7" t="n"/>
      <c r="I1988" s="7" t="n"/>
      <c r="J1988" s="11">
        <f>IF(AND(ISNUMBER(H1988),ISNUMBER(I1988),H1988&gt;0,ISNUMBER($B$94)),I1988/H1988,"")</f>
        <v/>
      </c>
      <c r="K1988" s="11">
        <f>IF(AND(ISNUMBER(H1988),ISNUMBER(I1988),H1988&gt;0,ISNUMBER($B$94)),MAX(0,$B$94-3*SQRT($B$94*(1-$B$94)/H1988)),"")</f>
        <v/>
      </c>
      <c r="L1988" s="11">
        <f>IF(AND(ISNUMBER(H1988),ISNUMBER(I1988),H1988&gt;0,ISNUMBER($B$94)),$B$94+3*SQRT($B$94*(1-$B$94)/H1988),"")</f>
        <v/>
      </c>
      <c r="M1988" s="13">
        <f>IF(AND(ISNUMBER(J1988),ISNUMBER(K1988),ISNUMBER(L1988)),IF(J1988&gt;L1988,"boven UCL",IF(J1988&lt;K1988,"onder LCL","")),"")</f>
        <v/>
      </c>
      <c r="O1988" t="n">
        <v>1882</v>
      </c>
      <c r="P1988" s="7" t="n"/>
      <c r="Q1988" s="7" t="n"/>
      <c r="R1988" s="11">
        <f>IF(AND(ISNUMBER(P1988),ISNUMBER(Q1988),P1988&gt;0,ISNUMBER($B$100)),Q1988/P1988,"")</f>
        <v/>
      </c>
      <c r="S1988" s="11">
        <f>IF(AND(ISNUMBER(P1988),ISNUMBER(Q1988),P1988&gt;0,ISNUMBER($B$100)),MAX(0,$B$100-3*SQRT($B$100/P1988)),"")</f>
        <v/>
      </c>
      <c r="T1988" s="11">
        <f>IF(AND(ISNUMBER(P1988),ISNUMBER(Q1988),P1988&gt;0,ISNUMBER($B$100)),$B$100+3*SQRT($B$100/P1988),"")</f>
        <v/>
      </c>
      <c r="U1988" s="13">
        <f>IF(AND(ISNUMBER(R1988),ISNUMBER(S1988),ISNUMBER(T1988)),IF(R1988&gt;T1988,"boven UCL",IF(R1988&lt;S1988,"onder LCL","")),"")</f>
        <v/>
      </c>
    </row>
    <row r="1989">
      <c r="A1989" t="n">
        <v>1883</v>
      </c>
      <c r="B1989" s="7" t="n"/>
      <c r="C1989" s="11">
        <f>IF(AND(ISNUMBER(B1989),ISNUMBER(B1988)),ABS(B1989-B1988),"")</f>
        <v/>
      </c>
      <c r="D1989" s="13">
        <f>IF(AND(ISNUMBER(B1989),ISNUMBER($B$88),ISNUMBER($D$88)),IF(B1989&gt;$D$88,"boven UCL",IF(B1989&lt;$B$88,"onder LCL","")),"")</f>
        <v/>
      </c>
      <c r="E1989" s="13">
        <f>IF(AND(ISNUMBER(C1989),ISNUMBER($B$89),ISNUMBER($D$89)),IF(C1989&gt;$D$89,"boven UCL",IF(C1989&lt;$B$89,"onder LCL","")),"")</f>
        <v/>
      </c>
      <c r="G1989" t="n">
        <v>1883</v>
      </c>
      <c r="H1989" s="7" t="n"/>
      <c r="I1989" s="7" t="n"/>
      <c r="J1989" s="11">
        <f>IF(AND(ISNUMBER(H1989),ISNUMBER(I1989),H1989&gt;0,ISNUMBER($B$94)),I1989/H1989,"")</f>
        <v/>
      </c>
      <c r="K1989" s="11">
        <f>IF(AND(ISNUMBER(H1989),ISNUMBER(I1989),H1989&gt;0,ISNUMBER($B$94)),MAX(0,$B$94-3*SQRT($B$94*(1-$B$94)/H1989)),"")</f>
        <v/>
      </c>
      <c r="L1989" s="11">
        <f>IF(AND(ISNUMBER(H1989),ISNUMBER(I1989),H1989&gt;0,ISNUMBER($B$94)),$B$94+3*SQRT($B$94*(1-$B$94)/H1989),"")</f>
        <v/>
      </c>
      <c r="M1989" s="13">
        <f>IF(AND(ISNUMBER(J1989),ISNUMBER(K1989),ISNUMBER(L1989)),IF(J1989&gt;L1989,"boven UCL",IF(J1989&lt;K1989,"onder LCL","")),"")</f>
        <v/>
      </c>
      <c r="O1989" t="n">
        <v>1883</v>
      </c>
      <c r="P1989" s="7" t="n"/>
      <c r="Q1989" s="7" t="n"/>
      <c r="R1989" s="11">
        <f>IF(AND(ISNUMBER(P1989),ISNUMBER(Q1989),P1989&gt;0,ISNUMBER($B$100)),Q1989/P1989,"")</f>
        <v/>
      </c>
      <c r="S1989" s="11">
        <f>IF(AND(ISNUMBER(P1989),ISNUMBER(Q1989),P1989&gt;0,ISNUMBER($B$100)),MAX(0,$B$100-3*SQRT($B$100/P1989)),"")</f>
        <v/>
      </c>
      <c r="T1989" s="11">
        <f>IF(AND(ISNUMBER(P1989),ISNUMBER(Q1989),P1989&gt;0,ISNUMBER($B$100)),$B$100+3*SQRT($B$100/P1989),"")</f>
        <v/>
      </c>
      <c r="U1989" s="13">
        <f>IF(AND(ISNUMBER(R1989),ISNUMBER(S1989),ISNUMBER(T1989)),IF(R1989&gt;T1989,"boven UCL",IF(R1989&lt;S1989,"onder LCL","")),"")</f>
        <v/>
      </c>
    </row>
    <row r="1990">
      <c r="A1990" t="n">
        <v>1884</v>
      </c>
      <c r="B1990" s="7" t="n"/>
      <c r="C1990" s="11">
        <f>IF(AND(ISNUMBER(B1990),ISNUMBER(B1989)),ABS(B1990-B1989),"")</f>
        <v/>
      </c>
      <c r="D1990" s="13">
        <f>IF(AND(ISNUMBER(B1990),ISNUMBER($B$88),ISNUMBER($D$88)),IF(B1990&gt;$D$88,"boven UCL",IF(B1990&lt;$B$88,"onder LCL","")),"")</f>
        <v/>
      </c>
      <c r="E1990" s="13">
        <f>IF(AND(ISNUMBER(C1990),ISNUMBER($B$89),ISNUMBER($D$89)),IF(C1990&gt;$D$89,"boven UCL",IF(C1990&lt;$B$89,"onder LCL","")),"")</f>
        <v/>
      </c>
      <c r="G1990" t="n">
        <v>1884</v>
      </c>
      <c r="H1990" s="7" t="n"/>
      <c r="I1990" s="7" t="n"/>
      <c r="J1990" s="11">
        <f>IF(AND(ISNUMBER(H1990),ISNUMBER(I1990),H1990&gt;0,ISNUMBER($B$94)),I1990/H1990,"")</f>
        <v/>
      </c>
      <c r="K1990" s="11">
        <f>IF(AND(ISNUMBER(H1990),ISNUMBER(I1990),H1990&gt;0,ISNUMBER($B$94)),MAX(0,$B$94-3*SQRT($B$94*(1-$B$94)/H1990)),"")</f>
        <v/>
      </c>
      <c r="L1990" s="11">
        <f>IF(AND(ISNUMBER(H1990),ISNUMBER(I1990),H1990&gt;0,ISNUMBER($B$94)),$B$94+3*SQRT($B$94*(1-$B$94)/H1990),"")</f>
        <v/>
      </c>
      <c r="M1990" s="13">
        <f>IF(AND(ISNUMBER(J1990),ISNUMBER(K1990),ISNUMBER(L1990)),IF(J1990&gt;L1990,"boven UCL",IF(J1990&lt;K1990,"onder LCL","")),"")</f>
        <v/>
      </c>
      <c r="O1990" t="n">
        <v>1884</v>
      </c>
      <c r="P1990" s="7" t="n"/>
      <c r="Q1990" s="7" t="n"/>
      <c r="R1990" s="11">
        <f>IF(AND(ISNUMBER(P1990),ISNUMBER(Q1990),P1990&gt;0,ISNUMBER($B$100)),Q1990/P1990,"")</f>
        <v/>
      </c>
      <c r="S1990" s="11">
        <f>IF(AND(ISNUMBER(P1990),ISNUMBER(Q1990),P1990&gt;0,ISNUMBER($B$100)),MAX(0,$B$100-3*SQRT($B$100/P1990)),"")</f>
        <v/>
      </c>
      <c r="T1990" s="11">
        <f>IF(AND(ISNUMBER(P1990),ISNUMBER(Q1990),P1990&gt;0,ISNUMBER($B$100)),$B$100+3*SQRT($B$100/P1990),"")</f>
        <v/>
      </c>
      <c r="U1990" s="13">
        <f>IF(AND(ISNUMBER(R1990),ISNUMBER(S1990),ISNUMBER(T1990)),IF(R1990&gt;T1990,"boven UCL",IF(R1990&lt;S1990,"onder LCL","")),"")</f>
        <v/>
      </c>
    </row>
    <row r="1991">
      <c r="A1991" t="n">
        <v>1885</v>
      </c>
      <c r="B1991" s="7" t="n"/>
      <c r="C1991" s="11">
        <f>IF(AND(ISNUMBER(B1991),ISNUMBER(B1990)),ABS(B1991-B1990),"")</f>
        <v/>
      </c>
      <c r="D1991" s="13">
        <f>IF(AND(ISNUMBER(B1991),ISNUMBER($B$88),ISNUMBER($D$88)),IF(B1991&gt;$D$88,"boven UCL",IF(B1991&lt;$B$88,"onder LCL","")),"")</f>
        <v/>
      </c>
      <c r="E1991" s="13">
        <f>IF(AND(ISNUMBER(C1991),ISNUMBER($B$89),ISNUMBER($D$89)),IF(C1991&gt;$D$89,"boven UCL",IF(C1991&lt;$B$89,"onder LCL","")),"")</f>
        <v/>
      </c>
      <c r="G1991" t="n">
        <v>1885</v>
      </c>
      <c r="H1991" s="7" t="n"/>
      <c r="I1991" s="7" t="n"/>
      <c r="J1991" s="11">
        <f>IF(AND(ISNUMBER(H1991),ISNUMBER(I1991),H1991&gt;0,ISNUMBER($B$94)),I1991/H1991,"")</f>
        <v/>
      </c>
      <c r="K1991" s="11">
        <f>IF(AND(ISNUMBER(H1991),ISNUMBER(I1991),H1991&gt;0,ISNUMBER($B$94)),MAX(0,$B$94-3*SQRT($B$94*(1-$B$94)/H1991)),"")</f>
        <v/>
      </c>
      <c r="L1991" s="11">
        <f>IF(AND(ISNUMBER(H1991),ISNUMBER(I1991),H1991&gt;0,ISNUMBER($B$94)),$B$94+3*SQRT($B$94*(1-$B$94)/H1991),"")</f>
        <v/>
      </c>
      <c r="M1991" s="13">
        <f>IF(AND(ISNUMBER(J1991),ISNUMBER(K1991),ISNUMBER(L1991)),IF(J1991&gt;L1991,"boven UCL",IF(J1991&lt;K1991,"onder LCL","")),"")</f>
        <v/>
      </c>
      <c r="O1991" t="n">
        <v>1885</v>
      </c>
      <c r="P1991" s="7" t="n"/>
      <c r="Q1991" s="7" t="n"/>
      <c r="R1991" s="11">
        <f>IF(AND(ISNUMBER(P1991),ISNUMBER(Q1991),P1991&gt;0,ISNUMBER($B$100)),Q1991/P1991,"")</f>
        <v/>
      </c>
      <c r="S1991" s="11">
        <f>IF(AND(ISNUMBER(P1991),ISNUMBER(Q1991),P1991&gt;0,ISNUMBER($B$100)),MAX(0,$B$100-3*SQRT($B$100/P1991)),"")</f>
        <v/>
      </c>
      <c r="T1991" s="11">
        <f>IF(AND(ISNUMBER(P1991),ISNUMBER(Q1991),P1991&gt;0,ISNUMBER($B$100)),$B$100+3*SQRT($B$100/P1991),"")</f>
        <v/>
      </c>
      <c r="U1991" s="13">
        <f>IF(AND(ISNUMBER(R1991),ISNUMBER(S1991),ISNUMBER(T1991)),IF(R1991&gt;T1991,"boven UCL",IF(R1991&lt;S1991,"onder LCL","")),"")</f>
        <v/>
      </c>
    </row>
    <row r="1992">
      <c r="A1992" t="n">
        <v>1886</v>
      </c>
      <c r="B1992" s="7" t="n"/>
      <c r="C1992" s="11">
        <f>IF(AND(ISNUMBER(B1992),ISNUMBER(B1991)),ABS(B1992-B1991),"")</f>
        <v/>
      </c>
      <c r="D1992" s="13">
        <f>IF(AND(ISNUMBER(B1992),ISNUMBER($B$88),ISNUMBER($D$88)),IF(B1992&gt;$D$88,"boven UCL",IF(B1992&lt;$B$88,"onder LCL","")),"")</f>
        <v/>
      </c>
      <c r="E1992" s="13">
        <f>IF(AND(ISNUMBER(C1992),ISNUMBER($B$89),ISNUMBER($D$89)),IF(C1992&gt;$D$89,"boven UCL",IF(C1992&lt;$B$89,"onder LCL","")),"")</f>
        <v/>
      </c>
      <c r="G1992" t="n">
        <v>1886</v>
      </c>
      <c r="H1992" s="7" t="n"/>
      <c r="I1992" s="7" t="n"/>
      <c r="J1992" s="11">
        <f>IF(AND(ISNUMBER(H1992),ISNUMBER(I1992),H1992&gt;0,ISNUMBER($B$94)),I1992/H1992,"")</f>
        <v/>
      </c>
      <c r="K1992" s="11">
        <f>IF(AND(ISNUMBER(H1992),ISNUMBER(I1992),H1992&gt;0,ISNUMBER($B$94)),MAX(0,$B$94-3*SQRT($B$94*(1-$B$94)/H1992)),"")</f>
        <v/>
      </c>
      <c r="L1992" s="11">
        <f>IF(AND(ISNUMBER(H1992),ISNUMBER(I1992),H1992&gt;0,ISNUMBER($B$94)),$B$94+3*SQRT($B$94*(1-$B$94)/H1992),"")</f>
        <v/>
      </c>
      <c r="M1992" s="13">
        <f>IF(AND(ISNUMBER(J1992),ISNUMBER(K1992),ISNUMBER(L1992)),IF(J1992&gt;L1992,"boven UCL",IF(J1992&lt;K1992,"onder LCL","")),"")</f>
        <v/>
      </c>
      <c r="O1992" t="n">
        <v>1886</v>
      </c>
      <c r="P1992" s="7" t="n"/>
      <c r="Q1992" s="7" t="n"/>
      <c r="R1992" s="11">
        <f>IF(AND(ISNUMBER(P1992),ISNUMBER(Q1992),P1992&gt;0,ISNUMBER($B$100)),Q1992/P1992,"")</f>
        <v/>
      </c>
      <c r="S1992" s="11">
        <f>IF(AND(ISNUMBER(P1992),ISNUMBER(Q1992),P1992&gt;0,ISNUMBER($B$100)),MAX(0,$B$100-3*SQRT($B$100/P1992)),"")</f>
        <v/>
      </c>
      <c r="T1992" s="11">
        <f>IF(AND(ISNUMBER(P1992),ISNUMBER(Q1992),P1992&gt;0,ISNUMBER($B$100)),$B$100+3*SQRT($B$100/P1992),"")</f>
        <v/>
      </c>
      <c r="U1992" s="13">
        <f>IF(AND(ISNUMBER(R1992),ISNUMBER(S1992),ISNUMBER(T1992)),IF(R1992&gt;T1992,"boven UCL",IF(R1992&lt;S1992,"onder LCL","")),"")</f>
        <v/>
      </c>
    </row>
    <row r="1993">
      <c r="A1993" t="n">
        <v>1887</v>
      </c>
      <c r="B1993" s="7" t="n"/>
      <c r="C1993" s="11">
        <f>IF(AND(ISNUMBER(B1993),ISNUMBER(B1992)),ABS(B1993-B1992),"")</f>
        <v/>
      </c>
      <c r="D1993" s="13">
        <f>IF(AND(ISNUMBER(B1993),ISNUMBER($B$88),ISNUMBER($D$88)),IF(B1993&gt;$D$88,"boven UCL",IF(B1993&lt;$B$88,"onder LCL","")),"")</f>
        <v/>
      </c>
      <c r="E1993" s="13">
        <f>IF(AND(ISNUMBER(C1993),ISNUMBER($B$89),ISNUMBER($D$89)),IF(C1993&gt;$D$89,"boven UCL",IF(C1993&lt;$B$89,"onder LCL","")),"")</f>
        <v/>
      </c>
      <c r="G1993" t="n">
        <v>1887</v>
      </c>
      <c r="H1993" s="7" t="n"/>
      <c r="I1993" s="7" t="n"/>
      <c r="J1993" s="11">
        <f>IF(AND(ISNUMBER(H1993),ISNUMBER(I1993),H1993&gt;0,ISNUMBER($B$94)),I1993/H1993,"")</f>
        <v/>
      </c>
      <c r="K1993" s="11">
        <f>IF(AND(ISNUMBER(H1993),ISNUMBER(I1993),H1993&gt;0,ISNUMBER($B$94)),MAX(0,$B$94-3*SQRT($B$94*(1-$B$94)/H1993)),"")</f>
        <v/>
      </c>
      <c r="L1993" s="11">
        <f>IF(AND(ISNUMBER(H1993),ISNUMBER(I1993),H1993&gt;0,ISNUMBER($B$94)),$B$94+3*SQRT($B$94*(1-$B$94)/H1993),"")</f>
        <v/>
      </c>
      <c r="M1993" s="13">
        <f>IF(AND(ISNUMBER(J1993),ISNUMBER(K1993),ISNUMBER(L1993)),IF(J1993&gt;L1993,"boven UCL",IF(J1993&lt;K1993,"onder LCL","")),"")</f>
        <v/>
      </c>
      <c r="O1993" t="n">
        <v>1887</v>
      </c>
      <c r="P1993" s="7" t="n"/>
      <c r="Q1993" s="7" t="n"/>
      <c r="R1993" s="11">
        <f>IF(AND(ISNUMBER(P1993),ISNUMBER(Q1993),P1993&gt;0,ISNUMBER($B$100)),Q1993/P1993,"")</f>
        <v/>
      </c>
      <c r="S1993" s="11">
        <f>IF(AND(ISNUMBER(P1993),ISNUMBER(Q1993),P1993&gt;0,ISNUMBER($B$100)),MAX(0,$B$100-3*SQRT($B$100/P1993)),"")</f>
        <v/>
      </c>
      <c r="T1993" s="11">
        <f>IF(AND(ISNUMBER(P1993),ISNUMBER(Q1993),P1993&gt;0,ISNUMBER($B$100)),$B$100+3*SQRT($B$100/P1993),"")</f>
        <v/>
      </c>
      <c r="U1993" s="13">
        <f>IF(AND(ISNUMBER(R1993),ISNUMBER(S1993),ISNUMBER(T1993)),IF(R1993&gt;T1993,"boven UCL",IF(R1993&lt;S1993,"onder LCL","")),"")</f>
        <v/>
      </c>
    </row>
    <row r="1994">
      <c r="A1994" t="n">
        <v>1888</v>
      </c>
      <c r="B1994" s="7" t="n"/>
      <c r="C1994" s="11">
        <f>IF(AND(ISNUMBER(B1994),ISNUMBER(B1993)),ABS(B1994-B1993),"")</f>
        <v/>
      </c>
      <c r="D1994" s="13">
        <f>IF(AND(ISNUMBER(B1994),ISNUMBER($B$88),ISNUMBER($D$88)),IF(B1994&gt;$D$88,"boven UCL",IF(B1994&lt;$B$88,"onder LCL","")),"")</f>
        <v/>
      </c>
      <c r="E1994" s="13">
        <f>IF(AND(ISNUMBER(C1994),ISNUMBER($B$89),ISNUMBER($D$89)),IF(C1994&gt;$D$89,"boven UCL",IF(C1994&lt;$B$89,"onder LCL","")),"")</f>
        <v/>
      </c>
      <c r="G1994" t="n">
        <v>1888</v>
      </c>
      <c r="H1994" s="7" t="n"/>
      <c r="I1994" s="7" t="n"/>
      <c r="J1994" s="11">
        <f>IF(AND(ISNUMBER(H1994),ISNUMBER(I1994),H1994&gt;0,ISNUMBER($B$94)),I1994/H1994,"")</f>
        <v/>
      </c>
      <c r="K1994" s="11">
        <f>IF(AND(ISNUMBER(H1994),ISNUMBER(I1994),H1994&gt;0,ISNUMBER($B$94)),MAX(0,$B$94-3*SQRT($B$94*(1-$B$94)/H1994)),"")</f>
        <v/>
      </c>
      <c r="L1994" s="11">
        <f>IF(AND(ISNUMBER(H1994),ISNUMBER(I1994),H1994&gt;0,ISNUMBER($B$94)),$B$94+3*SQRT($B$94*(1-$B$94)/H1994),"")</f>
        <v/>
      </c>
      <c r="M1994" s="13">
        <f>IF(AND(ISNUMBER(J1994),ISNUMBER(K1994),ISNUMBER(L1994)),IF(J1994&gt;L1994,"boven UCL",IF(J1994&lt;K1994,"onder LCL","")),"")</f>
        <v/>
      </c>
      <c r="O1994" t="n">
        <v>1888</v>
      </c>
      <c r="P1994" s="7" t="n"/>
      <c r="Q1994" s="7" t="n"/>
      <c r="R1994" s="11">
        <f>IF(AND(ISNUMBER(P1994),ISNUMBER(Q1994),P1994&gt;0,ISNUMBER($B$100)),Q1994/P1994,"")</f>
        <v/>
      </c>
      <c r="S1994" s="11">
        <f>IF(AND(ISNUMBER(P1994),ISNUMBER(Q1994),P1994&gt;0,ISNUMBER($B$100)),MAX(0,$B$100-3*SQRT($B$100/P1994)),"")</f>
        <v/>
      </c>
      <c r="T1994" s="11">
        <f>IF(AND(ISNUMBER(P1994),ISNUMBER(Q1994),P1994&gt;0,ISNUMBER($B$100)),$B$100+3*SQRT($B$100/P1994),"")</f>
        <v/>
      </c>
      <c r="U1994" s="13">
        <f>IF(AND(ISNUMBER(R1994),ISNUMBER(S1994),ISNUMBER(T1994)),IF(R1994&gt;T1994,"boven UCL",IF(R1994&lt;S1994,"onder LCL","")),"")</f>
        <v/>
      </c>
    </row>
    <row r="1995">
      <c r="A1995" t="n">
        <v>1889</v>
      </c>
      <c r="B1995" s="7" t="n"/>
      <c r="C1995" s="11">
        <f>IF(AND(ISNUMBER(B1995),ISNUMBER(B1994)),ABS(B1995-B1994),"")</f>
        <v/>
      </c>
      <c r="D1995" s="13">
        <f>IF(AND(ISNUMBER(B1995),ISNUMBER($B$88),ISNUMBER($D$88)),IF(B1995&gt;$D$88,"boven UCL",IF(B1995&lt;$B$88,"onder LCL","")),"")</f>
        <v/>
      </c>
      <c r="E1995" s="13">
        <f>IF(AND(ISNUMBER(C1995),ISNUMBER($B$89),ISNUMBER($D$89)),IF(C1995&gt;$D$89,"boven UCL",IF(C1995&lt;$B$89,"onder LCL","")),"")</f>
        <v/>
      </c>
      <c r="G1995" t="n">
        <v>1889</v>
      </c>
      <c r="H1995" s="7" t="n"/>
      <c r="I1995" s="7" t="n"/>
      <c r="J1995" s="11">
        <f>IF(AND(ISNUMBER(H1995),ISNUMBER(I1995),H1995&gt;0,ISNUMBER($B$94)),I1995/H1995,"")</f>
        <v/>
      </c>
      <c r="K1995" s="11">
        <f>IF(AND(ISNUMBER(H1995),ISNUMBER(I1995),H1995&gt;0,ISNUMBER($B$94)),MAX(0,$B$94-3*SQRT($B$94*(1-$B$94)/H1995)),"")</f>
        <v/>
      </c>
      <c r="L1995" s="11">
        <f>IF(AND(ISNUMBER(H1995),ISNUMBER(I1995),H1995&gt;0,ISNUMBER($B$94)),$B$94+3*SQRT($B$94*(1-$B$94)/H1995),"")</f>
        <v/>
      </c>
      <c r="M1995" s="13">
        <f>IF(AND(ISNUMBER(J1995),ISNUMBER(K1995),ISNUMBER(L1995)),IF(J1995&gt;L1995,"boven UCL",IF(J1995&lt;K1995,"onder LCL","")),"")</f>
        <v/>
      </c>
      <c r="O1995" t="n">
        <v>1889</v>
      </c>
      <c r="P1995" s="7" t="n"/>
      <c r="Q1995" s="7" t="n"/>
      <c r="R1995" s="11">
        <f>IF(AND(ISNUMBER(P1995),ISNUMBER(Q1995),P1995&gt;0,ISNUMBER($B$100)),Q1995/P1995,"")</f>
        <v/>
      </c>
      <c r="S1995" s="11">
        <f>IF(AND(ISNUMBER(P1995),ISNUMBER(Q1995),P1995&gt;0,ISNUMBER($B$100)),MAX(0,$B$100-3*SQRT($B$100/P1995)),"")</f>
        <v/>
      </c>
      <c r="T1995" s="11">
        <f>IF(AND(ISNUMBER(P1995),ISNUMBER(Q1995),P1995&gt;0,ISNUMBER($B$100)),$B$100+3*SQRT($B$100/P1995),"")</f>
        <v/>
      </c>
      <c r="U1995" s="13">
        <f>IF(AND(ISNUMBER(R1995),ISNUMBER(S1995),ISNUMBER(T1995)),IF(R1995&gt;T1995,"boven UCL",IF(R1995&lt;S1995,"onder LCL","")),"")</f>
        <v/>
      </c>
    </row>
    <row r="1996">
      <c r="A1996" t="n">
        <v>1890</v>
      </c>
      <c r="B1996" s="7" t="n"/>
      <c r="C1996" s="11">
        <f>IF(AND(ISNUMBER(B1996),ISNUMBER(B1995)),ABS(B1996-B1995),"")</f>
        <v/>
      </c>
      <c r="D1996" s="13">
        <f>IF(AND(ISNUMBER(B1996),ISNUMBER($B$88),ISNUMBER($D$88)),IF(B1996&gt;$D$88,"boven UCL",IF(B1996&lt;$B$88,"onder LCL","")),"")</f>
        <v/>
      </c>
      <c r="E1996" s="13">
        <f>IF(AND(ISNUMBER(C1996),ISNUMBER($B$89),ISNUMBER($D$89)),IF(C1996&gt;$D$89,"boven UCL",IF(C1996&lt;$B$89,"onder LCL","")),"")</f>
        <v/>
      </c>
      <c r="G1996" t="n">
        <v>1890</v>
      </c>
      <c r="H1996" s="7" t="n"/>
      <c r="I1996" s="7" t="n"/>
      <c r="J1996" s="11">
        <f>IF(AND(ISNUMBER(H1996),ISNUMBER(I1996),H1996&gt;0,ISNUMBER($B$94)),I1996/H1996,"")</f>
        <v/>
      </c>
      <c r="K1996" s="11">
        <f>IF(AND(ISNUMBER(H1996),ISNUMBER(I1996),H1996&gt;0,ISNUMBER($B$94)),MAX(0,$B$94-3*SQRT($B$94*(1-$B$94)/H1996)),"")</f>
        <v/>
      </c>
      <c r="L1996" s="11">
        <f>IF(AND(ISNUMBER(H1996),ISNUMBER(I1996),H1996&gt;0,ISNUMBER($B$94)),$B$94+3*SQRT($B$94*(1-$B$94)/H1996),"")</f>
        <v/>
      </c>
      <c r="M1996" s="13">
        <f>IF(AND(ISNUMBER(J1996),ISNUMBER(K1996),ISNUMBER(L1996)),IF(J1996&gt;L1996,"boven UCL",IF(J1996&lt;K1996,"onder LCL","")),"")</f>
        <v/>
      </c>
      <c r="O1996" t="n">
        <v>1890</v>
      </c>
      <c r="P1996" s="7" t="n"/>
      <c r="Q1996" s="7" t="n"/>
      <c r="R1996" s="11">
        <f>IF(AND(ISNUMBER(P1996),ISNUMBER(Q1996),P1996&gt;0,ISNUMBER($B$100)),Q1996/P1996,"")</f>
        <v/>
      </c>
      <c r="S1996" s="11">
        <f>IF(AND(ISNUMBER(P1996),ISNUMBER(Q1996),P1996&gt;0,ISNUMBER($B$100)),MAX(0,$B$100-3*SQRT($B$100/P1996)),"")</f>
        <v/>
      </c>
      <c r="T1996" s="11">
        <f>IF(AND(ISNUMBER(P1996),ISNUMBER(Q1996),P1996&gt;0,ISNUMBER($B$100)),$B$100+3*SQRT($B$100/P1996),"")</f>
        <v/>
      </c>
      <c r="U1996" s="13">
        <f>IF(AND(ISNUMBER(R1996),ISNUMBER(S1996),ISNUMBER(T1996)),IF(R1996&gt;T1996,"boven UCL",IF(R1996&lt;S1996,"onder LCL","")),"")</f>
        <v/>
      </c>
    </row>
    <row r="1997">
      <c r="A1997" t="n">
        <v>1891</v>
      </c>
      <c r="B1997" s="7" t="n"/>
      <c r="C1997" s="11">
        <f>IF(AND(ISNUMBER(B1997),ISNUMBER(B1996)),ABS(B1997-B1996),"")</f>
        <v/>
      </c>
      <c r="D1997" s="13">
        <f>IF(AND(ISNUMBER(B1997),ISNUMBER($B$88),ISNUMBER($D$88)),IF(B1997&gt;$D$88,"boven UCL",IF(B1997&lt;$B$88,"onder LCL","")),"")</f>
        <v/>
      </c>
      <c r="E1997" s="13">
        <f>IF(AND(ISNUMBER(C1997),ISNUMBER($B$89),ISNUMBER($D$89)),IF(C1997&gt;$D$89,"boven UCL",IF(C1997&lt;$B$89,"onder LCL","")),"")</f>
        <v/>
      </c>
      <c r="G1997" t="n">
        <v>1891</v>
      </c>
      <c r="H1997" s="7" t="n"/>
      <c r="I1997" s="7" t="n"/>
      <c r="J1997" s="11">
        <f>IF(AND(ISNUMBER(H1997),ISNUMBER(I1997),H1997&gt;0,ISNUMBER($B$94)),I1997/H1997,"")</f>
        <v/>
      </c>
      <c r="K1997" s="11">
        <f>IF(AND(ISNUMBER(H1997),ISNUMBER(I1997),H1997&gt;0,ISNUMBER($B$94)),MAX(0,$B$94-3*SQRT($B$94*(1-$B$94)/H1997)),"")</f>
        <v/>
      </c>
      <c r="L1997" s="11">
        <f>IF(AND(ISNUMBER(H1997),ISNUMBER(I1997),H1997&gt;0,ISNUMBER($B$94)),$B$94+3*SQRT($B$94*(1-$B$94)/H1997),"")</f>
        <v/>
      </c>
      <c r="M1997" s="13">
        <f>IF(AND(ISNUMBER(J1997),ISNUMBER(K1997),ISNUMBER(L1997)),IF(J1997&gt;L1997,"boven UCL",IF(J1997&lt;K1997,"onder LCL","")),"")</f>
        <v/>
      </c>
      <c r="O1997" t="n">
        <v>1891</v>
      </c>
      <c r="P1997" s="7" t="n"/>
      <c r="Q1997" s="7" t="n"/>
      <c r="R1997" s="11">
        <f>IF(AND(ISNUMBER(P1997),ISNUMBER(Q1997),P1997&gt;0,ISNUMBER($B$100)),Q1997/P1997,"")</f>
        <v/>
      </c>
      <c r="S1997" s="11">
        <f>IF(AND(ISNUMBER(P1997),ISNUMBER(Q1997),P1997&gt;0,ISNUMBER($B$100)),MAX(0,$B$100-3*SQRT($B$100/P1997)),"")</f>
        <v/>
      </c>
      <c r="T1997" s="11">
        <f>IF(AND(ISNUMBER(P1997),ISNUMBER(Q1997),P1997&gt;0,ISNUMBER($B$100)),$B$100+3*SQRT($B$100/P1997),"")</f>
        <v/>
      </c>
      <c r="U1997" s="13">
        <f>IF(AND(ISNUMBER(R1997),ISNUMBER(S1997),ISNUMBER(T1997)),IF(R1997&gt;T1997,"boven UCL",IF(R1997&lt;S1997,"onder LCL","")),"")</f>
        <v/>
      </c>
    </row>
    <row r="1998">
      <c r="A1998" t="n">
        <v>1892</v>
      </c>
      <c r="B1998" s="7" t="n"/>
      <c r="C1998" s="11">
        <f>IF(AND(ISNUMBER(B1998),ISNUMBER(B1997)),ABS(B1998-B1997),"")</f>
        <v/>
      </c>
      <c r="D1998" s="13">
        <f>IF(AND(ISNUMBER(B1998),ISNUMBER($B$88),ISNUMBER($D$88)),IF(B1998&gt;$D$88,"boven UCL",IF(B1998&lt;$B$88,"onder LCL","")),"")</f>
        <v/>
      </c>
      <c r="E1998" s="13">
        <f>IF(AND(ISNUMBER(C1998),ISNUMBER($B$89),ISNUMBER($D$89)),IF(C1998&gt;$D$89,"boven UCL",IF(C1998&lt;$B$89,"onder LCL","")),"")</f>
        <v/>
      </c>
      <c r="G1998" t="n">
        <v>1892</v>
      </c>
      <c r="H1998" s="7" t="n"/>
      <c r="I1998" s="7" t="n"/>
      <c r="J1998" s="11">
        <f>IF(AND(ISNUMBER(H1998),ISNUMBER(I1998),H1998&gt;0,ISNUMBER($B$94)),I1998/H1998,"")</f>
        <v/>
      </c>
      <c r="K1998" s="11">
        <f>IF(AND(ISNUMBER(H1998),ISNUMBER(I1998),H1998&gt;0,ISNUMBER($B$94)),MAX(0,$B$94-3*SQRT($B$94*(1-$B$94)/H1998)),"")</f>
        <v/>
      </c>
      <c r="L1998" s="11">
        <f>IF(AND(ISNUMBER(H1998),ISNUMBER(I1998),H1998&gt;0,ISNUMBER($B$94)),$B$94+3*SQRT($B$94*(1-$B$94)/H1998),"")</f>
        <v/>
      </c>
      <c r="M1998" s="13">
        <f>IF(AND(ISNUMBER(J1998),ISNUMBER(K1998),ISNUMBER(L1998)),IF(J1998&gt;L1998,"boven UCL",IF(J1998&lt;K1998,"onder LCL","")),"")</f>
        <v/>
      </c>
      <c r="O1998" t="n">
        <v>1892</v>
      </c>
      <c r="P1998" s="7" t="n"/>
      <c r="Q1998" s="7" t="n"/>
      <c r="R1998" s="11">
        <f>IF(AND(ISNUMBER(P1998),ISNUMBER(Q1998),P1998&gt;0,ISNUMBER($B$100)),Q1998/P1998,"")</f>
        <v/>
      </c>
      <c r="S1998" s="11">
        <f>IF(AND(ISNUMBER(P1998),ISNUMBER(Q1998),P1998&gt;0,ISNUMBER($B$100)),MAX(0,$B$100-3*SQRT($B$100/P1998)),"")</f>
        <v/>
      </c>
      <c r="T1998" s="11">
        <f>IF(AND(ISNUMBER(P1998),ISNUMBER(Q1998),P1998&gt;0,ISNUMBER($B$100)),$B$100+3*SQRT($B$100/P1998),"")</f>
        <v/>
      </c>
      <c r="U1998" s="13">
        <f>IF(AND(ISNUMBER(R1998),ISNUMBER(S1998),ISNUMBER(T1998)),IF(R1998&gt;T1998,"boven UCL",IF(R1998&lt;S1998,"onder LCL","")),"")</f>
        <v/>
      </c>
    </row>
    <row r="1999">
      <c r="A1999" t="n">
        <v>1893</v>
      </c>
      <c r="B1999" s="7" t="n"/>
      <c r="C1999" s="11">
        <f>IF(AND(ISNUMBER(B1999),ISNUMBER(B1998)),ABS(B1999-B1998),"")</f>
        <v/>
      </c>
      <c r="D1999" s="13">
        <f>IF(AND(ISNUMBER(B1999),ISNUMBER($B$88),ISNUMBER($D$88)),IF(B1999&gt;$D$88,"boven UCL",IF(B1999&lt;$B$88,"onder LCL","")),"")</f>
        <v/>
      </c>
      <c r="E1999" s="13">
        <f>IF(AND(ISNUMBER(C1999),ISNUMBER($B$89),ISNUMBER($D$89)),IF(C1999&gt;$D$89,"boven UCL",IF(C1999&lt;$B$89,"onder LCL","")),"")</f>
        <v/>
      </c>
      <c r="G1999" t="n">
        <v>1893</v>
      </c>
      <c r="H1999" s="7" t="n"/>
      <c r="I1999" s="7" t="n"/>
      <c r="J1999" s="11">
        <f>IF(AND(ISNUMBER(H1999),ISNUMBER(I1999),H1999&gt;0,ISNUMBER($B$94)),I1999/H1999,"")</f>
        <v/>
      </c>
      <c r="K1999" s="11">
        <f>IF(AND(ISNUMBER(H1999),ISNUMBER(I1999),H1999&gt;0,ISNUMBER($B$94)),MAX(0,$B$94-3*SQRT($B$94*(1-$B$94)/H1999)),"")</f>
        <v/>
      </c>
      <c r="L1999" s="11">
        <f>IF(AND(ISNUMBER(H1999),ISNUMBER(I1999),H1999&gt;0,ISNUMBER($B$94)),$B$94+3*SQRT($B$94*(1-$B$94)/H1999),"")</f>
        <v/>
      </c>
      <c r="M1999" s="13">
        <f>IF(AND(ISNUMBER(J1999),ISNUMBER(K1999),ISNUMBER(L1999)),IF(J1999&gt;L1999,"boven UCL",IF(J1999&lt;K1999,"onder LCL","")),"")</f>
        <v/>
      </c>
      <c r="O1999" t="n">
        <v>1893</v>
      </c>
      <c r="P1999" s="7" t="n"/>
      <c r="Q1999" s="7" t="n"/>
      <c r="R1999" s="11">
        <f>IF(AND(ISNUMBER(P1999),ISNUMBER(Q1999),P1999&gt;0,ISNUMBER($B$100)),Q1999/P1999,"")</f>
        <v/>
      </c>
      <c r="S1999" s="11">
        <f>IF(AND(ISNUMBER(P1999),ISNUMBER(Q1999),P1999&gt;0,ISNUMBER($B$100)),MAX(0,$B$100-3*SQRT($B$100/P1999)),"")</f>
        <v/>
      </c>
      <c r="T1999" s="11">
        <f>IF(AND(ISNUMBER(P1999),ISNUMBER(Q1999),P1999&gt;0,ISNUMBER($B$100)),$B$100+3*SQRT($B$100/P1999),"")</f>
        <v/>
      </c>
      <c r="U1999" s="13">
        <f>IF(AND(ISNUMBER(R1999),ISNUMBER(S1999),ISNUMBER(T1999)),IF(R1999&gt;T1999,"boven UCL",IF(R1999&lt;S1999,"onder LCL","")),"")</f>
        <v/>
      </c>
    </row>
    <row r="2000">
      <c r="A2000" t="n">
        <v>1894</v>
      </c>
      <c r="B2000" s="7" t="n"/>
      <c r="C2000" s="11">
        <f>IF(AND(ISNUMBER(B2000),ISNUMBER(B1999)),ABS(B2000-B1999),"")</f>
        <v/>
      </c>
      <c r="D2000" s="13">
        <f>IF(AND(ISNUMBER(B2000),ISNUMBER($B$88),ISNUMBER($D$88)),IF(B2000&gt;$D$88,"boven UCL",IF(B2000&lt;$B$88,"onder LCL","")),"")</f>
        <v/>
      </c>
      <c r="E2000" s="13">
        <f>IF(AND(ISNUMBER(C2000),ISNUMBER($B$89),ISNUMBER($D$89)),IF(C2000&gt;$D$89,"boven UCL",IF(C2000&lt;$B$89,"onder LCL","")),"")</f>
        <v/>
      </c>
      <c r="G2000" t="n">
        <v>1894</v>
      </c>
      <c r="H2000" s="7" t="n"/>
      <c r="I2000" s="7" t="n"/>
      <c r="J2000" s="11">
        <f>IF(AND(ISNUMBER(H2000),ISNUMBER(I2000),H2000&gt;0,ISNUMBER($B$94)),I2000/H2000,"")</f>
        <v/>
      </c>
      <c r="K2000" s="11">
        <f>IF(AND(ISNUMBER(H2000),ISNUMBER(I2000),H2000&gt;0,ISNUMBER($B$94)),MAX(0,$B$94-3*SQRT($B$94*(1-$B$94)/H2000)),"")</f>
        <v/>
      </c>
      <c r="L2000" s="11">
        <f>IF(AND(ISNUMBER(H2000),ISNUMBER(I2000),H2000&gt;0,ISNUMBER($B$94)),$B$94+3*SQRT($B$94*(1-$B$94)/H2000),"")</f>
        <v/>
      </c>
      <c r="M2000" s="13">
        <f>IF(AND(ISNUMBER(J2000),ISNUMBER(K2000),ISNUMBER(L2000)),IF(J2000&gt;L2000,"boven UCL",IF(J2000&lt;K2000,"onder LCL","")),"")</f>
        <v/>
      </c>
      <c r="O2000" t="n">
        <v>1894</v>
      </c>
      <c r="P2000" s="7" t="n"/>
      <c r="Q2000" s="7" t="n"/>
      <c r="R2000" s="11">
        <f>IF(AND(ISNUMBER(P2000),ISNUMBER(Q2000),P2000&gt;0,ISNUMBER($B$100)),Q2000/P2000,"")</f>
        <v/>
      </c>
      <c r="S2000" s="11">
        <f>IF(AND(ISNUMBER(P2000),ISNUMBER(Q2000),P2000&gt;0,ISNUMBER($B$100)),MAX(0,$B$100-3*SQRT($B$100/P2000)),"")</f>
        <v/>
      </c>
      <c r="T2000" s="11">
        <f>IF(AND(ISNUMBER(P2000),ISNUMBER(Q2000),P2000&gt;0,ISNUMBER($B$100)),$B$100+3*SQRT($B$100/P2000),"")</f>
        <v/>
      </c>
      <c r="U2000" s="13">
        <f>IF(AND(ISNUMBER(R2000),ISNUMBER(S2000),ISNUMBER(T2000)),IF(R2000&gt;T2000,"boven UCL",IF(R2000&lt;S2000,"onder LCL","")),"")</f>
        <v/>
      </c>
    </row>
    <row r="2001">
      <c r="A2001" t="n">
        <v>1895</v>
      </c>
      <c r="B2001" s="7" t="n"/>
      <c r="C2001" s="11">
        <f>IF(AND(ISNUMBER(B2001),ISNUMBER(B2000)),ABS(B2001-B2000),"")</f>
        <v/>
      </c>
      <c r="D2001" s="13">
        <f>IF(AND(ISNUMBER(B2001),ISNUMBER($B$88),ISNUMBER($D$88)),IF(B2001&gt;$D$88,"boven UCL",IF(B2001&lt;$B$88,"onder LCL","")),"")</f>
        <v/>
      </c>
      <c r="E2001" s="13">
        <f>IF(AND(ISNUMBER(C2001),ISNUMBER($B$89),ISNUMBER($D$89)),IF(C2001&gt;$D$89,"boven UCL",IF(C2001&lt;$B$89,"onder LCL","")),"")</f>
        <v/>
      </c>
      <c r="G2001" t="n">
        <v>1895</v>
      </c>
      <c r="H2001" s="7" t="n"/>
      <c r="I2001" s="7" t="n"/>
      <c r="J2001" s="11">
        <f>IF(AND(ISNUMBER(H2001),ISNUMBER(I2001),H2001&gt;0,ISNUMBER($B$94)),I2001/H2001,"")</f>
        <v/>
      </c>
      <c r="K2001" s="11">
        <f>IF(AND(ISNUMBER(H2001),ISNUMBER(I2001),H2001&gt;0,ISNUMBER($B$94)),MAX(0,$B$94-3*SQRT($B$94*(1-$B$94)/H2001)),"")</f>
        <v/>
      </c>
      <c r="L2001" s="11">
        <f>IF(AND(ISNUMBER(H2001),ISNUMBER(I2001),H2001&gt;0,ISNUMBER($B$94)),$B$94+3*SQRT($B$94*(1-$B$94)/H2001),"")</f>
        <v/>
      </c>
      <c r="M2001" s="13">
        <f>IF(AND(ISNUMBER(J2001),ISNUMBER(K2001),ISNUMBER(L2001)),IF(J2001&gt;L2001,"boven UCL",IF(J2001&lt;K2001,"onder LCL","")),"")</f>
        <v/>
      </c>
      <c r="O2001" t="n">
        <v>1895</v>
      </c>
      <c r="P2001" s="7" t="n"/>
      <c r="Q2001" s="7" t="n"/>
      <c r="R2001" s="11">
        <f>IF(AND(ISNUMBER(P2001),ISNUMBER(Q2001),P2001&gt;0,ISNUMBER($B$100)),Q2001/P2001,"")</f>
        <v/>
      </c>
      <c r="S2001" s="11">
        <f>IF(AND(ISNUMBER(P2001),ISNUMBER(Q2001),P2001&gt;0,ISNUMBER($B$100)),MAX(0,$B$100-3*SQRT($B$100/P2001)),"")</f>
        <v/>
      </c>
      <c r="T2001" s="11">
        <f>IF(AND(ISNUMBER(P2001),ISNUMBER(Q2001),P2001&gt;0,ISNUMBER($B$100)),$B$100+3*SQRT($B$100/P2001),"")</f>
        <v/>
      </c>
      <c r="U2001" s="13">
        <f>IF(AND(ISNUMBER(R2001),ISNUMBER(S2001),ISNUMBER(T2001)),IF(R2001&gt;T2001,"boven UCL",IF(R2001&lt;S2001,"onder LCL","")),"")</f>
        <v/>
      </c>
    </row>
    <row r="2002">
      <c r="A2002" t="n">
        <v>1896</v>
      </c>
      <c r="B2002" s="7" t="n"/>
      <c r="C2002" s="11">
        <f>IF(AND(ISNUMBER(B2002),ISNUMBER(B2001)),ABS(B2002-B2001),"")</f>
        <v/>
      </c>
      <c r="D2002" s="13">
        <f>IF(AND(ISNUMBER(B2002),ISNUMBER($B$88),ISNUMBER($D$88)),IF(B2002&gt;$D$88,"boven UCL",IF(B2002&lt;$B$88,"onder LCL","")),"")</f>
        <v/>
      </c>
      <c r="E2002" s="13">
        <f>IF(AND(ISNUMBER(C2002),ISNUMBER($B$89),ISNUMBER($D$89)),IF(C2002&gt;$D$89,"boven UCL",IF(C2002&lt;$B$89,"onder LCL","")),"")</f>
        <v/>
      </c>
      <c r="G2002" t="n">
        <v>1896</v>
      </c>
      <c r="H2002" s="7" t="n"/>
      <c r="I2002" s="7" t="n"/>
      <c r="J2002" s="11">
        <f>IF(AND(ISNUMBER(H2002),ISNUMBER(I2002),H2002&gt;0,ISNUMBER($B$94)),I2002/H2002,"")</f>
        <v/>
      </c>
      <c r="K2002" s="11">
        <f>IF(AND(ISNUMBER(H2002),ISNUMBER(I2002),H2002&gt;0,ISNUMBER($B$94)),MAX(0,$B$94-3*SQRT($B$94*(1-$B$94)/H2002)),"")</f>
        <v/>
      </c>
      <c r="L2002" s="11">
        <f>IF(AND(ISNUMBER(H2002),ISNUMBER(I2002),H2002&gt;0,ISNUMBER($B$94)),$B$94+3*SQRT($B$94*(1-$B$94)/H2002),"")</f>
        <v/>
      </c>
      <c r="M2002" s="13">
        <f>IF(AND(ISNUMBER(J2002),ISNUMBER(K2002),ISNUMBER(L2002)),IF(J2002&gt;L2002,"boven UCL",IF(J2002&lt;K2002,"onder LCL","")),"")</f>
        <v/>
      </c>
      <c r="O2002" t="n">
        <v>1896</v>
      </c>
      <c r="P2002" s="7" t="n"/>
      <c r="Q2002" s="7" t="n"/>
      <c r="R2002" s="11">
        <f>IF(AND(ISNUMBER(P2002),ISNUMBER(Q2002),P2002&gt;0,ISNUMBER($B$100)),Q2002/P2002,"")</f>
        <v/>
      </c>
      <c r="S2002" s="11">
        <f>IF(AND(ISNUMBER(P2002),ISNUMBER(Q2002),P2002&gt;0,ISNUMBER($B$100)),MAX(0,$B$100-3*SQRT($B$100/P2002)),"")</f>
        <v/>
      </c>
      <c r="T2002" s="11">
        <f>IF(AND(ISNUMBER(P2002),ISNUMBER(Q2002),P2002&gt;0,ISNUMBER($B$100)),$B$100+3*SQRT($B$100/P2002),"")</f>
        <v/>
      </c>
      <c r="U2002" s="13">
        <f>IF(AND(ISNUMBER(R2002),ISNUMBER(S2002),ISNUMBER(T2002)),IF(R2002&gt;T2002,"boven UCL",IF(R2002&lt;S2002,"onder LCL","")),"")</f>
        <v/>
      </c>
    </row>
    <row r="2003">
      <c r="A2003" t="n">
        <v>1897</v>
      </c>
      <c r="B2003" s="7" t="n"/>
      <c r="C2003" s="11">
        <f>IF(AND(ISNUMBER(B2003),ISNUMBER(B2002)),ABS(B2003-B2002),"")</f>
        <v/>
      </c>
      <c r="D2003" s="13">
        <f>IF(AND(ISNUMBER(B2003),ISNUMBER($B$88),ISNUMBER($D$88)),IF(B2003&gt;$D$88,"boven UCL",IF(B2003&lt;$B$88,"onder LCL","")),"")</f>
        <v/>
      </c>
      <c r="E2003" s="13">
        <f>IF(AND(ISNUMBER(C2003),ISNUMBER($B$89),ISNUMBER($D$89)),IF(C2003&gt;$D$89,"boven UCL",IF(C2003&lt;$B$89,"onder LCL","")),"")</f>
        <v/>
      </c>
      <c r="G2003" t="n">
        <v>1897</v>
      </c>
      <c r="H2003" s="7" t="n"/>
      <c r="I2003" s="7" t="n"/>
      <c r="J2003" s="11">
        <f>IF(AND(ISNUMBER(H2003),ISNUMBER(I2003),H2003&gt;0,ISNUMBER($B$94)),I2003/H2003,"")</f>
        <v/>
      </c>
      <c r="K2003" s="11">
        <f>IF(AND(ISNUMBER(H2003),ISNUMBER(I2003),H2003&gt;0,ISNUMBER($B$94)),MAX(0,$B$94-3*SQRT($B$94*(1-$B$94)/H2003)),"")</f>
        <v/>
      </c>
      <c r="L2003" s="11">
        <f>IF(AND(ISNUMBER(H2003),ISNUMBER(I2003),H2003&gt;0,ISNUMBER($B$94)),$B$94+3*SQRT($B$94*(1-$B$94)/H2003),"")</f>
        <v/>
      </c>
      <c r="M2003" s="13">
        <f>IF(AND(ISNUMBER(J2003),ISNUMBER(K2003),ISNUMBER(L2003)),IF(J2003&gt;L2003,"boven UCL",IF(J2003&lt;K2003,"onder LCL","")),"")</f>
        <v/>
      </c>
      <c r="O2003" t="n">
        <v>1897</v>
      </c>
      <c r="P2003" s="7" t="n"/>
      <c r="Q2003" s="7" t="n"/>
      <c r="R2003" s="11">
        <f>IF(AND(ISNUMBER(P2003),ISNUMBER(Q2003),P2003&gt;0,ISNUMBER($B$100)),Q2003/P2003,"")</f>
        <v/>
      </c>
      <c r="S2003" s="11">
        <f>IF(AND(ISNUMBER(P2003),ISNUMBER(Q2003),P2003&gt;0,ISNUMBER($B$100)),MAX(0,$B$100-3*SQRT($B$100/P2003)),"")</f>
        <v/>
      </c>
      <c r="T2003" s="11">
        <f>IF(AND(ISNUMBER(P2003),ISNUMBER(Q2003),P2003&gt;0,ISNUMBER($B$100)),$B$100+3*SQRT($B$100/P2003),"")</f>
        <v/>
      </c>
      <c r="U2003" s="13">
        <f>IF(AND(ISNUMBER(R2003),ISNUMBER(S2003),ISNUMBER(T2003)),IF(R2003&gt;T2003,"boven UCL",IF(R2003&lt;S2003,"onder LCL","")),"")</f>
        <v/>
      </c>
    </row>
    <row r="2004">
      <c r="A2004" t="n">
        <v>1898</v>
      </c>
      <c r="B2004" s="7" t="n"/>
      <c r="C2004" s="11">
        <f>IF(AND(ISNUMBER(B2004),ISNUMBER(B2003)),ABS(B2004-B2003),"")</f>
        <v/>
      </c>
      <c r="D2004" s="13">
        <f>IF(AND(ISNUMBER(B2004),ISNUMBER($B$88),ISNUMBER($D$88)),IF(B2004&gt;$D$88,"boven UCL",IF(B2004&lt;$B$88,"onder LCL","")),"")</f>
        <v/>
      </c>
      <c r="E2004" s="13">
        <f>IF(AND(ISNUMBER(C2004),ISNUMBER($B$89),ISNUMBER($D$89)),IF(C2004&gt;$D$89,"boven UCL",IF(C2004&lt;$B$89,"onder LCL","")),"")</f>
        <v/>
      </c>
      <c r="G2004" t="n">
        <v>1898</v>
      </c>
      <c r="H2004" s="7" t="n"/>
      <c r="I2004" s="7" t="n"/>
      <c r="J2004" s="11">
        <f>IF(AND(ISNUMBER(H2004),ISNUMBER(I2004),H2004&gt;0,ISNUMBER($B$94)),I2004/H2004,"")</f>
        <v/>
      </c>
      <c r="K2004" s="11">
        <f>IF(AND(ISNUMBER(H2004),ISNUMBER(I2004),H2004&gt;0,ISNUMBER($B$94)),MAX(0,$B$94-3*SQRT($B$94*(1-$B$94)/H2004)),"")</f>
        <v/>
      </c>
      <c r="L2004" s="11">
        <f>IF(AND(ISNUMBER(H2004),ISNUMBER(I2004),H2004&gt;0,ISNUMBER($B$94)),$B$94+3*SQRT($B$94*(1-$B$94)/H2004),"")</f>
        <v/>
      </c>
      <c r="M2004" s="13">
        <f>IF(AND(ISNUMBER(J2004),ISNUMBER(K2004),ISNUMBER(L2004)),IF(J2004&gt;L2004,"boven UCL",IF(J2004&lt;K2004,"onder LCL","")),"")</f>
        <v/>
      </c>
      <c r="O2004" t="n">
        <v>1898</v>
      </c>
      <c r="P2004" s="7" t="n"/>
      <c r="Q2004" s="7" t="n"/>
      <c r="R2004" s="11">
        <f>IF(AND(ISNUMBER(P2004),ISNUMBER(Q2004),P2004&gt;0,ISNUMBER($B$100)),Q2004/P2004,"")</f>
        <v/>
      </c>
      <c r="S2004" s="11">
        <f>IF(AND(ISNUMBER(P2004),ISNUMBER(Q2004),P2004&gt;0,ISNUMBER($B$100)),MAX(0,$B$100-3*SQRT($B$100/P2004)),"")</f>
        <v/>
      </c>
      <c r="T2004" s="11">
        <f>IF(AND(ISNUMBER(P2004),ISNUMBER(Q2004),P2004&gt;0,ISNUMBER($B$100)),$B$100+3*SQRT($B$100/P2004),"")</f>
        <v/>
      </c>
      <c r="U2004" s="13">
        <f>IF(AND(ISNUMBER(R2004),ISNUMBER(S2004),ISNUMBER(T2004)),IF(R2004&gt;T2004,"boven UCL",IF(R2004&lt;S2004,"onder LCL","")),"")</f>
        <v/>
      </c>
    </row>
    <row r="2005">
      <c r="A2005" t="n">
        <v>1899</v>
      </c>
      <c r="B2005" s="7" t="n"/>
      <c r="C2005" s="11">
        <f>IF(AND(ISNUMBER(B2005),ISNUMBER(B2004)),ABS(B2005-B2004),"")</f>
        <v/>
      </c>
      <c r="D2005" s="13">
        <f>IF(AND(ISNUMBER(B2005),ISNUMBER($B$88),ISNUMBER($D$88)),IF(B2005&gt;$D$88,"boven UCL",IF(B2005&lt;$B$88,"onder LCL","")),"")</f>
        <v/>
      </c>
      <c r="E2005" s="13">
        <f>IF(AND(ISNUMBER(C2005),ISNUMBER($B$89),ISNUMBER($D$89)),IF(C2005&gt;$D$89,"boven UCL",IF(C2005&lt;$B$89,"onder LCL","")),"")</f>
        <v/>
      </c>
      <c r="G2005" t="n">
        <v>1899</v>
      </c>
      <c r="H2005" s="7" t="n"/>
      <c r="I2005" s="7" t="n"/>
      <c r="J2005" s="11">
        <f>IF(AND(ISNUMBER(H2005),ISNUMBER(I2005),H2005&gt;0,ISNUMBER($B$94)),I2005/H2005,"")</f>
        <v/>
      </c>
      <c r="K2005" s="11">
        <f>IF(AND(ISNUMBER(H2005),ISNUMBER(I2005),H2005&gt;0,ISNUMBER($B$94)),MAX(0,$B$94-3*SQRT($B$94*(1-$B$94)/H2005)),"")</f>
        <v/>
      </c>
      <c r="L2005" s="11">
        <f>IF(AND(ISNUMBER(H2005),ISNUMBER(I2005),H2005&gt;0,ISNUMBER($B$94)),$B$94+3*SQRT($B$94*(1-$B$94)/H2005),"")</f>
        <v/>
      </c>
      <c r="M2005" s="13">
        <f>IF(AND(ISNUMBER(J2005),ISNUMBER(K2005),ISNUMBER(L2005)),IF(J2005&gt;L2005,"boven UCL",IF(J2005&lt;K2005,"onder LCL","")),"")</f>
        <v/>
      </c>
      <c r="O2005" t="n">
        <v>1899</v>
      </c>
      <c r="P2005" s="7" t="n"/>
      <c r="Q2005" s="7" t="n"/>
      <c r="R2005" s="11">
        <f>IF(AND(ISNUMBER(P2005),ISNUMBER(Q2005),P2005&gt;0,ISNUMBER($B$100)),Q2005/P2005,"")</f>
        <v/>
      </c>
      <c r="S2005" s="11">
        <f>IF(AND(ISNUMBER(P2005),ISNUMBER(Q2005),P2005&gt;0,ISNUMBER($B$100)),MAX(0,$B$100-3*SQRT($B$100/P2005)),"")</f>
        <v/>
      </c>
      <c r="T2005" s="11">
        <f>IF(AND(ISNUMBER(P2005),ISNUMBER(Q2005),P2005&gt;0,ISNUMBER($B$100)),$B$100+3*SQRT($B$100/P2005),"")</f>
        <v/>
      </c>
      <c r="U2005" s="13">
        <f>IF(AND(ISNUMBER(R2005),ISNUMBER(S2005),ISNUMBER(T2005)),IF(R2005&gt;T2005,"boven UCL",IF(R2005&lt;S2005,"onder LCL","")),"")</f>
        <v/>
      </c>
    </row>
    <row r="2006">
      <c r="A2006" t="n">
        <v>1900</v>
      </c>
      <c r="B2006" s="7" t="n"/>
      <c r="C2006" s="11">
        <f>IF(AND(ISNUMBER(B2006),ISNUMBER(B2005)),ABS(B2006-B2005),"")</f>
        <v/>
      </c>
      <c r="D2006" s="13">
        <f>IF(AND(ISNUMBER(B2006),ISNUMBER($B$88),ISNUMBER($D$88)),IF(B2006&gt;$D$88,"boven UCL",IF(B2006&lt;$B$88,"onder LCL","")),"")</f>
        <v/>
      </c>
      <c r="E2006" s="13">
        <f>IF(AND(ISNUMBER(C2006),ISNUMBER($B$89),ISNUMBER($D$89)),IF(C2006&gt;$D$89,"boven UCL",IF(C2006&lt;$B$89,"onder LCL","")),"")</f>
        <v/>
      </c>
      <c r="G2006" t="n">
        <v>1900</v>
      </c>
      <c r="H2006" s="7" t="n"/>
      <c r="I2006" s="7" t="n"/>
      <c r="J2006" s="11">
        <f>IF(AND(ISNUMBER(H2006),ISNUMBER(I2006),H2006&gt;0,ISNUMBER($B$94)),I2006/H2006,"")</f>
        <v/>
      </c>
      <c r="K2006" s="11">
        <f>IF(AND(ISNUMBER(H2006),ISNUMBER(I2006),H2006&gt;0,ISNUMBER($B$94)),MAX(0,$B$94-3*SQRT($B$94*(1-$B$94)/H2006)),"")</f>
        <v/>
      </c>
      <c r="L2006" s="11">
        <f>IF(AND(ISNUMBER(H2006),ISNUMBER(I2006),H2006&gt;0,ISNUMBER($B$94)),$B$94+3*SQRT($B$94*(1-$B$94)/H2006),"")</f>
        <v/>
      </c>
      <c r="M2006" s="13">
        <f>IF(AND(ISNUMBER(J2006),ISNUMBER(K2006),ISNUMBER(L2006)),IF(J2006&gt;L2006,"boven UCL",IF(J2006&lt;K2006,"onder LCL","")),"")</f>
        <v/>
      </c>
      <c r="O2006" t="n">
        <v>1900</v>
      </c>
      <c r="P2006" s="7" t="n"/>
      <c r="Q2006" s="7" t="n"/>
      <c r="R2006" s="11">
        <f>IF(AND(ISNUMBER(P2006),ISNUMBER(Q2006),P2006&gt;0,ISNUMBER($B$100)),Q2006/P2006,"")</f>
        <v/>
      </c>
      <c r="S2006" s="11">
        <f>IF(AND(ISNUMBER(P2006),ISNUMBER(Q2006),P2006&gt;0,ISNUMBER($B$100)),MAX(0,$B$100-3*SQRT($B$100/P2006)),"")</f>
        <v/>
      </c>
      <c r="T2006" s="11">
        <f>IF(AND(ISNUMBER(P2006),ISNUMBER(Q2006),P2006&gt;0,ISNUMBER($B$100)),$B$100+3*SQRT($B$100/P2006),"")</f>
        <v/>
      </c>
      <c r="U2006" s="13">
        <f>IF(AND(ISNUMBER(R2006),ISNUMBER(S2006),ISNUMBER(T2006)),IF(R2006&gt;T2006,"boven UCL",IF(R2006&lt;S2006,"onder LCL","")),"")</f>
        <v/>
      </c>
    </row>
    <row r="2007">
      <c r="A2007" t="n">
        <v>1901</v>
      </c>
      <c r="B2007" s="7" t="n"/>
      <c r="C2007" s="11">
        <f>IF(AND(ISNUMBER(B2007),ISNUMBER(B2006)),ABS(B2007-B2006),"")</f>
        <v/>
      </c>
      <c r="D2007" s="13">
        <f>IF(AND(ISNUMBER(B2007),ISNUMBER($B$88),ISNUMBER($D$88)),IF(B2007&gt;$D$88,"boven UCL",IF(B2007&lt;$B$88,"onder LCL","")),"")</f>
        <v/>
      </c>
      <c r="E2007" s="13">
        <f>IF(AND(ISNUMBER(C2007),ISNUMBER($B$89),ISNUMBER($D$89)),IF(C2007&gt;$D$89,"boven UCL",IF(C2007&lt;$B$89,"onder LCL","")),"")</f>
        <v/>
      </c>
      <c r="G2007" t="n">
        <v>1901</v>
      </c>
      <c r="H2007" s="7" t="n"/>
      <c r="I2007" s="7" t="n"/>
      <c r="J2007" s="11">
        <f>IF(AND(ISNUMBER(H2007),ISNUMBER(I2007),H2007&gt;0,ISNUMBER($B$94)),I2007/H2007,"")</f>
        <v/>
      </c>
      <c r="K2007" s="11">
        <f>IF(AND(ISNUMBER(H2007),ISNUMBER(I2007),H2007&gt;0,ISNUMBER($B$94)),MAX(0,$B$94-3*SQRT($B$94*(1-$B$94)/H2007)),"")</f>
        <v/>
      </c>
      <c r="L2007" s="11">
        <f>IF(AND(ISNUMBER(H2007),ISNUMBER(I2007),H2007&gt;0,ISNUMBER($B$94)),$B$94+3*SQRT($B$94*(1-$B$94)/H2007),"")</f>
        <v/>
      </c>
      <c r="M2007" s="13">
        <f>IF(AND(ISNUMBER(J2007),ISNUMBER(K2007),ISNUMBER(L2007)),IF(J2007&gt;L2007,"boven UCL",IF(J2007&lt;K2007,"onder LCL","")),"")</f>
        <v/>
      </c>
      <c r="O2007" t="n">
        <v>1901</v>
      </c>
      <c r="P2007" s="7" t="n"/>
      <c r="Q2007" s="7" t="n"/>
      <c r="R2007" s="11">
        <f>IF(AND(ISNUMBER(P2007),ISNUMBER(Q2007),P2007&gt;0,ISNUMBER($B$100)),Q2007/P2007,"")</f>
        <v/>
      </c>
      <c r="S2007" s="11">
        <f>IF(AND(ISNUMBER(P2007),ISNUMBER(Q2007),P2007&gt;0,ISNUMBER($B$100)),MAX(0,$B$100-3*SQRT($B$100/P2007)),"")</f>
        <v/>
      </c>
      <c r="T2007" s="11">
        <f>IF(AND(ISNUMBER(P2007),ISNUMBER(Q2007),P2007&gt;0,ISNUMBER($B$100)),$B$100+3*SQRT($B$100/P2007),"")</f>
        <v/>
      </c>
      <c r="U2007" s="13">
        <f>IF(AND(ISNUMBER(R2007),ISNUMBER(S2007),ISNUMBER(T2007)),IF(R2007&gt;T2007,"boven UCL",IF(R2007&lt;S2007,"onder LCL","")),"")</f>
        <v/>
      </c>
    </row>
    <row r="2008">
      <c r="A2008" t="n">
        <v>1902</v>
      </c>
      <c r="B2008" s="7" t="n"/>
      <c r="C2008" s="11">
        <f>IF(AND(ISNUMBER(B2008),ISNUMBER(B2007)),ABS(B2008-B2007),"")</f>
        <v/>
      </c>
      <c r="D2008" s="13">
        <f>IF(AND(ISNUMBER(B2008),ISNUMBER($B$88),ISNUMBER($D$88)),IF(B2008&gt;$D$88,"boven UCL",IF(B2008&lt;$B$88,"onder LCL","")),"")</f>
        <v/>
      </c>
      <c r="E2008" s="13">
        <f>IF(AND(ISNUMBER(C2008),ISNUMBER($B$89),ISNUMBER($D$89)),IF(C2008&gt;$D$89,"boven UCL",IF(C2008&lt;$B$89,"onder LCL","")),"")</f>
        <v/>
      </c>
      <c r="G2008" t="n">
        <v>1902</v>
      </c>
      <c r="H2008" s="7" t="n"/>
      <c r="I2008" s="7" t="n"/>
      <c r="J2008" s="11">
        <f>IF(AND(ISNUMBER(H2008),ISNUMBER(I2008),H2008&gt;0,ISNUMBER($B$94)),I2008/H2008,"")</f>
        <v/>
      </c>
      <c r="K2008" s="11">
        <f>IF(AND(ISNUMBER(H2008),ISNUMBER(I2008),H2008&gt;0,ISNUMBER($B$94)),MAX(0,$B$94-3*SQRT($B$94*(1-$B$94)/H2008)),"")</f>
        <v/>
      </c>
      <c r="L2008" s="11">
        <f>IF(AND(ISNUMBER(H2008),ISNUMBER(I2008),H2008&gt;0,ISNUMBER($B$94)),$B$94+3*SQRT($B$94*(1-$B$94)/H2008),"")</f>
        <v/>
      </c>
      <c r="M2008" s="13">
        <f>IF(AND(ISNUMBER(J2008),ISNUMBER(K2008),ISNUMBER(L2008)),IF(J2008&gt;L2008,"boven UCL",IF(J2008&lt;K2008,"onder LCL","")),"")</f>
        <v/>
      </c>
      <c r="O2008" t="n">
        <v>1902</v>
      </c>
      <c r="P2008" s="7" t="n"/>
      <c r="Q2008" s="7" t="n"/>
      <c r="R2008" s="11">
        <f>IF(AND(ISNUMBER(P2008),ISNUMBER(Q2008),P2008&gt;0,ISNUMBER($B$100)),Q2008/P2008,"")</f>
        <v/>
      </c>
      <c r="S2008" s="11">
        <f>IF(AND(ISNUMBER(P2008),ISNUMBER(Q2008),P2008&gt;0,ISNUMBER($B$100)),MAX(0,$B$100-3*SQRT($B$100/P2008)),"")</f>
        <v/>
      </c>
      <c r="T2008" s="11">
        <f>IF(AND(ISNUMBER(P2008),ISNUMBER(Q2008),P2008&gt;0,ISNUMBER($B$100)),$B$100+3*SQRT($B$100/P2008),"")</f>
        <v/>
      </c>
      <c r="U2008" s="13">
        <f>IF(AND(ISNUMBER(R2008),ISNUMBER(S2008),ISNUMBER(T2008)),IF(R2008&gt;T2008,"boven UCL",IF(R2008&lt;S2008,"onder LCL","")),"")</f>
        <v/>
      </c>
    </row>
    <row r="2009">
      <c r="A2009" t="n">
        <v>1903</v>
      </c>
      <c r="B2009" s="7" t="n"/>
      <c r="C2009" s="11">
        <f>IF(AND(ISNUMBER(B2009),ISNUMBER(B2008)),ABS(B2009-B2008),"")</f>
        <v/>
      </c>
      <c r="D2009" s="13">
        <f>IF(AND(ISNUMBER(B2009),ISNUMBER($B$88),ISNUMBER($D$88)),IF(B2009&gt;$D$88,"boven UCL",IF(B2009&lt;$B$88,"onder LCL","")),"")</f>
        <v/>
      </c>
      <c r="E2009" s="13">
        <f>IF(AND(ISNUMBER(C2009),ISNUMBER($B$89),ISNUMBER($D$89)),IF(C2009&gt;$D$89,"boven UCL",IF(C2009&lt;$B$89,"onder LCL","")),"")</f>
        <v/>
      </c>
      <c r="G2009" t="n">
        <v>1903</v>
      </c>
      <c r="H2009" s="7" t="n"/>
      <c r="I2009" s="7" t="n"/>
      <c r="J2009" s="11">
        <f>IF(AND(ISNUMBER(H2009),ISNUMBER(I2009),H2009&gt;0,ISNUMBER($B$94)),I2009/H2009,"")</f>
        <v/>
      </c>
      <c r="K2009" s="11">
        <f>IF(AND(ISNUMBER(H2009),ISNUMBER(I2009),H2009&gt;0,ISNUMBER($B$94)),MAX(0,$B$94-3*SQRT($B$94*(1-$B$94)/H2009)),"")</f>
        <v/>
      </c>
      <c r="L2009" s="11">
        <f>IF(AND(ISNUMBER(H2009),ISNUMBER(I2009),H2009&gt;0,ISNUMBER($B$94)),$B$94+3*SQRT($B$94*(1-$B$94)/H2009),"")</f>
        <v/>
      </c>
      <c r="M2009" s="13">
        <f>IF(AND(ISNUMBER(J2009),ISNUMBER(K2009),ISNUMBER(L2009)),IF(J2009&gt;L2009,"boven UCL",IF(J2009&lt;K2009,"onder LCL","")),"")</f>
        <v/>
      </c>
      <c r="O2009" t="n">
        <v>1903</v>
      </c>
      <c r="P2009" s="7" t="n"/>
      <c r="Q2009" s="7" t="n"/>
      <c r="R2009" s="11">
        <f>IF(AND(ISNUMBER(P2009),ISNUMBER(Q2009),P2009&gt;0,ISNUMBER($B$100)),Q2009/P2009,"")</f>
        <v/>
      </c>
      <c r="S2009" s="11">
        <f>IF(AND(ISNUMBER(P2009),ISNUMBER(Q2009),P2009&gt;0,ISNUMBER($B$100)),MAX(0,$B$100-3*SQRT($B$100/P2009)),"")</f>
        <v/>
      </c>
      <c r="T2009" s="11">
        <f>IF(AND(ISNUMBER(P2009),ISNUMBER(Q2009),P2009&gt;0,ISNUMBER($B$100)),$B$100+3*SQRT($B$100/P2009),"")</f>
        <v/>
      </c>
      <c r="U2009" s="13">
        <f>IF(AND(ISNUMBER(R2009),ISNUMBER(S2009),ISNUMBER(T2009)),IF(R2009&gt;T2009,"boven UCL",IF(R2009&lt;S2009,"onder LCL","")),"")</f>
        <v/>
      </c>
    </row>
    <row r="2010">
      <c r="A2010" t="n">
        <v>1904</v>
      </c>
      <c r="B2010" s="7" t="n"/>
      <c r="C2010" s="11">
        <f>IF(AND(ISNUMBER(B2010),ISNUMBER(B2009)),ABS(B2010-B2009),"")</f>
        <v/>
      </c>
      <c r="D2010" s="13">
        <f>IF(AND(ISNUMBER(B2010),ISNUMBER($B$88),ISNUMBER($D$88)),IF(B2010&gt;$D$88,"boven UCL",IF(B2010&lt;$B$88,"onder LCL","")),"")</f>
        <v/>
      </c>
      <c r="E2010" s="13">
        <f>IF(AND(ISNUMBER(C2010),ISNUMBER($B$89),ISNUMBER($D$89)),IF(C2010&gt;$D$89,"boven UCL",IF(C2010&lt;$B$89,"onder LCL","")),"")</f>
        <v/>
      </c>
      <c r="G2010" t="n">
        <v>1904</v>
      </c>
      <c r="H2010" s="7" t="n"/>
      <c r="I2010" s="7" t="n"/>
      <c r="J2010" s="11">
        <f>IF(AND(ISNUMBER(H2010),ISNUMBER(I2010),H2010&gt;0,ISNUMBER($B$94)),I2010/H2010,"")</f>
        <v/>
      </c>
      <c r="K2010" s="11">
        <f>IF(AND(ISNUMBER(H2010),ISNUMBER(I2010),H2010&gt;0,ISNUMBER($B$94)),MAX(0,$B$94-3*SQRT($B$94*(1-$B$94)/H2010)),"")</f>
        <v/>
      </c>
      <c r="L2010" s="11">
        <f>IF(AND(ISNUMBER(H2010),ISNUMBER(I2010),H2010&gt;0,ISNUMBER($B$94)),$B$94+3*SQRT($B$94*(1-$B$94)/H2010),"")</f>
        <v/>
      </c>
      <c r="M2010" s="13">
        <f>IF(AND(ISNUMBER(J2010),ISNUMBER(K2010),ISNUMBER(L2010)),IF(J2010&gt;L2010,"boven UCL",IF(J2010&lt;K2010,"onder LCL","")),"")</f>
        <v/>
      </c>
      <c r="O2010" t="n">
        <v>1904</v>
      </c>
      <c r="P2010" s="7" t="n"/>
      <c r="Q2010" s="7" t="n"/>
      <c r="R2010" s="11">
        <f>IF(AND(ISNUMBER(P2010),ISNUMBER(Q2010),P2010&gt;0,ISNUMBER($B$100)),Q2010/P2010,"")</f>
        <v/>
      </c>
      <c r="S2010" s="11">
        <f>IF(AND(ISNUMBER(P2010),ISNUMBER(Q2010),P2010&gt;0,ISNUMBER($B$100)),MAX(0,$B$100-3*SQRT($B$100/P2010)),"")</f>
        <v/>
      </c>
      <c r="T2010" s="11">
        <f>IF(AND(ISNUMBER(P2010),ISNUMBER(Q2010),P2010&gt;0,ISNUMBER($B$100)),$B$100+3*SQRT($B$100/P2010),"")</f>
        <v/>
      </c>
      <c r="U2010" s="13">
        <f>IF(AND(ISNUMBER(R2010),ISNUMBER(S2010),ISNUMBER(T2010)),IF(R2010&gt;T2010,"boven UCL",IF(R2010&lt;S2010,"onder LCL","")),"")</f>
        <v/>
      </c>
    </row>
    <row r="2011">
      <c r="A2011" t="n">
        <v>1905</v>
      </c>
      <c r="B2011" s="7" t="n"/>
      <c r="C2011" s="11">
        <f>IF(AND(ISNUMBER(B2011),ISNUMBER(B2010)),ABS(B2011-B2010),"")</f>
        <v/>
      </c>
      <c r="D2011" s="13">
        <f>IF(AND(ISNUMBER(B2011),ISNUMBER($B$88),ISNUMBER($D$88)),IF(B2011&gt;$D$88,"boven UCL",IF(B2011&lt;$B$88,"onder LCL","")),"")</f>
        <v/>
      </c>
      <c r="E2011" s="13">
        <f>IF(AND(ISNUMBER(C2011),ISNUMBER($B$89),ISNUMBER($D$89)),IF(C2011&gt;$D$89,"boven UCL",IF(C2011&lt;$B$89,"onder LCL","")),"")</f>
        <v/>
      </c>
      <c r="G2011" t="n">
        <v>1905</v>
      </c>
      <c r="H2011" s="7" t="n"/>
      <c r="I2011" s="7" t="n"/>
      <c r="J2011" s="11">
        <f>IF(AND(ISNUMBER(H2011),ISNUMBER(I2011),H2011&gt;0,ISNUMBER($B$94)),I2011/H2011,"")</f>
        <v/>
      </c>
      <c r="K2011" s="11">
        <f>IF(AND(ISNUMBER(H2011),ISNUMBER(I2011),H2011&gt;0,ISNUMBER($B$94)),MAX(0,$B$94-3*SQRT($B$94*(1-$B$94)/H2011)),"")</f>
        <v/>
      </c>
      <c r="L2011" s="11">
        <f>IF(AND(ISNUMBER(H2011),ISNUMBER(I2011),H2011&gt;0,ISNUMBER($B$94)),$B$94+3*SQRT($B$94*(1-$B$94)/H2011),"")</f>
        <v/>
      </c>
      <c r="M2011" s="13">
        <f>IF(AND(ISNUMBER(J2011),ISNUMBER(K2011),ISNUMBER(L2011)),IF(J2011&gt;L2011,"boven UCL",IF(J2011&lt;K2011,"onder LCL","")),"")</f>
        <v/>
      </c>
      <c r="O2011" t="n">
        <v>1905</v>
      </c>
      <c r="P2011" s="7" t="n"/>
      <c r="Q2011" s="7" t="n"/>
      <c r="R2011" s="11">
        <f>IF(AND(ISNUMBER(P2011),ISNUMBER(Q2011),P2011&gt;0,ISNUMBER($B$100)),Q2011/P2011,"")</f>
        <v/>
      </c>
      <c r="S2011" s="11">
        <f>IF(AND(ISNUMBER(P2011),ISNUMBER(Q2011),P2011&gt;0,ISNUMBER($B$100)),MAX(0,$B$100-3*SQRT($B$100/P2011)),"")</f>
        <v/>
      </c>
      <c r="T2011" s="11">
        <f>IF(AND(ISNUMBER(P2011),ISNUMBER(Q2011),P2011&gt;0,ISNUMBER($B$100)),$B$100+3*SQRT($B$100/P2011),"")</f>
        <v/>
      </c>
      <c r="U2011" s="13">
        <f>IF(AND(ISNUMBER(R2011),ISNUMBER(S2011),ISNUMBER(T2011)),IF(R2011&gt;T2011,"boven UCL",IF(R2011&lt;S2011,"onder LCL","")),"")</f>
        <v/>
      </c>
    </row>
    <row r="2012">
      <c r="A2012" t="n">
        <v>1906</v>
      </c>
      <c r="B2012" s="7" t="n"/>
      <c r="C2012" s="11">
        <f>IF(AND(ISNUMBER(B2012),ISNUMBER(B2011)),ABS(B2012-B2011),"")</f>
        <v/>
      </c>
      <c r="D2012" s="13">
        <f>IF(AND(ISNUMBER(B2012),ISNUMBER($B$88),ISNUMBER($D$88)),IF(B2012&gt;$D$88,"boven UCL",IF(B2012&lt;$B$88,"onder LCL","")),"")</f>
        <v/>
      </c>
      <c r="E2012" s="13">
        <f>IF(AND(ISNUMBER(C2012),ISNUMBER($B$89),ISNUMBER($D$89)),IF(C2012&gt;$D$89,"boven UCL",IF(C2012&lt;$B$89,"onder LCL","")),"")</f>
        <v/>
      </c>
      <c r="G2012" t="n">
        <v>1906</v>
      </c>
      <c r="H2012" s="7" t="n"/>
      <c r="I2012" s="7" t="n"/>
      <c r="J2012" s="11">
        <f>IF(AND(ISNUMBER(H2012),ISNUMBER(I2012),H2012&gt;0,ISNUMBER($B$94)),I2012/H2012,"")</f>
        <v/>
      </c>
      <c r="K2012" s="11">
        <f>IF(AND(ISNUMBER(H2012),ISNUMBER(I2012),H2012&gt;0,ISNUMBER($B$94)),MAX(0,$B$94-3*SQRT($B$94*(1-$B$94)/H2012)),"")</f>
        <v/>
      </c>
      <c r="L2012" s="11">
        <f>IF(AND(ISNUMBER(H2012),ISNUMBER(I2012),H2012&gt;0,ISNUMBER($B$94)),$B$94+3*SQRT($B$94*(1-$B$94)/H2012),"")</f>
        <v/>
      </c>
      <c r="M2012" s="13">
        <f>IF(AND(ISNUMBER(J2012),ISNUMBER(K2012),ISNUMBER(L2012)),IF(J2012&gt;L2012,"boven UCL",IF(J2012&lt;K2012,"onder LCL","")),"")</f>
        <v/>
      </c>
      <c r="O2012" t="n">
        <v>1906</v>
      </c>
      <c r="P2012" s="7" t="n"/>
      <c r="Q2012" s="7" t="n"/>
      <c r="R2012" s="11">
        <f>IF(AND(ISNUMBER(P2012),ISNUMBER(Q2012),P2012&gt;0,ISNUMBER($B$100)),Q2012/P2012,"")</f>
        <v/>
      </c>
      <c r="S2012" s="11">
        <f>IF(AND(ISNUMBER(P2012),ISNUMBER(Q2012),P2012&gt;0,ISNUMBER($B$100)),MAX(0,$B$100-3*SQRT($B$100/P2012)),"")</f>
        <v/>
      </c>
      <c r="T2012" s="11">
        <f>IF(AND(ISNUMBER(P2012),ISNUMBER(Q2012),P2012&gt;0,ISNUMBER($B$100)),$B$100+3*SQRT($B$100/P2012),"")</f>
        <v/>
      </c>
      <c r="U2012" s="13">
        <f>IF(AND(ISNUMBER(R2012),ISNUMBER(S2012),ISNUMBER(T2012)),IF(R2012&gt;T2012,"boven UCL",IF(R2012&lt;S2012,"onder LCL","")),"")</f>
        <v/>
      </c>
    </row>
    <row r="2013">
      <c r="A2013" t="n">
        <v>1907</v>
      </c>
      <c r="B2013" s="7" t="n"/>
      <c r="C2013" s="11">
        <f>IF(AND(ISNUMBER(B2013),ISNUMBER(B2012)),ABS(B2013-B2012),"")</f>
        <v/>
      </c>
      <c r="D2013" s="13">
        <f>IF(AND(ISNUMBER(B2013),ISNUMBER($B$88),ISNUMBER($D$88)),IF(B2013&gt;$D$88,"boven UCL",IF(B2013&lt;$B$88,"onder LCL","")),"")</f>
        <v/>
      </c>
      <c r="E2013" s="13">
        <f>IF(AND(ISNUMBER(C2013),ISNUMBER($B$89),ISNUMBER($D$89)),IF(C2013&gt;$D$89,"boven UCL",IF(C2013&lt;$B$89,"onder LCL","")),"")</f>
        <v/>
      </c>
      <c r="G2013" t="n">
        <v>1907</v>
      </c>
      <c r="H2013" s="7" t="n"/>
      <c r="I2013" s="7" t="n"/>
      <c r="J2013" s="11">
        <f>IF(AND(ISNUMBER(H2013),ISNUMBER(I2013),H2013&gt;0,ISNUMBER($B$94)),I2013/H2013,"")</f>
        <v/>
      </c>
      <c r="K2013" s="11">
        <f>IF(AND(ISNUMBER(H2013),ISNUMBER(I2013),H2013&gt;0,ISNUMBER($B$94)),MAX(0,$B$94-3*SQRT($B$94*(1-$B$94)/H2013)),"")</f>
        <v/>
      </c>
      <c r="L2013" s="11">
        <f>IF(AND(ISNUMBER(H2013),ISNUMBER(I2013),H2013&gt;0,ISNUMBER($B$94)),$B$94+3*SQRT($B$94*(1-$B$94)/H2013),"")</f>
        <v/>
      </c>
      <c r="M2013" s="13">
        <f>IF(AND(ISNUMBER(J2013),ISNUMBER(K2013),ISNUMBER(L2013)),IF(J2013&gt;L2013,"boven UCL",IF(J2013&lt;K2013,"onder LCL","")),"")</f>
        <v/>
      </c>
      <c r="O2013" t="n">
        <v>1907</v>
      </c>
      <c r="P2013" s="7" t="n"/>
      <c r="Q2013" s="7" t="n"/>
      <c r="R2013" s="11">
        <f>IF(AND(ISNUMBER(P2013),ISNUMBER(Q2013),P2013&gt;0,ISNUMBER($B$100)),Q2013/P2013,"")</f>
        <v/>
      </c>
      <c r="S2013" s="11">
        <f>IF(AND(ISNUMBER(P2013),ISNUMBER(Q2013),P2013&gt;0,ISNUMBER($B$100)),MAX(0,$B$100-3*SQRT($B$100/P2013)),"")</f>
        <v/>
      </c>
      <c r="T2013" s="11">
        <f>IF(AND(ISNUMBER(P2013),ISNUMBER(Q2013),P2013&gt;0,ISNUMBER($B$100)),$B$100+3*SQRT($B$100/P2013),"")</f>
        <v/>
      </c>
      <c r="U2013" s="13">
        <f>IF(AND(ISNUMBER(R2013),ISNUMBER(S2013),ISNUMBER(T2013)),IF(R2013&gt;T2013,"boven UCL",IF(R2013&lt;S2013,"onder LCL","")),"")</f>
        <v/>
      </c>
    </row>
    <row r="2014">
      <c r="A2014" t="n">
        <v>1908</v>
      </c>
      <c r="B2014" s="7" t="n"/>
      <c r="C2014" s="11">
        <f>IF(AND(ISNUMBER(B2014),ISNUMBER(B2013)),ABS(B2014-B2013),"")</f>
        <v/>
      </c>
      <c r="D2014" s="13">
        <f>IF(AND(ISNUMBER(B2014),ISNUMBER($B$88),ISNUMBER($D$88)),IF(B2014&gt;$D$88,"boven UCL",IF(B2014&lt;$B$88,"onder LCL","")),"")</f>
        <v/>
      </c>
      <c r="E2014" s="13">
        <f>IF(AND(ISNUMBER(C2014),ISNUMBER($B$89),ISNUMBER($D$89)),IF(C2014&gt;$D$89,"boven UCL",IF(C2014&lt;$B$89,"onder LCL","")),"")</f>
        <v/>
      </c>
      <c r="G2014" t="n">
        <v>1908</v>
      </c>
      <c r="H2014" s="7" t="n"/>
      <c r="I2014" s="7" t="n"/>
      <c r="J2014" s="11">
        <f>IF(AND(ISNUMBER(H2014),ISNUMBER(I2014),H2014&gt;0,ISNUMBER($B$94)),I2014/H2014,"")</f>
        <v/>
      </c>
      <c r="K2014" s="11">
        <f>IF(AND(ISNUMBER(H2014),ISNUMBER(I2014),H2014&gt;0,ISNUMBER($B$94)),MAX(0,$B$94-3*SQRT($B$94*(1-$B$94)/H2014)),"")</f>
        <v/>
      </c>
      <c r="L2014" s="11">
        <f>IF(AND(ISNUMBER(H2014),ISNUMBER(I2014),H2014&gt;0,ISNUMBER($B$94)),$B$94+3*SQRT($B$94*(1-$B$94)/H2014),"")</f>
        <v/>
      </c>
      <c r="M2014" s="13">
        <f>IF(AND(ISNUMBER(J2014),ISNUMBER(K2014),ISNUMBER(L2014)),IF(J2014&gt;L2014,"boven UCL",IF(J2014&lt;K2014,"onder LCL","")),"")</f>
        <v/>
      </c>
      <c r="O2014" t="n">
        <v>1908</v>
      </c>
      <c r="P2014" s="7" t="n"/>
      <c r="Q2014" s="7" t="n"/>
      <c r="R2014" s="11">
        <f>IF(AND(ISNUMBER(P2014),ISNUMBER(Q2014),P2014&gt;0,ISNUMBER($B$100)),Q2014/P2014,"")</f>
        <v/>
      </c>
      <c r="S2014" s="11">
        <f>IF(AND(ISNUMBER(P2014),ISNUMBER(Q2014),P2014&gt;0,ISNUMBER($B$100)),MAX(0,$B$100-3*SQRT($B$100/P2014)),"")</f>
        <v/>
      </c>
      <c r="T2014" s="11">
        <f>IF(AND(ISNUMBER(P2014),ISNUMBER(Q2014),P2014&gt;0,ISNUMBER($B$100)),$B$100+3*SQRT($B$100/P2014),"")</f>
        <v/>
      </c>
      <c r="U2014" s="13">
        <f>IF(AND(ISNUMBER(R2014),ISNUMBER(S2014),ISNUMBER(T2014)),IF(R2014&gt;T2014,"boven UCL",IF(R2014&lt;S2014,"onder LCL","")),"")</f>
        <v/>
      </c>
    </row>
    <row r="2015">
      <c r="A2015" t="n">
        <v>1909</v>
      </c>
      <c r="B2015" s="7" t="n"/>
      <c r="C2015" s="11">
        <f>IF(AND(ISNUMBER(B2015),ISNUMBER(B2014)),ABS(B2015-B2014),"")</f>
        <v/>
      </c>
      <c r="D2015" s="13">
        <f>IF(AND(ISNUMBER(B2015),ISNUMBER($B$88),ISNUMBER($D$88)),IF(B2015&gt;$D$88,"boven UCL",IF(B2015&lt;$B$88,"onder LCL","")),"")</f>
        <v/>
      </c>
      <c r="E2015" s="13">
        <f>IF(AND(ISNUMBER(C2015),ISNUMBER($B$89),ISNUMBER($D$89)),IF(C2015&gt;$D$89,"boven UCL",IF(C2015&lt;$B$89,"onder LCL","")),"")</f>
        <v/>
      </c>
      <c r="G2015" t="n">
        <v>1909</v>
      </c>
      <c r="H2015" s="7" t="n"/>
      <c r="I2015" s="7" t="n"/>
      <c r="J2015" s="11">
        <f>IF(AND(ISNUMBER(H2015),ISNUMBER(I2015),H2015&gt;0,ISNUMBER($B$94)),I2015/H2015,"")</f>
        <v/>
      </c>
      <c r="K2015" s="11">
        <f>IF(AND(ISNUMBER(H2015),ISNUMBER(I2015),H2015&gt;0,ISNUMBER($B$94)),MAX(0,$B$94-3*SQRT($B$94*(1-$B$94)/H2015)),"")</f>
        <v/>
      </c>
      <c r="L2015" s="11">
        <f>IF(AND(ISNUMBER(H2015),ISNUMBER(I2015),H2015&gt;0,ISNUMBER($B$94)),$B$94+3*SQRT($B$94*(1-$B$94)/H2015),"")</f>
        <v/>
      </c>
      <c r="M2015" s="13">
        <f>IF(AND(ISNUMBER(J2015),ISNUMBER(K2015),ISNUMBER(L2015)),IF(J2015&gt;L2015,"boven UCL",IF(J2015&lt;K2015,"onder LCL","")),"")</f>
        <v/>
      </c>
      <c r="O2015" t="n">
        <v>1909</v>
      </c>
      <c r="P2015" s="7" t="n"/>
      <c r="Q2015" s="7" t="n"/>
      <c r="R2015" s="11">
        <f>IF(AND(ISNUMBER(P2015),ISNUMBER(Q2015),P2015&gt;0,ISNUMBER($B$100)),Q2015/P2015,"")</f>
        <v/>
      </c>
      <c r="S2015" s="11">
        <f>IF(AND(ISNUMBER(P2015),ISNUMBER(Q2015),P2015&gt;0,ISNUMBER($B$100)),MAX(0,$B$100-3*SQRT($B$100/P2015)),"")</f>
        <v/>
      </c>
      <c r="T2015" s="11">
        <f>IF(AND(ISNUMBER(P2015),ISNUMBER(Q2015),P2015&gt;0,ISNUMBER($B$100)),$B$100+3*SQRT($B$100/P2015),"")</f>
        <v/>
      </c>
      <c r="U2015" s="13">
        <f>IF(AND(ISNUMBER(R2015),ISNUMBER(S2015),ISNUMBER(T2015)),IF(R2015&gt;T2015,"boven UCL",IF(R2015&lt;S2015,"onder LCL","")),"")</f>
        <v/>
      </c>
    </row>
    <row r="2016">
      <c r="A2016" t="n">
        <v>1910</v>
      </c>
      <c r="B2016" s="7" t="n"/>
      <c r="C2016" s="11">
        <f>IF(AND(ISNUMBER(B2016),ISNUMBER(B2015)),ABS(B2016-B2015),"")</f>
        <v/>
      </c>
      <c r="D2016" s="13">
        <f>IF(AND(ISNUMBER(B2016),ISNUMBER($B$88),ISNUMBER($D$88)),IF(B2016&gt;$D$88,"boven UCL",IF(B2016&lt;$B$88,"onder LCL","")),"")</f>
        <v/>
      </c>
      <c r="E2016" s="13">
        <f>IF(AND(ISNUMBER(C2016),ISNUMBER($B$89),ISNUMBER($D$89)),IF(C2016&gt;$D$89,"boven UCL",IF(C2016&lt;$B$89,"onder LCL","")),"")</f>
        <v/>
      </c>
      <c r="G2016" t="n">
        <v>1910</v>
      </c>
      <c r="H2016" s="7" t="n"/>
      <c r="I2016" s="7" t="n"/>
      <c r="J2016" s="11">
        <f>IF(AND(ISNUMBER(H2016),ISNUMBER(I2016),H2016&gt;0,ISNUMBER($B$94)),I2016/H2016,"")</f>
        <v/>
      </c>
      <c r="K2016" s="11">
        <f>IF(AND(ISNUMBER(H2016),ISNUMBER(I2016),H2016&gt;0,ISNUMBER($B$94)),MAX(0,$B$94-3*SQRT($B$94*(1-$B$94)/H2016)),"")</f>
        <v/>
      </c>
      <c r="L2016" s="11">
        <f>IF(AND(ISNUMBER(H2016),ISNUMBER(I2016),H2016&gt;0,ISNUMBER($B$94)),$B$94+3*SQRT($B$94*(1-$B$94)/H2016),"")</f>
        <v/>
      </c>
      <c r="M2016" s="13">
        <f>IF(AND(ISNUMBER(J2016),ISNUMBER(K2016),ISNUMBER(L2016)),IF(J2016&gt;L2016,"boven UCL",IF(J2016&lt;K2016,"onder LCL","")),"")</f>
        <v/>
      </c>
      <c r="O2016" t="n">
        <v>1910</v>
      </c>
      <c r="P2016" s="7" t="n"/>
      <c r="Q2016" s="7" t="n"/>
      <c r="R2016" s="11">
        <f>IF(AND(ISNUMBER(P2016),ISNUMBER(Q2016),P2016&gt;0,ISNUMBER($B$100)),Q2016/P2016,"")</f>
        <v/>
      </c>
      <c r="S2016" s="11">
        <f>IF(AND(ISNUMBER(P2016),ISNUMBER(Q2016),P2016&gt;0,ISNUMBER($B$100)),MAX(0,$B$100-3*SQRT($B$100/P2016)),"")</f>
        <v/>
      </c>
      <c r="T2016" s="11">
        <f>IF(AND(ISNUMBER(P2016),ISNUMBER(Q2016),P2016&gt;0,ISNUMBER($B$100)),$B$100+3*SQRT($B$100/P2016),"")</f>
        <v/>
      </c>
      <c r="U2016" s="13">
        <f>IF(AND(ISNUMBER(R2016),ISNUMBER(S2016),ISNUMBER(T2016)),IF(R2016&gt;T2016,"boven UCL",IF(R2016&lt;S2016,"onder LCL","")),"")</f>
        <v/>
      </c>
    </row>
    <row r="2017">
      <c r="A2017" t="n">
        <v>1911</v>
      </c>
      <c r="B2017" s="7" t="n"/>
      <c r="C2017" s="11">
        <f>IF(AND(ISNUMBER(B2017),ISNUMBER(B2016)),ABS(B2017-B2016),"")</f>
        <v/>
      </c>
      <c r="D2017" s="13">
        <f>IF(AND(ISNUMBER(B2017),ISNUMBER($B$88),ISNUMBER($D$88)),IF(B2017&gt;$D$88,"boven UCL",IF(B2017&lt;$B$88,"onder LCL","")),"")</f>
        <v/>
      </c>
      <c r="E2017" s="13">
        <f>IF(AND(ISNUMBER(C2017),ISNUMBER($B$89),ISNUMBER($D$89)),IF(C2017&gt;$D$89,"boven UCL",IF(C2017&lt;$B$89,"onder LCL","")),"")</f>
        <v/>
      </c>
      <c r="G2017" t="n">
        <v>1911</v>
      </c>
      <c r="H2017" s="7" t="n"/>
      <c r="I2017" s="7" t="n"/>
      <c r="J2017" s="11">
        <f>IF(AND(ISNUMBER(H2017),ISNUMBER(I2017),H2017&gt;0,ISNUMBER($B$94)),I2017/H2017,"")</f>
        <v/>
      </c>
      <c r="K2017" s="11">
        <f>IF(AND(ISNUMBER(H2017),ISNUMBER(I2017),H2017&gt;0,ISNUMBER($B$94)),MAX(0,$B$94-3*SQRT($B$94*(1-$B$94)/H2017)),"")</f>
        <v/>
      </c>
      <c r="L2017" s="11">
        <f>IF(AND(ISNUMBER(H2017),ISNUMBER(I2017),H2017&gt;0,ISNUMBER($B$94)),$B$94+3*SQRT($B$94*(1-$B$94)/H2017),"")</f>
        <v/>
      </c>
      <c r="M2017" s="13">
        <f>IF(AND(ISNUMBER(J2017),ISNUMBER(K2017),ISNUMBER(L2017)),IF(J2017&gt;L2017,"boven UCL",IF(J2017&lt;K2017,"onder LCL","")),"")</f>
        <v/>
      </c>
      <c r="O2017" t="n">
        <v>1911</v>
      </c>
      <c r="P2017" s="7" t="n"/>
      <c r="Q2017" s="7" t="n"/>
      <c r="R2017" s="11">
        <f>IF(AND(ISNUMBER(P2017),ISNUMBER(Q2017),P2017&gt;0,ISNUMBER($B$100)),Q2017/P2017,"")</f>
        <v/>
      </c>
      <c r="S2017" s="11">
        <f>IF(AND(ISNUMBER(P2017),ISNUMBER(Q2017),P2017&gt;0,ISNUMBER($B$100)),MAX(0,$B$100-3*SQRT($B$100/P2017)),"")</f>
        <v/>
      </c>
      <c r="T2017" s="11">
        <f>IF(AND(ISNUMBER(P2017),ISNUMBER(Q2017),P2017&gt;0,ISNUMBER($B$100)),$B$100+3*SQRT($B$100/P2017),"")</f>
        <v/>
      </c>
      <c r="U2017" s="13">
        <f>IF(AND(ISNUMBER(R2017),ISNUMBER(S2017),ISNUMBER(T2017)),IF(R2017&gt;T2017,"boven UCL",IF(R2017&lt;S2017,"onder LCL","")),"")</f>
        <v/>
      </c>
    </row>
    <row r="2018">
      <c r="A2018" t="n">
        <v>1912</v>
      </c>
      <c r="B2018" s="7" t="n"/>
      <c r="C2018" s="11">
        <f>IF(AND(ISNUMBER(B2018),ISNUMBER(B2017)),ABS(B2018-B2017),"")</f>
        <v/>
      </c>
      <c r="D2018" s="13">
        <f>IF(AND(ISNUMBER(B2018),ISNUMBER($B$88),ISNUMBER($D$88)),IF(B2018&gt;$D$88,"boven UCL",IF(B2018&lt;$B$88,"onder LCL","")),"")</f>
        <v/>
      </c>
      <c r="E2018" s="13">
        <f>IF(AND(ISNUMBER(C2018),ISNUMBER($B$89),ISNUMBER($D$89)),IF(C2018&gt;$D$89,"boven UCL",IF(C2018&lt;$B$89,"onder LCL","")),"")</f>
        <v/>
      </c>
      <c r="G2018" t="n">
        <v>1912</v>
      </c>
      <c r="H2018" s="7" t="n"/>
      <c r="I2018" s="7" t="n"/>
      <c r="J2018" s="11">
        <f>IF(AND(ISNUMBER(H2018),ISNUMBER(I2018),H2018&gt;0,ISNUMBER($B$94)),I2018/H2018,"")</f>
        <v/>
      </c>
      <c r="K2018" s="11">
        <f>IF(AND(ISNUMBER(H2018),ISNUMBER(I2018),H2018&gt;0,ISNUMBER($B$94)),MAX(0,$B$94-3*SQRT($B$94*(1-$B$94)/H2018)),"")</f>
        <v/>
      </c>
      <c r="L2018" s="11">
        <f>IF(AND(ISNUMBER(H2018),ISNUMBER(I2018),H2018&gt;0,ISNUMBER($B$94)),$B$94+3*SQRT($B$94*(1-$B$94)/H2018),"")</f>
        <v/>
      </c>
      <c r="M2018" s="13">
        <f>IF(AND(ISNUMBER(J2018),ISNUMBER(K2018),ISNUMBER(L2018)),IF(J2018&gt;L2018,"boven UCL",IF(J2018&lt;K2018,"onder LCL","")),"")</f>
        <v/>
      </c>
      <c r="O2018" t="n">
        <v>1912</v>
      </c>
      <c r="P2018" s="7" t="n"/>
      <c r="Q2018" s="7" t="n"/>
      <c r="R2018" s="11">
        <f>IF(AND(ISNUMBER(P2018),ISNUMBER(Q2018),P2018&gt;0,ISNUMBER($B$100)),Q2018/P2018,"")</f>
        <v/>
      </c>
      <c r="S2018" s="11">
        <f>IF(AND(ISNUMBER(P2018),ISNUMBER(Q2018),P2018&gt;0,ISNUMBER($B$100)),MAX(0,$B$100-3*SQRT($B$100/P2018)),"")</f>
        <v/>
      </c>
      <c r="T2018" s="11">
        <f>IF(AND(ISNUMBER(P2018),ISNUMBER(Q2018),P2018&gt;0,ISNUMBER($B$100)),$B$100+3*SQRT($B$100/P2018),"")</f>
        <v/>
      </c>
      <c r="U2018" s="13">
        <f>IF(AND(ISNUMBER(R2018),ISNUMBER(S2018),ISNUMBER(T2018)),IF(R2018&gt;T2018,"boven UCL",IF(R2018&lt;S2018,"onder LCL","")),"")</f>
        <v/>
      </c>
    </row>
    <row r="2019">
      <c r="A2019" t="n">
        <v>1913</v>
      </c>
      <c r="B2019" s="7" t="n"/>
      <c r="C2019" s="11">
        <f>IF(AND(ISNUMBER(B2019),ISNUMBER(B2018)),ABS(B2019-B2018),"")</f>
        <v/>
      </c>
      <c r="D2019" s="13">
        <f>IF(AND(ISNUMBER(B2019),ISNUMBER($B$88),ISNUMBER($D$88)),IF(B2019&gt;$D$88,"boven UCL",IF(B2019&lt;$B$88,"onder LCL","")),"")</f>
        <v/>
      </c>
      <c r="E2019" s="13">
        <f>IF(AND(ISNUMBER(C2019),ISNUMBER($B$89),ISNUMBER($D$89)),IF(C2019&gt;$D$89,"boven UCL",IF(C2019&lt;$B$89,"onder LCL","")),"")</f>
        <v/>
      </c>
      <c r="G2019" t="n">
        <v>1913</v>
      </c>
      <c r="H2019" s="7" t="n"/>
      <c r="I2019" s="7" t="n"/>
      <c r="J2019" s="11">
        <f>IF(AND(ISNUMBER(H2019),ISNUMBER(I2019),H2019&gt;0,ISNUMBER($B$94)),I2019/H2019,"")</f>
        <v/>
      </c>
      <c r="K2019" s="11">
        <f>IF(AND(ISNUMBER(H2019),ISNUMBER(I2019),H2019&gt;0,ISNUMBER($B$94)),MAX(0,$B$94-3*SQRT($B$94*(1-$B$94)/H2019)),"")</f>
        <v/>
      </c>
      <c r="L2019" s="11">
        <f>IF(AND(ISNUMBER(H2019),ISNUMBER(I2019),H2019&gt;0,ISNUMBER($B$94)),$B$94+3*SQRT($B$94*(1-$B$94)/H2019),"")</f>
        <v/>
      </c>
      <c r="M2019" s="13">
        <f>IF(AND(ISNUMBER(J2019),ISNUMBER(K2019),ISNUMBER(L2019)),IF(J2019&gt;L2019,"boven UCL",IF(J2019&lt;K2019,"onder LCL","")),"")</f>
        <v/>
      </c>
      <c r="O2019" t="n">
        <v>1913</v>
      </c>
      <c r="P2019" s="7" t="n"/>
      <c r="Q2019" s="7" t="n"/>
      <c r="R2019" s="11">
        <f>IF(AND(ISNUMBER(P2019),ISNUMBER(Q2019),P2019&gt;0,ISNUMBER($B$100)),Q2019/P2019,"")</f>
        <v/>
      </c>
      <c r="S2019" s="11">
        <f>IF(AND(ISNUMBER(P2019),ISNUMBER(Q2019),P2019&gt;0,ISNUMBER($B$100)),MAX(0,$B$100-3*SQRT($B$100/P2019)),"")</f>
        <v/>
      </c>
      <c r="T2019" s="11">
        <f>IF(AND(ISNUMBER(P2019),ISNUMBER(Q2019),P2019&gt;0,ISNUMBER($B$100)),$B$100+3*SQRT($B$100/P2019),"")</f>
        <v/>
      </c>
      <c r="U2019" s="13">
        <f>IF(AND(ISNUMBER(R2019),ISNUMBER(S2019),ISNUMBER(T2019)),IF(R2019&gt;T2019,"boven UCL",IF(R2019&lt;S2019,"onder LCL","")),"")</f>
        <v/>
      </c>
    </row>
    <row r="2020">
      <c r="A2020" t="n">
        <v>1914</v>
      </c>
      <c r="B2020" s="7" t="n"/>
      <c r="C2020" s="11">
        <f>IF(AND(ISNUMBER(B2020),ISNUMBER(B2019)),ABS(B2020-B2019),"")</f>
        <v/>
      </c>
      <c r="D2020" s="13">
        <f>IF(AND(ISNUMBER(B2020),ISNUMBER($B$88),ISNUMBER($D$88)),IF(B2020&gt;$D$88,"boven UCL",IF(B2020&lt;$B$88,"onder LCL","")),"")</f>
        <v/>
      </c>
      <c r="E2020" s="13">
        <f>IF(AND(ISNUMBER(C2020),ISNUMBER($B$89),ISNUMBER($D$89)),IF(C2020&gt;$D$89,"boven UCL",IF(C2020&lt;$B$89,"onder LCL","")),"")</f>
        <v/>
      </c>
      <c r="G2020" t="n">
        <v>1914</v>
      </c>
      <c r="H2020" s="7" t="n"/>
      <c r="I2020" s="7" t="n"/>
      <c r="J2020" s="11">
        <f>IF(AND(ISNUMBER(H2020),ISNUMBER(I2020),H2020&gt;0,ISNUMBER($B$94)),I2020/H2020,"")</f>
        <v/>
      </c>
      <c r="K2020" s="11">
        <f>IF(AND(ISNUMBER(H2020),ISNUMBER(I2020),H2020&gt;0,ISNUMBER($B$94)),MAX(0,$B$94-3*SQRT($B$94*(1-$B$94)/H2020)),"")</f>
        <v/>
      </c>
      <c r="L2020" s="11">
        <f>IF(AND(ISNUMBER(H2020),ISNUMBER(I2020),H2020&gt;0,ISNUMBER($B$94)),$B$94+3*SQRT($B$94*(1-$B$94)/H2020),"")</f>
        <v/>
      </c>
      <c r="M2020" s="13">
        <f>IF(AND(ISNUMBER(J2020),ISNUMBER(K2020),ISNUMBER(L2020)),IF(J2020&gt;L2020,"boven UCL",IF(J2020&lt;K2020,"onder LCL","")),"")</f>
        <v/>
      </c>
      <c r="O2020" t="n">
        <v>1914</v>
      </c>
      <c r="P2020" s="7" t="n"/>
      <c r="Q2020" s="7" t="n"/>
      <c r="R2020" s="11">
        <f>IF(AND(ISNUMBER(P2020),ISNUMBER(Q2020),P2020&gt;0,ISNUMBER($B$100)),Q2020/P2020,"")</f>
        <v/>
      </c>
      <c r="S2020" s="11">
        <f>IF(AND(ISNUMBER(P2020),ISNUMBER(Q2020),P2020&gt;0,ISNUMBER($B$100)),MAX(0,$B$100-3*SQRT($B$100/P2020)),"")</f>
        <v/>
      </c>
      <c r="T2020" s="11">
        <f>IF(AND(ISNUMBER(P2020),ISNUMBER(Q2020),P2020&gt;0,ISNUMBER($B$100)),$B$100+3*SQRT($B$100/P2020),"")</f>
        <v/>
      </c>
      <c r="U2020" s="13">
        <f>IF(AND(ISNUMBER(R2020),ISNUMBER(S2020),ISNUMBER(T2020)),IF(R2020&gt;T2020,"boven UCL",IF(R2020&lt;S2020,"onder LCL","")),"")</f>
        <v/>
      </c>
    </row>
    <row r="2021">
      <c r="A2021" t="n">
        <v>1915</v>
      </c>
      <c r="B2021" s="7" t="n"/>
      <c r="C2021" s="11">
        <f>IF(AND(ISNUMBER(B2021),ISNUMBER(B2020)),ABS(B2021-B2020),"")</f>
        <v/>
      </c>
      <c r="D2021" s="13">
        <f>IF(AND(ISNUMBER(B2021),ISNUMBER($B$88),ISNUMBER($D$88)),IF(B2021&gt;$D$88,"boven UCL",IF(B2021&lt;$B$88,"onder LCL","")),"")</f>
        <v/>
      </c>
      <c r="E2021" s="13">
        <f>IF(AND(ISNUMBER(C2021),ISNUMBER($B$89),ISNUMBER($D$89)),IF(C2021&gt;$D$89,"boven UCL",IF(C2021&lt;$B$89,"onder LCL","")),"")</f>
        <v/>
      </c>
      <c r="G2021" t="n">
        <v>1915</v>
      </c>
      <c r="H2021" s="7" t="n"/>
      <c r="I2021" s="7" t="n"/>
      <c r="J2021" s="11">
        <f>IF(AND(ISNUMBER(H2021),ISNUMBER(I2021),H2021&gt;0,ISNUMBER($B$94)),I2021/H2021,"")</f>
        <v/>
      </c>
      <c r="K2021" s="11">
        <f>IF(AND(ISNUMBER(H2021),ISNUMBER(I2021),H2021&gt;0,ISNUMBER($B$94)),MAX(0,$B$94-3*SQRT($B$94*(1-$B$94)/H2021)),"")</f>
        <v/>
      </c>
      <c r="L2021" s="11">
        <f>IF(AND(ISNUMBER(H2021),ISNUMBER(I2021),H2021&gt;0,ISNUMBER($B$94)),$B$94+3*SQRT($B$94*(1-$B$94)/H2021),"")</f>
        <v/>
      </c>
      <c r="M2021" s="13">
        <f>IF(AND(ISNUMBER(J2021),ISNUMBER(K2021),ISNUMBER(L2021)),IF(J2021&gt;L2021,"boven UCL",IF(J2021&lt;K2021,"onder LCL","")),"")</f>
        <v/>
      </c>
      <c r="O2021" t="n">
        <v>1915</v>
      </c>
      <c r="P2021" s="7" t="n"/>
      <c r="Q2021" s="7" t="n"/>
      <c r="R2021" s="11">
        <f>IF(AND(ISNUMBER(P2021),ISNUMBER(Q2021),P2021&gt;0,ISNUMBER($B$100)),Q2021/P2021,"")</f>
        <v/>
      </c>
      <c r="S2021" s="11">
        <f>IF(AND(ISNUMBER(P2021),ISNUMBER(Q2021),P2021&gt;0,ISNUMBER($B$100)),MAX(0,$B$100-3*SQRT($B$100/P2021)),"")</f>
        <v/>
      </c>
      <c r="T2021" s="11">
        <f>IF(AND(ISNUMBER(P2021),ISNUMBER(Q2021),P2021&gt;0,ISNUMBER($B$100)),$B$100+3*SQRT($B$100/P2021),"")</f>
        <v/>
      </c>
      <c r="U2021" s="13">
        <f>IF(AND(ISNUMBER(R2021),ISNUMBER(S2021),ISNUMBER(T2021)),IF(R2021&gt;T2021,"boven UCL",IF(R2021&lt;S2021,"onder LCL","")),"")</f>
        <v/>
      </c>
    </row>
    <row r="2022">
      <c r="A2022" t="n">
        <v>1916</v>
      </c>
      <c r="B2022" s="7" t="n"/>
      <c r="C2022" s="11">
        <f>IF(AND(ISNUMBER(B2022),ISNUMBER(B2021)),ABS(B2022-B2021),"")</f>
        <v/>
      </c>
      <c r="D2022" s="13">
        <f>IF(AND(ISNUMBER(B2022),ISNUMBER($B$88),ISNUMBER($D$88)),IF(B2022&gt;$D$88,"boven UCL",IF(B2022&lt;$B$88,"onder LCL","")),"")</f>
        <v/>
      </c>
      <c r="E2022" s="13">
        <f>IF(AND(ISNUMBER(C2022),ISNUMBER($B$89),ISNUMBER($D$89)),IF(C2022&gt;$D$89,"boven UCL",IF(C2022&lt;$B$89,"onder LCL","")),"")</f>
        <v/>
      </c>
      <c r="G2022" t="n">
        <v>1916</v>
      </c>
      <c r="H2022" s="7" t="n"/>
      <c r="I2022" s="7" t="n"/>
      <c r="J2022" s="11">
        <f>IF(AND(ISNUMBER(H2022),ISNUMBER(I2022),H2022&gt;0,ISNUMBER($B$94)),I2022/H2022,"")</f>
        <v/>
      </c>
      <c r="K2022" s="11">
        <f>IF(AND(ISNUMBER(H2022),ISNUMBER(I2022),H2022&gt;0,ISNUMBER($B$94)),MAX(0,$B$94-3*SQRT($B$94*(1-$B$94)/H2022)),"")</f>
        <v/>
      </c>
      <c r="L2022" s="11">
        <f>IF(AND(ISNUMBER(H2022),ISNUMBER(I2022),H2022&gt;0,ISNUMBER($B$94)),$B$94+3*SQRT($B$94*(1-$B$94)/H2022),"")</f>
        <v/>
      </c>
      <c r="M2022" s="13">
        <f>IF(AND(ISNUMBER(J2022),ISNUMBER(K2022),ISNUMBER(L2022)),IF(J2022&gt;L2022,"boven UCL",IF(J2022&lt;K2022,"onder LCL","")),"")</f>
        <v/>
      </c>
      <c r="O2022" t="n">
        <v>1916</v>
      </c>
      <c r="P2022" s="7" t="n"/>
      <c r="Q2022" s="7" t="n"/>
      <c r="R2022" s="11">
        <f>IF(AND(ISNUMBER(P2022),ISNUMBER(Q2022),P2022&gt;0,ISNUMBER($B$100)),Q2022/P2022,"")</f>
        <v/>
      </c>
      <c r="S2022" s="11">
        <f>IF(AND(ISNUMBER(P2022),ISNUMBER(Q2022),P2022&gt;0,ISNUMBER($B$100)),MAX(0,$B$100-3*SQRT($B$100/P2022)),"")</f>
        <v/>
      </c>
      <c r="T2022" s="11">
        <f>IF(AND(ISNUMBER(P2022),ISNUMBER(Q2022),P2022&gt;0,ISNUMBER($B$100)),$B$100+3*SQRT($B$100/P2022),"")</f>
        <v/>
      </c>
      <c r="U2022" s="13">
        <f>IF(AND(ISNUMBER(R2022),ISNUMBER(S2022),ISNUMBER(T2022)),IF(R2022&gt;T2022,"boven UCL",IF(R2022&lt;S2022,"onder LCL","")),"")</f>
        <v/>
      </c>
    </row>
    <row r="2023">
      <c r="A2023" t="n">
        <v>1917</v>
      </c>
      <c r="B2023" s="7" t="n"/>
      <c r="C2023" s="11">
        <f>IF(AND(ISNUMBER(B2023),ISNUMBER(B2022)),ABS(B2023-B2022),"")</f>
        <v/>
      </c>
      <c r="D2023" s="13">
        <f>IF(AND(ISNUMBER(B2023),ISNUMBER($B$88),ISNUMBER($D$88)),IF(B2023&gt;$D$88,"boven UCL",IF(B2023&lt;$B$88,"onder LCL","")),"")</f>
        <v/>
      </c>
      <c r="E2023" s="13">
        <f>IF(AND(ISNUMBER(C2023),ISNUMBER($B$89),ISNUMBER($D$89)),IF(C2023&gt;$D$89,"boven UCL",IF(C2023&lt;$B$89,"onder LCL","")),"")</f>
        <v/>
      </c>
      <c r="G2023" t="n">
        <v>1917</v>
      </c>
      <c r="H2023" s="7" t="n"/>
      <c r="I2023" s="7" t="n"/>
      <c r="J2023" s="11">
        <f>IF(AND(ISNUMBER(H2023),ISNUMBER(I2023),H2023&gt;0,ISNUMBER($B$94)),I2023/H2023,"")</f>
        <v/>
      </c>
      <c r="K2023" s="11">
        <f>IF(AND(ISNUMBER(H2023),ISNUMBER(I2023),H2023&gt;0,ISNUMBER($B$94)),MAX(0,$B$94-3*SQRT($B$94*(1-$B$94)/H2023)),"")</f>
        <v/>
      </c>
      <c r="L2023" s="11">
        <f>IF(AND(ISNUMBER(H2023),ISNUMBER(I2023),H2023&gt;0,ISNUMBER($B$94)),$B$94+3*SQRT($B$94*(1-$B$94)/H2023),"")</f>
        <v/>
      </c>
      <c r="M2023" s="13">
        <f>IF(AND(ISNUMBER(J2023),ISNUMBER(K2023),ISNUMBER(L2023)),IF(J2023&gt;L2023,"boven UCL",IF(J2023&lt;K2023,"onder LCL","")),"")</f>
        <v/>
      </c>
      <c r="O2023" t="n">
        <v>1917</v>
      </c>
      <c r="P2023" s="7" t="n"/>
      <c r="Q2023" s="7" t="n"/>
      <c r="R2023" s="11">
        <f>IF(AND(ISNUMBER(P2023),ISNUMBER(Q2023),P2023&gt;0,ISNUMBER($B$100)),Q2023/P2023,"")</f>
        <v/>
      </c>
      <c r="S2023" s="11">
        <f>IF(AND(ISNUMBER(P2023),ISNUMBER(Q2023),P2023&gt;0,ISNUMBER($B$100)),MAX(0,$B$100-3*SQRT($B$100/P2023)),"")</f>
        <v/>
      </c>
      <c r="T2023" s="11">
        <f>IF(AND(ISNUMBER(P2023),ISNUMBER(Q2023),P2023&gt;0,ISNUMBER($B$100)),$B$100+3*SQRT($B$100/P2023),"")</f>
        <v/>
      </c>
      <c r="U2023" s="13">
        <f>IF(AND(ISNUMBER(R2023),ISNUMBER(S2023),ISNUMBER(T2023)),IF(R2023&gt;T2023,"boven UCL",IF(R2023&lt;S2023,"onder LCL","")),"")</f>
        <v/>
      </c>
    </row>
    <row r="2024">
      <c r="A2024" t="n">
        <v>1918</v>
      </c>
      <c r="B2024" s="7" t="n"/>
      <c r="C2024" s="11">
        <f>IF(AND(ISNUMBER(B2024),ISNUMBER(B2023)),ABS(B2024-B2023),"")</f>
        <v/>
      </c>
      <c r="D2024" s="13">
        <f>IF(AND(ISNUMBER(B2024),ISNUMBER($B$88),ISNUMBER($D$88)),IF(B2024&gt;$D$88,"boven UCL",IF(B2024&lt;$B$88,"onder LCL","")),"")</f>
        <v/>
      </c>
      <c r="E2024" s="13">
        <f>IF(AND(ISNUMBER(C2024),ISNUMBER($B$89),ISNUMBER($D$89)),IF(C2024&gt;$D$89,"boven UCL",IF(C2024&lt;$B$89,"onder LCL","")),"")</f>
        <v/>
      </c>
      <c r="G2024" t="n">
        <v>1918</v>
      </c>
      <c r="H2024" s="7" t="n"/>
      <c r="I2024" s="7" t="n"/>
      <c r="J2024" s="11">
        <f>IF(AND(ISNUMBER(H2024),ISNUMBER(I2024),H2024&gt;0,ISNUMBER($B$94)),I2024/H2024,"")</f>
        <v/>
      </c>
      <c r="K2024" s="11">
        <f>IF(AND(ISNUMBER(H2024),ISNUMBER(I2024),H2024&gt;0,ISNUMBER($B$94)),MAX(0,$B$94-3*SQRT($B$94*(1-$B$94)/H2024)),"")</f>
        <v/>
      </c>
      <c r="L2024" s="11">
        <f>IF(AND(ISNUMBER(H2024),ISNUMBER(I2024),H2024&gt;0,ISNUMBER($B$94)),$B$94+3*SQRT($B$94*(1-$B$94)/H2024),"")</f>
        <v/>
      </c>
      <c r="M2024" s="13">
        <f>IF(AND(ISNUMBER(J2024),ISNUMBER(K2024),ISNUMBER(L2024)),IF(J2024&gt;L2024,"boven UCL",IF(J2024&lt;K2024,"onder LCL","")),"")</f>
        <v/>
      </c>
      <c r="O2024" t="n">
        <v>1918</v>
      </c>
      <c r="P2024" s="7" t="n"/>
      <c r="Q2024" s="7" t="n"/>
      <c r="R2024" s="11">
        <f>IF(AND(ISNUMBER(P2024),ISNUMBER(Q2024),P2024&gt;0,ISNUMBER($B$100)),Q2024/P2024,"")</f>
        <v/>
      </c>
      <c r="S2024" s="11">
        <f>IF(AND(ISNUMBER(P2024),ISNUMBER(Q2024),P2024&gt;0,ISNUMBER($B$100)),MAX(0,$B$100-3*SQRT($B$100/P2024)),"")</f>
        <v/>
      </c>
      <c r="T2024" s="11">
        <f>IF(AND(ISNUMBER(P2024),ISNUMBER(Q2024),P2024&gt;0,ISNUMBER($B$100)),$B$100+3*SQRT($B$100/P2024),"")</f>
        <v/>
      </c>
      <c r="U2024" s="13">
        <f>IF(AND(ISNUMBER(R2024),ISNUMBER(S2024),ISNUMBER(T2024)),IF(R2024&gt;T2024,"boven UCL",IF(R2024&lt;S2024,"onder LCL","")),"")</f>
        <v/>
      </c>
    </row>
    <row r="2025">
      <c r="A2025" t="n">
        <v>1919</v>
      </c>
      <c r="B2025" s="7" t="n"/>
      <c r="C2025" s="11">
        <f>IF(AND(ISNUMBER(B2025),ISNUMBER(B2024)),ABS(B2025-B2024),"")</f>
        <v/>
      </c>
      <c r="D2025" s="13">
        <f>IF(AND(ISNUMBER(B2025),ISNUMBER($B$88),ISNUMBER($D$88)),IF(B2025&gt;$D$88,"boven UCL",IF(B2025&lt;$B$88,"onder LCL","")),"")</f>
        <v/>
      </c>
      <c r="E2025" s="13">
        <f>IF(AND(ISNUMBER(C2025),ISNUMBER($B$89),ISNUMBER($D$89)),IF(C2025&gt;$D$89,"boven UCL",IF(C2025&lt;$B$89,"onder LCL","")),"")</f>
        <v/>
      </c>
      <c r="G2025" t="n">
        <v>1919</v>
      </c>
      <c r="H2025" s="7" t="n"/>
      <c r="I2025" s="7" t="n"/>
      <c r="J2025" s="11">
        <f>IF(AND(ISNUMBER(H2025),ISNUMBER(I2025),H2025&gt;0,ISNUMBER($B$94)),I2025/H2025,"")</f>
        <v/>
      </c>
      <c r="K2025" s="11">
        <f>IF(AND(ISNUMBER(H2025),ISNUMBER(I2025),H2025&gt;0,ISNUMBER($B$94)),MAX(0,$B$94-3*SQRT($B$94*(1-$B$94)/H2025)),"")</f>
        <v/>
      </c>
      <c r="L2025" s="11">
        <f>IF(AND(ISNUMBER(H2025),ISNUMBER(I2025),H2025&gt;0,ISNUMBER($B$94)),$B$94+3*SQRT($B$94*(1-$B$94)/H2025),"")</f>
        <v/>
      </c>
      <c r="M2025" s="13">
        <f>IF(AND(ISNUMBER(J2025),ISNUMBER(K2025),ISNUMBER(L2025)),IF(J2025&gt;L2025,"boven UCL",IF(J2025&lt;K2025,"onder LCL","")),"")</f>
        <v/>
      </c>
      <c r="O2025" t="n">
        <v>1919</v>
      </c>
      <c r="P2025" s="7" t="n"/>
      <c r="Q2025" s="7" t="n"/>
      <c r="R2025" s="11">
        <f>IF(AND(ISNUMBER(P2025),ISNUMBER(Q2025),P2025&gt;0,ISNUMBER($B$100)),Q2025/P2025,"")</f>
        <v/>
      </c>
      <c r="S2025" s="11">
        <f>IF(AND(ISNUMBER(P2025),ISNUMBER(Q2025),P2025&gt;0,ISNUMBER($B$100)),MAX(0,$B$100-3*SQRT($B$100/P2025)),"")</f>
        <v/>
      </c>
      <c r="T2025" s="11">
        <f>IF(AND(ISNUMBER(P2025),ISNUMBER(Q2025),P2025&gt;0,ISNUMBER($B$100)),$B$100+3*SQRT($B$100/P2025),"")</f>
        <v/>
      </c>
      <c r="U2025" s="13">
        <f>IF(AND(ISNUMBER(R2025),ISNUMBER(S2025),ISNUMBER(T2025)),IF(R2025&gt;T2025,"boven UCL",IF(R2025&lt;S2025,"onder LCL","")),"")</f>
        <v/>
      </c>
    </row>
    <row r="2026">
      <c r="A2026" t="n">
        <v>1920</v>
      </c>
      <c r="B2026" s="7" t="n"/>
      <c r="C2026" s="11">
        <f>IF(AND(ISNUMBER(B2026),ISNUMBER(B2025)),ABS(B2026-B2025),"")</f>
        <v/>
      </c>
      <c r="D2026" s="13">
        <f>IF(AND(ISNUMBER(B2026),ISNUMBER($B$88),ISNUMBER($D$88)),IF(B2026&gt;$D$88,"boven UCL",IF(B2026&lt;$B$88,"onder LCL","")),"")</f>
        <v/>
      </c>
      <c r="E2026" s="13">
        <f>IF(AND(ISNUMBER(C2026),ISNUMBER($B$89),ISNUMBER($D$89)),IF(C2026&gt;$D$89,"boven UCL",IF(C2026&lt;$B$89,"onder LCL","")),"")</f>
        <v/>
      </c>
      <c r="G2026" t="n">
        <v>1920</v>
      </c>
      <c r="H2026" s="7" t="n"/>
      <c r="I2026" s="7" t="n"/>
      <c r="J2026" s="11">
        <f>IF(AND(ISNUMBER(H2026),ISNUMBER(I2026),H2026&gt;0,ISNUMBER($B$94)),I2026/H2026,"")</f>
        <v/>
      </c>
      <c r="K2026" s="11">
        <f>IF(AND(ISNUMBER(H2026),ISNUMBER(I2026),H2026&gt;0,ISNUMBER($B$94)),MAX(0,$B$94-3*SQRT($B$94*(1-$B$94)/H2026)),"")</f>
        <v/>
      </c>
      <c r="L2026" s="11">
        <f>IF(AND(ISNUMBER(H2026),ISNUMBER(I2026),H2026&gt;0,ISNUMBER($B$94)),$B$94+3*SQRT($B$94*(1-$B$94)/H2026),"")</f>
        <v/>
      </c>
      <c r="M2026" s="13">
        <f>IF(AND(ISNUMBER(J2026),ISNUMBER(K2026),ISNUMBER(L2026)),IF(J2026&gt;L2026,"boven UCL",IF(J2026&lt;K2026,"onder LCL","")),"")</f>
        <v/>
      </c>
      <c r="O2026" t="n">
        <v>1920</v>
      </c>
      <c r="P2026" s="7" t="n"/>
      <c r="Q2026" s="7" t="n"/>
      <c r="R2026" s="11">
        <f>IF(AND(ISNUMBER(P2026),ISNUMBER(Q2026),P2026&gt;0,ISNUMBER($B$100)),Q2026/P2026,"")</f>
        <v/>
      </c>
      <c r="S2026" s="11">
        <f>IF(AND(ISNUMBER(P2026),ISNUMBER(Q2026),P2026&gt;0,ISNUMBER($B$100)),MAX(0,$B$100-3*SQRT($B$100/P2026)),"")</f>
        <v/>
      </c>
      <c r="T2026" s="11">
        <f>IF(AND(ISNUMBER(P2026),ISNUMBER(Q2026),P2026&gt;0,ISNUMBER($B$100)),$B$100+3*SQRT($B$100/P2026),"")</f>
        <v/>
      </c>
      <c r="U2026" s="13">
        <f>IF(AND(ISNUMBER(R2026),ISNUMBER(S2026),ISNUMBER(T2026)),IF(R2026&gt;T2026,"boven UCL",IF(R2026&lt;S2026,"onder LCL","")),"")</f>
        <v/>
      </c>
    </row>
    <row r="2027">
      <c r="A2027" t="n">
        <v>1921</v>
      </c>
      <c r="B2027" s="7" t="n"/>
      <c r="C2027" s="11">
        <f>IF(AND(ISNUMBER(B2027),ISNUMBER(B2026)),ABS(B2027-B2026),"")</f>
        <v/>
      </c>
      <c r="D2027" s="13">
        <f>IF(AND(ISNUMBER(B2027),ISNUMBER($B$88),ISNUMBER($D$88)),IF(B2027&gt;$D$88,"boven UCL",IF(B2027&lt;$B$88,"onder LCL","")),"")</f>
        <v/>
      </c>
      <c r="E2027" s="13">
        <f>IF(AND(ISNUMBER(C2027),ISNUMBER($B$89),ISNUMBER($D$89)),IF(C2027&gt;$D$89,"boven UCL",IF(C2027&lt;$B$89,"onder LCL","")),"")</f>
        <v/>
      </c>
      <c r="G2027" t="n">
        <v>1921</v>
      </c>
      <c r="H2027" s="7" t="n"/>
      <c r="I2027" s="7" t="n"/>
      <c r="J2027" s="11">
        <f>IF(AND(ISNUMBER(H2027),ISNUMBER(I2027),H2027&gt;0,ISNUMBER($B$94)),I2027/H2027,"")</f>
        <v/>
      </c>
      <c r="K2027" s="11">
        <f>IF(AND(ISNUMBER(H2027),ISNUMBER(I2027),H2027&gt;0,ISNUMBER($B$94)),MAX(0,$B$94-3*SQRT($B$94*(1-$B$94)/H2027)),"")</f>
        <v/>
      </c>
      <c r="L2027" s="11">
        <f>IF(AND(ISNUMBER(H2027),ISNUMBER(I2027),H2027&gt;0,ISNUMBER($B$94)),$B$94+3*SQRT($B$94*(1-$B$94)/H2027),"")</f>
        <v/>
      </c>
      <c r="M2027" s="13">
        <f>IF(AND(ISNUMBER(J2027),ISNUMBER(K2027),ISNUMBER(L2027)),IF(J2027&gt;L2027,"boven UCL",IF(J2027&lt;K2027,"onder LCL","")),"")</f>
        <v/>
      </c>
      <c r="O2027" t="n">
        <v>1921</v>
      </c>
      <c r="P2027" s="7" t="n"/>
      <c r="Q2027" s="7" t="n"/>
      <c r="R2027" s="11">
        <f>IF(AND(ISNUMBER(P2027),ISNUMBER(Q2027),P2027&gt;0,ISNUMBER($B$100)),Q2027/P2027,"")</f>
        <v/>
      </c>
      <c r="S2027" s="11">
        <f>IF(AND(ISNUMBER(P2027),ISNUMBER(Q2027),P2027&gt;0,ISNUMBER($B$100)),MAX(0,$B$100-3*SQRT($B$100/P2027)),"")</f>
        <v/>
      </c>
      <c r="T2027" s="11">
        <f>IF(AND(ISNUMBER(P2027),ISNUMBER(Q2027),P2027&gt;0,ISNUMBER($B$100)),$B$100+3*SQRT($B$100/P2027),"")</f>
        <v/>
      </c>
      <c r="U2027" s="13">
        <f>IF(AND(ISNUMBER(R2027),ISNUMBER(S2027),ISNUMBER(T2027)),IF(R2027&gt;T2027,"boven UCL",IF(R2027&lt;S2027,"onder LCL","")),"")</f>
        <v/>
      </c>
    </row>
    <row r="2028">
      <c r="A2028" t="n">
        <v>1922</v>
      </c>
      <c r="B2028" s="7" t="n"/>
      <c r="C2028" s="11">
        <f>IF(AND(ISNUMBER(B2028),ISNUMBER(B2027)),ABS(B2028-B2027),"")</f>
        <v/>
      </c>
      <c r="D2028" s="13">
        <f>IF(AND(ISNUMBER(B2028),ISNUMBER($B$88),ISNUMBER($D$88)),IF(B2028&gt;$D$88,"boven UCL",IF(B2028&lt;$B$88,"onder LCL","")),"")</f>
        <v/>
      </c>
      <c r="E2028" s="13">
        <f>IF(AND(ISNUMBER(C2028),ISNUMBER($B$89),ISNUMBER($D$89)),IF(C2028&gt;$D$89,"boven UCL",IF(C2028&lt;$B$89,"onder LCL","")),"")</f>
        <v/>
      </c>
      <c r="G2028" t="n">
        <v>1922</v>
      </c>
      <c r="H2028" s="7" t="n"/>
      <c r="I2028" s="7" t="n"/>
      <c r="J2028" s="11">
        <f>IF(AND(ISNUMBER(H2028),ISNUMBER(I2028),H2028&gt;0,ISNUMBER($B$94)),I2028/H2028,"")</f>
        <v/>
      </c>
      <c r="K2028" s="11">
        <f>IF(AND(ISNUMBER(H2028),ISNUMBER(I2028),H2028&gt;0,ISNUMBER($B$94)),MAX(0,$B$94-3*SQRT($B$94*(1-$B$94)/H2028)),"")</f>
        <v/>
      </c>
      <c r="L2028" s="11">
        <f>IF(AND(ISNUMBER(H2028),ISNUMBER(I2028),H2028&gt;0,ISNUMBER($B$94)),$B$94+3*SQRT($B$94*(1-$B$94)/H2028),"")</f>
        <v/>
      </c>
      <c r="M2028" s="13">
        <f>IF(AND(ISNUMBER(J2028),ISNUMBER(K2028),ISNUMBER(L2028)),IF(J2028&gt;L2028,"boven UCL",IF(J2028&lt;K2028,"onder LCL","")),"")</f>
        <v/>
      </c>
      <c r="O2028" t="n">
        <v>1922</v>
      </c>
      <c r="P2028" s="7" t="n"/>
      <c r="Q2028" s="7" t="n"/>
      <c r="R2028" s="11">
        <f>IF(AND(ISNUMBER(P2028),ISNUMBER(Q2028),P2028&gt;0,ISNUMBER($B$100)),Q2028/P2028,"")</f>
        <v/>
      </c>
      <c r="S2028" s="11">
        <f>IF(AND(ISNUMBER(P2028),ISNUMBER(Q2028),P2028&gt;0,ISNUMBER($B$100)),MAX(0,$B$100-3*SQRT($B$100/P2028)),"")</f>
        <v/>
      </c>
      <c r="T2028" s="11">
        <f>IF(AND(ISNUMBER(P2028),ISNUMBER(Q2028),P2028&gt;0,ISNUMBER($B$100)),$B$100+3*SQRT($B$100/P2028),"")</f>
        <v/>
      </c>
      <c r="U2028" s="13">
        <f>IF(AND(ISNUMBER(R2028),ISNUMBER(S2028),ISNUMBER(T2028)),IF(R2028&gt;T2028,"boven UCL",IF(R2028&lt;S2028,"onder LCL","")),"")</f>
        <v/>
      </c>
    </row>
    <row r="2029">
      <c r="A2029" t="n">
        <v>1923</v>
      </c>
      <c r="B2029" s="7" t="n"/>
      <c r="C2029" s="11">
        <f>IF(AND(ISNUMBER(B2029),ISNUMBER(B2028)),ABS(B2029-B2028),"")</f>
        <v/>
      </c>
      <c r="D2029" s="13">
        <f>IF(AND(ISNUMBER(B2029),ISNUMBER($B$88),ISNUMBER($D$88)),IF(B2029&gt;$D$88,"boven UCL",IF(B2029&lt;$B$88,"onder LCL","")),"")</f>
        <v/>
      </c>
      <c r="E2029" s="13">
        <f>IF(AND(ISNUMBER(C2029),ISNUMBER($B$89),ISNUMBER($D$89)),IF(C2029&gt;$D$89,"boven UCL",IF(C2029&lt;$B$89,"onder LCL","")),"")</f>
        <v/>
      </c>
      <c r="G2029" t="n">
        <v>1923</v>
      </c>
      <c r="H2029" s="7" t="n"/>
      <c r="I2029" s="7" t="n"/>
      <c r="J2029" s="11">
        <f>IF(AND(ISNUMBER(H2029),ISNUMBER(I2029),H2029&gt;0,ISNUMBER($B$94)),I2029/H2029,"")</f>
        <v/>
      </c>
      <c r="K2029" s="11">
        <f>IF(AND(ISNUMBER(H2029),ISNUMBER(I2029),H2029&gt;0,ISNUMBER($B$94)),MAX(0,$B$94-3*SQRT($B$94*(1-$B$94)/H2029)),"")</f>
        <v/>
      </c>
      <c r="L2029" s="11">
        <f>IF(AND(ISNUMBER(H2029),ISNUMBER(I2029),H2029&gt;0,ISNUMBER($B$94)),$B$94+3*SQRT($B$94*(1-$B$94)/H2029),"")</f>
        <v/>
      </c>
      <c r="M2029" s="13">
        <f>IF(AND(ISNUMBER(J2029),ISNUMBER(K2029),ISNUMBER(L2029)),IF(J2029&gt;L2029,"boven UCL",IF(J2029&lt;K2029,"onder LCL","")),"")</f>
        <v/>
      </c>
      <c r="O2029" t="n">
        <v>1923</v>
      </c>
      <c r="P2029" s="7" t="n"/>
      <c r="Q2029" s="7" t="n"/>
      <c r="R2029" s="11">
        <f>IF(AND(ISNUMBER(P2029),ISNUMBER(Q2029),P2029&gt;0,ISNUMBER($B$100)),Q2029/P2029,"")</f>
        <v/>
      </c>
      <c r="S2029" s="11">
        <f>IF(AND(ISNUMBER(P2029),ISNUMBER(Q2029),P2029&gt;0,ISNUMBER($B$100)),MAX(0,$B$100-3*SQRT($B$100/P2029)),"")</f>
        <v/>
      </c>
      <c r="T2029" s="11">
        <f>IF(AND(ISNUMBER(P2029),ISNUMBER(Q2029),P2029&gt;0,ISNUMBER($B$100)),$B$100+3*SQRT($B$100/P2029),"")</f>
        <v/>
      </c>
      <c r="U2029" s="13">
        <f>IF(AND(ISNUMBER(R2029),ISNUMBER(S2029),ISNUMBER(T2029)),IF(R2029&gt;T2029,"boven UCL",IF(R2029&lt;S2029,"onder LCL","")),"")</f>
        <v/>
      </c>
    </row>
    <row r="2030">
      <c r="A2030" t="n">
        <v>1924</v>
      </c>
      <c r="B2030" s="7" t="n"/>
      <c r="C2030" s="11">
        <f>IF(AND(ISNUMBER(B2030),ISNUMBER(B2029)),ABS(B2030-B2029),"")</f>
        <v/>
      </c>
      <c r="D2030" s="13">
        <f>IF(AND(ISNUMBER(B2030),ISNUMBER($B$88),ISNUMBER($D$88)),IF(B2030&gt;$D$88,"boven UCL",IF(B2030&lt;$B$88,"onder LCL","")),"")</f>
        <v/>
      </c>
      <c r="E2030" s="13">
        <f>IF(AND(ISNUMBER(C2030),ISNUMBER($B$89),ISNUMBER($D$89)),IF(C2030&gt;$D$89,"boven UCL",IF(C2030&lt;$B$89,"onder LCL","")),"")</f>
        <v/>
      </c>
      <c r="G2030" t="n">
        <v>1924</v>
      </c>
      <c r="H2030" s="7" t="n"/>
      <c r="I2030" s="7" t="n"/>
      <c r="J2030" s="11">
        <f>IF(AND(ISNUMBER(H2030),ISNUMBER(I2030),H2030&gt;0,ISNUMBER($B$94)),I2030/H2030,"")</f>
        <v/>
      </c>
      <c r="K2030" s="11">
        <f>IF(AND(ISNUMBER(H2030),ISNUMBER(I2030),H2030&gt;0,ISNUMBER($B$94)),MAX(0,$B$94-3*SQRT($B$94*(1-$B$94)/H2030)),"")</f>
        <v/>
      </c>
      <c r="L2030" s="11">
        <f>IF(AND(ISNUMBER(H2030),ISNUMBER(I2030),H2030&gt;0,ISNUMBER($B$94)),$B$94+3*SQRT($B$94*(1-$B$94)/H2030),"")</f>
        <v/>
      </c>
      <c r="M2030" s="13">
        <f>IF(AND(ISNUMBER(J2030),ISNUMBER(K2030),ISNUMBER(L2030)),IF(J2030&gt;L2030,"boven UCL",IF(J2030&lt;K2030,"onder LCL","")),"")</f>
        <v/>
      </c>
      <c r="O2030" t="n">
        <v>1924</v>
      </c>
      <c r="P2030" s="7" t="n"/>
      <c r="Q2030" s="7" t="n"/>
      <c r="R2030" s="11">
        <f>IF(AND(ISNUMBER(P2030),ISNUMBER(Q2030),P2030&gt;0,ISNUMBER($B$100)),Q2030/P2030,"")</f>
        <v/>
      </c>
      <c r="S2030" s="11">
        <f>IF(AND(ISNUMBER(P2030),ISNUMBER(Q2030),P2030&gt;0,ISNUMBER($B$100)),MAX(0,$B$100-3*SQRT($B$100/P2030)),"")</f>
        <v/>
      </c>
      <c r="T2030" s="11">
        <f>IF(AND(ISNUMBER(P2030),ISNUMBER(Q2030),P2030&gt;0,ISNUMBER($B$100)),$B$100+3*SQRT($B$100/P2030),"")</f>
        <v/>
      </c>
      <c r="U2030" s="13">
        <f>IF(AND(ISNUMBER(R2030),ISNUMBER(S2030),ISNUMBER(T2030)),IF(R2030&gt;T2030,"boven UCL",IF(R2030&lt;S2030,"onder LCL","")),"")</f>
        <v/>
      </c>
    </row>
    <row r="2031">
      <c r="A2031" t="n">
        <v>1925</v>
      </c>
      <c r="B2031" s="7" t="n"/>
      <c r="C2031" s="11">
        <f>IF(AND(ISNUMBER(B2031),ISNUMBER(B2030)),ABS(B2031-B2030),"")</f>
        <v/>
      </c>
      <c r="D2031" s="13">
        <f>IF(AND(ISNUMBER(B2031),ISNUMBER($B$88),ISNUMBER($D$88)),IF(B2031&gt;$D$88,"boven UCL",IF(B2031&lt;$B$88,"onder LCL","")),"")</f>
        <v/>
      </c>
      <c r="E2031" s="13">
        <f>IF(AND(ISNUMBER(C2031),ISNUMBER($B$89),ISNUMBER($D$89)),IF(C2031&gt;$D$89,"boven UCL",IF(C2031&lt;$B$89,"onder LCL","")),"")</f>
        <v/>
      </c>
      <c r="G2031" t="n">
        <v>1925</v>
      </c>
      <c r="H2031" s="7" t="n"/>
      <c r="I2031" s="7" t="n"/>
      <c r="J2031" s="11">
        <f>IF(AND(ISNUMBER(H2031),ISNUMBER(I2031),H2031&gt;0,ISNUMBER($B$94)),I2031/H2031,"")</f>
        <v/>
      </c>
      <c r="K2031" s="11">
        <f>IF(AND(ISNUMBER(H2031),ISNUMBER(I2031),H2031&gt;0,ISNUMBER($B$94)),MAX(0,$B$94-3*SQRT($B$94*(1-$B$94)/H2031)),"")</f>
        <v/>
      </c>
      <c r="L2031" s="11">
        <f>IF(AND(ISNUMBER(H2031),ISNUMBER(I2031),H2031&gt;0,ISNUMBER($B$94)),$B$94+3*SQRT($B$94*(1-$B$94)/H2031),"")</f>
        <v/>
      </c>
      <c r="M2031" s="13">
        <f>IF(AND(ISNUMBER(J2031),ISNUMBER(K2031),ISNUMBER(L2031)),IF(J2031&gt;L2031,"boven UCL",IF(J2031&lt;K2031,"onder LCL","")),"")</f>
        <v/>
      </c>
      <c r="O2031" t="n">
        <v>1925</v>
      </c>
      <c r="P2031" s="7" t="n"/>
      <c r="Q2031" s="7" t="n"/>
      <c r="R2031" s="11">
        <f>IF(AND(ISNUMBER(P2031),ISNUMBER(Q2031),P2031&gt;0,ISNUMBER($B$100)),Q2031/P2031,"")</f>
        <v/>
      </c>
      <c r="S2031" s="11">
        <f>IF(AND(ISNUMBER(P2031),ISNUMBER(Q2031),P2031&gt;0,ISNUMBER($B$100)),MAX(0,$B$100-3*SQRT($B$100/P2031)),"")</f>
        <v/>
      </c>
      <c r="T2031" s="11">
        <f>IF(AND(ISNUMBER(P2031),ISNUMBER(Q2031),P2031&gt;0,ISNUMBER($B$100)),$B$100+3*SQRT($B$100/P2031),"")</f>
        <v/>
      </c>
      <c r="U2031" s="13">
        <f>IF(AND(ISNUMBER(R2031),ISNUMBER(S2031),ISNUMBER(T2031)),IF(R2031&gt;T2031,"boven UCL",IF(R2031&lt;S2031,"onder LCL","")),"")</f>
        <v/>
      </c>
    </row>
    <row r="2032">
      <c r="A2032" t="n">
        <v>1926</v>
      </c>
      <c r="B2032" s="7" t="n"/>
      <c r="C2032" s="11">
        <f>IF(AND(ISNUMBER(B2032),ISNUMBER(B2031)),ABS(B2032-B2031),"")</f>
        <v/>
      </c>
      <c r="D2032" s="13">
        <f>IF(AND(ISNUMBER(B2032),ISNUMBER($B$88),ISNUMBER($D$88)),IF(B2032&gt;$D$88,"boven UCL",IF(B2032&lt;$B$88,"onder LCL","")),"")</f>
        <v/>
      </c>
      <c r="E2032" s="13">
        <f>IF(AND(ISNUMBER(C2032),ISNUMBER($B$89),ISNUMBER($D$89)),IF(C2032&gt;$D$89,"boven UCL",IF(C2032&lt;$B$89,"onder LCL","")),"")</f>
        <v/>
      </c>
      <c r="G2032" t="n">
        <v>1926</v>
      </c>
      <c r="H2032" s="7" t="n"/>
      <c r="I2032" s="7" t="n"/>
      <c r="J2032" s="11">
        <f>IF(AND(ISNUMBER(H2032),ISNUMBER(I2032),H2032&gt;0,ISNUMBER($B$94)),I2032/H2032,"")</f>
        <v/>
      </c>
      <c r="K2032" s="11">
        <f>IF(AND(ISNUMBER(H2032),ISNUMBER(I2032),H2032&gt;0,ISNUMBER($B$94)),MAX(0,$B$94-3*SQRT($B$94*(1-$B$94)/H2032)),"")</f>
        <v/>
      </c>
      <c r="L2032" s="11">
        <f>IF(AND(ISNUMBER(H2032),ISNUMBER(I2032),H2032&gt;0,ISNUMBER($B$94)),$B$94+3*SQRT($B$94*(1-$B$94)/H2032),"")</f>
        <v/>
      </c>
      <c r="M2032" s="13">
        <f>IF(AND(ISNUMBER(J2032),ISNUMBER(K2032),ISNUMBER(L2032)),IF(J2032&gt;L2032,"boven UCL",IF(J2032&lt;K2032,"onder LCL","")),"")</f>
        <v/>
      </c>
      <c r="O2032" t="n">
        <v>1926</v>
      </c>
      <c r="P2032" s="7" t="n"/>
      <c r="Q2032" s="7" t="n"/>
      <c r="R2032" s="11">
        <f>IF(AND(ISNUMBER(P2032),ISNUMBER(Q2032),P2032&gt;0,ISNUMBER($B$100)),Q2032/P2032,"")</f>
        <v/>
      </c>
      <c r="S2032" s="11">
        <f>IF(AND(ISNUMBER(P2032),ISNUMBER(Q2032),P2032&gt;0,ISNUMBER($B$100)),MAX(0,$B$100-3*SQRT($B$100/P2032)),"")</f>
        <v/>
      </c>
      <c r="T2032" s="11">
        <f>IF(AND(ISNUMBER(P2032),ISNUMBER(Q2032),P2032&gt;0,ISNUMBER($B$100)),$B$100+3*SQRT($B$100/P2032),"")</f>
        <v/>
      </c>
      <c r="U2032" s="13">
        <f>IF(AND(ISNUMBER(R2032),ISNUMBER(S2032),ISNUMBER(T2032)),IF(R2032&gt;T2032,"boven UCL",IF(R2032&lt;S2032,"onder LCL","")),"")</f>
        <v/>
      </c>
    </row>
    <row r="2033">
      <c r="A2033" t="n">
        <v>1927</v>
      </c>
      <c r="B2033" s="7" t="n"/>
      <c r="C2033" s="11">
        <f>IF(AND(ISNUMBER(B2033),ISNUMBER(B2032)),ABS(B2033-B2032),"")</f>
        <v/>
      </c>
      <c r="D2033" s="13">
        <f>IF(AND(ISNUMBER(B2033),ISNUMBER($B$88),ISNUMBER($D$88)),IF(B2033&gt;$D$88,"boven UCL",IF(B2033&lt;$B$88,"onder LCL","")),"")</f>
        <v/>
      </c>
      <c r="E2033" s="13">
        <f>IF(AND(ISNUMBER(C2033),ISNUMBER($B$89),ISNUMBER($D$89)),IF(C2033&gt;$D$89,"boven UCL",IF(C2033&lt;$B$89,"onder LCL","")),"")</f>
        <v/>
      </c>
      <c r="G2033" t="n">
        <v>1927</v>
      </c>
      <c r="H2033" s="7" t="n"/>
      <c r="I2033" s="7" t="n"/>
      <c r="J2033" s="11">
        <f>IF(AND(ISNUMBER(H2033),ISNUMBER(I2033),H2033&gt;0,ISNUMBER($B$94)),I2033/H2033,"")</f>
        <v/>
      </c>
      <c r="K2033" s="11">
        <f>IF(AND(ISNUMBER(H2033),ISNUMBER(I2033),H2033&gt;0,ISNUMBER($B$94)),MAX(0,$B$94-3*SQRT($B$94*(1-$B$94)/H2033)),"")</f>
        <v/>
      </c>
      <c r="L2033" s="11">
        <f>IF(AND(ISNUMBER(H2033),ISNUMBER(I2033),H2033&gt;0,ISNUMBER($B$94)),$B$94+3*SQRT($B$94*(1-$B$94)/H2033),"")</f>
        <v/>
      </c>
      <c r="M2033" s="13">
        <f>IF(AND(ISNUMBER(J2033),ISNUMBER(K2033),ISNUMBER(L2033)),IF(J2033&gt;L2033,"boven UCL",IF(J2033&lt;K2033,"onder LCL","")),"")</f>
        <v/>
      </c>
      <c r="O2033" t="n">
        <v>1927</v>
      </c>
      <c r="P2033" s="7" t="n"/>
      <c r="Q2033" s="7" t="n"/>
      <c r="R2033" s="11">
        <f>IF(AND(ISNUMBER(P2033),ISNUMBER(Q2033),P2033&gt;0,ISNUMBER($B$100)),Q2033/P2033,"")</f>
        <v/>
      </c>
      <c r="S2033" s="11">
        <f>IF(AND(ISNUMBER(P2033),ISNUMBER(Q2033),P2033&gt;0,ISNUMBER($B$100)),MAX(0,$B$100-3*SQRT($B$100/P2033)),"")</f>
        <v/>
      </c>
      <c r="T2033" s="11">
        <f>IF(AND(ISNUMBER(P2033),ISNUMBER(Q2033),P2033&gt;0,ISNUMBER($B$100)),$B$100+3*SQRT($B$100/P2033),"")</f>
        <v/>
      </c>
      <c r="U2033" s="13">
        <f>IF(AND(ISNUMBER(R2033),ISNUMBER(S2033),ISNUMBER(T2033)),IF(R2033&gt;T2033,"boven UCL",IF(R2033&lt;S2033,"onder LCL","")),"")</f>
        <v/>
      </c>
    </row>
    <row r="2034">
      <c r="A2034" t="n">
        <v>1928</v>
      </c>
      <c r="B2034" s="7" t="n"/>
      <c r="C2034" s="11">
        <f>IF(AND(ISNUMBER(B2034),ISNUMBER(B2033)),ABS(B2034-B2033),"")</f>
        <v/>
      </c>
      <c r="D2034" s="13">
        <f>IF(AND(ISNUMBER(B2034),ISNUMBER($B$88),ISNUMBER($D$88)),IF(B2034&gt;$D$88,"boven UCL",IF(B2034&lt;$B$88,"onder LCL","")),"")</f>
        <v/>
      </c>
      <c r="E2034" s="13">
        <f>IF(AND(ISNUMBER(C2034),ISNUMBER($B$89),ISNUMBER($D$89)),IF(C2034&gt;$D$89,"boven UCL",IF(C2034&lt;$B$89,"onder LCL","")),"")</f>
        <v/>
      </c>
      <c r="G2034" t="n">
        <v>1928</v>
      </c>
      <c r="H2034" s="7" t="n"/>
      <c r="I2034" s="7" t="n"/>
      <c r="J2034" s="11">
        <f>IF(AND(ISNUMBER(H2034),ISNUMBER(I2034),H2034&gt;0,ISNUMBER($B$94)),I2034/H2034,"")</f>
        <v/>
      </c>
      <c r="K2034" s="11">
        <f>IF(AND(ISNUMBER(H2034),ISNUMBER(I2034),H2034&gt;0,ISNUMBER($B$94)),MAX(0,$B$94-3*SQRT($B$94*(1-$B$94)/H2034)),"")</f>
        <v/>
      </c>
      <c r="L2034" s="11">
        <f>IF(AND(ISNUMBER(H2034),ISNUMBER(I2034),H2034&gt;0,ISNUMBER($B$94)),$B$94+3*SQRT($B$94*(1-$B$94)/H2034),"")</f>
        <v/>
      </c>
      <c r="M2034" s="13">
        <f>IF(AND(ISNUMBER(J2034),ISNUMBER(K2034),ISNUMBER(L2034)),IF(J2034&gt;L2034,"boven UCL",IF(J2034&lt;K2034,"onder LCL","")),"")</f>
        <v/>
      </c>
      <c r="O2034" t="n">
        <v>1928</v>
      </c>
      <c r="P2034" s="7" t="n"/>
      <c r="Q2034" s="7" t="n"/>
      <c r="R2034" s="11">
        <f>IF(AND(ISNUMBER(P2034),ISNUMBER(Q2034),P2034&gt;0,ISNUMBER($B$100)),Q2034/P2034,"")</f>
        <v/>
      </c>
      <c r="S2034" s="11">
        <f>IF(AND(ISNUMBER(P2034),ISNUMBER(Q2034),P2034&gt;0,ISNUMBER($B$100)),MAX(0,$B$100-3*SQRT($B$100/P2034)),"")</f>
        <v/>
      </c>
      <c r="T2034" s="11">
        <f>IF(AND(ISNUMBER(P2034),ISNUMBER(Q2034),P2034&gt;0,ISNUMBER($B$100)),$B$100+3*SQRT($B$100/P2034),"")</f>
        <v/>
      </c>
      <c r="U2034" s="13">
        <f>IF(AND(ISNUMBER(R2034),ISNUMBER(S2034),ISNUMBER(T2034)),IF(R2034&gt;T2034,"boven UCL",IF(R2034&lt;S2034,"onder LCL","")),"")</f>
        <v/>
      </c>
    </row>
    <row r="2035">
      <c r="A2035" t="n">
        <v>1929</v>
      </c>
      <c r="B2035" s="7" t="n"/>
      <c r="C2035" s="11">
        <f>IF(AND(ISNUMBER(B2035),ISNUMBER(B2034)),ABS(B2035-B2034),"")</f>
        <v/>
      </c>
      <c r="D2035" s="13">
        <f>IF(AND(ISNUMBER(B2035),ISNUMBER($B$88),ISNUMBER($D$88)),IF(B2035&gt;$D$88,"boven UCL",IF(B2035&lt;$B$88,"onder LCL","")),"")</f>
        <v/>
      </c>
      <c r="E2035" s="13">
        <f>IF(AND(ISNUMBER(C2035),ISNUMBER($B$89),ISNUMBER($D$89)),IF(C2035&gt;$D$89,"boven UCL",IF(C2035&lt;$B$89,"onder LCL","")),"")</f>
        <v/>
      </c>
      <c r="G2035" t="n">
        <v>1929</v>
      </c>
      <c r="H2035" s="7" t="n"/>
      <c r="I2035" s="7" t="n"/>
      <c r="J2035" s="11">
        <f>IF(AND(ISNUMBER(H2035),ISNUMBER(I2035),H2035&gt;0,ISNUMBER($B$94)),I2035/H2035,"")</f>
        <v/>
      </c>
      <c r="K2035" s="11">
        <f>IF(AND(ISNUMBER(H2035),ISNUMBER(I2035),H2035&gt;0,ISNUMBER($B$94)),MAX(0,$B$94-3*SQRT($B$94*(1-$B$94)/H2035)),"")</f>
        <v/>
      </c>
      <c r="L2035" s="11">
        <f>IF(AND(ISNUMBER(H2035),ISNUMBER(I2035),H2035&gt;0,ISNUMBER($B$94)),$B$94+3*SQRT($B$94*(1-$B$94)/H2035),"")</f>
        <v/>
      </c>
      <c r="M2035" s="13">
        <f>IF(AND(ISNUMBER(J2035),ISNUMBER(K2035),ISNUMBER(L2035)),IF(J2035&gt;L2035,"boven UCL",IF(J2035&lt;K2035,"onder LCL","")),"")</f>
        <v/>
      </c>
      <c r="O2035" t="n">
        <v>1929</v>
      </c>
      <c r="P2035" s="7" t="n"/>
      <c r="Q2035" s="7" t="n"/>
      <c r="R2035" s="11">
        <f>IF(AND(ISNUMBER(P2035),ISNUMBER(Q2035),P2035&gt;0,ISNUMBER($B$100)),Q2035/P2035,"")</f>
        <v/>
      </c>
      <c r="S2035" s="11">
        <f>IF(AND(ISNUMBER(P2035),ISNUMBER(Q2035),P2035&gt;0,ISNUMBER($B$100)),MAX(0,$B$100-3*SQRT($B$100/P2035)),"")</f>
        <v/>
      </c>
      <c r="T2035" s="11">
        <f>IF(AND(ISNUMBER(P2035),ISNUMBER(Q2035),P2035&gt;0,ISNUMBER($B$100)),$B$100+3*SQRT($B$100/P2035),"")</f>
        <v/>
      </c>
      <c r="U2035" s="13">
        <f>IF(AND(ISNUMBER(R2035),ISNUMBER(S2035),ISNUMBER(T2035)),IF(R2035&gt;T2035,"boven UCL",IF(R2035&lt;S2035,"onder LCL","")),"")</f>
        <v/>
      </c>
    </row>
    <row r="2036">
      <c r="A2036" t="n">
        <v>1930</v>
      </c>
      <c r="B2036" s="7" t="n"/>
      <c r="C2036" s="11">
        <f>IF(AND(ISNUMBER(B2036),ISNUMBER(B2035)),ABS(B2036-B2035),"")</f>
        <v/>
      </c>
      <c r="D2036" s="13">
        <f>IF(AND(ISNUMBER(B2036),ISNUMBER($B$88),ISNUMBER($D$88)),IF(B2036&gt;$D$88,"boven UCL",IF(B2036&lt;$B$88,"onder LCL","")),"")</f>
        <v/>
      </c>
      <c r="E2036" s="13">
        <f>IF(AND(ISNUMBER(C2036),ISNUMBER($B$89),ISNUMBER($D$89)),IF(C2036&gt;$D$89,"boven UCL",IF(C2036&lt;$B$89,"onder LCL","")),"")</f>
        <v/>
      </c>
      <c r="G2036" t="n">
        <v>1930</v>
      </c>
      <c r="H2036" s="7" t="n"/>
      <c r="I2036" s="7" t="n"/>
      <c r="J2036" s="11">
        <f>IF(AND(ISNUMBER(H2036),ISNUMBER(I2036),H2036&gt;0,ISNUMBER($B$94)),I2036/H2036,"")</f>
        <v/>
      </c>
      <c r="K2036" s="11">
        <f>IF(AND(ISNUMBER(H2036),ISNUMBER(I2036),H2036&gt;0,ISNUMBER($B$94)),MAX(0,$B$94-3*SQRT($B$94*(1-$B$94)/H2036)),"")</f>
        <v/>
      </c>
      <c r="L2036" s="11">
        <f>IF(AND(ISNUMBER(H2036),ISNUMBER(I2036),H2036&gt;0,ISNUMBER($B$94)),$B$94+3*SQRT($B$94*(1-$B$94)/H2036),"")</f>
        <v/>
      </c>
      <c r="M2036" s="13">
        <f>IF(AND(ISNUMBER(J2036),ISNUMBER(K2036),ISNUMBER(L2036)),IF(J2036&gt;L2036,"boven UCL",IF(J2036&lt;K2036,"onder LCL","")),"")</f>
        <v/>
      </c>
      <c r="O2036" t="n">
        <v>1930</v>
      </c>
      <c r="P2036" s="7" t="n"/>
      <c r="Q2036" s="7" t="n"/>
      <c r="R2036" s="11">
        <f>IF(AND(ISNUMBER(P2036),ISNUMBER(Q2036),P2036&gt;0,ISNUMBER($B$100)),Q2036/P2036,"")</f>
        <v/>
      </c>
      <c r="S2036" s="11">
        <f>IF(AND(ISNUMBER(P2036),ISNUMBER(Q2036),P2036&gt;0,ISNUMBER($B$100)),MAX(0,$B$100-3*SQRT($B$100/P2036)),"")</f>
        <v/>
      </c>
      <c r="T2036" s="11">
        <f>IF(AND(ISNUMBER(P2036),ISNUMBER(Q2036),P2036&gt;0,ISNUMBER($B$100)),$B$100+3*SQRT($B$100/P2036),"")</f>
        <v/>
      </c>
      <c r="U2036" s="13">
        <f>IF(AND(ISNUMBER(R2036),ISNUMBER(S2036),ISNUMBER(T2036)),IF(R2036&gt;T2036,"boven UCL",IF(R2036&lt;S2036,"onder LCL","")),"")</f>
        <v/>
      </c>
    </row>
    <row r="2037">
      <c r="A2037" t="n">
        <v>1931</v>
      </c>
      <c r="B2037" s="7" t="n"/>
      <c r="C2037" s="11">
        <f>IF(AND(ISNUMBER(B2037),ISNUMBER(B2036)),ABS(B2037-B2036),"")</f>
        <v/>
      </c>
      <c r="D2037" s="13">
        <f>IF(AND(ISNUMBER(B2037),ISNUMBER($B$88),ISNUMBER($D$88)),IF(B2037&gt;$D$88,"boven UCL",IF(B2037&lt;$B$88,"onder LCL","")),"")</f>
        <v/>
      </c>
      <c r="E2037" s="13">
        <f>IF(AND(ISNUMBER(C2037),ISNUMBER($B$89),ISNUMBER($D$89)),IF(C2037&gt;$D$89,"boven UCL",IF(C2037&lt;$B$89,"onder LCL","")),"")</f>
        <v/>
      </c>
      <c r="G2037" t="n">
        <v>1931</v>
      </c>
      <c r="H2037" s="7" t="n"/>
      <c r="I2037" s="7" t="n"/>
      <c r="J2037" s="11">
        <f>IF(AND(ISNUMBER(H2037),ISNUMBER(I2037),H2037&gt;0,ISNUMBER($B$94)),I2037/H2037,"")</f>
        <v/>
      </c>
      <c r="K2037" s="11">
        <f>IF(AND(ISNUMBER(H2037),ISNUMBER(I2037),H2037&gt;0,ISNUMBER($B$94)),MAX(0,$B$94-3*SQRT($B$94*(1-$B$94)/H2037)),"")</f>
        <v/>
      </c>
      <c r="L2037" s="11">
        <f>IF(AND(ISNUMBER(H2037),ISNUMBER(I2037),H2037&gt;0,ISNUMBER($B$94)),$B$94+3*SQRT($B$94*(1-$B$94)/H2037),"")</f>
        <v/>
      </c>
      <c r="M2037" s="13">
        <f>IF(AND(ISNUMBER(J2037),ISNUMBER(K2037),ISNUMBER(L2037)),IF(J2037&gt;L2037,"boven UCL",IF(J2037&lt;K2037,"onder LCL","")),"")</f>
        <v/>
      </c>
      <c r="O2037" t="n">
        <v>1931</v>
      </c>
      <c r="P2037" s="7" t="n"/>
      <c r="Q2037" s="7" t="n"/>
      <c r="R2037" s="11">
        <f>IF(AND(ISNUMBER(P2037),ISNUMBER(Q2037),P2037&gt;0,ISNUMBER($B$100)),Q2037/P2037,"")</f>
        <v/>
      </c>
      <c r="S2037" s="11">
        <f>IF(AND(ISNUMBER(P2037),ISNUMBER(Q2037),P2037&gt;0,ISNUMBER($B$100)),MAX(0,$B$100-3*SQRT($B$100/P2037)),"")</f>
        <v/>
      </c>
      <c r="T2037" s="11">
        <f>IF(AND(ISNUMBER(P2037),ISNUMBER(Q2037),P2037&gt;0,ISNUMBER($B$100)),$B$100+3*SQRT($B$100/P2037),"")</f>
        <v/>
      </c>
      <c r="U2037" s="13">
        <f>IF(AND(ISNUMBER(R2037),ISNUMBER(S2037),ISNUMBER(T2037)),IF(R2037&gt;T2037,"boven UCL",IF(R2037&lt;S2037,"onder LCL","")),"")</f>
        <v/>
      </c>
    </row>
    <row r="2038">
      <c r="A2038" t="n">
        <v>1932</v>
      </c>
      <c r="B2038" s="7" t="n"/>
      <c r="C2038" s="11">
        <f>IF(AND(ISNUMBER(B2038),ISNUMBER(B2037)),ABS(B2038-B2037),"")</f>
        <v/>
      </c>
      <c r="D2038" s="13">
        <f>IF(AND(ISNUMBER(B2038),ISNUMBER($B$88),ISNUMBER($D$88)),IF(B2038&gt;$D$88,"boven UCL",IF(B2038&lt;$B$88,"onder LCL","")),"")</f>
        <v/>
      </c>
      <c r="E2038" s="13">
        <f>IF(AND(ISNUMBER(C2038),ISNUMBER($B$89),ISNUMBER($D$89)),IF(C2038&gt;$D$89,"boven UCL",IF(C2038&lt;$B$89,"onder LCL","")),"")</f>
        <v/>
      </c>
      <c r="G2038" t="n">
        <v>1932</v>
      </c>
      <c r="H2038" s="7" t="n"/>
      <c r="I2038" s="7" t="n"/>
      <c r="J2038" s="11">
        <f>IF(AND(ISNUMBER(H2038),ISNUMBER(I2038),H2038&gt;0,ISNUMBER($B$94)),I2038/H2038,"")</f>
        <v/>
      </c>
      <c r="K2038" s="11">
        <f>IF(AND(ISNUMBER(H2038),ISNUMBER(I2038),H2038&gt;0,ISNUMBER($B$94)),MAX(0,$B$94-3*SQRT($B$94*(1-$B$94)/H2038)),"")</f>
        <v/>
      </c>
      <c r="L2038" s="11">
        <f>IF(AND(ISNUMBER(H2038),ISNUMBER(I2038),H2038&gt;0,ISNUMBER($B$94)),$B$94+3*SQRT($B$94*(1-$B$94)/H2038),"")</f>
        <v/>
      </c>
      <c r="M2038" s="13">
        <f>IF(AND(ISNUMBER(J2038),ISNUMBER(K2038),ISNUMBER(L2038)),IF(J2038&gt;L2038,"boven UCL",IF(J2038&lt;K2038,"onder LCL","")),"")</f>
        <v/>
      </c>
      <c r="O2038" t="n">
        <v>1932</v>
      </c>
      <c r="P2038" s="7" t="n"/>
      <c r="Q2038" s="7" t="n"/>
      <c r="R2038" s="11">
        <f>IF(AND(ISNUMBER(P2038),ISNUMBER(Q2038),P2038&gt;0,ISNUMBER($B$100)),Q2038/P2038,"")</f>
        <v/>
      </c>
      <c r="S2038" s="11">
        <f>IF(AND(ISNUMBER(P2038),ISNUMBER(Q2038),P2038&gt;0,ISNUMBER($B$100)),MAX(0,$B$100-3*SQRT($B$100/P2038)),"")</f>
        <v/>
      </c>
      <c r="T2038" s="11">
        <f>IF(AND(ISNUMBER(P2038),ISNUMBER(Q2038),P2038&gt;0,ISNUMBER($B$100)),$B$100+3*SQRT($B$100/P2038),"")</f>
        <v/>
      </c>
      <c r="U2038" s="13">
        <f>IF(AND(ISNUMBER(R2038),ISNUMBER(S2038),ISNUMBER(T2038)),IF(R2038&gt;T2038,"boven UCL",IF(R2038&lt;S2038,"onder LCL","")),"")</f>
        <v/>
      </c>
    </row>
    <row r="2039">
      <c r="A2039" t="n">
        <v>1933</v>
      </c>
      <c r="B2039" s="7" t="n"/>
      <c r="C2039" s="11">
        <f>IF(AND(ISNUMBER(B2039),ISNUMBER(B2038)),ABS(B2039-B2038),"")</f>
        <v/>
      </c>
      <c r="D2039" s="13">
        <f>IF(AND(ISNUMBER(B2039),ISNUMBER($B$88),ISNUMBER($D$88)),IF(B2039&gt;$D$88,"boven UCL",IF(B2039&lt;$B$88,"onder LCL","")),"")</f>
        <v/>
      </c>
      <c r="E2039" s="13">
        <f>IF(AND(ISNUMBER(C2039),ISNUMBER($B$89),ISNUMBER($D$89)),IF(C2039&gt;$D$89,"boven UCL",IF(C2039&lt;$B$89,"onder LCL","")),"")</f>
        <v/>
      </c>
      <c r="G2039" t="n">
        <v>1933</v>
      </c>
      <c r="H2039" s="7" t="n"/>
      <c r="I2039" s="7" t="n"/>
      <c r="J2039" s="11">
        <f>IF(AND(ISNUMBER(H2039),ISNUMBER(I2039),H2039&gt;0,ISNUMBER($B$94)),I2039/H2039,"")</f>
        <v/>
      </c>
      <c r="K2039" s="11">
        <f>IF(AND(ISNUMBER(H2039),ISNUMBER(I2039),H2039&gt;0,ISNUMBER($B$94)),MAX(0,$B$94-3*SQRT($B$94*(1-$B$94)/H2039)),"")</f>
        <v/>
      </c>
      <c r="L2039" s="11">
        <f>IF(AND(ISNUMBER(H2039),ISNUMBER(I2039),H2039&gt;0,ISNUMBER($B$94)),$B$94+3*SQRT($B$94*(1-$B$94)/H2039),"")</f>
        <v/>
      </c>
      <c r="M2039" s="13">
        <f>IF(AND(ISNUMBER(J2039),ISNUMBER(K2039),ISNUMBER(L2039)),IF(J2039&gt;L2039,"boven UCL",IF(J2039&lt;K2039,"onder LCL","")),"")</f>
        <v/>
      </c>
      <c r="O2039" t="n">
        <v>1933</v>
      </c>
      <c r="P2039" s="7" t="n"/>
      <c r="Q2039" s="7" t="n"/>
      <c r="R2039" s="11">
        <f>IF(AND(ISNUMBER(P2039),ISNUMBER(Q2039),P2039&gt;0,ISNUMBER($B$100)),Q2039/P2039,"")</f>
        <v/>
      </c>
      <c r="S2039" s="11">
        <f>IF(AND(ISNUMBER(P2039),ISNUMBER(Q2039),P2039&gt;0,ISNUMBER($B$100)),MAX(0,$B$100-3*SQRT($B$100/P2039)),"")</f>
        <v/>
      </c>
      <c r="T2039" s="11">
        <f>IF(AND(ISNUMBER(P2039),ISNUMBER(Q2039),P2039&gt;0,ISNUMBER($B$100)),$B$100+3*SQRT($B$100/P2039),"")</f>
        <v/>
      </c>
      <c r="U2039" s="13">
        <f>IF(AND(ISNUMBER(R2039),ISNUMBER(S2039),ISNUMBER(T2039)),IF(R2039&gt;T2039,"boven UCL",IF(R2039&lt;S2039,"onder LCL","")),"")</f>
        <v/>
      </c>
    </row>
    <row r="2040">
      <c r="A2040" t="n">
        <v>1934</v>
      </c>
      <c r="B2040" s="7" t="n"/>
      <c r="C2040" s="11">
        <f>IF(AND(ISNUMBER(B2040),ISNUMBER(B2039)),ABS(B2040-B2039),"")</f>
        <v/>
      </c>
      <c r="D2040" s="13">
        <f>IF(AND(ISNUMBER(B2040),ISNUMBER($B$88),ISNUMBER($D$88)),IF(B2040&gt;$D$88,"boven UCL",IF(B2040&lt;$B$88,"onder LCL","")),"")</f>
        <v/>
      </c>
      <c r="E2040" s="13">
        <f>IF(AND(ISNUMBER(C2040),ISNUMBER($B$89),ISNUMBER($D$89)),IF(C2040&gt;$D$89,"boven UCL",IF(C2040&lt;$B$89,"onder LCL","")),"")</f>
        <v/>
      </c>
      <c r="G2040" t="n">
        <v>1934</v>
      </c>
      <c r="H2040" s="7" t="n"/>
      <c r="I2040" s="7" t="n"/>
      <c r="J2040" s="11">
        <f>IF(AND(ISNUMBER(H2040),ISNUMBER(I2040),H2040&gt;0,ISNUMBER($B$94)),I2040/H2040,"")</f>
        <v/>
      </c>
      <c r="K2040" s="11">
        <f>IF(AND(ISNUMBER(H2040),ISNUMBER(I2040),H2040&gt;0,ISNUMBER($B$94)),MAX(0,$B$94-3*SQRT($B$94*(1-$B$94)/H2040)),"")</f>
        <v/>
      </c>
      <c r="L2040" s="11">
        <f>IF(AND(ISNUMBER(H2040),ISNUMBER(I2040),H2040&gt;0,ISNUMBER($B$94)),$B$94+3*SQRT($B$94*(1-$B$94)/H2040),"")</f>
        <v/>
      </c>
      <c r="M2040" s="13">
        <f>IF(AND(ISNUMBER(J2040),ISNUMBER(K2040),ISNUMBER(L2040)),IF(J2040&gt;L2040,"boven UCL",IF(J2040&lt;K2040,"onder LCL","")),"")</f>
        <v/>
      </c>
      <c r="O2040" t="n">
        <v>1934</v>
      </c>
      <c r="P2040" s="7" t="n"/>
      <c r="Q2040" s="7" t="n"/>
      <c r="R2040" s="11">
        <f>IF(AND(ISNUMBER(P2040),ISNUMBER(Q2040),P2040&gt;0,ISNUMBER($B$100)),Q2040/P2040,"")</f>
        <v/>
      </c>
      <c r="S2040" s="11">
        <f>IF(AND(ISNUMBER(P2040),ISNUMBER(Q2040),P2040&gt;0,ISNUMBER($B$100)),MAX(0,$B$100-3*SQRT($B$100/P2040)),"")</f>
        <v/>
      </c>
      <c r="T2040" s="11">
        <f>IF(AND(ISNUMBER(P2040),ISNUMBER(Q2040),P2040&gt;0,ISNUMBER($B$100)),$B$100+3*SQRT($B$100/P2040),"")</f>
        <v/>
      </c>
      <c r="U2040" s="13">
        <f>IF(AND(ISNUMBER(R2040),ISNUMBER(S2040),ISNUMBER(T2040)),IF(R2040&gt;T2040,"boven UCL",IF(R2040&lt;S2040,"onder LCL","")),"")</f>
        <v/>
      </c>
    </row>
    <row r="2041">
      <c r="A2041" t="n">
        <v>1935</v>
      </c>
      <c r="B2041" s="7" t="n"/>
      <c r="C2041" s="11">
        <f>IF(AND(ISNUMBER(B2041),ISNUMBER(B2040)),ABS(B2041-B2040),"")</f>
        <v/>
      </c>
      <c r="D2041" s="13">
        <f>IF(AND(ISNUMBER(B2041),ISNUMBER($B$88),ISNUMBER($D$88)),IF(B2041&gt;$D$88,"boven UCL",IF(B2041&lt;$B$88,"onder LCL","")),"")</f>
        <v/>
      </c>
      <c r="E2041" s="13">
        <f>IF(AND(ISNUMBER(C2041),ISNUMBER($B$89),ISNUMBER($D$89)),IF(C2041&gt;$D$89,"boven UCL",IF(C2041&lt;$B$89,"onder LCL","")),"")</f>
        <v/>
      </c>
      <c r="G2041" t="n">
        <v>1935</v>
      </c>
      <c r="H2041" s="7" t="n"/>
      <c r="I2041" s="7" t="n"/>
      <c r="J2041" s="11">
        <f>IF(AND(ISNUMBER(H2041),ISNUMBER(I2041),H2041&gt;0,ISNUMBER($B$94)),I2041/H2041,"")</f>
        <v/>
      </c>
      <c r="K2041" s="11">
        <f>IF(AND(ISNUMBER(H2041),ISNUMBER(I2041),H2041&gt;0,ISNUMBER($B$94)),MAX(0,$B$94-3*SQRT($B$94*(1-$B$94)/H2041)),"")</f>
        <v/>
      </c>
      <c r="L2041" s="11">
        <f>IF(AND(ISNUMBER(H2041),ISNUMBER(I2041),H2041&gt;0,ISNUMBER($B$94)),$B$94+3*SQRT($B$94*(1-$B$94)/H2041),"")</f>
        <v/>
      </c>
      <c r="M2041" s="13">
        <f>IF(AND(ISNUMBER(J2041),ISNUMBER(K2041),ISNUMBER(L2041)),IF(J2041&gt;L2041,"boven UCL",IF(J2041&lt;K2041,"onder LCL","")),"")</f>
        <v/>
      </c>
      <c r="O2041" t="n">
        <v>1935</v>
      </c>
      <c r="P2041" s="7" t="n"/>
      <c r="Q2041" s="7" t="n"/>
      <c r="R2041" s="11">
        <f>IF(AND(ISNUMBER(P2041),ISNUMBER(Q2041),P2041&gt;0,ISNUMBER($B$100)),Q2041/P2041,"")</f>
        <v/>
      </c>
      <c r="S2041" s="11">
        <f>IF(AND(ISNUMBER(P2041),ISNUMBER(Q2041),P2041&gt;0,ISNUMBER($B$100)),MAX(0,$B$100-3*SQRT($B$100/P2041)),"")</f>
        <v/>
      </c>
      <c r="T2041" s="11">
        <f>IF(AND(ISNUMBER(P2041),ISNUMBER(Q2041),P2041&gt;0,ISNUMBER($B$100)),$B$100+3*SQRT($B$100/P2041),"")</f>
        <v/>
      </c>
      <c r="U2041" s="13">
        <f>IF(AND(ISNUMBER(R2041),ISNUMBER(S2041),ISNUMBER(T2041)),IF(R2041&gt;T2041,"boven UCL",IF(R2041&lt;S2041,"onder LCL","")),"")</f>
        <v/>
      </c>
    </row>
    <row r="2042">
      <c r="A2042" t="n">
        <v>1936</v>
      </c>
      <c r="B2042" s="7" t="n"/>
      <c r="C2042" s="11">
        <f>IF(AND(ISNUMBER(B2042),ISNUMBER(B2041)),ABS(B2042-B2041),"")</f>
        <v/>
      </c>
      <c r="D2042" s="13">
        <f>IF(AND(ISNUMBER(B2042),ISNUMBER($B$88),ISNUMBER($D$88)),IF(B2042&gt;$D$88,"boven UCL",IF(B2042&lt;$B$88,"onder LCL","")),"")</f>
        <v/>
      </c>
      <c r="E2042" s="13">
        <f>IF(AND(ISNUMBER(C2042),ISNUMBER($B$89),ISNUMBER($D$89)),IF(C2042&gt;$D$89,"boven UCL",IF(C2042&lt;$B$89,"onder LCL","")),"")</f>
        <v/>
      </c>
      <c r="G2042" t="n">
        <v>1936</v>
      </c>
      <c r="H2042" s="7" t="n"/>
      <c r="I2042" s="7" t="n"/>
      <c r="J2042" s="11">
        <f>IF(AND(ISNUMBER(H2042),ISNUMBER(I2042),H2042&gt;0,ISNUMBER($B$94)),I2042/H2042,"")</f>
        <v/>
      </c>
      <c r="K2042" s="11">
        <f>IF(AND(ISNUMBER(H2042),ISNUMBER(I2042),H2042&gt;0,ISNUMBER($B$94)),MAX(0,$B$94-3*SQRT($B$94*(1-$B$94)/H2042)),"")</f>
        <v/>
      </c>
      <c r="L2042" s="11">
        <f>IF(AND(ISNUMBER(H2042),ISNUMBER(I2042),H2042&gt;0,ISNUMBER($B$94)),$B$94+3*SQRT($B$94*(1-$B$94)/H2042),"")</f>
        <v/>
      </c>
      <c r="M2042" s="13">
        <f>IF(AND(ISNUMBER(J2042),ISNUMBER(K2042),ISNUMBER(L2042)),IF(J2042&gt;L2042,"boven UCL",IF(J2042&lt;K2042,"onder LCL","")),"")</f>
        <v/>
      </c>
      <c r="O2042" t="n">
        <v>1936</v>
      </c>
      <c r="P2042" s="7" t="n"/>
      <c r="Q2042" s="7" t="n"/>
      <c r="R2042" s="11">
        <f>IF(AND(ISNUMBER(P2042),ISNUMBER(Q2042),P2042&gt;0,ISNUMBER($B$100)),Q2042/P2042,"")</f>
        <v/>
      </c>
      <c r="S2042" s="11">
        <f>IF(AND(ISNUMBER(P2042),ISNUMBER(Q2042),P2042&gt;0,ISNUMBER($B$100)),MAX(0,$B$100-3*SQRT($B$100/P2042)),"")</f>
        <v/>
      </c>
      <c r="T2042" s="11">
        <f>IF(AND(ISNUMBER(P2042),ISNUMBER(Q2042),P2042&gt;0,ISNUMBER($B$100)),$B$100+3*SQRT($B$100/P2042),"")</f>
        <v/>
      </c>
      <c r="U2042" s="13">
        <f>IF(AND(ISNUMBER(R2042),ISNUMBER(S2042),ISNUMBER(T2042)),IF(R2042&gt;T2042,"boven UCL",IF(R2042&lt;S2042,"onder LCL","")),"")</f>
        <v/>
      </c>
    </row>
    <row r="2043">
      <c r="A2043" t="n">
        <v>1937</v>
      </c>
      <c r="B2043" s="7" t="n"/>
      <c r="C2043" s="11">
        <f>IF(AND(ISNUMBER(B2043),ISNUMBER(B2042)),ABS(B2043-B2042),"")</f>
        <v/>
      </c>
      <c r="D2043" s="13">
        <f>IF(AND(ISNUMBER(B2043),ISNUMBER($B$88),ISNUMBER($D$88)),IF(B2043&gt;$D$88,"boven UCL",IF(B2043&lt;$B$88,"onder LCL","")),"")</f>
        <v/>
      </c>
      <c r="E2043" s="13">
        <f>IF(AND(ISNUMBER(C2043),ISNUMBER($B$89),ISNUMBER($D$89)),IF(C2043&gt;$D$89,"boven UCL",IF(C2043&lt;$B$89,"onder LCL","")),"")</f>
        <v/>
      </c>
      <c r="G2043" t="n">
        <v>1937</v>
      </c>
      <c r="H2043" s="7" t="n"/>
      <c r="I2043" s="7" t="n"/>
      <c r="J2043" s="11">
        <f>IF(AND(ISNUMBER(H2043),ISNUMBER(I2043),H2043&gt;0,ISNUMBER($B$94)),I2043/H2043,"")</f>
        <v/>
      </c>
      <c r="K2043" s="11">
        <f>IF(AND(ISNUMBER(H2043),ISNUMBER(I2043),H2043&gt;0,ISNUMBER($B$94)),MAX(0,$B$94-3*SQRT($B$94*(1-$B$94)/H2043)),"")</f>
        <v/>
      </c>
      <c r="L2043" s="11">
        <f>IF(AND(ISNUMBER(H2043),ISNUMBER(I2043),H2043&gt;0,ISNUMBER($B$94)),$B$94+3*SQRT($B$94*(1-$B$94)/H2043),"")</f>
        <v/>
      </c>
      <c r="M2043" s="13">
        <f>IF(AND(ISNUMBER(J2043),ISNUMBER(K2043),ISNUMBER(L2043)),IF(J2043&gt;L2043,"boven UCL",IF(J2043&lt;K2043,"onder LCL","")),"")</f>
        <v/>
      </c>
      <c r="O2043" t="n">
        <v>1937</v>
      </c>
      <c r="P2043" s="7" t="n"/>
      <c r="Q2043" s="7" t="n"/>
      <c r="R2043" s="11">
        <f>IF(AND(ISNUMBER(P2043),ISNUMBER(Q2043),P2043&gt;0,ISNUMBER($B$100)),Q2043/P2043,"")</f>
        <v/>
      </c>
      <c r="S2043" s="11">
        <f>IF(AND(ISNUMBER(P2043),ISNUMBER(Q2043),P2043&gt;0,ISNUMBER($B$100)),MAX(0,$B$100-3*SQRT($B$100/P2043)),"")</f>
        <v/>
      </c>
      <c r="T2043" s="11">
        <f>IF(AND(ISNUMBER(P2043),ISNUMBER(Q2043),P2043&gt;0,ISNUMBER($B$100)),$B$100+3*SQRT($B$100/P2043),"")</f>
        <v/>
      </c>
      <c r="U2043" s="13">
        <f>IF(AND(ISNUMBER(R2043),ISNUMBER(S2043),ISNUMBER(T2043)),IF(R2043&gt;T2043,"boven UCL",IF(R2043&lt;S2043,"onder LCL","")),"")</f>
        <v/>
      </c>
    </row>
    <row r="2044">
      <c r="A2044" t="n">
        <v>1938</v>
      </c>
      <c r="B2044" s="7" t="n"/>
      <c r="C2044" s="11">
        <f>IF(AND(ISNUMBER(B2044),ISNUMBER(B2043)),ABS(B2044-B2043),"")</f>
        <v/>
      </c>
      <c r="D2044" s="13">
        <f>IF(AND(ISNUMBER(B2044),ISNUMBER($B$88),ISNUMBER($D$88)),IF(B2044&gt;$D$88,"boven UCL",IF(B2044&lt;$B$88,"onder LCL","")),"")</f>
        <v/>
      </c>
      <c r="E2044" s="13">
        <f>IF(AND(ISNUMBER(C2044),ISNUMBER($B$89),ISNUMBER($D$89)),IF(C2044&gt;$D$89,"boven UCL",IF(C2044&lt;$B$89,"onder LCL","")),"")</f>
        <v/>
      </c>
      <c r="G2044" t="n">
        <v>1938</v>
      </c>
      <c r="H2044" s="7" t="n"/>
      <c r="I2044" s="7" t="n"/>
      <c r="J2044" s="11">
        <f>IF(AND(ISNUMBER(H2044),ISNUMBER(I2044),H2044&gt;0,ISNUMBER($B$94)),I2044/H2044,"")</f>
        <v/>
      </c>
      <c r="K2044" s="11">
        <f>IF(AND(ISNUMBER(H2044),ISNUMBER(I2044),H2044&gt;0,ISNUMBER($B$94)),MAX(0,$B$94-3*SQRT($B$94*(1-$B$94)/H2044)),"")</f>
        <v/>
      </c>
      <c r="L2044" s="11">
        <f>IF(AND(ISNUMBER(H2044),ISNUMBER(I2044),H2044&gt;0,ISNUMBER($B$94)),$B$94+3*SQRT($B$94*(1-$B$94)/H2044),"")</f>
        <v/>
      </c>
      <c r="M2044" s="13">
        <f>IF(AND(ISNUMBER(J2044),ISNUMBER(K2044),ISNUMBER(L2044)),IF(J2044&gt;L2044,"boven UCL",IF(J2044&lt;K2044,"onder LCL","")),"")</f>
        <v/>
      </c>
      <c r="O2044" t="n">
        <v>1938</v>
      </c>
      <c r="P2044" s="7" t="n"/>
      <c r="Q2044" s="7" t="n"/>
      <c r="R2044" s="11">
        <f>IF(AND(ISNUMBER(P2044),ISNUMBER(Q2044),P2044&gt;0,ISNUMBER($B$100)),Q2044/P2044,"")</f>
        <v/>
      </c>
      <c r="S2044" s="11">
        <f>IF(AND(ISNUMBER(P2044),ISNUMBER(Q2044),P2044&gt;0,ISNUMBER($B$100)),MAX(0,$B$100-3*SQRT($B$100/P2044)),"")</f>
        <v/>
      </c>
      <c r="T2044" s="11">
        <f>IF(AND(ISNUMBER(P2044),ISNUMBER(Q2044),P2044&gt;0,ISNUMBER($B$100)),$B$100+3*SQRT($B$100/P2044),"")</f>
        <v/>
      </c>
      <c r="U2044" s="13">
        <f>IF(AND(ISNUMBER(R2044),ISNUMBER(S2044),ISNUMBER(T2044)),IF(R2044&gt;T2044,"boven UCL",IF(R2044&lt;S2044,"onder LCL","")),"")</f>
        <v/>
      </c>
    </row>
    <row r="2045">
      <c r="A2045" t="n">
        <v>1939</v>
      </c>
      <c r="B2045" s="7" t="n"/>
      <c r="C2045" s="11">
        <f>IF(AND(ISNUMBER(B2045),ISNUMBER(B2044)),ABS(B2045-B2044),"")</f>
        <v/>
      </c>
      <c r="D2045" s="13">
        <f>IF(AND(ISNUMBER(B2045),ISNUMBER($B$88),ISNUMBER($D$88)),IF(B2045&gt;$D$88,"boven UCL",IF(B2045&lt;$B$88,"onder LCL","")),"")</f>
        <v/>
      </c>
      <c r="E2045" s="13">
        <f>IF(AND(ISNUMBER(C2045),ISNUMBER($B$89),ISNUMBER($D$89)),IF(C2045&gt;$D$89,"boven UCL",IF(C2045&lt;$B$89,"onder LCL","")),"")</f>
        <v/>
      </c>
      <c r="G2045" t="n">
        <v>1939</v>
      </c>
      <c r="H2045" s="7" t="n"/>
      <c r="I2045" s="7" t="n"/>
      <c r="J2045" s="11">
        <f>IF(AND(ISNUMBER(H2045),ISNUMBER(I2045),H2045&gt;0,ISNUMBER($B$94)),I2045/H2045,"")</f>
        <v/>
      </c>
      <c r="K2045" s="11">
        <f>IF(AND(ISNUMBER(H2045),ISNUMBER(I2045),H2045&gt;0,ISNUMBER($B$94)),MAX(0,$B$94-3*SQRT($B$94*(1-$B$94)/H2045)),"")</f>
        <v/>
      </c>
      <c r="L2045" s="11">
        <f>IF(AND(ISNUMBER(H2045),ISNUMBER(I2045),H2045&gt;0,ISNUMBER($B$94)),$B$94+3*SQRT($B$94*(1-$B$94)/H2045),"")</f>
        <v/>
      </c>
      <c r="M2045" s="13">
        <f>IF(AND(ISNUMBER(J2045),ISNUMBER(K2045),ISNUMBER(L2045)),IF(J2045&gt;L2045,"boven UCL",IF(J2045&lt;K2045,"onder LCL","")),"")</f>
        <v/>
      </c>
      <c r="O2045" t="n">
        <v>1939</v>
      </c>
      <c r="P2045" s="7" t="n"/>
      <c r="Q2045" s="7" t="n"/>
      <c r="R2045" s="11">
        <f>IF(AND(ISNUMBER(P2045),ISNUMBER(Q2045),P2045&gt;0,ISNUMBER($B$100)),Q2045/P2045,"")</f>
        <v/>
      </c>
      <c r="S2045" s="11">
        <f>IF(AND(ISNUMBER(P2045),ISNUMBER(Q2045),P2045&gt;0,ISNUMBER($B$100)),MAX(0,$B$100-3*SQRT($B$100/P2045)),"")</f>
        <v/>
      </c>
      <c r="T2045" s="11">
        <f>IF(AND(ISNUMBER(P2045),ISNUMBER(Q2045),P2045&gt;0,ISNUMBER($B$100)),$B$100+3*SQRT($B$100/P2045),"")</f>
        <v/>
      </c>
      <c r="U2045" s="13">
        <f>IF(AND(ISNUMBER(R2045),ISNUMBER(S2045),ISNUMBER(T2045)),IF(R2045&gt;T2045,"boven UCL",IF(R2045&lt;S2045,"onder LCL","")),"")</f>
        <v/>
      </c>
    </row>
    <row r="2046">
      <c r="A2046" t="n">
        <v>1940</v>
      </c>
      <c r="B2046" s="7" t="n"/>
      <c r="C2046" s="11">
        <f>IF(AND(ISNUMBER(B2046),ISNUMBER(B2045)),ABS(B2046-B2045),"")</f>
        <v/>
      </c>
      <c r="D2046" s="13">
        <f>IF(AND(ISNUMBER(B2046),ISNUMBER($B$88),ISNUMBER($D$88)),IF(B2046&gt;$D$88,"boven UCL",IF(B2046&lt;$B$88,"onder LCL","")),"")</f>
        <v/>
      </c>
      <c r="E2046" s="13">
        <f>IF(AND(ISNUMBER(C2046),ISNUMBER($B$89),ISNUMBER($D$89)),IF(C2046&gt;$D$89,"boven UCL",IF(C2046&lt;$B$89,"onder LCL","")),"")</f>
        <v/>
      </c>
      <c r="G2046" t="n">
        <v>1940</v>
      </c>
      <c r="H2046" s="7" t="n"/>
      <c r="I2046" s="7" t="n"/>
      <c r="J2046" s="11">
        <f>IF(AND(ISNUMBER(H2046),ISNUMBER(I2046),H2046&gt;0,ISNUMBER($B$94)),I2046/H2046,"")</f>
        <v/>
      </c>
      <c r="K2046" s="11">
        <f>IF(AND(ISNUMBER(H2046),ISNUMBER(I2046),H2046&gt;0,ISNUMBER($B$94)),MAX(0,$B$94-3*SQRT($B$94*(1-$B$94)/H2046)),"")</f>
        <v/>
      </c>
      <c r="L2046" s="11">
        <f>IF(AND(ISNUMBER(H2046),ISNUMBER(I2046),H2046&gt;0,ISNUMBER($B$94)),$B$94+3*SQRT($B$94*(1-$B$94)/H2046),"")</f>
        <v/>
      </c>
      <c r="M2046" s="13">
        <f>IF(AND(ISNUMBER(J2046),ISNUMBER(K2046),ISNUMBER(L2046)),IF(J2046&gt;L2046,"boven UCL",IF(J2046&lt;K2046,"onder LCL","")),"")</f>
        <v/>
      </c>
      <c r="O2046" t="n">
        <v>1940</v>
      </c>
      <c r="P2046" s="7" t="n"/>
      <c r="Q2046" s="7" t="n"/>
      <c r="R2046" s="11">
        <f>IF(AND(ISNUMBER(P2046),ISNUMBER(Q2046),P2046&gt;0,ISNUMBER($B$100)),Q2046/P2046,"")</f>
        <v/>
      </c>
      <c r="S2046" s="11">
        <f>IF(AND(ISNUMBER(P2046),ISNUMBER(Q2046),P2046&gt;0,ISNUMBER($B$100)),MAX(0,$B$100-3*SQRT($B$100/P2046)),"")</f>
        <v/>
      </c>
      <c r="T2046" s="11">
        <f>IF(AND(ISNUMBER(P2046),ISNUMBER(Q2046),P2046&gt;0,ISNUMBER($B$100)),$B$100+3*SQRT($B$100/P2046),"")</f>
        <v/>
      </c>
      <c r="U2046" s="13">
        <f>IF(AND(ISNUMBER(R2046),ISNUMBER(S2046),ISNUMBER(T2046)),IF(R2046&gt;T2046,"boven UCL",IF(R2046&lt;S2046,"onder LCL","")),"")</f>
        <v/>
      </c>
    </row>
    <row r="2047">
      <c r="A2047" t="n">
        <v>1941</v>
      </c>
      <c r="B2047" s="7" t="n"/>
      <c r="C2047" s="11">
        <f>IF(AND(ISNUMBER(B2047),ISNUMBER(B2046)),ABS(B2047-B2046),"")</f>
        <v/>
      </c>
      <c r="D2047" s="13">
        <f>IF(AND(ISNUMBER(B2047),ISNUMBER($B$88),ISNUMBER($D$88)),IF(B2047&gt;$D$88,"boven UCL",IF(B2047&lt;$B$88,"onder LCL","")),"")</f>
        <v/>
      </c>
      <c r="E2047" s="13">
        <f>IF(AND(ISNUMBER(C2047),ISNUMBER($B$89),ISNUMBER($D$89)),IF(C2047&gt;$D$89,"boven UCL",IF(C2047&lt;$B$89,"onder LCL","")),"")</f>
        <v/>
      </c>
      <c r="G2047" t="n">
        <v>1941</v>
      </c>
      <c r="H2047" s="7" t="n"/>
      <c r="I2047" s="7" t="n"/>
      <c r="J2047" s="11">
        <f>IF(AND(ISNUMBER(H2047),ISNUMBER(I2047),H2047&gt;0,ISNUMBER($B$94)),I2047/H2047,"")</f>
        <v/>
      </c>
      <c r="K2047" s="11">
        <f>IF(AND(ISNUMBER(H2047),ISNUMBER(I2047),H2047&gt;0,ISNUMBER($B$94)),MAX(0,$B$94-3*SQRT($B$94*(1-$B$94)/H2047)),"")</f>
        <v/>
      </c>
      <c r="L2047" s="11">
        <f>IF(AND(ISNUMBER(H2047),ISNUMBER(I2047),H2047&gt;0,ISNUMBER($B$94)),$B$94+3*SQRT($B$94*(1-$B$94)/H2047),"")</f>
        <v/>
      </c>
      <c r="M2047" s="13">
        <f>IF(AND(ISNUMBER(J2047),ISNUMBER(K2047),ISNUMBER(L2047)),IF(J2047&gt;L2047,"boven UCL",IF(J2047&lt;K2047,"onder LCL","")),"")</f>
        <v/>
      </c>
      <c r="O2047" t="n">
        <v>1941</v>
      </c>
      <c r="P2047" s="7" t="n"/>
      <c r="Q2047" s="7" t="n"/>
      <c r="R2047" s="11">
        <f>IF(AND(ISNUMBER(P2047),ISNUMBER(Q2047),P2047&gt;0,ISNUMBER($B$100)),Q2047/P2047,"")</f>
        <v/>
      </c>
      <c r="S2047" s="11">
        <f>IF(AND(ISNUMBER(P2047),ISNUMBER(Q2047),P2047&gt;0,ISNUMBER($B$100)),MAX(0,$B$100-3*SQRT($B$100/P2047)),"")</f>
        <v/>
      </c>
      <c r="T2047" s="11">
        <f>IF(AND(ISNUMBER(P2047),ISNUMBER(Q2047),P2047&gt;0,ISNUMBER($B$100)),$B$100+3*SQRT($B$100/P2047),"")</f>
        <v/>
      </c>
      <c r="U2047" s="13">
        <f>IF(AND(ISNUMBER(R2047),ISNUMBER(S2047),ISNUMBER(T2047)),IF(R2047&gt;T2047,"boven UCL",IF(R2047&lt;S2047,"onder LCL","")),"")</f>
        <v/>
      </c>
    </row>
    <row r="2048">
      <c r="A2048" t="n">
        <v>1942</v>
      </c>
      <c r="B2048" s="7" t="n"/>
      <c r="C2048" s="11">
        <f>IF(AND(ISNUMBER(B2048),ISNUMBER(B2047)),ABS(B2048-B2047),"")</f>
        <v/>
      </c>
      <c r="D2048" s="13">
        <f>IF(AND(ISNUMBER(B2048),ISNUMBER($B$88),ISNUMBER($D$88)),IF(B2048&gt;$D$88,"boven UCL",IF(B2048&lt;$B$88,"onder LCL","")),"")</f>
        <v/>
      </c>
      <c r="E2048" s="13">
        <f>IF(AND(ISNUMBER(C2048),ISNUMBER($B$89),ISNUMBER($D$89)),IF(C2048&gt;$D$89,"boven UCL",IF(C2048&lt;$B$89,"onder LCL","")),"")</f>
        <v/>
      </c>
      <c r="G2048" t="n">
        <v>1942</v>
      </c>
      <c r="H2048" s="7" t="n"/>
      <c r="I2048" s="7" t="n"/>
      <c r="J2048" s="11">
        <f>IF(AND(ISNUMBER(H2048),ISNUMBER(I2048),H2048&gt;0,ISNUMBER($B$94)),I2048/H2048,"")</f>
        <v/>
      </c>
      <c r="K2048" s="11">
        <f>IF(AND(ISNUMBER(H2048),ISNUMBER(I2048),H2048&gt;0,ISNUMBER($B$94)),MAX(0,$B$94-3*SQRT($B$94*(1-$B$94)/H2048)),"")</f>
        <v/>
      </c>
      <c r="L2048" s="11">
        <f>IF(AND(ISNUMBER(H2048),ISNUMBER(I2048),H2048&gt;0,ISNUMBER($B$94)),$B$94+3*SQRT($B$94*(1-$B$94)/H2048),"")</f>
        <v/>
      </c>
      <c r="M2048" s="13">
        <f>IF(AND(ISNUMBER(J2048),ISNUMBER(K2048),ISNUMBER(L2048)),IF(J2048&gt;L2048,"boven UCL",IF(J2048&lt;K2048,"onder LCL","")),"")</f>
        <v/>
      </c>
      <c r="O2048" t="n">
        <v>1942</v>
      </c>
      <c r="P2048" s="7" t="n"/>
      <c r="Q2048" s="7" t="n"/>
      <c r="R2048" s="11">
        <f>IF(AND(ISNUMBER(P2048),ISNUMBER(Q2048),P2048&gt;0,ISNUMBER($B$100)),Q2048/P2048,"")</f>
        <v/>
      </c>
      <c r="S2048" s="11">
        <f>IF(AND(ISNUMBER(P2048),ISNUMBER(Q2048),P2048&gt;0,ISNUMBER($B$100)),MAX(0,$B$100-3*SQRT($B$100/P2048)),"")</f>
        <v/>
      </c>
      <c r="T2048" s="11">
        <f>IF(AND(ISNUMBER(P2048),ISNUMBER(Q2048),P2048&gt;0,ISNUMBER($B$100)),$B$100+3*SQRT($B$100/P2048),"")</f>
        <v/>
      </c>
      <c r="U2048" s="13">
        <f>IF(AND(ISNUMBER(R2048),ISNUMBER(S2048),ISNUMBER(T2048)),IF(R2048&gt;T2048,"boven UCL",IF(R2048&lt;S2048,"onder LCL","")),"")</f>
        <v/>
      </c>
    </row>
    <row r="2049">
      <c r="A2049" t="n">
        <v>1943</v>
      </c>
      <c r="B2049" s="7" t="n"/>
      <c r="C2049" s="11">
        <f>IF(AND(ISNUMBER(B2049),ISNUMBER(B2048)),ABS(B2049-B2048),"")</f>
        <v/>
      </c>
      <c r="D2049" s="13">
        <f>IF(AND(ISNUMBER(B2049),ISNUMBER($B$88),ISNUMBER($D$88)),IF(B2049&gt;$D$88,"boven UCL",IF(B2049&lt;$B$88,"onder LCL","")),"")</f>
        <v/>
      </c>
      <c r="E2049" s="13">
        <f>IF(AND(ISNUMBER(C2049),ISNUMBER($B$89),ISNUMBER($D$89)),IF(C2049&gt;$D$89,"boven UCL",IF(C2049&lt;$B$89,"onder LCL","")),"")</f>
        <v/>
      </c>
      <c r="G2049" t="n">
        <v>1943</v>
      </c>
      <c r="H2049" s="7" t="n"/>
      <c r="I2049" s="7" t="n"/>
      <c r="J2049" s="11">
        <f>IF(AND(ISNUMBER(H2049),ISNUMBER(I2049),H2049&gt;0,ISNUMBER($B$94)),I2049/H2049,"")</f>
        <v/>
      </c>
      <c r="K2049" s="11">
        <f>IF(AND(ISNUMBER(H2049),ISNUMBER(I2049),H2049&gt;0,ISNUMBER($B$94)),MAX(0,$B$94-3*SQRT($B$94*(1-$B$94)/H2049)),"")</f>
        <v/>
      </c>
      <c r="L2049" s="11">
        <f>IF(AND(ISNUMBER(H2049),ISNUMBER(I2049),H2049&gt;0,ISNUMBER($B$94)),$B$94+3*SQRT($B$94*(1-$B$94)/H2049),"")</f>
        <v/>
      </c>
      <c r="M2049" s="13">
        <f>IF(AND(ISNUMBER(J2049),ISNUMBER(K2049),ISNUMBER(L2049)),IF(J2049&gt;L2049,"boven UCL",IF(J2049&lt;K2049,"onder LCL","")),"")</f>
        <v/>
      </c>
      <c r="O2049" t="n">
        <v>1943</v>
      </c>
      <c r="P2049" s="7" t="n"/>
      <c r="Q2049" s="7" t="n"/>
      <c r="R2049" s="11">
        <f>IF(AND(ISNUMBER(P2049),ISNUMBER(Q2049),P2049&gt;0,ISNUMBER($B$100)),Q2049/P2049,"")</f>
        <v/>
      </c>
      <c r="S2049" s="11">
        <f>IF(AND(ISNUMBER(P2049),ISNUMBER(Q2049),P2049&gt;0,ISNUMBER($B$100)),MAX(0,$B$100-3*SQRT($B$100/P2049)),"")</f>
        <v/>
      </c>
      <c r="T2049" s="11">
        <f>IF(AND(ISNUMBER(P2049),ISNUMBER(Q2049),P2049&gt;0,ISNUMBER($B$100)),$B$100+3*SQRT($B$100/P2049),"")</f>
        <v/>
      </c>
      <c r="U2049" s="13">
        <f>IF(AND(ISNUMBER(R2049),ISNUMBER(S2049),ISNUMBER(T2049)),IF(R2049&gt;T2049,"boven UCL",IF(R2049&lt;S2049,"onder LCL","")),"")</f>
        <v/>
      </c>
    </row>
    <row r="2050">
      <c r="A2050" t="n">
        <v>1944</v>
      </c>
      <c r="B2050" s="7" t="n"/>
      <c r="C2050" s="11">
        <f>IF(AND(ISNUMBER(B2050),ISNUMBER(B2049)),ABS(B2050-B2049),"")</f>
        <v/>
      </c>
      <c r="D2050" s="13">
        <f>IF(AND(ISNUMBER(B2050),ISNUMBER($B$88),ISNUMBER($D$88)),IF(B2050&gt;$D$88,"boven UCL",IF(B2050&lt;$B$88,"onder LCL","")),"")</f>
        <v/>
      </c>
      <c r="E2050" s="13">
        <f>IF(AND(ISNUMBER(C2050),ISNUMBER($B$89),ISNUMBER($D$89)),IF(C2050&gt;$D$89,"boven UCL",IF(C2050&lt;$B$89,"onder LCL","")),"")</f>
        <v/>
      </c>
      <c r="G2050" t="n">
        <v>1944</v>
      </c>
      <c r="H2050" s="7" t="n"/>
      <c r="I2050" s="7" t="n"/>
      <c r="J2050" s="11">
        <f>IF(AND(ISNUMBER(H2050),ISNUMBER(I2050),H2050&gt;0,ISNUMBER($B$94)),I2050/H2050,"")</f>
        <v/>
      </c>
      <c r="K2050" s="11">
        <f>IF(AND(ISNUMBER(H2050),ISNUMBER(I2050),H2050&gt;0,ISNUMBER($B$94)),MAX(0,$B$94-3*SQRT($B$94*(1-$B$94)/H2050)),"")</f>
        <v/>
      </c>
      <c r="L2050" s="11">
        <f>IF(AND(ISNUMBER(H2050),ISNUMBER(I2050),H2050&gt;0,ISNUMBER($B$94)),$B$94+3*SQRT($B$94*(1-$B$94)/H2050),"")</f>
        <v/>
      </c>
      <c r="M2050" s="13">
        <f>IF(AND(ISNUMBER(J2050),ISNUMBER(K2050),ISNUMBER(L2050)),IF(J2050&gt;L2050,"boven UCL",IF(J2050&lt;K2050,"onder LCL","")),"")</f>
        <v/>
      </c>
      <c r="O2050" t="n">
        <v>1944</v>
      </c>
      <c r="P2050" s="7" t="n"/>
      <c r="Q2050" s="7" t="n"/>
      <c r="R2050" s="11">
        <f>IF(AND(ISNUMBER(P2050),ISNUMBER(Q2050),P2050&gt;0,ISNUMBER($B$100)),Q2050/P2050,"")</f>
        <v/>
      </c>
      <c r="S2050" s="11">
        <f>IF(AND(ISNUMBER(P2050),ISNUMBER(Q2050),P2050&gt;0,ISNUMBER($B$100)),MAX(0,$B$100-3*SQRT($B$100/P2050)),"")</f>
        <v/>
      </c>
      <c r="T2050" s="11">
        <f>IF(AND(ISNUMBER(P2050),ISNUMBER(Q2050),P2050&gt;0,ISNUMBER($B$100)),$B$100+3*SQRT($B$100/P2050),"")</f>
        <v/>
      </c>
      <c r="U2050" s="13">
        <f>IF(AND(ISNUMBER(R2050),ISNUMBER(S2050),ISNUMBER(T2050)),IF(R2050&gt;T2050,"boven UCL",IF(R2050&lt;S2050,"onder LCL","")),"")</f>
        <v/>
      </c>
    </row>
    <row r="2051">
      <c r="A2051" t="n">
        <v>1945</v>
      </c>
      <c r="B2051" s="7" t="n"/>
      <c r="C2051" s="11">
        <f>IF(AND(ISNUMBER(B2051),ISNUMBER(B2050)),ABS(B2051-B2050),"")</f>
        <v/>
      </c>
      <c r="D2051" s="13">
        <f>IF(AND(ISNUMBER(B2051),ISNUMBER($B$88),ISNUMBER($D$88)),IF(B2051&gt;$D$88,"boven UCL",IF(B2051&lt;$B$88,"onder LCL","")),"")</f>
        <v/>
      </c>
      <c r="E2051" s="13">
        <f>IF(AND(ISNUMBER(C2051),ISNUMBER($B$89),ISNUMBER($D$89)),IF(C2051&gt;$D$89,"boven UCL",IF(C2051&lt;$B$89,"onder LCL","")),"")</f>
        <v/>
      </c>
      <c r="G2051" t="n">
        <v>1945</v>
      </c>
      <c r="H2051" s="7" t="n"/>
      <c r="I2051" s="7" t="n"/>
      <c r="J2051" s="11">
        <f>IF(AND(ISNUMBER(H2051),ISNUMBER(I2051),H2051&gt;0,ISNUMBER($B$94)),I2051/H2051,"")</f>
        <v/>
      </c>
      <c r="K2051" s="11">
        <f>IF(AND(ISNUMBER(H2051),ISNUMBER(I2051),H2051&gt;0,ISNUMBER($B$94)),MAX(0,$B$94-3*SQRT($B$94*(1-$B$94)/H2051)),"")</f>
        <v/>
      </c>
      <c r="L2051" s="11">
        <f>IF(AND(ISNUMBER(H2051),ISNUMBER(I2051),H2051&gt;0,ISNUMBER($B$94)),$B$94+3*SQRT($B$94*(1-$B$94)/H2051),"")</f>
        <v/>
      </c>
      <c r="M2051" s="13">
        <f>IF(AND(ISNUMBER(J2051),ISNUMBER(K2051),ISNUMBER(L2051)),IF(J2051&gt;L2051,"boven UCL",IF(J2051&lt;K2051,"onder LCL","")),"")</f>
        <v/>
      </c>
      <c r="O2051" t="n">
        <v>1945</v>
      </c>
      <c r="P2051" s="7" t="n"/>
      <c r="Q2051" s="7" t="n"/>
      <c r="R2051" s="11">
        <f>IF(AND(ISNUMBER(P2051),ISNUMBER(Q2051),P2051&gt;0,ISNUMBER($B$100)),Q2051/P2051,"")</f>
        <v/>
      </c>
      <c r="S2051" s="11">
        <f>IF(AND(ISNUMBER(P2051),ISNUMBER(Q2051),P2051&gt;0,ISNUMBER($B$100)),MAX(0,$B$100-3*SQRT($B$100/P2051)),"")</f>
        <v/>
      </c>
      <c r="T2051" s="11">
        <f>IF(AND(ISNUMBER(P2051),ISNUMBER(Q2051),P2051&gt;0,ISNUMBER($B$100)),$B$100+3*SQRT($B$100/P2051),"")</f>
        <v/>
      </c>
      <c r="U2051" s="13">
        <f>IF(AND(ISNUMBER(R2051),ISNUMBER(S2051),ISNUMBER(T2051)),IF(R2051&gt;T2051,"boven UCL",IF(R2051&lt;S2051,"onder LCL","")),"")</f>
        <v/>
      </c>
    </row>
    <row r="2052">
      <c r="A2052" t="n">
        <v>1946</v>
      </c>
      <c r="B2052" s="7" t="n"/>
      <c r="C2052" s="11">
        <f>IF(AND(ISNUMBER(B2052),ISNUMBER(B2051)),ABS(B2052-B2051),"")</f>
        <v/>
      </c>
      <c r="D2052" s="13">
        <f>IF(AND(ISNUMBER(B2052),ISNUMBER($B$88),ISNUMBER($D$88)),IF(B2052&gt;$D$88,"boven UCL",IF(B2052&lt;$B$88,"onder LCL","")),"")</f>
        <v/>
      </c>
      <c r="E2052" s="13">
        <f>IF(AND(ISNUMBER(C2052),ISNUMBER($B$89),ISNUMBER($D$89)),IF(C2052&gt;$D$89,"boven UCL",IF(C2052&lt;$B$89,"onder LCL","")),"")</f>
        <v/>
      </c>
      <c r="G2052" t="n">
        <v>1946</v>
      </c>
      <c r="H2052" s="7" t="n"/>
      <c r="I2052" s="7" t="n"/>
      <c r="J2052" s="11">
        <f>IF(AND(ISNUMBER(H2052),ISNUMBER(I2052),H2052&gt;0,ISNUMBER($B$94)),I2052/H2052,"")</f>
        <v/>
      </c>
      <c r="K2052" s="11">
        <f>IF(AND(ISNUMBER(H2052),ISNUMBER(I2052),H2052&gt;0,ISNUMBER($B$94)),MAX(0,$B$94-3*SQRT($B$94*(1-$B$94)/H2052)),"")</f>
        <v/>
      </c>
      <c r="L2052" s="11">
        <f>IF(AND(ISNUMBER(H2052),ISNUMBER(I2052),H2052&gt;0,ISNUMBER($B$94)),$B$94+3*SQRT($B$94*(1-$B$94)/H2052),"")</f>
        <v/>
      </c>
      <c r="M2052" s="13">
        <f>IF(AND(ISNUMBER(J2052),ISNUMBER(K2052),ISNUMBER(L2052)),IF(J2052&gt;L2052,"boven UCL",IF(J2052&lt;K2052,"onder LCL","")),"")</f>
        <v/>
      </c>
      <c r="O2052" t="n">
        <v>1946</v>
      </c>
      <c r="P2052" s="7" t="n"/>
      <c r="Q2052" s="7" t="n"/>
      <c r="R2052" s="11">
        <f>IF(AND(ISNUMBER(P2052),ISNUMBER(Q2052),P2052&gt;0,ISNUMBER($B$100)),Q2052/P2052,"")</f>
        <v/>
      </c>
      <c r="S2052" s="11">
        <f>IF(AND(ISNUMBER(P2052),ISNUMBER(Q2052),P2052&gt;0,ISNUMBER($B$100)),MAX(0,$B$100-3*SQRT($B$100/P2052)),"")</f>
        <v/>
      </c>
      <c r="T2052" s="11">
        <f>IF(AND(ISNUMBER(P2052),ISNUMBER(Q2052),P2052&gt;0,ISNUMBER($B$100)),$B$100+3*SQRT($B$100/P2052),"")</f>
        <v/>
      </c>
      <c r="U2052" s="13">
        <f>IF(AND(ISNUMBER(R2052),ISNUMBER(S2052),ISNUMBER(T2052)),IF(R2052&gt;T2052,"boven UCL",IF(R2052&lt;S2052,"onder LCL","")),"")</f>
        <v/>
      </c>
    </row>
    <row r="2053">
      <c r="A2053" t="n">
        <v>1947</v>
      </c>
      <c r="B2053" s="7" t="n"/>
      <c r="C2053" s="11">
        <f>IF(AND(ISNUMBER(B2053),ISNUMBER(B2052)),ABS(B2053-B2052),"")</f>
        <v/>
      </c>
      <c r="D2053" s="13">
        <f>IF(AND(ISNUMBER(B2053),ISNUMBER($B$88),ISNUMBER($D$88)),IF(B2053&gt;$D$88,"boven UCL",IF(B2053&lt;$B$88,"onder LCL","")),"")</f>
        <v/>
      </c>
      <c r="E2053" s="13">
        <f>IF(AND(ISNUMBER(C2053),ISNUMBER($B$89),ISNUMBER($D$89)),IF(C2053&gt;$D$89,"boven UCL",IF(C2053&lt;$B$89,"onder LCL","")),"")</f>
        <v/>
      </c>
      <c r="G2053" t="n">
        <v>1947</v>
      </c>
      <c r="H2053" s="7" t="n"/>
      <c r="I2053" s="7" t="n"/>
      <c r="J2053" s="11">
        <f>IF(AND(ISNUMBER(H2053),ISNUMBER(I2053),H2053&gt;0,ISNUMBER($B$94)),I2053/H2053,"")</f>
        <v/>
      </c>
      <c r="K2053" s="11">
        <f>IF(AND(ISNUMBER(H2053),ISNUMBER(I2053),H2053&gt;0,ISNUMBER($B$94)),MAX(0,$B$94-3*SQRT($B$94*(1-$B$94)/H2053)),"")</f>
        <v/>
      </c>
      <c r="L2053" s="11">
        <f>IF(AND(ISNUMBER(H2053),ISNUMBER(I2053),H2053&gt;0,ISNUMBER($B$94)),$B$94+3*SQRT($B$94*(1-$B$94)/H2053),"")</f>
        <v/>
      </c>
      <c r="M2053" s="13">
        <f>IF(AND(ISNUMBER(J2053),ISNUMBER(K2053),ISNUMBER(L2053)),IF(J2053&gt;L2053,"boven UCL",IF(J2053&lt;K2053,"onder LCL","")),"")</f>
        <v/>
      </c>
      <c r="O2053" t="n">
        <v>1947</v>
      </c>
      <c r="P2053" s="7" t="n"/>
      <c r="Q2053" s="7" t="n"/>
      <c r="R2053" s="11">
        <f>IF(AND(ISNUMBER(P2053),ISNUMBER(Q2053),P2053&gt;0,ISNUMBER($B$100)),Q2053/P2053,"")</f>
        <v/>
      </c>
      <c r="S2053" s="11">
        <f>IF(AND(ISNUMBER(P2053),ISNUMBER(Q2053),P2053&gt;0,ISNUMBER($B$100)),MAX(0,$B$100-3*SQRT($B$100/P2053)),"")</f>
        <v/>
      </c>
      <c r="T2053" s="11">
        <f>IF(AND(ISNUMBER(P2053),ISNUMBER(Q2053),P2053&gt;0,ISNUMBER($B$100)),$B$100+3*SQRT($B$100/P2053),"")</f>
        <v/>
      </c>
      <c r="U2053" s="13">
        <f>IF(AND(ISNUMBER(R2053),ISNUMBER(S2053),ISNUMBER(T2053)),IF(R2053&gt;T2053,"boven UCL",IF(R2053&lt;S2053,"onder LCL","")),"")</f>
        <v/>
      </c>
    </row>
    <row r="2054">
      <c r="A2054" t="n">
        <v>1948</v>
      </c>
      <c r="B2054" s="7" t="n"/>
      <c r="C2054" s="11">
        <f>IF(AND(ISNUMBER(B2054),ISNUMBER(B2053)),ABS(B2054-B2053),"")</f>
        <v/>
      </c>
      <c r="D2054" s="13">
        <f>IF(AND(ISNUMBER(B2054),ISNUMBER($B$88),ISNUMBER($D$88)),IF(B2054&gt;$D$88,"boven UCL",IF(B2054&lt;$B$88,"onder LCL","")),"")</f>
        <v/>
      </c>
      <c r="E2054" s="13">
        <f>IF(AND(ISNUMBER(C2054),ISNUMBER($B$89),ISNUMBER($D$89)),IF(C2054&gt;$D$89,"boven UCL",IF(C2054&lt;$B$89,"onder LCL","")),"")</f>
        <v/>
      </c>
      <c r="G2054" t="n">
        <v>1948</v>
      </c>
      <c r="H2054" s="7" t="n"/>
      <c r="I2054" s="7" t="n"/>
      <c r="J2054" s="11">
        <f>IF(AND(ISNUMBER(H2054),ISNUMBER(I2054),H2054&gt;0,ISNUMBER($B$94)),I2054/H2054,"")</f>
        <v/>
      </c>
      <c r="K2054" s="11">
        <f>IF(AND(ISNUMBER(H2054),ISNUMBER(I2054),H2054&gt;0,ISNUMBER($B$94)),MAX(0,$B$94-3*SQRT($B$94*(1-$B$94)/H2054)),"")</f>
        <v/>
      </c>
      <c r="L2054" s="11">
        <f>IF(AND(ISNUMBER(H2054),ISNUMBER(I2054),H2054&gt;0,ISNUMBER($B$94)),$B$94+3*SQRT($B$94*(1-$B$94)/H2054),"")</f>
        <v/>
      </c>
      <c r="M2054" s="13">
        <f>IF(AND(ISNUMBER(J2054),ISNUMBER(K2054),ISNUMBER(L2054)),IF(J2054&gt;L2054,"boven UCL",IF(J2054&lt;K2054,"onder LCL","")),"")</f>
        <v/>
      </c>
      <c r="O2054" t="n">
        <v>1948</v>
      </c>
      <c r="P2054" s="7" t="n"/>
      <c r="Q2054" s="7" t="n"/>
      <c r="R2054" s="11">
        <f>IF(AND(ISNUMBER(P2054),ISNUMBER(Q2054),P2054&gt;0,ISNUMBER($B$100)),Q2054/P2054,"")</f>
        <v/>
      </c>
      <c r="S2054" s="11">
        <f>IF(AND(ISNUMBER(P2054),ISNUMBER(Q2054),P2054&gt;0,ISNUMBER($B$100)),MAX(0,$B$100-3*SQRT($B$100/P2054)),"")</f>
        <v/>
      </c>
      <c r="T2054" s="11">
        <f>IF(AND(ISNUMBER(P2054),ISNUMBER(Q2054),P2054&gt;0,ISNUMBER($B$100)),$B$100+3*SQRT($B$100/P2054),"")</f>
        <v/>
      </c>
      <c r="U2054" s="13">
        <f>IF(AND(ISNUMBER(R2054),ISNUMBER(S2054),ISNUMBER(T2054)),IF(R2054&gt;T2054,"boven UCL",IF(R2054&lt;S2054,"onder LCL","")),"")</f>
        <v/>
      </c>
    </row>
    <row r="2055">
      <c r="A2055" t="n">
        <v>1949</v>
      </c>
      <c r="B2055" s="7" t="n"/>
      <c r="C2055" s="11">
        <f>IF(AND(ISNUMBER(B2055),ISNUMBER(B2054)),ABS(B2055-B2054),"")</f>
        <v/>
      </c>
      <c r="D2055" s="13">
        <f>IF(AND(ISNUMBER(B2055),ISNUMBER($B$88),ISNUMBER($D$88)),IF(B2055&gt;$D$88,"boven UCL",IF(B2055&lt;$B$88,"onder LCL","")),"")</f>
        <v/>
      </c>
      <c r="E2055" s="13">
        <f>IF(AND(ISNUMBER(C2055),ISNUMBER($B$89),ISNUMBER($D$89)),IF(C2055&gt;$D$89,"boven UCL",IF(C2055&lt;$B$89,"onder LCL","")),"")</f>
        <v/>
      </c>
      <c r="G2055" t="n">
        <v>1949</v>
      </c>
      <c r="H2055" s="7" t="n"/>
      <c r="I2055" s="7" t="n"/>
      <c r="J2055" s="11">
        <f>IF(AND(ISNUMBER(H2055),ISNUMBER(I2055),H2055&gt;0,ISNUMBER($B$94)),I2055/H2055,"")</f>
        <v/>
      </c>
      <c r="K2055" s="11">
        <f>IF(AND(ISNUMBER(H2055),ISNUMBER(I2055),H2055&gt;0,ISNUMBER($B$94)),MAX(0,$B$94-3*SQRT($B$94*(1-$B$94)/H2055)),"")</f>
        <v/>
      </c>
      <c r="L2055" s="11">
        <f>IF(AND(ISNUMBER(H2055),ISNUMBER(I2055),H2055&gt;0,ISNUMBER($B$94)),$B$94+3*SQRT($B$94*(1-$B$94)/H2055),"")</f>
        <v/>
      </c>
      <c r="M2055" s="13">
        <f>IF(AND(ISNUMBER(J2055),ISNUMBER(K2055),ISNUMBER(L2055)),IF(J2055&gt;L2055,"boven UCL",IF(J2055&lt;K2055,"onder LCL","")),"")</f>
        <v/>
      </c>
      <c r="O2055" t="n">
        <v>1949</v>
      </c>
      <c r="P2055" s="7" t="n"/>
      <c r="Q2055" s="7" t="n"/>
      <c r="R2055" s="11">
        <f>IF(AND(ISNUMBER(P2055),ISNUMBER(Q2055),P2055&gt;0,ISNUMBER($B$100)),Q2055/P2055,"")</f>
        <v/>
      </c>
      <c r="S2055" s="11">
        <f>IF(AND(ISNUMBER(P2055),ISNUMBER(Q2055),P2055&gt;0,ISNUMBER($B$100)),MAX(0,$B$100-3*SQRT($B$100/P2055)),"")</f>
        <v/>
      </c>
      <c r="T2055" s="11">
        <f>IF(AND(ISNUMBER(P2055),ISNUMBER(Q2055),P2055&gt;0,ISNUMBER($B$100)),$B$100+3*SQRT($B$100/P2055),"")</f>
        <v/>
      </c>
      <c r="U2055" s="13">
        <f>IF(AND(ISNUMBER(R2055),ISNUMBER(S2055),ISNUMBER(T2055)),IF(R2055&gt;T2055,"boven UCL",IF(R2055&lt;S2055,"onder LCL","")),"")</f>
        <v/>
      </c>
    </row>
    <row r="2056">
      <c r="A2056" t="n">
        <v>1950</v>
      </c>
      <c r="B2056" s="7" t="n"/>
      <c r="C2056" s="11">
        <f>IF(AND(ISNUMBER(B2056),ISNUMBER(B2055)),ABS(B2056-B2055),"")</f>
        <v/>
      </c>
      <c r="D2056" s="13">
        <f>IF(AND(ISNUMBER(B2056),ISNUMBER($B$88),ISNUMBER($D$88)),IF(B2056&gt;$D$88,"boven UCL",IF(B2056&lt;$B$88,"onder LCL","")),"")</f>
        <v/>
      </c>
      <c r="E2056" s="13">
        <f>IF(AND(ISNUMBER(C2056),ISNUMBER($B$89),ISNUMBER($D$89)),IF(C2056&gt;$D$89,"boven UCL",IF(C2056&lt;$B$89,"onder LCL","")),"")</f>
        <v/>
      </c>
      <c r="G2056" t="n">
        <v>1950</v>
      </c>
      <c r="H2056" s="7" t="n"/>
      <c r="I2056" s="7" t="n"/>
      <c r="J2056" s="11">
        <f>IF(AND(ISNUMBER(H2056),ISNUMBER(I2056),H2056&gt;0,ISNUMBER($B$94)),I2056/H2056,"")</f>
        <v/>
      </c>
      <c r="K2056" s="11">
        <f>IF(AND(ISNUMBER(H2056),ISNUMBER(I2056),H2056&gt;0,ISNUMBER($B$94)),MAX(0,$B$94-3*SQRT($B$94*(1-$B$94)/H2056)),"")</f>
        <v/>
      </c>
      <c r="L2056" s="11">
        <f>IF(AND(ISNUMBER(H2056),ISNUMBER(I2056),H2056&gt;0,ISNUMBER($B$94)),$B$94+3*SQRT($B$94*(1-$B$94)/H2056),"")</f>
        <v/>
      </c>
      <c r="M2056" s="13">
        <f>IF(AND(ISNUMBER(J2056),ISNUMBER(K2056),ISNUMBER(L2056)),IF(J2056&gt;L2056,"boven UCL",IF(J2056&lt;K2056,"onder LCL","")),"")</f>
        <v/>
      </c>
      <c r="O2056" t="n">
        <v>1950</v>
      </c>
      <c r="P2056" s="7" t="n"/>
      <c r="Q2056" s="7" t="n"/>
      <c r="R2056" s="11">
        <f>IF(AND(ISNUMBER(P2056),ISNUMBER(Q2056),P2056&gt;0,ISNUMBER($B$100)),Q2056/P2056,"")</f>
        <v/>
      </c>
      <c r="S2056" s="11">
        <f>IF(AND(ISNUMBER(P2056),ISNUMBER(Q2056),P2056&gt;0,ISNUMBER($B$100)),MAX(0,$B$100-3*SQRT($B$100/P2056)),"")</f>
        <v/>
      </c>
      <c r="T2056" s="11">
        <f>IF(AND(ISNUMBER(P2056),ISNUMBER(Q2056),P2056&gt;0,ISNUMBER($B$100)),$B$100+3*SQRT($B$100/P2056),"")</f>
        <v/>
      </c>
      <c r="U2056" s="13">
        <f>IF(AND(ISNUMBER(R2056),ISNUMBER(S2056),ISNUMBER(T2056)),IF(R2056&gt;T2056,"boven UCL",IF(R2056&lt;S2056,"onder LCL","")),"")</f>
        <v/>
      </c>
    </row>
    <row r="2057">
      <c r="A2057" t="n">
        <v>1951</v>
      </c>
      <c r="B2057" s="7" t="n"/>
      <c r="C2057" s="11">
        <f>IF(AND(ISNUMBER(B2057),ISNUMBER(B2056)),ABS(B2057-B2056),"")</f>
        <v/>
      </c>
      <c r="D2057" s="13">
        <f>IF(AND(ISNUMBER(B2057),ISNUMBER($B$88),ISNUMBER($D$88)),IF(B2057&gt;$D$88,"boven UCL",IF(B2057&lt;$B$88,"onder LCL","")),"")</f>
        <v/>
      </c>
      <c r="E2057" s="13">
        <f>IF(AND(ISNUMBER(C2057),ISNUMBER($B$89),ISNUMBER($D$89)),IF(C2057&gt;$D$89,"boven UCL",IF(C2057&lt;$B$89,"onder LCL","")),"")</f>
        <v/>
      </c>
      <c r="G2057" t="n">
        <v>1951</v>
      </c>
      <c r="H2057" s="7" t="n"/>
      <c r="I2057" s="7" t="n"/>
      <c r="J2057" s="11">
        <f>IF(AND(ISNUMBER(H2057),ISNUMBER(I2057),H2057&gt;0,ISNUMBER($B$94)),I2057/H2057,"")</f>
        <v/>
      </c>
      <c r="K2057" s="11">
        <f>IF(AND(ISNUMBER(H2057),ISNUMBER(I2057),H2057&gt;0,ISNUMBER($B$94)),MAX(0,$B$94-3*SQRT($B$94*(1-$B$94)/H2057)),"")</f>
        <v/>
      </c>
      <c r="L2057" s="11">
        <f>IF(AND(ISNUMBER(H2057),ISNUMBER(I2057),H2057&gt;0,ISNUMBER($B$94)),$B$94+3*SQRT($B$94*(1-$B$94)/H2057),"")</f>
        <v/>
      </c>
      <c r="M2057" s="13">
        <f>IF(AND(ISNUMBER(J2057),ISNUMBER(K2057),ISNUMBER(L2057)),IF(J2057&gt;L2057,"boven UCL",IF(J2057&lt;K2057,"onder LCL","")),"")</f>
        <v/>
      </c>
      <c r="O2057" t="n">
        <v>1951</v>
      </c>
      <c r="P2057" s="7" t="n"/>
      <c r="Q2057" s="7" t="n"/>
      <c r="R2057" s="11">
        <f>IF(AND(ISNUMBER(P2057),ISNUMBER(Q2057),P2057&gt;0,ISNUMBER($B$100)),Q2057/P2057,"")</f>
        <v/>
      </c>
      <c r="S2057" s="11">
        <f>IF(AND(ISNUMBER(P2057),ISNUMBER(Q2057),P2057&gt;0,ISNUMBER($B$100)),MAX(0,$B$100-3*SQRT($B$100/P2057)),"")</f>
        <v/>
      </c>
      <c r="T2057" s="11">
        <f>IF(AND(ISNUMBER(P2057),ISNUMBER(Q2057),P2057&gt;0,ISNUMBER($B$100)),$B$100+3*SQRT($B$100/P2057),"")</f>
        <v/>
      </c>
      <c r="U2057" s="13">
        <f>IF(AND(ISNUMBER(R2057),ISNUMBER(S2057),ISNUMBER(T2057)),IF(R2057&gt;T2057,"boven UCL",IF(R2057&lt;S2057,"onder LCL","")),"")</f>
        <v/>
      </c>
    </row>
    <row r="2058">
      <c r="A2058" t="n">
        <v>1952</v>
      </c>
      <c r="B2058" s="7" t="n"/>
      <c r="C2058" s="11">
        <f>IF(AND(ISNUMBER(B2058),ISNUMBER(B2057)),ABS(B2058-B2057),"")</f>
        <v/>
      </c>
      <c r="D2058" s="13">
        <f>IF(AND(ISNUMBER(B2058),ISNUMBER($B$88),ISNUMBER($D$88)),IF(B2058&gt;$D$88,"boven UCL",IF(B2058&lt;$B$88,"onder LCL","")),"")</f>
        <v/>
      </c>
      <c r="E2058" s="13">
        <f>IF(AND(ISNUMBER(C2058),ISNUMBER($B$89),ISNUMBER($D$89)),IF(C2058&gt;$D$89,"boven UCL",IF(C2058&lt;$B$89,"onder LCL","")),"")</f>
        <v/>
      </c>
      <c r="G2058" t="n">
        <v>1952</v>
      </c>
      <c r="H2058" s="7" t="n"/>
      <c r="I2058" s="7" t="n"/>
      <c r="J2058" s="11">
        <f>IF(AND(ISNUMBER(H2058),ISNUMBER(I2058),H2058&gt;0,ISNUMBER($B$94)),I2058/H2058,"")</f>
        <v/>
      </c>
      <c r="K2058" s="11">
        <f>IF(AND(ISNUMBER(H2058),ISNUMBER(I2058),H2058&gt;0,ISNUMBER($B$94)),MAX(0,$B$94-3*SQRT($B$94*(1-$B$94)/H2058)),"")</f>
        <v/>
      </c>
      <c r="L2058" s="11">
        <f>IF(AND(ISNUMBER(H2058),ISNUMBER(I2058),H2058&gt;0,ISNUMBER($B$94)),$B$94+3*SQRT($B$94*(1-$B$94)/H2058),"")</f>
        <v/>
      </c>
      <c r="M2058" s="13">
        <f>IF(AND(ISNUMBER(J2058),ISNUMBER(K2058),ISNUMBER(L2058)),IF(J2058&gt;L2058,"boven UCL",IF(J2058&lt;K2058,"onder LCL","")),"")</f>
        <v/>
      </c>
      <c r="O2058" t="n">
        <v>1952</v>
      </c>
      <c r="P2058" s="7" t="n"/>
      <c r="Q2058" s="7" t="n"/>
      <c r="R2058" s="11">
        <f>IF(AND(ISNUMBER(P2058),ISNUMBER(Q2058),P2058&gt;0,ISNUMBER($B$100)),Q2058/P2058,"")</f>
        <v/>
      </c>
      <c r="S2058" s="11">
        <f>IF(AND(ISNUMBER(P2058),ISNUMBER(Q2058),P2058&gt;0,ISNUMBER($B$100)),MAX(0,$B$100-3*SQRT($B$100/P2058)),"")</f>
        <v/>
      </c>
      <c r="T2058" s="11">
        <f>IF(AND(ISNUMBER(P2058),ISNUMBER(Q2058),P2058&gt;0,ISNUMBER($B$100)),$B$100+3*SQRT($B$100/P2058),"")</f>
        <v/>
      </c>
      <c r="U2058" s="13">
        <f>IF(AND(ISNUMBER(R2058),ISNUMBER(S2058),ISNUMBER(T2058)),IF(R2058&gt;T2058,"boven UCL",IF(R2058&lt;S2058,"onder LCL","")),"")</f>
        <v/>
      </c>
    </row>
    <row r="2059">
      <c r="A2059" t="n">
        <v>1953</v>
      </c>
      <c r="B2059" s="7" t="n"/>
      <c r="C2059" s="11">
        <f>IF(AND(ISNUMBER(B2059),ISNUMBER(B2058)),ABS(B2059-B2058),"")</f>
        <v/>
      </c>
      <c r="D2059" s="13">
        <f>IF(AND(ISNUMBER(B2059),ISNUMBER($B$88),ISNUMBER($D$88)),IF(B2059&gt;$D$88,"boven UCL",IF(B2059&lt;$B$88,"onder LCL","")),"")</f>
        <v/>
      </c>
      <c r="E2059" s="13">
        <f>IF(AND(ISNUMBER(C2059),ISNUMBER($B$89),ISNUMBER($D$89)),IF(C2059&gt;$D$89,"boven UCL",IF(C2059&lt;$B$89,"onder LCL","")),"")</f>
        <v/>
      </c>
      <c r="G2059" t="n">
        <v>1953</v>
      </c>
      <c r="H2059" s="7" t="n"/>
      <c r="I2059" s="7" t="n"/>
      <c r="J2059" s="11">
        <f>IF(AND(ISNUMBER(H2059),ISNUMBER(I2059),H2059&gt;0,ISNUMBER($B$94)),I2059/H2059,"")</f>
        <v/>
      </c>
      <c r="K2059" s="11">
        <f>IF(AND(ISNUMBER(H2059),ISNUMBER(I2059),H2059&gt;0,ISNUMBER($B$94)),MAX(0,$B$94-3*SQRT($B$94*(1-$B$94)/H2059)),"")</f>
        <v/>
      </c>
      <c r="L2059" s="11">
        <f>IF(AND(ISNUMBER(H2059),ISNUMBER(I2059),H2059&gt;0,ISNUMBER($B$94)),$B$94+3*SQRT($B$94*(1-$B$94)/H2059),"")</f>
        <v/>
      </c>
      <c r="M2059" s="13">
        <f>IF(AND(ISNUMBER(J2059),ISNUMBER(K2059),ISNUMBER(L2059)),IF(J2059&gt;L2059,"boven UCL",IF(J2059&lt;K2059,"onder LCL","")),"")</f>
        <v/>
      </c>
      <c r="O2059" t="n">
        <v>1953</v>
      </c>
      <c r="P2059" s="7" t="n"/>
      <c r="Q2059" s="7" t="n"/>
      <c r="R2059" s="11">
        <f>IF(AND(ISNUMBER(P2059),ISNUMBER(Q2059),P2059&gt;0,ISNUMBER($B$100)),Q2059/P2059,"")</f>
        <v/>
      </c>
      <c r="S2059" s="11">
        <f>IF(AND(ISNUMBER(P2059),ISNUMBER(Q2059),P2059&gt;0,ISNUMBER($B$100)),MAX(0,$B$100-3*SQRT($B$100/P2059)),"")</f>
        <v/>
      </c>
      <c r="T2059" s="11">
        <f>IF(AND(ISNUMBER(P2059),ISNUMBER(Q2059),P2059&gt;0,ISNUMBER($B$100)),$B$100+3*SQRT($B$100/P2059),"")</f>
        <v/>
      </c>
      <c r="U2059" s="13">
        <f>IF(AND(ISNUMBER(R2059),ISNUMBER(S2059),ISNUMBER(T2059)),IF(R2059&gt;T2059,"boven UCL",IF(R2059&lt;S2059,"onder LCL","")),"")</f>
        <v/>
      </c>
    </row>
    <row r="2060">
      <c r="A2060" t="n">
        <v>1954</v>
      </c>
      <c r="B2060" s="7" t="n"/>
      <c r="C2060" s="11">
        <f>IF(AND(ISNUMBER(B2060),ISNUMBER(B2059)),ABS(B2060-B2059),"")</f>
        <v/>
      </c>
      <c r="D2060" s="13">
        <f>IF(AND(ISNUMBER(B2060),ISNUMBER($B$88),ISNUMBER($D$88)),IF(B2060&gt;$D$88,"boven UCL",IF(B2060&lt;$B$88,"onder LCL","")),"")</f>
        <v/>
      </c>
      <c r="E2060" s="13">
        <f>IF(AND(ISNUMBER(C2060),ISNUMBER($B$89),ISNUMBER($D$89)),IF(C2060&gt;$D$89,"boven UCL",IF(C2060&lt;$B$89,"onder LCL","")),"")</f>
        <v/>
      </c>
      <c r="G2060" t="n">
        <v>1954</v>
      </c>
      <c r="H2060" s="7" t="n"/>
      <c r="I2060" s="7" t="n"/>
      <c r="J2060" s="11">
        <f>IF(AND(ISNUMBER(H2060),ISNUMBER(I2060),H2060&gt;0,ISNUMBER($B$94)),I2060/H2060,"")</f>
        <v/>
      </c>
      <c r="K2060" s="11">
        <f>IF(AND(ISNUMBER(H2060),ISNUMBER(I2060),H2060&gt;0,ISNUMBER($B$94)),MAX(0,$B$94-3*SQRT($B$94*(1-$B$94)/H2060)),"")</f>
        <v/>
      </c>
      <c r="L2060" s="11">
        <f>IF(AND(ISNUMBER(H2060),ISNUMBER(I2060),H2060&gt;0,ISNUMBER($B$94)),$B$94+3*SQRT($B$94*(1-$B$94)/H2060),"")</f>
        <v/>
      </c>
      <c r="M2060" s="13">
        <f>IF(AND(ISNUMBER(J2060),ISNUMBER(K2060),ISNUMBER(L2060)),IF(J2060&gt;L2060,"boven UCL",IF(J2060&lt;K2060,"onder LCL","")),"")</f>
        <v/>
      </c>
      <c r="O2060" t="n">
        <v>1954</v>
      </c>
      <c r="P2060" s="7" t="n"/>
      <c r="Q2060" s="7" t="n"/>
      <c r="R2060" s="11">
        <f>IF(AND(ISNUMBER(P2060),ISNUMBER(Q2060),P2060&gt;0,ISNUMBER($B$100)),Q2060/P2060,"")</f>
        <v/>
      </c>
      <c r="S2060" s="11">
        <f>IF(AND(ISNUMBER(P2060),ISNUMBER(Q2060),P2060&gt;0,ISNUMBER($B$100)),MAX(0,$B$100-3*SQRT($B$100/P2060)),"")</f>
        <v/>
      </c>
      <c r="T2060" s="11">
        <f>IF(AND(ISNUMBER(P2060),ISNUMBER(Q2060),P2060&gt;0,ISNUMBER($B$100)),$B$100+3*SQRT($B$100/P2060),"")</f>
        <v/>
      </c>
      <c r="U2060" s="13">
        <f>IF(AND(ISNUMBER(R2060),ISNUMBER(S2060),ISNUMBER(T2060)),IF(R2060&gt;T2060,"boven UCL",IF(R2060&lt;S2060,"onder LCL","")),"")</f>
        <v/>
      </c>
    </row>
    <row r="2061">
      <c r="A2061" t="n">
        <v>1955</v>
      </c>
      <c r="B2061" s="7" t="n"/>
      <c r="C2061" s="11">
        <f>IF(AND(ISNUMBER(B2061),ISNUMBER(B2060)),ABS(B2061-B2060),"")</f>
        <v/>
      </c>
      <c r="D2061" s="13">
        <f>IF(AND(ISNUMBER(B2061),ISNUMBER($B$88),ISNUMBER($D$88)),IF(B2061&gt;$D$88,"boven UCL",IF(B2061&lt;$B$88,"onder LCL","")),"")</f>
        <v/>
      </c>
      <c r="E2061" s="13">
        <f>IF(AND(ISNUMBER(C2061),ISNUMBER($B$89),ISNUMBER($D$89)),IF(C2061&gt;$D$89,"boven UCL",IF(C2061&lt;$B$89,"onder LCL","")),"")</f>
        <v/>
      </c>
      <c r="G2061" t="n">
        <v>1955</v>
      </c>
      <c r="H2061" s="7" t="n"/>
      <c r="I2061" s="7" t="n"/>
      <c r="J2061" s="11">
        <f>IF(AND(ISNUMBER(H2061),ISNUMBER(I2061),H2061&gt;0,ISNUMBER($B$94)),I2061/H2061,"")</f>
        <v/>
      </c>
      <c r="K2061" s="11">
        <f>IF(AND(ISNUMBER(H2061),ISNUMBER(I2061),H2061&gt;0,ISNUMBER($B$94)),MAX(0,$B$94-3*SQRT($B$94*(1-$B$94)/H2061)),"")</f>
        <v/>
      </c>
      <c r="L2061" s="11">
        <f>IF(AND(ISNUMBER(H2061),ISNUMBER(I2061),H2061&gt;0,ISNUMBER($B$94)),$B$94+3*SQRT($B$94*(1-$B$94)/H2061),"")</f>
        <v/>
      </c>
      <c r="M2061" s="13">
        <f>IF(AND(ISNUMBER(J2061),ISNUMBER(K2061),ISNUMBER(L2061)),IF(J2061&gt;L2061,"boven UCL",IF(J2061&lt;K2061,"onder LCL","")),"")</f>
        <v/>
      </c>
      <c r="O2061" t="n">
        <v>1955</v>
      </c>
      <c r="P2061" s="7" t="n"/>
      <c r="Q2061" s="7" t="n"/>
      <c r="R2061" s="11">
        <f>IF(AND(ISNUMBER(P2061),ISNUMBER(Q2061),P2061&gt;0,ISNUMBER($B$100)),Q2061/P2061,"")</f>
        <v/>
      </c>
      <c r="S2061" s="11">
        <f>IF(AND(ISNUMBER(P2061),ISNUMBER(Q2061),P2061&gt;0,ISNUMBER($B$100)),MAX(0,$B$100-3*SQRT($B$100/P2061)),"")</f>
        <v/>
      </c>
      <c r="T2061" s="11">
        <f>IF(AND(ISNUMBER(P2061),ISNUMBER(Q2061),P2061&gt;0,ISNUMBER($B$100)),$B$100+3*SQRT($B$100/P2061),"")</f>
        <v/>
      </c>
      <c r="U2061" s="13">
        <f>IF(AND(ISNUMBER(R2061),ISNUMBER(S2061),ISNUMBER(T2061)),IF(R2061&gt;T2061,"boven UCL",IF(R2061&lt;S2061,"onder LCL","")),"")</f>
        <v/>
      </c>
    </row>
    <row r="2062">
      <c r="A2062" t="n">
        <v>1956</v>
      </c>
      <c r="B2062" s="7" t="n"/>
      <c r="C2062" s="11">
        <f>IF(AND(ISNUMBER(B2062),ISNUMBER(B2061)),ABS(B2062-B2061),"")</f>
        <v/>
      </c>
      <c r="D2062" s="13">
        <f>IF(AND(ISNUMBER(B2062),ISNUMBER($B$88),ISNUMBER($D$88)),IF(B2062&gt;$D$88,"boven UCL",IF(B2062&lt;$B$88,"onder LCL","")),"")</f>
        <v/>
      </c>
      <c r="E2062" s="13">
        <f>IF(AND(ISNUMBER(C2062),ISNUMBER($B$89),ISNUMBER($D$89)),IF(C2062&gt;$D$89,"boven UCL",IF(C2062&lt;$B$89,"onder LCL","")),"")</f>
        <v/>
      </c>
      <c r="G2062" t="n">
        <v>1956</v>
      </c>
      <c r="H2062" s="7" t="n"/>
      <c r="I2062" s="7" t="n"/>
      <c r="J2062" s="11">
        <f>IF(AND(ISNUMBER(H2062),ISNUMBER(I2062),H2062&gt;0,ISNUMBER($B$94)),I2062/H2062,"")</f>
        <v/>
      </c>
      <c r="K2062" s="11">
        <f>IF(AND(ISNUMBER(H2062),ISNUMBER(I2062),H2062&gt;0,ISNUMBER($B$94)),MAX(0,$B$94-3*SQRT($B$94*(1-$B$94)/H2062)),"")</f>
        <v/>
      </c>
      <c r="L2062" s="11">
        <f>IF(AND(ISNUMBER(H2062),ISNUMBER(I2062),H2062&gt;0,ISNUMBER($B$94)),$B$94+3*SQRT($B$94*(1-$B$94)/H2062),"")</f>
        <v/>
      </c>
      <c r="M2062" s="13">
        <f>IF(AND(ISNUMBER(J2062),ISNUMBER(K2062),ISNUMBER(L2062)),IF(J2062&gt;L2062,"boven UCL",IF(J2062&lt;K2062,"onder LCL","")),"")</f>
        <v/>
      </c>
      <c r="O2062" t="n">
        <v>1956</v>
      </c>
      <c r="P2062" s="7" t="n"/>
      <c r="Q2062" s="7" t="n"/>
      <c r="R2062" s="11">
        <f>IF(AND(ISNUMBER(P2062),ISNUMBER(Q2062),P2062&gt;0,ISNUMBER($B$100)),Q2062/P2062,"")</f>
        <v/>
      </c>
      <c r="S2062" s="11">
        <f>IF(AND(ISNUMBER(P2062),ISNUMBER(Q2062),P2062&gt;0,ISNUMBER($B$100)),MAX(0,$B$100-3*SQRT($B$100/P2062)),"")</f>
        <v/>
      </c>
      <c r="T2062" s="11">
        <f>IF(AND(ISNUMBER(P2062),ISNUMBER(Q2062),P2062&gt;0,ISNUMBER($B$100)),$B$100+3*SQRT($B$100/P2062),"")</f>
        <v/>
      </c>
      <c r="U2062" s="13">
        <f>IF(AND(ISNUMBER(R2062),ISNUMBER(S2062),ISNUMBER(T2062)),IF(R2062&gt;T2062,"boven UCL",IF(R2062&lt;S2062,"onder LCL","")),"")</f>
        <v/>
      </c>
    </row>
    <row r="2063">
      <c r="A2063" t="n">
        <v>1957</v>
      </c>
      <c r="B2063" s="7" t="n"/>
      <c r="C2063" s="11">
        <f>IF(AND(ISNUMBER(B2063),ISNUMBER(B2062)),ABS(B2063-B2062),"")</f>
        <v/>
      </c>
      <c r="D2063" s="13">
        <f>IF(AND(ISNUMBER(B2063),ISNUMBER($B$88),ISNUMBER($D$88)),IF(B2063&gt;$D$88,"boven UCL",IF(B2063&lt;$B$88,"onder LCL","")),"")</f>
        <v/>
      </c>
      <c r="E2063" s="13">
        <f>IF(AND(ISNUMBER(C2063),ISNUMBER($B$89),ISNUMBER($D$89)),IF(C2063&gt;$D$89,"boven UCL",IF(C2063&lt;$B$89,"onder LCL","")),"")</f>
        <v/>
      </c>
      <c r="G2063" t="n">
        <v>1957</v>
      </c>
      <c r="H2063" s="7" t="n"/>
      <c r="I2063" s="7" t="n"/>
      <c r="J2063" s="11">
        <f>IF(AND(ISNUMBER(H2063),ISNUMBER(I2063),H2063&gt;0,ISNUMBER($B$94)),I2063/H2063,"")</f>
        <v/>
      </c>
      <c r="K2063" s="11">
        <f>IF(AND(ISNUMBER(H2063),ISNUMBER(I2063),H2063&gt;0,ISNUMBER($B$94)),MAX(0,$B$94-3*SQRT($B$94*(1-$B$94)/H2063)),"")</f>
        <v/>
      </c>
      <c r="L2063" s="11">
        <f>IF(AND(ISNUMBER(H2063),ISNUMBER(I2063),H2063&gt;0,ISNUMBER($B$94)),$B$94+3*SQRT($B$94*(1-$B$94)/H2063),"")</f>
        <v/>
      </c>
      <c r="M2063" s="13">
        <f>IF(AND(ISNUMBER(J2063),ISNUMBER(K2063),ISNUMBER(L2063)),IF(J2063&gt;L2063,"boven UCL",IF(J2063&lt;K2063,"onder LCL","")),"")</f>
        <v/>
      </c>
      <c r="O2063" t="n">
        <v>1957</v>
      </c>
      <c r="P2063" s="7" t="n"/>
      <c r="Q2063" s="7" t="n"/>
      <c r="R2063" s="11">
        <f>IF(AND(ISNUMBER(P2063),ISNUMBER(Q2063),P2063&gt;0,ISNUMBER($B$100)),Q2063/P2063,"")</f>
        <v/>
      </c>
      <c r="S2063" s="11">
        <f>IF(AND(ISNUMBER(P2063),ISNUMBER(Q2063),P2063&gt;0,ISNUMBER($B$100)),MAX(0,$B$100-3*SQRT($B$100/P2063)),"")</f>
        <v/>
      </c>
      <c r="T2063" s="11">
        <f>IF(AND(ISNUMBER(P2063),ISNUMBER(Q2063),P2063&gt;0,ISNUMBER($B$100)),$B$100+3*SQRT($B$100/P2063),"")</f>
        <v/>
      </c>
      <c r="U2063" s="13">
        <f>IF(AND(ISNUMBER(R2063),ISNUMBER(S2063),ISNUMBER(T2063)),IF(R2063&gt;T2063,"boven UCL",IF(R2063&lt;S2063,"onder LCL","")),"")</f>
        <v/>
      </c>
    </row>
    <row r="2064">
      <c r="A2064" t="n">
        <v>1958</v>
      </c>
      <c r="B2064" s="7" t="n"/>
      <c r="C2064" s="11">
        <f>IF(AND(ISNUMBER(B2064),ISNUMBER(B2063)),ABS(B2064-B2063),"")</f>
        <v/>
      </c>
      <c r="D2064" s="13">
        <f>IF(AND(ISNUMBER(B2064),ISNUMBER($B$88),ISNUMBER($D$88)),IF(B2064&gt;$D$88,"boven UCL",IF(B2064&lt;$B$88,"onder LCL","")),"")</f>
        <v/>
      </c>
      <c r="E2064" s="13">
        <f>IF(AND(ISNUMBER(C2064),ISNUMBER($B$89),ISNUMBER($D$89)),IF(C2064&gt;$D$89,"boven UCL",IF(C2064&lt;$B$89,"onder LCL","")),"")</f>
        <v/>
      </c>
      <c r="G2064" t="n">
        <v>1958</v>
      </c>
      <c r="H2064" s="7" t="n"/>
      <c r="I2064" s="7" t="n"/>
      <c r="J2064" s="11">
        <f>IF(AND(ISNUMBER(H2064),ISNUMBER(I2064),H2064&gt;0,ISNUMBER($B$94)),I2064/H2064,"")</f>
        <v/>
      </c>
      <c r="K2064" s="11">
        <f>IF(AND(ISNUMBER(H2064),ISNUMBER(I2064),H2064&gt;0,ISNUMBER($B$94)),MAX(0,$B$94-3*SQRT($B$94*(1-$B$94)/H2064)),"")</f>
        <v/>
      </c>
      <c r="L2064" s="11">
        <f>IF(AND(ISNUMBER(H2064),ISNUMBER(I2064),H2064&gt;0,ISNUMBER($B$94)),$B$94+3*SQRT($B$94*(1-$B$94)/H2064),"")</f>
        <v/>
      </c>
      <c r="M2064" s="13">
        <f>IF(AND(ISNUMBER(J2064),ISNUMBER(K2064),ISNUMBER(L2064)),IF(J2064&gt;L2064,"boven UCL",IF(J2064&lt;K2064,"onder LCL","")),"")</f>
        <v/>
      </c>
      <c r="O2064" t="n">
        <v>1958</v>
      </c>
      <c r="P2064" s="7" t="n"/>
      <c r="Q2064" s="7" t="n"/>
      <c r="R2064" s="11">
        <f>IF(AND(ISNUMBER(P2064),ISNUMBER(Q2064),P2064&gt;0,ISNUMBER($B$100)),Q2064/P2064,"")</f>
        <v/>
      </c>
      <c r="S2064" s="11">
        <f>IF(AND(ISNUMBER(P2064),ISNUMBER(Q2064),P2064&gt;0,ISNUMBER($B$100)),MAX(0,$B$100-3*SQRT($B$100/P2064)),"")</f>
        <v/>
      </c>
      <c r="T2064" s="11">
        <f>IF(AND(ISNUMBER(P2064),ISNUMBER(Q2064),P2064&gt;0,ISNUMBER($B$100)),$B$100+3*SQRT($B$100/P2064),"")</f>
        <v/>
      </c>
      <c r="U2064" s="13">
        <f>IF(AND(ISNUMBER(R2064),ISNUMBER(S2064),ISNUMBER(T2064)),IF(R2064&gt;T2064,"boven UCL",IF(R2064&lt;S2064,"onder LCL","")),"")</f>
        <v/>
      </c>
    </row>
    <row r="2065">
      <c r="A2065" t="n">
        <v>1959</v>
      </c>
      <c r="B2065" s="7" t="n"/>
      <c r="C2065" s="11">
        <f>IF(AND(ISNUMBER(B2065),ISNUMBER(B2064)),ABS(B2065-B2064),"")</f>
        <v/>
      </c>
      <c r="D2065" s="13">
        <f>IF(AND(ISNUMBER(B2065),ISNUMBER($B$88),ISNUMBER($D$88)),IF(B2065&gt;$D$88,"boven UCL",IF(B2065&lt;$B$88,"onder LCL","")),"")</f>
        <v/>
      </c>
      <c r="E2065" s="13">
        <f>IF(AND(ISNUMBER(C2065),ISNUMBER($B$89),ISNUMBER($D$89)),IF(C2065&gt;$D$89,"boven UCL",IF(C2065&lt;$B$89,"onder LCL","")),"")</f>
        <v/>
      </c>
      <c r="G2065" t="n">
        <v>1959</v>
      </c>
      <c r="H2065" s="7" t="n"/>
      <c r="I2065" s="7" t="n"/>
      <c r="J2065" s="11">
        <f>IF(AND(ISNUMBER(H2065),ISNUMBER(I2065),H2065&gt;0,ISNUMBER($B$94)),I2065/H2065,"")</f>
        <v/>
      </c>
      <c r="K2065" s="11">
        <f>IF(AND(ISNUMBER(H2065),ISNUMBER(I2065),H2065&gt;0,ISNUMBER($B$94)),MAX(0,$B$94-3*SQRT($B$94*(1-$B$94)/H2065)),"")</f>
        <v/>
      </c>
      <c r="L2065" s="11">
        <f>IF(AND(ISNUMBER(H2065),ISNUMBER(I2065),H2065&gt;0,ISNUMBER($B$94)),$B$94+3*SQRT($B$94*(1-$B$94)/H2065),"")</f>
        <v/>
      </c>
      <c r="M2065" s="13">
        <f>IF(AND(ISNUMBER(J2065),ISNUMBER(K2065),ISNUMBER(L2065)),IF(J2065&gt;L2065,"boven UCL",IF(J2065&lt;K2065,"onder LCL","")),"")</f>
        <v/>
      </c>
      <c r="O2065" t="n">
        <v>1959</v>
      </c>
      <c r="P2065" s="7" t="n"/>
      <c r="Q2065" s="7" t="n"/>
      <c r="R2065" s="11">
        <f>IF(AND(ISNUMBER(P2065),ISNUMBER(Q2065),P2065&gt;0,ISNUMBER($B$100)),Q2065/P2065,"")</f>
        <v/>
      </c>
      <c r="S2065" s="11">
        <f>IF(AND(ISNUMBER(P2065),ISNUMBER(Q2065),P2065&gt;0,ISNUMBER($B$100)),MAX(0,$B$100-3*SQRT($B$100/P2065)),"")</f>
        <v/>
      </c>
      <c r="T2065" s="11">
        <f>IF(AND(ISNUMBER(P2065),ISNUMBER(Q2065),P2065&gt;0,ISNUMBER($B$100)),$B$100+3*SQRT($B$100/P2065),"")</f>
        <v/>
      </c>
      <c r="U2065" s="13">
        <f>IF(AND(ISNUMBER(R2065),ISNUMBER(S2065),ISNUMBER(T2065)),IF(R2065&gt;T2065,"boven UCL",IF(R2065&lt;S2065,"onder LCL","")),"")</f>
        <v/>
      </c>
    </row>
    <row r="2066">
      <c r="A2066" t="n">
        <v>1960</v>
      </c>
      <c r="B2066" s="7" t="n"/>
      <c r="C2066" s="11">
        <f>IF(AND(ISNUMBER(B2066),ISNUMBER(B2065)),ABS(B2066-B2065),"")</f>
        <v/>
      </c>
      <c r="D2066" s="13">
        <f>IF(AND(ISNUMBER(B2066),ISNUMBER($B$88),ISNUMBER($D$88)),IF(B2066&gt;$D$88,"boven UCL",IF(B2066&lt;$B$88,"onder LCL","")),"")</f>
        <v/>
      </c>
      <c r="E2066" s="13">
        <f>IF(AND(ISNUMBER(C2066),ISNUMBER($B$89),ISNUMBER($D$89)),IF(C2066&gt;$D$89,"boven UCL",IF(C2066&lt;$B$89,"onder LCL","")),"")</f>
        <v/>
      </c>
      <c r="G2066" t="n">
        <v>1960</v>
      </c>
      <c r="H2066" s="7" t="n"/>
      <c r="I2066" s="7" t="n"/>
      <c r="J2066" s="11">
        <f>IF(AND(ISNUMBER(H2066),ISNUMBER(I2066),H2066&gt;0,ISNUMBER($B$94)),I2066/H2066,"")</f>
        <v/>
      </c>
      <c r="K2066" s="11">
        <f>IF(AND(ISNUMBER(H2066),ISNUMBER(I2066),H2066&gt;0,ISNUMBER($B$94)),MAX(0,$B$94-3*SQRT($B$94*(1-$B$94)/H2066)),"")</f>
        <v/>
      </c>
      <c r="L2066" s="11">
        <f>IF(AND(ISNUMBER(H2066),ISNUMBER(I2066),H2066&gt;0,ISNUMBER($B$94)),$B$94+3*SQRT($B$94*(1-$B$94)/H2066),"")</f>
        <v/>
      </c>
      <c r="M2066" s="13">
        <f>IF(AND(ISNUMBER(J2066),ISNUMBER(K2066),ISNUMBER(L2066)),IF(J2066&gt;L2066,"boven UCL",IF(J2066&lt;K2066,"onder LCL","")),"")</f>
        <v/>
      </c>
      <c r="O2066" t="n">
        <v>1960</v>
      </c>
      <c r="P2066" s="7" t="n"/>
      <c r="Q2066" s="7" t="n"/>
      <c r="R2066" s="11">
        <f>IF(AND(ISNUMBER(P2066),ISNUMBER(Q2066),P2066&gt;0,ISNUMBER($B$100)),Q2066/P2066,"")</f>
        <v/>
      </c>
      <c r="S2066" s="11">
        <f>IF(AND(ISNUMBER(P2066),ISNUMBER(Q2066),P2066&gt;0,ISNUMBER($B$100)),MAX(0,$B$100-3*SQRT($B$100/P2066)),"")</f>
        <v/>
      </c>
      <c r="T2066" s="11">
        <f>IF(AND(ISNUMBER(P2066),ISNUMBER(Q2066),P2066&gt;0,ISNUMBER($B$100)),$B$100+3*SQRT($B$100/P2066),"")</f>
        <v/>
      </c>
      <c r="U2066" s="13">
        <f>IF(AND(ISNUMBER(R2066),ISNUMBER(S2066),ISNUMBER(T2066)),IF(R2066&gt;T2066,"boven UCL",IF(R2066&lt;S2066,"onder LCL","")),"")</f>
        <v/>
      </c>
    </row>
    <row r="2067">
      <c r="A2067" t="n">
        <v>1961</v>
      </c>
      <c r="B2067" s="7" t="n"/>
      <c r="C2067" s="11">
        <f>IF(AND(ISNUMBER(B2067),ISNUMBER(B2066)),ABS(B2067-B2066),"")</f>
        <v/>
      </c>
      <c r="D2067" s="13">
        <f>IF(AND(ISNUMBER(B2067),ISNUMBER($B$88),ISNUMBER($D$88)),IF(B2067&gt;$D$88,"boven UCL",IF(B2067&lt;$B$88,"onder LCL","")),"")</f>
        <v/>
      </c>
      <c r="E2067" s="13">
        <f>IF(AND(ISNUMBER(C2067),ISNUMBER($B$89),ISNUMBER($D$89)),IF(C2067&gt;$D$89,"boven UCL",IF(C2067&lt;$B$89,"onder LCL","")),"")</f>
        <v/>
      </c>
      <c r="G2067" t="n">
        <v>1961</v>
      </c>
      <c r="H2067" s="7" t="n"/>
      <c r="I2067" s="7" t="n"/>
      <c r="J2067" s="11">
        <f>IF(AND(ISNUMBER(H2067),ISNUMBER(I2067),H2067&gt;0,ISNUMBER($B$94)),I2067/H2067,"")</f>
        <v/>
      </c>
      <c r="K2067" s="11">
        <f>IF(AND(ISNUMBER(H2067),ISNUMBER(I2067),H2067&gt;0,ISNUMBER($B$94)),MAX(0,$B$94-3*SQRT($B$94*(1-$B$94)/H2067)),"")</f>
        <v/>
      </c>
      <c r="L2067" s="11">
        <f>IF(AND(ISNUMBER(H2067),ISNUMBER(I2067),H2067&gt;0,ISNUMBER($B$94)),$B$94+3*SQRT($B$94*(1-$B$94)/H2067),"")</f>
        <v/>
      </c>
      <c r="M2067" s="13">
        <f>IF(AND(ISNUMBER(J2067),ISNUMBER(K2067),ISNUMBER(L2067)),IF(J2067&gt;L2067,"boven UCL",IF(J2067&lt;K2067,"onder LCL","")),"")</f>
        <v/>
      </c>
      <c r="O2067" t="n">
        <v>1961</v>
      </c>
      <c r="P2067" s="7" t="n"/>
      <c r="Q2067" s="7" t="n"/>
      <c r="R2067" s="11">
        <f>IF(AND(ISNUMBER(P2067),ISNUMBER(Q2067),P2067&gt;0,ISNUMBER($B$100)),Q2067/P2067,"")</f>
        <v/>
      </c>
      <c r="S2067" s="11">
        <f>IF(AND(ISNUMBER(P2067),ISNUMBER(Q2067),P2067&gt;0,ISNUMBER($B$100)),MAX(0,$B$100-3*SQRT($B$100/P2067)),"")</f>
        <v/>
      </c>
      <c r="T2067" s="11">
        <f>IF(AND(ISNUMBER(P2067),ISNUMBER(Q2067),P2067&gt;0,ISNUMBER($B$100)),$B$100+3*SQRT($B$100/P2067),"")</f>
        <v/>
      </c>
      <c r="U2067" s="13">
        <f>IF(AND(ISNUMBER(R2067),ISNUMBER(S2067),ISNUMBER(T2067)),IF(R2067&gt;T2067,"boven UCL",IF(R2067&lt;S2067,"onder LCL","")),"")</f>
        <v/>
      </c>
    </row>
    <row r="2068">
      <c r="A2068" t="n">
        <v>1962</v>
      </c>
      <c r="B2068" s="7" t="n"/>
      <c r="C2068" s="11">
        <f>IF(AND(ISNUMBER(B2068),ISNUMBER(B2067)),ABS(B2068-B2067),"")</f>
        <v/>
      </c>
      <c r="D2068" s="13">
        <f>IF(AND(ISNUMBER(B2068),ISNUMBER($B$88),ISNUMBER($D$88)),IF(B2068&gt;$D$88,"boven UCL",IF(B2068&lt;$B$88,"onder LCL","")),"")</f>
        <v/>
      </c>
      <c r="E2068" s="13">
        <f>IF(AND(ISNUMBER(C2068),ISNUMBER($B$89),ISNUMBER($D$89)),IF(C2068&gt;$D$89,"boven UCL",IF(C2068&lt;$B$89,"onder LCL","")),"")</f>
        <v/>
      </c>
      <c r="G2068" t="n">
        <v>1962</v>
      </c>
      <c r="H2068" s="7" t="n"/>
      <c r="I2068" s="7" t="n"/>
      <c r="J2068" s="11">
        <f>IF(AND(ISNUMBER(H2068),ISNUMBER(I2068),H2068&gt;0,ISNUMBER($B$94)),I2068/H2068,"")</f>
        <v/>
      </c>
      <c r="K2068" s="11">
        <f>IF(AND(ISNUMBER(H2068),ISNUMBER(I2068),H2068&gt;0,ISNUMBER($B$94)),MAX(0,$B$94-3*SQRT($B$94*(1-$B$94)/H2068)),"")</f>
        <v/>
      </c>
      <c r="L2068" s="11">
        <f>IF(AND(ISNUMBER(H2068),ISNUMBER(I2068),H2068&gt;0,ISNUMBER($B$94)),$B$94+3*SQRT($B$94*(1-$B$94)/H2068),"")</f>
        <v/>
      </c>
      <c r="M2068" s="13">
        <f>IF(AND(ISNUMBER(J2068),ISNUMBER(K2068),ISNUMBER(L2068)),IF(J2068&gt;L2068,"boven UCL",IF(J2068&lt;K2068,"onder LCL","")),"")</f>
        <v/>
      </c>
      <c r="O2068" t="n">
        <v>1962</v>
      </c>
      <c r="P2068" s="7" t="n"/>
      <c r="Q2068" s="7" t="n"/>
      <c r="R2068" s="11">
        <f>IF(AND(ISNUMBER(P2068),ISNUMBER(Q2068),P2068&gt;0,ISNUMBER($B$100)),Q2068/P2068,"")</f>
        <v/>
      </c>
      <c r="S2068" s="11">
        <f>IF(AND(ISNUMBER(P2068),ISNUMBER(Q2068),P2068&gt;0,ISNUMBER($B$100)),MAX(0,$B$100-3*SQRT($B$100/P2068)),"")</f>
        <v/>
      </c>
      <c r="T2068" s="11">
        <f>IF(AND(ISNUMBER(P2068),ISNUMBER(Q2068),P2068&gt;0,ISNUMBER($B$100)),$B$100+3*SQRT($B$100/P2068),"")</f>
        <v/>
      </c>
      <c r="U2068" s="13">
        <f>IF(AND(ISNUMBER(R2068),ISNUMBER(S2068),ISNUMBER(T2068)),IF(R2068&gt;T2068,"boven UCL",IF(R2068&lt;S2068,"onder LCL","")),"")</f>
        <v/>
      </c>
    </row>
    <row r="2069">
      <c r="A2069" t="n">
        <v>1963</v>
      </c>
      <c r="B2069" s="7" t="n"/>
      <c r="C2069" s="11">
        <f>IF(AND(ISNUMBER(B2069),ISNUMBER(B2068)),ABS(B2069-B2068),"")</f>
        <v/>
      </c>
      <c r="D2069" s="13">
        <f>IF(AND(ISNUMBER(B2069),ISNUMBER($B$88),ISNUMBER($D$88)),IF(B2069&gt;$D$88,"boven UCL",IF(B2069&lt;$B$88,"onder LCL","")),"")</f>
        <v/>
      </c>
      <c r="E2069" s="13">
        <f>IF(AND(ISNUMBER(C2069),ISNUMBER($B$89),ISNUMBER($D$89)),IF(C2069&gt;$D$89,"boven UCL",IF(C2069&lt;$B$89,"onder LCL","")),"")</f>
        <v/>
      </c>
      <c r="G2069" t="n">
        <v>1963</v>
      </c>
      <c r="H2069" s="7" t="n"/>
      <c r="I2069" s="7" t="n"/>
      <c r="J2069" s="11">
        <f>IF(AND(ISNUMBER(H2069),ISNUMBER(I2069),H2069&gt;0,ISNUMBER($B$94)),I2069/H2069,"")</f>
        <v/>
      </c>
      <c r="K2069" s="11">
        <f>IF(AND(ISNUMBER(H2069),ISNUMBER(I2069),H2069&gt;0,ISNUMBER($B$94)),MAX(0,$B$94-3*SQRT($B$94*(1-$B$94)/H2069)),"")</f>
        <v/>
      </c>
      <c r="L2069" s="11">
        <f>IF(AND(ISNUMBER(H2069),ISNUMBER(I2069),H2069&gt;0,ISNUMBER($B$94)),$B$94+3*SQRT($B$94*(1-$B$94)/H2069),"")</f>
        <v/>
      </c>
      <c r="M2069" s="13">
        <f>IF(AND(ISNUMBER(J2069),ISNUMBER(K2069),ISNUMBER(L2069)),IF(J2069&gt;L2069,"boven UCL",IF(J2069&lt;K2069,"onder LCL","")),"")</f>
        <v/>
      </c>
      <c r="O2069" t="n">
        <v>1963</v>
      </c>
      <c r="P2069" s="7" t="n"/>
      <c r="Q2069" s="7" t="n"/>
      <c r="R2069" s="11">
        <f>IF(AND(ISNUMBER(P2069),ISNUMBER(Q2069),P2069&gt;0,ISNUMBER($B$100)),Q2069/P2069,"")</f>
        <v/>
      </c>
      <c r="S2069" s="11">
        <f>IF(AND(ISNUMBER(P2069),ISNUMBER(Q2069),P2069&gt;0,ISNUMBER($B$100)),MAX(0,$B$100-3*SQRT($B$100/P2069)),"")</f>
        <v/>
      </c>
      <c r="T2069" s="11">
        <f>IF(AND(ISNUMBER(P2069),ISNUMBER(Q2069),P2069&gt;0,ISNUMBER($B$100)),$B$100+3*SQRT($B$100/P2069),"")</f>
        <v/>
      </c>
      <c r="U2069" s="13">
        <f>IF(AND(ISNUMBER(R2069),ISNUMBER(S2069),ISNUMBER(T2069)),IF(R2069&gt;T2069,"boven UCL",IF(R2069&lt;S2069,"onder LCL","")),"")</f>
        <v/>
      </c>
    </row>
    <row r="2070">
      <c r="A2070" t="n">
        <v>1964</v>
      </c>
      <c r="B2070" s="7" t="n"/>
      <c r="C2070" s="11">
        <f>IF(AND(ISNUMBER(B2070),ISNUMBER(B2069)),ABS(B2070-B2069),"")</f>
        <v/>
      </c>
      <c r="D2070" s="13">
        <f>IF(AND(ISNUMBER(B2070),ISNUMBER($B$88),ISNUMBER($D$88)),IF(B2070&gt;$D$88,"boven UCL",IF(B2070&lt;$B$88,"onder LCL","")),"")</f>
        <v/>
      </c>
      <c r="E2070" s="13">
        <f>IF(AND(ISNUMBER(C2070),ISNUMBER($B$89),ISNUMBER($D$89)),IF(C2070&gt;$D$89,"boven UCL",IF(C2070&lt;$B$89,"onder LCL","")),"")</f>
        <v/>
      </c>
      <c r="G2070" t="n">
        <v>1964</v>
      </c>
      <c r="H2070" s="7" t="n"/>
      <c r="I2070" s="7" t="n"/>
      <c r="J2070" s="11">
        <f>IF(AND(ISNUMBER(H2070),ISNUMBER(I2070),H2070&gt;0,ISNUMBER($B$94)),I2070/H2070,"")</f>
        <v/>
      </c>
      <c r="K2070" s="11">
        <f>IF(AND(ISNUMBER(H2070),ISNUMBER(I2070),H2070&gt;0,ISNUMBER($B$94)),MAX(0,$B$94-3*SQRT($B$94*(1-$B$94)/H2070)),"")</f>
        <v/>
      </c>
      <c r="L2070" s="11">
        <f>IF(AND(ISNUMBER(H2070),ISNUMBER(I2070),H2070&gt;0,ISNUMBER($B$94)),$B$94+3*SQRT($B$94*(1-$B$94)/H2070),"")</f>
        <v/>
      </c>
      <c r="M2070" s="13">
        <f>IF(AND(ISNUMBER(J2070),ISNUMBER(K2070),ISNUMBER(L2070)),IF(J2070&gt;L2070,"boven UCL",IF(J2070&lt;K2070,"onder LCL","")),"")</f>
        <v/>
      </c>
      <c r="O2070" t="n">
        <v>1964</v>
      </c>
      <c r="P2070" s="7" t="n"/>
      <c r="Q2070" s="7" t="n"/>
      <c r="R2070" s="11">
        <f>IF(AND(ISNUMBER(P2070),ISNUMBER(Q2070),P2070&gt;0,ISNUMBER($B$100)),Q2070/P2070,"")</f>
        <v/>
      </c>
      <c r="S2070" s="11">
        <f>IF(AND(ISNUMBER(P2070),ISNUMBER(Q2070),P2070&gt;0,ISNUMBER($B$100)),MAX(0,$B$100-3*SQRT($B$100/P2070)),"")</f>
        <v/>
      </c>
      <c r="T2070" s="11">
        <f>IF(AND(ISNUMBER(P2070),ISNUMBER(Q2070),P2070&gt;0,ISNUMBER($B$100)),$B$100+3*SQRT($B$100/P2070),"")</f>
        <v/>
      </c>
      <c r="U2070" s="13">
        <f>IF(AND(ISNUMBER(R2070),ISNUMBER(S2070),ISNUMBER(T2070)),IF(R2070&gt;T2070,"boven UCL",IF(R2070&lt;S2070,"onder LCL","")),"")</f>
        <v/>
      </c>
    </row>
    <row r="2071">
      <c r="A2071" t="n">
        <v>1965</v>
      </c>
      <c r="B2071" s="7" t="n"/>
      <c r="C2071" s="11">
        <f>IF(AND(ISNUMBER(B2071),ISNUMBER(B2070)),ABS(B2071-B2070),"")</f>
        <v/>
      </c>
      <c r="D2071" s="13">
        <f>IF(AND(ISNUMBER(B2071),ISNUMBER($B$88),ISNUMBER($D$88)),IF(B2071&gt;$D$88,"boven UCL",IF(B2071&lt;$B$88,"onder LCL","")),"")</f>
        <v/>
      </c>
      <c r="E2071" s="13">
        <f>IF(AND(ISNUMBER(C2071),ISNUMBER($B$89),ISNUMBER($D$89)),IF(C2071&gt;$D$89,"boven UCL",IF(C2071&lt;$B$89,"onder LCL","")),"")</f>
        <v/>
      </c>
      <c r="G2071" t="n">
        <v>1965</v>
      </c>
      <c r="H2071" s="7" t="n"/>
      <c r="I2071" s="7" t="n"/>
      <c r="J2071" s="11">
        <f>IF(AND(ISNUMBER(H2071),ISNUMBER(I2071),H2071&gt;0,ISNUMBER($B$94)),I2071/H2071,"")</f>
        <v/>
      </c>
      <c r="K2071" s="11">
        <f>IF(AND(ISNUMBER(H2071),ISNUMBER(I2071),H2071&gt;0,ISNUMBER($B$94)),MAX(0,$B$94-3*SQRT($B$94*(1-$B$94)/H2071)),"")</f>
        <v/>
      </c>
      <c r="L2071" s="11">
        <f>IF(AND(ISNUMBER(H2071),ISNUMBER(I2071),H2071&gt;0,ISNUMBER($B$94)),$B$94+3*SQRT($B$94*(1-$B$94)/H2071),"")</f>
        <v/>
      </c>
      <c r="M2071" s="13">
        <f>IF(AND(ISNUMBER(J2071),ISNUMBER(K2071),ISNUMBER(L2071)),IF(J2071&gt;L2071,"boven UCL",IF(J2071&lt;K2071,"onder LCL","")),"")</f>
        <v/>
      </c>
      <c r="O2071" t="n">
        <v>1965</v>
      </c>
      <c r="P2071" s="7" t="n"/>
      <c r="Q2071" s="7" t="n"/>
      <c r="R2071" s="11">
        <f>IF(AND(ISNUMBER(P2071),ISNUMBER(Q2071),P2071&gt;0,ISNUMBER($B$100)),Q2071/P2071,"")</f>
        <v/>
      </c>
      <c r="S2071" s="11">
        <f>IF(AND(ISNUMBER(P2071),ISNUMBER(Q2071),P2071&gt;0,ISNUMBER($B$100)),MAX(0,$B$100-3*SQRT($B$100/P2071)),"")</f>
        <v/>
      </c>
      <c r="T2071" s="11">
        <f>IF(AND(ISNUMBER(P2071),ISNUMBER(Q2071),P2071&gt;0,ISNUMBER($B$100)),$B$100+3*SQRT($B$100/P2071),"")</f>
        <v/>
      </c>
      <c r="U2071" s="13">
        <f>IF(AND(ISNUMBER(R2071),ISNUMBER(S2071),ISNUMBER(T2071)),IF(R2071&gt;T2071,"boven UCL",IF(R2071&lt;S2071,"onder LCL","")),"")</f>
        <v/>
      </c>
    </row>
    <row r="2072">
      <c r="A2072" t="n">
        <v>1966</v>
      </c>
      <c r="B2072" s="7" t="n"/>
      <c r="C2072" s="11">
        <f>IF(AND(ISNUMBER(B2072),ISNUMBER(B2071)),ABS(B2072-B2071),"")</f>
        <v/>
      </c>
      <c r="D2072" s="13">
        <f>IF(AND(ISNUMBER(B2072),ISNUMBER($B$88),ISNUMBER($D$88)),IF(B2072&gt;$D$88,"boven UCL",IF(B2072&lt;$B$88,"onder LCL","")),"")</f>
        <v/>
      </c>
      <c r="E2072" s="13">
        <f>IF(AND(ISNUMBER(C2072),ISNUMBER($B$89),ISNUMBER($D$89)),IF(C2072&gt;$D$89,"boven UCL",IF(C2072&lt;$B$89,"onder LCL","")),"")</f>
        <v/>
      </c>
      <c r="G2072" t="n">
        <v>1966</v>
      </c>
      <c r="H2072" s="7" t="n"/>
      <c r="I2072" s="7" t="n"/>
      <c r="J2072" s="11">
        <f>IF(AND(ISNUMBER(H2072),ISNUMBER(I2072),H2072&gt;0,ISNUMBER($B$94)),I2072/H2072,"")</f>
        <v/>
      </c>
      <c r="K2072" s="11">
        <f>IF(AND(ISNUMBER(H2072),ISNUMBER(I2072),H2072&gt;0,ISNUMBER($B$94)),MAX(0,$B$94-3*SQRT($B$94*(1-$B$94)/H2072)),"")</f>
        <v/>
      </c>
      <c r="L2072" s="11">
        <f>IF(AND(ISNUMBER(H2072),ISNUMBER(I2072),H2072&gt;0,ISNUMBER($B$94)),$B$94+3*SQRT($B$94*(1-$B$94)/H2072),"")</f>
        <v/>
      </c>
      <c r="M2072" s="13">
        <f>IF(AND(ISNUMBER(J2072),ISNUMBER(K2072),ISNUMBER(L2072)),IF(J2072&gt;L2072,"boven UCL",IF(J2072&lt;K2072,"onder LCL","")),"")</f>
        <v/>
      </c>
      <c r="O2072" t="n">
        <v>1966</v>
      </c>
      <c r="P2072" s="7" t="n"/>
      <c r="Q2072" s="7" t="n"/>
      <c r="R2072" s="11">
        <f>IF(AND(ISNUMBER(P2072),ISNUMBER(Q2072),P2072&gt;0,ISNUMBER($B$100)),Q2072/P2072,"")</f>
        <v/>
      </c>
      <c r="S2072" s="11">
        <f>IF(AND(ISNUMBER(P2072),ISNUMBER(Q2072),P2072&gt;0,ISNUMBER($B$100)),MAX(0,$B$100-3*SQRT($B$100/P2072)),"")</f>
        <v/>
      </c>
      <c r="T2072" s="11">
        <f>IF(AND(ISNUMBER(P2072),ISNUMBER(Q2072),P2072&gt;0,ISNUMBER($B$100)),$B$100+3*SQRT($B$100/P2072),"")</f>
        <v/>
      </c>
      <c r="U2072" s="13">
        <f>IF(AND(ISNUMBER(R2072),ISNUMBER(S2072),ISNUMBER(T2072)),IF(R2072&gt;T2072,"boven UCL",IF(R2072&lt;S2072,"onder LCL","")),"")</f>
        <v/>
      </c>
    </row>
    <row r="2073">
      <c r="A2073" t="n">
        <v>1967</v>
      </c>
      <c r="B2073" s="7" t="n"/>
      <c r="C2073" s="11">
        <f>IF(AND(ISNUMBER(B2073),ISNUMBER(B2072)),ABS(B2073-B2072),"")</f>
        <v/>
      </c>
      <c r="D2073" s="13">
        <f>IF(AND(ISNUMBER(B2073),ISNUMBER($B$88),ISNUMBER($D$88)),IF(B2073&gt;$D$88,"boven UCL",IF(B2073&lt;$B$88,"onder LCL","")),"")</f>
        <v/>
      </c>
      <c r="E2073" s="13">
        <f>IF(AND(ISNUMBER(C2073),ISNUMBER($B$89),ISNUMBER($D$89)),IF(C2073&gt;$D$89,"boven UCL",IF(C2073&lt;$B$89,"onder LCL","")),"")</f>
        <v/>
      </c>
      <c r="G2073" t="n">
        <v>1967</v>
      </c>
      <c r="H2073" s="7" t="n"/>
      <c r="I2073" s="7" t="n"/>
      <c r="J2073" s="11">
        <f>IF(AND(ISNUMBER(H2073),ISNUMBER(I2073),H2073&gt;0,ISNUMBER($B$94)),I2073/H2073,"")</f>
        <v/>
      </c>
      <c r="K2073" s="11">
        <f>IF(AND(ISNUMBER(H2073),ISNUMBER(I2073),H2073&gt;0,ISNUMBER($B$94)),MAX(0,$B$94-3*SQRT($B$94*(1-$B$94)/H2073)),"")</f>
        <v/>
      </c>
      <c r="L2073" s="11">
        <f>IF(AND(ISNUMBER(H2073),ISNUMBER(I2073),H2073&gt;0,ISNUMBER($B$94)),$B$94+3*SQRT($B$94*(1-$B$94)/H2073),"")</f>
        <v/>
      </c>
      <c r="M2073" s="13">
        <f>IF(AND(ISNUMBER(J2073),ISNUMBER(K2073),ISNUMBER(L2073)),IF(J2073&gt;L2073,"boven UCL",IF(J2073&lt;K2073,"onder LCL","")),"")</f>
        <v/>
      </c>
      <c r="O2073" t="n">
        <v>1967</v>
      </c>
      <c r="P2073" s="7" t="n"/>
      <c r="Q2073" s="7" t="n"/>
      <c r="R2073" s="11">
        <f>IF(AND(ISNUMBER(P2073),ISNUMBER(Q2073),P2073&gt;0,ISNUMBER($B$100)),Q2073/P2073,"")</f>
        <v/>
      </c>
      <c r="S2073" s="11">
        <f>IF(AND(ISNUMBER(P2073),ISNUMBER(Q2073),P2073&gt;0,ISNUMBER($B$100)),MAX(0,$B$100-3*SQRT($B$100/P2073)),"")</f>
        <v/>
      </c>
      <c r="T2073" s="11">
        <f>IF(AND(ISNUMBER(P2073),ISNUMBER(Q2073),P2073&gt;0,ISNUMBER($B$100)),$B$100+3*SQRT($B$100/P2073),"")</f>
        <v/>
      </c>
      <c r="U2073" s="13">
        <f>IF(AND(ISNUMBER(R2073),ISNUMBER(S2073),ISNUMBER(T2073)),IF(R2073&gt;T2073,"boven UCL",IF(R2073&lt;S2073,"onder LCL","")),"")</f>
        <v/>
      </c>
    </row>
    <row r="2074">
      <c r="A2074" t="n">
        <v>1968</v>
      </c>
      <c r="B2074" s="7" t="n"/>
      <c r="C2074" s="11">
        <f>IF(AND(ISNUMBER(B2074),ISNUMBER(B2073)),ABS(B2074-B2073),"")</f>
        <v/>
      </c>
      <c r="D2074" s="13">
        <f>IF(AND(ISNUMBER(B2074),ISNUMBER($B$88),ISNUMBER($D$88)),IF(B2074&gt;$D$88,"boven UCL",IF(B2074&lt;$B$88,"onder LCL","")),"")</f>
        <v/>
      </c>
      <c r="E2074" s="13">
        <f>IF(AND(ISNUMBER(C2074),ISNUMBER($B$89),ISNUMBER($D$89)),IF(C2074&gt;$D$89,"boven UCL",IF(C2074&lt;$B$89,"onder LCL","")),"")</f>
        <v/>
      </c>
      <c r="G2074" t="n">
        <v>1968</v>
      </c>
      <c r="H2074" s="7" t="n"/>
      <c r="I2074" s="7" t="n"/>
      <c r="J2074" s="11">
        <f>IF(AND(ISNUMBER(H2074),ISNUMBER(I2074),H2074&gt;0,ISNUMBER($B$94)),I2074/H2074,"")</f>
        <v/>
      </c>
      <c r="K2074" s="11">
        <f>IF(AND(ISNUMBER(H2074),ISNUMBER(I2074),H2074&gt;0,ISNUMBER($B$94)),MAX(0,$B$94-3*SQRT($B$94*(1-$B$94)/H2074)),"")</f>
        <v/>
      </c>
      <c r="L2074" s="11">
        <f>IF(AND(ISNUMBER(H2074),ISNUMBER(I2074),H2074&gt;0,ISNUMBER($B$94)),$B$94+3*SQRT($B$94*(1-$B$94)/H2074),"")</f>
        <v/>
      </c>
      <c r="M2074" s="13">
        <f>IF(AND(ISNUMBER(J2074),ISNUMBER(K2074),ISNUMBER(L2074)),IF(J2074&gt;L2074,"boven UCL",IF(J2074&lt;K2074,"onder LCL","")),"")</f>
        <v/>
      </c>
      <c r="O2074" t="n">
        <v>1968</v>
      </c>
      <c r="P2074" s="7" t="n"/>
      <c r="Q2074" s="7" t="n"/>
      <c r="R2074" s="11">
        <f>IF(AND(ISNUMBER(P2074),ISNUMBER(Q2074),P2074&gt;0,ISNUMBER($B$100)),Q2074/P2074,"")</f>
        <v/>
      </c>
      <c r="S2074" s="11">
        <f>IF(AND(ISNUMBER(P2074),ISNUMBER(Q2074),P2074&gt;0,ISNUMBER($B$100)),MAX(0,$B$100-3*SQRT($B$100/P2074)),"")</f>
        <v/>
      </c>
      <c r="T2074" s="11">
        <f>IF(AND(ISNUMBER(P2074),ISNUMBER(Q2074),P2074&gt;0,ISNUMBER($B$100)),$B$100+3*SQRT($B$100/P2074),"")</f>
        <v/>
      </c>
      <c r="U2074" s="13">
        <f>IF(AND(ISNUMBER(R2074),ISNUMBER(S2074),ISNUMBER(T2074)),IF(R2074&gt;T2074,"boven UCL",IF(R2074&lt;S2074,"onder LCL","")),"")</f>
        <v/>
      </c>
    </row>
    <row r="2075">
      <c r="A2075" t="n">
        <v>1969</v>
      </c>
      <c r="B2075" s="7" t="n"/>
      <c r="C2075" s="11">
        <f>IF(AND(ISNUMBER(B2075),ISNUMBER(B2074)),ABS(B2075-B2074),"")</f>
        <v/>
      </c>
      <c r="D2075" s="13">
        <f>IF(AND(ISNUMBER(B2075),ISNUMBER($B$88),ISNUMBER($D$88)),IF(B2075&gt;$D$88,"boven UCL",IF(B2075&lt;$B$88,"onder LCL","")),"")</f>
        <v/>
      </c>
      <c r="E2075" s="13">
        <f>IF(AND(ISNUMBER(C2075),ISNUMBER($B$89),ISNUMBER($D$89)),IF(C2075&gt;$D$89,"boven UCL",IF(C2075&lt;$B$89,"onder LCL","")),"")</f>
        <v/>
      </c>
      <c r="G2075" t="n">
        <v>1969</v>
      </c>
      <c r="H2075" s="7" t="n"/>
      <c r="I2075" s="7" t="n"/>
      <c r="J2075" s="11">
        <f>IF(AND(ISNUMBER(H2075),ISNUMBER(I2075),H2075&gt;0,ISNUMBER($B$94)),I2075/H2075,"")</f>
        <v/>
      </c>
      <c r="K2075" s="11">
        <f>IF(AND(ISNUMBER(H2075),ISNUMBER(I2075),H2075&gt;0,ISNUMBER($B$94)),MAX(0,$B$94-3*SQRT($B$94*(1-$B$94)/H2075)),"")</f>
        <v/>
      </c>
      <c r="L2075" s="11">
        <f>IF(AND(ISNUMBER(H2075),ISNUMBER(I2075),H2075&gt;0,ISNUMBER($B$94)),$B$94+3*SQRT($B$94*(1-$B$94)/H2075),"")</f>
        <v/>
      </c>
      <c r="M2075" s="13">
        <f>IF(AND(ISNUMBER(J2075),ISNUMBER(K2075),ISNUMBER(L2075)),IF(J2075&gt;L2075,"boven UCL",IF(J2075&lt;K2075,"onder LCL","")),"")</f>
        <v/>
      </c>
      <c r="O2075" t="n">
        <v>1969</v>
      </c>
      <c r="P2075" s="7" t="n"/>
      <c r="Q2075" s="7" t="n"/>
      <c r="R2075" s="11">
        <f>IF(AND(ISNUMBER(P2075),ISNUMBER(Q2075),P2075&gt;0,ISNUMBER($B$100)),Q2075/P2075,"")</f>
        <v/>
      </c>
      <c r="S2075" s="11">
        <f>IF(AND(ISNUMBER(P2075),ISNUMBER(Q2075),P2075&gt;0,ISNUMBER($B$100)),MAX(0,$B$100-3*SQRT($B$100/P2075)),"")</f>
        <v/>
      </c>
      <c r="T2075" s="11">
        <f>IF(AND(ISNUMBER(P2075),ISNUMBER(Q2075),P2075&gt;0,ISNUMBER($B$100)),$B$100+3*SQRT($B$100/P2075),"")</f>
        <v/>
      </c>
      <c r="U2075" s="13">
        <f>IF(AND(ISNUMBER(R2075),ISNUMBER(S2075),ISNUMBER(T2075)),IF(R2075&gt;T2075,"boven UCL",IF(R2075&lt;S2075,"onder LCL","")),"")</f>
        <v/>
      </c>
    </row>
    <row r="2076">
      <c r="A2076" t="n">
        <v>1970</v>
      </c>
      <c r="B2076" s="7" t="n"/>
      <c r="C2076" s="11">
        <f>IF(AND(ISNUMBER(B2076),ISNUMBER(B2075)),ABS(B2076-B2075),"")</f>
        <v/>
      </c>
      <c r="D2076" s="13">
        <f>IF(AND(ISNUMBER(B2076),ISNUMBER($B$88),ISNUMBER($D$88)),IF(B2076&gt;$D$88,"boven UCL",IF(B2076&lt;$B$88,"onder LCL","")),"")</f>
        <v/>
      </c>
      <c r="E2076" s="13">
        <f>IF(AND(ISNUMBER(C2076),ISNUMBER($B$89),ISNUMBER($D$89)),IF(C2076&gt;$D$89,"boven UCL",IF(C2076&lt;$B$89,"onder LCL","")),"")</f>
        <v/>
      </c>
      <c r="G2076" t="n">
        <v>1970</v>
      </c>
      <c r="H2076" s="7" t="n"/>
      <c r="I2076" s="7" t="n"/>
      <c r="J2076" s="11">
        <f>IF(AND(ISNUMBER(H2076),ISNUMBER(I2076),H2076&gt;0,ISNUMBER($B$94)),I2076/H2076,"")</f>
        <v/>
      </c>
      <c r="K2076" s="11">
        <f>IF(AND(ISNUMBER(H2076),ISNUMBER(I2076),H2076&gt;0,ISNUMBER($B$94)),MAX(0,$B$94-3*SQRT($B$94*(1-$B$94)/H2076)),"")</f>
        <v/>
      </c>
      <c r="L2076" s="11">
        <f>IF(AND(ISNUMBER(H2076),ISNUMBER(I2076),H2076&gt;0,ISNUMBER($B$94)),$B$94+3*SQRT($B$94*(1-$B$94)/H2076),"")</f>
        <v/>
      </c>
      <c r="M2076" s="13">
        <f>IF(AND(ISNUMBER(J2076),ISNUMBER(K2076),ISNUMBER(L2076)),IF(J2076&gt;L2076,"boven UCL",IF(J2076&lt;K2076,"onder LCL","")),"")</f>
        <v/>
      </c>
      <c r="O2076" t="n">
        <v>1970</v>
      </c>
      <c r="P2076" s="7" t="n"/>
      <c r="Q2076" s="7" t="n"/>
      <c r="R2076" s="11">
        <f>IF(AND(ISNUMBER(P2076),ISNUMBER(Q2076),P2076&gt;0,ISNUMBER($B$100)),Q2076/P2076,"")</f>
        <v/>
      </c>
      <c r="S2076" s="11">
        <f>IF(AND(ISNUMBER(P2076),ISNUMBER(Q2076),P2076&gt;0,ISNUMBER($B$100)),MAX(0,$B$100-3*SQRT($B$100/P2076)),"")</f>
        <v/>
      </c>
      <c r="T2076" s="11">
        <f>IF(AND(ISNUMBER(P2076),ISNUMBER(Q2076),P2076&gt;0,ISNUMBER($B$100)),$B$100+3*SQRT($B$100/P2076),"")</f>
        <v/>
      </c>
      <c r="U2076" s="13">
        <f>IF(AND(ISNUMBER(R2076),ISNUMBER(S2076),ISNUMBER(T2076)),IF(R2076&gt;T2076,"boven UCL",IF(R2076&lt;S2076,"onder LCL","")),"")</f>
        <v/>
      </c>
    </row>
    <row r="2077">
      <c r="A2077" t="n">
        <v>1971</v>
      </c>
      <c r="B2077" s="7" t="n"/>
      <c r="C2077" s="11">
        <f>IF(AND(ISNUMBER(B2077),ISNUMBER(B2076)),ABS(B2077-B2076),"")</f>
        <v/>
      </c>
      <c r="D2077" s="13">
        <f>IF(AND(ISNUMBER(B2077),ISNUMBER($B$88),ISNUMBER($D$88)),IF(B2077&gt;$D$88,"boven UCL",IF(B2077&lt;$B$88,"onder LCL","")),"")</f>
        <v/>
      </c>
      <c r="E2077" s="13">
        <f>IF(AND(ISNUMBER(C2077),ISNUMBER($B$89),ISNUMBER($D$89)),IF(C2077&gt;$D$89,"boven UCL",IF(C2077&lt;$B$89,"onder LCL","")),"")</f>
        <v/>
      </c>
      <c r="G2077" t="n">
        <v>1971</v>
      </c>
      <c r="H2077" s="7" t="n"/>
      <c r="I2077" s="7" t="n"/>
      <c r="J2077" s="11">
        <f>IF(AND(ISNUMBER(H2077),ISNUMBER(I2077),H2077&gt;0,ISNUMBER($B$94)),I2077/H2077,"")</f>
        <v/>
      </c>
      <c r="K2077" s="11">
        <f>IF(AND(ISNUMBER(H2077),ISNUMBER(I2077),H2077&gt;0,ISNUMBER($B$94)),MAX(0,$B$94-3*SQRT($B$94*(1-$B$94)/H2077)),"")</f>
        <v/>
      </c>
      <c r="L2077" s="11">
        <f>IF(AND(ISNUMBER(H2077),ISNUMBER(I2077),H2077&gt;0,ISNUMBER($B$94)),$B$94+3*SQRT($B$94*(1-$B$94)/H2077),"")</f>
        <v/>
      </c>
      <c r="M2077" s="13">
        <f>IF(AND(ISNUMBER(J2077),ISNUMBER(K2077),ISNUMBER(L2077)),IF(J2077&gt;L2077,"boven UCL",IF(J2077&lt;K2077,"onder LCL","")),"")</f>
        <v/>
      </c>
      <c r="O2077" t="n">
        <v>1971</v>
      </c>
      <c r="P2077" s="7" t="n"/>
      <c r="Q2077" s="7" t="n"/>
      <c r="R2077" s="11">
        <f>IF(AND(ISNUMBER(P2077),ISNUMBER(Q2077),P2077&gt;0,ISNUMBER($B$100)),Q2077/P2077,"")</f>
        <v/>
      </c>
      <c r="S2077" s="11">
        <f>IF(AND(ISNUMBER(P2077),ISNUMBER(Q2077),P2077&gt;0,ISNUMBER($B$100)),MAX(0,$B$100-3*SQRT($B$100/P2077)),"")</f>
        <v/>
      </c>
      <c r="T2077" s="11">
        <f>IF(AND(ISNUMBER(P2077),ISNUMBER(Q2077),P2077&gt;0,ISNUMBER($B$100)),$B$100+3*SQRT($B$100/P2077),"")</f>
        <v/>
      </c>
      <c r="U2077" s="13">
        <f>IF(AND(ISNUMBER(R2077),ISNUMBER(S2077),ISNUMBER(T2077)),IF(R2077&gt;T2077,"boven UCL",IF(R2077&lt;S2077,"onder LCL","")),"")</f>
        <v/>
      </c>
    </row>
    <row r="2078">
      <c r="A2078" t="n">
        <v>1972</v>
      </c>
      <c r="B2078" s="7" t="n"/>
      <c r="C2078" s="11">
        <f>IF(AND(ISNUMBER(B2078),ISNUMBER(B2077)),ABS(B2078-B2077),"")</f>
        <v/>
      </c>
      <c r="D2078" s="13">
        <f>IF(AND(ISNUMBER(B2078),ISNUMBER($B$88),ISNUMBER($D$88)),IF(B2078&gt;$D$88,"boven UCL",IF(B2078&lt;$B$88,"onder LCL","")),"")</f>
        <v/>
      </c>
      <c r="E2078" s="13">
        <f>IF(AND(ISNUMBER(C2078),ISNUMBER($B$89),ISNUMBER($D$89)),IF(C2078&gt;$D$89,"boven UCL",IF(C2078&lt;$B$89,"onder LCL","")),"")</f>
        <v/>
      </c>
      <c r="G2078" t="n">
        <v>1972</v>
      </c>
      <c r="H2078" s="7" t="n"/>
      <c r="I2078" s="7" t="n"/>
      <c r="J2078" s="11">
        <f>IF(AND(ISNUMBER(H2078),ISNUMBER(I2078),H2078&gt;0,ISNUMBER($B$94)),I2078/H2078,"")</f>
        <v/>
      </c>
      <c r="K2078" s="11">
        <f>IF(AND(ISNUMBER(H2078),ISNUMBER(I2078),H2078&gt;0,ISNUMBER($B$94)),MAX(0,$B$94-3*SQRT($B$94*(1-$B$94)/H2078)),"")</f>
        <v/>
      </c>
      <c r="L2078" s="11">
        <f>IF(AND(ISNUMBER(H2078),ISNUMBER(I2078),H2078&gt;0,ISNUMBER($B$94)),$B$94+3*SQRT($B$94*(1-$B$94)/H2078),"")</f>
        <v/>
      </c>
      <c r="M2078" s="13">
        <f>IF(AND(ISNUMBER(J2078),ISNUMBER(K2078),ISNUMBER(L2078)),IF(J2078&gt;L2078,"boven UCL",IF(J2078&lt;K2078,"onder LCL","")),"")</f>
        <v/>
      </c>
      <c r="O2078" t="n">
        <v>1972</v>
      </c>
      <c r="P2078" s="7" t="n"/>
      <c r="Q2078" s="7" t="n"/>
      <c r="R2078" s="11">
        <f>IF(AND(ISNUMBER(P2078),ISNUMBER(Q2078),P2078&gt;0,ISNUMBER($B$100)),Q2078/P2078,"")</f>
        <v/>
      </c>
      <c r="S2078" s="11">
        <f>IF(AND(ISNUMBER(P2078),ISNUMBER(Q2078),P2078&gt;0,ISNUMBER($B$100)),MAX(0,$B$100-3*SQRT($B$100/P2078)),"")</f>
        <v/>
      </c>
      <c r="T2078" s="11">
        <f>IF(AND(ISNUMBER(P2078),ISNUMBER(Q2078),P2078&gt;0,ISNUMBER($B$100)),$B$100+3*SQRT($B$100/P2078),"")</f>
        <v/>
      </c>
      <c r="U2078" s="13">
        <f>IF(AND(ISNUMBER(R2078),ISNUMBER(S2078),ISNUMBER(T2078)),IF(R2078&gt;T2078,"boven UCL",IF(R2078&lt;S2078,"onder LCL","")),"")</f>
        <v/>
      </c>
    </row>
    <row r="2079">
      <c r="A2079" t="n">
        <v>1973</v>
      </c>
      <c r="B2079" s="7" t="n"/>
      <c r="C2079" s="11">
        <f>IF(AND(ISNUMBER(B2079),ISNUMBER(B2078)),ABS(B2079-B2078),"")</f>
        <v/>
      </c>
      <c r="D2079" s="13">
        <f>IF(AND(ISNUMBER(B2079),ISNUMBER($B$88),ISNUMBER($D$88)),IF(B2079&gt;$D$88,"boven UCL",IF(B2079&lt;$B$88,"onder LCL","")),"")</f>
        <v/>
      </c>
      <c r="E2079" s="13">
        <f>IF(AND(ISNUMBER(C2079),ISNUMBER($B$89),ISNUMBER($D$89)),IF(C2079&gt;$D$89,"boven UCL",IF(C2079&lt;$B$89,"onder LCL","")),"")</f>
        <v/>
      </c>
      <c r="G2079" t="n">
        <v>1973</v>
      </c>
      <c r="H2079" s="7" t="n"/>
      <c r="I2079" s="7" t="n"/>
      <c r="J2079" s="11">
        <f>IF(AND(ISNUMBER(H2079),ISNUMBER(I2079),H2079&gt;0,ISNUMBER($B$94)),I2079/H2079,"")</f>
        <v/>
      </c>
      <c r="K2079" s="11">
        <f>IF(AND(ISNUMBER(H2079),ISNUMBER(I2079),H2079&gt;0,ISNUMBER($B$94)),MAX(0,$B$94-3*SQRT($B$94*(1-$B$94)/H2079)),"")</f>
        <v/>
      </c>
      <c r="L2079" s="11">
        <f>IF(AND(ISNUMBER(H2079),ISNUMBER(I2079),H2079&gt;0,ISNUMBER($B$94)),$B$94+3*SQRT($B$94*(1-$B$94)/H2079),"")</f>
        <v/>
      </c>
      <c r="M2079" s="13">
        <f>IF(AND(ISNUMBER(J2079),ISNUMBER(K2079),ISNUMBER(L2079)),IF(J2079&gt;L2079,"boven UCL",IF(J2079&lt;K2079,"onder LCL","")),"")</f>
        <v/>
      </c>
      <c r="O2079" t="n">
        <v>1973</v>
      </c>
      <c r="P2079" s="7" t="n"/>
      <c r="Q2079" s="7" t="n"/>
      <c r="R2079" s="11">
        <f>IF(AND(ISNUMBER(P2079),ISNUMBER(Q2079),P2079&gt;0,ISNUMBER($B$100)),Q2079/P2079,"")</f>
        <v/>
      </c>
      <c r="S2079" s="11">
        <f>IF(AND(ISNUMBER(P2079),ISNUMBER(Q2079),P2079&gt;0,ISNUMBER($B$100)),MAX(0,$B$100-3*SQRT($B$100/P2079)),"")</f>
        <v/>
      </c>
      <c r="T2079" s="11">
        <f>IF(AND(ISNUMBER(P2079),ISNUMBER(Q2079),P2079&gt;0,ISNUMBER($B$100)),$B$100+3*SQRT($B$100/P2079),"")</f>
        <v/>
      </c>
      <c r="U2079" s="13">
        <f>IF(AND(ISNUMBER(R2079),ISNUMBER(S2079),ISNUMBER(T2079)),IF(R2079&gt;T2079,"boven UCL",IF(R2079&lt;S2079,"onder LCL","")),"")</f>
        <v/>
      </c>
    </row>
    <row r="2080">
      <c r="A2080" t="n">
        <v>1974</v>
      </c>
      <c r="B2080" s="7" t="n"/>
      <c r="C2080" s="11">
        <f>IF(AND(ISNUMBER(B2080),ISNUMBER(B2079)),ABS(B2080-B2079),"")</f>
        <v/>
      </c>
      <c r="D2080" s="13">
        <f>IF(AND(ISNUMBER(B2080),ISNUMBER($B$88),ISNUMBER($D$88)),IF(B2080&gt;$D$88,"boven UCL",IF(B2080&lt;$B$88,"onder LCL","")),"")</f>
        <v/>
      </c>
      <c r="E2080" s="13">
        <f>IF(AND(ISNUMBER(C2080),ISNUMBER($B$89),ISNUMBER($D$89)),IF(C2080&gt;$D$89,"boven UCL",IF(C2080&lt;$B$89,"onder LCL","")),"")</f>
        <v/>
      </c>
      <c r="G2080" t="n">
        <v>1974</v>
      </c>
      <c r="H2080" s="7" t="n"/>
      <c r="I2080" s="7" t="n"/>
      <c r="J2080" s="11">
        <f>IF(AND(ISNUMBER(H2080),ISNUMBER(I2080),H2080&gt;0,ISNUMBER($B$94)),I2080/H2080,"")</f>
        <v/>
      </c>
      <c r="K2080" s="11">
        <f>IF(AND(ISNUMBER(H2080),ISNUMBER(I2080),H2080&gt;0,ISNUMBER($B$94)),MAX(0,$B$94-3*SQRT($B$94*(1-$B$94)/H2080)),"")</f>
        <v/>
      </c>
      <c r="L2080" s="11">
        <f>IF(AND(ISNUMBER(H2080),ISNUMBER(I2080),H2080&gt;0,ISNUMBER($B$94)),$B$94+3*SQRT($B$94*(1-$B$94)/H2080),"")</f>
        <v/>
      </c>
      <c r="M2080" s="13">
        <f>IF(AND(ISNUMBER(J2080),ISNUMBER(K2080),ISNUMBER(L2080)),IF(J2080&gt;L2080,"boven UCL",IF(J2080&lt;K2080,"onder LCL","")),"")</f>
        <v/>
      </c>
      <c r="O2080" t="n">
        <v>1974</v>
      </c>
      <c r="P2080" s="7" t="n"/>
      <c r="Q2080" s="7" t="n"/>
      <c r="R2080" s="11">
        <f>IF(AND(ISNUMBER(P2080),ISNUMBER(Q2080),P2080&gt;0,ISNUMBER($B$100)),Q2080/P2080,"")</f>
        <v/>
      </c>
      <c r="S2080" s="11">
        <f>IF(AND(ISNUMBER(P2080),ISNUMBER(Q2080),P2080&gt;0,ISNUMBER($B$100)),MAX(0,$B$100-3*SQRT($B$100/P2080)),"")</f>
        <v/>
      </c>
      <c r="T2080" s="11">
        <f>IF(AND(ISNUMBER(P2080),ISNUMBER(Q2080),P2080&gt;0,ISNUMBER($B$100)),$B$100+3*SQRT($B$100/P2080),"")</f>
        <v/>
      </c>
      <c r="U2080" s="13">
        <f>IF(AND(ISNUMBER(R2080),ISNUMBER(S2080),ISNUMBER(T2080)),IF(R2080&gt;T2080,"boven UCL",IF(R2080&lt;S2080,"onder LCL","")),"")</f>
        <v/>
      </c>
    </row>
    <row r="2081">
      <c r="A2081" t="n">
        <v>1975</v>
      </c>
      <c r="B2081" s="7" t="n"/>
      <c r="C2081" s="11">
        <f>IF(AND(ISNUMBER(B2081),ISNUMBER(B2080)),ABS(B2081-B2080),"")</f>
        <v/>
      </c>
      <c r="D2081" s="13">
        <f>IF(AND(ISNUMBER(B2081),ISNUMBER($B$88),ISNUMBER($D$88)),IF(B2081&gt;$D$88,"boven UCL",IF(B2081&lt;$B$88,"onder LCL","")),"")</f>
        <v/>
      </c>
      <c r="E2081" s="13">
        <f>IF(AND(ISNUMBER(C2081),ISNUMBER($B$89),ISNUMBER($D$89)),IF(C2081&gt;$D$89,"boven UCL",IF(C2081&lt;$B$89,"onder LCL","")),"")</f>
        <v/>
      </c>
      <c r="G2081" t="n">
        <v>1975</v>
      </c>
      <c r="H2081" s="7" t="n"/>
      <c r="I2081" s="7" t="n"/>
      <c r="J2081" s="11">
        <f>IF(AND(ISNUMBER(H2081),ISNUMBER(I2081),H2081&gt;0,ISNUMBER($B$94)),I2081/H2081,"")</f>
        <v/>
      </c>
      <c r="K2081" s="11">
        <f>IF(AND(ISNUMBER(H2081),ISNUMBER(I2081),H2081&gt;0,ISNUMBER($B$94)),MAX(0,$B$94-3*SQRT($B$94*(1-$B$94)/H2081)),"")</f>
        <v/>
      </c>
      <c r="L2081" s="11">
        <f>IF(AND(ISNUMBER(H2081),ISNUMBER(I2081),H2081&gt;0,ISNUMBER($B$94)),$B$94+3*SQRT($B$94*(1-$B$94)/H2081),"")</f>
        <v/>
      </c>
      <c r="M2081" s="13">
        <f>IF(AND(ISNUMBER(J2081),ISNUMBER(K2081),ISNUMBER(L2081)),IF(J2081&gt;L2081,"boven UCL",IF(J2081&lt;K2081,"onder LCL","")),"")</f>
        <v/>
      </c>
      <c r="O2081" t="n">
        <v>1975</v>
      </c>
      <c r="P2081" s="7" t="n"/>
      <c r="Q2081" s="7" t="n"/>
      <c r="R2081" s="11">
        <f>IF(AND(ISNUMBER(P2081),ISNUMBER(Q2081),P2081&gt;0,ISNUMBER($B$100)),Q2081/P2081,"")</f>
        <v/>
      </c>
      <c r="S2081" s="11">
        <f>IF(AND(ISNUMBER(P2081),ISNUMBER(Q2081),P2081&gt;0,ISNUMBER($B$100)),MAX(0,$B$100-3*SQRT($B$100/P2081)),"")</f>
        <v/>
      </c>
      <c r="T2081" s="11">
        <f>IF(AND(ISNUMBER(P2081),ISNUMBER(Q2081),P2081&gt;0,ISNUMBER($B$100)),$B$100+3*SQRT($B$100/P2081),"")</f>
        <v/>
      </c>
      <c r="U2081" s="13">
        <f>IF(AND(ISNUMBER(R2081),ISNUMBER(S2081),ISNUMBER(T2081)),IF(R2081&gt;T2081,"boven UCL",IF(R2081&lt;S2081,"onder LCL","")),"")</f>
        <v/>
      </c>
    </row>
    <row r="2082">
      <c r="A2082" t="n">
        <v>1976</v>
      </c>
      <c r="B2082" s="7" t="n"/>
      <c r="C2082" s="11">
        <f>IF(AND(ISNUMBER(B2082),ISNUMBER(B2081)),ABS(B2082-B2081),"")</f>
        <v/>
      </c>
      <c r="D2082" s="13">
        <f>IF(AND(ISNUMBER(B2082),ISNUMBER($B$88),ISNUMBER($D$88)),IF(B2082&gt;$D$88,"boven UCL",IF(B2082&lt;$B$88,"onder LCL","")),"")</f>
        <v/>
      </c>
      <c r="E2082" s="13">
        <f>IF(AND(ISNUMBER(C2082),ISNUMBER($B$89),ISNUMBER($D$89)),IF(C2082&gt;$D$89,"boven UCL",IF(C2082&lt;$B$89,"onder LCL","")),"")</f>
        <v/>
      </c>
      <c r="G2082" t="n">
        <v>1976</v>
      </c>
      <c r="H2082" s="7" t="n"/>
      <c r="I2082" s="7" t="n"/>
      <c r="J2082" s="11">
        <f>IF(AND(ISNUMBER(H2082),ISNUMBER(I2082),H2082&gt;0,ISNUMBER($B$94)),I2082/H2082,"")</f>
        <v/>
      </c>
      <c r="K2082" s="11">
        <f>IF(AND(ISNUMBER(H2082),ISNUMBER(I2082),H2082&gt;0,ISNUMBER($B$94)),MAX(0,$B$94-3*SQRT($B$94*(1-$B$94)/H2082)),"")</f>
        <v/>
      </c>
      <c r="L2082" s="11">
        <f>IF(AND(ISNUMBER(H2082),ISNUMBER(I2082),H2082&gt;0,ISNUMBER($B$94)),$B$94+3*SQRT($B$94*(1-$B$94)/H2082),"")</f>
        <v/>
      </c>
      <c r="M2082" s="13">
        <f>IF(AND(ISNUMBER(J2082),ISNUMBER(K2082),ISNUMBER(L2082)),IF(J2082&gt;L2082,"boven UCL",IF(J2082&lt;K2082,"onder LCL","")),"")</f>
        <v/>
      </c>
      <c r="O2082" t="n">
        <v>1976</v>
      </c>
      <c r="P2082" s="7" t="n"/>
      <c r="Q2082" s="7" t="n"/>
      <c r="R2082" s="11">
        <f>IF(AND(ISNUMBER(P2082),ISNUMBER(Q2082),P2082&gt;0,ISNUMBER($B$100)),Q2082/P2082,"")</f>
        <v/>
      </c>
      <c r="S2082" s="11">
        <f>IF(AND(ISNUMBER(P2082),ISNUMBER(Q2082),P2082&gt;0,ISNUMBER($B$100)),MAX(0,$B$100-3*SQRT($B$100/P2082)),"")</f>
        <v/>
      </c>
      <c r="T2082" s="11">
        <f>IF(AND(ISNUMBER(P2082),ISNUMBER(Q2082),P2082&gt;0,ISNUMBER($B$100)),$B$100+3*SQRT($B$100/P2082),"")</f>
        <v/>
      </c>
      <c r="U2082" s="13">
        <f>IF(AND(ISNUMBER(R2082),ISNUMBER(S2082),ISNUMBER(T2082)),IF(R2082&gt;T2082,"boven UCL",IF(R2082&lt;S2082,"onder LCL","")),"")</f>
        <v/>
      </c>
    </row>
    <row r="2083">
      <c r="A2083" t="n">
        <v>1977</v>
      </c>
      <c r="B2083" s="7" t="n"/>
      <c r="C2083" s="11">
        <f>IF(AND(ISNUMBER(B2083),ISNUMBER(B2082)),ABS(B2083-B2082),"")</f>
        <v/>
      </c>
      <c r="D2083" s="13">
        <f>IF(AND(ISNUMBER(B2083),ISNUMBER($B$88),ISNUMBER($D$88)),IF(B2083&gt;$D$88,"boven UCL",IF(B2083&lt;$B$88,"onder LCL","")),"")</f>
        <v/>
      </c>
      <c r="E2083" s="13">
        <f>IF(AND(ISNUMBER(C2083),ISNUMBER($B$89),ISNUMBER($D$89)),IF(C2083&gt;$D$89,"boven UCL",IF(C2083&lt;$B$89,"onder LCL","")),"")</f>
        <v/>
      </c>
      <c r="G2083" t="n">
        <v>1977</v>
      </c>
      <c r="H2083" s="7" t="n"/>
      <c r="I2083" s="7" t="n"/>
      <c r="J2083" s="11">
        <f>IF(AND(ISNUMBER(H2083),ISNUMBER(I2083),H2083&gt;0,ISNUMBER($B$94)),I2083/H2083,"")</f>
        <v/>
      </c>
      <c r="K2083" s="11">
        <f>IF(AND(ISNUMBER(H2083),ISNUMBER(I2083),H2083&gt;0,ISNUMBER($B$94)),MAX(0,$B$94-3*SQRT($B$94*(1-$B$94)/H2083)),"")</f>
        <v/>
      </c>
      <c r="L2083" s="11">
        <f>IF(AND(ISNUMBER(H2083),ISNUMBER(I2083),H2083&gt;0,ISNUMBER($B$94)),$B$94+3*SQRT($B$94*(1-$B$94)/H2083),"")</f>
        <v/>
      </c>
      <c r="M2083" s="13">
        <f>IF(AND(ISNUMBER(J2083),ISNUMBER(K2083),ISNUMBER(L2083)),IF(J2083&gt;L2083,"boven UCL",IF(J2083&lt;K2083,"onder LCL","")),"")</f>
        <v/>
      </c>
      <c r="O2083" t="n">
        <v>1977</v>
      </c>
      <c r="P2083" s="7" t="n"/>
      <c r="Q2083" s="7" t="n"/>
      <c r="R2083" s="11">
        <f>IF(AND(ISNUMBER(P2083),ISNUMBER(Q2083),P2083&gt;0,ISNUMBER($B$100)),Q2083/P2083,"")</f>
        <v/>
      </c>
      <c r="S2083" s="11">
        <f>IF(AND(ISNUMBER(P2083),ISNUMBER(Q2083),P2083&gt;0,ISNUMBER($B$100)),MAX(0,$B$100-3*SQRT($B$100/P2083)),"")</f>
        <v/>
      </c>
      <c r="T2083" s="11">
        <f>IF(AND(ISNUMBER(P2083),ISNUMBER(Q2083),P2083&gt;0,ISNUMBER($B$100)),$B$100+3*SQRT($B$100/P2083),"")</f>
        <v/>
      </c>
      <c r="U2083" s="13">
        <f>IF(AND(ISNUMBER(R2083),ISNUMBER(S2083),ISNUMBER(T2083)),IF(R2083&gt;T2083,"boven UCL",IF(R2083&lt;S2083,"onder LCL","")),"")</f>
        <v/>
      </c>
    </row>
    <row r="2084">
      <c r="A2084" t="n">
        <v>1978</v>
      </c>
      <c r="B2084" s="7" t="n"/>
      <c r="C2084" s="11">
        <f>IF(AND(ISNUMBER(B2084),ISNUMBER(B2083)),ABS(B2084-B2083),"")</f>
        <v/>
      </c>
      <c r="D2084" s="13">
        <f>IF(AND(ISNUMBER(B2084),ISNUMBER($B$88),ISNUMBER($D$88)),IF(B2084&gt;$D$88,"boven UCL",IF(B2084&lt;$B$88,"onder LCL","")),"")</f>
        <v/>
      </c>
      <c r="E2084" s="13">
        <f>IF(AND(ISNUMBER(C2084),ISNUMBER($B$89),ISNUMBER($D$89)),IF(C2084&gt;$D$89,"boven UCL",IF(C2084&lt;$B$89,"onder LCL","")),"")</f>
        <v/>
      </c>
      <c r="G2084" t="n">
        <v>1978</v>
      </c>
      <c r="H2084" s="7" t="n"/>
      <c r="I2084" s="7" t="n"/>
      <c r="J2084" s="11">
        <f>IF(AND(ISNUMBER(H2084),ISNUMBER(I2084),H2084&gt;0,ISNUMBER($B$94)),I2084/H2084,"")</f>
        <v/>
      </c>
      <c r="K2084" s="11">
        <f>IF(AND(ISNUMBER(H2084),ISNUMBER(I2084),H2084&gt;0,ISNUMBER($B$94)),MAX(0,$B$94-3*SQRT($B$94*(1-$B$94)/H2084)),"")</f>
        <v/>
      </c>
      <c r="L2084" s="11">
        <f>IF(AND(ISNUMBER(H2084),ISNUMBER(I2084),H2084&gt;0,ISNUMBER($B$94)),$B$94+3*SQRT($B$94*(1-$B$94)/H2084),"")</f>
        <v/>
      </c>
      <c r="M2084" s="13">
        <f>IF(AND(ISNUMBER(J2084),ISNUMBER(K2084),ISNUMBER(L2084)),IF(J2084&gt;L2084,"boven UCL",IF(J2084&lt;K2084,"onder LCL","")),"")</f>
        <v/>
      </c>
      <c r="O2084" t="n">
        <v>1978</v>
      </c>
      <c r="P2084" s="7" t="n"/>
      <c r="Q2084" s="7" t="n"/>
      <c r="R2084" s="11">
        <f>IF(AND(ISNUMBER(P2084),ISNUMBER(Q2084),P2084&gt;0,ISNUMBER($B$100)),Q2084/P2084,"")</f>
        <v/>
      </c>
      <c r="S2084" s="11">
        <f>IF(AND(ISNUMBER(P2084),ISNUMBER(Q2084),P2084&gt;0,ISNUMBER($B$100)),MAX(0,$B$100-3*SQRT($B$100/P2084)),"")</f>
        <v/>
      </c>
      <c r="T2084" s="11">
        <f>IF(AND(ISNUMBER(P2084),ISNUMBER(Q2084),P2084&gt;0,ISNUMBER($B$100)),$B$100+3*SQRT($B$100/P2084),"")</f>
        <v/>
      </c>
      <c r="U2084" s="13">
        <f>IF(AND(ISNUMBER(R2084),ISNUMBER(S2084),ISNUMBER(T2084)),IF(R2084&gt;T2084,"boven UCL",IF(R2084&lt;S2084,"onder LCL","")),"")</f>
        <v/>
      </c>
    </row>
    <row r="2085">
      <c r="A2085" t="n">
        <v>1979</v>
      </c>
      <c r="B2085" s="7" t="n"/>
      <c r="C2085" s="11">
        <f>IF(AND(ISNUMBER(B2085),ISNUMBER(B2084)),ABS(B2085-B2084),"")</f>
        <v/>
      </c>
      <c r="D2085" s="13">
        <f>IF(AND(ISNUMBER(B2085),ISNUMBER($B$88),ISNUMBER($D$88)),IF(B2085&gt;$D$88,"boven UCL",IF(B2085&lt;$B$88,"onder LCL","")),"")</f>
        <v/>
      </c>
      <c r="E2085" s="13">
        <f>IF(AND(ISNUMBER(C2085),ISNUMBER($B$89),ISNUMBER($D$89)),IF(C2085&gt;$D$89,"boven UCL",IF(C2085&lt;$B$89,"onder LCL","")),"")</f>
        <v/>
      </c>
      <c r="G2085" t="n">
        <v>1979</v>
      </c>
      <c r="H2085" s="7" t="n"/>
      <c r="I2085" s="7" t="n"/>
      <c r="J2085" s="11">
        <f>IF(AND(ISNUMBER(H2085),ISNUMBER(I2085),H2085&gt;0,ISNUMBER($B$94)),I2085/H2085,"")</f>
        <v/>
      </c>
      <c r="K2085" s="11">
        <f>IF(AND(ISNUMBER(H2085),ISNUMBER(I2085),H2085&gt;0,ISNUMBER($B$94)),MAX(0,$B$94-3*SQRT($B$94*(1-$B$94)/H2085)),"")</f>
        <v/>
      </c>
      <c r="L2085" s="11">
        <f>IF(AND(ISNUMBER(H2085),ISNUMBER(I2085),H2085&gt;0,ISNUMBER($B$94)),$B$94+3*SQRT($B$94*(1-$B$94)/H2085),"")</f>
        <v/>
      </c>
      <c r="M2085" s="13">
        <f>IF(AND(ISNUMBER(J2085),ISNUMBER(K2085),ISNUMBER(L2085)),IF(J2085&gt;L2085,"boven UCL",IF(J2085&lt;K2085,"onder LCL","")),"")</f>
        <v/>
      </c>
      <c r="O2085" t="n">
        <v>1979</v>
      </c>
      <c r="P2085" s="7" t="n"/>
      <c r="Q2085" s="7" t="n"/>
      <c r="R2085" s="11">
        <f>IF(AND(ISNUMBER(P2085),ISNUMBER(Q2085),P2085&gt;0,ISNUMBER($B$100)),Q2085/P2085,"")</f>
        <v/>
      </c>
      <c r="S2085" s="11">
        <f>IF(AND(ISNUMBER(P2085),ISNUMBER(Q2085),P2085&gt;0,ISNUMBER($B$100)),MAX(0,$B$100-3*SQRT($B$100/P2085)),"")</f>
        <v/>
      </c>
      <c r="T2085" s="11">
        <f>IF(AND(ISNUMBER(P2085),ISNUMBER(Q2085),P2085&gt;0,ISNUMBER($B$100)),$B$100+3*SQRT($B$100/P2085),"")</f>
        <v/>
      </c>
      <c r="U2085" s="13">
        <f>IF(AND(ISNUMBER(R2085),ISNUMBER(S2085),ISNUMBER(T2085)),IF(R2085&gt;T2085,"boven UCL",IF(R2085&lt;S2085,"onder LCL","")),"")</f>
        <v/>
      </c>
    </row>
    <row r="2086">
      <c r="A2086" t="n">
        <v>1980</v>
      </c>
      <c r="B2086" s="7" t="n"/>
      <c r="C2086" s="11">
        <f>IF(AND(ISNUMBER(B2086),ISNUMBER(B2085)),ABS(B2086-B2085),"")</f>
        <v/>
      </c>
      <c r="D2086" s="13">
        <f>IF(AND(ISNUMBER(B2086),ISNUMBER($B$88),ISNUMBER($D$88)),IF(B2086&gt;$D$88,"boven UCL",IF(B2086&lt;$B$88,"onder LCL","")),"")</f>
        <v/>
      </c>
      <c r="E2086" s="13">
        <f>IF(AND(ISNUMBER(C2086),ISNUMBER($B$89),ISNUMBER($D$89)),IF(C2086&gt;$D$89,"boven UCL",IF(C2086&lt;$B$89,"onder LCL","")),"")</f>
        <v/>
      </c>
      <c r="G2086" t="n">
        <v>1980</v>
      </c>
      <c r="H2086" s="7" t="n"/>
      <c r="I2086" s="7" t="n"/>
      <c r="J2086" s="11">
        <f>IF(AND(ISNUMBER(H2086),ISNUMBER(I2086),H2086&gt;0,ISNUMBER($B$94)),I2086/H2086,"")</f>
        <v/>
      </c>
      <c r="K2086" s="11">
        <f>IF(AND(ISNUMBER(H2086),ISNUMBER(I2086),H2086&gt;0,ISNUMBER($B$94)),MAX(0,$B$94-3*SQRT($B$94*(1-$B$94)/H2086)),"")</f>
        <v/>
      </c>
      <c r="L2086" s="11">
        <f>IF(AND(ISNUMBER(H2086),ISNUMBER(I2086),H2086&gt;0,ISNUMBER($B$94)),$B$94+3*SQRT($B$94*(1-$B$94)/H2086),"")</f>
        <v/>
      </c>
      <c r="M2086" s="13">
        <f>IF(AND(ISNUMBER(J2086),ISNUMBER(K2086),ISNUMBER(L2086)),IF(J2086&gt;L2086,"boven UCL",IF(J2086&lt;K2086,"onder LCL","")),"")</f>
        <v/>
      </c>
      <c r="O2086" t="n">
        <v>1980</v>
      </c>
      <c r="P2086" s="7" t="n"/>
      <c r="Q2086" s="7" t="n"/>
      <c r="R2086" s="11">
        <f>IF(AND(ISNUMBER(P2086),ISNUMBER(Q2086),P2086&gt;0,ISNUMBER($B$100)),Q2086/P2086,"")</f>
        <v/>
      </c>
      <c r="S2086" s="11">
        <f>IF(AND(ISNUMBER(P2086),ISNUMBER(Q2086),P2086&gt;0,ISNUMBER($B$100)),MAX(0,$B$100-3*SQRT($B$100/P2086)),"")</f>
        <v/>
      </c>
      <c r="T2086" s="11">
        <f>IF(AND(ISNUMBER(P2086),ISNUMBER(Q2086),P2086&gt;0,ISNUMBER($B$100)),$B$100+3*SQRT($B$100/P2086),"")</f>
        <v/>
      </c>
      <c r="U2086" s="13">
        <f>IF(AND(ISNUMBER(R2086),ISNUMBER(S2086),ISNUMBER(T2086)),IF(R2086&gt;T2086,"boven UCL",IF(R2086&lt;S2086,"onder LCL","")),"")</f>
        <v/>
      </c>
    </row>
    <row r="2087">
      <c r="A2087" t="n">
        <v>1981</v>
      </c>
      <c r="B2087" s="7" t="n"/>
      <c r="C2087" s="11">
        <f>IF(AND(ISNUMBER(B2087),ISNUMBER(B2086)),ABS(B2087-B2086),"")</f>
        <v/>
      </c>
      <c r="D2087" s="13">
        <f>IF(AND(ISNUMBER(B2087),ISNUMBER($B$88),ISNUMBER($D$88)),IF(B2087&gt;$D$88,"boven UCL",IF(B2087&lt;$B$88,"onder LCL","")),"")</f>
        <v/>
      </c>
      <c r="E2087" s="13">
        <f>IF(AND(ISNUMBER(C2087),ISNUMBER($B$89),ISNUMBER($D$89)),IF(C2087&gt;$D$89,"boven UCL",IF(C2087&lt;$B$89,"onder LCL","")),"")</f>
        <v/>
      </c>
      <c r="G2087" t="n">
        <v>1981</v>
      </c>
      <c r="H2087" s="7" t="n"/>
      <c r="I2087" s="7" t="n"/>
      <c r="J2087" s="11">
        <f>IF(AND(ISNUMBER(H2087),ISNUMBER(I2087),H2087&gt;0,ISNUMBER($B$94)),I2087/H2087,"")</f>
        <v/>
      </c>
      <c r="K2087" s="11">
        <f>IF(AND(ISNUMBER(H2087),ISNUMBER(I2087),H2087&gt;0,ISNUMBER($B$94)),MAX(0,$B$94-3*SQRT($B$94*(1-$B$94)/H2087)),"")</f>
        <v/>
      </c>
      <c r="L2087" s="11">
        <f>IF(AND(ISNUMBER(H2087),ISNUMBER(I2087),H2087&gt;0,ISNUMBER($B$94)),$B$94+3*SQRT($B$94*(1-$B$94)/H2087),"")</f>
        <v/>
      </c>
      <c r="M2087" s="13">
        <f>IF(AND(ISNUMBER(J2087),ISNUMBER(K2087),ISNUMBER(L2087)),IF(J2087&gt;L2087,"boven UCL",IF(J2087&lt;K2087,"onder LCL","")),"")</f>
        <v/>
      </c>
      <c r="O2087" t="n">
        <v>1981</v>
      </c>
      <c r="P2087" s="7" t="n"/>
      <c r="Q2087" s="7" t="n"/>
      <c r="R2087" s="11">
        <f>IF(AND(ISNUMBER(P2087),ISNUMBER(Q2087),P2087&gt;0,ISNUMBER($B$100)),Q2087/P2087,"")</f>
        <v/>
      </c>
      <c r="S2087" s="11">
        <f>IF(AND(ISNUMBER(P2087),ISNUMBER(Q2087),P2087&gt;0,ISNUMBER($B$100)),MAX(0,$B$100-3*SQRT($B$100/P2087)),"")</f>
        <v/>
      </c>
      <c r="T2087" s="11">
        <f>IF(AND(ISNUMBER(P2087),ISNUMBER(Q2087),P2087&gt;0,ISNUMBER($B$100)),$B$100+3*SQRT($B$100/P2087),"")</f>
        <v/>
      </c>
      <c r="U2087" s="13">
        <f>IF(AND(ISNUMBER(R2087),ISNUMBER(S2087),ISNUMBER(T2087)),IF(R2087&gt;T2087,"boven UCL",IF(R2087&lt;S2087,"onder LCL","")),"")</f>
        <v/>
      </c>
    </row>
    <row r="2088">
      <c r="A2088" t="n">
        <v>1982</v>
      </c>
      <c r="B2088" s="7" t="n"/>
      <c r="C2088" s="11">
        <f>IF(AND(ISNUMBER(B2088),ISNUMBER(B2087)),ABS(B2088-B2087),"")</f>
        <v/>
      </c>
      <c r="D2088" s="13">
        <f>IF(AND(ISNUMBER(B2088),ISNUMBER($B$88),ISNUMBER($D$88)),IF(B2088&gt;$D$88,"boven UCL",IF(B2088&lt;$B$88,"onder LCL","")),"")</f>
        <v/>
      </c>
      <c r="E2088" s="13">
        <f>IF(AND(ISNUMBER(C2088),ISNUMBER($B$89),ISNUMBER($D$89)),IF(C2088&gt;$D$89,"boven UCL",IF(C2088&lt;$B$89,"onder LCL","")),"")</f>
        <v/>
      </c>
      <c r="G2088" t="n">
        <v>1982</v>
      </c>
      <c r="H2088" s="7" t="n"/>
      <c r="I2088" s="7" t="n"/>
      <c r="J2088" s="11">
        <f>IF(AND(ISNUMBER(H2088),ISNUMBER(I2088),H2088&gt;0,ISNUMBER($B$94)),I2088/H2088,"")</f>
        <v/>
      </c>
      <c r="K2088" s="11">
        <f>IF(AND(ISNUMBER(H2088),ISNUMBER(I2088),H2088&gt;0,ISNUMBER($B$94)),MAX(0,$B$94-3*SQRT($B$94*(1-$B$94)/H2088)),"")</f>
        <v/>
      </c>
      <c r="L2088" s="11">
        <f>IF(AND(ISNUMBER(H2088),ISNUMBER(I2088),H2088&gt;0,ISNUMBER($B$94)),$B$94+3*SQRT($B$94*(1-$B$94)/H2088),"")</f>
        <v/>
      </c>
      <c r="M2088" s="13">
        <f>IF(AND(ISNUMBER(J2088),ISNUMBER(K2088),ISNUMBER(L2088)),IF(J2088&gt;L2088,"boven UCL",IF(J2088&lt;K2088,"onder LCL","")),"")</f>
        <v/>
      </c>
      <c r="O2088" t="n">
        <v>1982</v>
      </c>
      <c r="P2088" s="7" t="n"/>
      <c r="Q2088" s="7" t="n"/>
      <c r="R2088" s="11">
        <f>IF(AND(ISNUMBER(P2088),ISNUMBER(Q2088),P2088&gt;0,ISNUMBER($B$100)),Q2088/P2088,"")</f>
        <v/>
      </c>
      <c r="S2088" s="11">
        <f>IF(AND(ISNUMBER(P2088),ISNUMBER(Q2088),P2088&gt;0,ISNUMBER($B$100)),MAX(0,$B$100-3*SQRT($B$100/P2088)),"")</f>
        <v/>
      </c>
      <c r="T2088" s="11">
        <f>IF(AND(ISNUMBER(P2088),ISNUMBER(Q2088),P2088&gt;0,ISNUMBER($B$100)),$B$100+3*SQRT($B$100/P2088),"")</f>
        <v/>
      </c>
      <c r="U2088" s="13">
        <f>IF(AND(ISNUMBER(R2088),ISNUMBER(S2088),ISNUMBER(T2088)),IF(R2088&gt;T2088,"boven UCL",IF(R2088&lt;S2088,"onder LCL","")),"")</f>
        <v/>
      </c>
    </row>
    <row r="2089">
      <c r="A2089" t="n">
        <v>1983</v>
      </c>
      <c r="B2089" s="7" t="n"/>
      <c r="C2089" s="11">
        <f>IF(AND(ISNUMBER(B2089),ISNUMBER(B2088)),ABS(B2089-B2088),"")</f>
        <v/>
      </c>
      <c r="D2089" s="13">
        <f>IF(AND(ISNUMBER(B2089),ISNUMBER($B$88),ISNUMBER($D$88)),IF(B2089&gt;$D$88,"boven UCL",IF(B2089&lt;$B$88,"onder LCL","")),"")</f>
        <v/>
      </c>
      <c r="E2089" s="13">
        <f>IF(AND(ISNUMBER(C2089),ISNUMBER($B$89),ISNUMBER($D$89)),IF(C2089&gt;$D$89,"boven UCL",IF(C2089&lt;$B$89,"onder LCL","")),"")</f>
        <v/>
      </c>
      <c r="G2089" t="n">
        <v>1983</v>
      </c>
      <c r="H2089" s="7" t="n"/>
      <c r="I2089" s="7" t="n"/>
      <c r="J2089" s="11">
        <f>IF(AND(ISNUMBER(H2089),ISNUMBER(I2089),H2089&gt;0,ISNUMBER($B$94)),I2089/H2089,"")</f>
        <v/>
      </c>
      <c r="K2089" s="11">
        <f>IF(AND(ISNUMBER(H2089),ISNUMBER(I2089),H2089&gt;0,ISNUMBER($B$94)),MAX(0,$B$94-3*SQRT($B$94*(1-$B$94)/H2089)),"")</f>
        <v/>
      </c>
      <c r="L2089" s="11">
        <f>IF(AND(ISNUMBER(H2089),ISNUMBER(I2089),H2089&gt;0,ISNUMBER($B$94)),$B$94+3*SQRT($B$94*(1-$B$94)/H2089),"")</f>
        <v/>
      </c>
      <c r="M2089" s="13">
        <f>IF(AND(ISNUMBER(J2089),ISNUMBER(K2089),ISNUMBER(L2089)),IF(J2089&gt;L2089,"boven UCL",IF(J2089&lt;K2089,"onder LCL","")),"")</f>
        <v/>
      </c>
      <c r="O2089" t="n">
        <v>1983</v>
      </c>
      <c r="P2089" s="7" t="n"/>
      <c r="Q2089" s="7" t="n"/>
      <c r="R2089" s="11">
        <f>IF(AND(ISNUMBER(P2089),ISNUMBER(Q2089),P2089&gt;0,ISNUMBER($B$100)),Q2089/P2089,"")</f>
        <v/>
      </c>
      <c r="S2089" s="11">
        <f>IF(AND(ISNUMBER(P2089),ISNUMBER(Q2089),P2089&gt;0,ISNUMBER($B$100)),MAX(0,$B$100-3*SQRT($B$100/P2089)),"")</f>
        <v/>
      </c>
      <c r="T2089" s="11">
        <f>IF(AND(ISNUMBER(P2089),ISNUMBER(Q2089),P2089&gt;0,ISNUMBER($B$100)),$B$100+3*SQRT($B$100/P2089),"")</f>
        <v/>
      </c>
      <c r="U2089" s="13">
        <f>IF(AND(ISNUMBER(R2089),ISNUMBER(S2089),ISNUMBER(T2089)),IF(R2089&gt;T2089,"boven UCL",IF(R2089&lt;S2089,"onder LCL","")),"")</f>
        <v/>
      </c>
    </row>
    <row r="2090">
      <c r="A2090" t="n">
        <v>1984</v>
      </c>
      <c r="B2090" s="7" t="n"/>
      <c r="C2090" s="11">
        <f>IF(AND(ISNUMBER(B2090),ISNUMBER(B2089)),ABS(B2090-B2089),"")</f>
        <v/>
      </c>
      <c r="D2090" s="13">
        <f>IF(AND(ISNUMBER(B2090),ISNUMBER($B$88),ISNUMBER($D$88)),IF(B2090&gt;$D$88,"boven UCL",IF(B2090&lt;$B$88,"onder LCL","")),"")</f>
        <v/>
      </c>
      <c r="E2090" s="13">
        <f>IF(AND(ISNUMBER(C2090),ISNUMBER($B$89),ISNUMBER($D$89)),IF(C2090&gt;$D$89,"boven UCL",IF(C2090&lt;$B$89,"onder LCL","")),"")</f>
        <v/>
      </c>
      <c r="G2090" t="n">
        <v>1984</v>
      </c>
      <c r="H2090" s="7" t="n"/>
      <c r="I2090" s="7" t="n"/>
      <c r="J2090" s="11">
        <f>IF(AND(ISNUMBER(H2090),ISNUMBER(I2090),H2090&gt;0,ISNUMBER($B$94)),I2090/H2090,"")</f>
        <v/>
      </c>
      <c r="K2090" s="11">
        <f>IF(AND(ISNUMBER(H2090),ISNUMBER(I2090),H2090&gt;0,ISNUMBER($B$94)),MAX(0,$B$94-3*SQRT($B$94*(1-$B$94)/H2090)),"")</f>
        <v/>
      </c>
      <c r="L2090" s="11">
        <f>IF(AND(ISNUMBER(H2090),ISNUMBER(I2090),H2090&gt;0,ISNUMBER($B$94)),$B$94+3*SQRT($B$94*(1-$B$94)/H2090),"")</f>
        <v/>
      </c>
      <c r="M2090" s="13">
        <f>IF(AND(ISNUMBER(J2090),ISNUMBER(K2090),ISNUMBER(L2090)),IF(J2090&gt;L2090,"boven UCL",IF(J2090&lt;K2090,"onder LCL","")),"")</f>
        <v/>
      </c>
      <c r="O2090" t="n">
        <v>1984</v>
      </c>
      <c r="P2090" s="7" t="n"/>
      <c r="Q2090" s="7" t="n"/>
      <c r="R2090" s="11">
        <f>IF(AND(ISNUMBER(P2090),ISNUMBER(Q2090),P2090&gt;0,ISNUMBER($B$100)),Q2090/P2090,"")</f>
        <v/>
      </c>
      <c r="S2090" s="11">
        <f>IF(AND(ISNUMBER(P2090),ISNUMBER(Q2090),P2090&gt;0,ISNUMBER($B$100)),MAX(0,$B$100-3*SQRT($B$100/P2090)),"")</f>
        <v/>
      </c>
      <c r="T2090" s="11">
        <f>IF(AND(ISNUMBER(P2090),ISNUMBER(Q2090),P2090&gt;0,ISNUMBER($B$100)),$B$100+3*SQRT($B$100/P2090),"")</f>
        <v/>
      </c>
      <c r="U2090" s="13">
        <f>IF(AND(ISNUMBER(R2090),ISNUMBER(S2090),ISNUMBER(T2090)),IF(R2090&gt;T2090,"boven UCL",IF(R2090&lt;S2090,"onder LCL","")),"")</f>
        <v/>
      </c>
    </row>
    <row r="2091">
      <c r="A2091" t="n">
        <v>1985</v>
      </c>
      <c r="B2091" s="7" t="n"/>
      <c r="C2091" s="11">
        <f>IF(AND(ISNUMBER(B2091),ISNUMBER(B2090)),ABS(B2091-B2090),"")</f>
        <v/>
      </c>
      <c r="D2091" s="13">
        <f>IF(AND(ISNUMBER(B2091),ISNUMBER($B$88),ISNUMBER($D$88)),IF(B2091&gt;$D$88,"boven UCL",IF(B2091&lt;$B$88,"onder LCL","")),"")</f>
        <v/>
      </c>
      <c r="E2091" s="13">
        <f>IF(AND(ISNUMBER(C2091),ISNUMBER($B$89),ISNUMBER($D$89)),IF(C2091&gt;$D$89,"boven UCL",IF(C2091&lt;$B$89,"onder LCL","")),"")</f>
        <v/>
      </c>
      <c r="G2091" t="n">
        <v>1985</v>
      </c>
      <c r="H2091" s="7" t="n"/>
      <c r="I2091" s="7" t="n"/>
      <c r="J2091" s="11">
        <f>IF(AND(ISNUMBER(H2091),ISNUMBER(I2091),H2091&gt;0,ISNUMBER($B$94)),I2091/H2091,"")</f>
        <v/>
      </c>
      <c r="K2091" s="11">
        <f>IF(AND(ISNUMBER(H2091),ISNUMBER(I2091),H2091&gt;0,ISNUMBER($B$94)),MAX(0,$B$94-3*SQRT($B$94*(1-$B$94)/H2091)),"")</f>
        <v/>
      </c>
      <c r="L2091" s="11">
        <f>IF(AND(ISNUMBER(H2091),ISNUMBER(I2091),H2091&gt;0,ISNUMBER($B$94)),$B$94+3*SQRT($B$94*(1-$B$94)/H2091),"")</f>
        <v/>
      </c>
      <c r="M2091" s="13">
        <f>IF(AND(ISNUMBER(J2091),ISNUMBER(K2091),ISNUMBER(L2091)),IF(J2091&gt;L2091,"boven UCL",IF(J2091&lt;K2091,"onder LCL","")),"")</f>
        <v/>
      </c>
      <c r="O2091" t="n">
        <v>1985</v>
      </c>
      <c r="P2091" s="7" t="n"/>
      <c r="Q2091" s="7" t="n"/>
      <c r="R2091" s="11">
        <f>IF(AND(ISNUMBER(P2091),ISNUMBER(Q2091),P2091&gt;0,ISNUMBER($B$100)),Q2091/P2091,"")</f>
        <v/>
      </c>
      <c r="S2091" s="11">
        <f>IF(AND(ISNUMBER(P2091),ISNUMBER(Q2091),P2091&gt;0,ISNUMBER($B$100)),MAX(0,$B$100-3*SQRT($B$100/P2091)),"")</f>
        <v/>
      </c>
      <c r="T2091" s="11">
        <f>IF(AND(ISNUMBER(P2091),ISNUMBER(Q2091),P2091&gt;0,ISNUMBER($B$100)),$B$100+3*SQRT($B$100/P2091),"")</f>
        <v/>
      </c>
      <c r="U2091" s="13">
        <f>IF(AND(ISNUMBER(R2091),ISNUMBER(S2091),ISNUMBER(T2091)),IF(R2091&gt;T2091,"boven UCL",IF(R2091&lt;S2091,"onder LCL","")),"")</f>
        <v/>
      </c>
    </row>
    <row r="2092">
      <c r="A2092" t="n">
        <v>1986</v>
      </c>
      <c r="B2092" s="7" t="n"/>
      <c r="C2092" s="11">
        <f>IF(AND(ISNUMBER(B2092),ISNUMBER(B2091)),ABS(B2092-B2091),"")</f>
        <v/>
      </c>
      <c r="D2092" s="13">
        <f>IF(AND(ISNUMBER(B2092),ISNUMBER($B$88),ISNUMBER($D$88)),IF(B2092&gt;$D$88,"boven UCL",IF(B2092&lt;$B$88,"onder LCL","")),"")</f>
        <v/>
      </c>
      <c r="E2092" s="13">
        <f>IF(AND(ISNUMBER(C2092),ISNUMBER($B$89),ISNUMBER($D$89)),IF(C2092&gt;$D$89,"boven UCL",IF(C2092&lt;$B$89,"onder LCL","")),"")</f>
        <v/>
      </c>
      <c r="G2092" t="n">
        <v>1986</v>
      </c>
      <c r="H2092" s="7" t="n"/>
      <c r="I2092" s="7" t="n"/>
      <c r="J2092" s="11">
        <f>IF(AND(ISNUMBER(H2092),ISNUMBER(I2092),H2092&gt;0,ISNUMBER($B$94)),I2092/H2092,"")</f>
        <v/>
      </c>
      <c r="K2092" s="11">
        <f>IF(AND(ISNUMBER(H2092),ISNUMBER(I2092),H2092&gt;0,ISNUMBER($B$94)),MAX(0,$B$94-3*SQRT($B$94*(1-$B$94)/H2092)),"")</f>
        <v/>
      </c>
      <c r="L2092" s="11">
        <f>IF(AND(ISNUMBER(H2092),ISNUMBER(I2092),H2092&gt;0,ISNUMBER($B$94)),$B$94+3*SQRT($B$94*(1-$B$94)/H2092),"")</f>
        <v/>
      </c>
      <c r="M2092" s="13">
        <f>IF(AND(ISNUMBER(J2092),ISNUMBER(K2092),ISNUMBER(L2092)),IF(J2092&gt;L2092,"boven UCL",IF(J2092&lt;K2092,"onder LCL","")),"")</f>
        <v/>
      </c>
      <c r="O2092" t="n">
        <v>1986</v>
      </c>
      <c r="P2092" s="7" t="n"/>
      <c r="Q2092" s="7" t="n"/>
      <c r="R2092" s="11">
        <f>IF(AND(ISNUMBER(P2092),ISNUMBER(Q2092),P2092&gt;0,ISNUMBER($B$100)),Q2092/P2092,"")</f>
        <v/>
      </c>
      <c r="S2092" s="11">
        <f>IF(AND(ISNUMBER(P2092),ISNUMBER(Q2092),P2092&gt;0,ISNUMBER($B$100)),MAX(0,$B$100-3*SQRT($B$100/P2092)),"")</f>
        <v/>
      </c>
      <c r="T2092" s="11">
        <f>IF(AND(ISNUMBER(P2092),ISNUMBER(Q2092),P2092&gt;0,ISNUMBER($B$100)),$B$100+3*SQRT($B$100/P2092),"")</f>
        <v/>
      </c>
      <c r="U2092" s="13">
        <f>IF(AND(ISNUMBER(R2092),ISNUMBER(S2092),ISNUMBER(T2092)),IF(R2092&gt;T2092,"boven UCL",IF(R2092&lt;S2092,"onder LCL","")),"")</f>
        <v/>
      </c>
    </row>
    <row r="2093">
      <c r="A2093" t="n">
        <v>1987</v>
      </c>
      <c r="B2093" s="7" t="n"/>
      <c r="C2093" s="11">
        <f>IF(AND(ISNUMBER(B2093),ISNUMBER(B2092)),ABS(B2093-B2092),"")</f>
        <v/>
      </c>
      <c r="D2093" s="13">
        <f>IF(AND(ISNUMBER(B2093),ISNUMBER($B$88),ISNUMBER($D$88)),IF(B2093&gt;$D$88,"boven UCL",IF(B2093&lt;$B$88,"onder LCL","")),"")</f>
        <v/>
      </c>
      <c r="E2093" s="13">
        <f>IF(AND(ISNUMBER(C2093),ISNUMBER($B$89),ISNUMBER($D$89)),IF(C2093&gt;$D$89,"boven UCL",IF(C2093&lt;$B$89,"onder LCL","")),"")</f>
        <v/>
      </c>
      <c r="G2093" t="n">
        <v>1987</v>
      </c>
      <c r="H2093" s="7" t="n"/>
      <c r="I2093" s="7" t="n"/>
      <c r="J2093" s="11">
        <f>IF(AND(ISNUMBER(H2093),ISNUMBER(I2093),H2093&gt;0,ISNUMBER($B$94)),I2093/H2093,"")</f>
        <v/>
      </c>
      <c r="K2093" s="11">
        <f>IF(AND(ISNUMBER(H2093),ISNUMBER(I2093),H2093&gt;0,ISNUMBER($B$94)),MAX(0,$B$94-3*SQRT($B$94*(1-$B$94)/H2093)),"")</f>
        <v/>
      </c>
      <c r="L2093" s="11">
        <f>IF(AND(ISNUMBER(H2093),ISNUMBER(I2093),H2093&gt;0,ISNUMBER($B$94)),$B$94+3*SQRT($B$94*(1-$B$94)/H2093),"")</f>
        <v/>
      </c>
      <c r="M2093" s="13">
        <f>IF(AND(ISNUMBER(J2093),ISNUMBER(K2093),ISNUMBER(L2093)),IF(J2093&gt;L2093,"boven UCL",IF(J2093&lt;K2093,"onder LCL","")),"")</f>
        <v/>
      </c>
      <c r="O2093" t="n">
        <v>1987</v>
      </c>
      <c r="P2093" s="7" t="n"/>
      <c r="Q2093" s="7" t="n"/>
      <c r="R2093" s="11">
        <f>IF(AND(ISNUMBER(P2093),ISNUMBER(Q2093),P2093&gt;0,ISNUMBER($B$100)),Q2093/P2093,"")</f>
        <v/>
      </c>
      <c r="S2093" s="11">
        <f>IF(AND(ISNUMBER(P2093),ISNUMBER(Q2093),P2093&gt;0,ISNUMBER($B$100)),MAX(0,$B$100-3*SQRT($B$100/P2093)),"")</f>
        <v/>
      </c>
      <c r="T2093" s="11">
        <f>IF(AND(ISNUMBER(P2093),ISNUMBER(Q2093),P2093&gt;0,ISNUMBER($B$100)),$B$100+3*SQRT($B$100/P2093),"")</f>
        <v/>
      </c>
      <c r="U2093" s="13">
        <f>IF(AND(ISNUMBER(R2093),ISNUMBER(S2093),ISNUMBER(T2093)),IF(R2093&gt;T2093,"boven UCL",IF(R2093&lt;S2093,"onder LCL","")),"")</f>
        <v/>
      </c>
    </row>
    <row r="2094">
      <c r="A2094" t="n">
        <v>1988</v>
      </c>
      <c r="B2094" s="7" t="n"/>
      <c r="C2094" s="11">
        <f>IF(AND(ISNUMBER(B2094),ISNUMBER(B2093)),ABS(B2094-B2093),"")</f>
        <v/>
      </c>
      <c r="D2094" s="13">
        <f>IF(AND(ISNUMBER(B2094),ISNUMBER($B$88),ISNUMBER($D$88)),IF(B2094&gt;$D$88,"boven UCL",IF(B2094&lt;$B$88,"onder LCL","")),"")</f>
        <v/>
      </c>
      <c r="E2094" s="13">
        <f>IF(AND(ISNUMBER(C2094),ISNUMBER($B$89),ISNUMBER($D$89)),IF(C2094&gt;$D$89,"boven UCL",IF(C2094&lt;$B$89,"onder LCL","")),"")</f>
        <v/>
      </c>
      <c r="G2094" t="n">
        <v>1988</v>
      </c>
      <c r="H2094" s="7" t="n"/>
      <c r="I2094" s="7" t="n"/>
      <c r="J2094" s="11">
        <f>IF(AND(ISNUMBER(H2094),ISNUMBER(I2094),H2094&gt;0,ISNUMBER($B$94)),I2094/H2094,"")</f>
        <v/>
      </c>
      <c r="K2094" s="11">
        <f>IF(AND(ISNUMBER(H2094),ISNUMBER(I2094),H2094&gt;0,ISNUMBER($B$94)),MAX(0,$B$94-3*SQRT($B$94*(1-$B$94)/H2094)),"")</f>
        <v/>
      </c>
      <c r="L2094" s="11">
        <f>IF(AND(ISNUMBER(H2094),ISNUMBER(I2094),H2094&gt;0,ISNUMBER($B$94)),$B$94+3*SQRT($B$94*(1-$B$94)/H2094),"")</f>
        <v/>
      </c>
      <c r="M2094" s="13">
        <f>IF(AND(ISNUMBER(J2094),ISNUMBER(K2094),ISNUMBER(L2094)),IF(J2094&gt;L2094,"boven UCL",IF(J2094&lt;K2094,"onder LCL","")),"")</f>
        <v/>
      </c>
      <c r="O2094" t="n">
        <v>1988</v>
      </c>
      <c r="P2094" s="7" t="n"/>
      <c r="Q2094" s="7" t="n"/>
      <c r="R2094" s="11">
        <f>IF(AND(ISNUMBER(P2094),ISNUMBER(Q2094),P2094&gt;0,ISNUMBER($B$100)),Q2094/P2094,"")</f>
        <v/>
      </c>
      <c r="S2094" s="11">
        <f>IF(AND(ISNUMBER(P2094),ISNUMBER(Q2094),P2094&gt;0,ISNUMBER($B$100)),MAX(0,$B$100-3*SQRT($B$100/P2094)),"")</f>
        <v/>
      </c>
      <c r="T2094" s="11">
        <f>IF(AND(ISNUMBER(P2094),ISNUMBER(Q2094),P2094&gt;0,ISNUMBER($B$100)),$B$100+3*SQRT($B$100/P2094),"")</f>
        <v/>
      </c>
      <c r="U2094" s="13">
        <f>IF(AND(ISNUMBER(R2094),ISNUMBER(S2094),ISNUMBER(T2094)),IF(R2094&gt;T2094,"boven UCL",IF(R2094&lt;S2094,"onder LCL","")),"")</f>
        <v/>
      </c>
    </row>
    <row r="2095">
      <c r="A2095" t="n">
        <v>1989</v>
      </c>
      <c r="B2095" s="7" t="n"/>
      <c r="C2095" s="11">
        <f>IF(AND(ISNUMBER(B2095),ISNUMBER(B2094)),ABS(B2095-B2094),"")</f>
        <v/>
      </c>
      <c r="D2095" s="13">
        <f>IF(AND(ISNUMBER(B2095),ISNUMBER($B$88),ISNUMBER($D$88)),IF(B2095&gt;$D$88,"boven UCL",IF(B2095&lt;$B$88,"onder LCL","")),"")</f>
        <v/>
      </c>
      <c r="E2095" s="13">
        <f>IF(AND(ISNUMBER(C2095),ISNUMBER($B$89),ISNUMBER($D$89)),IF(C2095&gt;$D$89,"boven UCL",IF(C2095&lt;$B$89,"onder LCL","")),"")</f>
        <v/>
      </c>
      <c r="G2095" t="n">
        <v>1989</v>
      </c>
      <c r="H2095" s="7" t="n"/>
      <c r="I2095" s="7" t="n"/>
      <c r="J2095" s="11">
        <f>IF(AND(ISNUMBER(H2095),ISNUMBER(I2095),H2095&gt;0,ISNUMBER($B$94)),I2095/H2095,"")</f>
        <v/>
      </c>
      <c r="K2095" s="11">
        <f>IF(AND(ISNUMBER(H2095),ISNUMBER(I2095),H2095&gt;0,ISNUMBER($B$94)),MAX(0,$B$94-3*SQRT($B$94*(1-$B$94)/H2095)),"")</f>
        <v/>
      </c>
      <c r="L2095" s="11">
        <f>IF(AND(ISNUMBER(H2095),ISNUMBER(I2095),H2095&gt;0,ISNUMBER($B$94)),$B$94+3*SQRT($B$94*(1-$B$94)/H2095),"")</f>
        <v/>
      </c>
      <c r="M2095" s="13">
        <f>IF(AND(ISNUMBER(J2095),ISNUMBER(K2095),ISNUMBER(L2095)),IF(J2095&gt;L2095,"boven UCL",IF(J2095&lt;K2095,"onder LCL","")),"")</f>
        <v/>
      </c>
      <c r="O2095" t="n">
        <v>1989</v>
      </c>
      <c r="P2095" s="7" t="n"/>
      <c r="Q2095" s="7" t="n"/>
      <c r="R2095" s="11">
        <f>IF(AND(ISNUMBER(P2095),ISNUMBER(Q2095),P2095&gt;0,ISNUMBER($B$100)),Q2095/P2095,"")</f>
        <v/>
      </c>
      <c r="S2095" s="11">
        <f>IF(AND(ISNUMBER(P2095),ISNUMBER(Q2095),P2095&gt;0,ISNUMBER($B$100)),MAX(0,$B$100-3*SQRT($B$100/P2095)),"")</f>
        <v/>
      </c>
      <c r="T2095" s="11">
        <f>IF(AND(ISNUMBER(P2095),ISNUMBER(Q2095),P2095&gt;0,ISNUMBER($B$100)),$B$100+3*SQRT($B$100/P2095),"")</f>
        <v/>
      </c>
      <c r="U2095" s="13">
        <f>IF(AND(ISNUMBER(R2095),ISNUMBER(S2095),ISNUMBER(T2095)),IF(R2095&gt;T2095,"boven UCL",IF(R2095&lt;S2095,"onder LCL","")),"")</f>
        <v/>
      </c>
    </row>
    <row r="2096">
      <c r="A2096" t="n">
        <v>1990</v>
      </c>
      <c r="B2096" s="7" t="n"/>
      <c r="C2096" s="11">
        <f>IF(AND(ISNUMBER(B2096),ISNUMBER(B2095)),ABS(B2096-B2095),"")</f>
        <v/>
      </c>
      <c r="D2096" s="13">
        <f>IF(AND(ISNUMBER(B2096),ISNUMBER($B$88),ISNUMBER($D$88)),IF(B2096&gt;$D$88,"boven UCL",IF(B2096&lt;$B$88,"onder LCL","")),"")</f>
        <v/>
      </c>
      <c r="E2096" s="13">
        <f>IF(AND(ISNUMBER(C2096),ISNUMBER($B$89),ISNUMBER($D$89)),IF(C2096&gt;$D$89,"boven UCL",IF(C2096&lt;$B$89,"onder LCL","")),"")</f>
        <v/>
      </c>
      <c r="G2096" t="n">
        <v>1990</v>
      </c>
      <c r="H2096" s="7" t="n"/>
      <c r="I2096" s="7" t="n"/>
      <c r="J2096" s="11">
        <f>IF(AND(ISNUMBER(H2096),ISNUMBER(I2096),H2096&gt;0,ISNUMBER($B$94)),I2096/H2096,"")</f>
        <v/>
      </c>
      <c r="K2096" s="11">
        <f>IF(AND(ISNUMBER(H2096),ISNUMBER(I2096),H2096&gt;0,ISNUMBER($B$94)),MAX(0,$B$94-3*SQRT($B$94*(1-$B$94)/H2096)),"")</f>
        <v/>
      </c>
      <c r="L2096" s="11">
        <f>IF(AND(ISNUMBER(H2096),ISNUMBER(I2096),H2096&gt;0,ISNUMBER($B$94)),$B$94+3*SQRT($B$94*(1-$B$94)/H2096),"")</f>
        <v/>
      </c>
      <c r="M2096" s="13">
        <f>IF(AND(ISNUMBER(J2096),ISNUMBER(K2096),ISNUMBER(L2096)),IF(J2096&gt;L2096,"boven UCL",IF(J2096&lt;K2096,"onder LCL","")),"")</f>
        <v/>
      </c>
      <c r="O2096" t="n">
        <v>1990</v>
      </c>
      <c r="P2096" s="7" t="n"/>
      <c r="Q2096" s="7" t="n"/>
      <c r="R2096" s="11">
        <f>IF(AND(ISNUMBER(P2096),ISNUMBER(Q2096),P2096&gt;0,ISNUMBER($B$100)),Q2096/P2096,"")</f>
        <v/>
      </c>
      <c r="S2096" s="11">
        <f>IF(AND(ISNUMBER(P2096),ISNUMBER(Q2096),P2096&gt;0,ISNUMBER($B$100)),MAX(0,$B$100-3*SQRT($B$100/P2096)),"")</f>
        <v/>
      </c>
      <c r="T2096" s="11">
        <f>IF(AND(ISNUMBER(P2096),ISNUMBER(Q2096),P2096&gt;0,ISNUMBER($B$100)),$B$100+3*SQRT($B$100/P2096),"")</f>
        <v/>
      </c>
      <c r="U2096" s="13">
        <f>IF(AND(ISNUMBER(R2096),ISNUMBER(S2096),ISNUMBER(T2096)),IF(R2096&gt;T2096,"boven UCL",IF(R2096&lt;S2096,"onder LCL","")),"")</f>
        <v/>
      </c>
    </row>
    <row r="2097">
      <c r="A2097" t="n">
        <v>1991</v>
      </c>
      <c r="B2097" s="7" t="n"/>
      <c r="C2097" s="11">
        <f>IF(AND(ISNUMBER(B2097),ISNUMBER(B2096)),ABS(B2097-B2096),"")</f>
        <v/>
      </c>
      <c r="D2097" s="13">
        <f>IF(AND(ISNUMBER(B2097),ISNUMBER($B$88),ISNUMBER($D$88)),IF(B2097&gt;$D$88,"boven UCL",IF(B2097&lt;$B$88,"onder LCL","")),"")</f>
        <v/>
      </c>
      <c r="E2097" s="13">
        <f>IF(AND(ISNUMBER(C2097),ISNUMBER($B$89),ISNUMBER($D$89)),IF(C2097&gt;$D$89,"boven UCL",IF(C2097&lt;$B$89,"onder LCL","")),"")</f>
        <v/>
      </c>
      <c r="G2097" t="n">
        <v>1991</v>
      </c>
      <c r="H2097" s="7" t="n"/>
      <c r="I2097" s="7" t="n"/>
      <c r="J2097" s="11">
        <f>IF(AND(ISNUMBER(H2097),ISNUMBER(I2097),H2097&gt;0,ISNUMBER($B$94)),I2097/H2097,"")</f>
        <v/>
      </c>
      <c r="K2097" s="11">
        <f>IF(AND(ISNUMBER(H2097),ISNUMBER(I2097),H2097&gt;0,ISNUMBER($B$94)),MAX(0,$B$94-3*SQRT($B$94*(1-$B$94)/H2097)),"")</f>
        <v/>
      </c>
      <c r="L2097" s="11">
        <f>IF(AND(ISNUMBER(H2097),ISNUMBER(I2097),H2097&gt;0,ISNUMBER($B$94)),$B$94+3*SQRT($B$94*(1-$B$94)/H2097),"")</f>
        <v/>
      </c>
      <c r="M2097" s="13">
        <f>IF(AND(ISNUMBER(J2097),ISNUMBER(K2097),ISNUMBER(L2097)),IF(J2097&gt;L2097,"boven UCL",IF(J2097&lt;K2097,"onder LCL","")),"")</f>
        <v/>
      </c>
      <c r="O2097" t="n">
        <v>1991</v>
      </c>
      <c r="P2097" s="7" t="n"/>
      <c r="Q2097" s="7" t="n"/>
      <c r="R2097" s="11">
        <f>IF(AND(ISNUMBER(P2097),ISNUMBER(Q2097),P2097&gt;0,ISNUMBER($B$100)),Q2097/P2097,"")</f>
        <v/>
      </c>
      <c r="S2097" s="11">
        <f>IF(AND(ISNUMBER(P2097),ISNUMBER(Q2097),P2097&gt;0,ISNUMBER($B$100)),MAX(0,$B$100-3*SQRT($B$100/P2097)),"")</f>
        <v/>
      </c>
      <c r="T2097" s="11">
        <f>IF(AND(ISNUMBER(P2097),ISNUMBER(Q2097),P2097&gt;0,ISNUMBER($B$100)),$B$100+3*SQRT($B$100/P2097),"")</f>
        <v/>
      </c>
      <c r="U2097" s="13">
        <f>IF(AND(ISNUMBER(R2097),ISNUMBER(S2097),ISNUMBER(T2097)),IF(R2097&gt;T2097,"boven UCL",IF(R2097&lt;S2097,"onder LCL","")),"")</f>
        <v/>
      </c>
    </row>
    <row r="2098">
      <c r="A2098" t="n">
        <v>1992</v>
      </c>
      <c r="B2098" s="7" t="n"/>
      <c r="C2098" s="11">
        <f>IF(AND(ISNUMBER(B2098),ISNUMBER(B2097)),ABS(B2098-B2097),"")</f>
        <v/>
      </c>
      <c r="D2098" s="13">
        <f>IF(AND(ISNUMBER(B2098),ISNUMBER($B$88),ISNUMBER($D$88)),IF(B2098&gt;$D$88,"boven UCL",IF(B2098&lt;$B$88,"onder LCL","")),"")</f>
        <v/>
      </c>
      <c r="E2098" s="13">
        <f>IF(AND(ISNUMBER(C2098),ISNUMBER($B$89),ISNUMBER($D$89)),IF(C2098&gt;$D$89,"boven UCL",IF(C2098&lt;$B$89,"onder LCL","")),"")</f>
        <v/>
      </c>
      <c r="G2098" t="n">
        <v>1992</v>
      </c>
      <c r="H2098" s="7" t="n"/>
      <c r="I2098" s="7" t="n"/>
      <c r="J2098" s="11">
        <f>IF(AND(ISNUMBER(H2098),ISNUMBER(I2098),H2098&gt;0,ISNUMBER($B$94)),I2098/H2098,"")</f>
        <v/>
      </c>
      <c r="K2098" s="11">
        <f>IF(AND(ISNUMBER(H2098),ISNUMBER(I2098),H2098&gt;0,ISNUMBER($B$94)),MAX(0,$B$94-3*SQRT($B$94*(1-$B$94)/H2098)),"")</f>
        <v/>
      </c>
      <c r="L2098" s="11">
        <f>IF(AND(ISNUMBER(H2098),ISNUMBER(I2098),H2098&gt;0,ISNUMBER($B$94)),$B$94+3*SQRT($B$94*(1-$B$94)/H2098),"")</f>
        <v/>
      </c>
      <c r="M2098" s="13">
        <f>IF(AND(ISNUMBER(J2098),ISNUMBER(K2098),ISNUMBER(L2098)),IF(J2098&gt;L2098,"boven UCL",IF(J2098&lt;K2098,"onder LCL","")),"")</f>
        <v/>
      </c>
      <c r="O2098" t="n">
        <v>1992</v>
      </c>
      <c r="P2098" s="7" t="n"/>
      <c r="Q2098" s="7" t="n"/>
      <c r="R2098" s="11">
        <f>IF(AND(ISNUMBER(P2098),ISNUMBER(Q2098),P2098&gt;0,ISNUMBER($B$100)),Q2098/P2098,"")</f>
        <v/>
      </c>
      <c r="S2098" s="11">
        <f>IF(AND(ISNUMBER(P2098),ISNUMBER(Q2098),P2098&gt;0,ISNUMBER($B$100)),MAX(0,$B$100-3*SQRT($B$100/P2098)),"")</f>
        <v/>
      </c>
      <c r="T2098" s="11">
        <f>IF(AND(ISNUMBER(P2098),ISNUMBER(Q2098),P2098&gt;0,ISNUMBER($B$100)),$B$100+3*SQRT($B$100/P2098),"")</f>
        <v/>
      </c>
      <c r="U2098" s="13">
        <f>IF(AND(ISNUMBER(R2098),ISNUMBER(S2098),ISNUMBER(T2098)),IF(R2098&gt;T2098,"boven UCL",IF(R2098&lt;S2098,"onder LCL","")),"")</f>
        <v/>
      </c>
    </row>
    <row r="2099">
      <c r="A2099" t="n">
        <v>1993</v>
      </c>
      <c r="B2099" s="7" t="n"/>
      <c r="C2099" s="11">
        <f>IF(AND(ISNUMBER(B2099),ISNUMBER(B2098)),ABS(B2099-B2098),"")</f>
        <v/>
      </c>
      <c r="D2099" s="13">
        <f>IF(AND(ISNUMBER(B2099),ISNUMBER($B$88),ISNUMBER($D$88)),IF(B2099&gt;$D$88,"boven UCL",IF(B2099&lt;$B$88,"onder LCL","")),"")</f>
        <v/>
      </c>
      <c r="E2099" s="13">
        <f>IF(AND(ISNUMBER(C2099),ISNUMBER($B$89),ISNUMBER($D$89)),IF(C2099&gt;$D$89,"boven UCL",IF(C2099&lt;$B$89,"onder LCL","")),"")</f>
        <v/>
      </c>
      <c r="G2099" t="n">
        <v>1993</v>
      </c>
      <c r="H2099" s="7" t="n"/>
      <c r="I2099" s="7" t="n"/>
      <c r="J2099" s="11">
        <f>IF(AND(ISNUMBER(H2099),ISNUMBER(I2099),H2099&gt;0,ISNUMBER($B$94)),I2099/H2099,"")</f>
        <v/>
      </c>
      <c r="K2099" s="11">
        <f>IF(AND(ISNUMBER(H2099),ISNUMBER(I2099),H2099&gt;0,ISNUMBER($B$94)),MAX(0,$B$94-3*SQRT($B$94*(1-$B$94)/H2099)),"")</f>
        <v/>
      </c>
      <c r="L2099" s="11">
        <f>IF(AND(ISNUMBER(H2099),ISNUMBER(I2099),H2099&gt;0,ISNUMBER($B$94)),$B$94+3*SQRT($B$94*(1-$B$94)/H2099),"")</f>
        <v/>
      </c>
      <c r="M2099" s="13">
        <f>IF(AND(ISNUMBER(J2099),ISNUMBER(K2099),ISNUMBER(L2099)),IF(J2099&gt;L2099,"boven UCL",IF(J2099&lt;K2099,"onder LCL","")),"")</f>
        <v/>
      </c>
      <c r="O2099" t="n">
        <v>1993</v>
      </c>
      <c r="P2099" s="7" t="n"/>
      <c r="Q2099" s="7" t="n"/>
      <c r="R2099" s="11">
        <f>IF(AND(ISNUMBER(P2099),ISNUMBER(Q2099),P2099&gt;0,ISNUMBER($B$100)),Q2099/P2099,"")</f>
        <v/>
      </c>
      <c r="S2099" s="11">
        <f>IF(AND(ISNUMBER(P2099),ISNUMBER(Q2099),P2099&gt;0,ISNUMBER($B$100)),MAX(0,$B$100-3*SQRT($B$100/P2099)),"")</f>
        <v/>
      </c>
      <c r="T2099" s="11">
        <f>IF(AND(ISNUMBER(P2099),ISNUMBER(Q2099),P2099&gt;0,ISNUMBER($B$100)),$B$100+3*SQRT($B$100/P2099),"")</f>
        <v/>
      </c>
      <c r="U2099" s="13">
        <f>IF(AND(ISNUMBER(R2099),ISNUMBER(S2099),ISNUMBER(T2099)),IF(R2099&gt;T2099,"boven UCL",IF(R2099&lt;S2099,"onder LCL","")),"")</f>
        <v/>
      </c>
    </row>
    <row r="2100">
      <c r="A2100" t="n">
        <v>1994</v>
      </c>
      <c r="B2100" s="7" t="n"/>
      <c r="C2100" s="11">
        <f>IF(AND(ISNUMBER(B2100),ISNUMBER(B2099)),ABS(B2100-B2099),"")</f>
        <v/>
      </c>
      <c r="D2100" s="13">
        <f>IF(AND(ISNUMBER(B2100),ISNUMBER($B$88),ISNUMBER($D$88)),IF(B2100&gt;$D$88,"boven UCL",IF(B2100&lt;$B$88,"onder LCL","")),"")</f>
        <v/>
      </c>
      <c r="E2100" s="13">
        <f>IF(AND(ISNUMBER(C2100),ISNUMBER($B$89),ISNUMBER($D$89)),IF(C2100&gt;$D$89,"boven UCL",IF(C2100&lt;$B$89,"onder LCL","")),"")</f>
        <v/>
      </c>
      <c r="G2100" t="n">
        <v>1994</v>
      </c>
      <c r="H2100" s="7" t="n"/>
      <c r="I2100" s="7" t="n"/>
      <c r="J2100" s="11">
        <f>IF(AND(ISNUMBER(H2100),ISNUMBER(I2100),H2100&gt;0,ISNUMBER($B$94)),I2100/H2100,"")</f>
        <v/>
      </c>
      <c r="K2100" s="11">
        <f>IF(AND(ISNUMBER(H2100),ISNUMBER(I2100),H2100&gt;0,ISNUMBER($B$94)),MAX(0,$B$94-3*SQRT($B$94*(1-$B$94)/H2100)),"")</f>
        <v/>
      </c>
      <c r="L2100" s="11">
        <f>IF(AND(ISNUMBER(H2100),ISNUMBER(I2100),H2100&gt;0,ISNUMBER($B$94)),$B$94+3*SQRT($B$94*(1-$B$94)/H2100),"")</f>
        <v/>
      </c>
      <c r="M2100" s="13">
        <f>IF(AND(ISNUMBER(J2100),ISNUMBER(K2100),ISNUMBER(L2100)),IF(J2100&gt;L2100,"boven UCL",IF(J2100&lt;K2100,"onder LCL","")),"")</f>
        <v/>
      </c>
      <c r="O2100" t="n">
        <v>1994</v>
      </c>
      <c r="P2100" s="7" t="n"/>
      <c r="Q2100" s="7" t="n"/>
      <c r="R2100" s="11">
        <f>IF(AND(ISNUMBER(P2100),ISNUMBER(Q2100),P2100&gt;0,ISNUMBER($B$100)),Q2100/P2100,"")</f>
        <v/>
      </c>
      <c r="S2100" s="11">
        <f>IF(AND(ISNUMBER(P2100),ISNUMBER(Q2100),P2100&gt;0,ISNUMBER($B$100)),MAX(0,$B$100-3*SQRT($B$100/P2100)),"")</f>
        <v/>
      </c>
      <c r="T2100" s="11">
        <f>IF(AND(ISNUMBER(P2100),ISNUMBER(Q2100),P2100&gt;0,ISNUMBER($B$100)),$B$100+3*SQRT($B$100/P2100),"")</f>
        <v/>
      </c>
      <c r="U2100" s="13">
        <f>IF(AND(ISNUMBER(R2100),ISNUMBER(S2100),ISNUMBER(T2100)),IF(R2100&gt;T2100,"boven UCL",IF(R2100&lt;S2100,"onder LCL","")),"")</f>
        <v/>
      </c>
    </row>
    <row r="2101">
      <c r="A2101" t="n">
        <v>1995</v>
      </c>
      <c r="B2101" s="7" t="n"/>
      <c r="C2101" s="11">
        <f>IF(AND(ISNUMBER(B2101),ISNUMBER(B2100)),ABS(B2101-B2100),"")</f>
        <v/>
      </c>
      <c r="D2101" s="13">
        <f>IF(AND(ISNUMBER(B2101),ISNUMBER($B$88),ISNUMBER($D$88)),IF(B2101&gt;$D$88,"boven UCL",IF(B2101&lt;$B$88,"onder LCL","")),"")</f>
        <v/>
      </c>
      <c r="E2101" s="13">
        <f>IF(AND(ISNUMBER(C2101),ISNUMBER($B$89),ISNUMBER($D$89)),IF(C2101&gt;$D$89,"boven UCL",IF(C2101&lt;$B$89,"onder LCL","")),"")</f>
        <v/>
      </c>
      <c r="G2101" t="n">
        <v>1995</v>
      </c>
      <c r="H2101" s="7" t="n"/>
      <c r="I2101" s="7" t="n"/>
      <c r="J2101" s="11">
        <f>IF(AND(ISNUMBER(H2101),ISNUMBER(I2101),H2101&gt;0,ISNUMBER($B$94)),I2101/H2101,"")</f>
        <v/>
      </c>
      <c r="K2101" s="11">
        <f>IF(AND(ISNUMBER(H2101),ISNUMBER(I2101),H2101&gt;0,ISNUMBER($B$94)),MAX(0,$B$94-3*SQRT($B$94*(1-$B$94)/H2101)),"")</f>
        <v/>
      </c>
      <c r="L2101" s="11">
        <f>IF(AND(ISNUMBER(H2101),ISNUMBER(I2101),H2101&gt;0,ISNUMBER($B$94)),$B$94+3*SQRT($B$94*(1-$B$94)/H2101),"")</f>
        <v/>
      </c>
      <c r="M2101" s="13">
        <f>IF(AND(ISNUMBER(J2101),ISNUMBER(K2101),ISNUMBER(L2101)),IF(J2101&gt;L2101,"boven UCL",IF(J2101&lt;K2101,"onder LCL","")),"")</f>
        <v/>
      </c>
      <c r="O2101" t="n">
        <v>1995</v>
      </c>
      <c r="P2101" s="7" t="n"/>
      <c r="Q2101" s="7" t="n"/>
      <c r="R2101" s="11">
        <f>IF(AND(ISNUMBER(P2101),ISNUMBER(Q2101),P2101&gt;0,ISNUMBER($B$100)),Q2101/P2101,"")</f>
        <v/>
      </c>
      <c r="S2101" s="11">
        <f>IF(AND(ISNUMBER(P2101),ISNUMBER(Q2101),P2101&gt;0,ISNUMBER($B$100)),MAX(0,$B$100-3*SQRT($B$100/P2101)),"")</f>
        <v/>
      </c>
      <c r="T2101" s="11">
        <f>IF(AND(ISNUMBER(P2101),ISNUMBER(Q2101),P2101&gt;0,ISNUMBER($B$100)),$B$100+3*SQRT($B$100/P2101),"")</f>
        <v/>
      </c>
      <c r="U2101" s="13">
        <f>IF(AND(ISNUMBER(R2101),ISNUMBER(S2101),ISNUMBER(T2101)),IF(R2101&gt;T2101,"boven UCL",IF(R2101&lt;S2101,"onder LCL","")),"")</f>
        <v/>
      </c>
    </row>
    <row r="2102">
      <c r="A2102" t="n">
        <v>1996</v>
      </c>
      <c r="B2102" s="7" t="n"/>
      <c r="C2102" s="11">
        <f>IF(AND(ISNUMBER(B2102),ISNUMBER(B2101)),ABS(B2102-B2101),"")</f>
        <v/>
      </c>
      <c r="D2102" s="13">
        <f>IF(AND(ISNUMBER(B2102),ISNUMBER($B$88),ISNUMBER($D$88)),IF(B2102&gt;$D$88,"boven UCL",IF(B2102&lt;$B$88,"onder LCL","")),"")</f>
        <v/>
      </c>
      <c r="E2102" s="13">
        <f>IF(AND(ISNUMBER(C2102),ISNUMBER($B$89),ISNUMBER($D$89)),IF(C2102&gt;$D$89,"boven UCL",IF(C2102&lt;$B$89,"onder LCL","")),"")</f>
        <v/>
      </c>
      <c r="G2102" t="n">
        <v>1996</v>
      </c>
      <c r="H2102" s="7" t="n"/>
      <c r="I2102" s="7" t="n"/>
      <c r="J2102" s="11">
        <f>IF(AND(ISNUMBER(H2102),ISNUMBER(I2102),H2102&gt;0,ISNUMBER($B$94)),I2102/H2102,"")</f>
        <v/>
      </c>
      <c r="K2102" s="11">
        <f>IF(AND(ISNUMBER(H2102),ISNUMBER(I2102),H2102&gt;0,ISNUMBER($B$94)),MAX(0,$B$94-3*SQRT($B$94*(1-$B$94)/H2102)),"")</f>
        <v/>
      </c>
      <c r="L2102" s="11">
        <f>IF(AND(ISNUMBER(H2102),ISNUMBER(I2102),H2102&gt;0,ISNUMBER($B$94)),$B$94+3*SQRT($B$94*(1-$B$94)/H2102),"")</f>
        <v/>
      </c>
      <c r="M2102" s="13">
        <f>IF(AND(ISNUMBER(J2102),ISNUMBER(K2102),ISNUMBER(L2102)),IF(J2102&gt;L2102,"boven UCL",IF(J2102&lt;K2102,"onder LCL","")),"")</f>
        <v/>
      </c>
      <c r="O2102" t="n">
        <v>1996</v>
      </c>
      <c r="P2102" s="7" t="n"/>
      <c r="Q2102" s="7" t="n"/>
      <c r="R2102" s="11">
        <f>IF(AND(ISNUMBER(P2102),ISNUMBER(Q2102),P2102&gt;0,ISNUMBER($B$100)),Q2102/P2102,"")</f>
        <v/>
      </c>
      <c r="S2102" s="11">
        <f>IF(AND(ISNUMBER(P2102),ISNUMBER(Q2102),P2102&gt;0,ISNUMBER($B$100)),MAX(0,$B$100-3*SQRT($B$100/P2102)),"")</f>
        <v/>
      </c>
      <c r="T2102" s="11">
        <f>IF(AND(ISNUMBER(P2102),ISNUMBER(Q2102),P2102&gt;0,ISNUMBER($B$100)),$B$100+3*SQRT($B$100/P2102),"")</f>
        <v/>
      </c>
      <c r="U2102" s="13">
        <f>IF(AND(ISNUMBER(R2102),ISNUMBER(S2102),ISNUMBER(T2102)),IF(R2102&gt;T2102,"boven UCL",IF(R2102&lt;S2102,"onder LCL","")),"")</f>
        <v/>
      </c>
    </row>
    <row r="2103">
      <c r="A2103" t="n">
        <v>1997</v>
      </c>
      <c r="B2103" s="7" t="n"/>
      <c r="C2103" s="11">
        <f>IF(AND(ISNUMBER(B2103),ISNUMBER(B2102)),ABS(B2103-B2102),"")</f>
        <v/>
      </c>
      <c r="D2103" s="13">
        <f>IF(AND(ISNUMBER(B2103),ISNUMBER($B$88),ISNUMBER($D$88)),IF(B2103&gt;$D$88,"boven UCL",IF(B2103&lt;$B$88,"onder LCL","")),"")</f>
        <v/>
      </c>
      <c r="E2103" s="13">
        <f>IF(AND(ISNUMBER(C2103),ISNUMBER($B$89),ISNUMBER($D$89)),IF(C2103&gt;$D$89,"boven UCL",IF(C2103&lt;$B$89,"onder LCL","")),"")</f>
        <v/>
      </c>
      <c r="G2103" t="n">
        <v>1997</v>
      </c>
      <c r="H2103" s="7" t="n"/>
      <c r="I2103" s="7" t="n"/>
      <c r="J2103" s="11">
        <f>IF(AND(ISNUMBER(H2103),ISNUMBER(I2103),H2103&gt;0,ISNUMBER($B$94)),I2103/H2103,"")</f>
        <v/>
      </c>
      <c r="K2103" s="11">
        <f>IF(AND(ISNUMBER(H2103),ISNUMBER(I2103),H2103&gt;0,ISNUMBER($B$94)),MAX(0,$B$94-3*SQRT($B$94*(1-$B$94)/H2103)),"")</f>
        <v/>
      </c>
      <c r="L2103" s="11">
        <f>IF(AND(ISNUMBER(H2103),ISNUMBER(I2103),H2103&gt;0,ISNUMBER($B$94)),$B$94+3*SQRT($B$94*(1-$B$94)/H2103),"")</f>
        <v/>
      </c>
      <c r="M2103" s="13">
        <f>IF(AND(ISNUMBER(J2103),ISNUMBER(K2103),ISNUMBER(L2103)),IF(J2103&gt;L2103,"boven UCL",IF(J2103&lt;K2103,"onder LCL","")),"")</f>
        <v/>
      </c>
      <c r="O2103" t="n">
        <v>1997</v>
      </c>
      <c r="P2103" s="7" t="n"/>
      <c r="Q2103" s="7" t="n"/>
      <c r="R2103" s="11">
        <f>IF(AND(ISNUMBER(P2103),ISNUMBER(Q2103),P2103&gt;0,ISNUMBER($B$100)),Q2103/P2103,"")</f>
        <v/>
      </c>
      <c r="S2103" s="11">
        <f>IF(AND(ISNUMBER(P2103),ISNUMBER(Q2103),P2103&gt;0,ISNUMBER($B$100)),MAX(0,$B$100-3*SQRT($B$100/P2103)),"")</f>
        <v/>
      </c>
      <c r="T2103" s="11">
        <f>IF(AND(ISNUMBER(P2103),ISNUMBER(Q2103),P2103&gt;0,ISNUMBER($B$100)),$B$100+3*SQRT($B$100/P2103),"")</f>
        <v/>
      </c>
      <c r="U2103" s="13">
        <f>IF(AND(ISNUMBER(R2103),ISNUMBER(S2103),ISNUMBER(T2103)),IF(R2103&gt;T2103,"boven UCL",IF(R2103&lt;S2103,"onder LCL","")),"")</f>
        <v/>
      </c>
    </row>
    <row r="2104">
      <c r="A2104" t="n">
        <v>1998</v>
      </c>
      <c r="B2104" s="7" t="n"/>
      <c r="C2104" s="11">
        <f>IF(AND(ISNUMBER(B2104),ISNUMBER(B2103)),ABS(B2104-B2103),"")</f>
        <v/>
      </c>
      <c r="D2104" s="13">
        <f>IF(AND(ISNUMBER(B2104),ISNUMBER($B$88),ISNUMBER($D$88)),IF(B2104&gt;$D$88,"boven UCL",IF(B2104&lt;$B$88,"onder LCL","")),"")</f>
        <v/>
      </c>
      <c r="E2104" s="13">
        <f>IF(AND(ISNUMBER(C2104),ISNUMBER($B$89),ISNUMBER($D$89)),IF(C2104&gt;$D$89,"boven UCL",IF(C2104&lt;$B$89,"onder LCL","")),"")</f>
        <v/>
      </c>
      <c r="G2104" t="n">
        <v>1998</v>
      </c>
      <c r="H2104" s="7" t="n"/>
      <c r="I2104" s="7" t="n"/>
      <c r="J2104" s="11">
        <f>IF(AND(ISNUMBER(H2104),ISNUMBER(I2104),H2104&gt;0,ISNUMBER($B$94)),I2104/H2104,"")</f>
        <v/>
      </c>
      <c r="K2104" s="11">
        <f>IF(AND(ISNUMBER(H2104),ISNUMBER(I2104),H2104&gt;0,ISNUMBER($B$94)),MAX(0,$B$94-3*SQRT($B$94*(1-$B$94)/H2104)),"")</f>
        <v/>
      </c>
      <c r="L2104" s="11">
        <f>IF(AND(ISNUMBER(H2104),ISNUMBER(I2104),H2104&gt;0,ISNUMBER($B$94)),$B$94+3*SQRT($B$94*(1-$B$94)/H2104),"")</f>
        <v/>
      </c>
      <c r="M2104" s="13">
        <f>IF(AND(ISNUMBER(J2104),ISNUMBER(K2104),ISNUMBER(L2104)),IF(J2104&gt;L2104,"boven UCL",IF(J2104&lt;K2104,"onder LCL","")),"")</f>
        <v/>
      </c>
      <c r="O2104" t="n">
        <v>1998</v>
      </c>
      <c r="P2104" s="7" t="n"/>
      <c r="Q2104" s="7" t="n"/>
      <c r="R2104" s="11">
        <f>IF(AND(ISNUMBER(P2104),ISNUMBER(Q2104),P2104&gt;0,ISNUMBER($B$100)),Q2104/P2104,"")</f>
        <v/>
      </c>
      <c r="S2104" s="11">
        <f>IF(AND(ISNUMBER(P2104),ISNUMBER(Q2104),P2104&gt;0,ISNUMBER($B$100)),MAX(0,$B$100-3*SQRT($B$100/P2104)),"")</f>
        <v/>
      </c>
      <c r="T2104" s="11">
        <f>IF(AND(ISNUMBER(P2104),ISNUMBER(Q2104),P2104&gt;0,ISNUMBER($B$100)),$B$100+3*SQRT($B$100/P2104),"")</f>
        <v/>
      </c>
      <c r="U2104" s="13">
        <f>IF(AND(ISNUMBER(R2104),ISNUMBER(S2104),ISNUMBER(T2104)),IF(R2104&gt;T2104,"boven UCL",IF(R2104&lt;S2104,"onder LCL","")),"")</f>
        <v/>
      </c>
    </row>
    <row r="2105">
      <c r="A2105" t="n">
        <v>1999</v>
      </c>
      <c r="B2105" s="7" t="n"/>
      <c r="C2105" s="11">
        <f>IF(AND(ISNUMBER(B2105),ISNUMBER(B2104)),ABS(B2105-B2104),"")</f>
        <v/>
      </c>
      <c r="D2105" s="13">
        <f>IF(AND(ISNUMBER(B2105),ISNUMBER($B$88),ISNUMBER($D$88)),IF(B2105&gt;$D$88,"boven UCL",IF(B2105&lt;$B$88,"onder LCL","")),"")</f>
        <v/>
      </c>
      <c r="E2105" s="13">
        <f>IF(AND(ISNUMBER(C2105),ISNUMBER($B$89),ISNUMBER($D$89)),IF(C2105&gt;$D$89,"boven UCL",IF(C2105&lt;$B$89,"onder LCL","")),"")</f>
        <v/>
      </c>
      <c r="G2105" t="n">
        <v>1999</v>
      </c>
      <c r="H2105" s="7" t="n"/>
      <c r="I2105" s="7" t="n"/>
      <c r="J2105" s="11">
        <f>IF(AND(ISNUMBER(H2105),ISNUMBER(I2105),H2105&gt;0,ISNUMBER($B$94)),I2105/H2105,"")</f>
        <v/>
      </c>
      <c r="K2105" s="11">
        <f>IF(AND(ISNUMBER(H2105),ISNUMBER(I2105),H2105&gt;0,ISNUMBER($B$94)),MAX(0,$B$94-3*SQRT($B$94*(1-$B$94)/H2105)),"")</f>
        <v/>
      </c>
      <c r="L2105" s="11">
        <f>IF(AND(ISNUMBER(H2105),ISNUMBER(I2105),H2105&gt;0,ISNUMBER($B$94)),$B$94+3*SQRT($B$94*(1-$B$94)/H2105),"")</f>
        <v/>
      </c>
      <c r="M2105" s="13">
        <f>IF(AND(ISNUMBER(J2105),ISNUMBER(K2105),ISNUMBER(L2105)),IF(J2105&gt;L2105,"boven UCL",IF(J2105&lt;K2105,"onder LCL","")),"")</f>
        <v/>
      </c>
      <c r="O2105" t="n">
        <v>1999</v>
      </c>
      <c r="P2105" s="7" t="n"/>
      <c r="Q2105" s="7" t="n"/>
      <c r="R2105" s="11">
        <f>IF(AND(ISNUMBER(P2105),ISNUMBER(Q2105),P2105&gt;0,ISNUMBER($B$100)),Q2105/P2105,"")</f>
        <v/>
      </c>
      <c r="S2105" s="11">
        <f>IF(AND(ISNUMBER(P2105),ISNUMBER(Q2105),P2105&gt;0,ISNUMBER($B$100)),MAX(0,$B$100-3*SQRT($B$100/P2105)),"")</f>
        <v/>
      </c>
      <c r="T2105" s="11">
        <f>IF(AND(ISNUMBER(P2105),ISNUMBER(Q2105),P2105&gt;0,ISNUMBER($B$100)),$B$100+3*SQRT($B$100/P2105),"")</f>
        <v/>
      </c>
      <c r="U2105" s="13">
        <f>IF(AND(ISNUMBER(R2105),ISNUMBER(S2105),ISNUMBER(T2105)),IF(R2105&gt;T2105,"boven UCL",IF(R2105&lt;S2105,"onder LCL","")),"")</f>
        <v/>
      </c>
    </row>
    <row r="2106">
      <c r="A2106" t="n">
        <v>2000</v>
      </c>
      <c r="B2106" s="7" t="n"/>
      <c r="C2106" s="11">
        <f>IF(AND(ISNUMBER(B2106),ISNUMBER(B2105)),ABS(B2106-B2105),"")</f>
        <v/>
      </c>
      <c r="D2106" s="13">
        <f>IF(AND(ISNUMBER(B2106),ISNUMBER($B$88),ISNUMBER($D$88)),IF(B2106&gt;$D$88,"boven UCL",IF(B2106&lt;$B$88,"onder LCL","")),"")</f>
        <v/>
      </c>
      <c r="E2106" s="13">
        <f>IF(AND(ISNUMBER(C2106),ISNUMBER($B$89),ISNUMBER($D$89)),IF(C2106&gt;$D$89,"boven UCL",IF(C2106&lt;$B$89,"onder LCL","")),"")</f>
        <v/>
      </c>
      <c r="G2106" t="n">
        <v>2000</v>
      </c>
      <c r="H2106" s="7" t="n"/>
      <c r="I2106" s="7" t="n"/>
      <c r="J2106" s="11">
        <f>IF(AND(ISNUMBER(H2106),ISNUMBER(I2106),H2106&gt;0,ISNUMBER($B$94)),I2106/H2106,"")</f>
        <v/>
      </c>
      <c r="K2106" s="11">
        <f>IF(AND(ISNUMBER(H2106),ISNUMBER(I2106),H2106&gt;0,ISNUMBER($B$94)),MAX(0,$B$94-3*SQRT($B$94*(1-$B$94)/H2106)),"")</f>
        <v/>
      </c>
      <c r="L2106" s="11">
        <f>IF(AND(ISNUMBER(H2106),ISNUMBER(I2106),H2106&gt;0,ISNUMBER($B$94)),$B$94+3*SQRT($B$94*(1-$B$94)/H2106),"")</f>
        <v/>
      </c>
      <c r="M2106" s="13">
        <f>IF(AND(ISNUMBER(J2106),ISNUMBER(K2106),ISNUMBER(L2106)),IF(J2106&gt;L2106,"boven UCL",IF(J2106&lt;K2106,"onder LCL","")),"")</f>
        <v/>
      </c>
      <c r="O2106" t="n">
        <v>2000</v>
      </c>
      <c r="P2106" s="7" t="n"/>
      <c r="Q2106" s="7" t="n"/>
      <c r="R2106" s="11">
        <f>IF(AND(ISNUMBER(P2106),ISNUMBER(Q2106),P2106&gt;0,ISNUMBER($B$100)),Q2106/P2106,"")</f>
        <v/>
      </c>
      <c r="S2106" s="11">
        <f>IF(AND(ISNUMBER(P2106),ISNUMBER(Q2106),P2106&gt;0,ISNUMBER($B$100)),MAX(0,$B$100-3*SQRT($B$100/P2106)),"")</f>
        <v/>
      </c>
      <c r="T2106" s="11">
        <f>IF(AND(ISNUMBER(P2106),ISNUMBER(Q2106),P2106&gt;0,ISNUMBER($B$100)),$B$100+3*SQRT($B$100/P2106),"")</f>
        <v/>
      </c>
      <c r="U2106" s="13">
        <f>IF(AND(ISNUMBER(R2106),ISNUMBER(S2106),ISNUMBER(T2106)),IF(R2106&gt;T2106,"boven UCL",IF(R2106&lt;S2106,"onder LCL","")),"")</f>
        <v/>
      </c>
    </row>
  </sheetData>
  <dataValidations count="2">
    <dataValidation sqref="B26 B27 B28 B29 B30 B31 B32 B33 B34 B35 B41 B51 B57" showDropDown="0" showInputMessage="0" showErrorMessage="1" allowBlank="1" errorTitle="Yield" error="Typ een yield als fractie, 0 tot 1." type="decimal" operator="between">
      <formula1>0</formula1>
      <formula2>1</formula2>
    </dataValidation>
    <dataValidation sqref="B69" showDropDown="0" showInputMessage="0" showErrorMessage="1" allowBlank="1" errorTitle="Spreiding moet positief zijn" error="MR̄ moet groter zijn dan 0." type="decimal" operator="greaterThan">
      <formula1>0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Tabellen: constanten voor regelkaarten (control charts), capabiliteit en MSA</t>
        </is>
      </c>
    </row>
    <row r="2">
      <c r="A2" s="2" t="inlineStr">
        <is>
          <t>Bron in de cursus</t>
        </is>
      </c>
      <c r="B2" s="3" t="inlineStr">
        <is>
          <t>source/course/Les 4/___4.1 tabellen SPC.pdf p. 1-2; Control charts - constants.pdf p. 1-2; Les 5/20260619_ottoy_tabel MSA.pdf p. 1; extra (niet te kennen): Six Sigma For Dummies.pdf p. 250</t>
        </is>
      </c>
    </row>
    <row r="3">
      <c r="A3" s="2" t="inlineStr">
        <is>
          <t>Gebruikte conventie</t>
        </is>
      </c>
      <c r="B3" s="3" t="inlineStr">
        <is>
          <t>Beslissing 4: de rekenbladen gebruiken Table 18; c4 en d3 uit Table A; A3, E2, B5, B6 uit Six Sigma Demystified. Elke bron staat er volledig, zoals gedrukt.</t>
        </is>
      </c>
    </row>
    <row r="4">
      <c r="A4" s="2" t="inlineStr">
        <is>
          <t>Status</t>
        </is>
      </c>
      <c r="B4" s="4" t="inlineStr">
        <is>
          <t>GEVERIFIEERD (VERIFIED): transcripties van beide gescande tabellen cel per cel dubbel gecontroleerd; waarden vergeleken met hun wiskundige definities in tests/test_constants.py</t>
        </is>
      </c>
    </row>
    <row r="5">
      <c r="A5" s="2" t="inlineStr">
        <is>
          <t>Legende</t>
        </is>
      </c>
      <c r="B5" s="3" t="inlineStr">
        <is>
          <t>Gele cel = vul hier in (invoer).  Groene cel = resultaat, niet overtypen.  Oranje cel (Tabellen) = verschilt van een andere gedrukte bron.</t>
        </is>
      </c>
    </row>
    <row r="6">
      <c r="A6" s="2" t="inlineStr">
        <is>
          <t>Controle</t>
        </is>
      </c>
      <c r="B6" s="3" t="inlineStr">
        <is>
          <t>Blijft een groene cel leeg, dan ontbreekt nog een invoer die ze nodig heeft.</t>
        </is>
      </c>
    </row>
    <row r="8">
      <c r="A8" s="6" t="inlineStr">
        <is>
          <t>Leeswijzer: elke tabel hieronder staat precies zoals gedrukt in de cursus. De rekenbladen nemen d2, A2, D3, D4 ... uit Table 18; c4 en d3 uit Table A; A3, E2, B5, B6 uit Six Sigma Demystified. Oranje = die waarde verschilt (meer dan afronding) van een andere bron voor dezelfde n; beweeg over de cel om de andere waarden te zien. Onderaan, als extra: Six Sigma For Dummies (niet te kennen voor het examen).</t>
        </is>
      </c>
    </row>
    <row r="10">
      <c r="A10" s="20" t="inlineStr">
        <is>
          <t>Tabel 18: factoren voor de lijnen van regelkaarten (gedrukte titel: 'Table 18 - Factors for Computing Control-Chart Lines')</t>
        </is>
      </c>
    </row>
    <row r="11">
      <c r="A11" s="8" t="inlineStr">
        <is>
          <t>Bron: source/course/Les 4/___4.1 tabellen SPC.pdf p. 2. Volgens die pagina overgenomen uit: E.L. Crow, F.A. Davis, M.W. Maxfield, Statistics Manual, 1960 (adapted from ASTM, 1951).</t>
        </is>
      </c>
    </row>
    <row r="12">
      <c r="A12" s="20" t="inlineStr">
        <is>
          <t>GEBRUIKT door de rekenbladen (de oefenwerkboeken van de docent gebruiken deze waarden).</t>
        </is>
      </c>
    </row>
    <row r="13">
      <c r="A13" s="10" t="inlineStr">
        <is>
          <t>Steekproefgrootte n</t>
        </is>
      </c>
      <c r="B13" s="10" t="inlineStr">
        <is>
          <t>A</t>
        </is>
      </c>
      <c r="C13" s="10" t="inlineStr">
        <is>
          <t>A0</t>
        </is>
      </c>
      <c r="D13" s="10" t="inlineStr">
        <is>
          <t>A1</t>
        </is>
      </c>
      <c r="E13" s="10" t="inlineStr">
        <is>
          <t>A2</t>
        </is>
      </c>
      <c r="F13" s="10" t="inlineStr">
        <is>
          <t>c2</t>
        </is>
      </c>
      <c r="G13" s="10" t="inlineStr">
        <is>
          <t>1/c2</t>
        </is>
      </c>
      <c r="H13" s="10" t="inlineStr">
        <is>
          <t>B1</t>
        </is>
      </c>
      <c r="I13" s="10" t="inlineStr">
        <is>
          <t>B2</t>
        </is>
      </c>
      <c r="J13" s="10" t="inlineStr">
        <is>
          <t>B3</t>
        </is>
      </c>
      <c r="K13" s="10" t="inlineStr">
        <is>
          <t>B4</t>
        </is>
      </c>
      <c r="L13" s="10" t="inlineStr">
        <is>
          <t>d2</t>
        </is>
      </c>
      <c r="M13" s="10" t="inlineStr">
        <is>
          <t>1/d2</t>
        </is>
      </c>
      <c r="N13" s="10" t="inlineStr">
        <is>
          <t>D1</t>
        </is>
      </c>
      <c r="O13" s="10" t="inlineStr">
        <is>
          <t>D2</t>
        </is>
      </c>
      <c r="P13" s="10" t="inlineStr">
        <is>
          <t>D3</t>
        </is>
      </c>
      <c r="Q13" s="10" t="inlineStr">
        <is>
          <t>D4</t>
        </is>
      </c>
    </row>
    <row r="14">
      <c r="A14" s="47" t="n">
        <v>2</v>
      </c>
      <c r="B14" s="48" t="n">
        <v>2.121</v>
      </c>
      <c r="C14" s="48" t="n">
        <v>3.76</v>
      </c>
      <c r="D14" s="48" t="n">
        <v>3.76</v>
      </c>
      <c r="E14" s="48" t="n">
        <v>1.88</v>
      </c>
      <c r="F14" s="21" t="n">
        <v>0.5642</v>
      </c>
      <c r="G14" s="21" t="n">
        <v>1.7725</v>
      </c>
      <c r="H14" s="47" t="n">
        <v>0</v>
      </c>
      <c r="I14" s="48" t="n">
        <v>1.843</v>
      </c>
      <c r="J14" s="47" t="n">
        <v>0</v>
      </c>
      <c r="K14" s="48" t="n">
        <v>3.267</v>
      </c>
      <c r="L14" s="48" t="n">
        <v>1.128</v>
      </c>
      <c r="M14" s="21" t="n">
        <v>0.8865</v>
      </c>
      <c r="N14" s="47" t="n">
        <v>0</v>
      </c>
      <c r="O14" s="48" t="n">
        <v>3.686</v>
      </c>
      <c r="P14" s="47" t="n">
        <v>0</v>
      </c>
      <c r="Q14" s="48" t="n">
        <v>3.267</v>
      </c>
    </row>
    <row r="15">
      <c r="A15" s="47" t="n">
        <v>3</v>
      </c>
      <c r="B15" s="48" t="n">
        <v>1.732</v>
      </c>
      <c r="C15" s="48" t="n">
        <v>3.07</v>
      </c>
      <c r="D15" s="48" t="n">
        <v>2.394</v>
      </c>
      <c r="E15" s="48" t="n">
        <v>1.023</v>
      </c>
      <c r="F15" s="21" t="n">
        <v>0.7236</v>
      </c>
      <c r="G15" s="21" t="n">
        <v>1.382</v>
      </c>
      <c r="H15" s="47" t="n">
        <v>0</v>
      </c>
      <c r="I15" s="48" t="n">
        <v>1.858</v>
      </c>
      <c r="J15" s="47" t="n">
        <v>0</v>
      </c>
      <c r="K15" s="48" t="n">
        <v>2.568</v>
      </c>
      <c r="L15" s="48" t="n">
        <v>1.693</v>
      </c>
      <c r="M15" s="21" t="n">
        <v>0.5907</v>
      </c>
      <c r="N15" s="47" t="n">
        <v>0</v>
      </c>
      <c r="O15" s="48" t="n">
        <v>4.358</v>
      </c>
      <c r="P15" s="47" t="n">
        <v>0</v>
      </c>
      <c r="Q15" s="49" t="n">
        <v>2.575</v>
      </c>
    </row>
    <row r="16">
      <c r="A16" s="47" t="n">
        <v>4</v>
      </c>
      <c r="B16" s="48" t="n">
        <v>1.5</v>
      </c>
      <c r="C16" s="48" t="n">
        <v>2.914</v>
      </c>
      <c r="D16" s="48" t="n">
        <v>1.88</v>
      </c>
      <c r="E16" s="48" t="n">
        <v>0.729</v>
      </c>
      <c r="F16" s="21" t="n">
        <v>0.7979000000000001</v>
      </c>
      <c r="G16" s="21" t="n">
        <v>1.2533</v>
      </c>
      <c r="H16" s="47" t="n">
        <v>0</v>
      </c>
      <c r="I16" s="48" t="n">
        <v>1.808</v>
      </c>
      <c r="J16" s="47" t="n">
        <v>0</v>
      </c>
      <c r="K16" s="48" t="n">
        <v>2.266</v>
      </c>
      <c r="L16" s="48" t="n">
        <v>2.059</v>
      </c>
      <c r="M16" s="21" t="n">
        <v>0.4857</v>
      </c>
      <c r="N16" s="47" t="n">
        <v>0</v>
      </c>
      <c r="O16" s="48" t="n">
        <v>4.698</v>
      </c>
      <c r="P16" s="47" t="n">
        <v>0</v>
      </c>
      <c r="Q16" s="48" t="n">
        <v>2.282</v>
      </c>
    </row>
    <row r="17">
      <c r="A17" s="47" t="n">
        <v>5</v>
      </c>
      <c r="B17" s="48" t="n">
        <v>1.342</v>
      </c>
      <c r="C17" s="48" t="n">
        <v>2.884</v>
      </c>
      <c r="D17" s="48" t="n">
        <v>1.596</v>
      </c>
      <c r="E17" s="48" t="n">
        <v>0.577</v>
      </c>
      <c r="F17" s="21" t="n">
        <v>0.8407</v>
      </c>
      <c r="G17" s="21" t="n">
        <v>1.1894</v>
      </c>
      <c r="H17" s="47" t="n">
        <v>0</v>
      </c>
      <c r="I17" s="48" t="n">
        <v>1.756</v>
      </c>
      <c r="J17" s="47" t="n">
        <v>0</v>
      </c>
      <c r="K17" s="48" t="n">
        <v>2.089</v>
      </c>
      <c r="L17" s="48" t="n">
        <v>2.326</v>
      </c>
      <c r="M17" s="21" t="n">
        <v>0.4299</v>
      </c>
      <c r="N17" s="47" t="n">
        <v>0</v>
      </c>
      <c r="O17" s="48" t="n">
        <v>4.918</v>
      </c>
      <c r="P17" s="47" t="n">
        <v>0</v>
      </c>
      <c r="Q17" s="49" t="n">
        <v>2.115</v>
      </c>
    </row>
    <row r="18">
      <c r="A18" s="47" t="n">
        <v>6</v>
      </c>
      <c r="B18" s="48" t="n">
        <v>1.225</v>
      </c>
      <c r="C18" s="48" t="n">
        <v>2.899</v>
      </c>
      <c r="D18" s="48" t="n">
        <v>1.41</v>
      </c>
      <c r="E18" s="48" t="n">
        <v>0.483</v>
      </c>
      <c r="F18" s="21" t="n">
        <v>0.8686</v>
      </c>
      <c r="G18" s="21" t="n">
        <v>1.1512</v>
      </c>
      <c r="H18" s="48" t="n">
        <v>0.026</v>
      </c>
      <c r="I18" s="48" t="n">
        <v>1.711</v>
      </c>
      <c r="J18" s="48" t="n">
        <v>0.03</v>
      </c>
      <c r="K18" s="48" t="n">
        <v>1.97</v>
      </c>
      <c r="L18" s="48" t="n">
        <v>2.534</v>
      </c>
      <c r="M18" s="21" t="n">
        <v>0.3946</v>
      </c>
      <c r="N18" s="47" t="n">
        <v>0</v>
      </c>
      <c r="O18" s="48" t="n">
        <v>5.078</v>
      </c>
      <c r="P18" s="47" t="n">
        <v>0</v>
      </c>
      <c r="Q18" s="48" t="n">
        <v>2.004</v>
      </c>
    </row>
    <row r="19">
      <c r="A19" s="47" t="n">
        <v>7</v>
      </c>
      <c r="B19" s="48" t="n">
        <v>1.134</v>
      </c>
      <c r="C19" s="48" t="n">
        <v>2.935</v>
      </c>
      <c r="D19" s="48" t="n">
        <v>1.277</v>
      </c>
      <c r="E19" s="48" t="n">
        <v>0.419</v>
      </c>
      <c r="F19" s="21" t="n">
        <v>0.8882</v>
      </c>
      <c r="G19" s="21" t="n">
        <v>1.1259</v>
      </c>
      <c r="H19" s="48" t="n">
        <v>0.105</v>
      </c>
      <c r="I19" s="48" t="n">
        <v>1.672</v>
      </c>
      <c r="J19" s="48" t="n">
        <v>0.118</v>
      </c>
      <c r="K19" s="48" t="n">
        <v>1.882</v>
      </c>
      <c r="L19" s="48" t="n">
        <v>2.704</v>
      </c>
      <c r="M19" s="21" t="n">
        <v>0.3698</v>
      </c>
      <c r="N19" s="49" t="n">
        <v>0.205</v>
      </c>
      <c r="O19" s="49" t="n">
        <v>5.203</v>
      </c>
      <c r="P19" s="48" t="n">
        <v>0.076</v>
      </c>
      <c r="Q19" s="48" t="n">
        <v>1.924</v>
      </c>
    </row>
    <row r="20">
      <c r="A20" s="47" t="n">
        <v>8</v>
      </c>
      <c r="B20" s="48" t="n">
        <v>1.061</v>
      </c>
      <c r="C20" s="48" t="n">
        <v>2.98</v>
      </c>
      <c r="D20" s="48" t="n">
        <v>1.175</v>
      </c>
      <c r="E20" s="48" t="n">
        <v>0.373</v>
      </c>
      <c r="F20" s="21" t="n">
        <v>0.9026999999999999</v>
      </c>
      <c r="G20" s="21" t="n">
        <v>1.1078</v>
      </c>
      <c r="H20" s="48" t="n">
        <v>0.167</v>
      </c>
      <c r="I20" s="48" t="n">
        <v>1.638</v>
      </c>
      <c r="J20" s="48" t="n">
        <v>0.185</v>
      </c>
      <c r="K20" s="48" t="n">
        <v>1.815</v>
      </c>
      <c r="L20" s="48" t="n">
        <v>2.847</v>
      </c>
      <c r="M20" s="21" t="n">
        <v>0.3512</v>
      </c>
      <c r="N20" s="49" t="n">
        <v>0.387</v>
      </c>
      <c r="O20" s="49" t="n">
        <v>5.307</v>
      </c>
      <c r="P20" s="48" t="n">
        <v>0.136</v>
      </c>
      <c r="Q20" s="48" t="n">
        <v>1.864</v>
      </c>
    </row>
    <row r="21">
      <c r="A21" s="47" t="n">
        <v>9</v>
      </c>
      <c r="B21" s="48" t="n">
        <v>1</v>
      </c>
      <c r="C21" s="48" t="n">
        <v>3.03</v>
      </c>
      <c r="D21" s="48" t="n">
        <v>1.094</v>
      </c>
      <c r="E21" s="48" t="n">
        <v>0.337</v>
      </c>
      <c r="F21" s="21" t="n">
        <v>0.9139</v>
      </c>
      <c r="G21" s="21" t="n">
        <v>1.0942</v>
      </c>
      <c r="H21" s="48" t="n">
        <v>0.219</v>
      </c>
      <c r="I21" s="48" t="n">
        <v>1.609</v>
      </c>
      <c r="J21" s="48" t="n">
        <v>0.239</v>
      </c>
      <c r="K21" s="48" t="n">
        <v>1.761</v>
      </c>
      <c r="L21" s="48" t="n">
        <v>2.97</v>
      </c>
      <c r="M21" s="21" t="n">
        <v>0.3367</v>
      </c>
      <c r="N21" s="49" t="n">
        <v>0.546</v>
      </c>
      <c r="O21" s="49" t="n">
        <v>5.394</v>
      </c>
      <c r="P21" s="48" t="n">
        <v>0.184</v>
      </c>
      <c r="Q21" s="48" t="n">
        <v>1.816</v>
      </c>
    </row>
    <row r="22">
      <c r="A22" s="47" t="n">
        <v>10</v>
      </c>
      <c r="B22" s="48" t="n">
        <v>0.949</v>
      </c>
      <c r="C22" s="48" t="n">
        <v>3.085</v>
      </c>
      <c r="D22" s="48" t="n">
        <v>1.028</v>
      </c>
      <c r="E22" s="48" t="n">
        <v>0.308</v>
      </c>
      <c r="F22" s="21" t="n">
        <v>0.9227</v>
      </c>
      <c r="G22" s="21" t="n">
        <v>1.0837</v>
      </c>
      <c r="H22" s="48" t="n">
        <v>0.262</v>
      </c>
      <c r="I22" s="48" t="n">
        <v>1.584</v>
      </c>
      <c r="J22" s="48" t="n">
        <v>0.284</v>
      </c>
      <c r="K22" s="48" t="n">
        <v>1.716</v>
      </c>
      <c r="L22" s="48" t="n">
        <v>3.078</v>
      </c>
      <c r="M22" s="21" t="n">
        <v>0.3249</v>
      </c>
      <c r="N22" s="48" t="n">
        <v>0.6870000000000001</v>
      </c>
      <c r="O22" s="48" t="n">
        <v>5.469</v>
      </c>
      <c r="P22" s="48" t="n">
        <v>0.223</v>
      </c>
      <c r="Q22" s="48" t="n">
        <v>1.777</v>
      </c>
    </row>
    <row r="23">
      <c r="A23" s="47" t="n">
        <v>11</v>
      </c>
      <c r="B23" s="48" t="n">
        <v>0.905</v>
      </c>
      <c r="C23" s="48" t="n">
        <v>3.136</v>
      </c>
      <c r="D23" s="48" t="n">
        <v>0.973</v>
      </c>
      <c r="E23" s="48" t="n">
        <v>0.285</v>
      </c>
      <c r="F23" s="21" t="n">
        <v>0.93</v>
      </c>
      <c r="G23" s="21" t="n">
        <v>1.0753</v>
      </c>
      <c r="H23" s="48" t="n">
        <v>0.299</v>
      </c>
      <c r="I23" s="48" t="n">
        <v>1.561</v>
      </c>
      <c r="J23" s="48" t="n">
        <v>0.321</v>
      </c>
      <c r="K23" s="48" t="n">
        <v>1.679</v>
      </c>
      <c r="L23" s="48" t="n">
        <v>3.173</v>
      </c>
      <c r="M23" s="21" t="n">
        <v>0.3152</v>
      </c>
      <c r="N23" s="49" t="n">
        <v>0.8120000000000001</v>
      </c>
      <c r="O23" s="49" t="n">
        <v>5.534</v>
      </c>
      <c r="P23" s="48" t="n">
        <v>0.256</v>
      </c>
      <c r="Q23" s="48" t="n">
        <v>1.744</v>
      </c>
    </row>
    <row r="24">
      <c r="A24" s="47" t="n">
        <v>12</v>
      </c>
      <c r="B24" s="48" t="n">
        <v>0.866</v>
      </c>
      <c r="C24" s="48" t="n">
        <v>3.189</v>
      </c>
      <c r="D24" s="48" t="n">
        <v>0.925</v>
      </c>
      <c r="E24" s="48" t="n">
        <v>0.266</v>
      </c>
      <c r="F24" s="21" t="n">
        <v>0.9359</v>
      </c>
      <c r="G24" s="21" t="n">
        <v>1.0684</v>
      </c>
      <c r="H24" s="48" t="n">
        <v>0.331</v>
      </c>
      <c r="I24" s="48" t="n">
        <v>1.541</v>
      </c>
      <c r="J24" s="48" t="n">
        <v>0.354</v>
      </c>
      <c r="K24" s="48" t="n">
        <v>1.646</v>
      </c>
      <c r="L24" s="48" t="n">
        <v>3.258</v>
      </c>
      <c r="M24" s="21" t="n">
        <v>0.3069</v>
      </c>
      <c r="N24" s="49" t="n">
        <v>0.924</v>
      </c>
      <c r="O24" s="49" t="n">
        <v>5.592</v>
      </c>
      <c r="P24" s="49" t="n">
        <v>0.284</v>
      </c>
      <c r="Q24" s="49" t="n">
        <v>1.716</v>
      </c>
    </row>
    <row r="25">
      <c r="A25" s="47" t="n">
        <v>13</v>
      </c>
      <c r="B25" s="48" t="n">
        <v>0.832</v>
      </c>
      <c r="C25" s="48" t="n">
        <v>3.242</v>
      </c>
      <c r="D25" s="48" t="n">
        <v>0.884</v>
      </c>
      <c r="E25" s="48" t="n">
        <v>0.249</v>
      </c>
      <c r="F25" s="21" t="n">
        <v>0.9409999999999999</v>
      </c>
      <c r="G25" s="21" t="n">
        <v>1.0627</v>
      </c>
      <c r="H25" s="48" t="n">
        <v>0.359</v>
      </c>
      <c r="I25" s="48" t="n">
        <v>1.523</v>
      </c>
      <c r="J25" s="48" t="n">
        <v>0.382</v>
      </c>
      <c r="K25" s="48" t="n">
        <v>1.618</v>
      </c>
      <c r="L25" s="48" t="n">
        <v>3.336</v>
      </c>
      <c r="M25" s="21" t="n">
        <v>0.2998</v>
      </c>
      <c r="N25" s="49" t="n">
        <v>1.026</v>
      </c>
      <c r="O25" s="49" t="n">
        <v>5.646</v>
      </c>
      <c r="P25" s="49" t="n">
        <v>0.308</v>
      </c>
      <c r="Q25" s="49" t="n">
        <v>1.692</v>
      </c>
    </row>
    <row r="26">
      <c r="A26" s="47" t="n">
        <v>14</v>
      </c>
      <c r="B26" s="48" t="n">
        <v>0.802</v>
      </c>
      <c r="C26" s="48" t="n">
        <v>3.295</v>
      </c>
      <c r="D26" s="48" t="n">
        <v>0.848</v>
      </c>
      <c r="E26" s="48" t="n">
        <v>0.235</v>
      </c>
      <c r="F26" s="21" t="n">
        <v>0.9453</v>
      </c>
      <c r="G26" s="21" t="n">
        <v>1.0579</v>
      </c>
      <c r="H26" s="48" t="n">
        <v>0.384</v>
      </c>
      <c r="I26" s="48" t="n">
        <v>1.507</v>
      </c>
      <c r="J26" s="48" t="n">
        <v>0.406</v>
      </c>
      <c r="K26" s="48" t="n">
        <v>1.594</v>
      </c>
      <c r="L26" s="48" t="n">
        <v>3.407</v>
      </c>
      <c r="M26" s="21" t="n">
        <v>0.2935</v>
      </c>
      <c r="N26" s="49" t="n">
        <v>1.121</v>
      </c>
      <c r="O26" s="49" t="n">
        <v>5.693</v>
      </c>
      <c r="P26" s="49" t="n">
        <v>0.329</v>
      </c>
      <c r="Q26" s="49" t="n">
        <v>1.671</v>
      </c>
    </row>
    <row r="27">
      <c r="A27" s="47" t="n">
        <v>15</v>
      </c>
      <c r="B27" s="48" t="n">
        <v>0.775</v>
      </c>
      <c r="C27" s="48" t="n">
        <v>3.347</v>
      </c>
      <c r="D27" s="48" t="n">
        <v>0.8159999999999999</v>
      </c>
      <c r="E27" s="48" t="n">
        <v>0.223</v>
      </c>
      <c r="F27" s="21" t="n">
        <v>0.949</v>
      </c>
      <c r="G27" s="21" t="n">
        <v>1.0537</v>
      </c>
      <c r="H27" s="48" t="n">
        <v>0.406</v>
      </c>
      <c r="I27" s="48" t="n">
        <v>1.492</v>
      </c>
      <c r="J27" s="48" t="n">
        <v>0.428</v>
      </c>
      <c r="K27" s="48" t="n">
        <v>1.572</v>
      </c>
      <c r="L27" s="48" t="n">
        <v>3.472</v>
      </c>
      <c r="M27" s="21" t="n">
        <v>0.288</v>
      </c>
      <c r="N27" s="49" t="n">
        <v>1.207</v>
      </c>
      <c r="O27" s="49" t="n">
        <v>5.737</v>
      </c>
      <c r="P27" s="49" t="n">
        <v>0.348</v>
      </c>
      <c r="Q27" s="49" t="n">
        <v>1.652</v>
      </c>
    </row>
    <row r="28">
      <c r="A28" s="47" t="n">
        <v>16</v>
      </c>
      <c r="B28" s="48" t="n">
        <v>0.75</v>
      </c>
      <c r="C28" s="48" t="n">
        <v>3.398</v>
      </c>
      <c r="D28" s="48" t="n">
        <v>0.788</v>
      </c>
      <c r="E28" s="48" t="n">
        <v>0.212</v>
      </c>
      <c r="F28" s="21" t="n">
        <v>0.9523</v>
      </c>
      <c r="G28" s="21" t="n">
        <v>1.0501</v>
      </c>
      <c r="H28" s="48" t="n">
        <v>0.427</v>
      </c>
      <c r="I28" s="48" t="n">
        <v>1.478</v>
      </c>
      <c r="J28" s="48" t="n">
        <v>0.448</v>
      </c>
      <c r="K28" s="48" t="n">
        <v>1.552</v>
      </c>
      <c r="L28" s="48" t="n">
        <v>3.532</v>
      </c>
      <c r="M28" s="21" t="n">
        <v>0.2831</v>
      </c>
      <c r="N28" s="49" t="n">
        <v>1.285</v>
      </c>
      <c r="O28" s="49" t="n">
        <v>5.779</v>
      </c>
      <c r="P28" s="49" t="n">
        <v>0.364</v>
      </c>
      <c r="Q28" s="49" t="n">
        <v>1.636</v>
      </c>
    </row>
    <row r="29">
      <c r="A29" s="47" t="n">
        <v>17</v>
      </c>
      <c r="B29" s="48" t="n">
        <v>0.728</v>
      </c>
      <c r="C29" s="48" t="n">
        <v>3.448</v>
      </c>
      <c r="D29" s="48" t="n">
        <v>0.762</v>
      </c>
      <c r="E29" s="48" t="n">
        <v>0.203</v>
      </c>
      <c r="F29" s="21" t="n">
        <v>0.9550999999999999</v>
      </c>
      <c r="G29" s="21" t="n">
        <v>1.047</v>
      </c>
      <c r="H29" s="48" t="n">
        <v>0.445</v>
      </c>
      <c r="I29" s="48" t="n">
        <v>1.465</v>
      </c>
      <c r="J29" s="48" t="n">
        <v>0.466</v>
      </c>
      <c r="K29" s="48" t="n">
        <v>1.534</v>
      </c>
      <c r="L29" s="48" t="n">
        <v>3.588</v>
      </c>
      <c r="M29" s="21" t="n">
        <v>0.2787</v>
      </c>
      <c r="N29" s="49" t="n">
        <v>1.359</v>
      </c>
      <c r="O29" s="49" t="n">
        <v>5.817</v>
      </c>
      <c r="P29" s="49" t="n">
        <v>0.379</v>
      </c>
      <c r="Q29" s="49" t="n">
        <v>1.621</v>
      </c>
    </row>
    <row r="30">
      <c r="A30" s="47" t="n">
        <v>18</v>
      </c>
      <c r="B30" s="48" t="n">
        <v>0.707</v>
      </c>
      <c r="C30" s="48" t="n">
        <v>3.497</v>
      </c>
      <c r="D30" s="48" t="n">
        <v>0.738</v>
      </c>
      <c r="E30" s="48" t="n">
        <v>0.194</v>
      </c>
      <c r="F30" s="21" t="n">
        <v>0.9576</v>
      </c>
      <c r="G30" s="21" t="n">
        <v>1.0442</v>
      </c>
      <c r="H30" s="48" t="n">
        <v>0.461</v>
      </c>
      <c r="I30" s="48" t="n">
        <v>1.454</v>
      </c>
      <c r="J30" s="48" t="n">
        <v>0.482</v>
      </c>
      <c r="K30" s="48" t="n">
        <v>1.518</v>
      </c>
      <c r="L30" s="48" t="n">
        <v>3.64</v>
      </c>
      <c r="M30" s="21" t="n">
        <v>0.2747</v>
      </c>
      <c r="N30" s="49" t="n">
        <v>1.426</v>
      </c>
      <c r="O30" s="49" t="n">
        <v>5.854</v>
      </c>
      <c r="P30" s="49" t="n">
        <v>0.392</v>
      </c>
      <c r="Q30" s="48" t="n">
        <v>1.608</v>
      </c>
    </row>
    <row r="31">
      <c r="A31" s="47" t="n">
        <v>19</v>
      </c>
      <c r="B31" s="48" t="n">
        <v>0.6879999999999999</v>
      </c>
      <c r="C31" s="48" t="n">
        <v>3.545</v>
      </c>
      <c r="D31" s="48" t="n">
        <v>0.717</v>
      </c>
      <c r="E31" s="48" t="n">
        <v>0.187</v>
      </c>
      <c r="F31" s="21" t="n">
        <v>0.9599</v>
      </c>
      <c r="G31" s="21" t="n">
        <v>1.0418</v>
      </c>
      <c r="H31" s="48" t="n">
        <v>0.477</v>
      </c>
      <c r="I31" s="48" t="n">
        <v>1.443</v>
      </c>
      <c r="J31" s="48" t="n">
        <v>0.497</v>
      </c>
      <c r="K31" s="48" t="n">
        <v>1.503</v>
      </c>
      <c r="L31" s="48" t="n">
        <v>3.689</v>
      </c>
      <c r="M31" s="21" t="n">
        <v>0.2711</v>
      </c>
      <c r="N31" s="49" t="n">
        <v>1.49</v>
      </c>
      <c r="O31" s="49" t="n">
        <v>5.888</v>
      </c>
      <c r="P31" s="49" t="n">
        <v>0.404</v>
      </c>
      <c r="Q31" s="49" t="n">
        <v>1.596</v>
      </c>
    </row>
    <row r="32">
      <c r="A32" s="47" t="n">
        <v>20</v>
      </c>
      <c r="B32" s="48" t="n">
        <v>0.671</v>
      </c>
      <c r="C32" s="48" t="n">
        <v>3.592</v>
      </c>
      <c r="D32" s="48" t="n">
        <v>0.697</v>
      </c>
      <c r="E32" s="48" t="n">
        <v>0.18</v>
      </c>
      <c r="F32" s="21" t="n">
        <v>0.9619</v>
      </c>
      <c r="G32" s="21" t="n">
        <v>1.0396</v>
      </c>
      <c r="H32" s="48" t="n">
        <v>0.491</v>
      </c>
      <c r="I32" s="48" t="n">
        <v>1.433</v>
      </c>
      <c r="J32" s="48" t="n">
        <v>0.51</v>
      </c>
      <c r="K32" s="48" t="n">
        <v>1.49</v>
      </c>
      <c r="L32" s="48" t="n">
        <v>3.735</v>
      </c>
      <c r="M32" s="21" t="n">
        <v>0.2677</v>
      </c>
      <c r="N32" s="49" t="n">
        <v>1.548</v>
      </c>
      <c r="O32" s="49" t="n">
        <v>5.922</v>
      </c>
      <c r="P32" s="49" t="n">
        <v>0.414</v>
      </c>
      <c r="Q32" s="49" t="n">
        <v>1.586</v>
      </c>
    </row>
    <row r="33">
      <c r="A33" s="47" t="n">
        <v>21</v>
      </c>
      <c r="B33" s="48" t="n">
        <v>0.655</v>
      </c>
      <c r="C33" s="48" t="n">
        <v>3.639</v>
      </c>
      <c r="D33" s="48" t="n">
        <v>0.679</v>
      </c>
      <c r="E33" s="48" t="n">
        <v>0.173</v>
      </c>
      <c r="F33" s="21" t="n">
        <v>0.9638</v>
      </c>
      <c r="G33" s="21" t="n">
        <v>1.0376</v>
      </c>
      <c r="H33" s="48" t="n">
        <v>0.504</v>
      </c>
      <c r="I33" s="48" t="n">
        <v>1.424</v>
      </c>
      <c r="J33" s="48" t="n">
        <v>0.523</v>
      </c>
      <c r="K33" s="48" t="n">
        <v>1.477</v>
      </c>
      <c r="L33" s="48" t="n">
        <v>3.778</v>
      </c>
      <c r="M33" s="21" t="n">
        <v>0.2647</v>
      </c>
      <c r="N33" s="49" t="n">
        <v>1.606</v>
      </c>
      <c r="O33" s="49" t="n">
        <v>5.95</v>
      </c>
      <c r="P33" s="48" t="n">
        <v>0.425</v>
      </c>
      <c r="Q33" s="48" t="n">
        <v>1.575</v>
      </c>
    </row>
    <row r="34">
      <c r="A34" s="47" t="n">
        <v>22</v>
      </c>
      <c r="B34" s="48" t="n">
        <v>0.64</v>
      </c>
      <c r="C34" s="48" t="n">
        <v>3.684</v>
      </c>
      <c r="D34" s="48" t="n">
        <v>0.662</v>
      </c>
      <c r="E34" s="48" t="n">
        <v>0.167</v>
      </c>
      <c r="F34" s="21" t="n">
        <v>0.9655</v>
      </c>
      <c r="G34" s="21" t="n">
        <v>1.0358</v>
      </c>
      <c r="H34" s="48" t="n">
        <v>0.516</v>
      </c>
      <c r="I34" s="48" t="n">
        <v>1.415</v>
      </c>
      <c r="J34" s="48" t="n">
        <v>0.534</v>
      </c>
      <c r="K34" s="48" t="n">
        <v>1.466</v>
      </c>
      <c r="L34" s="48" t="n">
        <v>3.819</v>
      </c>
      <c r="M34" s="21" t="n">
        <v>0.2618</v>
      </c>
      <c r="N34" s="48" t="n">
        <v>1.659</v>
      </c>
      <c r="O34" s="48" t="n">
        <v>5.979</v>
      </c>
      <c r="P34" s="48" t="n">
        <v>0.434</v>
      </c>
      <c r="Q34" s="48" t="n">
        <v>1.566</v>
      </c>
    </row>
    <row r="35">
      <c r="A35" s="47" t="n">
        <v>23</v>
      </c>
      <c r="B35" s="48" t="n">
        <v>0.626</v>
      </c>
      <c r="C35" s="48" t="n">
        <v>3.729</v>
      </c>
      <c r="D35" s="48" t="n">
        <v>0.647</v>
      </c>
      <c r="E35" s="48" t="n">
        <v>0.162</v>
      </c>
      <c r="F35" s="21" t="n">
        <v>0.967</v>
      </c>
      <c r="G35" s="21" t="n">
        <v>1.0342</v>
      </c>
      <c r="H35" s="48" t="n">
        <v>0.527</v>
      </c>
      <c r="I35" s="48" t="n">
        <v>1.407</v>
      </c>
      <c r="J35" s="48" t="n">
        <v>0.545</v>
      </c>
      <c r="K35" s="48" t="n">
        <v>1.455</v>
      </c>
      <c r="L35" s="48" t="n">
        <v>3.858</v>
      </c>
      <c r="M35" s="21" t="n">
        <v>0.2592</v>
      </c>
      <c r="N35" s="48" t="n">
        <v>1.71</v>
      </c>
      <c r="O35" s="48" t="n">
        <v>6.006</v>
      </c>
      <c r="P35" s="48" t="n">
        <v>0.443</v>
      </c>
      <c r="Q35" s="48" t="n">
        <v>1.557</v>
      </c>
    </row>
    <row r="36">
      <c r="A36" s="47" t="n">
        <v>24</v>
      </c>
      <c r="B36" s="48" t="n">
        <v>0.612</v>
      </c>
      <c r="C36" s="48" t="n">
        <v>3.773</v>
      </c>
      <c r="D36" s="48" t="n">
        <v>0.632</v>
      </c>
      <c r="E36" s="48" t="n">
        <v>0.157</v>
      </c>
      <c r="F36" s="21" t="n">
        <v>0.9684</v>
      </c>
      <c r="G36" s="21" t="n">
        <v>1.0327</v>
      </c>
      <c r="H36" s="48" t="n">
        <v>0.538</v>
      </c>
      <c r="I36" s="48" t="n">
        <v>1.399</v>
      </c>
      <c r="J36" s="48" t="n">
        <v>0.555</v>
      </c>
      <c r="K36" s="48" t="n">
        <v>1.445</v>
      </c>
      <c r="L36" s="48" t="n">
        <v>3.895</v>
      </c>
      <c r="M36" s="21" t="n">
        <v>0.2567</v>
      </c>
      <c r="N36" s="48" t="n">
        <v>1.759</v>
      </c>
      <c r="O36" s="48" t="n">
        <v>6.031</v>
      </c>
      <c r="P36" s="49" t="n">
        <v>0.452</v>
      </c>
      <c r="Q36" s="48" t="n">
        <v>1.548</v>
      </c>
    </row>
    <row r="37">
      <c r="A37" s="47" t="n">
        <v>25</v>
      </c>
      <c r="B37" s="48" t="n">
        <v>0.6</v>
      </c>
      <c r="C37" s="48" t="n">
        <v>3.816</v>
      </c>
      <c r="D37" s="48" t="n">
        <v>0.619</v>
      </c>
      <c r="E37" s="48" t="n">
        <v>0.153</v>
      </c>
      <c r="F37" s="50" t="n">
        <v>0.9696</v>
      </c>
      <c r="G37" s="21" t="n">
        <v>1.0313</v>
      </c>
      <c r="H37" s="48" t="n">
        <v>0.548</v>
      </c>
      <c r="I37" s="48" t="n">
        <v>1.392</v>
      </c>
      <c r="J37" s="48" t="n">
        <v>0.5649999999999999</v>
      </c>
      <c r="K37" s="48" t="n">
        <v>1.435</v>
      </c>
      <c r="L37" s="48" t="n">
        <v>3.931</v>
      </c>
      <c r="M37" s="21" t="n">
        <v>0.2544</v>
      </c>
      <c r="N37" s="49" t="n">
        <v>1.804</v>
      </c>
      <c r="O37" s="49" t="n">
        <v>6.058</v>
      </c>
      <c r="P37" s="48" t="n">
        <v>0.459</v>
      </c>
      <c r="Q37" s="48" t="n">
        <v>1.541</v>
      </c>
    </row>
    <row r="38">
      <c r="A38" s="51" t="inlineStr">
        <is>
          <t>&gt;25</t>
        </is>
      </c>
      <c r="B38" s="51" t="inlineStr">
        <is>
          <t>3/sqrt(n)</t>
        </is>
      </c>
      <c r="C38" s="51" t="inlineStr"/>
      <c r="D38" s="51" t="inlineStr">
        <is>
          <t>3/sqrt(n)</t>
        </is>
      </c>
      <c r="E38" s="51" t="inlineStr"/>
      <c r="F38" s="21" t="n">
        <v>1</v>
      </c>
      <c r="G38" s="21" t="n">
        <v>1</v>
      </c>
      <c r="H38" s="51" t="inlineStr">
        <is>
          <t>**</t>
        </is>
      </c>
      <c r="I38" s="51" t="inlineStr">
        <is>
          <t>***</t>
        </is>
      </c>
      <c r="J38" s="51" t="inlineStr">
        <is>
          <t>**</t>
        </is>
      </c>
      <c r="K38" s="51" t="inlineStr">
        <is>
          <t>***</t>
        </is>
      </c>
      <c r="L38" s="51" t="inlineStr"/>
      <c r="M38" s="51" t="inlineStr"/>
      <c r="N38" s="51" t="inlineStr"/>
      <c r="O38" s="51" t="inlineStr"/>
      <c r="P38" s="51" t="inlineStr"/>
      <c r="Q38" s="51" t="inlineStr"/>
    </row>
    <row r="40">
      <c r="A40" s="20" t="inlineStr">
        <is>
          <t>Tabel A: correctiefactoren om standaardafwijkingen te schatten (gedrukte titel: 'Table A - Bias Correction Factors For Estimating Standard Deviations')</t>
        </is>
      </c>
    </row>
    <row r="41">
      <c r="A41" s="8" t="inlineStr">
        <is>
          <t>Bron: source/course/Les 4/___4.1 tabellen SPC.pdf p. 1. Volgens die pagina overgenomen uit: D.J. Wheeler, Understanding Industrial Experimentation, 1987.</t>
        </is>
      </c>
    </row>
    <row r="42">
      <c r="A42" s="20" t="inlineStr">
        <is>
          <t>GEBRUIKT voor c4 en d3 (Table 18 geeft ze niet). Ter referentie voor d2 en c2.</t>
        </is>
      </c>
    </row>
    <row r="43">
      <c r="A43" s="10" t="inlineStr">
        <is>
          <t>Steekproefgrootte n</t>
        </is>
      </c>
      <c r="B43" s="10" t="inlineStr">
        <is>
          <t>d2</t>
        </is>
      </c>
      <c r="C43" s="10" t="inlineStr">
        <is>
          <t>c2</t>
        </is>
      </c>
      <c r="D43" s="10" t="inlineStr">
        <is>
          <t>c4</t>
        </is>
      </c>
      <c r="E43" s="10" t="inlineStr">
        <is>
          <t>d3</t>
        </is>
      </c>
    </row>
    <row r="44">
      <c r="A44" s="47" t="n">
        <v>2</v>
      </c>
      <c r="B44" s="48" t="n">
        <v>1.128</v>
      </c>
      <c r="C44" s="21" t="n">
        <v>0.5642</v>
      </c>
      <c r="D44" s="21" t="n">
        <v>0.7979000000000001</v>
      </c>
      <c r="E44" s="21" t="n">
        <v>0.8525</v>
      </c>
    </row>
    <row r="45">
      <c r="A45" s="47" t="n">
        <v>3</v>
      </c>
      <c r="B45" s="48" t="n">
        <v>1.693</v>
      </c>
      <c r="C45" s="21" t="n">
        <v>0.7236</v>
      </c>
      <c r="D45" s="21" t="n">
        <v>0.8862</v>
      </c>
      <c r="E45" s="21" t="n">
        <v>0.8884</v>
      </c>
    </row>
    <row r="46">
      <c r="A46" s="47" t="n">
        <v>4</v>
      </c>
      <c r="B46" s="48" t="n">
        <v>2.059</v>
      </c>
      <c r="C46" s="21" t="n">
        <v>0.7979000000000001</v>
      </c>
      <c r="D46" s="21" t="n">
        <v>0.9213</v>
      </c>
      <c r="E46" s="21" t="n">
        <v>0.8798</v>
      </c>
    </row>
    <row r="47">
      <c r="A47" s="47" t="n">
        <v>5</v>
      </c>
      <c r="B47" s="48" t="n">
        <v>2.326</v>
      </c>
      <c r="C47" s="21" t="n">
        <v>0.8407</v>
      </c>
      <c r="D47" s="21" t="n">
        <v>0.9399999999999999</v>
      </c>
      <c r="E47" s="21" t="n">
        <v>0.8641</v>
      </c>
    </row>
    <row r="48">
      <c r="A48" s="47" t="n">
        <v>6</v>
      </c>
      <c r="B48" s="48" t="n">
        <v>2.534</v>
      </c>
      <c r="C48" s="21" t="n">
        <v>0.8686</v>
      </c>
      <c r="D48" s="21" t="n">
        <v>0.9515</v>
      </c>
      <c r="E48" s="21" t="n">
        <v>0.848</v>
      </c>
    </row>
    <row r="49">
      <c r="A49" s="47" t="n">
        <v>7</v>
      </c>
      <c r="B49" s="48" t="n">
        <v>2.704</v>
      </c>
      <c r="C49" s="21" t="n">
        <v>0.8882</v>
      </c>
      <c r="D49" s="21" t="n">
        <v>0.9594</v>
      </c>
      <c r="E49" s="21" t="n">
        <v>0.8332000000000001</v>
      </c>
    </row>
    <row r="50">
      <c r="A50" s="47" t="n">
        <v>8</v>
      </c>
      <c r="B50" s="48" t="n">
        <v>2.847</v>
      </c>
      <c r="C50" s="21" t="n">
        <v>0.9026999999999999</v>
      </c>
      <c r="D50" s="21" t="n">
        <v>0.965</v>
      </c>
      <c r="E50" s="21" t="n">
        <v>0.8198</v>
      </c>
    </row>
    <row r="51">
      <c r="A51" s="47" t="n">
        <v>9</v>
      </c>
      <c r="B51" s="48" t="n">
        <v>2.97</v>
      </c>
      <c r="C51" s="21" t="n">
        <v>0.9139</v>
      </c>
      <c r="D51" s="21" t="n">
        <v>0.9693000000000001</v>
      </c>
      <c r="E51" s="21" t="n">
        <v>0.8078</v>
      </c>
    </row>
    <row r="52">
      <c r="A52" s="47" t="n">
        <v>10</v>
      </c>
      <c r="B52" s="48" t="n">
        <v>3.078</v>
      </c>
      <c r="C52" s="21" t="n">
        <v>0.9227</v>
      </c>
      <c r="D52" s="21" t="n">
        <v>0.9727</v>
      </c>
      <c r="E52" s="21" t="n">
        <v>0.7971</v>
      </c>
    </row>
    <row r="53">
      <c r="A53" s="47" t="n">
        <v>11</v>
      </c>
      <c r="B53" s="48" t="n">
        <v>3.173</v>
      </c>
      <c r="C53" s="21" t="n">
        <v>0.93</v>
      </c>
      <c r="D53" s="21" t="n">
        <v>0.9754</v>
      </c>
      <c r="E53" s="21" t="n">
        <v>0.7873</v>
      </c>
    </row>
    <row r="54">
      <c r="A54" s="47" t="n">
        <v>12</v>
      </c>
      <c r="B54" s="48" t="n">
        <v>3.258</v>
      </c>
      <c r="C54" s="21" t="n">
        <v>0.9359</v>
      </c>
      <c r="D54" s="21" t="n">
        <v>0.9776</v>
      </c>
      <c r="E54" s="50" t="n">
        <v>0.7785</v>
      </c>
    </row>
    <row r="55">
      <c r="A55" s="47" t="n">
        <v>13</v>
      </c>
      <c r="B55" s="48" t="n">
        <v>3.336</v>
      </c>
      <c r="C55" s="21" t="n">
        <v>0.9409999999999999</v>
      </c>
      <c r="D55" s="21" t="n">
        <v>0.9794</v>
      </c>
      <c r="E55" s="21" t="n">
        <v>0.7704</v>
      </c>
    </row>
    <row r="56">
      <c r="A56" s="47" t="n">
        <v>14</v>
      </c>
      <c r="B56" s="48" t="n">
        <v>3.407</v>
      </c>
      <c r="C56" s="21" t="n">
        <v>0.9453</v>
      </c>
      <c r="D56" s="21" t="n">
        <v>0.981</v>
      </c>
      <c r="E56" s="21" t="n">
        <v>0.763</v>
      </c>
    </row>
    <row r="57">
      <c r="A57" s="47" t="n">
        <v>15</v>
      </c>
      <c r="B57" s="48" t="n">
        <v>3.472</v>
      </c>
      <c r="C57" s="21" t="n">
        <v>0.949</v>
      </c>
      <c r="D57" s="21" t="n">
        <v>0.9823</v>
      </c>
      <c r="E57" s="21" t="n">
        <v>0.7562</v>
      </c>
    </row>
    <row r="58">
      <c r="A58" s="47" t="n">
        <v>16</v>
      </c>
      <c r="B58" s="48" t="n">
        <v>3.532</v>
      </c>
      <c r="C58" s="21" t="n">
        <v>0.9523</v>
      </c>
      <c r="D58" s="21" t="n">
        <v>0.9835</v>
      </c>
      <c r="E58" s="21" t="n">
        <v>0.7499</v>
      </c>
    </row>
    <row r="59">
      <c r="A59" s="47" t="n">
        <v>17</v>
      </c>
      <c r="B59" s="48" t="n">
        <v>3.588</v>
      </c>
      <c r="C59" s="21" t="n">
        <v>0.9550999999999999</v>
      </c>
      <c r="D59" s="21" t="n">
        <v>0.9845</v>
      </c>
      <c r="E59" s="21" t="n">
        <v>0.7441</v>
      </c>
    </row>
    <row r="60">
      <c r="A60" s="47" t="n">
        <v>18</v>
      </c>
      <c r="B60" s="48" t="n">
        <v>3.64</v>
      </c>
      <c r="C60" s="21" t="n">
        <v>0.9576</v>
      </c>
      <c r="D60" s="21" t="n">
        <v>0.9854000000000001</v>
      </c>
      <c r="E60" s="21" t="n">
        <v>0.7386</v>
      </c>
    </row>
    <row r="61">
      <c r="A61" s="47" t="n">
        <v>19</v>
      </c>
      <c r="B61" s="48" t="n">
        <v>3.689</v>
      </c>
      <c r="C61" s="21" t="n">
        <v>0.9599</v>
      </c>
      <c r="D61" s="21" t="n">
        <v>0.9862</v>
      </c>
      <c r="E61" s="21" t="n">
        <v>0.7335</v>
      </c>
    </row>
    <row r="62">
      <c r="A62" s="47" t="n">
        <v>20</v>
      </c>
      <c r="B62" s="48" t="n">
        <v>3.735</v>
      </c>
      <c r="C62" s="21" t="n">
        <v>0.9619</v>
      </c>
      <c r="D62" s="21" t="n">
        <v>0.9869</v>
      </c>
      <c r="E62" s="21" t="n">
        <v>0.7287</v>
      </c>
    </row>
    <row r="63">
      <c r="A63" s="47" t="n">
        <v>21</v>
      </c>
      <c r="B63" s="48" t="n">
        <v>3.778</v>
      </c>
      <c r="C63" s="21" t="n">
        <v>0.9638</v>
      </c>
      <c r="D63" s="21" t="n">
        <v>0.9876</v>
      </c>
      <c r="E63" s="50" t="n">
        <v>0.7272</v>
      </c>
    </row>
    <row r="64">
      <c r="A64" s="47" t="n">
        <v>22</v>
      </c>
      <c r="B64" s="48" t="n">
        <v>3.819</v>
      </c>
      <c r="C64" s="21" t="n">
        <v>0.9655</v>
      </c>
      <c r="D64" s="21" t="n">
        <v>0.9882</v>
      </c>
      <c r="E64" s="21" t="n">
        <v>0.7199</v>
      </c>
    </row>
    <row r="65">
      <c r="A65" s="47" t="n">
        <v>23</v>
      </c>
      <c r="B65" s="48" t="n">
        <v>3.858</v>
      </c>
      <c r="C65" s="21" t="n">
        <v>0.967</v>
      </c>
      <c r="D65" s="21" t="n">
        <v>0.9887</v>
      </c>
      <c r="E65" s="21" t="n">
        <v>0.7159</v>
      </c>
    </row>
    <row r="66">
      <c r="A66" s="47" t="n">
        <v>24</v>
      </c>
      <c r="B66" s="48" t="n">
        <v>3.895</v>
      </c>
      <c r="C66" s="21" t="n">
        <v>0.9684</v>
      </c>
      <c r="D66" s="21" t="n">
        <v>0.9892</v>
      </c>
      <c r="E66" s="21" t="n">
        <v>0.7121</v>
      </c>
    </row>
    <row r="67">
      <c r="A67" s="47" t="n">
        <v>25</v>
      </c>
      <c r="B67" s="48" t="n">
        <v>3.931</v>
      </c>
      <c r="C67" s="50" t="n">
        <v>0.9695</v>
      </c>
      <c r="D67" s="21" t="n">
        <v>0.9896</v>
      </c>
      <c r="E67" s="21" t="n">
        <v>0.7084</v>
      </c>
    </row>
    <row r="68">
      <c r="A68" s="47" t="n">
        <v>30</v>
      </c>
      <c r="B68" s="48" t="n">
        <v>4.086</v>
      </c>
      <c r="C68" s="21" t="n">
        <v>0.9748</v>
      </c>
      <c r="D68" s="21" t="n">
        <v>0.9915</v>
      </c>
      <c r="E68" s="21" t="n">
        <v>0.6927</v>
      </c>
    </row>
    <row r="69">
      <c r="A69" s="47" t="n">
        <v>35</v>
      </c>
      <c r="B69" s="48" t="n">
        <v>4.213</v>
      </c>
      <c r="C69" s="21" t="n">
        <v>0.9784</v>
      </c>
      <c r="D69" s="21" t="n">
        <v>0.9927</v>
      </c>
      <c r="E69" s="21" t="n">
        <v>0.6798999999999999</v>
      </c>
    </row>
    <row r="70">
      <c r="A70" s="47" t="n">
        <v>40</v>
      </c>
      <c r="B70" s="48" t="n">
        <v>4.322</v>
      </c>
      <c r="C70" s="21" t="n">
        <v>0.9811</v>
      </c>
      <c r="D70" s="21" t="n">
        <v>0.9936</v>
      </c>
      <c r="E70" s="21" t="n">
        <v>0.6692</v>
      </c>
    </row>
    <row r="71">
      <c r="A71" s="47" t="n">
        <v>45</v>
      </c>
      <c r="B71" s="48" t="n">
        <v>4.415</v>
      </c>
      <c r="C71" s="21" t="n">
        <v>0.9832</v>
      </c>
      <c r="D71" s="21" t="n">
        <v>0.9943</v>
      </c>
      <c r="E71" s="21" t="n">
        <v>0.6601</v>
      </c>
    </row>
    <row r="72">
      <c r="A72" s="47" t="n">
        <v>50</v>
      </c>
      <c r="B72" s="48" t="n">
        <v>4.498</v>
      </c>
      <c r="C72" s="21" t="n">
        <v>0.9849</v>
      </c>
      <c r="D72" s="21" t="n">
        <v>0.9949</v>
      </c>
      <c r="E72" s="21" t="n">
        <v>0.6521</v>
      </c>
    </row>
    <row r="73">
      <c r="A73" s="47" t="n">
        <v>60</v>
      </c>
      <c r="B73" s="48" t="n">
        <v>4.639</v>
      </c>
      <c r="C73" s="21" t="n">
        <v>0.9874000000000001</v>
      </c>
      <c r="D73" s="21" t="n">
        <v>0.9957</v>
      </c>
      <c r="E73" s="21" t="n">
        <v>0.6389</v>
      </c>
    </row>
    <row r="74">
      <c r="A74" s="47" t="n">
        <v>70</v>
      </c>
      <c r="B74" s="48" t="n">
        <v>4.755</v>
      </c>
      <c r="C74" s="21" t="n">
        <v>0.9892</v>
      </c>
      <c r="D74" s="21" t="n">
        <v>0.9963</v>
      </c>
      <c r="E74" s="21" t="n">
        <v>0.6283</v>
      </c>
    </row>
    <row r="75">
      <c r="A75" s="47" t="n">
        <v>80</v>
      </c>
      <c r="B75" s="48" t="n">
        <v>4.854</v>
      </c>
      <c r="C75" s="21" t="n">
        <v>0.9906</v>
      </c>
      <c r="D75" s="21" t="n">
        <v>0.9968</v>
      </c>
      <c r="E75" s="21" t="n">
        <v>0.6194</v>
      </c>
    </row>
    <row r="76">
      <c r="A76" s="47" t="n">
        <v>90</v>
      </c>
      <c r="B76" s="48" t="n">
        <v>4.939</v>
      </c>
      <c r="C76" s="21" t="n">
        <v>0.9916</v>
      </c>
      <c r="D76" s="21" t="n">
        <v>0.9972</v>
      </c>
      <c r="E76" s="21" t="n">
        <v>0.6118</v>
      </c>
    </row>
    <row r="77">
      <c r="A77" s="47" t="n">
        <v>100</v>
      </c>
      <c r="B77" s="48" t="n">
        <v>5.015</v>
      </c>
      <c r="C77" s="21" t="n">
        <v>0.9925</v>
      </c>
      <c r="D77" s="21" t="n">
        <v>0.9975000000000001</v>
      </c>
      <c r="E77" s="21" t="n">
        <v>0.6052</v>
      </c>
    </row>
    <row r="79">
      <c r="A79" s="20" t="inlineStr">
        <is>
          <t>Constanten voor de X̄- en s-kaart (gedrukte titel: 'Control Chart Constants - Chart for Average &amp; Chart for Standard Deviations (Six Sigma Demystified, 2nd ed.)')</t>
        </is>
      </c>
    </row>
    <row r="80">
      <c r="A80" s="8" t="inlineStr">
        <is>
          <t>Bron: source/course/Les 4/Control charts - constants.pdf p. 1. Volgens die pagina overgenomen uit: Six Sigma Demystified, 2nd edition.</t>
        </is>
      </c>
    </row>
    <row r="81">
      <c r="A81" s="20" t="inlineStr">
        <is>
          <t>GEBRUIKT voor A3, B5 en B6 (Table 18 en Table A geven ze niet). Verder ter referentie.</t>
        </is>
      </c>
    </row>
    <row r="82">
      <c r="A82" s="10" t="inlineStr">
        <is>
          <t>Steekproefgrootte n</t>
        </is>
      </c>
      <c r="B82" s="10" t="inlineStr">
        <is>
          <t>A</t>
        </is>
      </c>
      <c r="C82" s="10" t="inlineStr">
        <is>
          <t>A2</t>
        </is>
      </c>
      <c r="D82" s="10" t="inlineStr">
        <is>
          <t>A3</t>
        </is>
      </c>
      <c r="E82" s="10" t="inlineStr">
        <is>
          <t>c4</t>
        </is>
      </c>
      <c r="F82" s="10" t="inlineStr">
        <is>
          <t>1/c4</t>
        </is>
      </c>
      <c r="G82" s="10" t="inlineStr">
        <is>
          <t>B3</t>
        </is>
      </c>
      <c r="H82" s="10" t="inlineStr">
        <is>
          <t>B4</t>
        </is>
      </c>
      <c r="I82" s="10" t="inlineStr">
        <is>
          <t>B5</t>
        </is>
      </c>
      <c r="J82" s="10" t="inlineStr">
        <is>
          <t>B6</t>
        </is>
      </c>
    </row>
    <row r="83">
      <c r="A83" s="47" t="n">
        <v>2</v>
      </c>
      <c r="B83" s="48" t="n">
        <v>2.121</v>
      </c>
      <c r="C83" s="48" t="n">
        <v>1.88</v>
      </c>
      <c r="D83" s="48" t="n">
        <v>2.659</v>
      </c>
      <c r="E83" s="21" t="n">
        <v>0.7979000000000001</v>
      </c>
      <c r="F83" s="21" t="n">
        <v>1.2533</v>
      </c>
      <c r="G83" s="47" t="n">
        <v>0</v>
      </c>
      <c r="H83" s="48" t="n">
        <v>3.267</v>
      </c>
      <c r="I83" s="47" t="n">
        <v>0</v>
      </c>
      <c r="J83" s="48" t="n">
        <v>3.267</v>
      </c>
    </row>
    <row r="84">
      <c r="A84" s="47" t="n">
        <v>0</v>
      </c>
      <c r="B84" s="48" t="n">
        <v>2.606</v>
      </c>
      <c r="C84" s="51" t="inlineStr"/>
      <c r="D84" s="51" t="inlineStr"/>
      <c r="E84" s="51" t="inlineStr"/>
      <c r="F84" s="51" t="inlineStr"/>
      <c r="G84" s="51" t="inlineStr"/>
      <c r="H84" s="51" t="inlineStr"/>
      <c r="I84" s="51" t="inlineStr"/>
      <c r="J84" s="51" t="inlineStr"/>
    </row>
    <row r="85">
      <c r="A85" s="47" t="n">
        <v>3</v>
      </c>
      <c r="B85" s="48" t="n">
        <v>1.732</v>
      </c>
      <c r="C85" s="48" t="n">
        <v>1.023</v>
      </c>
      <c r="D85" s="48" t="n">
        <v>1.954</v>
      </c>
      <c r="E85" s="21" t="n">
        <v>0.8862</v>
      </c>
      <c r="F85" s="21" t="n">
        <v>1.1284</v>
      </c>
      <c r="G85" s="47" t="n">
        <v>0</v>
      </c>
      <c r="H85" s="48" t="n">
        <v>2.568</v>
      </c>
      <c r="I85" s="47" t="n">
        <v>0</v>
      </c>
      <c r="J85" s="48" t="n">
        <v>2.276</v>
      </c>
    </row>
    <row r="86">
      <c r="A86" s="47" t="n">
        <v>4</v>
      </c>
      <c r="B86" s="48" t="n">
        <v>1.5</v>
      </c>
      <c r="C86" s="48" t="n">
        <v>0.729</v>
      </c>
      <c r="D86" s="48" t="n">
        <v>1.628</v>
      </c>
      <c r="E86" s="21" t="n">
        <v>0.9213</v>
      </c>
      <c r="F86" s="21" t="n">
        <v>1.0854</v>
      </c>
      <c r="G86" s="47" t="n">
        <v>0</v>
      </c>
      <c r="H86" s="48" t="n">
        <v>2.266</v>
      </c>
      <c r="I86" s="47" t="n">
        <v>0</v>
      </c>
      <c r="J86" s="48" t="n">
        <v>2.088</v>
      </c>
    </row>
    <row r="87">
      <c r="A87" s="47" t="n">
        <v>5</v>
      </c>
      <c r="B87" s="48" t="n">
        <v>1.342</v>
      </c>
      <c r="C87" s="48" t="n">
        <v>0.577</v>
      </c>
      <c r="D87" s="48" t="n">
        <v>1.427</v>
      </c>
      <c r="E87" s="21" t="n">
        <v>0.9399999999999999</v>
      </c>
      <c r="F87" s="21" t="n">
        <v>1.0638</v>
      </c>
      <c r="G87" s="47" t="n">
        <v>0</v>
      </c>
      <c r="H87" s="48" t="n">
        <v>2.089</v>
      </c>
      <c r="I87" s="47" t="n">
        <v>0</v>
      </c>
      <c r="J87" s="48" t="n">
        <v>1.964</v>
      </c>
    </row>
    <row r="88">
      <c r="A88" s="47" t="n">
        <v>6</v>
      </c>
      <c r="B88" s="48" t="n">
        <v>1.225</v>
      </c>
      <c r="C88" s="48" t="n">
        <v>0.483</v>
      </c>
      <c r="D88" s="48" t="n">
        <v>1.287</v>
      </c>
      <c r="E88" s="21" t="n">
        <v>0.9515</v>
      </c>
      <c r="F88" s="21" t="n">
        <v>1.051</v>
      </c>
      <c r="G88" s="48" t="n">
        <v>0.03</v>
      </c>
      <c r="H88" s="48" t="n">
        <v>1.97</v>
      </c>
      <c r="I88" s="48" t="n">
        <v>0.029</v>
      </c>
      <c r="J88" s="48" t="n">
        <v>1.874</v>
      </c>
    </row>
    <row r="89">
      <c r="A89" s="47" t="n">
        <v>7</v>
      </c>
      <c r="B89" s="48" t="n">
        <v>1.134</v>
      </c>
      <c r="C89" s="48" t="n">
        <v>0.419</v>
      </c>
      <c r="D89" s="48" t="n">
        <v>1.182</v>
      </c>
      <c r="E89" s="21" t="n">
        <v>0.9594</v>
      </c>
      <c r="F89" s="21" t="n">
        <v>1.0423</v>
      </c>
      <c r="G89" s="48" t="n">
        <v>0.118</v>
      </c>
      <c r="H89" s="48" t="n">
        <v>1.882</v>
      </c>
      <c r="I89" s="48" t="n">
        <v>0.113</v>
      </c>
      <c r="J89" s="48" t="n">
        <v>1.806</v>
      </c>
    </row>
    <row r="90">
      <c r="A90" s="47" t="n">
        <v>8</v>
      </c>
      <c r="B90" s="48" t="n">
        <v>1.061</v>
      </c>
      <c r="C90" s="48" t="n">
        <v>0.373</v>
      </c>
      <c r="D90" s="48" t="n">
        <v>1.099</v>
      </c>
      <c r="E90" s="21" t="n">
        <v>0.965</v>
      </c>
      <c r="F90" s="21" t="n">
        <v>1.0363</v>
      </c>
      <c r="G90" s="48" t="n">
        <v>0.185</v>
      </c>
      <c r="H90" s="48" t="n">
        <v>1.815</v>
      </c>
      <c r="I90" s="48" t="n">
        <v>0.179</v>
      </c>
      <c r="J90" s="48" t="n">
        <v>1.751</v>
      </c>
    </row>
    <row r="91">
      <c r="A91" s="47" t="n">
        <v>9</v>
      </c>
      <c r="B91" s="48" t="n">
        <v>1</v>
      </c>
      <c r="C91" s="48" t="n">
        <v>0.337</v>
      </c>
      <c r="D91" s="48" t="n">
        <v>1.032</v>
      </c>
      <c r="E91" s="21" t="n">
        <v>0.9693000000000001</v>
      </c>
      <c r="F91" s="21" t="n">
        <v>1.0317</v>
      </c>
      <c r="G91" s="48" t="n">
        <v>0.239</v>
      </c>
      <c r="H91" s="48" t="n">
        <v>1.761</v>
      </c>
      <c r="I91" s="48" t="n">
        <v>0.232</v>
      </c>
      <c r="J91" s="48" t="n">
        <v>1.707</v>
      </c>
    </row>
    <row r="92">
      <c r="A92" s="47" t="n">
        <v>10</v>
      </c>
      <c r="B92" s="48" t="n">
        <v>0.949</v>
      </c>
      <c r="C92" s="48" t="n">
        <v>0.308</v>
      </c>
      <c r="D92" s="48" t="n">
        <v>0.975</v>
      </c>
      <c r="E92" s="21" t="n">
        <v>0.9727</v>
      </c>
      <c r="F92" s="21" t="n">
        <v>1.0281</v>
      </c>
      <c r="G92" s="48" t="n">
        <v>0.284</v>
      </c>
      <c r="H92" s="48" t="n">
        <v>1.716</v>
      </c>
      <c r="I92" s="48" t="n">
        <v>0.276</v>
      </c>
      <c r="J92" s="48" t="n">
        <v>1.669</v>
      </c>
    </row>
    <row r="93">
      <c r="A93" s="47" t="n">
        <v>11</v>
      </c>
      <c r="B93" s="48" t="n">
        <v>0.905</v>
      </c>
      <c r="C93" s="48" t="n">
        <v>0.285</v>
      </c>
      <c r="D93" s="48" t="n">
        <v>0.927</v>
      </c>
      <c r="E93" s="21" t="n">
        <v>0.9754</v>
      </c>
      <c r="F93" s="21" t="n">
        <v>1.0252</v>
      </c>
      <c r="G93" s="48" t="n">
        <v>0.321</v>
      </c>
      <c r="H93" s="48" t="n">
        <v>1.679</v>
      </c>
      <c r="I93" s="48" t="n">
        <v>0.313</v>
      </c>
      <c r="J93" s="48" t="n">
        <v>1.637</v>
      </c>
    </row>
    <row r="94">
      <c r="A94" s="47" t="n">
        <v>12</v>
      </c>
      <c r="B94" s="48" t="n">
        <v>0.866</v>
      </c>
      <c r="C94" s="48" t="n">
        <v>0.266</v>
      </c>
      <c r="D94" s="48" t="n">
        <v>0.886</v>
      </c>
      <c r="E94" s="21" t="n">
        <v>0.9776</v>
      </c>
      <c r="F94" s="21" t="n">
        <v>1.0229</v>
      </c>
      <c r="G94" s="48" t="n">
        <v>0.354</v>
      </c>
      <c r="H94" s="48" t="n">
        <v>1.646</v>
      </c>
      <c r="I94" s="48" t="n">
        <v>0.346</v>
      </c>
      <c r="J94" s="48" t="n">
        <v>1.61</v>
      </c>
    </row>
    <row r="95">
      <c r="A95" s="47" t="n">
        <v>13</v>
      </c>
      <c r="B95" s="48" t="n">
        <v>0.832</v>
      </c>
      <c r="C95" s="48" t="n">
        <v>0.249</v>
      </c>
      <c r="D95" s="48" t="n">
        <v>0.85</v>
      </c>
      <c r="E95" s="21" t="n">
        <v>0.9794</v>
      </c>
      <c r="F95" s="21" t="n">
        <v>1.021</v>
      </c>
      <c r="G95" s="48" t="n">
        <v>0.382</v>
      </c>
      <c r="H95" s="48" t="n">
        <v>1.618</v>
      </c>
      <c r="I95" s="48" t="n">
        <v>0.374</v>
      </c>
      <c r="J95" s="48" t="n">
        <v>1.585</v>
      </c>
    </row>
    <row r="96">
      <c r="A96" s="47" t="n">
        <v>14</v>
      </c>
      <c r="B96" s="48" t="n">
        <v>0.802</v>
      </c>
      <c r="C96" s="48" t="n">
        <v>0.235</v>
      </c>
      <c r="D96" s="48" t="n">
        <v>0.8169999999999999</v>
      </c>
      <c r="E96" s="21" t="n">
        <v>0.981</v>
      </c>
      <c r="F96" s="21" t="n">
        <v>1.0194</v>
      </c>
      <c r="G96" s="48" t="n">
        <v>0.406</v>
      </c>
      <c r="H96" s="48" t="n">
        <v>1.594</v>
      </c>
      <c r="I96" s="48" t="n">
        <v>0.399</v>
      </c>
      <c r="J96" s="48" t="n">
        <v>1.563</v>
      </c>
    </row>
    <row r="97">
      <c r="A97" s="47" t="n">
        <v>15</v>
      </c>
      <c r="B97" s="48" t="n">
        <v>0.775</v>
      </c>
      <c r="C97" s="48" t="n">
        <v>0.223</v>
      </c>
      <c r="D97" s="48" t="n">
        <v>0.789</v>
      </c>
      <c r="E97" s="21" t="n">
        <v>0.9823</v>
      </c>
      <c r="F97" s="21" t="n">
        <v>1.018</v>
      </c>
      <c r="G97" s="48" t="n">
        <v>0.428</v>
      </c>
      <c r="H97" s="48" t="n">
        <v>1.572</v>
      </c>
      <c r="I97" s="48" t="n">
        <v>0.421</v>
      </c>
      <c r="J97" s="48" t="n">
        <v>1.544</v>
      </c>
    </row>
    <row r="98">
      <c r="A98" s="47" t="n">
        <v>16</v>
      </c>
      <c r="B98" s="48" t="n">
        <v>0.75</v>
      </c>
      <c r="C98" s="48" t="n">
        <v>0.212</v>
      </c>
      <c r="D98" s="48" t="n">
        <v>0.763</v>
      </c>
      <c r="E98" s="21" t="n">
        <v>0.9835</v>
      </c>
      <c r="F98" s="21" t="n">
        <v>1.0168</v>
      </c>
      <c r="G98" s="48" t="n">
        <v>0.448</v>
      </c>
      <c r="H98" s="48" t="n">
        <v>1.552</v>
      </c>
      <c r="I98" s="48" t="n">
        <v>0.44</v>
      </c>
      <c r="J98" s="48" t="n">
        <v>1.526</v>
      </c>
    </row>
    <row r="99">
      <c r="A99" s="47" t="n">
        <v>17</v>
      </c>
      <c r="B99" s="48" t="n">
        <v>0.728</v>
      </c>
      <c r="C99" s="48" t="n">
        <v>0.203</v>
      </c>
      <c r="D99" s="48" t="n">
        <v>0.739</v>
      </c>
      <c r="E99" s="21" t="n">
        <v>0.9845</v>
      </c>
      <c r="F99" s="21" t="n">
        <v>1.0157</v>
      </c>
      <c r="G99" s="48" t="n">
        <v>0.466</v>
      </c>
      <c r="H99" s="48" t="n">
        <v>1.534</v>
      </c>
      <c r="I99" s="48" t="n">
        <v>0.458</v>
      </c>
      <c r="J99" s="48" t="n">
        <v>1.511</v>
      </c>
    </row>
    <row r="100">
      <c r="A100" s="47" t="n">
        <v>18</v>
      </c>
      <c r="B100" s="48" t="n">
        <v>0.707</v>
      </c>
      <c r="C100" s="48" t="n">
        <v>0.194</v>
      </c>
      <c r="D100" s="48" t="n">
        <v>0.718</v>
      </c>
      <c r="E100" s="21" t="n">
        <v>0.9854000000000001</v>
      </c>
      <c r="F100" s="21" t="n">
        <v>1.0148</v>
      </c>
      <c r="G100" s="48" t="n">
        <v>0.482</v>
      </c>
      <c r="H100" s="48" t="n">
        <v>1.518</v>
      </c>
      <c r="I100" s="48" t="n">
        <v>0.475</v>
      </c>
      <c r="J100" s="48" t="n">
        <v>1.496</v>
      </c>
    </row>
    <row r="101">
      <c r="A101" s="47" t="n">
        <v>19</v>
      </c>
      <c r="B101" s="48" t="n">
        <v>0.6879999999999999</v>
      </c>
      <c r="C101" s="48" t="n">
        <v>0.187</v>
      </c>
      <c r="D101" s="48" t="n">
        <v>0.698</v>
      </c>
      <c r="E101" s="21" t="n">
        <v>0.9862</v>
      </c>
      <c r="F101" s="21" t="n">
        <v>1.014</v>
      </c>
      <c r="G101" s="48" t="n">
        <v>0.497</v>
      </c>
      <c r="H101" s="48" t="n">
        <v>1.503</v>
      </c>
      <c r="I101" s="48" t="n">
        <v>0.49</v>
      </c>
      <c r="J101" s="48" t="n">
        <v>1.483</v>
      </c>
    </row>
    <row r="102">
      <c r="A102" s="47" t="n">
        <v>20</v>
      </c>
      <c r="B102" s="48" t="n">
        <v>0.671</v>
      </c>
      <c r="C102" s="48" t="n">
        <v>0.18</v>
      </c>
      <c r="D102" s="48" t="n">
        <v>0.68</v>
      </c>
      <c r="E102" s="21" t="n">
        <v>0.9869</v>
      </c>
      <c r="F102" s="21" t="n">
        <v>1.0133</v>
      </c>
      <c r="G102" s="48" t="n">
        <v>0.51</v>
      </c>
      <c r="H102" s="48" t="n">
        <v>1.49</v>
      </c>
      <c r="I102" s="48" t="n">
        <v>0.504</v>
      </c>
      <c r="J102" s="48" t="n">
        <v>1.47</v>
      </c>
    </row>
    <row r="103">
      <c r="A103" s="47" t="n">
        <v>21</v>
      </c>
      <c r="B103" s="48" t="n">
        <v>0.655</v>
      </c>
      <c r="C103" s="48" t="n">
        <v>0.173</v>
      </c>
      <c r="D103" s="48" t="n">
        <v>0.663</v>
      </c>
      <c r="E103" s="21" t="n">
        <v>0.9876</v>
      </c>
      <c r="F103" s="21" t="n">
        <v>1.0126</v>
      </c>
      <c r="G103" s="48" t="n">
        <v>0.523</v>
      </c>
      <c r="H103" s="48" t="n">
        <v>1.477</v>
      </c>
      <c r="I103" s="48" t="n">
        <v>0.516</v>
      </c>
      <c r="J103" s="48" t="n">
        <v>1.459</v>
      </c>
    </row>
    <row r="104">
      <c r="A104" s="47" t="n">
        <v>22</v>
      </c>
      <c r="B104" s="48" t="n">
        <v>0.64</v>
      </c>
      <c r="C104" s="48" t="n">
        <v>0.167</v>
      </c>
      <c r="D104" s="48" t="n">
        <v>0.647</v>
      </c>
      <c r="E104" s="21" t="n">
        <v>0.9882</v>
      </c>
      <c r="F104" s="21" t="n">
        <v>1.0119</v>
      </c>
      <c r="G104" s="48" t="n">
        <v>0.534</v>
      </c>
      <c r="H104" s="48" t="n">
        <v>1.466</v>
      </c>
      <c r="I104" s="48" t="n">
        <v>0.528</v>
      </c>
      <c r="J104" s="48" t="n">
        <v>1.448</v>
      </c>
    </row>
    <row r="105">
      <c r="A105" s="47" t="n">
        <v>23</v>
      </c>
      <c r="B105" s="48" t="n">
        <v>0.626</v>
      </c>
      <c r="C105" s="48" t="n">
        <v>0.162</v>
      </c>
      <c r="D105" s="48" t="n">
        <v>0.633</v>
      </c>
      <c r="E105" s="21" t="n">
        <v>0.9887</v>
      </c>
      <c r="F105" s="21" t="n">
        <v>1.0114</v>
      </c>
      <c r="G105" s="48" t="n">
        <v>0.545</v>
      </c>
      <c r="H105" s="48" t="n">
        <v>1.455</v>
      </c>
      <c r="I105" s="48" t="n">
        <v>0.539</v>
      </c>
      <c r="J105" s="48" t="n">
        <v>1.438</v>
      </c>
    </row>
    <row r="106">
      <c r="A106" s="47" t="n">
        <v>24</v>
      </c>
      <c r="B106" s="48" t="n">
        <v>0.612</v>
      </c>
      <c r="C106" s="48" t="n">
        <v>0.157</v>
      </c>
      <c r="D106" s="48" t="n">
        <v>0.619</v>
      </c>
      <c r="E106" s="21" t="n">
        <v>0.9892</v>
      </c>
      <c r="F106" s="21" t="n">
        <v>1.0109</v>
      </c>
      <c r="G106" s="48" t="n">
        <v>0.555</v>
      </c>
      <c r="H106" s="48" t="n">
        <v>1.445</v>
      </c>
      <c r="I106" s="48" t="n">
        <v>0.549</v>
      </c>
      <c r="J106" s="48" t="n">
        <v>1.429</v>
      </c>
    </row>
    <row r="107">
      <c r="A107" s="47" t="n">
        <v>25</v>
      </c>
      <c r="B107" s="48" t="n">
        <v>0.6</v>
      </c>
      <c r="C107" s="48" t="n">
        <v>0.153</v>
      </c>
      <c r="D107" s="48" t="n">
        <v>0.606</v>
      </c>
      <c r="E107" s="21" t="n">
        <v>0.9896</v>
      </c>
      <c r="F107" s="21" t="n">
        <v>1.0105</v>
      </c>
      <c r="G107" s="48" t="n">
        <v>0.5649999999999999</v>
      </c>
      <c r="H107" s="48" t="n">
        <v>1.435</v>
      </c>
      <c r="I107" s="48" t="n">
        <v>0.5590000000000001</v>
      </c>
      <c r="J107" s="48" t="n">
        <v>1.42</v>
      </c>
    </row>
    <row r="109">
      <c r="A109" s="20" t="inlineStr">
        <is>
          <t>Constanten voor de R- en X-kaart (gedrukte titel: 'Control Chart Constants - Chart for Ranges &amp; X Charts (Six Sigma Demystified, 2nd ed.)')</t>
        </is>
      </c>
    </row>
    <row r="110">
      <c r="A110" s="8" t="inlineStr">
        <is>
          <t>Bron: source/course/Les 4/Control charts - constants.pdf p. 2. Volgens die pagina overgenomen uit: Six Sigma Demystified, 2nd edition.</t>
        </is>
      </c>
    </row>
    <row r="111">
      <c r="A111" s="20" t="inlineStr">
        <is>
          <t>GEBRUIKT voor E2 (Table 18 en Table A geven hem niet). Verder ter referentie.</t>
        </is>
      </c>
    </row>
    <row r="112">
      <c r="A112" s="10" t="inlineStr">
        <is>
          <t>Steekproefgrootte n</t>
        </is>
      </c>
      <c r="B112" s="10" t="inlineStr">
        <is>
          <t>d2</t>
        </is>
      </c>
      <c r="C112" s="10" t="inlineStr">
        <is>
          <t>1/d2</t>
        </is>
      </c>
      <c r="D112" s="10" t="inlineStr">
        <is>
          <t>d3</t>
        </is>
      </c>
      <c r="E112" s="10" t="inlineStr">
        <is>
          <t>D1</t>
        </is>
      </c>
      <c r="F112" s="10" t="inlineStr">
        <is>
          <t>D2</t>
        </is>
      </c>
      <c r="G112" s="10" t="inlineStr">
        <is>
          <t>D3</t>
        </is>
      </c>
      <c r="H112" s="10" t="inlineStr">
        <is>
          <t>D4</t>
        </is>
      </c>
      <c r="I112" s="10" t="inlineStr">
        <is>
          <t>E2</t>
        </is>
      </c>
    </row>
    <row r="113">
      <c r="A113" s="47" t="n">
        <v>2</v>
      </c>
      <c r="B113" s="48" t="n">
        <v>1.128</v>
      </c>
      <c r="C113" s="21" t="n">
        <v>0.8865</v>
      </c>
      <c r="D113" s="48" t="n">
        <v>0.853</v>
      </c>
      <c r="E113" s="47" t="n">
        <v>0</v>
      </c>
      <c r="F113" s="48" t="n">
        <v>3.686</v>
      </c>
      <c r="G113" s="47" t="n">
        <v>0</v>
      </c>
      <c r="H113" s="48" t="n">
        <v>3.267</v>
      </c>
      <c r="I113" s="49" t="n">
        <v>2.66</v>
      </c>
    </row>
    <row r="114">
      <c r="A114" s="47" t="n">
        <v>3</v>
      </c>
      <c r="B114" s="48" t="n">
        <v>1.693</v>
      </c>
      <c r="C114" s="21" t="n">
        <v>0.5907</v>
      </c>
      <c r="D114" s="48" t="n">
        <v>0.888</v>
      </c>
      <c r="E114" s="47" t="n">
        <v>0</v>
      </c>
      <c r="F114" s="48" t="n">
        <v>4.358</v>
      </c>
      <c r="G114" s="47" t="n">
        <v>0</v>
      </c>
      <c r="H114" s="49" t="n">
        <v>2.574</v>
      </c>
      <c r="I114" s="48" t="n">
        <v>1.772</v>
      </c>
    </row>
    <row r="115">
      <c r="A115" s="47" t="n">
        <v>4</v>
      </c>
      <c r="B115" s="48" t="n">
        <v>2.059</v>
      </c>
      <c r="C115" s="21" t="n">
        <v>0.4857</v>
      </c>
      <c r="D115" s="48" t="n">
        <v>0.88</v>
      </c>
      <c r="E115" s="47" t="n">
        <v>0</v>
      </c>
      <c r="F115" s="48" t="n">
        <v>4.698</v>
      </c>
      <c r="G115" s="47" t="n">
        <v>0</v>
      </c>
      <c r="H115" s="48" t="n">
        <v>2.282</v>
      </c>
      <c r="I115" s="48" t="n">
        <v>1.457</v>
      </c>
    </row>
    <row r="116">
      <c r="A116" s="47" t="n">
        <v>5</v>
      </c>
      <c r="B116" s="48" t="n">
        <v>2.326</v>
      </c>
      <c r="C116" s="21" t="n">
        <v>0.4299</v>
      </c>
      <c r="D116" s="48" t="n">
        <v>0.864</v>
      </c>
      <c r="E116" s="47" t="n">
        <v>0</v>
      </c>
      <c r="F116" s="48" t="n">
        <v>4.918</v>
      </c>
      <c r="G116" s="47" t="n">
        <v>0</v>
      </c>
      <c r="H116" s="49" t="n">
        <v>2.114</v>
      </c>
      <c r="I116" s="48" t="n">
        <v>1.29</v>
      </c>
    </row>
    <row r="117">
      <c r="A117" s="47" t="n">
        <v>6</v>
      </c>
      <c r="B117" s="48" t="n">
        <v>2.534</v>
      </c>
      <c r="C117" s="21" t="n">
        <v>0.3946</v>
      </c>
      <c r="D117" s="48" t="n">
        <v>0.848</v>
      </c>
      <c r="E117" s="47" t="n">
        <v>0</v>
      </c>
      <c r="F117" s="48" t="n">
        <v>5.078</v>
      </c>
      <c r="G117" s="47" t="n">
        <v>0</v>
      </c>
      <c r="H117" s="48" t="n">
        <v>2.004</v>
      </c>
      <c r="I117" s="48" t="n">
        <v>1.184</v>
      </c>
    </row>
    <row r="118">
      <c r="A118" s="47" t="n">
        <v>7</v>
      </c>
      <c r="B118" s="48" t="n">
        <v>2.704</v>
      </c>
      <c r="C118" s="21" t="n">
        <v>0.3698</v>
      </c>
      <c r="D118" s="48" t="n">
        <v>0.833</v>
      </c>
      <c r="E118" s="49" t="n">
        <v>0.204</v>
      </c>
      <c r="F118" s="49" t="n">
        <v>5.204</v>
      </c>
      <c r="G118" s="48" t="n">
        <v>0.076</v>
      </c>
      <c r="H118" s="48" t="n">
        <v>1.924</v>
      </c>
      <c r="I118" s="48" t="n">
        <v>1.109</v>
      </c>
    </row>
    <row r="119">
      <c r="A119" s="47" t="n">
        <v>8</v>
      </c>
      <c r="B119" s="48" t="n">
        <v>2.847</v>
      </c>
      <c r="C119" s="21" t="n">
        <v>0.3512</v>
      </c>
      <c r="D119" s="48" t="n">
        <v>0.82</v>
      </c>
      <c r="E119" s="49" t="n">
        <v>0.388</v>
      </c>
      <c r="F119" s="49" t="n">
        <v>5.306</v>
      </c>
      <c r="G119" s="48" t="n">
        <v>0.136</v>
      </c>
      <c r="H119" s="48" t="n">
        <v>1.864</v>
      </c>
      <c r="I119" s="48" t="n">
        <v>1.054</v>
      </c>
    </row>
    <row r="120">
      <c r="A120" s="47" t="n">
        <v>9</v>
      </c>
      <c r="B120" s="48" t="n">
        <v>2.97</v>
      </c>
      <c r="C120" s="21" t="n">
        <v>0.3367</v>
      </c>
      <c r="D120" s="48" t="n">
        <v>0.8080000000000001</v>
      </c>
      <c r="E120" s="49" t="n">
        <v>0.547</v>
      </c>
      <c r="F120" s="49" t="n">
        <v>5.393</v>
      </c>
      <c r="G120" s="48" t="n">
        <v>0.184</v>
      </c>
      <c r="H120" s="48" t="n">
        <v>1.816</v>
      </c>
      <c r="I120" s="48" t="n">
        <v>1.01</v>
      </c>
    </row>
    <row r="121">
      <c r="A121" s="47" t="n">
        <v>10</v>
      </c>
      <c r="B121" s="48" t="n">
        <v>3.078</v>
      </c>
      <c r="C121" s="21" t="n">
        <v>0.3249</v>
      </c>
      <c r="D121" s="48" t="n">
        <v>0.797</v>
      </c>
      <c r="E121" s="48" t="n">
        <v>0.6870000000000001</v>
      </c>
      <c r="F121" s="48" t="n">
        <v>5.469</v>
      </c>
      <c r="G121" s="48" t="n">
        <v>0.223</v>
      </c>
      <c r="H121" s="48" t="n">
        <v>1.777</v>
      </c>
      <c r="I121" s="48" t="n">
        <v>0.975</v>
      </c>
    </row>
    <row r="122">
      <c r="A122" s="47" t="n">
        <v>11</v>
      </c>
      <c r="B122" s="48" t="n">
        <v>3.173</v>
      </c>
      <c r="C122" s="21" t="n">
        <v>0.3152</v>
      </c>
      <c r="D122" s="48" t="n">
        <v>0.787</v>
      </c>
      <c r="E122" s="49" t="n">
        <v>0.8110000000000001</v>
      </c>
      <c r="F122" s="49" t="n">
        <v>5.535</v>
      </c>
      <c r="G122" s="48" t="n">
        <v>0.256</v>
      </c>
      <c r="H122" s="48" t="n">
        <v>1.744</v>
      </c>
      <c r="I122" s="48" t="n">
        <v>0.945</v>
      </c>
    </row>
    <row r="123">
      <c r="A123" s="47" t="n">
        <v>12</v>
      </c>
      <c r="B123" s="48" t="n">
        <v>3.258</v>
      </c>
      <c r="C123" s="21" t="n">
        <v>0.3069</v>
      </c>
      <c r="D123" s="49" t="n">
        <v>0.778</v>
      </c>
      <c r="E123" s="49" t="n">
        <v>0.922</v>
      </c>
      <c r="F123" s="49" t="n">
        <v>5.594</v>
      </c>
      <c r="G123" s="49" t="n">
        <v>0.283</v>
      </c>
      <c r="H123" s="49" t="n">
        <v>1.717</v>
      </c>
      <c r="I123" s="48" t="n">
        <v>0.921</v>
      </c>
    </row>
    <row r="124">
      <c r="A124" s="47" t="n">
        <v>13</v>
      </c>
      <c r="B124" s="48" t="n">
        <v>3.336</v>
      </c>
      <c r="C124" s="21" t="n">
        <v>0.2998</v>
      </c>
      <c r="D124" s="48" t="n">
        <v>0.77</v>
      </c>
      <c r="E124" s="49" t="n">
        <v>1.025</v>
      </c>
      <c r="F124" s="49" t="n">
        <v>5.647</v>
      </c>
      <c r="G124" s="49" t="n">
        <v>0.307</v>
      </c>
      <c r="H124" s="49" t="n">
        <v>1.693</v>
      </c>
      <c r="I124" s="48" t="n">
        <v>0.899</v>
      </c>
    </row>
    <row r="125">
      <c r="A125" s="47" t="n">
        <v>14</v>
      </c>
      <c r="B125" s="48" t="n">
        <v>3.407</v>
      </c>
      <c r="C125" s="21" t="n">
        <v>0.2935</v>
      </c>
      <c r="D125" s="48" t="n">
        <v>0.763</v>
      </c>
      <c r="E125" s="49" t="n">
        <v>1.118</v>
      </c>
      <c r="F125" s="49" t="n">
        <v>5.696</v>
      </c>
      <c r="G125" s="49" t="n">
        <v>0.328</v>
      </c>
      <c r="H125" s="49" t="n">
        <v>1.672</v>
      </c>
      <c r="I125" s="48" t="n">
        <v>0.881</v>
      </c>
    </row>
    <row r="126">
      <c r="A126" s="47" t="n">
        <v>15</v>
      </c>
      <c r="B126" s="48" t="n">
        <v>3.472</v>
      </c>
      <c r="C126" s="21" t="n">
        <v>0.288</v>
      </c>
      <c r="D126" s="48" t="n">
        <v>0.756</v>
      </c>
      <c r="E126" s="49" t="n">
        <v>1.203</v>
      </c>
      <c r="F126" s="49" t="n">
        <v>5.741</v>
      </c>
      <c r="G126" s="49" t="n">
        <v>0.347</v>
      </c>
      <c r="H126" s="49" t="n">
        <v>1.653</v>
      </c>
      <c r="I126" s="48" t="n">
        <v>0.864</v>
      </c>
    </row>
    <row r="127">
      <c r="A127" s="47" t="n">
        <v>16</v>
      </c>
      <c r="B127" s="48" t="n">
        <v>3.532</v>
      </c>
      <c r="C127" s="21" t="n">
        <v>0.2831</v>
      </c>
      <c r="D127" s="48" t="n">
        <v>0.75</v>
      </c>
      <c r="E127" s="49" t="n">
        <v>1.282</v>
      </c>
      <c r="F127" s="49" t="n">
        <v>5.782</v>
      </c>
      <c r="G127" s="49" t="n">
        <v>0.363</v>
      </c>
      <c r="H127" s="49" t="n">
        <v>1.637</v>
      </c>
      <c r="I127" s="48" t="n">
        <v>0.849</v>
      </c>
    </row>
    <row r="128">
      <c r="A128" s="47" t="n">
        <v>17</v>
      </c>
      <c r="B128" s="48" t="n">
        <v>3.588</v>
      </c>
      <c r="C128" s="21" t="n">
        <v>0.2787</v>
      </c>
      <c r="D128" s="48" t="n">
        <v>0.744</v>
      </c>
      <c r="E128" s="49" t="n">
        <v>1.356</v>
      </c>
      <c r="F128" s="49" t="n">
        <v>5.82</v>
      </c>
      <c r="G128" s="49" t="n">
        <v>0.378</v>
      </c>
      <c r="H128" s="49" t="n">
        <v>1.622</v>
      </c>
      <c r="I128" s="48" t="n">
        <v>0.836</v>
      </c>
    </row>
    <row r="129">
      <c r="A129" s="47" t="n">
        <v>18</v>
      </c>
      <c r="B129" s="48" t="n">
        <v>3.64</v>
      </c>
      <c r="C129" s="21" t="n">
        <v>0.2747</v>
      </c>
      <c r="D129" s="48" t="n">
        <v>0.739</v>
      </c>
      <c r="E129" s="49" t="n">
        <v>1.424</v>
      </c>
      <c r="F129" s="49" t="n">
        <v>5.856</v>
      </c>
      <c r="G129" s="49" t="n">
        <v>0.391</v>
      </c>
      <c r="H129" s="48" t="n">
        <v>1.608</v>
      </c>
      <c r="I129" s="48" t="n">
        <v>0.824</v>
      </c>
    </row>
    <row r="130">
      <c r="A130" s="47" t="n">
        <v>19</v>
      </c>
      <c r="B130" s="48" t="n">
        <v>3.689</v>
      </c>
      <c r="C130" s="21" t="n">
        <v>0.2711</v>
      </c>
      <c r="D130" s="48" t="n">
        <v>0.734</v>
      </c>
      <c r="E130" s="49" t="n">
        <v>1.487</v>
      </c>
      <c r="F130" s="49" t="n">
        <v>5.891</v>
      </c>
      <c r="G130" s="49" t="n">
        <v>0.403</v>
      </c>
      <c r="H130" s="49" t="n">
        <v>1.597</v>
      </c>
      <c r="I130" s="48" t="n">
        <v>0.8129999999999999</v>
      </c>
    </row>
    <row r="131">
      <c r="A131" s="47" t="n">
        <v>20</v>
      </c>
      <c r="B131" s="48" t="n">
        <v>3.735</v>
      </c>
      <c r="C131" s="21" t="n">
        <v>0.2677</v>
      </c>
      <c r="D131" s="48" t="n">
        <v>0.729</v>
      </c>
      <c r="E131" s="49" t="n">
        <v>1.549</v>
      </c>
      <c r="F131" s="49" t="n">
        <v>5.921</v>
      </c>
      <c r="G131" s="49" t="n">
        <v>0.415</v>
      </c>
      <c r="H131" s="49" t="n">
        <v>1.585</v>
      </c>
      <c r="I131" s="48" t="n">
        <v>0.803</v>
      </c>
    </row>
    <row r="132">
      <c r="A132" s="47" t="n">
        <v>21</v>
      </c>
      <c r="B132" s="48" t="n">
        <v>3.778</v>
      </c>
      <c r="C132" s="21" t="n">
        <v>0.2647</v>
      </c>
      <c r="D132" s="49" t="n">
        <v>0.724</v>
      </c>
      <c r="E132" s="49" t="n">
        <v>1.605</v>
      </c>
      <c r="F132" s="49" t="n">
        <v>5.951</v>
      </c>
      <c r="G132" s="48" t="n">
        <v>0.425</v>
      </c>
      <c r="H132" s="48" t="n">
        <v>1.575</v>
      </c>
      <c r="I132" s="48" t="n">
        <v>0.794</v>
      </c>
    </row>
    <row r="133">
      <c r="A133" s="47" t="n">
        <v>22</v>
      </c>
      <c r="B133" s="48" t="n">
        <v>3.819</v>
      </c>
      <c r="C133" s="21" t="n">
        <v>0.2618</v>
      </c>
      <c r="D133" s="48" t="n">
        <v>0.72</v>
      </c>
      <c r="E133" s="48" t="n">
        <v>1.659</v>
      </c>
      <c r="F133" s="48" t="n">
        <v>5.979</v>
      </c>
      <c r="G133" s="48" t="n">
        <v>0.434</v>
      </c>
      <c r="H133" s="48" t="n">
        <v>1.566</v>
      </c>
      <c r="I133" s="48" t="n">
        <v>0.786</v>
      </c>
    </row>
    <row r="134">
      <c r="A134" s="47" t="n">
        <v>23</v>
      </c>
      <c r="B134" s="48" t="n">
        <v>3.858</v>
      </c>
      <c r="C134" s="21" t="n">
        <v>0.2592</v>
      </c>
      <c r="D134" s="48" t="n">
        <v>0.716</v>
      </c>
      <c r="E134" s="48" t="n">
        <v>1.71</v>
      </c>
      <c r="F134" s="48" t="n">
        <v>6.006</v>
      </c>
      <c r="G134" s="48" t="n">
        <v>0.443</v>
      </c>
      <c r="H134" s="48" t="n">
        <v>1.557</v>
      </c>
      <c r="I134" s="48" t="n">
        <v>0.778</v>
      </c>
    </row>
    <row r="135">
      <c r="A135" s="47" t="n">
        <v>24</v>
      </c>
      <c r="B135" s="48" t="n">
        <v>3.895</v>
      </c>
      <c r="C135" s="21" t="n">
        <v>0.2567</v>
      </c>
      <c r="D135" s="48" t="n">
        <v>0.712</v>
      </c>
      <c r="E135" s="48" t="n">
        <v>1.759</v>
      </c>
      <c r="F135" s="48" t="n">
        <v>6.031</v>
      </c>
      <c r="G135" s="49" t="n">
        <v>0.451</v>
      </c>
      <c r="H135" s="48" t="n">
        <v>1.548</v>
      </c>
      <c r="I135" s="48" t="n">
        <v>0.77</v>
      </c>
    </row>
    <row r="136">
      <c r="A136" s="47" t="n">
        <v>25</v>
      </c>
      <c r="B136" s="48" t="n">
        <v>3.931</v>
      </c>
      <c r="C136" s="21" t="n">
        <v>0.2544</v>
      </c>
      <c r="D136" s="48" t="n">
        <v>0.708</v>
      </c>
      <c r="E136" s="49" t="n">
        <v>1.806</v>
      </c>
      <c r="F136" s="49" t="n">
        <v>6.056</v>
      </c>
      <c r="G136" s="48" t="n">
        <v>0.459</v>
      </c>
      <c r="H136" s="48" t="n">
        <v>1.541</v>
      </c>
      <c r="I136" s="48" t="n">
        <v>0.763</v>
      </c>
    </row>
    <row r="138">
      <c r="A138" s="20" t="inlineStr">
        <is>
          <t>Tabel MSA: d2* en vrijheidsgraden ν van de gemiddelde spreidingsbreedte (gedrukte titel: 'Values associated with the Distribution of the Average Range (degrees of freedom nu and conversion factor d2* by number of subgroups g and subgroup size m)')</t>
        </is>
      </c>
    </row>
    <row r="139">
      <c r="A139" s="8" t="inlineStr">
        <is>
          <t>Bron: source/course/Les 5/20260619_ottoy_tabel MSA.pdf p. 1. Volgens die pagina overgenomen uit: Measurement Systems Analysis Reference Manual (DaimlerChrysler, Ford, GM), 2002.</t>
        </is>
      </c>
    </row>
    <row r="140">
      <c r="A140" s="20" t="inlineStr">
        <is>
          <t>GEBRUIKT door het blad Gage R&amp;R (K1 = 1/d2 met g → ∞; K2, K3 = 1/d2* met g = 1). Elke gedrukte cel 'ν / d2*' is gesplitst in de twee rasters hieronder.</t>
        </is>
      </c>
    </row>
    <row r="141">
      <c r="A141" s="10" t="inlineStr">
        <is>
          <t>d2*: g \ m</t>
        </is>
      </c>
      <c r="B141" s="10" t="n">
        <v>2</v>
      </c>
      <c r="C141" s="10" t="n">
        <v>3</v>
      </c>
      <c r="D141" s="10" t="n">
        <v>4</v>
      </c>
      <c r="E141" s="10" t="n">
        <v>5</v>
      </c>
      <c r="F141" s="10" t="n">
        <v>6</v>
      </c>
      <c r="G141" s="10" t="n">
        <v>7</v>
      </c>
      <c r="H141" s="10" t="n">
        <v>8</v>
      </c>
      <c r="I141" s="10" t="n">
        <v>9</v>
      </c>
      <c r="J141" s="10" t="n">
        <v>10</v>
      </c>
      <c r="K141" s="10" t="n">
        <v>11</v>
      </c>
      <c r="L141" s="10" t="n">
        <v>12</v>
      </c>
      <c r="M141" s="10" t="n">
        <v>13</v>
      </c>
      <c r="N141" s="10" t="n">
        <v>14</v>
      </c>
      <c r="O141" s="10" t="n">
        <v>15</v>
      </c>
      <c r="P141" s="10" t="n">
        <v>16</v>
      </c>
      <c r="Q141" s="10" t="n">
        <v>17</v>
      </c>
      <c r="R141" s="10" t="n">
        <v>18</v>
      </c>
      <c r="S141" s="10" t="n">
        <v>19</v>
      </c>
      <c r="T141" s="10" t="n">
        <v>20</v>
      </c>
    </row>
    <row r="142">
      <c r="A142" s="52" t="n">
        <v>1</v>
      </c>
      <c r="B142" s="39" t="n">
        <v>1.41421</v>
      </c>
      <c r="C142" s="39" t="n">
        <v>1.91155</v>
      </c>
      <c r="D142" s="39" t="n">
        <v>2.23887</v>
      </c>
      <c r="E142" s="39" t="n">
        <v>2.48124</v>
      </c>
      <c r="F142" s="39" t="n">
        <v>2.67253</v>
      </c>
      <c r="G142" s="39" t="n">
        <v>2.82981</v>
      </c>
      <c r="H142" s="39" t="n">
        <v>2.96288</v>
      </c>
      <c r="I142" s="39" t="n">
        <v>3.07794</v>
      </c>
      <c r="J142" s="39" t="n">
        <v>3.17905</v>
      </c>
      <c r="K142" s="39" t="n">
        <v>3.26909</v>
      </c>
      <c r="L142" s="39" t="n">
        <v>3.35016</v>
      </c>
      <c r="M142" s="39" t="n">
        <v>3.42378</v>
      </c>
      <c r="N142" s="39" t="n">
        <v>3.49116</v>
      </c>
      <c r="O142" s="39" t="n">
        <v>3.55333</v>
      </c>
      <c r="P142" s="39" t="n">
        <v>3.61071</v>
      </c>
      <c r="Q142" s="39" t="n">
        <v>3.66422</v>
      </c>
      <c r="R142" s="39" t="n">
        <v>3.71424</v>
      </c>
      <c r="S142" s="39" t="n">
        <v>3.76118</v>
      </c>
      <c r="T142" s="39" t="n">
        <v>3.80537</v>
      </c>
    </row>
    <row r="143">
      <c r="A143" s="52" t="n">
        <v>2</v>
      </c>
      <c r="B143" s="39" t="n">
        <v>1.27931</v>
      </c>
      <c r="C143" s="39" t="n">
        <v>1.80538</v>
      </c>
      <c r="D143" s="39" t="n">
        <v>2.15069</v>
      </c>
      <c r="E143" s="39" t="n">
        <v>2.40484</v>
      </c>
      <c r="F143" s="39" t="n">
        <v>2.60438</v>
      </c>
      <c r="G143" s="39" t="n">
        <v>2.76779</v>
      </c>
      <c r="H143" s="39" t="n">
        <v>2.90562</v>
      </c>
      <c r="I143" s="39" t="n">
        <v>3.02446</v>
      </c>
      <c r="J143" s="39" t="n">
        <v>3.12869</v>
      </c>
      <c r="K143" s="39" t="n">
        <v>3.22134</v>
      </c>
      <c r="L143" s="39" t="n">
        <v>3.30463</v>
      </c>
      <c r="M143" s="39" t="n">
        <v>3.38017</v>
      </c>
      <c r="N143" s="39" t="n">
        <v>3.44922</v>
      </c>
      <c r="O143" s="39" t="n">
        <v>3.51287</v>
      </c>
      <c r="P143" s="39" t="n">
        <v>3.57156</v>
      </c>
      <c r="Q143" s="39" t="n">
        <v>3.62625</v>
      </c>
      <c r="R143" s="39" t="n">
        <v>3.67734</v>
      </c>
      <c r="S143" s="39" t="n">
        <v>3.72524</v>
      </c>
      <c r="T143" s="39" t="n">
        <v>3.77032</v>
      </c>
    </row>
    <row r="144">
      <c r="A144" s="52" t="n">
        <v>3</v>
      </c>
      <c r="B144" s="39" t="n">
        <v>1.23105</v>
      </c>
      <c r="C144" s="39" t="n">
        <v>1.76858</v>
      </c>
      <c r="D144" s="39" t="n">
        <v>2.12049</v>
      </c>
      <c r="E144" s="39" t="n">
        <v>2.37883</v>
      </c>
      <c r="F144" s="39" t="n">
        <v>2.58127</v>
      </c>
      <c r="G144" s="39" t="n">
        <v>2.74681</v>
      </c>
      <c r="H144" s="39" t="n">
        <v>2.88628</v>
      </c>
      <c r="I144" s="39" t="n">
        <v>3.00643</v>
      </c>
      <c r="J144" s="39" t="n">
        <v>3.11173</v>
      </c>
      <c r="K144" s="39" t="n">
        <v>3.20526</v>
      </c>
      <c r="L144" s="39" t="n">
        <v>3.28931</v>
      </c>
      <c r="M144" s="39" t="n">
        <v>3.3655</v>
      </c>
      <c r="N144" s="39" t="n">
        <v>3.43512</v>
      </c>
      <c r="O144" s="39" t="n">
        <v>3.49927</v>
      </c>
      <c r="P144" s="39" t="n">
        <v>3.55842</v>
      </c>
      <c r="Q144" s="39" t="n">
        <v>3.61351</v>
      </c>
      <c r="R144" s="39" t="n">
        <v>3.66495</v>
      </c>
      <c r="S144" s="39" t="n">
        <v>3.71319</v>
      </c>
      <c r="T144" s="39" t="n">
        <v>3.75857</v>
      </c>
    </row>
    <row r="145">
      <c r="A145" s="52" t="n">
        <v>4</v>
      </c>
      <c r="B145" s="39" t="n">
        <v>1.20621</v>
      </c>
      <c r="C145" s="39" t="n">
        <v>1.74989</v>
      </c>
      <c r="D145" s="39" t="n">
        <v>2.10522</v>
      </c>
      <c r="E145" s="39" t="n">
        <v>2.36571</v>
      </c>
      <c r="F145" s="39" t="n">
        <v>2.56964</v>
      </c>
      <c r="G145" s="39" t="n">
        <v>2.73626</v>
      </c>
      <c r="H145" s="39" t="n">
        <v>2.87656</v>
      </c>
      <c r="I145" s="39" t="n">
        <v>2.99737</v>
      </c>
      <c r="J145" s="39" t="n">
        <v>3.10321</v>
      </c>
      <c r="K145" s="39" t="n">
        <v>3.1972</v>
      </c>
      <c r="L145" s="39" t="n">
        <v>3.28163</v>
      </c>
      <c r="M145" s="39" t="n">
        <v>3.35815</v>
      </c>
      <c r="N145" s="39" t="n">
        <v>3.42805</v>
      </c>
      <c r="O145" s="39" t="n">
        <v>3.49246</v>
      </c>
      <c r="P145" s="39" t="n">
        <v>3.55183</v>
      </c>
      <c r="Q145" s="39" t="n">
        <v>3.60712</v>
      </c>
      <c r="R145" s="39" t="n">
        <v>3.65875</v>
      </c>
      <c r="S145" s="39" t="n">
        <v>3.70715</v>
      </c>
      <c r="T145" s="39" t="n">
        <v>3.75268</v>
      </c>
    </row>
    <row r="146">
      <c r="A146" s="52" t="n">
        <v>5</v>
      </c>
      <c r="B146" s="39" t="n">
        <v>1.19105</v>
      </c>
      <c r="C146" s="39" t="n">
        <v>1.73857</v>
      </c>
      <c r="D146" s="39" t="n">
        <v>2.09601</v>
      </c>
      <c r="E146" s="39" t="n">
        <v>2.35781</v>
      </c>
      <c r="F146" s="39" t="n">
        <v>2.56263</v>
      </c>
      <c r="G146" s="39" t="n">
        <v>2.72991</v>
      </c>
      <c r="H146" s="39" t="n">
        <v>2.87071</v>
      </c>
      <c r="I146" s="39" t="n">
        <v>2.99192</v>
      </c>
      <c r="J146" s="39" t="n">
        <v>3.09808</v>
      </c>
      <c r="K146" s="39" t="n">
        <v>3.19235</v>
      </c>
      <c r="L146" s="39" t="n">
        <v>3.27701</v>
      </c>
      <c r="M146" s="39" t="n">
        <v>3.35372</v>
      </c>
      <c r="N146" s="39" t="n">
        <v>3.42381</v>
      </c>
      <c r="O146" s="39" t="n">
        <v>3.48836</v>
      </c>
      <c r="P146" s="39" t="n">
        <v>3.54787</v>
      </c>
      <c r="Q146" s="39" t="n">
        <v>3.60328</v>
      </c>
      <c r="R146" s="39" t="n">
        <v>3.65502</v>
      </c>
      <c r="S146" s="39" t="n">
        <v>3.70352</v>
      </c>
      <c r="T146" s="39" t="n">
        <v>3.74914</v>
      </c>
    </row>
    <row r="147">
      <c r="A147" s="52" t="n">
        <v>6</v>
      </c>
      <c r="B147" s="39" t="n">
        <v>1.18083</v>
      </c>
      <c r="C147" s="39" t="n">
        <v>1.73099</v>
      </c>
      <c r="D147" s="39" t="n">
        <v>2.08985</v>
      </c>
      <c r="E147" s="39" t="n">
        <v>2.35253</v>
      </c>
      <c r="F147" s="39" t="n">
        <v>2.55795</v>
      </c>
      <c r="G147" s="39" t="n">
        <v>2.72567</v>
      </c>
      <c r="H147" s="39" t="n">
        <v>2.8668</v>
      </c>
      <c r="I147" s="39" t="n">
        <v>2.98829</v>
      </c>
      <c r="J147" s="39" t="n">
        <v>3.09467</v>
      </c>
      <c r="K147" s="39" t="n">
        <v>3.18911</v>
      </c>
      <c r="L147" s="39" t="n">
        <v>3.27392</v>
      </c>
      <c r="M147" s="39" t="n">
        <v>3.35077</v>
      </c>
      <c r="N147" s="39" t="n">
        <v>3.42097</v>
      </c>
      <c r="O147" s="39" t="n">
        <v>3.48563</v>
      </c>
      <c r="P147" s="39" t="n">
        <v>3.54522</v>
      </c>
      <c r="Q147" s="39" t="n">
        <v>3.60072</v>
      </c>
      <c r="R147" s="39" t="n">
        <v>3.65253</v>
      </c>
      <c r="S147" s="39" t="n">
        <v>3.70109</v>
      </c>
      <c r="T147" s="39" t="n">
        <v>3.74678</v>
      </c>
    </row>
    <row r="148">
      <c r="A148" s="52" t="n">
        <v>7</v>
      </c>
      <c r="B148" s="39" t="n">
        <v>1.17348</v>
      </c>
      <c r="C148" s="39" t="n">
        <v>1.72555</v>
      </c>
      <c r="D148" s="39" t="n">
        <v>2.08543</v>
      </c>
      <c r="E148" s="39" t="n">
        <v>2.34875</v>
      </c>
      <c r="F148" s="39" t="n">
        <v>2.5546</v>
      </c>
      <c r="G148" s="39" t="n">
        <v>2.72263</v>
      </c>
      <c r="H148" s="39" t="n">
        <v>2.86401</v>
      </c>
      <c r="I148" s="39" t="n">
        <v>2.98568</v>
      </c>
      <c r="J148" s="39" t="n">
        <v>3.09222</v>
      </c>
      <c r="K148" s="39" t="n">
        <v>3.18679</v>
      </c>
      <c r="L148" s="39" t="n">
        <v>3.27172</v>
      </c>
      <c r="M148" s="39" t="n">
        <v>3.34866</v>
      </c>
      <c r="N148" s="39" t="n">
        <v>3.41894</v>
      </c>
      <c r="O148" s="39" t="n">
        <v>3.48368</v>
      </c>
      <c r="P148" s="39" t="n">
        <v>3.54333</v>
      </c>
      <c r="Q148" s="39" t="n">
        <v>3.59888</v>
      </c>
      <c r="R148" s="39" t="n">
        <v>3.65075</v>
      </c>
      <c r="S148" s="39" t="n">
        <v>3.69936</v>
      </c>
      <c r="T148" s="39" t="n">
        <v>3.74509</v>
      </c>
    </row>
    <row r="149">
      <c r="A149" s="52" t="n">
        <v>8</v>
      </c>
      <c r="B149" s="39" t="n">
        <v>1.16794</v>
      </c>
      <c r="C149" s="39" t="n">
        <v>1.72147</v>
      </c>
      <c r="D149" s="39" t="n">
        <v>2.08212</v>
      </c>
      <c r="E149" s="39" t="n">
        <v>2.34591</v>
      </c>
      <c r="F149" s="39" t="n">
        <v>2.55208</v>
      </c>
      <c r="G149" s="39" t="n">
        <v>2.72036</v>
      </c>
      <c r="H149" s="39" t="n">
        <v>2.86192</v>
      </c>
      <c r="I149" s="39" t="n">
        <v>2.98373</v>
      </c>
      <c r="J149" s="39" t="n">
        <v>3.09039</v>
      </c>
      <c r="K149" s="39" t="n">
        <v>3.18506</v>
      </c>
      <c r="L149" s="39" t="n">
        <v>3.27006</v>
      </c>
      <c r="M149" s="39" t="n">
        <v>3.34708</v>
      </c>
      <c r="N149" s="39" t="n">
        <v>3.41742</v>
      </c>
      <c r="O149" s="39" t="n">
        <v>3.48221</v>
      </c>
      <c r="P149" s="39" t="n">
        <v>3.54192</v>
      </c>
      <c r="Q149" s="39" t="n">
        <v>3.59751</v>
      </c>
      <c r="R149" s="39" t="n">
        <v>3.64941</v>
      </c>
      <c r="S149" s="39" t="n">
        <v>3.69806</v>
      </c>
      <c r="T149" s="39" t="n">
        <v>3.74382</v>
      </c>
    </row>
    <row r="150">
      <c r="A150" s="52" t="n">
        <v>9</v>
      </c>
      <c r="B150" s="39" t="n">
        <v>1.16361</v>
      </c>
      <c r="C150" s="39" t="n">
        <v>1.71828</v>
      </c>
      <c r="D150" s="39" t="n">
        <v>2.07953</v>
      </c>
      <c r="E150" s="39" t="n">
        <v>2.3437</v>
      </c>
      <c r="F150" s="39" t="n">
        <v>2.55013</v>
      </c>
      <c r="G150" s="39" t="n">
        <v>2.71858</v>
      </c>
      <c r="H150" s="39" t="n">
        <v>2.86028</v>
      </c>
      <c r="I150" s="39" t="n">
        <v>2.98221</v>
      </c>
      <c r="J150" s="39" t="n">
        <v>3.08896</v>
      </c>
      <c r="K150" s="39" t="n">
        <v>3.1837</v>
      </c>
      <c r="L150" s="39" t="n">
        <v>3.26878</v>
      </c>
      <c r="M150" s="39" t="n">
        <v>3.34585</v>
      </c>
      <c r="N150" s="39" t="n">
        <v>3.41624</v>
      </c>
      <c r="O150" s="39" t="n">
        <v>3.48107</v>
      </c>
      <c r="P150" s="39" t="n">
        <v>3.54081</v>
      </c>
      <c r="Q150" s="39" t="n">
        <v>3.59644</v>
      </c>
      <c r="R150" s="39" t="n">
        <v>3.64838</v>
      </c>
      <c r="S150" s="39" t="n">
        <v>3.69705</v>
      </c>
      <c r="T150" s="39" t="n">
        <v>3.74284</v>
      </c>
    </row>
    <row r="151">
      <c r="A151" s="52" t="n">
        <v>10</v>
      </c>
      <c r="B151" s="39" t="n">
        <v>1.16014</v>
      </c>
      <c r="C151" s="39" t="n">
        <v>1.71573</v>
      </c>
      <c r="D151" s="39" t="n">
        <v>2.07746</v>
      </c>
      <c r="E151" s="39" t="n">
        <v>2.34192</v>
      </c>
      <c r="F151" s="39" t="n">
        <v>2.54856</v>
      </c>
      <c r="G151" s="39" t="n">
        <v>2.71717</v>
      </c>
      <c r="H151" s="39" t="n">
        <v>2.85898</v>
      </c>
      <c r="I151" s="39" t="n">
        <v>2.981</v>
      </c>
      <c r="J151" s="39" t="n">
        <v>3.08781</v>
      </c>
      <c r="K151" s="39" t="n">
        <v>3.18262</v>
      </c>
      <c r="L151" s="39" t="n">
        <v>3.26775</v>
      </c>
      <c r="M151" s="39" t="n">
        <v>3.34486</v>
      </c>
      <c r="N151" s="39" t="n">
        <v>3.41529</v>
      </c>
      <c r="O151" s="39" t="n">
        <v>3.48016</v>
      </c>
      <c r="P151" s="39" t="n">
        <v>3.53993</v>
      </c>
      <c r="Q151" s="39" t="n">
        <v>3.59559</v>
      </c>
      <c r="R151" s="39" t="n">
        <v>3.64755</v>
      </c>
      <c r="S151" s="39" t="n">
        <v>3.69625</v>
      </c>
      <c r="T151" s="39" t="n">
        <v>3.74205</v>
      </c>
    </row>
    <row r="152">
      <c r="A152" s="52" t="n">
        <v>11</v>
      </c>
      <c r="B152" s="39" t="n">
        <v>1.15729</v>
      </c>
      <c r="C152" s="39" t="n">
        <v>1.71363</v>
      </c>
      <c r="D152" s="39" t="n">
        <v>2.07577</v>
      </c>
      <c r="E152" s="39" t="n">
        <v>2.34048</v>
      </c>
      <c r="F152" s="39" t="n">
        <v>2.54728</v>
      </c>
      <c r="G152" s="39" t="n">
        <v>2.716</v>
      </c>
      <c r="H152" s="39" t="n">
        <v>2.85791</v>
      </c>
      <c r="I152" s="39" t="n">
        <v>2.98</v>
      </c>
      <c r="J152" s="39" t="n">
        <v>3.08688</v>
      </c>
      <c r="K152" s="39" t="n">
        <v>3.18174</v>
      </c>
      <c r="L152" s="39" t="n">
        <v>3.2669</v>
      </c>
      <c r="M152" s="39" t="n">
        <v>3.34406</v>
      </c>
      <c r="N152" s="39" t="n">
        <v>3.41452</v>
      </c>
      <c r="O152" s="39" t="n">
        <v>3.47941</v>
      </c>
      <c r="P152" s="39" t="n">
        <v>3.53921</v>
      </c>
      <c r="Q152" s="39" t="n">
        <v>3.59489</v>
      </c>
      <c r="R152" s="39" t="n">
        <v>3.64687</v>
      </c>
      <c r="S152" s="39" t="n">
        <v>3.69558</v>
      </c>
      <c r="T152" s="39" t="n">
        <v>3.74141</v>
      </c>
    </row>
    <row r="153">
      <c r="A153" s="52" t="n">
        <v>12</v>
      </c>
      <c r="B153" s="39" t="n">
        <v>1.1549</v>
      </c>
      <c r="C153" s="39" t="n">
        <v>1.71189</v>
      </c>
      <c r="D153" s="39" t="n">
        <v>2.07436</v>
      </c>
      <c r="E153" s="39" t="n">
        <v>2.33927</v>
      </c>
      <c r="F153" s="39" t="n">
        <v>2.54621</v>
      </c>
      <c r="G153" s="39" t="n">
        <v>2.71504</v>
      </c>
      <c r="H153" s="39" t="n">
        <v>2.85702</v>
      </c>
      <c r="I153" s="39" t="n">
        <v>2.97917</v>
      </c>
      <c r="J153" s="39" t="n">
        <v>3.0861</v>
      </c>
      <c r="K153" s="39" t="n">
        <v>3.181</v>
      </c>
      <c r="L153" s="39" t="n">
        <v>3.2662</v>
      </c>
      <c r="M153" s="39" t="n">
        <v>3.34339</v>
      </c>
      <c r="N153" s="39" t="n">
        <v>3.41387</v>
      </c>
      <c r="O153" s="39" t="n">
        <v>3.47879</v>
      </c>
      <c r="P153" s="39" t="n">
        <v>3.53861</v>
      </c>
      <c r="Q153" s="39" t="n">
        <v>3.5943</v>
      </c>
      <c r="R153" s="39" t="n">
        <v>3.6463</v>
      </c>
      <c r="S153" s="39" t="n">
        <v>3.69503</v>
      </c>
      <c r="T153" s="39" t="n">
        <v>3.74087</v>
      </c>
    </row>
    <row r="154">
      <c r="A154" s="52" t="n">
        <v>13</v>
      </c>
      <c r="B154" s="39" t="n">
        <v>1.15289</v>
      </c>
      <c r="C154" s="39" t="n">
        <v>1.71041</v>
      </c>
      <c r="D154" s="39" t="n">
        <v>2.07316</v>
      </c>
      <c r="E154" s="39" t="n">
        <v>2.33824</v>
      </c>
      <c r="F154" s="39" t="n">
        <v>2.5453</v>
      </c>
      <c r="G154" s="39" t="n">
        <v>2.71422</v>
      </c>
      <c r="H154" s="39" t="n">
        <v>2.85627</v>
      </c>
      <c r="I154" s="39" t="n">
        <v>2.97847</v>
      </c>
      <c r="J154" s="39" t="n">
        <v>3.08544</v>
      </c>
      <c r="K154" s="39" t="n">
        <v>3.18037</v>
      </c>
      <c r="L154" s="39" t="n">
        <v>3.26561</v>
      </c>
      <c r="M154" s="39" t="n">
        <v>3.34282</v>
      </c>
      <c r="N154" s="39" t="n">
        <v>3.41333</v>
      </c>
      <c r="O154" s="39" t="n">
        <v>3.47826</v>
      </c>
      <c r="P154" s="39" t="n">
        <v>3.5381</v>
      </c>
      <c r="Q154" s="39" t="n">
        <v>3.59381</v>
      </c>
      <c r="R154" s="39" t="n">
        <v>3.64582</v>
      </c>
      <c r="S154" s="39" t="n">
        <v>3.69457</v>
      </c>
      <c r="T154" s="39" t="n">
        <v>3.74041</v>
      </c>
    </row>
    <row r="155">
      <c r="A155" s="52" t="n">
        <v>14</v>
      </c>
      <c r="B155" s="39" t="n">
        <v>1.15115</v>
      </c>
      <c r="C155" s="39" t="n">
        <v>1.70914</v>
      </c>
      <c r="D155" s="39" t="n">
        <v>2.07213</v>
      </c>
      <c r="E155" s="39" t="n">
        <v>2.33737</v>
      </c>
      <c r="F155" s="39" t="n">
        <v>2.54452</v>
      </c>
      <c r="G155" s="39" t="n">
        <v>2.71351</v>
      </c>
      <c r="H155" s="39" t="n">
        <v>2.85562</v>
      </c>
      <c r="I155" s="39" t="n">
        <v>2.97787</v>
      </c>
      <c r="J155" s="39" t="n">
        <v>3.08487</v>
      </c>
      <c r="K155" s="39" t="n">
        <v>3.17984</v>
      </c>
      <c r="L155" s="39" t="n">
        <v>3.2651</v>
      </c>
      <c r="M155" s="39" t="n">
        <v>3.34233</v>
      </c>
      <c r="N155" s="39" t="n">
        <v>3.41286</v>
      </c>
      <c r="O155" s="39" t="n">
        <v>3.47781</v>
      </c>
      <c r="P155" s="39" t="n">
        <v>3.53766</v>
      </c>
      <c r="Q155" s="39" t="n">
        <v>3.59339</v>
      </c>
      <c r="R155" s="39" t="n">
        <v>3.64541</v>
      </c>
      <c r="S155" s="39" t="n">
        <v>3.69417</v>
      </c>
      <c r="T155" s="39" t="n">
        <v>3.74002</v>
      </c>
    </row>
    <row r="156">
      <c r="A156" s="52" t="n">
        <v>15</v>
      </c>
      <c r="B156" s="39" t="n">
        <v>1.14965</v>
      </c>
      <c r="C156" s="39" t="n">
        <v>1.70804</v>
      </c>
      <c r="D156" s="39" t="n">
        <v>2.07125</v>
      </c>
      <c r="E156" s="39" t="n">
        <v>2.33661</v>
      </c>
      <c r="F156" s="39" t="n">
        <v>2.54385</v>
      </c>
      <c r="G156" s="39" t="n">
        <v>2.7129</v>
      </c>
      <c r="H156" s="39" t="n">
        <v>2.85506</v>
      </c>
      <c r="I156" s="39" t="n">
        <v>2.97735</v>
      </c>
      <c r="J156" s="39" t="n">
        <v>3.08438</v>
      </c>
      <c r="K156" s="39" t="n">
        <v>3.17938</v>
      </c>
      <c r="L156" s="39" t="n">
        <v>3.26465</v>
      </c>
      <c r="M156" s="39" t="n">
        <v>3.34191</v>
      </c>
      <c r="N156" s="39" t="n">
        <v>3.41245</v>
      </c>
      <c r="O156" s="39" t="n">
        <v>3.47742</v>
      </c>
      <c r="P156" s="39" t="n">
        <v>3.53728</v>
      </c>
      <c r="Q156" s="39" t="n">
        <v>3.59302</v>
      </c>
      <c r="R156" s="39" t="n">
        <v>3.64505</v>
      </c>
      <c r="S156" s="39" t="n">
        <v>3.69382</v>
      </c>
      <c r="T156" s="39" t="n">
        <v>3.73969</v>
      </c>
    </row>
    <row r="157">
      <c r="A157" s="52" t="n">
        <v>16</v>
      </c>
      <c r="B157" s="39" t="n">
        <v>1.14833</v>
      </c>
      <c r="C157" s="39" t="n">
        <v>1.70708</v>
      </c>
      <c r="D157" s="39" t="n">
        <v>2.07047</v>
      </c>
      <c r="E157" s="39" t="n">
        <v>2.33594</v>
      </c>
      <c r="F157" s="39" t="n">
        <v>2.54326</v>
      </c>
      <c r="G157" s="39" t="n">
        <v>2.71237</v>
      </c>
      <c r="H157" s="39" t="n">
        <v>2.85457</v>
      </c>
      <c r="I157" s="39" t="n">
        <v>2.97689</v>
      </c>
      <c r="J157" s="39" t="n">
        <v>3.08395</v>
      </c>
      <c r="K157" s="39" t="n">
        <v>3.17897</v>
      </c>
      <c r="L157" s="39" t="n">
        <v>3.26427</v>
      </c>
      <c r="M157" s="39" t="n">
        <v>3.34154</v>
      </c>
      <c r="N157" s="39" t="n">
        <v>3.4121</v>
      </c>
      <c r="O157" s="39" t="n">
        <v>3.47707</v>
      </c>
      <c r="P157" s="39" t="n">
        <v>3.53695</v>
      </c>
      <c r="Q157" s="39" t="n">
        <v>3.5927</v>
      </c>
      <c r="R157" s="39" t="n">
        <v>3.64474</v>
      </c>
      <c r="S157" s="39" t="n">
        <v>3.69351</v>
      </c>
      <c r="T157" s="39" t="n">
        <v>3.73939</v>
      </c>
    </row>
    <row r="158">
      <c r="A158" s="52" t="n">
        <v>17</v>
      </c>
      <c r="B158" s="39" t="n">
        <v>1.14717</v>
      </c>
      <c r="C158" s="39" t="n">
        <v>1.70623</v>
      </c>
      <c r="D158" s="39" t="n">
        <v>2.06978</v>
      </c>
      <c r="E158" s="39" t="n">
        <v>2.33535</v>
      </c>
      <c r="F158" s="39" t="n">
        <v>2.54274</v>
      </c>
      <c r="G158" s="39" t="n">
        <v>2.7119</v>
      </c>
      <c r="H158" s="39" t="n">
        <v>2.85413</v>
      </c>
      <c r="I158" s="39" t="n">
        <v>2.97649</v>
      </c>
      <c r="J158" s="39" t="n">
        <v>3.08358</v>
      </c>
      <c r="K158" s="39" t="n">
        <v>3.17861</v>
      </c>
      <c r="L158" s="39" t="n">
        <v>3.26393</v>
      </c>
      <c r="M158" s="39" t="n">
        <v>3.34121</v>
      </c>
      <c r="N158" s="39" t="n">
        <v>3.41178</v>
      </c>
      <c r="O158" s="39" t="n">
        <v>3.47677</v>
      </c>
      <c r="P158" s="39" t="n">
        <v>3.53666</v>
      </c>
      <c r="Q158" s="39" t="n">
        <v>3.59242</v>
      </c>
      <c r="R158" s="39" t="n">
        <v>3.64447</v>
      </c>
      <c r="S158" s="39" t="n">
        <v>3.69325</v>
      </c>
      <c r="T158" s="39" t="n">
        <v>3.73913</v>
      </c>
    </row>
    <row r="159">
      <c r="A159" s="52" t="n">
        <v>18</v>
      </c>
      <c r="B159" s="39" t="n">
        <v>1.14613</v>
      </c>
      <c r="C159" s="39" t="n">
        <v>1.70547</v>
      </c>
      <c r="D159" s="39" t="n">
        <v>2.06917</v>
      </c>
      <c r="E159" s="39" t="n">
        <v>2.33483</v>
      </c>
      <c r="F159" s="39" t="n">
        <v>2.54228</v>
      </c>
      <c r="G159" s="39" t="n">
        <v>2.71148</v>
      </c>
      <c r="H159" s="39" t="n">
        <v>2.85375</v>
      </c>
      <c r="I159" s="39" t="n">
        <v>2.97613</v>
      </c>
      <c r="J159" s="39" t="n">
        <v>3.08324</v>
      </c>
      <c r="K159" s="39" t="n">
        <v>3.17829</v>
      </c>
      <c r="L159" s="39" t="n">
        <v>3.26362</v>
      </c>
      <c r="M159" s="39" t="n">
        <v>3.34092</v>
      </c>
      <c r="N159" s="39" t="n">
        <v>3.4115</v>
      </c>
      <c r="O159" s="39" t="n">
        <v>3.4765</v>
      </c>
      <c r="P159" s="39" t="n">
        <v>3.5364</v>
      </c>
      <c r="Q159" s="39" t="n">
        <v>3.59216</v>
      </c>
      <c r="R159" s="39" t="n">
        <v>3.64422</v>
      </c>
      <c r="S159" s="39" t="n">
        <v>3.69301</v>
      </c>
      <c r="T159" s="39" t="n">
        <v>3.7389</v>
      </c>
    </row>
    <row r="160">
      <c r="A160" s="52" t="n">
        <v>19</v>
      </c>
      <c r="B160" s="39" t="n">
        <v>1.1452</v>
      </c>
      <c r="C160" s="39" t="n">
        <v>1.7048</v>
      </c>
      <c r="D160" s="39" t="n">
        <v>2.06862</v>
      </c>
      <c r="E160" s="39" t="n">
        <v>2.33436</v>
      </c>
      <c r="F160" s="39" t="n">
        <v>2.54187</v>
      </c>
      <c r="G160" s="39" t="n">
        <v>2.71111</v>
      </c>
      <c r="H160" s="39" t="n">
        <v>2.85341</v>
      </c>
      <c r="I160" s="39" t="n">
        <v>2.97581</v>
      </c>
      <c r="J160" s="39" t="n">
        <v>3.08294</v>
      </c>
      <c r="K160" s="39" t="n">
        <v>3.17801</v>
      </c>
      <c r="L160" s="39" t="n">
        <v>3.26335</v>
      </c>
      <c r="M160" s="39" t="n">
        <v>3.34066</v>
      </c>
      <c r="N160" s="39" t="n">
        <v>3.41125</v>
      </c>
      <c r="O160" s="39" t="n">
        <v>3.47626</v>
      </c>
      <c r="P160" s="39" t="n">
        <v>3.53617</v>
      </c>
      <c r="Q160" s="39" t="n">
        <v>3.59194</v>
      </c>
      <c r="R160" s="39" t="n">
        <v>3.644</v>
      </c>
      <c r="S160" s="39" t="n">
        <v>3.6928</v>
      </c>
      <c r="T160" s="39" t="n">
        <v>3.73869</v>
      </c>
    </row>
    <row r="161">
      <c r="A161" s="52" t="n">
        <v>20</v>
      </c>
      <c r="B161" s="39" t="n">
        <v>1.14437</v>
      </c>
      <c r="C161" s="39" t="n">
        <v>1.70419</v>
      </c>
      <c r="D161" s="39" t="n">
        <v>2.06813</v>
      </c>
      <c r="E161" s="39" t="n">
        <v>2.33394</v>
      </c>
      <c r="F161" s="39" t="n">
        <v>2.54149</v>
      </c>
      <c r="G161" s="39" t="n">
        <v>2.71077</v>
      </c>
      <c r="H161" s="39" t="n">
        <v>2.8531</v>
      </c>
      <c r="I161" s="39" t="n">
        <v>2.97552</v>
      </c>
      <c r="J161" s="39" t="n">
        <v>3.08267</v>
      </c>
      <c r="K161" s="39" t="n">
        <v>3.17775</v>
      </c>
      <c r="L161" s="39" t="n">
        <v>3.26311</v>
      </c>
      <c r="M161" s="39" t="n">
        <v>3.34042</v>
      </c>
      <c r="N161" s="39" t="n">
        <v>3.41103</v>
      </c>
      <c r="O161" s="39" t="n">
        <v>3.47605</v>
      </c>
      <c r="P161" s="39" t="n">
        <v>3.53596</v>
      </c>
      <c r="Q161" s="39" t="n">
        <v>3.59174</v>
      </c>
      <c r="R161" s="39" t="n">
        <v>3.6438</v>
      </c>
      <c r="S161" s="39" t="n">
        <v>3.6926</v>
      </c>
      <c r="T161" s="39" t="n">
        <v>3.7385</v>
      </c>
    </row>
    <row r="163">
      <c r="A163" s="10" t="inlineStr">
        <is>
          <t>ν (vrijheidsgraden, df): g \ m</t>
        </is>
      </c>
      <c r="B163" s="10" t="n">
        <v>2</v>
      </c>
      <c r="C163" s="10" t="n">
        <v>3</v>
      </c>
      <c r="D163" s="10" t="n">
        <v>4</v>
      </c>
      <c r="E163" s="10" t="n">
        <v>5</v>
      </c>
      <c r="F163" s="10" t="n">
        <v>6</v>
      </c>
      <c r="G163" s="10" t="n">
        <v>7</v>
      </c>
      <c r="H163" s="10" t="n">
        <v>8</v>
      </c>
      <c r="I163" s="10" t="n">
        <v>9</v>
      </c>
      <c r="J163" s="10" t="n">
        <v>10</v>
      </c>
      <c r="K163" s="10" t="n">
        <v>11</v>
      </c>
      <c r="L163" s="10" t="n">
        <v>12</v>
      </c>
      <c r="M163" s="10" t="n">
        <v>13</v>
      </c>
      <c r="N163" s="10" t="n">
        <v>14</v>
      </c>
      <c r="O163" s="10" t="n">
        <v>15</v>
      </c>
      <c r="P163" s="10" t="n">
        <v>16</v>
      </c>
      <c r="Q163" s="10" t="n">
        <v>17</v>
      </c>
      <c r="R163" s="10" t="n">
        <v>18</v>
      </c>
      <c r="S163" s="10" t="n">
        <v>19</v>
      </c>
      <c r="T163" s="10" t="n">
        <v>20</v>
      </c>
    </row>
    <row r="164">
      <c r="A164" s="52" t="n">
        <v>1</v>
      </c>
      <c r="B164" s="53" t="n">
        <v>1</v>
      </c>
      <c r="C164" s="53" t="n">
        <v>2</v>
      </c>
      <c r="D164" s="53" t="n">
        <v>2.9</v>
      </c>
      <c r="E164" s="53" t="n">
        <v>3.8</v>
      </c>
      <c r="F164" s="53" t="n">
        <v>4.7</v>
      </c>
      <c r="G164" s="53" t="n">
        <v>5.5</v>
      </c>
      <c r="H164" s="53" t="n">
        <v>6.3</v>
      </c>
      <c r="I164" s="53" t="n">
        <v>7</v>
      </c>
      <c r="J164" s="53" t="n">
        <v>7.7</v>
      </c>
      <c r="K164" s="53" t="n">
        <v>8.300000000000001</v>
      </c>
      <c r="L164" s="53" t="n">
        <v>9</v>
      </c>
      <c r="M164" s="53" t="n">
        <v>9.6</v>
      </c>
      <c r="N164" s="53" t="n">
        <v>10.2</v>
      </c>
      <c r="O164" s="53" t="n">
        <v>10.8</v>
      </c>
      <c r="P164" s="53" t="n">
        <v>11.3</v>
      </c>
      <c r="Q164" s="53" t="n">
        <v>11.9</v>
      </c>
      <c r="R164" s="53" t="n">
        <v>12.4</v>
      </c>
      <c r="S164" s="53" t="n">
        <v>12.9</v>
      </c>
      <c r="T164" s="53" t="n">
        <v>13.4</v>
      </c>
    </row>
    <row r="165">
      <c r="A165" s="52" t="n">
        <v>2</v>
      </c>
      <c r="B165" s="53" t="n">
        <v>1.9</v>
      </c>
      <c r="C165" s="53" t="n">
        <v>3.8</v>
      </c>
      <c r="D165" s="53" t="n">
        <v>5.7</v>
      </c>
      <c r="E165" s="53" t="n">
        <v>7.5</v>
      </c>
      <c r="F165" s="53" t="n">
        <v>9.199999999999999</v>
      </c>
      <c r="G165" s="53" t="n">
        <v>10.8</v>
      </c>
      <c r="H165" s="53" t="n">
        <v>12.3</v>
      </c>
      <c r="I165" s="53" t="n">
        <v>13.8</v>
      </c>
      <c r="J165" s="53" t="n">
        <v>15.1</v>
      </c>
      <c r="K165" s="53" t="n">
        <v>16.5</v>
      </c>
      <c r="L165" s="53" t="n">
        <v>17.8</v>
      </c>
      <c r="M165" s="53" t="n">
        <v>19</v>
      </c>
      <c r="N165" s="53" t="n">
        <v>20.2</v>
      </c>
      <c r="O165" s="53" t="n">
        <v>21.3</v>
      </c>
      <c r="P165" s="53" t="n">
        <v>22.4</v>
      </c>
      <c r="Q165" s="53" t="n">
        <v>23.5</v>
      </c>
      <c r="R165" s="53" t="n">
        <v>24.5</v>
      </c>
      <c r="S165" s="53" t="n">
        <v>25.5</v>
      </c>
      <c r="T165" s="53" t="n">
        <v>26.5</v>
      </c>
    </row>
    <row r="166">
      <c r="A166" s="52" t="n">
        <v>3</v>
      </c>
      <c r="B166" s="53" t="n">
        <v>2.8</v>
      </c>
      <c r="C166" s="53" t="n">
        <v>5.7</v>
      </c>
      <c r="D166" s="53" t="n">
        <v>8.4</v>
      </c>
      <c r="E166" s="53" t="n">
        <v>11.1</v>
      </c>
      <c r="F166" s="53" t="n">
        <v>13.6</v>
      </c>
      <c r="G166" s="53" t="n">
        <v>16</v>
      </c>
      <c r="H166" s="53" t="n">
        <v>18.3</v>
      </c>
      <c r="I166" s="53" t="n">
        <v>20.5</v>
      </c>
      <c r="J166" s="53" t="n">
        <v>22.6</v>
      </c>
      <c r="K166" s="53" t="n">
        <v>24.6</v>
      </c>
      <c r="L166" s="53" t="n">
        <v>26.5</v>
      </c>
      <c r="M166" s="53" t="n">
        <v>28.4</v>
      </c>
      <c r="N166" s="53" t="n">
        <v>30.1</v>
      </c>
      <c r="O166" s="53" t="n">
        <v>31.9</v>
      </c>
      <c r="P166" s="53" t="n">
        <v>33.5</v>
      </c>
      <c r="Q166" s="53" t="n">
        <v>35.1</v>
      </c>
      <c r="R166" s="53" t="n">
        <v>36.7</v>
      </c>
      <c r="S166" s="53" t="n">
        <v>38.2</v>
      </c>
      <c r="T166" s="53" t="n">
        <v>39.7</v>
      </c>
    </row>
    <row r="167">
      <c r="A167" s="52" t="n">
        <v>4</v>
      </c>
      <c r="B167" s="53" t="n">
        <v>3.7</v>
      </c>
      <c r="C167" s="53" t="n">
        <v>7.5</v>
      </c>
      <c r="D167" s="53" t="n">
        <v>11.2</v>
      </c>
      <c r="E167" s="53" t="n">
        <v>14.7</v>
      </c>
      <c r="F167" s="53" t="n">
        <v>18.1</v>
      </c>
      <c r="G167" s="53" t="n">
        <v>21.3</v>
      </c>
      <c r="H167" s="53" t="n">
        <v>24.4</v>
      </c>
      <c r="I167" s="53" t="n">
        <v>27.3</v>
      </c>
      <c r="J167" s="53" t="n">
        <v>30.1</v>
      </c>
      <c r="K167" s="53" t="n">
        <v>32.7</v>
      </c>
      <c r="L167" s="53" t="n">
        <v>35.3</v>
      </c>
      <c r="M167" s="53" t="n">
        <v>37.7</v>
      </c>
      <c r="N167" s="53" t="n">
        <v>40.1</v>
      </c>
      <c r="O167" s="53" t="n">
        <v>42.4</v>
      </c>
      <c r="P167" s="53" t="n">
        <v>44.6</v>
      </c>
      <c r="Q167" s="53" t="n">
        <v>46.7</v>
      </c>
      <c r="R167" s="53" t="n">
        <v>48.8</v>
      </c>
      <c r="S167" s="53" t="n">
        <v>50.8</v>
      </c>
      <c r="T167" s="53" t="n">
        <v>52.8</v>
      </c>
    </row>
    <row r="168">
      <c r="A168" s="52" t="n">
        <v>5</v>
      </c>
      <c r="B168" s="53" t="n">
        <v>4.6</v>
      </c>
      <c r="C168" s="53" t="n">
        <v>9.300000000000001</v>
      </c>
      <c r="D168" s="53" t="n">
        <v>13.9</v>
      </c>
      <c r="E168" s="53" t="n">
        <v>18.4</v>
      </c>
      <c r="F168" s="53" t="n">
        <v>22.6</v>
      </c>
      <c r="G168" s="53" t="n">
        <v>26.6</v>
      </c>
      <c r="H168" s="53" t="n">
        <v>30.4</v>
      </c>
      <c r="I168" s="53" t="n">
        <v>34</v>
      </c>
      <c r="J168" s="53" t="n">
        <v>37.5</v>
      </c>
      <c r="K168" s="53" t="n">
        <v>40.8</v>
      </c>
      <c r="L168" s="53" t="n">
        <v>44</v>
      </c>
      <c r="M168" s="53" t="n">
        <v>47.1</v>
      </c>
      <c r="N168" s="53" t="n">
        <v>50.1</v>
      </c>
      <c r="O168" s="53" t="n">
        <v>52.9</v>
      </c>
      <c r="P168" s="53" t="n">
        <v>55.7</v>
      </c>
      <c r="Q168" s="53" t="n">
        <v>58.4</v>
      </c>
      <c r="R168" s="53" t="n">
        <v>61</v>
      </c>
      <c r="S168" s="53" t="n">
        <v>63.5</v>
      </c>
      <c r="T168" s="53" t="n">
        <v>65.90000000000001</v>
      </c>
    </row>
    <row r="169">
      <c r="A169" s="52" t="n">
        <v>6</v>
      </c>
      <c r="B169" s="53" t="n">
        <v>5.5</v>
      </c>
      <c r="C169" s="53" t="n">
        <v>11.1</v>
      </c>
      <c r="D169" s="53" t="n">
        <v>16.7</v>
      </c>
      <c r="E169" s="53" t="n">
        <v>22</v>
      </c>
      <c r="F169" s="53" t="n">
        <v>27</v>
      </c>
      <c r="G169" s="53" t="n">
        <v>31.8</v>
      </c>
      <c r="H169" s="53" t="n">
        <v>36.4</v>
      </c>
      <c r="I169" s="53" t="n">
        <v>40.8</v>
      </c>
      <c r="J169" s="53" t="n">
        <v>45</v>
      </c>
      <c r="K169" s="53" t="n">
        <v>49</v>
      </c>
      <c r="L169" s="53" t="n">
        <v>52.8</v>
      </c>
      <c r="M169" s="53" t="n">
        <v>56.5</v>
      </c>
      <c r="N169" s="53" t="n">
        <v>60.1</v>
      </c>
      <c r="O169" s="53" t="n">
        <v>63.5</v>
      </c>
      <c r="P169" s="53" t="n">
        <v>66.8</v>
      </c>
      <c r="Q169" s="53" t="n">
        <v>70</v>
      </c>
      <c r="R169" s="53" t="n">
        <v>73.09999999999999</v>
      </c>
      <c r="S169" s="53" t="n">
        <v>76.09999999999999</v>
      </c>
      <c r="T169" s="53" t="n">
        <v>79.09999999999999</v>
      </c>
    </row>
    <row r="170">
      <c r="A170" s="52" t="n">
        <v>7</v>
      </c>
      <c r="B170" s="53" t="n">
        <v>6.4</v>
      </c>
      <c r="C170" s="53" t="n">
        <v>12.9</v>
      </c>
      <c r="D170" s="53" t="n">
        <v>19.4</v>
      </c>
      <c r="E170" s="53" t="n">
        <v>25.6</v>
      </c>
      <c r="F170" s="53" t="n">
        <v>31.5</v>
      </c>
      <c r="G170" s="53" t="n">
        <v>37.1</v>
      </c>
      <c r="H170" s="53" t="n">
        <v>42.5</v>
      </c>
      <c r="I170" s="53" t="n">
        <v>47.6</v>
      </c>
      <c r="J170" s="53" t="n">
        <v>52.4</v>
      </c>
      <c r="K170" s="53" t="n">
        <v>57.1</v>
      </c>
      <c r="L170" s="53" t="n">
        <v>61.6</v>
      </c>
      <c r="M170" s="53" t="n">
        <v>65.90000000000001</v>
      </c>
      <c r="N170" s="53" t="n">
        <v>70</v>
      </c>
      <c r="O170" s="53" t="n">
        <v>74</v>
      </c>
      <c r="P170" s="53" t="n">
        <v>77.90000000000001</v>
      </c>
      <c r="Q170" s="53" t="n">
        <v>81.59999999999999</v>
      </c>
      <c r="R170" s="53" t="n">
        <v>85.3</v>
      </c>
      <c r="S170" s="53" t="n">
        <v>88.8</v>
      </c>
      <c r="T170" s="53" t="n">
        <v>92.2</v>
      </c>
    </row>
    <row r="171">
      <c r="A171" s="52" t="n">
        <v>8</v>
      </c>
      <c r="B171" s="53" t="n">
        <v>7.2</v>
      </c>
      <c r="C171" s="53" t="n">
        <v>14.8</v>
      </c>
      <c r="D171" s="53" t="n">
        <v>22.1</v>
      </c>
      <c r="E171" s="53" t="n">
        <v>29.2</v>
      </c>
      <c r="F171" s="53" t="n">
        <v>36</v>
      </c>
      <c r="G171" s="53" t="n">
        <v>42.4</v>
      </c>
      <c r="H171" s="53" t="n">
        <v>48.5</v>
      </c>
      <c r="I171" s="53" t="n">
        <v>54.3</v>
      </c>
      <c r="J171" s="53" t="n">
        <v>59.9</v>
      </c>
      <c r="K171" s="53" t="n">
        <v>65.2</v>
      </c>
      <c r="L171" s="53" t="n">
        <v>70.3</v>
      </c>
      <c r="M171" s="53" t="n">
        <v>75.2</v>
      </c>
      <c r="N171" s="53" t="n">
        <v>80</v>
      </c>
      <c r="O171" s="53" t="n">
        <v>84.59999999999999</v>
      </c>
      <c r="P171" s="53" t="n">
        <v>89</v>
      </c>
      <c r="Q171" s="53" t="n">
        <v>93.3</v>
      </c>
      <c r="R171" s="53" t="n">
        <v>97.40000000000001</v>
      </c>
      <c r="S171" s="53" t="n">
        <v>101.4</v>
      </c>
      <c r="T171" s="53" t="n">
        <v>105.3</v>
      </c>
    </row>
    <row r="172">
      <c r="A172" s="52" t="n">
        <v>9</v>
      </c>
      <c r="B172" s="53" t="n">
        <v>8.1</v>
      </c>
      <c r="C172" s="53" t="n">
        <v>16.6</v>
      </c>
      <c r="D172" s="53" t="n">
        <v>24.9</v>
      </c>
      <c r="E172" s="53" t="n">
        <v>32.9</v>
      </c>
      <c r="F172" s="53" t="n">
        <v>40.4</v>
      </c>
      <c r="G172" s="53" t="n">
        <v>47.7</v>
      </c>
      <c r="H172" s="53" t="n">
        <v>54.5</v>
      </c>
      <c r="I172" s="53" t="n">
        <v>61.1</v>
      </c>
      <c r="J172" s="53" t="n">
        <v>67.3</v>
      </c>
      <c r="K172" s="53" t="n">
        <v>73.3</v>
      </c>
      <c r="L172" s="53" t="n">
        <v>79.09999999999999</v>
      </c>
      <c r="M172" s="53" t="n">
        <v>84.59999999999999</v>
      </c>
      <c r="N172" s="53" t="n">
        <v>90</v>
      </c>
      <c r="O172" s="53" t="n">
        <v>95.09999999999999</v>
      </c>
      <c r="P172" s="53" t="n">
        <v>100.1</v>
      </c>
      <c r="Q172" s="53" t="n">
        <v>104.9</v>
      </c>
      <c r="R172" s="53" t="n">
        <v>109.5</v>
      </c>
      <c r="S172" s="53" t="n">
        <v>114.1</v>
      </c>
      <c r="T172" s="53" t="n">
        <v>118.5</v>
      </c>
    </row>
    <row r="173">
      <c r="A173" s="52" t="n">
        <v>10</v>
      </c>
      <c r="B173" s="53" t="n">
        <v>9</v>
      </c>
      <c r="C173" s="53" t="n">
        <v>18.4</v>
      </c>
      <c r="D173" s="53" t="n">
        <v>27.6</v>
      </c>
      <c r="E173" s="53" t="n">
        <v>36.5</v>
      </c>
      <c r="F173" s="53" t="n">
        <v>44.9</v>
      </c>
      <c r="G173" s="53" t="n">
        <v>52.9</v>
      </c>
      <c r="H173" s="53" t="n">
        <v>60.6</v>
      </c>
      <c r="I173" s="53" t="n">
        <v>67.8</v>
      </c>
      <c r="J173" s="53" t="n">
        <v>74.8</v>
      </c>
      <c r="K173" s="53" t="n">
        <v>81.5</v>
      </c>
      <c r="L173" s="53" t="n">
        <v>87.90000000000001</v>
      </c>
      <c r="M173" s="53" t="n">
        <v>94</v>
      </c>
      <c r="N173" s="53" t="n">
        <v>99.90000000000001</v>
      </c>
      <c r="O173" s="53" t="n">
        <v>105.6</v>
      </c>
      <c r="P173" s="53" t="n">
        <v>111.2</v>
      </c>
      <c r="Q173" s="53" t="n">
        <v>116.5</v>
      </c>
      <c r="R173" s="53" t="n">
        <v>121.7</v>
      </c>
      <c r="S173" s="53" t="n">
        <v>126.7</v>
      </c>
      <c r="T173" s="53" t="n">
        <v>131.6</v>
      </c>
    </row>
    <row r="174">
      <c r="A174" s="52" t="n">
        <v>11</v>
      </c>
      <c r="B174" s="53" t="n">
        <v>9.9</v>
      </c>
      <c r="C174" s="53" t="n">
        <v>20.2</v>
      </c>
      <c r="D174" s="53" t="n">
        <v>30.4</v>
      </c>
      <c r="E174" s="53" t="n">
        <v>40.1</v>
      </c>
      <c r="F174" s="53" t="n">
        <v>49.4</v>
      </c>
      <c r="G174" s="53" t="n">
        <v>58.2</v>
      </c>
      <c r="H174" s="53" t="n">
        <v>66.59999999999999</v>
      </c>
      <c r="I174" s="53" t="n">
        <v>74.59999999999999</v>
      </c>
      <c r="J174" s="53" t="n">
        <v>82.2</v>
      </c>
      <c r="K174" s="53" t="n">
        <v>89.59999999999999</v>
      </c>
      <c r="L174" s="53" t="n">
        <v>96.59999999999999</v>
      </c>
      <c r="M174" s="53" t="n">
        <v>103.4</v>
      </c>
      <c r="N174" s="53" t="n">
        <v>109.9</v>
      </c>
      <c r="O174" s="53" t="n">
        <v>116.2</v>
      </c>
      <c r="P174" s="53" t="n">
        <v>122.3</v>
      </c>
      <c r="Q174" s="53" t="n">
        <v>128.1</v>
      </c>
      <c r="R174" s="53" t="n">
        <v>133.8</v>
      </c>
      <c r="S174" s="53" t="n">
        <v>139.4</v>
      </c>
      <c r="T174" s="53" t="n">
        <v>144.7</v>
      </c>
    </row>
    <row r="175">
      <c r="A175" s="52" t="n">
        <v>12</v>
      </c>
      <c r="B175" s="53" t="n">
        <v>10.7</v>
      </c>
      <c r="C175" s="53" t="n">
        <v>22</v>
      </c>
      <c r="D175" s="53" t="n">
        <v>33.1</v>
      </c>
      <c r="E175" s="53" t="n">
        <v>43.7</v>
      </c>
      <c r="F175" s="53" t="n">
        <v>53.8</v>
      </c>
      <c r="G175" s="53" t="n">
        <v>63.5</v>
      </c>
      <c r="H175" s="53" t="n">
        <v>72.59999999999999</v>
      </c>
      <c r="I175" s="53" t="n">
        <v>81.3</v>
      </c>
      <c r="J175" s="53" t="n">
        <v>89.7</v>
      </c>
      <c r="K175" s="53" t="n">
        <v>97.7</v>
      </c>
      <c r="L175" s="53" t="n">
        <v>105.4</v>
      </c>
      <c r="M175" s="53" t="n">
        <v>112.7</v>
      </c>
      <c r="N175" s="53" t="n">
        <v>119.9</v>
      </c>
      <c r="O175" s="53" t="n">
        <v>126.7</v>
      </c>
      <c r="P175" s="53" t="n">
        <v>133.3</v>
      </c>
      <c r="Q175" s="53" t="n">
        <v>139.8</v>
      </c>
      <c r="R175" s="53" t="n">
        <v>146</v>
      </c>
      <c r="S175" s="53" t="n">
        <v>152</v>
      </c>
      <c r="T175" s="53" t="n">
        <v>157.9</v>
      </c>
    </row>
    <row r="176">
      <c r="A176" s="52" t="n">
        <v>13</v>
      </c>
      <c r="B176" s="53" t="n">
        <v>11.6</v>
      </c>
      <c r="C176" s="53" t="n">
        <v>23.8</v>
      </c>
      <c r="D176" s="53" t="n">
        <v>35.8</v>
      </c>
      <c r="E176" s="53" t="n">
        <v>47.3</v>
      </c>
      <c r="F176" s="53" t="n">
        <v>58.3</v>
      </c>
      <c r="G176" s="53" t="n">
        <v>68.7</v>
      </c>
      <c r="H176" s="53" t="n">
        <v>78.59999999999999</v>
      </c>
      <c r="I176" s="53" t="n">
        <v>88.09999999999999</v>
      </c>
      <c r="J176" s="53" t="n">
        <v>97.09999999999999</v>
      </c>
      <c r="K176" s="53" t="n">
        <v>105.8</v>
      </c>
      <c r="L176" s="53" t="n">
        <v>114.1</v>
      </c>
      <c r="M176" s="53" t="n">
        <v>122.1</v>
      </c>
      <c r="N176" s="53" t="n">
        <v>129.8</v>
      </c>
      <c r="O176" s="53" t="n">
        <v>137.3</v>
      </c>
      <c r="P176" s="53" t="n">
        <v>144.4</v>
      </c>
      <c r="Q176" s="53" t="n">
        <v>151.4</v>
      </c>
      <c r="R176" s="53" t="n">
        <v>158.1</v>
      </c>
      <c r="S176" s="53" t="n">
        <v>164.7</v>
      </c>
      <c r="T176" s="53" t="n">
        <v>171</v>
      </c>
    </row>
    <row r="177">
      <c r="A177" s="52" t="n">
        <v>14</v>
      </c>
      <c r="B177" s="53" t="n">
        <v>12.5</v>
      </c>
      <c r="C177" s="53" t="n">
        <v>25.7</v>
      </c>
      <c r="D177" s="53" t="n">
        <v>38.6</v>
      </c>
      <c r="E177" s="53" t="n">
        <v>51</v>
      </c>
      <c r="F177" s="53" t="n">
        <v>62.8</v>
      </c>
      <c r="G177" s="53" t="n">
        <v>74</v>
      </c>
      <c r="H177" s="53" t="n">
        <v>84.7</v>
      </c>
      <c r="I177" s="53" t="n">
        <v>94.90000000000001</v>
      </c>
      <c r="J177" s="53" t="n">
        <v>104.6</v>
      </c>
      <c r="K177" s="53" t="n">
        <v>113.9</v>
      </c>
      <c r="L177" s="53" t="n">
        <v>122.9</v>
      </c>
      <c r="M177" s="53" t="n">
        <v>131.5</v>
      </c>
      <c r="N177" s="53" t="n">
        <v>139.8</v>
      </c>
      <c r="O177" s="53" t="n">
        <v>147.8</v>
      </c>
      <c r="P177" s="53" t="n">
        <v>155.5</v>
      </c>
      <c r="Q177" s="53" t="n">
        <v>163</v>
      </c>
      <c r="R177" s="53" t="n">
        <v>170.3</v>
      </c>
      <c r="S177" s="53" t="n">
        <v>177.3</v>
      </c>
      <c r="T177" s="53" t="n">
        <v>184.2</v>
      </c>
    </row>
    <row r="178">
      <c r="A178" s="52" t="n">
        <v>15</v>
      </c>
      <c r="B178" s="53" t="n">
        <v>13.4</v>
      </c>
      <c r="C178" s="53" t="n">
        <v>27.5</v>
      </c>
      <c r="D178" s="53" t="n">
        <v>41.3</v>
      </c>
      <c r="E178" s="53" t="n">
        <v>54.6</v>
      </c>
      <c r="F178" s="53" t="n">
        <v>67.2</v>
      </c>
      <c r="G178" s="53" t="n">
        <v>79.3</v>
      </c>
      <c r="H178" s="53" t="n">
        <v>90.7</v>
      </c>
      <c r="I178" s="53" t="n">
        <v>101.6</v>
      </c>
      <c r="J178" s="53" t="n">
        <v>112.1</v>
      </c>
      <c r="K178" s="53" t="n">
        <v>122.1</v>
      </c>
      <c r="L178" s="53" t="n">
        <v>131.7</v>
      </c>
      <c r="M178" s="53" t="n">
        <v>140.9</v>
      </c>
      <c r="N178" s="53" t="n">
        <v>149.8</v>
      </c>
      <c r="O178" s="53" t="n">
        <v>158.3</v>
      </c>
      <c r="P178" s="53" t="n">
        <v>166.6</v>
      </c>
      <c r="Q178" s="53" t="n">
        <v>174.6</v>
      </c>
      <c r="R178" s="53" t="n">
        <v>182.4</v>
      </c>
      <c r="S178" s="53" t="n">
        <v>190</v>
      </c>
      <c r="T178" s="53" t="n">
        <v>197.3</v>
      </c>
    </row>
    <row r="179">
      <c r="A179" s="52" t="n">
        <v>16</v>
      </c>
      <c r="B179" s="53" t="n">
        <v>14.3</v>
      </c>
      <c r="C179" s="53" t="n">
        <v>29.3</v>
      </c>
      <c r="D179" s="53" t="n">
        <v>44.1</v>
      </c>
      <c r="E179" s="53" t="n">
        <v>58.2</v>
      </c>
      <c r="F179" s="53" t="n">
        <v>71.7</v>
      </c>
      <c r="G179" s="53" t="n">
        <v>84.5</v>
      </c>
      <c r="H179" s="53" t="n">
        <v>96.7</v>
      </c>
      <c r="I179" s="53" t="n">
        <v>108.4</v>
      </c>
      <c r="J179" s="53" t="n">
        <v>119.5</v>
      </c>
      <c r="K179" s="53" t="n">
        <v>130.2</v>
      </c>
      <c r="L179" s="53" t="n">
        <v>140.4</v>
      </c>
      <c r="M179" s="53" t="n">
        <v>150.2</v>
      </c>
      <c r="N179" s="53" t="n">
        <v>159.7</v>
      </c>
      <c r="O179" s="53" t="n">
        <v>168.9</v>
      </c>
      <c r="P179" s="53" t="n">
        <v>177.7</v>
      </c>
      <c r="Q179" s="53" t="n">
        <v>186.3</v>
      </c>
      <c r="R179" s="53" t="n">
        <v>194.6</v>
      </c>
      <c r="S179" s="53" t="n">
        <v>202.6</v>
      </c>
      <c r="T179" s="53" t="n">
        <v>210.4</v>
      </c>
    </row>
    <row r="180">
      <c r="A180" s="52" t="n">
        <v>17</v>
      </c>
      <c r="B180" s="53" t="n">
        <v>15.1</v>
      </c>
      <c r="C180" s="53" t="n">
        <v>31.1</v>
      </c>
      <c r="D180" s="53" t="n">
        <v>46.8</v>
      </c>
      <c r="E180" s="53" t="n">
        <v>61.8</v>
      </c>
      <c r="F180" s="53" t="n">
        <v>76.2</v>
      </c>
      <c r="G180" s="53" t="n">
        <v>89.8</v>
      </c>
      <c r="H180" s="53" t="n">
        <v>102.8</v>
      </c>
      <c r="I180" s="53" t="n">
        <v>115.1</v>
      </c>
      <c r="J180" s="53" t="n">
        <v>127</v>
      </c>
      <c r="K180" s="53" t="n">
        <v>138.3</v>
      </c>
      <c r="L180" s="53" t="n">
        <v>149.2</v>
      </c>
      <c r="M180" s="53" t="n">
        <v>159.6</v>
      </c>
      <c r="N180" s="53" t="n">
        <v>169.7</v>
      </c>
      <c r="O180" s="53" t="n">
        <v>179.4</v>
      </c>
      <c r="P180" s="53" t="n">
        <v>188.8</v>
      </c>
      <c r="Q180" s="53" t="n">
        <v>197.9</v>
      </c>
      <c r="R180" s="53" t="n">
        <v>206.7</v>
      </c>
      <c r="S180" s="53" t="n">
        <v>215.2</v>
      </c>
      <c r="T180" s="53" t="n">
        <v>223.6</v>
      </c>
    </row>
    <row r="181">
      <c r="A181" s="52" t="n">
        <v>18</v>
      </c>
      <c r="B181" s="53" t="n">
        <v>16</v>
      </c>
      <c r="C181" s="53" t="n">
        <v>32.9</v>
      </c>
      <c r="D181" s="53" t="n">
        <v>49.5</v>
      </c>
      <c r="E181" s="53" t="n">
        <v>65.5</v>
      </c>
      <c r="F181" s="53" t="n">
        <v>80.59999999999999</v>
      </c>
      <c r="G181" s="53" t="n">
        <v>95.09999999999999</v>
      </c>
      <c r="H181" s="53" t="n">
        <v>108.8</v>
      </c>
      <c r="I181" s="53" t="n">
        <v>121.9</v>
      </c>
      <c r="J181" s="53" t="n">
        <v>134.4</v>
      </c>
      <c r="K181" s="53" t="n">
        <v>146.4</v>
      </c>
      <c r="L181" s="53" t="n">
        <v>157.9</v>
      </c>
      <c r="M181" s="53" t="n">
        <v>169</v>
      </c>
      <c r="N181" s="53" t="n">
        <v>179.7</v>
      </c>
      <c r="O181" s="53" t="n">
        <v>190</v>
      </c>
      <c r="P181" s="53" t="n">
        <v>199.9</v>
      </c>
      <c r="Q181" s="53" t="n">
        <v>209.5</v>
      </c>
      <c r="R181" s="53" t="n">
        <v>218.8</v>
      </c>
      <c r="S181" s="53" t="n">
        <v>227.9</v>
      </c>
      <c r="T181" s="53" t="n">
        <v>236.7</v>
      </c>
    </row>
    <row r="182">
      <c r="A182" s="52" t="n">
        <v>19</v>
      </c>
      <c r="B182" s="53" t="n">
        <v>16.9</v>
      </c>
      <c r="C182" s="53" t="n">
        <v>34.7</v>
      </c>
      <c r="D182" s="53" t="n">
        <v>52.3</v>
      </c>
      <c r="E182" s="53" t="n">
        <v>69.09999999999999</v>
      </c>
      <c r="F182" s="53" t="n">
        <v>85.09999999999999</v>
      </c>
      <c r="G182" s="53" t="n">
        <v>100.3</v>
      </c>
      <c r="H182" s="53" t="n">
        <v>114.8</v>
      </c>
      <c r="I182" s="53" t="n">
        <v>128.7</v>
      </c>
      <c r="J182" s="53" t="n">
        <v>141.9</v>
      </c>
      <c r="K182" s="53" t="n">
        <v>154.5</v>
      </c>
      <c r="L182" s="53" t="n">
        <v>166.7</v>
      </c>
      <c r="M182" s="53" t="n">
        <v>178.4</v>
      </c>
      <c r="N182" s="53" t="n">
        <v>189.6</v>
      </c>
      <c r="O182" s="53" t="n">
        <v>200.5</v>
      </c>
      <c r="P182" s="53" t="n">
        <v>211</v>
      </c>
      <c r="Q182" s="53" t="n">
        <v>221.1</v>
      </c>
      <c r="R182" s="53" t="n">
        <v>231</v>
      </c>
      <c r="S182" s="53" t="n">
        <v>240.5</v>
      </c>
      <c r="T182" s="53" t="n">
        <v>249.8</v>
      </c>
    </row>
    <row r="183">
      <c r="A183" s="52" t="n">
        <v>20</v>
      </c>
      <c r="B183" s="53" t="n">
        <v>17.8</v>
      </c>
      <c r="C183" s="53" t="n">
        <v>36.5</v>
      </c>
      <c r="D183" s="53" t="n">
        <v>55</v>
      </c>
      <c r="E183" s="53" t="n">
        <v>72.7</v>
      </c>
      <c r="F183" s="53" t="n">
        <v>89.59999999999999</v>
      </c>
      <c r="G183" s="53" t="n">
        <v>105.6</v>
      </c>
      <c r="H183" s="53" t="n">
        <v>120.9</v>
      </c>
      <c r="I183" s="53" t="n">
        <v>135.4</v>
      </c>
      <c r="J183" s="53" t="n">
        <v>149.3</v>
      </c>
      <c r="K183" s="53" t="n">
        <v>162.7</v>
      </c>
      <c r="L183" s="53" t="n">
        <v>175.5</v>
      </c>
      <c r="M183" s="53" t="n">
        <v>187.8</v>
      </c>
      <c r="N183" s="53" t="n">
        <v>199.6</v>
      </c>
      <c r="O183" s="53" t="n">
        <v>211</v>
      </c>
      <c r="P183" s="53" t="n">
        <v>222.1</v>
      </c>
      <c r="Q183" s="53" t="n">
        <v>232.8</v>
      </c>
      <c r="R183" s="53" t="n">
        <v>243.1</v>
      </c>
      <c r="S183" s="53" t="n">
        <v>253.2</v>
      </c>
      <c r="T183" s="53" t="n">
        <v>263</v>
      </c>
    </row>
    <row r="185">
      <c r="A185" s="20" t="inlineStr">
        <is>
          <t>d2 (g → ∞)</t>
        </is>
      </c>
      <c r="B185" s="39" t="n">
        <v>1.12838</v>
      </c>
      <c r="C185" s="39" t="n">
        <v>1.69257</v>
      </c>
      <c r="D185" s="39" t="n">
        <v>2.05875</v>
      </c>
      <c r="E185" s="39" t="n">
        <v>2.32593</v>
      </c>
      <c r="F185" s="39" t="n">
        <v>2.53441</v>
      </c>
      <c r="G185" s="39" t="n">
        <v>2.70436</v>
      </c>
      <c r="H185" s="21" t="n">
        <v>2.8472</v>
      </c>
      <c r="I185" s="39" t="n">
        <v>2.97003</v>
      </c>
      <c r="J185" s="39" t="n">
        <v>3.07751</v>
      </c>
      <c r="K185" s="39" t="n">
        <v>3.17287</v>
      </c>
      <c r="L185" s="39" t="n">
        <v>3.25846</v>
      </c>
      <c r="M185" s="39" t="n">
        <v>3.33598</v>
      </c>
      <c r="N185" s="39" t="n">
        <v>3.40676</v>
      </c>
      <c r="O185" s="39" t="n">
        <v>3.47193</v>
      </c>
      <c r="P185" s="39" t="n">
        <v>3.53198</v>
      </c>
      <c r="Q185" s="39" t="n">
        <v>3.58788</v>
      </c>
      <c r="R185" s="39" t="n">
        <v>3.64006</v>
      </c>
      <c r="S185" s="39" t="n">
        <v>3.68896</v>
      </c>
      <c r="T185" s="48" t="n">
        <v>3.735</v>
      </c>
    </row>
    <row r="186">
      <c r="A186" s="20" t="inlineStr">
        <is>
          <t>cd</t>
        </is>
      </c>
      <c r="B186" s="48" t="n">
        <v>0.876</v>
      </c>
      <c r="C186" s="48" t="n">
        <v>1.815</v>
      </c>
      <c r="D186" s="21" t="n">
        <v>2.7378</v>
      </c>
      <c r="E186" s="48" t="n">
        <v>3.623</v>
      </c>
      <c r="F186" s="21" t="n">
        <v>4.4658</v>
      </c>
      <c r="G186" s="21" t="n">
        <v>5.2673</v>
      </c>
      <c r="H186" s="21" t="n">
        <v>6.0305</v>
      </c>
      <c r="I186" s="21" t="n">
        <v>6.7582</v>
      </c>
      <c r="J186" s="21" t="n">
        <v>7.4539</v>
      </c>
      <c r="K186" s="21" t="n">
        <v>8.120699999999999</v>
      </c>
      <c r="L186" s="21" t="n">
        <v>8.760199999999999</v>
      </c>
      <c r="M186" s="21" t="n">
        <v>9.3751</v>
      </c>
      <c r="N186" s="21" t="n">
        <v>9.9679</v>
      </c>
      <c r="O186" s="21" t="n">
        <v>10.5396</v>
      </c>
      <c r="P186" s="21" t="n">
        <v>11.0913</v>
      </c>
      <c r="Q186" s="21" t="n">
        <v>11.6259</v>
      </c>
      <c r="R186" s="48" t="n">
        <v>12.144</v>
      </c>
      <c r="S186" s="21" t="n">
        <v>12.6468</v>
      </c>
      <c r="T186" s="21" t="n">
        <v>13.1362</v>
      </c>
    </row>
    <row r="188">
      <c r="A188" s="5" t="inlineStr">
        <is>
          <t>Extra (niet te kennen voor het examen): Six Sigma For Dummies, Table 10-2</t>
        </is>
      </c>
    </row>
    <row r="190">
      <c r="A190" s="20" t="inlineStr">
        <is>
          <t>Six Sigma For Dummies, Tabel 10-2: constanten voor regelkaarten van continue data (gedrukte titel: 'Table 10-2: Continuous Data Control Chart constants (A2, A3, B3, B4, D3, D4, E2)')</t>
        </is>
      </c>
    </row>
    <row r="191">
      <c r="A191" s="8" t="inlineStr">
        <is>
          <t>Bron: source/course/Les 4/Six Sigma For Dummies.pdf p. 250. Volgens die pagina overgenomen uit: Six Sigma For Dummies, Table 10-2.</t>
        </is>
      </c>
    </row>
    <row r="192">
      <c r="A192" s="20" t="inlineStr">
        <is>
          <t>Alleen ter referentie.</t>
        </is>
      </c>
    </row>
    <row r="193">
      <c r="A193" s="10" t="inlineStr">
        <is>
          <t>Steekproefgrootte n</t>
        </is>
      </c>
      <c r="B193" s="10" t="inlineStr">
        <is>
          <t>A2</t>
        </is>
      </c>
      <c r="C193" s="10" t="inlineStr">
        <is>
          <t>A3</t>
        </is>
      </c>
      <c r="D193" s="10" t="inlineStr">
        <is>
          <t>B3</t>
        </is>
      </c>
      <c r="E193" s="10" t="inlineStr">
        <is>
          <t>B4</t>
        </is>
      </c>
      <c r="F193" s="10" t="inlineStr">
        <is>
          <t>D3</t>
        </is>
      </c>
      <c r="G193" s="10" t="inlineStr">
        <is>
          <t>D4</t>
        </is>
      </c>
      <c r="H193" s="10" t="inlineStr">
        <is>
          <t>E2</t>
        </is>
      </c>
    </row>
    <row r="194">
      <c r="A194" s="47" t="n">
        <v>2</v>
      </c>
      <c r="B194" s="48" t="n">
        <v>1.88</v>
      </c>
      <c r="C194" s="48" t="n">
        <v>2.659</v>
      </c>
      <c r="D194" s="47" t="n">
        <v>0</v>
      </c>
      <c r="E194" s="48" t="n">
        <v>3.267</v>
      </c>
      <c r="F194" s="47" t="n">
        <v>0</v>
      </c>
      <c r="G194" s="48" t="n">
        <v>3.267</v>
      </c>
      <c r="H194" s="49" t="n">
        <v>2.659</v>
      </c>
    </row>
    <row r="195">
      <c r="A195" s="47" t="n">
        <v>3</v>
      </c>
      <c r="B195" s="48" t="n">
        <v>1.023</v>
      </c>
      <c r="C195" s="48" t="n">
        <v>1.954</v>
      </c>
      <c r="D195" s="47" t="n">
        <v>0</v>
      </c>
      <c r="E195" s="48" t="n">
        <v>2.568</v>
      </c>
      <c r="F195" s="47" t="n">
        <v>0</v>
      </c>
      <c r="G195" s="49" t="n">
        <v>2.574</v>
      </c>
      <c r="H195" s="48" t="n">
        <v>1.772</v>
      </c>
    </row>
    <row r="196">
      <c r="A196" s="47" t="n">
        <v>4</v>
      </c>
      <c r="B196" s="48" t="n">
        <v>0.729</v>
      </c>
      <c r="C196" s="48" t="n">
        <v>1.628</v>
      </c>
      <c r="D196" s="47" t="n">
        <v>0</v>
      </c>
      <c r="E196" s="48" t="n">
        <v>2.266</v>
      </c>
      <c r="F196" s="47" t="n">
        <v>0</v>
      </c>
      <c r="G196" s="48" t="n">
        <v>2.282</v>
      </c>
      <c r="H196" s="48" t="n">
        <v>1.457</v>
      </c>
    </row>
    <row r="197">
      <c r="A197" s="47" t="n">
        <v>5</v>
      </c>
      <c r="B197" s="48" t="n">
        <v>0.577</v>
      </c>
      <c r="C197" s="48" t="n">
        <v>1.427</v>
      </c>
      <c r="D197" s="47" t="n">
        <v>0</v>
      </c>
      <c r="E197" s="48" t="n">
        <v>2.089</v>
      </c>
      <c r="F197" s="47" t="n">
        <v>0</v>
      </c>
      <c r="G197" s="49" t="n">
        <v>2.114</v>
      </c>
      <c r="H197" s="48" t="n">
        <v>1.29</v>
      </c>
    </row>
    <row r="198">
      <c r="A198" s="47" t="n">
        <v>6</v>
      </c>
      <c r="B198" s="48" t="n">
        <v>0.483</v>
      </c>
      <c r="C198" s="48" t="n">
        <v>1.287</v>
      </c>
      <c r="D198" s="48" t="n">
        <v>0.03</v>
      </c>
      <c r="E198" s="48" t="n">
        <v>1.97</v>
      </c>
      <c r="F198" s="47" t="n">
        <v>0</v>
      </c>
      <c r="G198" s="48" t="n">
        <v>2.004</v>
      </c>
      <c r="H198" s="48" t="n">
        <v>1.184</v>
      </c>
    </row>
    <row r="199">
      <c r="A199" s="47" t="n">
        <v>7</v>
      </c>
      <c r="B199" s="48" t="n">
        <v>0.419</v>
      </c>
      <c r="C199" s="48" t="n">
        <v>1.182</v>
      </c>
      <c r="D199" s="48" t="n">
        <v>0.118</v>
      </c>
      <c r="E199" s="48" t="n">
        <v>1.882</v>
      </c>
      <c r="F199" s="48" t="n">
        <v>0.076</v>
      </c>
      <c r="G199" s="48" t="n">
        <v>1.924</v>
      </c>
      <c r="H199" s="48" t="n">
        <v>1.109</v>
      </c>
    </row>
    <row r="200">
      <c r="A200" s="47" t="n">
        <v>8</v>
      </c>
      <c r="B200" s="48" t="n">
        <v>0.373</v>
      </c>
      <c r="C200" s="48" t="n">
        <v>1.099</v>
      </c>
      <c r="D200" s="48" t="n">
        <v>0.185</v>
      </c>
      <c r="E200" s="48" t="n">
        <v>1.815</v>
      </c>
      <c r="F200" s="48" t="n">
        <v>0.136</v>
      </c>
      <c r="G200" s="48" t="n">
        <v>1.864</v>
      </c>
      <c r="H200" s="48" t="n">
        <v>1.054</v>
      </c>
    </row>
    <row r="201">
      <c r="A201" s="47" t="n">
        <v>9</v>
      </c>
      <c r="B201" s="48" t="n">
        <v>0.337</v>
      </c>
      <c r="C201" s="48" t="n">
        <v>1.032</v>
      </c>
      <c r="D201" s="48" t="n">
        <v>0.239</v>
      </c>
      <c r="E201" s="48" t="n">
        <v>1.761</v>
      </c>
      <c r="F201" s="48" t="n">
        <v>0.184</v>
      </c>
      <c r="G201" s="48" t="n">
        <v>1.816</v>
      </c>
      <c r="H201" s="48" t="n">
        <v>1.01</v>
      </c>
    </row>
    <row r="202">
      <c r="A202" s="47" t="n">
        <v>10</v>
      </c>
      <c r="B202" s="48" t="n">
        <v>0.308</v>
      </c>
      <c r="C202" s="48" t="n">
        <v>0.975</v>
      </c>
      <c r="D202" s="48" t="n">
        <v>0.284</v>
      </c>
      <c r="E202" s="48" t="n">
        <v>1.716</v>
      </c>
      <c r="F202" s="48" t="n">
        <v>0.223</v>
      </c>
      <c r="G202" s="48" t="n">
        <v>1.777</v>
      </c>
      <c r="H202" s="48" t="n">
        <v>0.975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2026-10-08T20:15:12Z</dcterms:created>
  <dcterms:modified xmlns:dcterms="http://purl.org/dc/terms/" xmlns:xsi="http://www.w3.org/2001/XMLSchema-instance" xsi:type="dcterms:W3CDTF">2026-10-08T20:15:14Z</dcterms:modified>
</cp:coreProperties>
</file>